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3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omments2.xml" ContentType="application/vnd.openxmlformats-officedocument.spreadsheetml.comments+xml"/>
  <Override PartName="/xl/drawings/drawing5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6.xml" ContentType="application/vnd.openxmlformats-officedocument.drawing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9230" yWindow="45" windowWidth="19080" windowHeight="11715" tabRatio="880" activeTab="3"/>
  </bookViews>
  <sheets>
    <sheet name="Main" sheetId="20" r:id="rId1"/>
    <sheet name="eur disaggregated" sheetId="43" r:id="rId2"/>
    <sheet name="usd disaggregated" sheetId="69" r:id="rId3"/>
    <sheet name="reference set" sheetId="4" r:id="rId4"/>
    <sheet name="EurMkt" sheetId="202" r:id="rId5"/>
    <sheet name="EurMkt_static" sheetId="21" state="hidden" r:id="rId6"/>
    <sheet name="UsdMkt" sheetId="70" r:id="rId7"/>
    <sheet name="UsdMkt_static" sheetId="75" state="hidden" r:id="rId8"/>
    <sheet name="EurChart" sheetId="54" r:id="rId9"/>
    <sheet name="UsdChart" sheetId="88" r:id="rId10"/>
    <sheet name="BktEur1mPL" sheetId="192" r:id="rId11"/>
    <sheet name="BktEur1mSens" sheetId="193" r:id="rId12"/>
    <sheet name="BktEur3mPL" sheetId="32" r:id="rId13"/>
    <sheet name="BktEur3mSens" sheetId="187" r:id="rId14"/>
    <sheet name="BktEur6mPL" sheetId="188" r:id="rId15"/>
    <sheet name="BktEur6mSens" sheetId="189" r:id="rId16"/>
    <sheet name="BktEur1yPL" sheetId="190" r:id="rId17"/>
    <sheet name="BktEur1ySens" sheetId="191" r:id="rId18"/>
    <sheet name="BktUsdOisPL" sheetId="203" r:id="rId19"/>
    <sheet name="BktUsdOisSens" sheetId="204" r:id="rId20"/>
    <sheet name="Note" sheetId="48" r:id="rId21"/>
    <sheet name="SI_SwapDeskSensi_Fut_Luca" sheetId="241" r:id="rId22"/>
    <sheet name="SI_SwapDeskSensi_Luca" sheetId="242" r:id="rId23"/>
    <sheet name="SI - SECURITY TAB - EUR" sheetId="243" r:id="rId24"/>
    <sheet name="IMI_IRD_PV01 by curve" sheetId="244" r:id="rId25"/>
  </sheets>
  <functionGroups builtInGroupCount="17"/>
  <externalReferences>
    <externalReference r:id="rId26"/>
    <externalReference r:id="rId27"/>
    <externalReference r:id="rId28"/>
    <externalReference r:id="rId29"/>
    <externalReference r:id="rId30"/>
    <externalReference r:id="rId31"/>
    <externalReference r:id="rId32"/>
    <externalReference r:id="rId33"/>
    <externalReference r:id="rId34"/>
    <externalReference r:id="rId35"/>
    <externalReference r:id="rId36"/>
  </externalReferences>
  <definedNames>
    <definedName name="BidAsk" localSheetId="4">EurMkt!$B$15:$D$34</definedName>
    <definedName name="BidAsk" localSheetId="6">UsdMkt!$B$15:$D$34</definedName>
    <definedName name="Bucket1M">EurMkt!$BZ$13:$BZ$77</definedName>
    <definedName name="Bucket1Y">EurMkt!$AZ$13:$AZ$80</definedName>
    <definedName name="Bucket3M">EurMkt!$AQ$13:$AQ$77</definedName>
    <definedName name="Bucket6M">EurMkt!$AF$13:$AF$81</definedName>
    <definedName name="BucketMaturity">EurMkt!$AA$13:$AA$78</definedName>
    <definedName name="BucketOIS">EurMkt!$BQ$13:$BQ$74</definedName>
    <definedName name="BucketUsdOis_SourceMaturities">BktUsdOisPL!$E$9:$E$46</definedName>
    <definedName name="Calendar" localSheetId="10">BktEur1mPL!$G$1</definedName>
    <definedName name="Calendar" localSheetId="11">BktEur1mSens!$G$1</definedName>
    <definedName name="Calendar" localSheetId="16">BktEur1yPL!$G$1</definedName>
    <definedName name="Calendar" localSheetId="17">BktEur1ySens!$G$1</definedName>
    <definedName name="Calendar" localSheetId="13">BktEur3mSens!$G$1</definedName>
    <definedName name="Calendar" localSheetId="14">BktEur6mPL!$G$1</definedName>
    <definedName name="Calendar" localSheetId="15">BktEur6mSens!$G$1</definedName>
    <definedName name="Calendar">BktEur3mPL!$G$1</definedName>
    <definedName name="cellBookmark" localSheetId="18">[0]!home</definedName>
    <definedName name="cellBookmark" localSheetId="19">[0]!home</definedName>
    <definedName name="cellBookmark" localSheetId="1">'eur disaggregated'!$A$10</definedName>
    <definedName name="cellBookmark" localSheetId="4">[0]!home</definedName>
    <definedName name="cellBookmark" localSheetId="2">'usd disaggregated'!$A$10</definedName>
    <definedName name="cellBookmark">home</definedName>
    <definedName name="cellbookmark_1Y" localSheetId="1">'eur disaggregated'!$AK$10</definedName>
    <definedName name="cellbookmark_1Y" localSheetId="2">'usd disaggregated'!$AB$10</definedName>
    <definedName name="cellBookmark_Futures" localSheetId="1">'eur disaggregated'!$A$91</definedName>
    <definedName name="cellBookmark_Futures" localSheetId="2">'usd disaggregated'!$A$91</definedName>
    <definedName name="chg_bps_12M" localSheetId="2">'usd disaggregated'!$S$17:$S$82</definedName>
    <definedName name="chg_bps_1M" localSheetId="1">'eur disaggregated'!$AM$17:$AM$81</definedName>
    <definedName name="chg_bps_1M" localSheetId="2">'usd disaggregated'!$AD$17:$AD$82</definedName>
    <definedName name="chg_bps_1Y" localSheetId="1">'eur disaggregated'!$AU$17:$AU$82</definedName>
    <definedName name="chg_bps_3MnoFut" localSheetId="1">'eur disaggregated'!$AE$17:$AE$82</definedName>
    <definedName name="chg_bps_3MnoFut" localSheetId="2">'usd disaggregated'!$Y$17:$Y$82</definedName>
    <definedName name="chg_bps_6M" localSheetId="1">'eur disaggregated'!$V$17:$V$82</definedName>
    <definedName name="chg_bps_6M" localSheetId="2">'usd disaggregated'!$AI$17:$AI$82</definedName>
    <definedName name="chg_bps_OIS" localSheetId="1">'eur disaggregated'!$BC$17:$BC$78</definedName>
    <definedName name="chg_bps_OIS" localSheetId="2">'usd disaggregated'!$AN$17:$AN$54</definedName>
    <definedName name="chg_bps_StdNoFut" localSheetId="1">'eur disaggregated'!$Q$17:$Q$82</definedName>
    <definedName name="chg_bps_StdnoFut" localSheetId="2">'usd disaggregated'!$N$17:$N$82</definedName>
    <definedName name="Common_Instrument">EurMkt!$W$13:$W$78</definedName>
    <definedName name="Common_instrumentN">EurMkt!$Y$13:$Y$78</definedName>
    <definedName name="Common_RtCode">EurMkt!$AB$13:$AB$78</definedName>
    <definedName name="CommonBucket">EurMkt!$V$13:$V$78</definedName>
    <definedName name="CommonMxSearch">EurMkt!$Z$13:$Z$78</definedName>
    <definedName name="CommonOrd">EurMkt!$X$13:$X$78</definedName>
    <definedName name="CSVDir">'reference set'!$CT$4</definedName>
    <definedName name="CSVName" localSheetId="18">'reference set'!$CT$5</definedName>
    <definedName name="CSVName" localSheetId="19">'reference set'!$CT$5</definedName>
    <definedName name="CSVName" localSheetId="4">'reference set'!$CT$5</definedName>
    <definedName name="CSVName">'reference set'!$CT$5</definedName>
    <definedName name="CSVQuery">'reference set'!$CT$7</definedName>
    <definedName name="CurveRefTable" localSheetId="18">'reference set'!$CT$12:$CZ$3382</definedName>
    <definedName name="CurveRefTable" localSheetId="19">'reference set'!$CT$12:$CZ$3382</definedName>
    <definedName name="CurveRefTable" localSheetId="4">'reference set'!$CT$12:$CZ$3382</definedName>
    <definedName name="CurveRefTable">'reference set'!$CT$12:$CZ$3380</definedName>
    <definedName name="CurveRefTable_hd" localSheetId="18">'reference set'!$CT$11:$CZ$11</definedName>
    <definedName name="CurveRefTable_hd" localSheetId="19">'reference set'!$CT$11:$CZ$11</definedName>
    <definedName name="CurveRefTable_hd" localSheetId="4">'reference set'!$CT$11:$CZ$11</definedName>
    <definedName name="CurveRefTable_hd">'reference set'!$CT$11:$CZ$11</definedName>
    <definedName name="DataSTUB" localSheetId="4">EurMkt!$C$12</definedName>
    <definedName name="DataSTUB" localSheetId="6">UsdMkt!$C$12</definedName>
    <definedName name="Dest1">'reference set'!$G$23:$G$91</definedName>
    <definedName name="Dest10">'reference set'!$AI$96:$AI$161</definedName>
    <definedName name="Dest11">'reference set'!$AQ$96:$AQ$161</definedName>
    <definedName name="Dest12">'reference set'!$AY$96:$AY$133</definedName>
    <definedName name="Dest2">'reference set'!$S$23:$S$91</definedName>
    <definedName name="Dest2_Mat" localSheetId="18">'reference set'!$Q$23:$Q$91</definedName>
    <definedName name="Dest2_Mat" localSheetId="19">'reference set'!$Q$23:$Q$91</definedName>
    <definedName name="Dest2_Mat" localSheetId="4">'reference set'!$Q$23:$Q$91</definedName>
    <definedName name="Dest2_Mat">'reference set'!$Q$23:$Q$91</definedName>
    <definedName name="Dest2_Type" localSheetId="3">'reference set'!$R$23:$R$91</definedName>
    <definedName name="Dest3">'reference set'!$AA$23:$AA$91</definedName>
    <definedName name="Dest4">'reference set'!$AI$23:$AI$88</definedName>
    <definedName name="Dest5">'reference set'!$AQ$23:$AQ$84</definedName>
    <definedName name="Dest6">'reference set'!$AY$23:$AY$87</definedName>
    <definedName name="Dest7">'reference set'!$G$96:$G$161</definedName>
    <definedName name="Dest8">'reference set'!$Q$96:$Q$161</definedName>
    <definedName name="Dest9">'reference set'!$AA$96:$AA$161</definedName>
    <definedName name="eps">0.01</definedName>
    <definedName name="Eur1mRef">'reference set'!$BA$23:$BA$87</definedName>
    <definedName name="Eur1yRef">'reference set'!$AC$23:$AC$91</definedName>
    <definedName name="Eur3mRef">'reference set'!$U$23:$U$91</definedName>
    <definedName name="Eur6mRef">'reference set'!$I$23:$I$91</definedName>
    <definedName name="EurOisRef">'reference set'!$AS$23:$AS$84</definedName>
    <definedName name="EurStdRef">'reference set'!$AK$23:$AK$88</definedName>
    <definedName name="EvaluationDate" localSheetId="10">BktEur1mPL!$E$1</definedName>
    <definedName name="EvaluationDate" localSheetId="11">BktEur1mSens!$E$1</definedName>
    <definedName name="EvaluationDate" localSheetId="16">BktEur1yPL!$E$1</definedName>
    <definedName name="EvaluationDate" localSheetId="17">BktEur1ySens!$E$1</definedName>
    <definedName name="EvaluationDate" localSheetId="13">BktEur3mSens!$E$1</definedName>
    <definedName name="EvaluationDate" localSheetId="14">BktEur6mPL!$E$1</definedName>
    <definedName name="EvaluationDate" localSheetId="15">BktEur6mSens!$E$1</definedName>
    <definedName name="EvaluationDate">BktEur3mPL!$E$1</definedName>
    <definedName name="FEIfutCodes" localSheetId="4">EurMkt!$G$15:$G$34</definedName>
    <definedName name="FEIfutCodes" localSheetId="6">UsdMkt!$G$15:$G$34</definedName>
    <definedName name="FieldsSchema">'reference set'!$CT$2:$DI$3</definedName>
    <definedName name="FUT" localSheetId="18">'SI - SECURITY TAB - EUR'!$A$2:$V$28</definedName>
    <definedName name="FUT" localSheetId="19">'SI - SECURITY TAB - EUR'!$A$2:$V$28</definedName>
    <definedName name="FUT" localSheetId="4">'SI - SECURITY TAB - EUR'!$A$2:$V$28</definedName>
    <definedName name="FUT">'SI - SECURITY TAB - EUR'!$A$2:$V$28</definedName>
    <definedName name="Fut_DestBuckets">'eur disaggregated'!$V$94:$V$113</definedName>
    <definedName name="FUT_hd" localSheetId="18">'SI - SECURITY TAB - EUR'!$A$1:$V$1</definedName>
    <definedName name="FUT_hd">'SI - SECURITY TAB - EUR'!$A$1:$V$1</definedName>
    <definedName name="Fut_USDestBuckets">'usd disaggregated'!$S$94:$S$113</definedName>
    <definedName name="home">'reference set'!$C$9</definedName>
    <definedName name="ImportMessage">'reference set'!$A$17</definedName>
    <definedName name="ImportMethod">'reference set'!$C$12</definedName>
    <definedName name="InstrCodes">Note!$J$17</definedName>
    <definedName name="IRD">'IMI_IRD_PV01 by curve'!$A$4:$AB$63</definedName>
    <definedName name="IRD_hd">'IMI_IRD_PV01 by curve'!$A$3:$AB$3</definedName>
    <definedName name="MID_12M" localSheetId="6">UsdMkt!$AT$13:$AT$78</definedName>
    <definedName name="MID_1M">EurMkt!$CF$13:$CF$77</definedName>
    <definedName name="MID_1Y">EurMkt!$BF$13:$BF$80</definedName>
    <definedName name="MID_3M">EurMkt!$AW$13:$AW$81</definedName>
    <definedName name="MID_6M">EurMkt!$AL$13:$AL$81</definedName>
    <definedName name="MID_OIS">EurMkt!$BW$13:$BW$74</definedName>
    <definedName name="MID_Std">EurMkt!$BN$13:$BN$78</definedName>
    <definedName name="MktBOBL1" localSheetId="4">EurMkt!$G$40</definedName>
    <definedName name="MktBOBL2" localSheetId="4">EurMkt!$G$49</definedName>
    <definedName name="MktBTP10Y1" localSheetId="4">EurMkt!$G$42</definedName>
    <definedName name="MktBTP10Y2" localSheetId="4">EurMkt!$G$51</definedName>
    <definedName name="MktBUND1" localSheetId="4">EurMkt!$G$39</definedName>
    <definedName name="MktBUND2" localSheetId="4">EurMkt!$G$48</definedName>
    <definedName name="MktBUXL30Y1" localSheetId="4">EurMkt!$G$44</definedName>
    <definedName name="MktBUXL30Y2" localSheetId="4">EurMkt!$G$53</definedName>
    <definedName name="MktFut_Code" localSheetId="4">EurMkt!$I$15:$I$34</definedName>
    <definedName name="MktFut_Code" localSheetId="6">UsdMkt!$I$15:$I$34</definedName>
    <definedName name="MktFut_MID" localSheetId="4">EurMkt!$E$15:$E$34</definedName>
    <definedName name="MktFut_MID" localSheetId="6">UsdMkt!$E$15:$E$34</definedName>
    <definedName name="MktNOTE10Y_1" localSheetId="6">UsdMkt!$G$40</definedName>
    <definedName name="MktNOTE10Y_2" localSheetId="6">UsdMkt!$G$46</definedName>
    <definedName name="MktNOTE30Y_1" localSheetId="6">UsdMkt!$G$39</definedName>
    <definedName name="MktNOTE30Y_2" localSheetId="6">UsdMkt!$G$45</definedName>
    <definedName name="MktNOTE5Y_1" localSheetId="6">UsdMkt!$G$41</definedName>
    <definedName name="MktNOTE5Y_2" localSheetId="6">UsdMkt!$G$47</definedName>
    <definedName name="MktSCHATZ2Y1" localSheetId="4">EurMkt!$G$43</definedName>
    <definedName name="MktSCHATZ2Y2" localSheetId="4">EurMkt!$G$52</definedName>
    <definedName name="NA">Note!$J$16</definedName>
    <definedName name="OisBuckets" localSheetId="10">BktEur1mPL!$Q$5:$BZ$5</definedName>
    <definedName name="OisBuckets" localSheetId="11">BktEur1mSens!$Q$5:$BZ$5</definedName>
    <definedName name="OisBuckets" localSheetId="16">BktEur1yPL!$Q$5:$BZ$5</definedName>
    <definedName name="OisBuckets" localSheetId="17">BktEur1ySens!$Q$5:$BZ$5</definedName>
    <definedName name="OisBuckets" localSheetId="13">BktEur3mSens!$Q$5:$BZ$5</definedName>
    <definedName name="OisBuckets" localSheetId="14">BktEur6mPL!$Q$5:$BZ$5</definedName>
    <definedName name="OisBuckets" localSheetId="15">BktEur6mSens!$Q$5:$BZ$5</definedName>
    <definedName name="OisBuckets">BktEur3mPL!$Q$5:$BZ$5</definedName>
    <definedName name="OrdMethod">'reference set'!$B$12</definedName>
    <definedName name="Output1cell">#REF!</definedName>
    <definedName name="OutputFirstCell">'reference set'!$CT$8</definedName>
    <definedName name="PL_BND">'eur disaggregated'!$G$17:$G$76</definedName>
    <definedName name="PL_BOBL">'eur disaggregated'!$R$118</definedName>
    <definedName name="PL_BTP10Y">'eur disaggregated'!$R$128</definedName>
    <definedName name="PL_BUND">'eur disaggregated'!$R$123</definedName>
    <definedName name="PL_BUXL30Y">'eur disaggregated'!$R$138</definedName>
    <definedName name="PL_CMEFut" localSheetId="2">'usd disaggregated'!$O$94:$O$113</definedName>
    <definedName name="PL_FUT3M">'eur disaggregated'!$F$17:$F$76</definedName>
    <definedName name="PL_LifFut">'eur disaggregated'!$R$94:$R$113</definedName>
    <definedName name="PL_NOTE10Y" localSheetId="2">'usd disaggregated'!$O$123</definedName>
    <definedName name="PL_NOTE30Y" localSheetId="2">'usd disaggregated'!$O$128</definedName>
    <definedName name="PL_NOTE5Y" localSheetId="2">'usd disaggregated'!$O$118</definedName>
    <definedName name="PL_NOTES" localSheetId="2">'usd disaggregated'!$G$17:$G$82</definedName>
    <definedName name="PL_OIS_bckt" localSheetId="18">BktUsdOisPL!$L$9:$L$78</definedName>
    <definedName name="PL_SCHATZ2Y">'eur disaggregated'!$R$133</definedName>
    <definedName name="PL_Total" localSheetId="1">'eur disaggregated'!$E$17:$E$82</definedName>
    <definedName name="PL_Total" localSheetId="2">'usd disaggregated'!$E$17:$E$82</definedName>
    <definedName name="ProcessedReportsFlag">TRUE</definedName>
    <definedName name="Quotes1M">BktEur1mPL!$H$8:$H$70</definedName>
    <definedName name="Quotes1Y">BktEur1yPL!$H$6:$H$73</definedName>
    <definedName name="Quotes3M">BktEur3mPL!$H$6:$H$70</definedName>
    <definedName name="Quotes6M">BktEur6mPL!$H$6:$H$74</definedName>
    <definedName name="RealTime">Main!$C$4</definedName>
    <definedName name="RefDB_firstCell">'reference set'!$CT$11</definedName>
    <definedName name="ReMappedPL1M">BktEur1mPL!$N$6:$N$68</definedName>
    <definedName name="ReMappedPL1Y">BktEur1yPL!$N$6:$N$70</definedName>
    <definedName name="ReMappedPL3M">BktEur3mPL!$N$6:$N$70</definedName>
    <definedName name="ReMappedPL6M">BktEur6mPL!$N$6:$N$70</definedName>
    <definedName name="ReMappedSens1M">BktEur1mSens!$N$6:$N$68</definedName>
    <definedName name="ReMappedSens1Y">BktEur1ySens!$N$6:$N$70</definedName>
    <definedName name="ReMappedSens3M">BktEur3mSens!$N$6:$N$70</definedName>
    <definedName name="ReMappedSens6M">BktEur6mSens!$N$6:$N$70</definedName>
    <definedName name="RemoveCSVsource">Main!$G$25</definedName>
    <definedName name="RtChannel" localSheetId="4">EurMkt!$C$2</definedName>
    <definedName name="RtChannel" localSheetId="6">UsdMkt!$C$2</definedName>
    <definedName name="Sens">SI_SwapDeskSensi_Luca!$A$2:$G$2957</definedName>
    <definedName name="Sens_hd">SI_SwapDeskSensi_Luca!$A$1:$G$1</definedName>
    <definedName name="sens_OIS_bckt" localSheetId="19">BktUsdOisSens!$L$9:$L$78</definedName>
    <definedName name="Sens_Total" localSheetId="1">'eur disaggregated'!$D$17:$D$82</definedName>
    <definedName name="Sens_Total" localSheetId="2">'usd disaggregated'!$D$17:$D$82</definedName>
    <definedName name="SensFUT">SI_SwapDeskSensi_Fut_Luca!$A$2:$G$309</definedName>
    <definedName name="SensFUT_hd">SI_SwapDeskSensi_Fut_Luca!$A$1:$G$1</definedName>
    <definedName name="SettlementDate" localSheetId="10">BktEur1mPL!$C$1</definedName>
    <definedName name="SettlementDate" localSheetId="11">BktEur1mSens!$C$1</definedName>
    <definedName name="SettlementDate" localSheetId="16">BktEur1yPL!$C$1</definedName>
    <definedName name="SettlementDate" localSheetId="17">BktEur1ySens!$C$1</definedName>
    <definedName name="SettlementDate" localSheetId="13">BktEur3mSens!$C$1</definedName>
    <definedName name="SettlementDate" localSheetId="14">BktEur6mPL!$C$1</definedName>
    <definedName name="SettlementDate" localSheetId="15">BktEur6mSens!$C$1</definedName>
    <definedName name="SettlementDate">BktEur3mPL!$C$1</definedName>
    <definedName name="Source1">'reference set'!$BE$23:$BE$91</definedName>
    <definedName name="Source10">'reference set'!$BO$96:$BO$161</definedName>
    <definedName name="Source11">'reference set'!$BP$96:$BP$161</definedName>
    <definedName name="Source12">'reference set'!$BR$96:$BR$133</definedName>
    <definedName name="Source2">'reference set'!$BK$23:$BK$91</definedName>
    <definedName name="source2_mat">'reference set'!$BJ$23:$BJ$91</definedName>
    <definedName name="Source3">'reference set'!$BM$23:$BM$91</definedName>
    <definedName name="Source4">'reference set'!$BO$23:$BO$88</definedName>
    <definedName name="Source5">'reference set'!$BQ$23:$BQ$84</definedName>
    <definedName name="Source6">'reference set'!$BS$23:$BS$87</definedName>
    <definedName name="Source7">'reference set'!$BE$96:$BE$161</definedName>
    <definedName name="Source8">'reference set'!$BK$96:$BK$161</definedName>
    <definedName name="Source9">'reference set'!$BM$96:$BM$161</definedName>
    <definedName name="StubDateFromCsv" localSheetId="18">'reference set'!$C$8</definedName>
    <definedName name="StubDateFromCsv" localSheetId="19">'reference set'!$C$8</definedName>
    <definedName name="StubDateFromCsv" localSheetId="4">'reference set'!$C$8</definedName>
    <definedName name="StubDateFromCsv">'reference set'!$C$8</definedName>
    <definedName name="STUBdateMethod" localSheetId="18">Note!$I$21:$I$22</definedName>
    <definedName name="STUBdateMethod" localSheetId="19">Note!$I$21:$I$22</definedName>
    <definedName name="STUBdateMethod" localSheetId="4">Note!$I$21:$I$22</definedName>
    <definedName name="STUBdateMethod">Note!$I$21:$I$22</definedName>
    <definedName name="STUBmethod" localSheetId="18">Main!$H$27</definedName>
    <definedName name="STUBmethod" localSheetId="19">Main!$H$27</definedName>
    <definedName name="STUBmethod" localSheetId="4">Main!$H$27</definedName>
    <definedName name="STUBmethod">Main!$H$27</definedName>
    <definedName name="TmpDir">'reference set'!$CT$6</definedName>
    <definedName name="today" localSheetId="18">Main!$B$15</definedName>
    <definedName name="today" localSheetId="19">Main!$B$15</definedName>
    <definedName name="today" localSheetId="4">Main!$B$15</definedName>
    <definedName name="today">Main!$B$15</definedName>
    <definedName name="Usd12mRef">'reference set'!$U$96:$U$161</definedName>
    <definedName name="Usd1mRef">'reference set'!$AC$96:$AC$161</definedName>
    <definedName name="Usd3mRef">'reference set'!$AK$96:$AK$161</definedName>
    <definedName name="Usd6mRef">'reference set'!$AS$96:$AS$161</definedName>
    <definedName name="UsdBucketMaturity">UsdMkt!$AA$13:$AA$78</definedName>
    <definedName name="UsdBucketOIS">UsdMkt!$BW$13:$BW$50</definedName>
    <definedName name="UsdCommon_Instrument">UsdMkt!$W$13:$W$67</definedName>
    <definedName name="UsdCommon_InstrumentN">UsdMkt!$Y$13:$Y$67</definedName>
    <definedName name="UsdCommonBucket">UsdMkt!$V$13:$V$67</definedName>
    <definedName name="UsdCommonMxSearch">UsdMkt!$Z$13:$Z$67</definedName>
    <definedName name="UsdMID_12M">UsdMkt!$AT$13:$AT$67</definedName>
    <definedName name="UsdMID_1M">UsdMkt!$BB$13:$BB$67</definedName>
    <definedName name="UsdMID_3M">UsdMkt!$BJ$13:$BJ$67</definedName>
    <definedName name="UsdMID_6M">UsdMkt!$BS$13:$BS$67</definedName>
    <definedName name="UsdMID_Ois">UsdMkt!$CC$13:$CC$50</definedName>
    <definedName name="UsdMID_Std">UsdMkt!$AK$13:$AK$67</definedName>
    <definedName name="UsdRtCode">UsdMkt!$AB$13:$AB$67</definedName>
    <definedName name="UsdStdRef">'reference set'!$I$96:$I$161</definedName>
    <definedName name="ValueDate" localSheetId="18">Main!$B$18</definedName>
    <definedName name="ValueDate" localSheetId="19">Main!$B$18</definedName>
    <definedName name="ValueDate" localSheetId="4">Main!$B$18</definedName>
    <definedName name="ValueDate">Main!$B$18</definedName>
  </definedNames>
  <calcPr calcId="145621"/>
  <fileRecoveryPr autoRecover="0"/>
</workbook>
</file>

<file path=xl/calcChain.xml><?xml version="1.0" encoding="utf-8"?>
<calcChain xmlns="http://schemas.openxmlformats.org/spreadsheetml/2006/main">
  <c r="J70" i="204" l="1"/>
  <c r="H70" i="204"/>
  <c r="J69" i="204"/>
  <c r="H69" i="204"/>
  <c r="J68" i="204"/>
  <c r="H68" i="204"/>
  <c r="J67" i="204"/>
  <c r="H67" i="204"/>
  <c r="J66" i="204"/>
  <c r="H66" i="204"/>
  <c r="J65" i="204"/>
  <c r="H65" i="204"/>
  <c r="J64" i="204"/>
  <c r="H64" i="204"/>
  <c r="J63" i="204"/>
  <c r="H63" i="204"/>
  <c r="J62" i="204"/>
  <c r="H62" i="204"/>
  <c r="J61" i="204"/>
  <c r="H61" i="204"/>
  <c r="J60" i="204"/>
  <c r="H60" i="204"/>
  <c r="J34" i="202"/>
  <c r="J33" i="202"/>
  <c r="J32" i="202"/>
  <c r="J31" i="202"/>
  <c r="J30" i="202"/>
  <c r="J29" i="202"/>
  <c r="J28" i="202"/>
  <c r="J27" i="202"/>
  <c r="J26" i="202"/>
  <c r="J25" i="202"/>
  <c r="J24" i="202"/>
  <c r="J23" i="202"/>
  <c r="J22" i="202"/>
  <c r="J21" i="202"/>
  <c r="J20" i="202"/>
  <c r="J19" i="202"/>
  <c r="J18" i="202"/>
  <c r="J17" i="202"/>
  <c r="J16" i="202"/>
  <c r="J15" i="202"/>
  <c r="I9" i="202"/>
  <c r="T34" i="202"/>
  <c r="T33" i="202"/>
  <c r="T32" i="202"/>
  <c r="T31" i="202"/>
  <c r="T30" i="202"/>
  <c r="T29" i="202"/>
  <c r="C11" i="202"/>
  <c r="T14" i="202"/>
  <c r="T13" i="202"/>
  <c r="T15" i="202"/>
  <c r="D63" i="244" l="1"/>
  <c r="C63" i="244" a="1"/>
  <c r="C63" i="244" s="1"/>
  <c r="B63" i="244" a="1"/>
  <c r="B63" i="244" s="1"/>
  <c r="A63" i="244"/>
  <c r="D62" i="244"/>
  <c r="C62" i="244" a="1"/>
  <c r="C62" i="244" s="1"/>
  <c r="B62" i="244" a="1"/>
  <c r="B62" i="244" s="1"/>
  <c r="A62" i="244"/>
  <c r="D61" i="244"/>
  <c r="C61" i="244" a="1"/>
  <c r="C61" i="244" s="1"/>
  <c r="B61" i="244" a="1"/>
  <c r="B61" i="244" s="1"/>
  <c r="A61" i="244"/>
  <c r="D60" i="244"/>
  <c r="C60" i="244" a="1"/>
  <c r="C60" i="244" s="1"/>
  <c r="B60" i="244" a="1"/>
  <c r="B60" i="244" s="1"/>
  <c r="A60" i="244"/>
  <c r="D59" i="244"/>
  <c r="C59" i="244" a="1"/>
  <c r="C59" i="244" s="1"/>
  <c r="B59" i="244" a="1"/>
  <c r="B59" i="244" s="1"/>
  <c r="A59" i="244"/>
  <c r="D58" i="244"/>
  <c r="C58" i="244" a="1"/>
  <c r="C58" i="244" s="1"/>
  <c r="B58" i="244" a="1"/>
  <c r="B58" i="244" s="1"/>
  <c r="A58" i="244"/>
  <c r="D57" i="244"/>
  <c r="C57" i="244" a="1"/>
  <c r="C57" i="244" s="1"/>
  <c r="B57" i="244" a="1"/>
  <c r="B57" i="244" s="1"/>
  <c r="A57" i="244"/>
  <c r="D56" i="244"/>
  <c r="C56" i="244" a="1"/>
  <c r="C56" i="244" s="1"/>
  <c r="B56" i="244" a="1"/>
  <c r="B56" i="244" s="1"/>
  <c r="A56" i="244"/>
  <c r="D55" i="244"/>
  <c r="C55" i="244" a="1"/>
  <c r="C55" i="244" s="1"/>
  <c r="B55" i="244" a="1"/>
  <c r="B55" i="244" s="1"/>
  <c r="A55" i="244"/>
  <c r="D54" i="244"/>
  <c r="C54" i="244" a="1"/>
  <c r="C54" i="244" s="1"/>
  <c r="B54" i="244" a="1"/>
  <c r="B54" i="244" s="1"/>
  <c r="A54" i="244"/>
  <c r="D53" i="244"/>
  <c r="C53" i="244" a="1"/>
  <c r="C53" i="244" s="1"/>
  <c r="B53" i="244" a="1"/>
  <c r="B53" i="244" s="1"/>
  <c r="A53" i="244"/>
  <c r="D52" i="244"/>
  <c r="C52" i="244" a="1"/>
  <c r="C52" i="244" s="1"/>
  <c r="B52" i="244" a="1"/>
  <c r="B52" i="244" s="1"/>
  <c r="A52" i="244"/>
  <c r="D51" i="244"/>
  <c r="C51" i="244" a="1"/>
  <c r="C51" i="244" s="1"/>
  <c r="B51" i="244" a="1"/>
  <c r="B51" i="244" s="1"/>
  <c r="A51" i="244"/>
  <c r="D50" i="244"/>
  <c r="C50" i="244" a="1"/>
  <c r="C50" i="244" s="1"/>
  <c r="B50" i="244" a="1"/>
  <c r="B50" i="244" s="1"/>
  <c r="A50" i="244"/>
  <c r="D49" i="244"/>
  <c r="C49" i="244" a="1"/>
  <c r="C49" i="244" s="1"/>
  <c r="B49" i="244" a="1"/>
  <c r="B49" i="244" s="1"/>
  <c r="A49" i="244"/>
  <c r="D48" i="244"/>
  <c r="C48" i="244" a="1"/>
  <c r="C48" i="244" s="1"/>
  <c r="B48" i="244" a="1"/>
  <c r="B48" i="244" s="1"/>
  <c r="A48" i="244"/>
  <c r="D47" i="244"/>
  <c r="C47" i="244" a="1"/>
  <c r="C47" i="244" s="1"/>
  <c r="B47" i="244" a="1"/>
  <c r="B47" i="244" s="1"/>
  <c r="A47" i="244"/>
  <c r="D46" i="244"/>
  <c r="C46" i="244" a="1"/>
  <c r="C46" i="244" s="1"/>
  <c r="B46" i="244" a="1"/>
  <c r="B46" i="244" s="1"/>
  <c r="A46" i="244"/>
  <c r="D45" i="244"/>
  <c r="C45" i="244" a="1"/>
  <c r="C45" i="244" s="1"/>
  <c r="B45" i="244" a="1"/>
  <c r="B45" i="244" s="1"/>
  <c r="A45" i="244"/>
  <c r="D44" i="244"/>
  <c r="C44" i="244" a="1"/>
  <c r="C44" i="244" s="1"/>
  <c r="B44" i="244" a="1"/>
  <c r="B44" i="244" s="1"/>
  <c r="A44" i="244"/>
  <c r="D43" i="244"/>
  <c r="C43" i="244" a="1"/>
  <c r="C43" i="244" s="1"/>
  <c r="B43" i="244" a="1"/>
  <c r="B43" i="244" s="1"/>
  <c r="A43" i="244"/>
  <c r="D42" i="244"/>
  <c r="C42" i="244" a="1"/>
  <c r="C42" i="244" s="1"/>
  <c r="B42" i="244" a="1"/>
  <c r="B42" i="244" s="1"/>
  <c r="A42" i="244"/>
  <c r="D41" i="244"/>
  <c r="C41" i="244" a="1"/>
  <c r="C41" i="244" s="1"/>
  <c r="B41" i="244" a="1"/>
  <c r="B41" i="244" s="1"/>
  <c r="A41" i="244"/>
  <c r="D40" i="244"/>
  <c r="C40" i="244" a="1"/>
  <c r="C40" i="244" s="1"/>
  <c r="B40" i="244" a="1"/>
  <c r="B40" i="244" s="1"/>
  <c r="A40" i="244"/>
  <c r="D39" i="244"/>
  <c r="C39" i="244" a="1"/>
  <c r="C39" i="244" s="1"/>
  <c r="B39" i="244" a="1"/>
  <c r="B39" i="244" s="1"/>
  <c r="A39" i="244"/>
  <c r="D38" i="244"/>
  <c r="C38" i="244" a="1"/>
  <c r="C38" i="244" s="1"/>
  <c r="B38" i="244" a="1"/>
  <c r="B38" i="244" s="1"/>
  <c r="A38" i="244"/>
  <c r="D37" i="244"/>
  <c r="C37" i="244" a="1"/>
  <c r="C37" i="244" s="1"/>
  <c r="B37" i="244" a="1"/>
  <c r="B37" i="244" s="1"/>
  <c r="A37" i="244"/>
  <c r="D36" i="244"/>
  <c r="C36" i="244" a="1"/>
  <c r="C36" i="244" s="1"/>
  <c r="B36" i="244" a="1"/>
  <c r="B36" i="244" s="1"/>
  <c r="A36" i="244"/>
  <c r="D35" i="244"/>
  <c r="C35" i="244" a="1"/>
  <c r="C35" i="244" s="1"/>
  <c r="B35" i="244" a="1"/>
  <c r="B35" i="244" s="1"/>
  <c r="A35" i="244"/>
  <c r="D34" i="244"/>
  <c r="C34" i="244" a="1"/>
  <c r="C34" i="244" s="1"/>
  <c r="B34" i="244" a="1"/>
  <c r="B34" i="244" s="1"/>
  <c r="A34" i="244"/>
  <c r="D33" i="244"/>
  <c r="C33" i="244" a="1"/>
  <c r="C33" i="244" s="1"/>
  <c r="B33" i="244" a="1"/>
  <c r="B33" i="244" s="1"/>
  <c r="A33" i="244"/>
  <c r="D32" i="244"/>
  <c r="C32" i="244" a="1"/>
  <c r="C32" i="244" s="1"/>
  <c r="B32" i="244" a="1"/>
  <c r="B32" i="244" s="1"/>
  <c r="A32" i="244"/>
  <c r="D31" i="244"/>
  <c r="C31" i="244" a="1"/>
  <c r="C31" i="244" s="1"/>
  <c r="B31" i="244" a="1"/>
  <c r="B31" i="244" s="1"/>
  <c r="A31" i="244"/>
  <c r="D30" i="244"/>
  <c r="C30" i="244" a="1"/>
  <c r="C30" i="244" s="1"/>
  <c r="B30" i="244" a="1"/>
  <c r="B30" i="244" s="1"/>
  <c r="A30" i="244"/>
  <c r="D29" i="244"/>
  <c r="C29" i="244" a="1"/>
  <c r="C29" i="244" s="1"/>
  <c r="B29" i="244" a="1"/>
  <c r="B29" i="244" s="1"/>
  <c r="A29" i="244"/>
  <c r="D28" i="244"/>
  <c r="C28" i="244" a="1"/>
  <c r="C28" i="244" s="1"/>
  <c r="B28" i="244" a="1"/>
  <c r="B28" i="244" s="1"/>
  <c r="A28" i="244"/>
  <c r="D27" i="244"/>
  <c r="C27" i="244" a="1"/>
  <c r="C27" i="244" s="1"/>
  <c r="B27" i="244" a="1"/>
  <c r="B27" i="244" s="1"/>
  <c r="A27" i="244"/>
  <c r="D26" i="244"/>
  <c r="C26" i="244" a="1"/>
  <c r="C26" i="244" s="1"/>
  <c r="B26" i="244" a="1"/>
  <c r="B26" i="244" s="1"/>
  <c r="A26" i="244"/>
  <c r="D25" i="244"/>
  <c r="C25" i="244" a="1"/>
  <c r="C25" i="244" s="1"/>
  <c r="B25" i="244" a="1"/>
  <c r="B25" i="244" s="1"/>
  <c r="A25" i="244"/>
  <c r="D24" i="244"/>
  <c r="C24" i="244" a="1"/>
  <c r="C24" i="244" s="1"/>
  <c r="B24" i="244" a="1"/>
  <c r="B24" i="244" s="1"/>
  <c r="A24" i="244"/>
  <c r="D23" i="244"/>
  <c r="C23" i="244" a="1"/>
  <c r="C23" i="244" s="1"/>
  <c r="B23" i="244" a="1"/>
  <c r="B23" i="244" s="1"/>
  <c r="A23" i="244"/>
  <c r="D22" i="244"/>
  <c r="C22" i="244" a="1"/>
  <c r="C22" i="244" s="1"/>
  <c r="B22" i="244" a="1"/>
  <c r="B22" i="244" s="1"/>
  <c r="A22" i="244"/>
  <c r="D21" i="244"/>
  <c r="C21" i="244" a="1"/>
  <c r="C21" i="244" s="1"/>
  <c r="B21" i="244" a="1"/>
  <c r="B21" i="244" s="1"/>
  <c r="A21" i="244"/>
  <c r="D20" i="244"/>
  <c r="C20" i="244" a="1"/>
  <c r="C20" i="244" s="1"/>
  <c r="B20" i="244" a="1"/>
  <c r="B20" i="244" s="1"/>
  <c r="A20" i="244"/>
  <c r="D19" i="244"/>
  <c r="C19" i="244" a="1"/>
  <c r="C19" i="244" s="1"/>
  <c r="B19" i="244" a="1"/>
  <c r="B19" i="244" s="1"/>
  <c r="A19" i="244"/>
  <c r="D18" i="244"/>
  <c r="C18" i="244" a="1"/>
  <c r="C18" i="244" s="1"/>
  <c r="B18" i="244" a="1"/>
  <c r="B18" i="244" s="1"/>
  <c r="A18" i="244"/>
  <c r="D17" i="244"/>
  <c r="C17" i="244" a="1"/>
  <c r="C17" i="244" s="1"/>
  <c r="B17" i="244" a="1"/>
  <c r="B17" i="244" s="1"/>
  <c r="A17" i="244"/>
  <c r="D16" i="244"/>
  <c r="C16" i="244" a="1"/>
  <c r="C16" i="244" s="1"/>
  <c r="B16" i="244" a="1"/>
  <c r="B16" i="244" s="1"/>
  <c r="A16" i="244"/>
  <c r="D15" i="244"/>
  <c r="C15" i="244" a="1"/>
  <c r="C15" i="244" s="1"/>
  <c r="B15" i="244" a="1"/>
  <c r="B15" i="244" s="1"/>
  <c r="A15" i="244"/>
  <c r="D14" i="244"/>
  <c r="C14" i="244" a="1"/>
  <c r="C14" i="244" s="1"/>
  <c r="B14" i="244" a="1"/>
  <c r="B14" i="244" s="1"/>
  <c r="A14" i="244"/>
  <c r="D13" i="244"/>
  <c r="C13" i="244" a="1"/>
  <c r="C13" i="244" s="1"/>
  <c r="B13" i="244" a="1"/>
  <c r="B13" i="244" s="1"/>
  <c r="A13" i="244"/>
  <c r="D12" i="244"/>
  <c r="C12" i="244" a="1"/>
  <c r="C12" i="244" s="1"/>
  <c r="B12" i="244" a="1"/>
  <c r="B12" i="244" s="1"/>
  <c r="A12" i="244"/>
  <c r="D11" i="244"/>
  <c r="C11" i="244" a="1"/>
  <c r="C11" i="244" s="1"/>
  <c r="B11" i="244" a="1"/>
  <c r="B11" i="244" s="1"/>
  <c r="A11" i="244"/>
  <c r="D10" i="244"/>
  <c r="C10" i="244" a="1"/>
  <c r="C10" i="244" s="1"/>
  <c r="B10" i="244" a="1"/>
  <c r="B10" i="244" s="1"/>
  <c r="A10" i="244"/>
  <c r="D9" i="244"/>
  <c r="C9" i="244" a="1"/>
  <c r="C9" i="244" s="1"/>
  <c r="B9" i="244" a="1"/>
  <c r="B9" i="244" s="1"/>
  <c r="A9" i="244"/>
  <c r="D8" i="244"/>
  <c r="C8" i="244" a="1"/>
  <c r="C8" i="244" s="1"/>
  <c r="B8" i="244" a="1"/>
  <c r="B8" i="244" s="1"/>
  <c r="A8" i="244"/>
  <c r="D7" i="244"/>
  <c r="C7" i="244" a="1"/>
  <c r="C7" i="244" s="1"/>
  <c r="B7" i="244" a="1"/>
  <c r="B7" i="244" s="1"/>
  <c r="A7" i="244"/>
  <c r="D6" i="244"/>
  <c r="C6" i="244" a="1"/>
  <c r="C6" i="244" s="1"/>
  <c r="B6" i="244" a="1"/>
  <c r="B6" i="244" s="1"/>
  <c r="A6" i="244"/>
  <c r="D5" i="244"/>
  <c r="C5" i="244" a="1"/>
  <c r="C5" i="244" s="1"/>
  <c r="B5" i="244" a="1"/>
  <c r="B5" i="244" s="1"/>
  <c r="A5" i="244"/>
  <c r="D4" i="244"/>
  <c r="C4" i="244" a="1"/>
  <c r="C4" i="244" s="1"/>
  <c r="B4" i="244" a="1"/>
  <c r="B4" i="244" s="1"/>
  <c r="A4" i="244"/>
  <c r="D2" i="244"/>
  <c r="C2" i="244" a="1"/>
  <c r="C2" i="244" s="1"/>
  <c r="B2" i="244" a="1"/>
  <c r="B2" i="244" s="1"/>
  <c r="A1" i="244" s="1"/>
  <c r="C21" i="243" l="1"/>
  <c r="C22" i="243" s="1"/>
  <c r="C20" i="243"/>
  <c r="A20" i="243" s="1"/>
  <c r="C18" i="243"/>
  <c r="C19" i="243" s="1"/>
  <c r="A19" i="243" s="1"/>
  <c r="A18" i="243"/>
  <c r="C14" i="243"/>
  <c r="C15" i="243" s="1"/>
  <c r="A14" i="243"/>
  <c r="C6" i="243"/>
  <c r="C7" i="243" s="1"/>
  <c r="B6" i="243"/>
  <c r="B7" i="243" s="1"/>
  <c r="B8" i="243" s="1"/>
  <c r="B9" i="243" s="1"/>
  <c r="B10" i="243" s="1"/>
  <c r="B11" i="243" s="1"/>
  <c r="B12" i="243" s="1"/>
  <c r="B13" i="243" s="1"/>
  <c r="B14" i="243" s="1"/>
  <c r="B15" i="243" s="1"/>
  <c r="B16" i="243" s="1"/>
  <c r="B17" i="243" s="1"/>
  <c r="B18" i="243" s="1"/>
  <c r="B19" i="243" s="1"/>
  <c r="B20" i="243" s="1"/>
  <c r="B21" i="243" s="1"/>
  <c r="B22" i="243" s="1"/>
  <c r="B23" i="243" s="1"/>
  <c r="B24" i="243" s="1"/>
  <c r="B25" i="243" s="1"/>
  <c r="B26" i="243" s="1"/>
  <c r="B27" i="243" s="1"/>
  <c r="B28" i="243" s="1"/>
  <c r="A6" i="243"/>
  <c r="C5" i="243"/>
  <c r="A5" i="243" s="1"/>
  <c r="C4" i="243"/>
  <c r="A4" i="243" s="1"/>
  <c r="C2" i="243"/>
  <c r="C3" i="243" s="1"/>
  <c r="A3" i="243" s="1"/>
  <c r="B2" i="243"/>
  <c r="B3" i="243" s="1"/>
  <c r="B4" i="243" s="1"/>
  <c r="B5" i="243" s="1"/>
  <c r="A2" i="243"/>
  <c r="C16" i="243" l="1"/>
  <c r="A15" i="243"/>
  <c r="C8" i="243"/>
  <c r="A7" i="243"/>
  <c r="C23" i="243"/>
  <c r="A22" i="243"/>
  <c r="A21" i="243"/>
  <c r="C2943" i="242"/>
  <c r="C2944" i="242" s="1"/>
  <c r="C2945" i="242" s="1"/>
  <c r="C2946" i="242" s="1"/>
  <c r="C2947" i="242" s="1"/>
  <c r="C2948" i="242" s="1"/>
  <c r="C2949" i="242" s="1"/>
  <c r="C2950" i="242" s="1"/>
  <c r="C2951" i="242" s="1"/>
  <c r="C2952" i="242" s="1"/>
  <c r="C2953" i="242" s="1"/>
  <c r="C2954" i="242" s="1"/>
  <c r="C2955" i="242" s="1"/>
  <c r="C2956" i="242" s="1"/>
  <c r="C2957" i="242" s="1"/>
  <c r="C2911" i="242"/>
  <c r="C2912" i="242" s="1"/>
  <c r="C2913" i="242" s="1"/>
  <c r="C2914" i="242" s="1"/>
  <c r="C2915" i="242" s="1"/>
  <c r="C2916" i="242" s="1"/>
  <c r="C2917" i="242" s="1"/>
  <c r="C2918" i="242" s="1"/>
  <c r="C2919" i="242" s="1"/>
  <c r="C2920" i="242" s="1"/>
  <c r="C2921" i="242" s="1"/>
  <c r="C2922" i="242" s="1"/>
  <c r="C2923" i="242" s="1"/>
  <c r="C2924" i="242" s="1"/>
  <c r="C2925" i="242" s="1"/>
  <c r="C2926" i="242" s="1"/>
  <c r="C2927" i="242" s="1"/>
  <c r="C2928" i="242" s="1"/>
  <c r="C2929" i="242" s="1"/>
  <c r="C2930" i="242" s="1"/>
  <c r="C2931" i="242" s="1"/>
  <c r="C2932" i="242" s="1"/>
  <c r="C2933" i="242" s="1"/>
  <c r="C2934" i="242" s="1"/>
  <c r="C2935" i="242" s="1"/>
  <c r="C2936" i="242" s="1"/>
  <c r="C2937" i="242" s="1"/>
  <c r="C2938" i="242" s="1"/>
  <c r="C2939" i="242" s="1"/>
  <c r="C2940" i="242" s="1"/>
  <c r="C2941" i="242" s="1"/>
  <c r="C2942" i="242" s="1"/>
  <c r="C2910" i="242"/>
  <c r="B2889" i="242"/>
  <c r="B2886" i="242"/>
  <c r="B2887" i="242" s="1"/>
  <c r="B2888" i="242" s="1"/>
  <c r="B2885" i="242"/>
  <c r="C2884" i="242"/>
  <c r="C2885" i="242" s="1"/>
  <c r="C2886" i="242" s="1"/>
  <c r="C2887" i="242" s="1"/>
  <c r="B2884" i="242"/>
  <c r="C2883" i="242"/>
  <c r="A2883" i="242" s="1"/>
  <c r="B2883" i="242"/>
  <c r="C2852" i="242"/>
  <c r="C2853" i="242" s="1"/>
  <c r="C2854" i="242" s="1"/>
  <c r="C2855" i="242" s="1"/>
  <c r="C2856" i="242" s="1"/>
  <c r="C2857" i="242" s="1"/>
  <c r="C2858" i="242" s="1"/>
  <c r="C2859" i="242" s="1"/>
  <c r="C2860" i="242" s="1"/>
  <c r="C2861" i="242" s="1"/>
  <c r="C2862" i="242" s="1"/>
  <c r="C2863" i="242" s="1"/>
  <c r="C2864" i="242" s="1"/>
  <c r="C2865" i="242" s="1"/>
  <c r="C2866" i="242" s="1"/>
  <c r="C2867" i="242" s="1"/>
  <c r="C2868" i="242" s="1"/>
  <c r="C2869" i="242" s="1"/>
  <c r="C2870" i="242" s="1"/>
  <c r="C2871" i="242" s="1"/>
  <c r="C2872" i="242" s="1"/>
  <c r="C2873" i="242" s="1"/>
  <c r="C2874" i="242" s="1"/>
  <c r="C2875" i="242" s="1"/>
  <c r="C2876" i="242" s="1"/>
  <c r="C2877" i="242" s="1"/>
  <c r="C2878" i="242" s="1"/>
  <c r="C2879" i="242" s="1"/>
  <c r="C2880" i="242" s="1"/>
  <c r="C2881" i="242" s="1"/>
  <c r="C2882" i="242" s="1"/>
  <c r="C2846" i="242"/>
  <c r="C2847" i="242" s="1"/>
  <c r="C2848" i="242" s="1"/>
  <c r="C2849" i="242" s="1"/>
  <c r="C2850" i="242" s="1"/>
  <c r="C2851" i="242" s="1"/>
  <c r="C2845" i="242"/>
  <c r="C2844" i="242"/>
  <c r="C2826" i="242"/>
  <c r="C2827" i="242" s="1"/>
  <c r="C2828" i="242" s="1"/>
  <c r="C2829" i="242" s="1"/>
  <c r="C2830" i="242" s="1"/>
  <c r="C2831" i="242" s="1"/>
  <c r="C2832" i="242" s="1"/>
  <c r="C2833" i="242" s="1"/>
  <c r="C2834" i="242" s="1"/>
  <c r="C2835" i="242" s="1"/>
  <c r="C2836" i="242" s="1"/>
  <c r="C2837" i="242" s="1"/>
  <c r="C2838" i="242" s="1"/>
  <c r="C2839" i="242" s="1"/>
  <c r="C2840" i="242" s="1"/>
  <c r="C2841" i="242" s="1"/>
  <c r="C2842" i="242" s="1"/>
  <c r="C2843" i="242" s="1"/>
  <c r="C2808" i="242"/>
  <c r="C2809" i="242" s="1"/>
  <c r="C2810" i="242" s="1"/>
  <c r="C2811" i="242" s="1"/>
  <c r="C2812" i="242" s="1"/>
  <c r="C2813" i="242" s="1"/>
  <c r="C2814" i="242" s="1"/>
  <c r="C2815" i="242" s="1"/>
  <c r="C2816" i="242" s="1"/>
  <c r="C2817" i="242" s="1"/>
  <c r="C2818" i="242" s="1"/>
  <c r="C2819" i="242" s="1"/>
  <c r="C2820" i="242" s="1"/>
  <c r="C2821" i="242" s="1"/>
  <c r="C2822" i="242" s="1"/>
  <c r="C2823" i="242" s="1"/>
  <c r="C2824" i="242" s="1"/>
  <c r="C2825" i="242" s="1"/>
  <c r="C2794" i="242"/>
  <c r="C2795" i="242" s="1"/>
  <c r="C2796" i="242" s="1"/>
  <c r="C2797" i="242" s="1"/>
  <c r="C2798" i="242" s="1"/>
  <c r="C2799" i="242" s="1"/>
  <c r="C2800" i="242" s="1"/>
  <c r="C2801" i="242" s="1"/>
  <c r="C2802" i="242" s="1"/>
  <c r="C2803" i="242" s="1"/>
  <c r="C2804" i="242" s="1"/>
  <c r="C2805" i="242" s="1"/>
  <c r="C2806" i="242" s="1"/>
  <c r="C2807" i="242" s="1"/>
  <c r="C2793" i="242"/>
  <c r="C2792" i="242"/>
  <c r="C2751" i="242"/>
  <c r="C2752" i="242" s="1"/>
  <c r="C2753" i="242" s="1"/>
  <c r="C2754" i="242" s="1"/>
  <c r="C2755" i="242" s="1"/>
  <c r="C2756" i="242" s="1"/>
  <c r="C2757" i="242" s="1"/>
  <c r="C2758" i="242" s="1"/>
  <c r="C2759" i="242" s="1"/>
  <c r="C2760" i="242" s="1"/>
  <c r="C2761" i="242" s="1"/>
  <c r="C2762" i="242" s="1"/>
  <c r="C2763" i="242" s="1"/>
  <c r="C2764" i="242" s="1"/>
  <c r="C2765" i="242" s="1"/>
  <c r="C2766" i="242" s="1"/>
  <c r="C2767" i="242" s="1"/>
  <c r="C2768" i="242" s="1"/>
  <c r="C2769" i="242" s="1"/>
  <c r="C2770" i="242" s="1"/>
  <c r="C2771" i="242" s="1"/>
  <c r="C2772" i="242" s="1"/>
  <c r="C2773" i="242" s="1"/>
  <c r="C2774" i="242" s="1"/>
  <c r="C2775" i="242" s="1"/>
  <c r="C2776" i="242" s="1"/>
  <c r="C2777" i="242" s="1"/>
  <c r="C2778" i="242" s="1"/>
  <c r="C2779" i="242" s="1"/>
  <c r="C2780" i="242" s="1"/>
  <c r="C2781" i="242" s="1"/>
  <c r="C2782" i="242" s="1"/>
  <c r="C2783" i="242" s="1"/>
  <c r="C2784" i="242" s="1"/>
  <c r="C2785" i="242" s="1"/>
  <c r="C2786" i="242" s="1"/>
  <c r="C2787" i="242" s="1"/>
  <c r="C2788" i="242" s="1"/>
  <c r="C2789" i="242" s="1"/>
  <c r="C2790" i="242" s="1"/>
  <c r="C2791" i="242" s="1"/>
  <c r="C2746" i="242"/>
  <c r="C2747" i="242" s="1"/>
  <c r="C2748" i="242" s="1"/>
  <c r="C2749" i="242" s="1"/>
  <c r="C2750" i="242" s="1"/>
  <c r="C2741" i="242"/>
  <c r="C2742" i="242" s="1"/>
  <c r="C2743" i="242" s="1"/>
  <c r="C2744" i="242" s="1"/>
  <c r="C2745" i="242" s="1"/>
  <c r="C2694" i="242"/>
  <c r="C2695" i="242" s="1"/>
  <c r="C2696" i="242" s="1"/>
  <c r="C2697" i="242" s="1"/>
  <c r="C2698" i="242" s="1"/>
  <c r="C2699" i="242" s="1"/>
  <c r="C2700" i="242" s="1"/>
  <c r="C2701" i="242" s="1"/>
  <c r="C2702" i="242" s="1"/>
  <c r="C2703" i="242" s="1"/>
  <c r="C2704" i="242" s="1"/>
  <c r="C2705" i="242" s="1"/>
  <c r="C2706" i="242" s="1"/>
  <c r="C2707" i="242" s="1"/>
  <c r="C2708" i="242" s="1"/>
  <c r="C2709" i="242" s="1"/>
  <c r="C2710" i="242" s="1"/>
  <c r="C2711" i="242" s="1"/>
  <c r="C2712" i="242" s="1"/>
  <c r="C2713" i="242" s="1"/>
  <c r="C2714" i="242" s="1"/>
  <c r="C2715" i="242" s="1"/>
  <c r="C2716" i="242" s="1"/>
  <c r="C2717" i="242" s="1"/>
  <c r="C2718" i="242" s="1"/>
  <c r="C2719" i="242" s="1"/>
  <c r="C2720" i="242" s="1"/>
  <c r="C2721" i="242" s="1"/>
  <c r="C2722" i="242" s="1"/>
  <c r="C2723" i="242" s="1"/>
  <c r="C2724" i="242" s="1"/>
  <c r="C2725" i="242" s="1"/>
  <c r="C2726" i="242" s="1"/>
  <c r="C2727" i="242" s="1"/>
  <c r="C2728" i="242" s="1"/>
  <c r="C2729" i="242" s="1"/>
  <c r="C2730" i="242" s="1"/>
  <c r="C2731" i="242" s="1"/>
  <c r="C2732" i="242" s="1"/>
  <c r="C2733" i="242" s="1"/>
  <c r="C2734" i="242" s="1"/>
  <c r="C2735" i="242" s="1"/>
  <c r="C2736" i="242" s="1"/>
  <c r="C2737" i="242" s="1"/>
  <c r="C2738" i="242" s="1"/>
  <c r="C2739" i="242" s="1"/>
  <c r="C2740" i="242" s="1"/>
  <c r="C2690" i="242"/>
  <c r="C2691" i="242" s="1"/>
  <c r="C2692" i="242" s="1"/>
  <c r="C2693" i="242" s="1"/>
  <c r="C2679" i="242"/>
  <c r="C2680" i="242" s="1"/>
  <c r="C2681" i="242" s="1"/>
  <c r="C2682" i="242" s="1"/>
  <c r="C2683" i="242" s="1"/>
  <c r="C2684" i="242" s="1"/>
  <c r="C2685" i="242" s="1"/>
  <c r="C2686" i="242" s="1"/>
  <c r="C2687" i="242" s="1"/>
  <c r="C2688" i="242" s="1"/>
  <c r="C2689" i="242" s="1"/>
  <c r="C2659" i="242"/>
  <c r="C2660" i="242" s="1"/>
  <c r="C2661" i="242" s="1"/>
  <c r="C2662" i="242" s="1"/>
  <c r="C2663" i="242" s="1"/>
  <c r="C2664" i="242" s="1"/>
  <c r="C2665" i="242" s="1"/>
  <c r="C2666" i="242" s="1"/>
  <c r="C2667" i="242" s="1"/>
  <c r="C2668" i="242" s="1"/>
  <c r="C2669" i="242" s="1"/>
  <c r="C2670" i="242" s="1"/>
  <c r="C2671" i="242" s="1"/>
  <c r="C2672" i="242" s="1"/>
  <c r="C2673" i="242" s="1"/>
  <c r="C2674" i="242" s="1"/>
  <c r="C2675" i="242" s="1"/>
  <c r="C2676" i="242" s="1"/>
  <c r="C2677" i="242" s="1"/>
  <c r="C2678" i="242" s="1"/>
  <c r="C2646" i="242"/>
  <c r="C2647" i="242" s="1"/>
  <c r="C2648" i="242" s="1"/>
  <c r="C2649" i="242" s="1"/>
  <c r="C2650" i="242" s="1"/>
  <c r="C2651" i="242" s="1"/>
  <c r="C2652" i="242" s="1"/>
  <c r="C2653" i="242" s="1"/>
  <c r="C2654" i="242" s="1"/>
  <c r="C2655" i="242" s="1"/>
  <c r="C2656" i="242" s="1"/>
  <c r="C2657" i="242" s="1"/>
  <c r="C2658" i="242" s="1"/>
  <c r="C2639" i="242"/>
  <c r="C2640" i="242" s="1"/>
  <c r="C2641" i="242" s="1"/>
  <c r="C2642" i="242" s="1"/>
  <c r="C2643" i="242" s="1"/>
  <c r="C2644" i="242" s="1"/>
  <c r="C2645" i="242" s="1"/>
  <c r="C2599" i="242"/>
  <c r="C2600" i="242" s="1"/>
  <c r="C2601" i="242" s="1"/>
  <c r="C2602" i="242" s="1"/>
  <c r="C2603" i="242" s="1"/>
  <c r="C2604" i="242" s="1"/>
  <c r="C2605" i="242" s="1"/>
  <c r="C2606" i="242" s="1"/>
  <c r="C2607" i="242" s="1"/>
  <c r="C2608" i="242" s="1"/>
  <c r="C2609" i="242" s="1"/>
  <c r="C2610" i="242" s="1"/>
  <c r="C2611" i="242" s="1"/>
  <c r="C2612" i="242" s="1"/>
  <c r="C2613" i="242" s="1"/>
  <c r="C2614" i="242" s="1"/>
  <c r="C2615" i="242" s="1"/>
  <c r="C2616" i="242" s="1"/>
  <c r="C2617" i="242" s="1"/>
  <c r="C2618" i="242" s="1"/>
  <c r="C2619" i="242" s="1"/>
  <c r="C2620" i="242" s="1"/>
  <c r="C2621" i="242" s="1"/>
  <c r="C2622" i="242" s="1"/>
  <c r="C2623" i="242" s="1"/>
  <c r="C2624" i="242" s="1"/>
  <c r="C2625" i="242" s="1"/>
  <c r="C2626" i="242" s="1"/>
  <c r="C2627" i="242" s="1"/>
  <c r="C2628" i="242" s="1"/>
  <c r="C2629" i="242" s="1"/>
  <c r="C2630" i="242" s="1"/>
  <c r="C2631" i="242" s="1"/>
  <c r="C2632" i="242" s="1"/>
  <c r="C2633" i="242" s="1"/>
  <c r="C2634" i="242" s="1"/>
  <c r="C2635" i="242" s="1"/>
  <c r="C2636" i="242" s="1"/>
  <c r="C2637" i="242" s="1"/>
  <c r="C2638" i="242" s="1"/>
  <c r="C2589" i="242"/>
  <c r="C2590" i="242" s="1"/>
  <c r="C2591" i="242" s="1"/>
  <c r="C2592" i="242" s="1"/>
  <c r="C2593" i="242" s="1"/>
  <c r="C2594" i="242" s="1"/>
  <c r="C2595" i="242" s="1"/>
  <c r="C2596" i="242" s="1"/>
  <c r="C2597" i="242" s="1"/>
  <c r="C2598" i="242" s="1"/>
  <c r="C2588" i="242"/>
  <c r="C2587" i="242"/>
  <c r="B2587" i="242"/>
  <c r="A2587" i="242" s="1"/>
  <c r="C2561" i="242"/>
  <c r="C2562" i="242" s="1"/>
  <c r="C2563" i="242" s="1"/>
  <c r="C2564" i="242" s="1"/>
  <c r="C2565" i="242" s="1"/>
  <c r="C2566" i="242" s="1"/>
  <c r="C2567" i="242" s="1"/>
  <c r="C2568" i="242" s="1"/>
  <c r="C2569" i="242" s="1"/>
  <c r="C2570" i="242" s="1"/>
  <c r="C2571" i="242" s="1"/>
  <c r="C2572" i="242" s="1"/>
  <c r="C2573" i="242" s="1"/>
  <c r="C2574" i="242" s="1"/>
  <c r="C2575" i="242" s="1"/>
  <c r="C2576" i="242" s="1"/>
  <c r="C2577" i="242" s="1"/>
  <c r="C2578" i="242" s="1"/>
  <c r="C2579" i="242" s="1"/>
  <c r="C2580" i="242" s="1"/>
  <c r="C2581" i="242" s="1"/>
  <c r="C2582" i="242" s="1"/>
  <c r="C2583" i="242" s="1"/>
  <c r="C2584" i="242" s="1"/>
  <c r="C2585" i="242" s="1"/>
  <c r="C2586" i="242" s="1"/>
  <c r="C2547" i="242"/>
  <c r="C2548" i="242" s="1"/>
  <c r="C2549" i="242" s="1"/>
  <c r="C2550" i="242" s="1"/>
  <c r="C2551" i="242" s="1"/>
  <c r="C2552" i="242" s="1"/>
  <c r="C2553" i="242" s="1"/>
  <c r="C2554" i="242" s="1"/>
  <c r="C2555" i="242" s="1"/>
  <c r="C2556" i="242" s="1"/>
  <c r="C2557" i="242" s="1"/>
  <c r="C2558" i="242" s="1"/>
  <c r="C2559" i="242" s="1"/>
  <c r="C2560" i="242" s="1"/>
  <c r="C2533" i="242"/>
  <c r="C2534" i="242" s="1"/>
  <c r="C2535" i="242" s="1"/>
  <c r="C2536" i="242" s="1"/>
  <c r="C2537" i="242" s="1"/>
  <c r="C2538" i="242" s="1"/>
  <c r="C2539" i="242" s="1"/>
  <c r="C2540" i="242" s="1"/>
  <c r="C2541" i="242" s="1"/>
  <c r="C2542" i="242" s="1"/>
  <c r="C2543" i="242" s="1"/>
  <c r="C2544" i="242" s="1"/>
  <c r="C2545" i="242" s="1"/>
  <c r="C2546" i="242" s="1"/>
  <c r="C2529" i="242"/>
  <c r="C2530" i="242" s="1"/>
  <c r="C2531" i="242" s="1"/>
  <c r="C2532" i="242" s="1"/>
  <c r="B2529" i="242"/>
  <c r="B2528" i="242"/>
  <c r="A2528" i="242" s="1"/>
  <c r="C2527" i="242"/>
  <c r="C2528" i="242" s="1"/>
  <c r="B2527" i="242"/>
  <c r="A2527" i="242" s="1"/>
  <c r="C2526" i="242"/>
  <c r="A2526" i="242" s="1"/>
  <c r="B2526" i="242"/>
  <c r="C2510" i="242"/>
  <c r="C2511" i="242" s="1"/>
  <c r="C2512" i="242" s="1"/>
  <c r="C2513" i="242" s="1"/>
  <c r="C2514" i="242" s="1"/>
  <c r="C2515" i="242" s="1"/>
  <c r="C2516" i="242" s="1"/>
  <c r="C2517" i="242" s="1"/>
  <c r="C2518" i="242" s="1"/>
  <c r="C2519" i="242" s="1"/>
  <c r="C2520" i="242" s="1"/>
  <c r="C2521" i="242" s="1"/>
  <c r="C2522" i="242" s="1"/>
  <c r="C2523" i="242" s="1"/>
  <c r="C2524" i="242" s="1"/>
  <c r="C2525" i="242" s="1"/>
  <c r="C2501" i="242"/>
  <c r="C2502" i="242" s="1"/>
  <c r="C2503" i="242" s="1"/>
  <c r="C2504" i="242" s="1"/>
  <c r="C2505" i="242" s="1"/>
  <c r="C2506" i="242" s="1"/>
  <c r="C2507" i="242" s="1"/>
  <c r="C2508" i="242" s="1"/>
  <c r="C2509" i="242" s="1"/>
  <c r="C2453" i="242"/>
  <c r="C2454" i="242" s="1"/>
  <c r="C2455" i="242" s="1"/>
  <c r="C2456" i="242" s="1"/>
  <c r="C2457" i="242" s="1"/>
  <c r="C2458" i="242" s="1"/>
  <c r="C2459" i="242" s="1"/>
  <c r="C2460" i="242" s="1"/>
  <c r="C2461" i="242" s="1"/>
  <c r="C2462" i="242" s="1"/>
  <c r="C2463" i="242" s="1"/>
  <c r="C2464" i="242" s="1"/>
  <c r="C2465" i="242" s="1"/>
  <c r="C2466" i="242" s="1"/>
  <c r="C2467" i="242" s="1"/>
  <c r="C2468" i="242" s="1"/>
  <c r="C2469" i="242" s="1"/>
  <c r="C2470" i="242" s="1"/>
  <c r="C2471" i="242" s="1"/>
  <c r="C2472" i="242" s="1"/>
  <c r="C2473" i="242" s="1"/>
  <c r="C2474" i="242" s="1"/>
  <c r="C2475" i="242" s="1"/>
  <c r="C2476" i="242" s="1"/>
  <c r="C2477" i="242" s="1"/>
  <c r="C2478" i="242" s="1"/>
  <c r="C2479" i="242" s="1"/>
  <c r="C2480" i="242" s="1"/>
  <c r="C2481" i="242" s="1"/>
  <c r="C2482" i="242" s="1"/>
  <c r="C2483" i="242" s="1"/>
  <c r="C2484" i="242" s="1"/>
  <c r="C2485" i="242" s="1"/>
  <c r="C2486" i="242" s="1"/>
  <c r="C2487" i="242" s="1"/>
  <c r="C2488" i="242" s="1"/>
  <c r="C2489" i="242" s="1"/>
  <c r="C2490" i="242" s="1"/>
  <c r="C2491" i="242" s="1"/>
  <c r="C2492" i="242" s="1"/>
  <c r="C2493" i="242" s="1"/>
  <c r="C2494" i="242" s="1"/>
  <c r="C2495" i="242" s="1"/>
  <c r="C2496" i="242" s="1"/>
  <c r="C2497" i="242" s="1"/>
  <c r="C2498" i="242" s="1"/>
  <c r="C2499" i="242" s="1"/>
  <c r="C2500" i="242" s="1"/>
  <c r="C2452" i="242"/>
  <c r="B2425" i="242"/>
  <c r="C2424" i="242"/>
  <c r="C2425" i="242" s="1"/>
  <c r="C2426" i="242" s="1"/>
  <c r="C2427" i="242" s="1"/>
  <c r="C2428" i="242" s="1"/>
  <c r="C2429" i="242" s="1"/>
  <c r="C2430" i="242" s="1"/>
  <c r="C2431" i="242" s="1"/>
  <c r="C2432" i="242" s="1"/>
  <c r="C2433" i="242" s="1"/>
  <c r="C2434" i="242" s="1"/>
  <c r="C2435" i="242" s="1"/>
  <c r="C2436" i="242" s="1"/>
  <c r="C2437" i="242" s="1"/>
  <c r="C2438" i="242" s="1"/>
  <c r="C2439" i="242" s="1"/>
  <c r="C2440" i="242" s="1"/>
  <c r="C2441" i="242" s="1"/>
  <c r="C2442" i="242" s="1"/>
  <c r="C2443" i="242" s="1"/>
  <c r="C2444" i="242" s="1"/>
  <c r="C2445" i="242" s="1"/>
  <c r="C2446" i="242" s="1"/>
  <c r="C2447" i="242" s="1"/>
  <c r="C2448" i="242" s="1"/>
  <c r="C2449" i="242" s="1"/>
  <c r="C2450" i="242" s="1"/>
  <c r="C2451" i="242" s="1"/>
  <c r="B2424" i="242"/>
  <c r="C2423" i="242"/>
  <c r="B2423" i="242"/>
  <c r="A2423" i="242" s="1"/>
  <c r="C2396" i="242"/>
  <c r="C2397" i="242" s="1"/>
  <c r="C2398" i="242" s="1"/>
  <c r="C2399" i="242" s="1"/>
  <c r="C2400" i="242" s="1"/>
  <c r="C2401" i="242" s="1"/>
  <c r="C2402" i="242" s="1"/>
  <c r="C2403" i="242" s="1"/>
  <c r="C2404" i="242" s="1"/>
  <c r="C2405" i="242" s="1"/>
  <c r="C2406" i="242" s="1"/>
  <c r="C2407" i="242" s="1"/>
  <c r="C2408" i="242" s="1"/>
  <c r="C2409" i="242" s="1"/>
  <c r="C2410" i="242" s="1"/>
  <c r="C2411" i="242" s="1"/>
  <c r="C2412" i="242" s="1"/>
  <c r="C2413" i="242" s="1"/>
  <c r="C2414" i="242" s="1"/>
  <c r="C2415" i="242" s="1"/>
  <c r="C2416" i="242" s="1"/>
  <c r="C2417" i="242" s="1"/>
  <c r="C2418" i="242" s="1"/>
  <c r="C2419" i="242" s="1"/>
  <c r="C2420" i="242" s="1"/>
  <c r="C2421" i="242" s="1"/>
  <c r="C2422" i="242" s="1"/>
  <c r="C2395" i="242"/>
  <c r="C2394" i="242"/>
  <c r="C2393" i="242"/>
  <c r="C2381" i="242"/>
  <c r="C2382" i="242" s="1"/>
  <c r="C2383" i="242" s="1"/>
  <c r="C2384" i="242" s="1"/>
  <c r="C2385" i="242" s="1"/>
  <c r="C2386" i="242" s="1"/>
  <c r="C2387" i="242" s="1"/>
  <c r="C2388" i="242" s="1"/>
  <c r="C2389" i="242" s="1"/>
  <c r="C2390" i="242" s="1"/>
  <c r="C2391" i="242" s="1"/>
  <c r="C2392" i="242" s="1"/>
  <c r="C2378" i="242"/>
  <c r="C2379" i="242" s="1"/>
  <c r="C2380" i="242" s="1"/>
  <c r="C2377" i="242"/>
  <c r="C2374" i="242"/>
  <c r="C2375" i="242" s="1"/>
  <c r="C2376" i="242" s="1"/>
  <c r="C2373" i="242"/>
  <c r="B2373" i="242"/>
  <c r="C2370" i="242"/>
  <c r="C2371" i="242" s="1"/>
  <c r="C2372" i="242" s="1"/>
  <c r="C2346" i="242"/>
  <c r="C2347" i="242" s="1"/>
  <c r="C2348" i="242" s="1"/>
  <c r="C2349" i="242" s="1"/>
  <c r="C2350" i="242" s="1"/>
  <c r="C2351" i="242" s="1"/>
  <c r="C2352" i="242" s="1"/>
  <c r="C2353" i="242" s="1"/>
  <c r="C2354" i="242" s="1"/>
  <c r="C2355" i="242" s="1"/>
  <c r="C2356" i="242" s="1"/>
  <c r="C2357" i="242" s="1"/>
  <c r="C2358" i="242" s="1"/>
  <c r="C2359" i="242" s="1"/>
  <c r="C2360" i="242" s="1"/>
  <c r="C2361" i="242" s="1"/>
  <c r="C2362" i="242" s="1"/>
  <c r="C2363" i="242" s="1"/>
  <c r="C2364" i="242" s="1"/>
  <c r="C2365" i="242" s="1"/>
  <c r="C2366" i="242" s="1"/>
  <c r="C2367" i="242" s="1"/>
  <c r="C2368" i="242" s="1"/>
  <c r="C2369" i="242" s="1"/>
  <c r="C2341" i="242"/>
  <c r="C2342" i="242" s="1"/>
  <c r="C2343" i="242" s="1"/>
  <c r="C2344" i="242" s="1"/>
  <c r="C2345" i="242" s="1"/>
  <c r="C2340" i="242"/>
  <c r="C2321" i="242"/>
  <c r="C2322" i="242" s="1"/>
  <c r="C2323" i="242" s="1"/>
  <c r="C2324" i="242" s="1"/>
  <c r="C2325" i="242" s="1"/>
  <c r="C2326" i="242" s="1"/>
  <c r="C2327" i="242" s="1"/>
  <c r="C2328" i="242" s="1"/>
  <c r="C2329" i="242" s="1"/>
  <c r="C2330" i="242" s="1"/>
  <c r="C2331" i="242" s="1"/>
  <c r="C2332" i="242" s="1"/>
  <c r="C2333" i="242" s="1"/>
  <c r="C2334" i="242" s="1"/>
  <c r="C2335" i="242" s="1"/>
  <c r="C2336" i="242" s="1"/>
  <c r="C2337" i="242" s="1"/>
  <c r="C2338" i="242" s="1"/>
  <c r="C2339" i="242" s="1"/>
  <c r="C2320" i="242"/>
  <c r="C2319" i="242"/>
  <c r="C2318" i="242"/>
  <c r="B2318" i="242"/>
  <c r="C2301" i="242"/>
  <c r="C2302" i="242" s="1"/>
  <c r="C2303" i="242" s="1"/>
  <c r="C2304" i="242" s="1"/>
  <c r="C2305" i="242" s="1"/>
  <c r="C2306" i="242" s="1"/>
  <c r="C2307" i="242" s="1"/>
  <c r="C2308" i="242" s="1"/>
  <c r="C2309" i="242" s="1"/>
  <c r="C2310" i="242" s="1"/>
  <c r="C2311" i="242" s="1"/>
  <c r="C2312" i="242" s="1"/>
  <c r="C2313" i="242" s="1"/>
  <c r="C2314" i="242" s="1"/>
  <c r="C2315" i="242" s="1"/>
  <c r="C2316" i="242" s="1"/>
  <c r="C2317" i="242" s="1"/>
  <c r="C2300" i="242"/>
  <c r="C2299" i="242"/>
  <c r="C2250" i="242"/>
  <c r="C2251" i="242" s="1"/>
  <c r="C2252" i="242" s="1"/>
  <c r="C2253" i="242" s="1"/>
  <c r="C2254" i="242" s="1"/>
  <c r="C2255" i="242" s="1"/>
  <c r="C2256" i="242" s="1"/>
  <c r="C2257" i="242" s="1"/>
  <c r="C2258" i="242" s="1"/>
  <c r="C2259" i="242" s="1"/>
  <c r="C2260" i="242" s="1"/>
  <c r="C2261" i="242" s="1"/>
  <c r="C2262" i="242" s="1"/>
  <c r="C2263" i="242" s="1"/>
  <c r="C2264" i="242" s="1"/>
  <c r="C2265" i="242" s="1"/>
  <c r="C2266" i="242" s="1"/>
  <c r="C2267" i="242" s="1"/>
  <c r="C2268" i="242" s="1"/>
  <c r="C2269" i="242" s="1"/>
  <c r="C2270" i="242" s="1"/>
  <c r="C2271" i="242" s="1"/>
  <c r="C2272" i="242" s="1"/>
  <c r="C2273" i="242" s="1"/>
  <c r="C2274" i="242" s="1"/>
  <c r="C2275" i="242" s="1"/>
  <c r="C2276" i="242" s="1"/>
  <c r="C2277" i="242" s="1"/>
  <c r="C2278" i="242" s="1"/>
  <c r="C2279" i="242" s="1"/>
  <c r="C2280" i="242" s="1"/>
  <c r="C2281" i="242" s="1"/>
  <c r="C2282" i="242" s="1"/>
  <c r="C2283" i="242" s="1"/>
  <c r="C2284" i="242" s="1"/>
  <c r="C2285" i="242" s="1"/>
  <c r="C2286" i="242" s="1"/>
  <c r="C2287" i="242" s="1"/>
  <c r="C2288" i="242" s="1"/>
  <c r="C2289" i="242" s="1"/>
  <c r="C2290" i="242" s="1"/>
  <c r="C2291" i="242" s="1"/>
  <c r="C2292" i="242" s="1"/>
  <c r="C2293" i="242" s="1"/>
  <c r="C2294" i="242" s="1"/>
  <c r="C2295" i="242" s="1"/>
  <c r="C2296" i="242" s="1"/>
  <c r="C2297" i="242" s="1"/>
  <c r="C2298" i="242" s="1"/>
  <c r="C2249" i="242"/>
  <c r="C2241" i="242"/>
  <c r="C2242" i="242" s="1"/>
  <c r="C2243" i="242" s="1"/>
  <c r="C2244" i="242" s="1"/>
  <c r="C2245" i="242" s="1"/>
  <c r="C2246" i="242" s="1"/>
  <c r="C2247" i="242" s="1"/>
  <c r="C2248" i="242" s="1"/>
  <c r="C2235" i="242"/>
  <c r="C2236" i="242" s="1"/>
  <c r="C2237" i="242" s="1"/>
  <c r="C2238" i="242" s="1"/>
  <c r="C2239" i="242" s="1"/>
  <c r="C2240" i="242" s="1"/>
  <c r="B2235" i="242"/>
  <c r="C2234" i="242"/>
  <c r="B2234" i="242"/>
  <c r="A2234" i="242"/>
  <c r="C2233" i="242"/>
  <c r="B2233" i="242"/>
  <c r="A2233" i="242"/>
  <c r="C2229" i="242"/>
  <c r="C2230" i="242" s="1"/>
  <c r="C2231" i="242" s="1"/>
  <c r="C2232" i="242" s="1"/>
  <c r="C2219" i="242"/>
  <c r="C2220" i="242" s="1"/>
  <c r="C2221" i="242" s="1"/>
  <c r="C2222" i="242" s="1"/>
  <c r="C2223" i="242" s="1"/>
  <c r="C2224" i="242" s="1"/>
  <c r="C2225" i="242" s="1"/>
  <c r="C2226" i="242" s="1"/>
  <c r="C2227" i="242" s="1"/>
  <c r="C2228" i="242" s="1"/>
  <c r="B2217" i="242"/>
  <c r="C2216" i="242"/>
  <c r="C2217" i="242" s="1"/>
  <c r="C2218" i="242" s="1"/>
  <c r="B2216" i="242"/>
  <c r="C2186" i="242"/>
  <c r="C2187" i="242" s="1"/>
  <c r="C2188" i="242" s="1"/>
  <c r="C2189" i="242" s="1"/>
  <c r="C2190" i="242" s="1"/>
  <c r="C2191" i="242" s="1"/>
  <c r="C2192" i="242" s="1"/>
  <c r="C2193" i="242" s="1"/>
  <c r="C2194" i="242" s="1"/>
  <c r="C2195" i="242" s="1"/>
  <c r="C2196" i="242" s="1"/>
  <c r="C2197" i="242" s="1"/>
  <c r="C2198" i="242" s="1"/>
  <c r="C2199" i="242" s="1"/>
  <c r="C2200" i="242" s="1"/>
  <c r="C2201" i="242" s="1"/>
  <c r="C2202" i="242" s="1"/>
  <c r="C2203" i="242" s="1"/>
  <c r="C2204" i="242" s="1"/>
  <c r="C2205" i="242" s="1"/>
  <c r="C2206" i="242" s="1"/>
  <c r="C2207" i="242" s="1"/>
  <c r="C2208" i="242" s="1"/>
  <c r="C2209" i="242" s="1"/>
  <c r="C2210" i="242" s="1"/>
  <c r="C2211" i="242" s="1"/>
  <c r="C2212" i="242" s="1"/>
  <c r="C2213" i="242" s="1"/>
  <c r="C2214" i="242" s="1"/>
  <c r="C2215" i="242" s="1"/>
  <c r="C2184" i="242"/>
  <c r="C2185" i="242" s="1"/>
  <c r="C2178" i="242"/>
  <c r="C2179" i="242" s="1"/>
  <c r="C2180" i="242" s="1"/>
  <c r="C2181" i="242" s="1"/>
  <c r="C2182" i="242" s="1"/>
  <c r="C2183" i="242" s="1"/>
  <c r="C2168" i="242"/>
  <c r="C2169" i="242" s="1"/>
  <c r="C2170" i="242" s="1"/>
  <c r="C2171" i="242" s="1"/>
  <c r="C2172" i="242" s="1"/>
  <c r="C2173" i="242" s="1"/>
  <c r="C2174" i="242" s="1"/>
  <c r="C2175" i="242" s="1"/>
  <c r="C2176" i="242" s="1"/>
  <c r="C2177" i="242" s="1"/>
  <c r="C2165" i="242"/>
  <c r="C2166" i="242" s="1"/>
  <c r="C2167" i="242" s="1"/>
  <c r="C2164" i="242"/>
  <c r="B2164" i="242"/>
  <c r="C2163" i="242"/>
  <c r="B2163" i="242"/>
  <c r="A2163" i="242"/>
  <c r="C2162" i="242"/>
  <c r="C2131" i="242"/>
  <c r="C2132" i="242" s="1"/>
  <c r="C2133" i="242" s="1"/>
  <c r="C2134" i="242" s="1"/>
  <c r="C2135" i="242" s="1"/>
  <c r="C2136" i="242" s="1"/>
  <c r="C2137" i="242" s="1"/>
  <c r="C2138" i="242" s="1"/>
  <c r="C2139" i="242" s="1"/>
  <c r="C2140" i="242" s="1"/>
  <c r="C2141" i="242" s="1"/>
  <c r="C2142" i="242" s="1"/>
  <c r="C2143" i="242" s="1"/>
  <c r="C2144" i="242" s="1"/>
  <c r="C2145" i="242" s="1"/>
  <c r="C2146" i="242" s="1"/>
  <c r="C2147" i="242" s="1"/>
  <c r="C2148" i="242" s="1"/>
  <c r="C2149" i="242" s="1"/>
  <c r="C2150" i="242" s="1"/>
  <c r="C2151" i="242" s="1"/>
  <c r="C2152" i="242" s="1"/>
  <c r="C2153" i="242" s="1"/>
  <c r="C2154" i="242" s="1"/>
  <c r="C2155" i="242" s="1"/>
  <c r="C2156" i="242" s="1"/>
  <c r="C2157" i="242" s="1"/>
  <c r="C2158" i="242" s="1"/>
  <c r="C2159" i="242" s="1"/>
  <c r="C2160" i="242" s="1"/>
  <c r="C2161" i="242" s="1"/>
  <c r="C2130" i="242"/>
  <c r="C2129" i="242"/>
  <c r="C2125" i="242"/>
  <c r="C2126" i="242" s="1"/>
  <c r="C2127" i="242" s="1"/>
  <c r="C2128" i="242" s="1"/>
  <c r="C2117" i="242"/>
  <c r="C2118" i="242" s="1"/>
  <c r="C2119" i="242" s="1"/>
  <c r="C2120" i="242" s="1"/>
  <c r="C2121" i="242" s="1"/>
  <c r="C2122" i="242" s="1"/>
  <c r="C2123" i="242" s="1"/>
  <c r="C2124" i="242" s="1"/>
  <c r="C2116" i="242"/>
  <c r="C2110" i="242"/>
  <c r="C2111" i="242" s="1"/>
  <c r="C2112" i="242" s="1"/>
  <c r="C2113" i="242" s="1"/>
  <c r="C2114" i="242" s="1"/>
  <c r="C2115" i="242" s="1"/>
  <c r="B2110" i="242"/>
  <c r="B2111" i="242" s="1"/>
  <c r="A2110" i="242"/>
  <c r="C2109" i="242"/>
  <c r="B2109" i="242"/>
  <c r="A2109" i="242" s="1"/>
  <c r="C2082" i="242"/>
  <c r="C2083" i="242" s="1"/>
  <c r="C2084" i="242" s="1"/>
  <c r="C2085" i="242" s="1"/>
  <c r="C2086" i="242" s="1"/>
  <c r="C2087" i="242" s="1"/>
  <c r="C2088" i="242" s="1"/>
  <c r="C2089" i="242" s="1"/>
  <c r="C2090" i="242" s="1"/>
  <c r="C2091" i="242" s="1"/>
  <c r="C2092" i="242" s="1"/>
  <c r="C2093" i="242" s="1"/>
  <c r="C2094" i="242" s="1"/>
  <c r="C2095" i="242" s="1"/>
  <c r="C2096" i="242" s="1"/>
  <c r="C2097" i="242" s="1"/>
  <c r="C2098" i="242" s="1"/>
  <c r="C2099" i="242" s="1"/>
  <c r="C2100" i="242" s="1"/>
  <c r="C2101" i="242" s="1"/>
  <c r="C2102" i="242" s="1"/>
  <c r="C2103" i="242" s="1"/>
  <c r="C2104" i="242" s="1"/>
  <c r="C2105" i="242" s="1"/>
  <c r="C2106" i="242" s="1"/>
  <c r="C2107" i="242" s="1"/>
  <c r="C2108" i="242" s="1"/>
  <c r="C2061" i="242"/>
  <c r="C2062" i="242" s="1"/>
  <c r="C2063" i="242" s="1"/>
  <c r="C2064" i="242" s="1"/>
  <c r="C2065" i="242" s="1"/>
  <c r="C2066" i="242" s="1"/>
  <c r="C2067" i="242" s="1"/>
  <c r="C2068" i="242" s="1"/>
  <c r="C2069" i="242" s="1"/>
  <c r="C2070" i="242" s="1"/>
  <c r="C2071" i="242" s="1"/>
  <c r="C2072" i="242" s="1"/>
  <c r="C2073" i="242" s="1"/>
  <c r="C2074" i="242" s="1"/>
  <c r="C2075" i="242" s="1"/>
  <c r="C2076" i="242" s="1"/>
  <c r="C2077" i="242" s="1"/>
  <c r="C2078" i="242" s="1"/>
  <c r="C2079" i="242" s="1"/>
  <c r="C2080" i="242" s="1"/>
  <c r="C2081" i="242" s="1"/>
  <c r="C2060" i="242"/>
  <c r="C2037" i="242"/>
  <c r="C2038" i="242" s="1"/>
  <c r="C2039" i="242" s="1"/>
  <c r="C2040" i="242" s="1"/>
  <c r="C2041" i="242" s="1"/>
  <c r="C2042" i="242" s="1"/>
  <c r="C2043" i="242" s="1"/>
  <c r="C2044" i="242" s="1"/>
  <c r="C2045" i="242" s="1"/>
  <c r="C2046" i="242" s="1"/>
  <c r="C2047" i="242" s="1"/>
  <c r="C2048" i="242" s="1"/>
  <c r="C2049" i="242" s="1"/>
  <c r="C2050" i="242" s="1"/>
  <c r="C2051" i="242" s="1"/>
  <c r="C2052" i="242" s="1"/>
  <c r="C2053" i="242" s="1"/>
  <c r="C2054" i="242" s="1"/>
  <c r="C2055" i="242" s="1"/>
  <c r="C2056" i="242" s="1"/>
  <c r="C2057" i="242" s="1"/>
  <c r="C2058" i="242" s="1"/>
  <c r="C2059" i="242" s="1"/>
  <c r="C2033" i="242"/>
  <c r="C2034" i="242" s="1"/>
  <c r="C2035" i="242" s="1"/>
  <c r="C2036" i="242" s="1"/>
  <c r="C2013" i="242"/>
  <c r="C2014" i="242" s="1"/>
  <c r="C2015" i="242" s="1"/>
  <c r="C2016" i="242" s="1"/>
  <c r="C2017" i="242" s="1"/>
  <c r="C2018" i="242" s="1"/>
  <c r="C2019" i="242" s="1"/>
  <c r="C2020" i="242" s="1"/>
  <c r="C2021" i="242" s="1"/>
  <c r="C2022" i="242" s="1"/>
  <c r="C2023" i="242" s="1"/>
  <c r="C2024" i="242" s="1"/>
  <c r="C2025" i="242" s="1"/>
  <c r="C2026" i="242" s="1"/>
  <c r="C2027" i="242" s="1"/>
  <c r="C2028" i="242" s="1"/>
  <c r="C2029" i="242" s="1"/>
  <c r="C2030" i="242" s="1"/>
  <c r="C2031" i="242" s="1"/>
  <c r="C2032" i="242" s="1"/>
  <c r="B2011" i="242"/>
  <c r="B2010" i="242"/>
  <c r="A2010" i="242" s="1"/>
  <c r="C2009" i="242"/>
  <c r="C2010" i="242" s="1"/>
  <c r="C2011" i="242" s="1"/>
  <c r="C2012" i="242" s="1"/>
  <c r="B2009" i="242"/>
  <c r="A2009" i="242" s="1"/>
  <c r="C2008" i="242"/>
  <c r="B2008" i="242"/>
  <c r="A2008" i="242"/>
  <c r="C2004" i="242"/>
  <c r="C2005" i="242" s="1"/>
  <c r="C2006" i="242" s="1"/>
  <c r="C2007" i="242" s="1"/>
  <c r="C1996" i="242"/>
  <c r="C1997" i="242" s="1"/>
  <c r="C1998" i="242" s="1"/>
  <c r="C1999" i="242" s="1"/>
  <c r="C2000" i="242" s="1"/>
  <c r="C2001" i="242" s="1"/>
  <c r="C2002" i="242" s="1"/>
  <c r="C2003" i="242" s="1"/>
  <c r="C1991" i="242"/>
  <c r="C1992" i="242" s="1"/>
  <c r="C1993" i="242" s="1"/>
  <c r="C1994" i="242" s="1"/>
  <c r="C1995" i="242" s="1"/>
  <c r="C1965" i="242"/>
  <c r="C1966" i="242" s="1"/>
  <c r="C1967" i="242" s="1"/>
  <c r="C1968" i="242" s="1"/>
  <c r="C1969" i="242" s="1"/>
  <c r="C1970" i="242" s="1"/>
  <c r="C1971" i="242" s="1"/>
  <c r="C1972" i="242" s="1"/>
  <c r="C1973" i="242" s="1"/>
  <c r="C1974" i="242" s="1"/>
  <c r="C1975" i="242" s="1"/>
  <c r="C1976" i="242" s="1"/>
  <c r="C1977" i="242" s="1"/>
  <c r="C1978" i="242" s="1"/>
  <c r="C1979" i="242" s="1"/>
  <c r="C1980" i="242" s="1"/>
  <c r="C1981" i="242" s="1"/>
  <c r="C1982" i="242" s="1"/>
  <c r="C1983" i="242" s="1"/>
  <c r="C1984" i="242" s="1"/>
  <c r="C1985" i="242" s="1"/>
  <c r="C1986" i="242" s="1"/>
  <c r="C1987" i="242" s="1"/>
  <c r="C1988" i="242" s="1"/>
  <c r="C1989" i="242" s="1"/>
  <c r="C1990" i="242" s="1"/>
  <c r="C1964" i="242"/>
  <c r="C1963" i="242"/>
  <c r="C1962" i="242"/>
  <c r="C1961" i="242"/>
  <c r="B1961" i="242"/>
  <c r="C1933" i="242"/>
  <c r="C1934" i="242" s="1"/>
  <c r="C1935" i="242" s="1"/>
  <c r="C1936" i="242" s="1"/>
  <c r="C1937" i="242" s="1"/>
  <c r="C1938" i="242" s="1"/>
  <c r="C1939" i="242" s="1"/>
  <c r="C1940" i="242" s="1"/>
  <c r="C1941" i="242" s="1"/>
  <c r="C1942" i="242" s="1"/>
  <c r="C1943" i="242" s="1"/>
  <c r="C1944" i="242" s="1"/>
  <c r="C1945" i="242" s="1"/>
  <c r="C1946" i="242" s="1"/>
  <c r="C1947" i="242" s="1"/>
  <c r="C1948" i="242" s="1"/>
  <c r="C1949" i="242" s="1"/>
  <c r="C1950" i="242" s="1"/>
  <c r="C1951" i="242" s="1"/>
  <c r="C1952" i="242" s="1"/>
  <c r="C1953" i="242" s="1"/>
  <c r="C1954" i="242" s="1"/>
  <c r="C1955" i="242" s="1"/>
  <c r="C1956" i="242" s="1"/>
  <c r="C1957" i="242" s="1"/>
  <c r="C1958" i="242" s="1"/>
  <c r="C1959" i="242" s="1"/>
  <c r="C1960" i="242" s="1"/>
  <c r="C1932" i="242"/>
  <c r="C1931" i="242"/>
  <c r="C1924" i="242"/>
  <c r="C1925" i="242" s="1"/>
  <c r="C1926" i="242" s="1"/>
  <c r="C1927" i="242" s="1"/>
  <c r="C1928" i="242" s="1"/>
  <c r="C1929" i="242" s="1"/>
  <c r="C1930" i="242" s="1"/>
  <c r="C1919" i="242"/>
  <c r="C1920" i="242" s="1"/>
  <c r="C1921" i="242" s="1"/>
  <c r="C1922" i="242" s="1"/>
  <c r="C1923" i="242" s="1"/>
  <c r="C1918" i="242"/>
  <c r="B1918" i="242"/>
  <c r="C1917" i="242"/>
  <c r="B1917" i="242"/>
  <c r="A1917" i="242"/>
  <c r="C1897" i="242"/>
  <c r="C1898" i="242" s="1"/>
  <c r="C1899" i="242" s="1"/>
  <c r="C1900" i="242" s="1"/>
  <c r="C1901" i="242" s="1"/>
  <c r="C1902" i="242" s="1"/>
  <c r="C1903" i="242" s="1"/>
  <c r="C1904" i="242" s="1"/>
  <c r="C1905" i="242" s="1"/>
  <c r="C1906" i="242" s="1"/>
  <c r="C1907" i="242" s="1"/>
  <c r="C1908" i="242" s="1"/>
  <c r="C1909" i="242" s="1"/>
  <c r="C1910" i="242" s="1"/>
  <c r="C1911" i="242" s="1"/>
  <c r="C1912" i="242" s="1"/>
  <c r="C1913" i="242" s="1"/>
  <c r="C1914" i="242" s="1"/>
  <c r="C1915" i="242" s="1"/>
  <c r="C1916" i="242" s="1"/>
  <c r="C1896" i="242"/>
  <c r="C1889" i="242"/>
  <c r="C1890" i="242" s="1"/>
  <c r="C1891" i="242" s="1"/>
  <c r="C1892" i="242" s="1"/>
  <c r="C1893" i="242" s="1"/>
  <c r="C1894" i="242" s="1"/>
  <c r="C1895" i="242" s="1"/>
  <c r="C1888" i="242"/>
  <c r="C1887" i="242"/>
  <c r="B1887" i="242"/>
  <c r="A1887" i="242" s="1"/>
  <c r="C1857" i="242"/>
  <c r="C1858" i="242" s="1"/>
  <c r="C1859" i="242" s="1"/>
  <c r="C1860" i="242" s="1"/>
  <c r="C1861" i="242" s="1"/>
  <c r="C1862" i="242" s="1"/>
  <c r="C1863" i="242" s="1"/>
  <c r="C1864" i="242" s="1"/>
  <c r="C1865" i="242" s="1"/>
  <c r="C1866" i="242" s="1"/>
  <c r="C1867" i="242" s="1"/>
  <c r="C1868" i="242" s="1"/>
  <c r="C1869" i="242" s="1"/>
  <c r="C1870" i="242" s="1"/>
  <c r="C1871" i="242" s="1"/>
  <c r="C1872" i="242" s="1"/>
  <c r="C1873" i="242" s="1"/>
  <c r="C1874" i="242" s="1"/>
  <c r="C1875" i="242" s="1"/>
  <c r="C1876" i="242" s="1"/>
  <c r="C1877" i="242" s="1"/>
  <c r="C1878" i="242" s="1"/>
  <c r="C1879" i="242" s="1"/>
  <c r="C1880" i="242" s="1"/>
  <c r="C1881" i="242" s="1"/>
  <c r="C1882" i="242" s="1"/>
  <c r="C1883" i="242" s="1"/>
  <c r="C1884" i="242" s="1"/>
  <c r="C1885" i="242" s="1"/>
  <c r="C1886" i="242" s="1"/>
  <c r="C1814" i="242"/>
  <c r="C1815" i="242" s="1"/>
  <c r="C1816" i="242" s="1"/>
  <c r="C1817" i="242" s="1"/>
  <c r="C1818" i="242" s="1"/>
  <c r="C1819" i="242" s="1"/>
  <c r="C1820" i="242" s="1"/>
  <c r="C1821" i="242" s="1"/>
  <c r="C1822" i="242" s="1"/>
  <c r="C1823" i="242" s="1"/>
  <c r="C1824" i="242" s="1"/>
  <c r="C1825" i="242" s="1"/>
  <c r="C1826" i="242" s="1"/>
  <c r="C1827" i="242" s="1"/>
  <c r="C1828" i="242" s="1"/>
  <c r="C1829" i="242" s="1"/>
  <c r="C1830" i="242" s="1"/>
  <c r="C1831" i="242" s="1"/>
  <c r="C1832" i="242" s="1"/>
  <c r="C1833" i="242" s="1"/>
  <c r="C1834" i="242" s="1"/>
  <c r="C1835" i="242" s="1"/>
  <c r="C1836" i="242" s="1"/>
  <c r="C1837" i="242" s="1"/>
  <c r="C1838" i="242" s="1"/>
  <c r="C1839" i="242" s="1"/>
  <c r="C1840" i="242" s="1"/>
  <c r="C1841" i="242" s="1"/>
  <c r="C1842" i="242" s="1"/>
  <c r="C1843" i="242" s="1"/>
  <c r="C1844" i="242" s="1"/>
  <c r="C1845" i="242" s="1"/>
  <c r="C1846" i="242" s="1"/>
  <c r="C1847" i="242" s="1"/>
  <c r="C1848" i="242" s="1"/>
  <c r="C1849" i="242" s="1"/>
  <c r="C1850" i="242" s="1"/>
  <c r="C1851" i="242" s="1"/>
  <c r="C1852" i="242" s="1"/>
  <c r="C1853" i="242" s="1"/>
  <c r="C1854" i="242" s="1"/>
  <c r="C1855" i="242" s="1"/>
  <c r="C1856" i="242" s="1"/>
  <c r="C1810" i="242"/>
  <c r="C1811" i="242" s="1"/>
  <c r="C1812" i="242" s="1"/>
  <c r="C1813" i="242" s="1"/>
  <c r="C1809" i="242"/>
  <c r="C1808" i="242"/>
  <c r="C1782" i="242"/>
  <c r="C1783" i="242" s="1"/>
  <c r="C1784" i="242" s="1"/>
  <c r="C1785" i="242" s="1"/>
  <c r="C1786" i="242" s="1"/>
  <c r="C1787" i="242" s="1"/>
  <c r="C1788" i="242" s="1"/>
  <c r="C1789" i="242" s="1"/>
  <c r="C1790" i="242" s="1"/>
  <c r="C1791" i="242" s="1"/>
  <c r="C1792" i="242" s="1"/>
  <c r="C1793" i="242" s="1"/>
  <c r="C1794" i="242" s="1"/>
  <c r="C1795" i="242" s="1"/>
  <c r="C1796" i="242" s="1"/>
  <c r="C1797" i="242" s="1"/>
  <c r="C1798" i="242" s="1"/>
  <c r="C1799" i="242" s="1"/>
  <c r="C1800" i="242" s="1"/>
  <c r="C1801" i="242" s="1"/>
  <c r="C1802" i="242" s="1"/>
  <c r="C1803" i="242" s="1"/>
  <c r="C1804" i="242" s="1"/>
  <c r="C1805" i="242" s="1"/>
  <c r="C1806" i="242" s="1"/>
  <c r="C1807" i="242" s="1"/>
  <c r="C1776" i="242"/>
  <c r="C1777" i="242" s="1"/>
  <c r="C1778" i="242" s="1"/>
  <c r="C1779" i="242" s="1"/>
  <c r="C1780" i="242" s="1"/>
  <c r="C1781" i="242" s="1"/>
  <c r="C1775" i="242"/>
  <c r="C1774" i="242"/>
  <c r="C1743" i="242"/>
  <c r="C1744" i="242" s="1"/>
  <c r="C1745" i="242" s="1"/>
  <c r="C1746" i="242" s="1"/>
  <c r="C1747" i="242" s="1"/>
  <c r="C1748" i="242" s="1"/>
  <c r="C1749" i="242" s="1"/>
  <c r="C1750" i="242" s="1"/>
  <c r="C1751" i="242" s="1"/>
  <c r="C1752" i="242" s="1"/>
  <c r="C1753" i="242" s="1"/>
  <c r="C1754" i="242" s="1"/>
  <c r="C1755" i="242" s="1"/>
  <c r="C1756" i="242" s="1"/>
  <c r="C1757" i="242" s="1"/>
  <c r="C1758" i="242" s="1"/>
  <c r="C1759" i="242" s="1"/>
  <c r="C1760" i="242" s="1"/>
  <c r="C1761" i="242" s="1"/>
  <c r="C1762" i="242" s="1"/>
  <c r="C1763" i="242" s="1"/>
  <c r="C1764" i="242" s="1"/>
  <c r="C1765" i="242" s="1"/>
  <c r="C1766" i="242" s="1"/>
  <c r="C1767" i="242" s="1"/>
  <c r="C1768" i="242" s="1"/>
  <c r="C1769" i="242" s="1"/>
  <c r="C1770" i="242" s="1"/>
  <c r="C1771" i="242" s="1"/>
  <c r="C1772" i="242" s="1"/>
  <c r="C1773" i="242" s="1"/>
  <c r="C1741" i="242"/>
  <c r="C1742" i="242" s="1"/>
  <c r="C1740" i="242"/>
  <c r="B1740" i="242"/>
  <c r="C1715" i="242"/>
  <c r="C1716" i="242" s="1"/>
  <c r="C1717" i="242" s="1"/>
  <c r="C1718" i="242" s="1"/>
  <c r="C1719" i="242" s="1"/>
  <c r="C1720" i="242" s="1"/>
  <c r="C1721" i="242" s="1"/>
  <c r="C1722" i="242" s="1"/>
  <c r="C1723" i="242" s="1"/>
  <c r="C1724" i="242" s="1"/>
  <c r="C1725" i="242" s="1"/>
  <c r="C1726" i="242" s="1"/>
  <c r="C1727" i="242" s="1"/>
  <c r="C1728" i="242" s="1"/>
  <c r="C1729" i="242" s="1"/>
  <c r="C1730" i="242" s="1"/>
  <c r="C1731" i="242" s="1"/>
  <c r="C1732" i="242" s="1"/>
  <c r="C1733" i="242" s="1"/>
  <c r="C1734" i="242" s="1"/>
  <c r="C1735" i="242" s="1"/>
  <c r="C1736" i="242" s="1"/>
  <c r="C1737" i="242" s="1"/>
  <c r="C1738" i="242" s="1"/>
  <c r="C1739" i="242" s="1"/>
  <c r="C1689" i="242"/>
  <c r="C1690" i="242" s="1"/>
  <c r="C1691" i="242" s="1"/>
  <c r="C1692" i="242" s="1"/>
  <c r="C1693" i="242" s="1"/>
  <c r="C1694" i="242" s="1"/>
  <c r="C1695" i="242" s="1"/>
  <c r="C1696" i="242" s="1"/>
  <c r="C1697" i="242" s="1"/>
  <c r="C1698" i="242" s="1"/>
  <c r="C1699" i="242" s="1"/>
  <c r="C1700" i="242" s="1"/>
  <c r="C1701" i="242" s="1"/>
  <c r="C1702" i="242" s="1"/>
  <c r="C1703" i="242" s="1"/>
  <c r="C1704" i="242" s="1"/>
  <c r="C1705" i="242" s="1"/>
  <c r="C1706" i="242" s="1"/>
  <c r="C1707" i="242" s="1"/>
  <c r="C1708" i="242" s="1"/>
  <c r="C1709" i="242" s="1"/>
  <c r="C1710" i="242" s="1"/>
  <c r="C1711" i="242" s="1"/>
  <c r="C1712" i="242" s="1"/>
  <c r="C1713" i="242" s="1"/>
  <c r="C1714" i="242" s="1"/>
  <c r="C1681" i="242"/>
  <c r="C1682" i="242" s="1"/>
  <c r="C1683" i="242" s="1"/>
  <c r="C1684" i="242" s="1"/>
  <c r="C1685" i="242" s="1"/>
  <c r="C1686" i="242" s="1"/>
  <c r="C1687" i="242" s="1"/>
  <c r="C1688" i="242" s="1"/>
  <c r="C1680" i="242"/>
  <c r="B1680" i="242"/>
  <c r="B1681" i="242" s="1"/>
  <c r="C1675" i="242"/>
  <c r="C1676" i="242" s="1"/>
  <c r="C1677" i="242" s="1"/>
  <c r="C1678" i="242" s="1"/>
  <c r="C1679" i="242" s="1"/>
  <c r="C1663" i="242"/>
  <c r="C1664" i="242" s="1"/>
  <c r="C1665" i="242" s="1"/>
  <c r="C1666" i="242" s="1"/>
  <c r="C1667" i="242" s="1"/>
  <c r="C1668" i="242" s="1"/>
  <c r="C1669" i="242" s="1"/>
  <c r="C1670" i="242" s="1"/>
  <c r="C1671" i="242" s="1"/>
  <c r="C1672" i="242" s="1"/>
  <c r="C1673" i="242" s="1"/>
  <c r="C1674" i="242" s="1"/>
  <c r="C1654" i="242"/>
  <c r="C1655" i="242" s="1"/>
  <c r="C1656" i="242" s="1"/>
  <c r="C1657" i="242" s="1"/>
  <c r="C1658" i="242" s="1"/>
  <c r="C1659" i="242" s="1"/>
  <c r="C1660" i="242" s="1"/>
  <c r="C1661" i="242" s="1"/>
  <c r="C1662" i="242" s="1"/>
  <c r="C1653" i="242"/>
  <c r="C1650" i="242"/>
  <c r="C1651" i="242" s="1"/>
  <c r="C1652" i="242" s="1"/>
  <c r="C1620" i="242"/>
  <c r="C1621" i="242" s="1"/>
  <c r="C1622" i="242" s="1"/>
  <c r="C1623" i="242" s="1"/>
  <c r="C1624" i="242" s="1"/>
  <c r="C1625" i="242" s="1"/>
  <c r="C1626" i="242" s="1"/>
  <c r="C1627" i="242" s="1"/>
  <c r="C1628" i="242" s="1"/>
  <c r="C1629" i="242" s="1"/>
  <c r="C1630" i="242" s="1"/>
  <c r="C1631" i="242" s="1"/>
  <c r="C1632" i="242" s="1"/>
  <c r="C1633" i="242" s="1"/>
  <c r="C1634" i="242" s="1"/>
  <c r="C1635" i="242" s="1"/>
  <c r="C1636" i="242" s="1"/>
  <c r="C1637" i="242" s="1"/>
  <c r="C1638" i="242" s="1"/>
  <c r="C1639" i="242" s="1"/>
  <c r="C1640" i="242" s="1"/>
  <c r="C1641" i="242" s="1"/>
  <c r="C1642" i="242" s="1"/>
  <c r="C1643" i="242" s="1"/>
  <c r="C1644" i="242" s="1"/>
  <c r="C1645" i="242" s="1"/>
  <c r="C1646" i="242" s="1"/>
  <c r="C1647" i="242" s="1"/>
  <c r="C1648" i="242" s="1"/>
  <c r="C1649" i="242" s="1"/>
  <c r="B1620" i="242"/>
  <c r="B1621" i="242" s="1"/>
  <c r="C1619" i="242"/>
  <c r="B1619" i="242"/>
  <c r="A1619" i="242" s="1"/>
  <c r="C1593" i="242"/>
  <c r="C1594" i="242" s="1"/>
  <c r="C1595" i="242" s="1"/>
  <c r="C1596" i="242" s="1"/>
  <c r="C1597" i="242" s="1"/>
  <c r="C1598" i="242" s="1"/>
  <c r="C1599" i="242" s="1"/>
  <c r="C1600" i="242" s="1"/>
  <c r="C1601" i="242" s="1"/>
  <c r="C1602" i="242" s="1"/>
  <c r="C1603" i="242" s="1"/>
  <c r="C1604" i="242" s="1"/>
  <c r="C1605" i="242" s="1"/>
  <c r="C1606" i="242" s="1"/>
  <c r="C1607" i="242" s="1"/>
  <c r="C1608" i="242" s="1"/>
  <c r="C1609" i="242" s="1"/>
  <c r="C1610" i="242" s="1"/>
  <c r="C1611" i="242" s="1"/>
  <c r="C1612" i="242" s="1"/>
  <c r="C1613" i="242" s="1"/>
  <c r="C1614" i="242" s="1"/>
  <c r="C1615" i="242" s="1"/>
  <c r="C1616" i="242" s="1"/>
  <c r="C1617" i="242" s="1"/>
  <c r="C1618" i="242" s="1"/>
  <c r="C1589" i="242"/>
  <c r="C1590" i="242" s="1"/>
  <c r="C1591" i="242" s="1"/>
  <c r="C1592" i="242" s="1"/>
  <c r="C1572" i="242"/>
  <c r="C1573" i="242" s="1"/>
  <c r="C1574" i="242" s="1"/>
  <c r="C1575" i="242" s="1"/>
  <c r="C1576" i="242" s="1"/>
  <c r="C1577" i="242" s="1"/>
  <c r="C1578" i="242" s="1"/>
  <c r="C1579" i="242" s="1"/>
  <c r="C1580" i="242" s="1"/>
  <c r="C1581" i="242" s="1"/>
  <c r="C1582" i="242" s="1"/>
  <c r="C1583" i="242" s="1"/>
  <c r="C1584" i="242" s="1"/>
  <c r="C1585" i="242" s="1"/>
  <c r="C1586" i="242" s="1"/>
  <c r="C1587" i="242" s="1"/>
  <c r="C1588" i="242" s="1"/>
  <c r="C1570" i="242"/>
  <c r="C1571" i="242" s="1"/>
  <c r="C1569" i="242"/>
  <c r="B1569" i="242"/>
  <c r="C1544" i="242"/>
  <c r="C1545" i="242" s="1"/>
  <c r="C1546" i="242" s="1"/>
  <c r="C1547" i="242" s="1"/>
  <c r="C1548" i="242" s="1"/>
  <c r="C1549" i="242" s="1"/>
  <c r="C1550" i="242" s="1"/>
  <c r="C1551" i="242" s="1"/>
  <c r="C1552" i="242" s="1"/>
  <c r="C1553" i="242" s="1"/>
  <c r="C1554" i="242" s="1"/>
  <c r="C1555" i="242" s="1"/>
  <c r="C1556" i="242" s="1"/>
  <c r="C1557" i="242" s="1"/>
  <c r="C1558" i="242" s="1"/>
  <c r="C1559" i="242" s="1"/>
  <c r="C1560" i="242" s="1"/>
  <c r="C1561" i="242" s="1"/>
  <c r="C1562" i="242" s="1"/>
  <c r="C1563" i="242" s="1"/>
  <c r="C1564" i="242" s="1"/>
  <c r="C1565" i="242" s="1"/>
  <c r="C1566" i="242" s="1"/>
  <c r="C1567" i="242" s="1"/>
  <c r="C1568" i="242" s="1"/>
  <c r="C1540" i="242"/>
  <c r="C1541" i="242" s="1"/>
  <c r="C1542" i="242" s="1"/>
  <c r="C1543" i="242" s="1"/>
  <c r="C1539" i="242"/>
  <c r="C1534" i="242"/>
  <c r="C1535" i="242" s="1"/>
  <c r="C1536" i="242" s="1"/>
  <c r="C1537" i="242" s="1"/>
  <c r="C1538" i="242" s="1"/>
  <c r="C1524" i="242"/>
  <c r="C1525" i="242" s="1"/>
  <c r="C1526" i="242" s="1"/>
  <c r="C1527" i="242" s="1"/>
  <c r="C1528" i="242" s="1"/>
  <c r="C1529" i="242" s="1"/>
  <c r="C1530" i="242" s="1"/>
  <c r="C1531" i="242" s="1"/>
  <c r="C1532" i="242" s="1"/>
  <c r="C1533" i="242" s="1"/>
  <c r="C1523" i="242"/>
  <c r="B1523" i="242"/>
  <c r="C1508" i="242"/>
  <c r="C1509" i="242" s="1"/>
  <c r="C1510" i="242" s="1"/>
  <c r="C1511" i="242" s="1"/>
  <c r="C1512" i="242" s="1"/>
  <c r="C1513" i="242" s="1"/>
  <c r="C1514" i="242" s="1"/>
  <c r="C1515" i="242" s="1"/>
  <c r="C1516" i="242" s="1"/>
  <c r="C1517" i="242" s="1"/>
  <c r="C1518" i="242" s="1"/>
  <c r="C1519" i="242" s="1"/>
  <c r="C1520" i="242" s="1"/>
  <c r="C1521" i="242" s="1"/>
  <c r="C1522" i="242" s="1"/>
  <c r="C1505" i="242"/>
  <c r="C1506" i="242" s="1"/>
  <c r="C1507" i="242" s="1"/>
  <c r="C1497" i="242"/>
  <c r="C1498" i="242" s="1"/>
  <c r="C1499" i="242" s="1"/>
  <c r="C1500" i="242" s="1"/>
  <c r="C1501" i="242" s="1"/>
  <c r="C1502" i="242" s="1"/>
  <c r="C1503" i="242" s="1"/>
  <c r="C1504" i="242" s="1"/>
  <c r="C1482" i="242"/>
  <c r="C1483" i="242" s="1"/>
  <c r="C1484" i="242" s="1"/>
  <c r="C1485" i="242" s="1"/>
  <c r="C1486" i="242" s="1"/>
  <c r="C1487" i="242" s="1"/>
  <c r="C1488" i="242" s="1"/>
  <c r="C1489" i="242" s="1"/>
  <c r="C1490" i="242" s="1"/>
  <c r="C1491" i="242" s="1"/>
  <c r="C1492" i="242" s="1"/>
  <c r="C1493" i="242" s="1"/>
  <c r="C1494" i="242" s="1"/>
  <c r="C1495" i="242" s="1"/>
  <c r="C1496" i="242" s="1"/>
  <c r="C1460" i="242"/>
  <c r="C1461" i="242" s="1"/>
  <c r="C1462" i="242" s="1"/>
  <c r="C1463" i="242" s="1"/>
  <c r="C1464" i="242" s="1"/>
  <c r="C1465" i="242" s="1"/>
  <c r="C1466" i="242" s="1"/>
  <c r="C1467" i="242" s="1"/>
  <c r="C1468" i="242" s="1"/>
  <c r="C1469" i="242" s="1"/>
  <c r="C1470" i="242" s="1"/>
  <c r="C1471" i="242" s="1"/>
  <c r="C1472" i="242" s="1"/>
  <c r="C1473" i="242" s="1"/>
  <c r="C1474" i="242" s="1"/>
  <c r="C1475" i="242" s="1"/>
  <c r="C1476" i="242" s="1"/>
  <c r="C1477" i="242" s="1"/>
  <c r="C1478" i="242" s="1"/>
  <c r="C1479" i="242" s="1"/>
  <c r="C1480" i="242" s="1"/>
  <c r="C1481" i="242" s="1"/>
  <c r="C1457" i="242"/>
  <c r="C1458" i="242" s="1"/>
  <c r="C1459" i="242" s="1"/>
  <c r="C1456" i="242"/>
  <c r="C1455" i="242"/>
  <c r="C1444" i="242"/>
  <c r="C1445" i="242" s="1"/>
  <c r="C1446" i="242" s="1"/>
  <c r="C1447" i="242" s="1"/>
  <c r="C1448" i="242" s="1"/>
  <c r="C1449" i="242" s="1"/>
  <c r="C1450" i="242" s="1"/>
  <c r="C1451" i="242" s="1"/>
  <c r="C1452" i="242" s="1"/>
  <c r="C1453" i="242" s="1"/>
  <c r="C1454" i="242" s="1"/>
  <c r="C1442" i="242"/>
  <c r="C1443" i="242" s="1"/>
  <c r="C1441" i="242"/>
  <c r="C1433" i="242"/>
  <c r="C1434" i="242" s="1"/>
  <c r="C1435" i="242" s="1"/>
  <c r="C1436" i="242" s="1"/>
  <c r="C1437" i="242" s="1"/>
  <c r="C1438" i="242" s="1"/>
  <c r="C1439" i="242" s="1"/>
  <c r="C1440" i="242" s="1"/>
  <c r="C1432" i="242"/>
  <c r="C1429" i="242"/>
  <c r="C1430" i="242" s="1"/>
  <c r="C1431" i="242" s="1"/>
  <c r="C1428" i="242"/>
  <c r="C1426" i="242"/>
  <c r="C1427" i="242" s="1"/>
  <c r="C1425" i="242"/>
  <c r="B1425" i="242"/>
  <c r="B1426" i="242" s="1"/>
  <c r="A1425" i="242"/>
  <c r="C1414" i="242"/>
  <c r="C1415" i="242" s="1"/>
  <c r="C1416" i="242" s="1"/>
  <c r="C1417" i="242" s="1"/>
  <c r="C1418" i="242" s="1"/>
  <c r="C1419" i="242" s="1"/>
  <c r="C1420" i="242" s="1"/>
  <c r="C1421" i="242" s="1"/>
  <c r="C1422" i="242" s="1"/>
  <c r="C1423" i="242" s="1"/>
  <c r="C1424" i="242" s="1"/>
  <c r="C1405" i="242"/>
  <c r="C1406" i="242" s="1"/>
  <c r="C1407" i="242" s="1"/>
  <c r="C1408" i="242" s="1"/>
  <c r="C1409" i="242" s="1"/>
  <c r="C1410" i="242" s="1"/>
  <c r="C1411" i="242" s="1"/>
  <c r="C1412" i="242" s="1"/>
  <c r="C1413" i="242" s="1"/>
  <c r="C1402" i="242"/>
  <c r="C1403" i="242" s="1"/>
  <c r="C1404" i="242" s="1"/>
  <c r="B1375" i="242"/>
  <c r="B1376" i="242" s="1"/>
  <c r="C1374" i="242"/>
  <c r="C1375" i="242" s="1"/>
  <c r="B1374" i="242"/>
  <c r="A1374" i="242"/>
  <c r="C1373" i="242"/>
  <c r="A1373" i="242" s="1"/>
  <c r="B1373" i="242"/>
  <c r="C1354" i="242"/>
  <c r="C1355" i="242" s="1"/>
  <c r="C1356" i="242" s="1"/>
  <c r="C1357" i="242" s="1"/>
  <c r="C1358" i="242" s="1"/>
  <c r="C1359" i="242" s="1"/>
  <c r="C1360" i="242" s="1"/>
  <c r="C1361" i="242" s="1"/>
  <c r="C1362" i="242" s="1"/>
  <c r="C1363" i="242" s="1"/>
  <c r="C1364" i="242" s="1"/>
  <c r="C1365" i="242" s="1"/>
  <c r="C1366" i="242" s="1"/>
  <c r="C1367" i="242" s="1"/>
  <c r="C1368" i="242" s="1"/>
  <c r="C1369" i="242" s="1"/>
  <c r="C1370" i="242" s="1"/>
  <c r="C1371" i="242" s="1"/>
  <c r="C1372" i="242" s="1"/>
  <c r="C1346" i="242"/>
  <c r="C1347" i="242" s="1"/>
  <c r="C1348" i="242" s="1"/>
  <c r="C1349" i="242" s="1"/>
  <c r="C1350" i="242" s="1"/>
  <c r="C1351" i="242" s="1"/>
  <c r="C1352" i="242" s="1"/>
  <c r="C1353" i="242" s="1"/>
  <c r="C1341" i="242"/>
  <c r="C1342" i="242" s="1"/>
  <c r="C1343" i="242" s="1"/>
  <c r="C1344" i="242" s="1"/>
  <c r="C1345" i="242" s="1"/>
  <c r="C1338" i="242"/>
  <c r="C1339" i="242" s="1"/>
  <c r="C1340" i="242" s="1"/>
  <c r="C1337" i="242"/>
  <c r="C1297" i="242"/>
  <c r="C1298" i="242" s="1"/>
  <c r="C1299" i="242" s="1"/>
  <c r="C1300" i="242" s="1"/>
  <c r="C1301" i="242" s="1"/>
  <c r="C1302" i="242" s="1"/>
  <c r="C1303" i="242" s="1"/>
  <c r="C1304" i="242" s="1"/>
  <c r="C1305" i="242" s="1"/>
  <c r="C1306" i="242" s="1"/>
  <c r="C1307" i="242" s="1"/>
  <c r="C1308" i="242" s="1"/>
  <c r="C1309" i="242" s="1"/>
  <c r="C1310" i="242" s="1"/>
  <c r="C1311" i="242" s="1"/>
  <c r="C1312" i="242" s="1"/>
  <c r="C1313" i="242" s="1"/>
  <c r="C1314" i="242" s="1"/>
  <c r="C1315" i="242" s="1"/>
  <c r="C1316" i="242" s="1"/>
  <c r="C1317" i="242" s="1"/>
  <c r="C1318" i="242" s="1"/>
  <c r="C1319" i="242" s="1"/>
  <c r="C1320" i="242" s="1"/>
  <c r="C1321" i="242" s="1"/>
  <c r="C1322" i="242" s="1"/>
  <c r="C1323" i="242" s="1"/>
  <c r="C1324" i="242" s="1"/>
  <c r="C1325" i="242" s="1"/>
  <c r="C1326" i="242" s="1"/>
  <c r="C1327" i="242" s="1"/>
  <c r="C1328" i="242" s="1"/>
  <c r="C1329" i="242" s="1"/>
  <c r="C1330" i="242" s="1"/>
  <c r="C1331" i="242" s="1"/>
  <c r="C1332" i="242" s="1"/>
  <c r="C1333" i="242" s="1"/>
  <c r="C1334" i="242" s="1"/>
  <c r="C1335" i="242" s="1"/>
  <c r="C1336" i="242" s="1"/>
  <c r="C1286" i="242"/>
  <c r="C1287" i="242" s="1"/>
  <c r="C1288" i="242" s="1"/>
  <c r="C1289" i="242" s="1"/>
  <c r="C1290" i="242" s="1"/>
  <c r="C1291" i="242" s="1"/>
  <c r="C1292" i="242" s="1"/>
  <c r="C1293" i="242" s="1"/>
  <c r="C1294" i="242" s="1"/>
  <c r="C1295" i="242" s="1"/>
  <c r="C1296" i="242" s="1"/>
  <c r="C1285" i="242"/>
  <c r="C1250" i="242"/>
  <c r="C1251" i="242" s="1"/>
  <c r="C1252" i="242" s="1"/>
  <c r="C1253" i="242" s="1"/>
  <c r="C1254" i="242" s="1"/>
  <c r="C1255" i="242" s="1"/>
  <c r="C1256" i="242" s="1"/>
  <c r="C1257" i="242" s="1"/>
  <c r="C1258" i="242" s="1"/>
  <c r="C1259" i="242" s="1"/>
  <c r="C1260" i="242" s="1"/>
  <c r="C1261" i="242" s="1"/>
  <c r="C1262" i="242" s="1"/>
  <c r="C1263" i="242" s="1"/>
  <c r="C1264" i="242" s="1"/>
  <c r="C1265" i="242" s="1"/>
  <c r="C1266" i="242" s="1"/>
  <c r="C1267" i="242" s="1"/>
  <c r="C1268" i="242" s="1"/>
  <c r="C1269" i="242" s="1"/>
  <c r="C1270" i="242" s="1"/>
  <c r="C1271" i="242" s="1"/>
  <c r="C1272" i="242" s="1"/>
  <c r="C1273" i="242" s="1"/>
  <c r="C1274" i="242" s="1"/>
  <c r="C1275" i="242" s="1"/>
  <c r="C1276" i="242" s="1"/>
  <c r="C1277" i="242" s="1"/>
  <c r="C1278" i="242" s="1"/>
  <c r="C1279" i="242" s="1"/>
  <c r="C1280" i="242" s="1"/>
  <c r="C1281" i="242" s="1"/>
  <c r="C1282" i="242" s="1"/>
  <c r="C1283" i="242" s="1"/>
  <c r="C1284" i="242" s="1"/>
  <c r="C1242" i="242"/>
  <c r="C1243" i="242" s="1"/>
  <c r="C1244" i="242" s="1"/>
  <c r="C1245" i="242" s="1"/>
  <c r="C1246" i="242" s="1"/>
  <c r="C1247" i="242" s="1"/>
  <c r="C1248" i="242" s="1"/>
  <c r="C1249" i="242" s="1"/>
  <c r="C1225" i="242"/>
  <c r="C1226" i="242" s="1"/>
  <c r="C1227" i="242" s="1"/>
  <c r="C1228" i="242" s="1"/>
  <c r="C1229" i="242" s="1"/>
  <c r="C1230" i="242" s="1"/>
  <c r="C1231" i="242" s="1"/>
  <c r="C1232" i="242" s="1"/>
  <c r="C1233" i="242" s="1"/>
  <c r="C1234" i="242" s="1"/>
  <c r="C1235" i="242" s="1"/>
  <c r="C1236" i="242" s="1"/>
  <c r="C1237" i="242" s="1"/>
  <c r="C1238" i="242" s="1"/>
  <c r="C1239" i="242" s="1"/>
  <c r="C1240" i="242" s="1"/>
  <c r="C1241" i="242" s="1"/>
  <c r="C1223" i="242"/>
  <c r="C1224" i="242" s="1"/>
  <c r="C1222" i="242"/>
  <c r="C1173" i="242"/>
  <c r="C1174" i="242" s="1"/>
  <c r="C1175" i="242" s="1"/>
  <c r="C1176" i="242" s="1"/>
  <c r="C1177" i="242" s="1"/>
  <c r="C1178" i="242" s="1"/>
  <c r="C1179" i="242" s="1"/>
  <c r="C1180" i="242" s="1"/>
  <c r="C1181" i="242" s="1"/>
  <c r="C1182" i="242" s="1"/>
  <c r="C1183" i="242" s="1"/>
  <c r="C1184" i="242" s="1"/>
  <c r="C1185" i="242" s="1"/>
  <c r="C1186" i="242" s="1"/>
  <c r="C1187" i="242" s="1"/>
  <c r="C1188" i="242" s="1"/>
  <c r="C1189" i="242" s="1"/>
  <c r="C1190" i="242" s="1"/>
  <c r="C1191" i="242" s="1"/>
  <c r="C1192" i="242" s="1"/>
  <c r="C1193" i="242" s="1"/>
  <c r="C1194" i="242" s="1"/>
  <c r="C1195" i="242" s="1"/>
  <c r="C1196" i="242" s="1"/>
  <c r="C1197" i="242" s="1"/>
  <c r="C1198" i="242" s="1"/>
  <c r="C1199" i="242" s="1"/>
  <c r="C1200" i="242" s="1"/>
  <c r="C1201" i="242" s="1"/>
  <c r="C1202" i="242" s="1"/>
  <c r="C1203" i="242" s="1"/>
  <c r="C1204" i="242" s="1"/>
  <c r="C1205" i="242" s="1"/>
  <c r="C1206" i="242" s="1"/>
  <c r="C1207" i="242" s="1"/>
  <c r="C1208" i="242" s="1"/>
  <c r="C1209" i="242" s="1"/>
  <c r="C1210" i="242" s="1"/>
  <c r="C1211" i="242" s="1"/>
  <c r="C1212" i="242" s="1"/>
  <c r="C1213" i="242" s="1"/>
  <c r="C1214" i="242" s="1"/>
  <c r="C1215" i="242" s="1"/>
  <c r="C1216" i="242" s="1"/>
  <c r="C1217" i="242" s="1"/>
  <c r="C1218" i="242" s="1"/>
  <c r="C1219" i="242" s="1"/>
  <c r="C1220" i="242" s="1"/>
  <c r="C1221" i="242" s="1"/>
  <c r="C1171" i="242"/>
  <c r="C1172" i="242" s="1"/>
  <c r="B1171" i="242"/>
  <c r="B1172" i="242" s="1"/>
  <c r="A1171" i="242"/>
  <c r="C1170" i="242"/>
  <c r="A1170" i="242" s="1"/>
  <c r="B1170" i="242"/>
  <c r="C1109" i="242"/>
  <c r="C1110" i="242" s="1"/>
  <c r="C1111" i="242" s="1"/>
  <c r="C1112" i="242" s="1"/>
  <c r="C1113" i="242" s="1"/>
  <c r="C1114" i="242" s="1"/>
  <c r="C1115" i="242" s="1"/>
  <c r="C1116" i="242" s="1"/>
  <c r="C1117" i="242" s="1"/>
  <c r="C1118" i="242" s="1"/>
  <c r="C1119" i="242" s="1"/>
  <c r="C1120" i="242" s="1"/>
  <c r="C1121" i="242" s="1"/>
  <c r="C1122" i="242" s="1"/>
  <c r="C1123" i="242" s="1"/>
  <c r="C1124" i="242" s="1"/>
  <c r="C1125" i="242" s="1"/>
  <c r="C1126" i="242" s="1"/>
  <c r="C1127" i="242" s="1"/>
  <c r="C1128" i="242" s="1"/>
  <c r="C1129" i="242" s="1"/>
  <c r="C1130" i="242" s="1"/>
  <c r="C1131" i="242" s="1"/>
  <c r="C1132" i="242" s="1"/>
  <c r="C1133" i="242" s="1"/>
  <c r="C1134" i="242" s="1"/>
  <c r="C1135" i="242" s="1"/>
  <c r="C1136" i="242" s="1"/>
  <c r="C1137" i="242" s="1"/>
  <c r="C1138" i="242" s="1"/>
  <c r="C1139" i="242" s="1"/>
  <c r="C1140" i="242" s="1"/>
  <c r="C1141" i="242" s="1"/>
  <c r="C1142" i="242" s="1"/>
  <c r="C1143" i="242" s="1"/>
  <c r="C1144" i="242" s="1"/>
  <c r="C1145" i="242" s="1"/>
  <c r="C1146" i="242" s="1"/>
  <c r="C1147" i="242" s="1"/>
  <c r="C1148" i="242" s="1"/>
  <c r="C1149" i="242" s="1"/>
  <c r="C1150" i="242" s="1"/>
  <c r="C1151" i="242" s="1"/>
  <c r="C1152" i="242" s="1"/>
  <c r="C1153" i="242" s="1"/>
  <c r="C1154" i="242" s="1"/>
  <c r="C1155" i="242" s="1"/>
  <c r="C1156" i="242" s="1"/>
  <c r="C1157" i="242" s="1"/>
  <c r="C1158" i="242" s="1"/>
  <c r="C1159" i="242" s="1"/>
  <c r="C1160" i="242" s="1"/>
  <c r="C1161" i="242" s="1"/>
  <c r="C1162" i="242" s="1"/>
  <c r="C1163" i="242" s="1"/>
  <c r="C1164" i="242" s="1"/>
  <c r="C1165" i="242" s="1"/>
  <c r="C1166" i="242" s="1"/>
  <c r="C1167" i="242" s="1"/>
  <c r="C1168" i="242" s="1"/>
  <c r="C1169" i="242" s="1"/>
  <c r="C1107" i="242"/>
  <c r="C1108" i="242" s="1"/>
  <c r="C1047" i="242"/>
  <c r="C1048" i="242" s="1"/>
  <c r="C1049" i="242" s="1"/>
  <c r="C1050" i="242" s="1"/>
  <c r="C1051" i="242" s="1"/>
  <c r="C1052" i="242" s="1"/>
  <c r="C1053" i="242" s="1"/>
  <c r="C1054" i="242" s="1"/>
  <c r="C1055" i="242" s="1"/>
  <c r="C1056" i="242" s="1"/>
  <c r="C1057" i="242" s="1"/>
  <c r="C1058" i="242" s="1"/>
  <c r="C1059" i="242" s="1"/>
  <c r="C1060" i="242" s="1"/>
  <c r="C1061" i="242" s="1"/>
  <c r="C1062" i="242" s="1"/>
  <c r="C1063" i="242" s="1"/>
  <c r="C1064" i="242" s="1"/>
  <c r="C1065" i="242" s="1"/>
  <c r="C1066" i="242" s="1"/>
  <c r="C1067" i="242" s="1"/>
  <c r="C1068" i="242" s="1"/>
  <c r="C1069" i="242" s="1"/>
  <c r="C1070" i="242" s="1"/>
  <c r="C1071" i="242" s="1"/>
  <c r="C1072" i="242" s="1"/>
  <c r="C1073" i="242" s="1"/>
  <c r="C1074" i="242" s="1"/>
  <c r="C1075" i="242" s="1"/>
  <c r="C1076" i="242" s="1"/>
  <c r="C1077" i="242" s="1"/>
  <c r="C1078" i="242" s="1"/>
  <c r="C1079" i="242" s="1"/>
  <c r="C1080" i="242" s="1"/>
  <c r="C1081" i="242" s="1"/>
  <c r="C1082" i="242" s="1"/>
  <c r="C1083" i="242" s="1"/>
  <c r="C1084" i="242" s="1"/>
  <c r="C1085" i="242" s="1"/>
  <c r="C1086" i="242" s="1"/>
  <c r="C1087" i="242" s="1"/>
  <c r="C1088" i="242" s="1"/>
  <c r="C1089" i="242" s="1"/>
  <c r="C1090" i="242" s="1"/>
  <c r="C1091" i="242" s="1"/>
  <c r="C1092" i="242" s="1"/>
  <c r="C1093" i="242" s="1"/>
  <c r="C1094" i="242" s="1"/>
  <c r="C1095" i="242" s="1"/>
  <c r="C1096" i="242" s="1"/>
  <c r="C1097" i="242" s="1"/>
  <c r="C1098" i="242" s="1"/>
  <c r="C1099" i="242" s="1"/>
  <c r="C1100" i="242" s="1"/>
  <c r="C1101" i="242" s="1"/>
  <c r="C1102" i="242" s="1"/>
  <c r="C1103" i="242" s="1"/>
  <c r="C1104" i="242" s="1"/>
  <c r="C1105" i="242" s="1"/>
  <c r="C1106" i="242" s="1"/>
  <c r="C1045" i="242"/>
  <c r="C1046" i="242" s="1"/>
  <c r="C1044" i="242"/>
  <c r="C1004" i="242"/>
  <c r="C1005" i="242" s="1"/>
  <c r="C1006" i="242" s="1"/>
  <c r="C1007" i="242" s="1"/>
  <c r="C1008" i="242" s="1"/>
  <c r="C1009" i="242" s="1"/>
  <c r="C1010" i="242" s="1"/>
  <c r="C1011" i="242" s="1"/>
  <c r="C1012" i="242" s="1"/>
  <c r="C1013" i="242" s="1"/>
  <c r="C1014" i="242" s="1"/>
  <c r="C1015" i="242" s="1"/>
  <c r="C1016" i="242" s="1"/>
  <c r="C1017" i="242" s="1"/>
  <c r="C1018" i="242" s="1"/>
  <c r="C1019" i="242" s="1"/>
  <c r="C1020" i="242" s="1"/>
  <c r="C1021" i="242" s="1"/>
  <c r="C1022" i="242" s="1"/>
  <c r="C1023" i="242" s="1"/>
  <c r="C1024" i="242" s="1"/>
  <c r="C1025" i="242" s="1"/>
  <c r="C1026" i="242" s="1"/>
  <c r="C1027" i="242" s="1"/>
  <c r="C1028" i="242" s="1"/>
  <c r="C1029" i="242" s="1"/>
  <c r="C1030" i="242" s="1"/>
  <c r="C1031" i="242" s="1"/>
  <c r="C1032" i="242" s="1"/>
  <c r="C1033" i="242" s="1"/>
  <c r="C1034" i="242" s="1"/>
  <c r="C1035" i="242" s="1"/>
  <c r="C1036" i="242" s="1"/>
  <c r="C1037" i="242" s="1"/>
  <c r="C1038" i="242" s="1"/>
  <c r="C1039" i="242" s="1"/>
  <c r="C1040" i="242" s="1"/>
  <c r="C1041" i="242" s="1"/>
  <c r="C1042" i="242" s="1"/>
  <c r="C1043" i="242" s="1"/>
  <c r="C984" i="242"/>
  <c r="C985" i="242" s="1"/>
  <c r="C986" i="242" s="1"/>
  <c r="C987" i="242" s="1"/>
  <c r="C988" i="242" s="1"/>
  <c r="C989" i="242" s="1"/>
  <c r="C990" i="242" s="1"/>
  <c r="C991" i="242" s="1"/>
  <c r="C992" i="242" s="1"/>
  <c r="C993" i="242" s="1"/>
  <c r="C994" i="242" s="1"/>
  <c r="C995" i="242" s="1"/>
  <c r="C996" i="242" s="1"/>
  <c r="C997" i="242" s="1"/>
  <c r="C998" i="242" s="1"/>
  <c r="C999" i="242" s="1"/>
  <c r="C1000" i="242" s="1"/>
  <c r="C1001" i="242" s="1"/>
  <c r="C1002" i="242" s="1"/>
  <c r="C1003" i="242" s="1"/>
  <c r="C929" i="242"/>
  <c r="C930" i="242" s="1"/>
  <c r="C931" i="242" s="1"/>
  <c r="C932" i="242" s="1"/>
  <c r="C933" i="242" s="1"/>
  <c r="C934" i="242" s="1"/>
  <c r="C935" i="242" s="1"/>
  <c r="C936" i="242" s="1"/>
  <c r="C937" i="242" s="1"/>
  <c r="C938" i="242" s="1"/>
  <c r="C939" i="242" s="1"/>
  <c r="C940" i="242" s="1"/>
  <c r="C941" i="242" s="1"/>
  <c r="C942" i="242" s="1"/>
  <c r="C943" i="242" s="1"/>
  <c r="C944" i="242" s="1"/>
  <c r="C945" i="242" s="1"/>
  <c r="C946" i="242" s="1"/>
  <c r="C947" i="242" s="1"/>
  <c r="C948" i="242" s="1"/>
  <c r="C949" i="242" s="1"/>
  <c r="C950" i="242" s="1"/>
  <c r="C951" i="242" s="1"/>
  <c r="C952" i="242" s="1"/>
  <c r="C953" i="242" s="1"/>
  <c r="C954" i="242" s="1"/>
  <c r="C955" i="242" s="1"/>
  <c r="C956" i="242" s="1"/>
  <c r="C957" i="242" s="1"/>
  <c r="C958" i="242" s="1"/>
  <c r="C959" i="242" s="1"/>
  <c r="C960" i="242" s="1"/>
  <c r="C961" i="242" s="1"/>
  <c r="C962" i="242" s="1"/>
  <c r="C963" i="242" s="1"/>
  <c r="C964" i="242" s="1"/>
  <c r="C965" i="242" s="1"/>
  <c r="C966" i="242" s="1"/>
  <c r="C967" i="242" s="1"/>
  <c r="C968" i="242" s="1"/>
  <c r="C969" i="242" s="1"/>
  <c r="C970" i="242" s="1"/>
  <c r="C971" i="242" s="1"/>
  <c r="C972" i="242" s="1"/>
  <c r="C973" i="242" s="1"/>
  <c r="C974" i="242" s="1"/>
  <c r="C975" i="242" s="1"/>
  <c r="C976" i="242" s="1"/>
  <c r="C977" i="242" s="1"/>
  <c r="C978" i="242" s="1"/>
  <c r="C979" i="242" s="1"/>
  <c r="C980" i="242" s="1"/>
  <c r="C981" i="242" s="1"/>
  <c r="C982" i="242" s="1"/>
  <c r="C983" i="242" s="1"/>
  <c r="C925" i="242"/>
  <c r="C926" i="242" s="1"/>
  <c r="C927" i="242" s="1"/>
  <c r="C928" i="242" s="1"/>
  <c r="C914" i="242"/>
  <c r="C915" i="242" s="1"/>
  <c r="C916" i="242" s="1"/>
  <c r="C917" i="242" s="1"/>
  <c r="C918" i="242" s="1"/>
  <c r="C919" i="242" s="1"/>
  <c r="C920" i="242" s="1"/>
  <c r="C921" i="242" s="1"/>
  <c r="C922" i="242" s="1"/>
  <c r="C923" i="242" s="1"/>
  <c r="C924" i="242" s="1"/>
  <c r="C849" i="242"/>
  <c r="C850" i="242" s="1"/>
  <c r="C851" i="242" s="1"/>
  <c r="C852" i="242" s="1"/>
  <c r="C853" i="242" s="1"/>
  <c r="C854" i="242" s="1"/>
  <c r="C855" i="242" s="1"/>
  <c r="C856" i="242" s="1"/>
  <c r="C857" i="242" s="1"/>
  <c r="C858" i="242" s="1"/>
  <c r="C859" i="242" s="1"/>
  <c r="C860" i="242" s="1"/>
  <c r="C861" i="242" s="1"/>
  <c r="C862" i="242" s="1"/>
  <c r="C863" i="242" s="1"/>
  <c r="C864" i="242" s="1"/>
  <c r="C865" i="242" s="1"/>
  <c r="C866" i="242" s="1"/>
  <c r="C867" i="242" s="1"/>
  <c r="C868" i="242" s="1"/>
  <c r="C869" i="242" s="1"/>
  <c r="C870" i="242" s="1"/>
  <c r="C871" i="242" s="1"/>
  <c r="C872" i="242" s="1"/>
  <c r="C873" i="242" s="1"/>
  <c r="C874" i="242" s="1"/>
  <c r="C875" i="242" s="1"/>
  <c r="C876" i="242" s="1"/>
  <c r="C877" i="242" s="1"/>
  <c r="C878" i="242" s="1"/>
  <c r="C879" i="242" s="1"/>
  <c r="C880" i="242" s="1"/>
  <c r="C881" i="242" s="1"/>
  <c r="C882" i="242" s="1"/>
  <c r="C883" i="242" s="1"/>
  <c r="C884" i="242" s="1"/>
  <c r="C885" i="242" s="1"/>
  <c r="C886" i="242" s="1"/>
  <c r="C887" i="242" s="1"/>
  <c r="C888" i="242" s="1"/>
  <c r="C889" i="242" s="1"/>
  <c r="C890" i="242" s="1"/>
  <c r="C891" i="242" s="1"/>
  <c r="C892" i="242" s="1"/>
  <c r="C893" i="242" s="1"/>
  <c r="C894" i="242" s="1"/>
  <c r="C895" i="242" s="1"/>
  <c r="C896" i="242" s="1"/>
  <c r="C897" i="242" s="1"/>
  <c r="C898" i="242" s="1"/>
  <c r="C899" i="242" s="1"/>
  <c r="C900" i="242" s="1"/>
  <c r="C901" i="242" s="1"/>
  <c r="C902" i="242" s="1"/>
  <c r="C903" i="242" s="1"/>
  <c r="C904" i="242" s="1"/>
  <c r="C905" i="242" s="1"/>
  <c r="C906" i="242" s="1"/>
  <c r="C907" i="242" s="1"/>
  <c r="C908" i="242" s="1"/>
  <c r="C909" i="242" s="1"/>
  <c r="C910" i="242" s="1"/>
  <c r="C911" i="242" s="1"/>
  <c r="C912" i="242" s="1"/>
  <c r="C913" i="242" s="1"/>
  <c r="C848" i="242"/>
  <c r="C793" i="242"/>
  <c r="C794" i="242" s="1"/>
  <c r="C795" i="242" s="1"/>
  <c r="C796" i="242" s="1"/>
  <c r="C797" i="242" s="1"/>
  <c r="C798" i="242" s="1"/>
  <c r="C799" i="242" s="1"/>
  <c r="C800" i="242" s="1"/>
  <c r="C801" i="242" s="1"/>
  <c r="C802" i="242" s="1"/>
  <c r="C803" i="242" s="1"/>
  <c r="C804" i="242" s="1"/>
  <c r="C805" i="242" s="1"/>
  <c r="C806" i="242" s="1"/>
  <c r="C807" i="242" s="1"/>
  <c r="C808" i="242" s="1"/>
  <c r="C809" i="242" s="1"/>
  <c r="C810" i="242" s="1"/>
  <c r="C811" i="242" s="1"/>
  <c r="C812" i="242" s="1"/>
  <c r="C813" i="242" s="1"/>
  <c r="C814" i="242" s="1"/>
  <c r="C815" i="242" s="1"/>
  <c r="C816" i="242" s="1"/>
  <c r="C817" i="242" s="1"/>
  <c r="C818" i="242" s="1"/>
  <c r="C819" i="242" s="1"/>
  <c r="C820" i="242" s="1"/>
  <c r="C821" i="242" s="1"/>
  <c r="C822" i="242" s="1"/>
  <c r="C823" i="242" s="1"/>
  <c r="C824" i="242" s="1"/>
  <c r="C825" i="242" s="1"/>
  <c r="C826" i="242" s="1"/>
  <c r="C827" i="242" s="1"/>
  <c r="C828" i="242" s="1"/>
  <c r="C829" i="242" s="1"/>
  <c r="C830" i="242" s="1"/>
  <c r="C831" i="242" s="1"/>
  <c r="C832" i="242" s="1"/>
  <c r="C833" i="242" s="1"/>
  <c r="C834" i="242" s="1"/>
  <c r="C835" i="242" s="1"/>
  <c r="C836" i="242" s="1"/>
  <c r="C837" i="242" s="1"/>
  <c r="C838" i="242" s="1"/>
  <c r="C839" i="242" s="1"/>
  <c r="C840" i="242" s="1"/>
  <c r="C841" i="242" s="1"/>
  <c r="C842" i="242" s="1"/>
  <c r="C843" i="242" s="1"/>
  <c r="C844" i="242" s="1"/>
  <c r="C845" i="242" s="1"/>
  <c r="C846" i="242" s="1"/>
  <c r="C847" i="242" s="1"/>
  <c r="C782" i="242"/>
  <c r="C783" i="242" s="1"/>
  <c r="C784" i="242" s="1"/>
  <c r="C785" i="242" s="1"/>
  <c r="C786" i="242" s="1"/>
  <c r="C787" i="242" s="1"/>
  <c r="C788" i="242" s="1"/>
  <c r="C789" i="242" s="1"/>
  <c r="C790" i="242" s="1"/>
  <c r="C791" i="242" s="1"/>
  <c r="C792" i="242" s="1"/>
  <c r="C780" i="242"/>
  <c r="C781" i="242" s="1"/>
  <c r="C779" i="242"/>
  <c r="C718" i="242"/>
  <c r="C719" i="242" s="1"/>
  <c r="C720" i="242" s="1"/>
  <c r="C721" i="242" s="1"/>
  <c r="C722" i="242" s="1"/>
  <c r="C723" i="242" s="1"/>
  <c r="C724" i="242" s="1"/>
  <c r="C725" i="242" s="1"/>
  <c r="C726" i="242" s="1"/>
  <c r="C727" i="242" s="1"/>
  <c r="C728" i="242" s="1"/>
  <c r="C729" i="242" s="1"/>
  <c r="C730" i="242" s="1"/>
  <c r="C731" i="242" s="1"/>
  <c r="C732" i="242" s="1"/>
  <c r="C733" i="242" s="1"/>
  <c r="C734" i="242" s="1"/>
  <c r="C735" i="242" s="1"/>
  <c r="C736" i="242" s="1"/>
  <c r="C737" i="242" s="1"/>
  <c r="C738" i="242" s="1"/>
  <c r="C739" i="242" s="1"/>
  <c r="C740" i="242" s="1"/>
  <c r="C741" i="242" s="1"/>
  <c r="C742" i="242" s="1"/>
  <c r="C743" i="242" s="1"/>
  <c r="C744" i="242" s="1"/>
  <c r="C745" i="242" s="1"/>
  <c r="C746" i="242" s="1"/>
  <c r="C747" i="242" s="1"/>
  <c r="C748" i="242" s="1"/>
  <c r="C749" i="242" s="1"/>
  <c r="C750" i="242" s="1"/>
  <c r="C751" i="242" s="1"/>
  <c r="C752" i="242" s="1"/>
  <c r="C753" i="242" s="1"/>
  <c r="C754" i="242" s="1"/>
  <c r="C755" i="242" s="1"/>
  <c r="C756" i="242" s="1"/>
  <c r="C757" i="242" s="1"/>
  <c r="C758" i="242" s="1"/>
  <c r="C759" i="242" s="1"/>
  <c r="C760" i="242" s="1"/>
  <c r="C761" i="242" s="1"/>
  <c r="C762" i="242" s="1"/>
  <c r="C763" i="242" s="1"/>
  <c r="C764" i="242" s="1"/>
  <c r="C765" i="242" s="1"/>
  <c r="C766" i="242" s="1"/>
  <c r="C767" i="242" s="1"/>
  <c r="C768" i="242" s="1"/>
  <c r="C769" i="242" s="1"/>
  <c r="C770" i="242" s="1"/>
  <c r="C771" i="242" s="1"/>
  <c r="C772" i="242" s="1"/>
  <c r="C773" i="242" s="1"/>
  <c r="C774" i="242" s="1"/>
  <c r="C775" i="242" s="1"/>
  <c r="C776" i="242" s="1"/>
  <c r="C777" i="242" s="1"/>
  <c r="C778" i="242" s="1"/>
  <c r="C716" i="242"/>
  <c r="C717" i="242" s="1"/>
  <c r="C715" i="242"/>
  <c r="B715" i="242"/>
  <c r="C714" i="242"/>
  <c r="B714" i="242"/>
  <c r="A714" i="242"/>
  <c r="C693" i="242"/>
  <c r="C694" i="242" s="1"/>
  <c r="C695" i="242" s="1"/>
  <c r="C696" i="242" s="1"/>
  <c r="C697" i="242" s="1"/>
  <c r="C698" i="242" s="1"/>
  <c r="C699" i="242" s="1"/>
  <c r="C700" i="242" s="1"/>
  <c r="C701" i="242" s="1"/>
  <c r="C702" i="242" s="1"/>
  <c r="C703" i="242" s="1"/>
  <c r="C704" i="242" s="1"/>
  <c r="C705" i="242" s="1"/>
  <c r="C706" i="242" s="1"/>
  <c r="C707" i="242" s="1"/>
  <c r="C708" i="242" s="1"/>
  <c r="C709" i="242" s="1"/>
  <c r="C710" i="242" s="1"/>
  <c r="C711" i="242" s="1"/>
  <c r="C712" i="242" s="1"/>
  <c r="C713" i="242" s="1"/>
  <c r="C692" i="242"/>
  <c r="C649" i="242"/>
  <c r="C650" i="242" s="1"/>
  <c r="C651" i="242" s="1"/>
  <c r="C652" i="242" s="1"/>
  <c r="C653" i="242" s="1"/>
  <c r="C654" i="242" s="1"/>
  <c r="C655" i="242" s="1"/>
  <c r="C656" i="242" s="1"/>
  <c r="C657" i="242" s="1"/>
  <c r="C658" i="242" s="1"/>
  <c r="C659" i="242" s="1"/>
  <c r="C660" i="242" s="1"/>
  <c r="C661" i="242" s="1"/>
  <c r="C662" i="242" s="1"/>
  <c r="C663" i="242" s="1"/>
  <c r="C664" i="242" s="1"/>
  <c r="C665" i="242" s="1"/>
  <c r="C666" i="242" s="1"/>
  <c r="C667" i="242" s="1"/>
  <c r="C668" i="242" s="1"/>
  <c r="C669" i="242" s="1"/>
  <c r="C670" i="242" s="1"/>
  <c r="C671" i="242" s="1"/>
  <c r="C672" i="242" s="1"/>
  <c r="C673" i="242" s="1"/>
  <c r="C674" i="242" s="1"/>
  <c r="C675" i="242" s="1"/>
  <c r="C676" i="242" s="1"/>
  <c r="C677" i="242" s="1"/>
  <c r="C678" i="242" s="1"/>
  <c r="C679" i="242" s="1"/>
  <c r="C680" i="242" s="1"/>
  <c r="C681" i="242" s="1"/>
  <c r="C682" i="242" s="1"/>
  <c r="C683" i="242" s="1"/>
  <c r="C684" i="242" s="1"/>
  <c r="C685" i="242" s="1"/>
  <c r="C686" i="242" s="1"/>
  <c r="C687" i="242" s="1"/>
  <c r="C688" i="242" s="1"/>
  <c r="C689" i="242" s="1"/>
  <c r="C690" i="242" s="1"/>
  <c r="C691" i="242" s="1"/>
  <c r="C644" i="242"/>
  <c r="C645" i="242" s="1"/>
  <c r="C646" i="242" s="1"/>
  <c r="C647" i="242" s="1"/>
  <c r="C648" i="242" s="1"/>
  <c r="C643" i="242"/>
  <c r="C620" i="242"/>
  <c r="C621" i="242" s="1"/>
  <c r="C622" i="242" s="1"/>
  <c r="C623" i="242" s="1"/>
  <c r="C624" i="242" s="1"/>
  <c r="C625" i="242" s="1"/>
  <c r="C626" i="242" s="1"/>
  <c r="C627" i="242" s="1"/>
  <c r="C628" i="242" s="1"/>
  <c r="C629" i="242" s="1"/>
  <c r="C630" i="242" s="1"/>
  <c r="C631" i="242" s="1"/>
  <c r="C632" i="242" s="1"/>
  <c r="C633" i="242" s="1"/>
  <c r="C634" i="242" s="1"/>
  <c r="C635" i="242" s="1"/>
  <c r="C636" i="242" s="1"/>
  <c r="C637" i="242" s="1"/>
  <c r="C638" i="242" s="1"/>
  <c r="C639" i="242" s="1"/>
  <c r="C640" i="242" s="1"/>
  <c r="C641" i="242" s="1"/>
  <c r="C642" i="242" s="1"/>
  <c r="C619" i="242"/>
  <c r="C618" i="242"/>
  <c r="B618" i="242"/>
  <c r="B619" i="242" s="1"/>
  <c r="A618" i="242"/>
  <c r="C602" i="242"/>
  <c r="C603" i="242" s="1"/>
  <c r="C604" i="242" s="1"/>
  <c r="C605" i="242" s="1"/>
  <c r="C606" i="242" s="1"/>
  <c r="C607" i="242" s="1"/>
  <c r="C608" i="242" s="1"/>
  <c r="C609" i="242" s="1"/>
  <c r="C610" i="242" s="1"/>
  <c r="C611" i="242" s="1"/>
  <c r="C612" i="242" s="1"/>
  <c r="C613" i="242" s="1"/>
  <c r="C614" i="242" s="1"/>
  <c r="C615" i="242" s="1"/>
  <c r="C616" i="242" s="1"/>
  <c r="C617" i="242" s="1"/>
  <c r="C601" i="242"/>
  <c r="C600" i="242"/>
  <c r="C551" i="242"/>
  <c r="C552" i="242" s="1"/>
  <c r="C553" i="242" s="1"/>
  <c r="C554" i="242" s="1"/>
  <c r="C555" i="242" s="1"/>
  <c r="C556" i="242" s="1"/>
  <c r="C557" i="242" s="1"/>
  <c r="C558" i="242" s="1"/>
  <c r="C559" i="242" s="1"/>
  <c r="C560" i="242" s="1"/>
  <c r="C561" i="242" s="1"/>
  <c r="C562" i="242" s="1"/>
  <c r="C563" i="242" s="1"/>
  <c r="C564" i="242" s="1"/>
  <c r="C565" i="242" s="1"/>
  <c r="C566" i="242" s="1"/>
  <c r="C567" i="242" s="1"/>
  <c r="C568" i="242" s="1"/>
  <c r="C569" i="242" s="1"/>
  <c r="C570" i="242" s="1"/>
  <c r="C571" i="242" s="1"/>
  <c r="C572" i="242" s="1"/>
  <c r="C573" i="242" s="1"/>
  <c r="C574" i="242" s="1"/>
  <c r="C575" i="242" s="1"/>
  <c r="C576" i="242" s="1"/>
  <c r="C577" i="242" s="1"/>
  <c r="C578" i="242" s="1"/>
  <c r="C579" i="242" s="1"/>
  <c r="C580" i="242" s="1"/>
  <c r="C581" i="242" s="1"/>
  <c r="C582" i="242" s="1"/>
  <c r="C583" i="242" s="1"/>
  <c r="C584" i="242" s="1"/>
  <c r="C585" i="242" s="1"/>
  <c r="C586" i="242" s="1"/>
  <c r="C587" i="242" s="1"/>
  <c r="C588" i="242" s="1"/>
  <c r="C589" i="242" s="1"/>
  <c r="C590" i="242" s="1"/>
  <c r="C591" i="242" s="1"/>
  <c r="C592" i="242" s="1"/>
  <c r="C593" i="242" s="1"/>
  <c r="C594" i="242" s="1"/>
  <c r="C595" i="242" s="1"/>
  <c r="C596" i="242" s="1"/>
  <c r="C597" i="242" s="1"/>
  <c r="C598" i="242" s="1"/>
  <c r="C599" i="242" s="1"/>
  <c r="C550" i="242"/>
  <c r="B535" i="242"/>
  <c r="B534" i="242"/>
  <c r="C533" i="242"/>
  <c r="B533" i="242"/>
  <c r="C532" i="242"/>
  <c r="A532" i="242" s="1"/>
  <c r="B532" i="242"/>
  <c r="C502" i="242"/>
  <c r="C503" i="242" s="1"/>
  <c r="C504" i="242" s="1"/>
  <c r="C505" i="242" s="1"/>
  <c r="C506" i="242" s="1"/>
  <c r="C507" i="242" s="1"/>
  <c r="C508" i="242" s="1"/>
  <c r="C509" i="242" s="1"/>
  <c r="C510" i="242" s="1"/>
  <c r="C511" i="242" s="1"/>
  <c r="C512" i="242" s="1"/>
  <c r="C513" i="242" s="1"/>
  <c r="C514" i="242" s="1"/>
  <c r="C515" i="242" s="1"/>
  <c r="C516" i="242" s="1"/>
  <c r="C517" i="242" s="1"/>
  <c r="C518" i="242" s="1"/>
  <c r="C519" i="242" s="1"/>
  <c r="C520" i="242" s="1"/>
  <c r="C521" i="242" s="1"/>
  <c r="C522" i="242" s="1"/>
  <c r="C523" i="242" s="1"/>
  <c r="C524" i="242" s="1"/>
  <c r="C525" i="242" s="1"/>
  <c r="C526" i="242" s="1"/>
  <c r="C527" i="242" s="1"/>
  <c r="C528" i="242" s="1"/>
  <c r="C529" i="242" s="1"/>
  <c r="C530" i="242" s="1"/>
  <c r="C531" i="242" s="1"/>
  <c r="C496" i="242"/>
  <c r="C497" i="242" s="1"/>
  <c r="C498" i="242" s="1"/>
  <c r="C499" i="242" s="1"/>
  <c r="C500" i="242" s="1"/>
  <c r="C501" i="242" s="1"/>
  <c r="C495" i="242"/>
  <c r="C493" i="242"/>
  <c r="C494" i="242" s="1"/>
  <c r="C492" i="242"/>
  <c r="C491" i="242"/>
  <c r="B491" i="242"/>
  <c r="C490" i="242"/>
  <c r="A490" i="242" s="1"/>
  <c r="B490" i="242"/>
  <c r="C472" i="242"/>
  <c r="C473" i="242" s="1"/>
  <c r="C474" i="242" s="1"/>
  <c r="C475" i="242" s="1"/>
  <c r="C476" i="242" s="1"/>
  <c r="C477" i="242" s="1"/>
  <c r="C478" i="242" s="1"/>
  <c r="C479" i="242" s="1"/>
  <c r="C480" i="242" s="1"/>
  <c r="C481" i="242" s="1"/>
  <c r="C482" i="242" s="1"/>
  <c r="C483" i="242" s="1"/>
  <c r="C484" i="242" s="1"/>
  <c r="C485" i="242" s="1"/>
  <c r="C486" i="242" s="1"/>
  <c r="C487" i="242" s="1"/>
  <c r="C488" i="242" s="1"/>
  <c r="C489" i="242" s="1"/>
  <c r="C445" i="242"/>
  <c r="C446" i="242" s="1"/>
  <c r="C447" i="242" s="1"/>
  <c r="C448" i="242" s="1"/>
  <c r="C449" i="242" s="1"/>
  <c r="C450" i="242" s="1"/>
  <c r="C451" i="242" s="1"/>
  <c r="C452" i="242" s="1"/>
  <c r="C453" i="242" s="1"/>
  <c r="C454" i="242" s="1"/>
  <c r="C455" i="242" s="1"/>
  <c r="C456" i="242" s="1"/>
  <c r="C457" i="242" s="1"/>
  <c r="C458" i="242" s="1"/>
  <c r="C459" i="242" s="1"/>
  <c r="C460" i="242" s="1"/>
  <c r="C461" i="242" s="1"/>
  <c r="C462" i="242" s="1"/>
  <c r="C463" i="242" s="1"/>
  <c r="C464" i="242" s="1"/>
  <c r="C465" i="242" s="1"/>
  <c r="C466" i="242" s="1"/>
  <c r="C467" i="242" s="1"/>
  <c r="C468" i="242" s="1"/>
  <c r="C469" i="242" s="1"/>
  <c r="C470" i="242" s="1"/>
  <c r="C471" i="242" s="1"/>
  <c r="C444" i="242"/>
  <c r="B443" i="242"/>
  <c r="C442" i="242"/>
  <c r="C443" i="242" s="1"/>
  <c r="C441" i="242"/>
  <c r="B441" i="242"/>
  <c r="B442" i="242" s="1"/>
  <c r="C426" i="242"/>
  <c r="C427" i="242" s="1"/>
  <c r="C428" i="242" s="1"/>
  <c r="C429" i="242" s="1"/>
  <c r="C430" i="242" s="1"/>
  <c r="C431" i="242" s="1"/>
  <c r="C432" i="242" s="1"/>
  <c r="C433" i="242" s="1"/>
  <c r="C434" i="242" s="1"/>
  <c r="C435" i="242" s="1"/>
  <c r="C436" i="242" s="1"/>
  <c r="C437" i="242" s="1"/>
  <c r="C438" i="242" s="1"/>
  <c r="C439" i="242" s="1"/>
  <c r="C440" i="242" s="1"/>
  <c r="C397" i="242"/>
  <c r="C398" i="242" s="1"/>
  <c r="C399" i="242" s="1"/>
  <c r="C400" i="242" s="1"/>
  <c r="C401" i="242" s="1"/>
  <c r="C402" i="242" s="1"/>
  <c r="C403" i="242" s="1"/>
  <c r="C404" i="242" s="1"/>
  <c r="C405" i="242" s="1"/>
  <c r="C406" i="242" s="1"/>
  <c r="C407" i="242" s="1"/>
  <c r="C408" i="242" s="1"/>
  <c r="C409" i="242" s="1"/>
  <c r="C410" i="242" s="1"/>
  <c r="C411" i="242" s="1"/>
  <c r="C412" i="242" s="1"/>
  <c r="C413" i="242" s="1"/>
  <c r="C414" i="242" s="1"/>
  <c r="C415" i="242" s="1"/>
  <c r="C416" i="242" s="1"/>
  <c r="C417" i="242" s="1"/>
  <c r="C418" i="242" s="1"/>
  <c r="C419" i="242" s="1"/>
  <c r="C420" i="242" s="1"/>
  <c r="C421" i="242" s="1"/>
  <c r="C422" i="242" s="1"/>
  <c r="C423" i="242" s="1"/>
  <c r="C424" i="242" s="1"/>
  <c r="C425" i="242" s="1"/>
  <c r="B397" i="242"/>
  <c r="C396" i="242"/>
  <c r="B396" i="242"/>
  <c r="A396" i="242" s="1"/>
  <c r="C395" i="242"/>
  <c r="B395" i="242"/>
  <c r="A395" i="242" s="1"/>
  <c r="C374" i="242"/>
  <c r="C375" i="242" s="1"/>
  <c r="C376" i="242" s="1"/>
  <c r="C377" i="242" s="1"/>
  <c r="C378" i="242" s="1"/>
  <c r="C379" i="242" s="1"/>
  <c r="C380" i="242" s="1"/>
  <c r="C381" i="242" s="1"/>
  <c r="C382" i="242" s="1"/>
  <c r="C383" i="242" s="1"/>
  <c r="C384" i="242" s="1"/>
  <c r="C385" i="242" s="1"/>
  <c r="C386" i="242" s="1"/>
  <c r="C387" i="242" s="1"/>
  <c r="C388" i="242" s="1"/>
  <c r="C389" i="242" s="1"/>
  <c r="C390" i="242" s="1"/>
  <c r="C391" i="242" s="1"/>
  <c r="C392" i="242" s="1"/>
  <c r="C393" i="242" s="1"/>
  <c r="C394" i="242" s="1"/>
  <c r="C370" i="242"/>
  <c r="C371" i="242" s="1"/>
  <c r="C372" i="242" s="1"/>
  <c r="C373" i="242" s="1"/>
  <c r="C368" i="242"/>
  <c r="C369" i="242" s="1"/>
  <c r="C367" i="242"/>
  <c r="C317" i="242"/>
  <c r="C318" i="242" s="1"/>
  <c r="C319" i="242" s="1"/>
  <c r="C320" i="242" s="1"/>
  <c r="C321" i="242" s="1"/>
  <c r="C322" i="242" s="1"/>
  <c r="C323" i="242" s="1"/>
  <c r="C324" i="242" s="1"/>
  <c r="C325" i="242" s="1"/>
  <c r="C326" i="242" s="1"/>
  <c r="C327" i="242" s="1"/>
  <c r="C328" i="242" s="1"/>
  <c r="C329" i="242" s="1"/>
  <c r="C330" i="242" s="1"/>
  <c r="C331" i="242" s="1"/>
  <c r="C332" i="242" s="1"/>
  <c r="C333" i="242" s="1"/>
  <c r="C334" i="242" s="1"/>
  <c r="C335" i="242" s="1"/>
  <c r="C336" i="242" s="1"/>
  <c r="C337" i="242" s="1"/>
  <c r="C338" i="242" s="1"/>
  <c r="C339" i="242" s="1"/>
  <c r="C340" i="242" s="1"/>
  <c r="C341" i="242" s="1"/>
  <c r="C342" i="242" s="1"/>
  <c r="C343" i="242" s="1"/>
  <c r="C344" i="242" s="1"/>
  <c r="C345" i="242" s="1"/>
  <c r="C346" i="242" s="1"/>
  <c r="C347" i="242" s="1"/>
  <c r="C348" i="242" s="1"/>
  <c r="C349" i="242" s="1"/>
  <c r="C350" i="242" s="1"/>
  <c r="C351" i="242" s="1"/>
  <c r="C352" i="242" s="1"/>
  <c r="C353" i="242" s="1"/>
  <c r="C354" i="242" s="1"/>
  <c r="C355" i="242" s="1"/>
  <c r="C356" i="242" s="1"/>
  <c r="C357" i="242" s="1"/>
  <c r="C358" i="242" s="1"/>
  <c r="C359" i="242" s="1"/>
  <c r="C360" i="242" s="1"/>
  <c r="C361" i="242" s="1"/>
  <c r="C362" i="242" s="1"/>
  <c r="C363" i="242" s="1"/>
  <c r="C364" i="242" s="1"/>
  <c r="C365" i="242" s="1"/>
  <c r="C366" i="242" s="1"/>
  <c r="C295" i="242"/>
  <c r="C296" i="242" s="1"/>
  <c r="C297" i="242" s="1"/>
  <c r="C298" i="242" s="1"/>
  <c r="C299" i="242" s="1"/>
  <c r="C300" i="242" s="1"/>
  <c r="C301" i="242" s="1"/>
  <c r="C302" i="242" s="1"/>
  <c r="C303" i="242" s="1"/>
  <c r="C304" i="242" s="1"/>
  <c r="C305" i="242" s="1"/>
  <c r="C306" i="242" s="1"/>
  <c r="C307" i="242" s="1"/>
  <c r="C308" i="242" s="1"/>
  <c r="C309" i="242" s="1"/>
  <c r="C310" i="242" s="1"/>
  <c r="C311" i="242" s="1"/>
  <c r="C312" i="242" s="1"/>
  <c r="C313" i="242" s="1"/>
  <c r="C314" i="242" s="1"/>
  <c r="C315" i="242" s="1"/>
  <c r="C316" i="242" s="1"/>
  <c r="C291" i="242"/>
  <c r="C292" i="242" s="1"/>
  <c r="C293" i="242" s="1"/>
  <c r="C294" i="242" s="1"/>
  <c r="C273" i="242"/>
  <c r="C274" i="242" s="1"/>
  <c r="C275" i="242" s="1"/>
  <c r="C276" i="242" s="1"/>
  <c r="C277" i="242" s="1"/>
  <c r="C278" i="242" s="1"/>
  <c r="C279" i="242" s="1"/>
  <c r="C280" i="242" s="1"/>
  <c r="C281" i="242" s="1"/>
  <c r="C282" i="242" s="1"/>
  <c r="C283" i="242" s="1"/>
  <c r="C284" i="242" s="1"/>
  <c r="C285" i="242" s="1"/>
  <c r="C286" i="242" s="1"/>
  <c r="C287" i="242" s="1"/>
  <c r="C288" i="242" s="1"/>
  <c r="C289" i="242" s="1"/>
  <c r="C290" i="242" s="1"/>
  <c r="C270" i="242"/>
  <c r="C271" i="242" s="1"/>
  <c r="C272" i="242" s="1"/>
  <c r="B249" i="242"/>
  <c r="B250" i="242" s="1"/>
  <c r="B248" i="242"/>
  <c r="C247" i="242"/>
  <c r="C248" i="242" s="1"/>
  <c r="C249" i="242" s="1"/>
  <c r="B247" i="242"/>
  <c r="C246" i="242"/>
  <c r="B246" i="242"/>
  <c r="A246" i="242" s="1"/>
  <c r="C224" i="242"/>
  <c r="C225" i="242" s="1"/>
  <c r="C226" i="242" s="1"/>
  <c r="C227" i="242" s="1"/>
  <c r="C228" i="242" s="1"/>
  <c r="C229" i="242" s="1"/>
  <c r="C230" i="242" s="1"/>
  <c r="C231" i="242" s="1"/>
  <c r="C232" i="242" s="1"/>
  <c r="C233" i="242" s="1"/>
  <c r="C234" i="242" s="1"/>
  <c r="C235" i="242" s="1"/>
  <c r="C236" i="242" s="1"/>
  <c r="C237" i="242" s="1"/>
  <c r="C238" i="242" s="1"/>
  <c r="C239" i="242" s="1"/>
  <c r="C240" i="242" s="1"/>
  <c r="C241" i="242" s="1"/>
  <c r="C242" i="242" s="1"/>
  <c r="C243" i="242" s="1"/>
  <c r="C244" i="242" s="1"/>
  <c r="C245" i="242" s="1"/>
  <c r="C223" i="242"/>
  <c r="C174" i="242"/>
  <c r="C175" i="242" s="1"/>
  <c r="C176" i="242" s="1"/>
  <c r="C177" i="242" s="1"/>
  <c r="C178" i="242" s="1"/>
  <c r="C179" i="242" s="1"/>
  <c r="C180" i="242" s="1"/>
  <c r="C181" i="242" s="1"/>
  <c r="C182" i="242" s="1"/>
  <c r="C183" i="242" s="1"/>
  <c r="C184" i="242" s="1"/>
  <c r="C185" i="242" s="1"/>
  <c r="C186" i="242" s="1"/>
  <c r="C187" i="242" s="1"/>
  <c r="C188" i="242" s="1"/>
  <c r="C189" i="242" s="1"/>
  <c r="C190" i="242" s="1"/>
  <c r="C191" i="242" s="1"/>
  <c r="C192" i="242" s="1"/>
  <c r="C193" i="242" s="1"/>
  <c r="C194" i="242" s="1"/>
  <c r="C195" i="242" s="1"/>
  <c r="C196" i="242" s="1"/>
  <c r="C197" i="242" s="1"/>
  <c r="C198" i="242" s="1"/>
  <c r="C199" i="242" s="1"/>
  <c r="C200" i="242" s="1"/>
  <c r="C201" i="242" s="1"/>
  <c r="C202" i="242" s="1"/>
  <c r="C203" i="242" s="1"/>
  <c r="C204" i="242" s="1"/>
  <c r="C205" i="242" s="1"/>
  <c r="C206" i="242" s="1"/>
  <c r="C207" i="242" s="1"/>
  <c r="C208" i="242" s="1"/>
  <c r="C209" i="242" s="1"/>
  <c r="C210" i="242" s="1"/>
  <c r="C211" i="242" s="1"/>
  <c r="C212" i="242" s="1"/>
  <c r="C213" i="242" s="1"/>
  <c r="C214" i="242" s="1"/>
  <c r="C215" i="242" s="1"/>
  <c r="C216" i="242" s="1"/>
  <c r="C217" i="242" s="1"/>
  <c r="C218" i="242" s="1"/>
  <c r="C219" i="242" s="1"/>
  <c r="C220" i="242" s="1"/>
  <c r="C221" i="242" s="1"/>
  <c r="C222" i="242" s="1"/>
  <c r="C147" i="242"/>
  <c r="C148" i="242" s="1"/>
  <c r="C149" i="242" s="1"/>
  <c r="C150" i="242" s="1"/>
  <c r="C151" i="242" s="1"/>
  <c r="C152" i="242" s="1"/>
  <c r="C153" i="242" s="1"/>
  <c r="C154" i="242" s="1"/>
  <c r="C155" i="242" s="1"/>
  <c r="C156" i="242" s="1"/>
  <c r="C157" i="242" s="1"/>
  <c r="C158" i="242" s="1"/>
  <c r="C159" i="242" s="1"/>
  <c r="C160" i="242" s="1"/>
  <c r="C161" i="242" s="1"/>
  <c r="C162" i="242" s="1"/>
  <c r="C163" i="242" s="1"/>
  <c r="C164" i="242" s="1"/>
  <c r="C165" i="242" s="1"/>
  <c r="C166" i="242" s="1"/>
  <c r="C167" i="242" s="1"/>
  <c r="C168" i="242" s="1"/>
  <c r="C169" i="242" s="1"/>
  <c r="C170" i="242" s="1"/>
  <c r="C171" i="242" s="1"/>
  <c r="C172" i="242" s="1"/>
  <c r="C173" i="242" s="1"/>
  <c r="B147" i="242"/>
  <c r="C146" i="242"/>
  <c r="A146" i="242" s="1"/>
  <c r="B146" i="242"/>
  <c r="C141" i="242"/>
  <c r="C142" i="242" s="1"/>
  <c r="C143" i="242" s="1"/>
  <c r="C144" i="242" s="1"/>
  <c r="C145" i="242" s="1"/>
  <c r="C140" i="242"/>
  <c r="C111" i="242"/>
  <c r="C112" i="242" s="1"/>
  <c r="C113" i="242" s="1"/>
  <c r="C114" i="242" s="1"/>
  <c r="C115" i="242" s="1"/>
  <c r="C116" i="242" s="1"/>
  <c r="C117" i="242" s="1"/>
  <c r="C118" i="242" s="1"/>
  <c r="C119" i="242" s="1"/>
  <c r="C120" i="242" s="1"/>
  <c r="C121" i="242" s="1"/>
  <c r="C122" i="242" s="1"/>
  <c r="C123" i="242" s="1"/>
  <c r="C124" i="242" s="1"/>
  <c r="C125" i="242" s="1"/>
  <c r="C126" i="242" s="1"/>
  <c r="C127" i="242" s="1"/>
  <c r="C128" i="242" s="1"/>
  <c r="C129" i="242" s="1"/>
  <c r="C130" i="242" s="1"/>
  <c r="C131" i="242" s="1"/>
  <c r="C132" i="242" s="1"/>
  <c r="C133" i="242" s="1"/>
  <c r="C134" i="242" s="1"/>
  <c r="C135" i="242" s="1"/>
  <c r="C136" i="242" s="1"/>
  <c r="C137" i="242" s="1"/>
  <c r="C138" i="242" s="1"/>
  <c r="C139" i="242" s="1"/>
  <c r="C110" i="242"/>
  <c r="A110" i="242"/>
  <c r="C109" i="242"/>
  <c r="B109" i="242"/>
  <c r="B110" i="242" s="1"/>
  <c r="B111" i="242" s="1"/>
  <c r="A109" i="242"/>
  <c r="C83" i="242"/>
  <c r="C84" i="242" s="1"/>
  <c r="C85" i="242" s="1"/>
  <c r="C86" i="242" s="1"/>
  <c r="C87" i="242" s="1"/>
  <c r="C88" i="242" s="1"/>
  <c r="C89" i="242" s="1"/>
  <c r="C90" i="242" s="1"/>
  <c r="C91" i="242" s="1"/>
  <c r="C92" i="242" s="1"/>
  <c r="C93" i="242" s="1"/>
  <c r="C94" i="242" s="1"/>
  <c r="C95" i="242" s="1"/>
  <c r="C96" i="242" s="1"/>
  <c r="C97" i="242" s="1"/>
  <c r="C98" i="242" s="1"/>
  <c r="C99" i="242" s="1"/>
  <c r="C100" i="242" s="1"/>
  <c r="C101" i="242" s="1"/>
  <c r="C102" i="242" s="1"/>
  <c r="C103" i="242" s="1"/>
  <c r="C104" i="242" s="1"/>
  <c r="C105" i="242" s="1"/>
  <c r="C106" i="242" s="1"/>
  <c r="C107" i="242" s="1"/>
  <c r="C108" i="242" s="1"/>
  <c r="C82" i="242"/>
  <c r="C81" i="242"/>
  <c r="C33" i="242"/>
  <c r="C34" i="242" s="1"/>
  <c r="C35" i="242" s="1"/>
  <c r="C36" i="242" s="1"/>
  <c r="C37" i="242" s="1"/>
  <c r="C38" i="242" s="1"/>
  <c r="C39" i="242" s="1"/>
  <c r="C40" i="242" s="1"/>
  <c r="C41" i="242" s="1"/>
  <c r="C42" i="242" s="1"/>
  <c r="C43" i="242" s="1"/>
  <c r="C44" i="242" s="1"/>
  <c r="C45" i="242" s="1"/>
  <c r="C46" i="242" s="1"/>
  <c r="C47" i="242" s="1"/>
  <c r="C48" i="242" s="1"/>
  <c r="C49" i="242" s="1"/>
  <c r="C50" i="242" s="1"/>
  <c r="C51" i="242" s="1"/>
  <c r="C52" i="242" s="1"/>
  <c r="C53" i="242" s="1"/>
  <c r="C54" i="242" s="1"/>
  <c r="C55" i="242" s="1"/>
  <c r="C56" i="242" s="1"/>
  <c r="C57" i="242" s="1"/>
  <c r="C58" i="242" s="1"/>
  <c r="C59" i="242" s="1"/>
  <c r="C60" i="242" s="1"/>
  <c r="C61" i="242" s="1"/>
  <c r="C62" i="242" s="1"/>
  <c r="C63" i="242" s="1"/>
  <c r="C64" i="242" s="1"/>
  <c r="C65" i="242" s="1"/>
  <c r="C66" i="242" s="1"/>
  <c r="C67" i="242" s="1"/>
  <c r="C68" i="242" s="1"/>
  <c r="C69" i="242" s="1"/>
  <c r="C70" i="242" s="1"/>
  <c r="C71" i="242" s="1"/>
  <c r="C72" i="242" s="1"/>
  <c r="C73" i="242" s="1"/>
  <c r="C74" i="242" s="1"/>
  <c r="C75" i="242" s="1"/>
  <c r="C76" i="242" s="1"/>
  <c r="C77" i="242" s="1"/>
  <c r="C78" i="242" s="1"/>
  <c r="C79" i="242" s="1"/>
  <c r="C80" i="242" s="1"/>
  <c r="C4" i="242"/>
  <c r="C5" i="242" s="1"/>
  <c r="C6" i="242" s="1"/>
  <c r="C7" i="242" s="1"/>
  <c r="C8" i="242" s="1"/>
  <c r="C9" i="242" s="1"/>
  <c r="C10" i="242" s="1"/>
  <c r="C11" i="242" s="1"/>
  <c r="C12" i="242" s="1"/>
  <c r="C13" i="242" s="1"/>
  <c r="C14" i="242" s="1"/>
  <c r="C15" i="242" s="1"/>
  <c r="C16" i="242" s="1"/>
  <c r="C17" i="242" s="1"/>
  <c r="C18" i="242" s="1"/>
  <c r="C19" i="242" s="1"/>
  <c r="C20" i="242" s="1"/>
  <c r="C21" i="242" s="1"/>
  <c r="C22" i="242" s="1"/>
  <c r="C23" i="242" s="1"/>
  <c r="C24" i="242" s="1"/>
  <c r="C25" i="242" s="1"/>
  <c r="C26" i="242" s="1"/>
  <c r="C27" i="242" s="1"/>
  <c r="C28" i="242" s="1"/>
  <c r="C29" i="242" s="1"/>
  <c r="C30" i="242" s="1"/>
  <c r="C31" i="242" s="1"/>
  <c r="C32" i="242" s="1"/>
  <c r="B4" i="242"/>
  <c r="B5" i="242" s="1"/>
  <c r="B6" i="242" s="1"/>
  <c r="A4" i="242"/>
  <c r="C3" i="242"/>
  <c r="B3" i="242"/>
  <c r="A3" i="242" s="1"/>
  <c r="C2" i="242"/>
  <c r="B2" i="242"/>
  <c r="A6" i="242" l="1"/>
  <c r="B7" i="242"/>
  <c r="C250" i="242"/>
  <c r="C251" i="242" s="1"/>
  <c r="C252" i="242" s="1"/>
  <c r="C253" i="242" s="1"/>
  <c r="C254" i="242" s="1"/>
  <c r="C255" i="242" s="1"/>
  <c r="C256" i="242" s="1"/>
  <c r="C257" i="242" s="1"/>
  <c r="C258" i="242" s="1"/>
  <c r="C259" i="242" s="1"/>
  <c r="C260" i="242" s="1"/>
  <c r="C261" i="242" s="1"/>
  <c r="C262" i="242" s="1"/>
  <c r="C263" i="242" s="1"/>
  <c r="C264" i="242" s="1"/>
  <c r="C265" i="242" s="1"/>
  <c r="C266" i="242" s="1"/>
  <c r="C267" i="242" s="1"/>
  <c r="C268" i="242" s="1"/>
  <c r="C269" i="242" s="1"/>
  <c r="A249" i="242"/>
  <c r="A248" i="242"/>
  <c r="A111" i="242"/>
  <c r="B112" i="242"/>
  <c r="A619" i="242"/>
  <c r="B620" i="242"/>
  <c r="A533" i="242"/>
  <c r="C534" i="242"/>
  <c r="B398" i="242"/>
  <c r="A397" i="242"/>
  <c r="A5" i="242"/>
  <c r="B1682" i="242"/>
  <c r="A1681" i="242"/>
  <c r="A147" i="242"/>
  <c r="B148" i="242"/>
  <c r="A250" i="242"/>
  <c r="B251" i="242"/>
  <c r="A247" i="242"/>
  <c r="A443" i="242"/>
  <c r="B444" i="242"/>
  <c r="A715" i="242"/>
  <c r="B716" i="242"/>
  <c r="A491" i="242"/>
  <c r="B492" i="242"/>
  <c r="B536" i="242"/>
  <c r="A441" i="242"/>
  <c r="A442" i="242"/>
  <c r="A1426" i="242"/>
  <c r="B1427" i="242"/>
  <c r="B1173" i="242"/>
  <c r="A1172" i="242"/>
  <c r="B1524" i="242"/>
  <c r="A1523" i="242"/>
  <c r="C1376" i="242"/>
  <c r="C1377" i="242" s="1"/>
  <c r="C1378" i="242" s="1"/>
  <c r="C1379" i="242" s="1"/>
  <c r="C1380" i="242" s="1"/>
  <c r="C1381" i="242" s="1"/>
  <c r="C1382" i="242" s="1"/>
  <c r="C1383" i="242" s="1"/>
  <c r="C1384" i="242" s="1"/>
  <c r="C1385" i="242" s="1"/>
  <c r="C1386" i="242" s="1"/>
  <c r="C1387" i="242" s="1"/>
  <c r="C1388" i="242" s="1"/>
  <c r="C1389" i="242" s="1"/>
  <c r="C1390" i="242" s="1"/>
  <c r="C1391" i="242" s="1"/>
  <c r="C1392" i="242" s="1"/>
  <c r="C1393" i="242" s="1"/>
  <c r="C1394" i="242" s="1"/>
  <c r="C1395" i="242" s="1"/>
  <c r="C1396" i="242" s="1"/>
  <c r="C1397" i="242" s="1"/>
  <c r="C1398" i="242" s="1"/>
  <c r="C1399" i="242" s="1"/>
  <c r="C1400" i="242" s="1"/>
  <c r="C1401" i="242" s="1"/>
  <c r="A1375" i="242"/>
  <c r="B1377" i="242"/>
  <c r="A1376" i="242"/>
  <c r="A1620" i="242"/>
  <c r="B1622" i="242"/>
  <c r="A1621" i="242"/>
  <c r="A2011" i="242"/>
  <c r="B2012" i="242"/>
  <c r="B1570" i="242"/>
  <c r="A1569" i="242"/>
  <c r="A1961" i="242"/>
  <c r="B1962" i="242"/>
  <c r="A1680" i="242"/>
  <c r="B1888" i="242"/>
  <c r="A1740" i="242"/>
  <c r="B2112" i="242"/>
  <c r="A2111" i="242"/>
  <c r="A1918" i="242"/>
  <c r="B1919" i="242"/>
  <c r="B1741" i="242"/>
  <c r="A2373" i="242"/>
  <c r="B2374" i="242"/>
  <c r="B2426" i="242"/>
  <c r="A2425" i="242"/>
  <c r="A2164" i="242"/>
  <c r="B2165" i="242"/>
  <c r="B2236" i="242"/>
  <c r="A2235" i="242"/>
  <c r="A2424" i="242"/>
  <c r="A2217" i="242"/>
  <c r="C2888" i="242"/>
  <c r="C2889" i="242" s="1"/>
  <c r="C2890" i="242" s="1"/>
  <c r="C2891" i="242" s="1"/>
  <c r="C2892" i="242" s="1"/>
  <c r="C2893" i="242" s="1"/>
  <c r="C2894" i="242" s="1"/>
  <c r="C2895" i="242" s="1"/>
  <c r="C2896" i="242" s="1"/>
  <c r="C2897" i="242" s="1"/>
  <c r="C2898" i="242" s="1"/>
  <c r="C2899" i="242" s="1"/>
  <c r="C2900" i="242" s="1"/>
  <c r="C2901" i="242" s="1"/>
  <c r="C2902" i="242" s="1"/>
  <c r="C2903" i="242" s="1"/>
  <c r="C2904" i="242" s="1"/>
  <c r="C2905" i="242" s="1"/>
  <c r="C2906" i="242" s="1"/>
  <c r="C2907" i="242" s="1"/>
  <c r="C2908" i="242" s="1"/>
  <c r="C2909" i="242" s="1"/>
  <c r="A2887" i="242"/>
  <c r="B2218" i="242"/>
  <c r="B2319" i="242"/>
  <c r="A2318" i="242"/>
  <c r="B2530" i="242"/>
  <c r="A2529" i="242"/>
  <c r="A2216" i="242"/>
  <c r="A2889" i="242"/>
  <c r="B2890" i="242"/>
  <c r="B2588" i="242"/>
  <c r="A2888" i="242"/>
  <c r="A2884" i="242"/>
  <c r="A2885" i="242"/>
  <c r="A2886" i="242"/>
  <c r="C24" i="243"/>
  <c r="A23" i="243"/>
  <c r="C9" i="243"/>
  <c r="A8" i="243"/>
  <c r="A16" i="243"/>
  <c r="C17" i="243"/>
  <c r="A17" i="243" s="1"/>
  <c r="C262" i="241"/>
  <c r="C263" i="241" s="1"/>
  <c r="C264" i="241" s="1"/>
  <c r="C265" i="241" s="1"/>
  <c r="C266" i="241" s="1"/>
  <c r="C267" i="241" s="1"/>
  <c r="C268" i="241" s="1"/>
  <c r="C269" i="241" s="1"/>
  <c r="C270" i="241" s="1"/>
  <c r="C271" i="241" s="1"/>
  <c r="C272" i="241" s="1"/>
  <c r="C273" i="241" s="1"/>
  <c r="C274" i="241" s="1"/>
  <c r="C275" i="241" s="1"/>
  <c r="C276" i="241" s="1"/>
  <c r="C277" i="241" s="1"/>
  <c r="C278" i="241" s="1"/>
  <c r="C279" i="241" s="1"/>
  <c r="C280" i="241" s="1"/>
  <c r="C281" i="241" s="1"/>
  <c r="C282" i="241" s="1"/>
  <c r="C283" i="241" s="1"/>
  <c r="C284" i="241" s="1"/>
  <c r="C285" i="241" s="1"/>
  <c r="C286" i="241" s="1"/>
  <c r="C287" i="241" s="1"/>
  <c r="C288" i="241" s="1"/>
  <c r="C289" i="241" s="1"/>
  <c r="C290" i="241" s="1"/>
  <c r="C291" i="241" s="1"/>
  <c r="C292" i="241" s="1"/>
  <c r="C293" i="241" s="1"/>
  <c r="C294" i="241" s="1"/>
  <c r="C295" i="241" s="1"/>
  <c r="C296" i="241" s="1"/>
  <c r="C297" i="241" s="1"/>
  <c r="C298" i="241" s="1"/>
  <c r="C299" i="241" s="1"/>
  <c r="C300" i="241" s="1"/>
  <c r="C301" i="241" s="1"/>
  <c r="C302" i="241" s="1"/>
  <c r="C303" i="241" s="1"/>
  <c r="C304" i="241" s="1"/>
  <c r="C305" i="241" s="1"/>
  <c r="C306" i="241" s="1"/>
  <c r="C307" i="241" s="1"/>
  <c r="C308" i="241" s="1"/>
  <c r="C309" i="241" s="1"/>
  <c r="C261" i="241"/>
  <c r="C259" i="241"/>
  <c r="C260" i="241" s="1"/>
  <c r="C213" i="241"/>
  <c r="C214" i="241" s="1"/>
  <c r="C215" i="241" s="1"/>
  <c r="C216" i="241" s="1"/>
  <c r="C217" i="241" s="1"/>
  <c r="C218" i="241" s="1"/>
  <c r="C219" i="241" s="1"/>
  <c r="C220" i="241" s="1"/>
  <c r="C221" i="241" s="1"/>
  <c r="C222" i="241" s="1"/>
  <c r="C223" i="241" s="1"/>
  <c r="C224" i="241" s="1"/>
  <c r="C225" i="241" s="1"/>
  <c r="C226" i="241" s="1"/>
  <c r="C227" i="241" s="1"/>
  <c r="C228" i="241" s="1"/>
  <c r="C229" i="241" s="1"/>
  <c r="C230" i="241" s="1"/>
  <c r="C231" i="241" s="1"/>
  <c r="C232" i="241" s="1"/>
  <c r="C233" i="241" s="1"/>
  <c r="C234" i="241" s="1"/>
  <c r="C235" i="241" s="1"/>
  <c r="C236" i="241" s="1"/>
  <c r="C237" i="241" s="1"/>
  <c r="C238" i="241" s="1"/>
  <c r="C239" i="241" s="1"/>
  <c r="C240" i="241" s="1"/>
  <c r="C241" i="241" s="1"/>
  <c r="C242" i="241" s="1"/>
  <c r="C243" i="241" s="1"/>
  <c r="C244" i="241" s="1"/>
  <c r="C245" i="241" s="1"/>
  <c r="C246" i="241" s="1"/>
  <c r="C247" i="241" s="1"/>
  <c r="C248" i="241" s="1"/>
  <c r="C249" i="241" s="1"/>
  <c r="C250" i="241" s="1"/>
  <c r="C251" i="241" s="1"/>
  <c r="C252" i="241" s="1"/>
  <c r="C253" i="241" s="1"/>
  <c r="C254" i="241" s="1"/>
  <c r="C255" i="241" s="1"/>
  <c r="C256" i="241" s="1"/>
  <c r="C257" i="241" s="1"/>
  <c r="C258" i="241" s="1"/>
  <c r="C211" i="241"/>
  <c r="C212" i="241" s="1"/>
  <c r="C210" i="241"/>
  <c r="C209" i="241"/>
  <c r="C208" i="241"/>
  <c r="C207" i="241"/>
  <c r="B207" i="241"/>
  <c r="A207" i="241" s="1"/>
  <c r="C157" i="241"/>
  <c r="C158" i="241" s="1"/>
  <c r="C159" i="241" s="1"/>
  <c r="C160" i="241" s="1"/>
  <c r="C161" i="241" s="1"/>
  <c r="C162" i="241" s="1"/>
  <c r="C163" i="241" s="1"/>
  <c r="C164" i="241" s="1"/>
  <c r="C165" i="241" s="1"/>
  <c r="C166" i="241" s="1"/>
  <c r="C167" i="241" s="1"/>
  <c r="C168" i="241" s="1"/>
  <c r="C169" i="241" s="1"/>
  <c r="C170" i="241" s="1"/>
  <c r="C171" i="241" s="1"/>
  <c r="C172" i="241" s="1"/>
  <c r="C173" i="241" s="1"/>
  <c r="C174" i="241" s="1"/>
  <c r="C175" i="241" s="1"/>
  <c r="C176" i="241" s="1"/>
  <c r="C177" i="241" s="1"/>
  <c r="C178" i="241" s="1"/>
  <c r="C179" i="241" s="1"/>
  <c r="C180" i="241" s="1"/>
  <c r="C181" i="241" s="1"/>
  <c r="C182" i="241" s="1"/>
  <c r="C183" i="241" s="1"/>
  <c r="C184" i="241" s="1"/>
  <c r="C185" i="241" s="1"/>
  <c r="C186" i="241" s="1"/>
  <c r="C187" i="241" s="1"/>
  <c r="C188" i="241" s="1"/>
  <c r="C189" i="241" s="1"/>
  <c r="C190" i="241" s="1"/>
  <c r="C191" i="241" s="1"/>
  <c r="C192" i="241" s="1"/>
  <c r="C193" i="241" s="1"/>
  <c r="C194" i="241" s="1"/>
  <c r="C195" i="241" s="1"/>
  <c r="C196" i="241" s="1"/>
  <c r="C197" i="241" s="1"/>
  <c r="C198" i="241" s="1"/>
  <c r="C199" i="241" s="1"/>
  <c r="C200" i="241" s="1"/>
  <c r="C201" i="241" s="1"/>
  <c r="C202" i="241" s="1"/>
  <c r="C203" i="241" s="1"/>
  <c r="C204" i="241" s="1"/>
  <c r="C205" i="241" s="1"/>
  <c r="C206" i="241" s="1"/>
  <c r="B157" i="241"/>
  <c r="A157" i="241" s="1"/>
  <c r="C156" i="241"/>
  <c r="B156" i="241"/>
  <c r="A156" i="241" s="1"/>
  <c r="C97" i="241"/>
  <c r="C98" i="241" s="1"/>
  <c r="C99" i="241" s="1"/>
  <c r="C100" i="241" s="1"/>
  <c r="C101" i="241" s="1"/>
  <c r="C102" i="241" s="1"/>
  <c r="C103" i="241" s="1"/>
  <c r="C104" i="241" s="1"/>
  <c r="C105" i="241" s="1"/>
  <c r="C106" i="241" s="1"/>
  <c r="C107" i="241" s="1"/>
  <c r="C108" i="241" s="1"/>
  <c r="C109" i="241" s="1"/>
  <c r="C110" i="241" s="1"/>
  <c r="C111" i="241" s="1"/>
  <c r="C112" i="241" s="1"/>
  <c r="C113" i="241" s="1"/>
  <c r="C114" i="241" s="1"/>
  <c r="C115" i="241" s="1"/>
  <c r="C116" i="241" s="1"/>
  <c r="C117" i="241" s="1"/>
  <c r="C118" i="241" s="1"/>
  <c r="C119" i="241" s="1"/>
  <c r="C120" i="241" s="1"/>
  <c r="C121" i="241" s="1"/>
  <c r="C122" i="241" s="1"/>
  <c r="C123" i="241" s="1"/>
  <c r="C124" i="241" s="1"/>
  <c r="C125" i="241" s="1"/>
  <c r="C126" i="241" s="1"/>
  <c r="C127" i="241" s="1"/>
  <c r="C128" i="241" s="1"/>
  <c r="C129" i="241" s="1"/>
  <c r="C130" i="241" s="1"/>
  <c r="C131" i="241" s="1"/>
  <c r="C132" i="241" s="1"/>
  <c r="C133" i="241" s="1"/>
  <c r="C134" i="241" s="1"/>
  <c r="C135" i="241" s="1"/>
  <c r="C136" i="241" s="1"/>
  <c r="C137" i="241" s="1"/>
  <c r="C138" i="241" s="1"/>
  <c r="C139" i="241" s="1"/>
  <c r="C140" i="241" s="1"/>
  <c r="C141" i="241" s="1"/>
  <c r="C142" i="241" s="1"/>
  <c r="C143" i="241" s="1"/>
  <c r="C144" i="241" s="1"/>
  <c r="C145" i="241" s="1"/>
  <c r="C146" i="241" s="1"/>
  <c r="C147" i="241" s="1"/>
  <c r="C148" i="241" s="1"/>
  <c r="C149" i="241" s="1"/>
  <c r="C150" i="241" s="1"/>
  <c r="C151" i="241" s="1"/>
  <c r="C152" i="241" s="1"/>
  <c r="C153" i="241" s="1"/>
  <c r="C154" i="241" s="1"/>
  <c r="C155" i="241" s="1"/>
  <c r="C96" i="241"/>
  <c r="C30" i="241"/>
  <c r="C31" i="241" s="1"/>
  <c r="C32" i="241" s="1"/>
  <c r="C33" i="241" s="1"/>
  <c r="C34" i="241" s="1"/>
  <c r="C35" i="241" s="1"/>
  <c r="C36" i="241" s="1"/>
  <c r="C37" i="241" s="1"/>
  <c r="C38" i="241" s="1"/>
  <c r="C39" i="241" s="1"/>
  <c r="C40" i="241" s="1"/>
  <c r="C41" i="241" s="1"/>
  <c r="C42" i="241" s="1"/>
  <c r="C43" i="241" s="1"/>
  <c r="C44" i="241" s="1"/>
  <c r="C45" i="241" s="1"/>
  <c r="C46" i="241" s="1"/>
  <c r="C47" i="241" s="1"/>
  <c r="C48" i="241" s="1"/>
  <c r="C49" i="241" s="1"/>
  <c r="C50" i="241" s="1"/>
  <c r="C51" i="241" s="1"/>
  <c r="C52" i="241" s="1"/>
  <c r="C53" i="241" s="1"/>
  <c r="C54" i="241" s="1"/>
  <c r="C55" i="241" s="1"/>
  <c r="C56" i="241" s="1"/>
  <c r="C57" i="241" s="1"/>
  <c r="C58" i="241" s="1"/>
  <c r="C59" i="241" s="1"/>
  <c r="C60" i="241" s="1"/>
  <c r="C61" i="241" s="1"/>
  <c r="C62" i="241" s="1"/>
  <c r="C63" i="241" s="1"/>
  <c r="C64" i="241" s="1"/>
  <c r="C65" i="241" s="1"/>
  <c r="C66" i="241" s="1"/>
  <c r="C67" i="241" s="1"/>
  <c r="C68" i="241" s="1"/>
  <c r="C69" i="241" s="1"/>
  <c r="C70" i="241" s="1"/>
  <c r="C71" i="241" s="1"/>
  <c r="C72" i="241" s="1"/>
  <c r="C73" i="241" s="1"/>
  <c r="C74" i="241" s="1"/>
  <c r="C75" i="241" s="1"/>
  <c r="C76" i="241" s="1"/>
  <c r="C77" i="241" s="1"/>
  <c r="C78" i="241" s="1"/>
  <c r="C79" i="241" s="1"/>
  <c r="C80" i="241" s="1"/>
  <c r="C81" i="241" s="1"/>
  <c r="C82" i="241" s="1"/>
  <c r="C83" i="241" s="1"/>
  <c r="C84" i="241" s="1"/>
  <c r="C85" i="241" s="1"/>
  <c r="C86" i="241" s="1"/>
  <c r="C87" i="241" s="1"/>
  <c r="C88" i="241" s="1"/>
  <c r="C89" i="241" s="1"/>
  <c r="C90" i="241" s="1"/>
  <c r="C91" i="241" s="1"/>
  <c r="C92" i="241" s="1"/>
  <c r="C93" i="241" s="1"/>
  <c r="C94" i="241" s="1"/>
  <c r="C95" i="241" s="1"/>
  <c r="B30" i="241"/>
  <c r="B31" i="241" s="1"/>
  <c r="C29" i="241"/>
  <c r="B29" i="241"/>
  <c r="A29" i="241" s="1"/>
  <c r="B4" i="241"/>
  <c r="C3" i="241"/>
  <c r="C4" i="241" s="1"/>
  <c r="C5" i="241" s="1"/>
  <c r="C6" i="241" s="1"/>
  <c r="C7" i="241" s="1"/>
  <c r="C8" i="241" s="1"/>
  <c r="C9" i="241" s="1"/>
  <c r="C10" i="241" s="1"/>
  <c r="C11" i="241" s="1"/>
  <c r="C12" i="241" s="1"/>
  <c r="C13" i="241" s="1"/>
  <c r="C14" i="241" s="1"/>
  <c r="C15" i="241" s="1"/>
  <c r="C16" i="241" s="1"/>
  <c r="C17" i="241" s="1"/>
  <c r="C18" i="241" s="1"/>
  <c r="C19" i="241" s="1"/>
  <c r="C20" i="241" s="1"/>
  <c r="C21" i="241" s="1"/>
  <c r="C22" i="241" s="1"/>
  <c r="C23" i="241" s="1"/>
  <c r="C24" i="241" s="1"/>
  <c r="C25" i="241" s="1"/>
  <c r="C26" i="241" s="1"/>
  <c r="C27" i="241" s="1"/>
  <c r="C28" i="241" s="1"/>
  <c r="B3" i="241"/>
  <c r="C2" i="241"/>
  <c r="B2" i="241"/>
  <c r="A31" i="241" l="1"/>
  <c r="B32" i="241"/>
  <c r="A112" i="242"/>
  <c r="B113" i="242"/>
  <c r="C25" i="243"/>
  <c r="A24" i="243"/>
  <c r="B2320" i="242"/>
  <c r="A2319" i="242"/>
  <c r="B2375" i="242"/>
  <c r="A2374" i="242"/>
  <c r="B1525" i="242"/>
  <c r="A1524" i="242"/>
  <c r="B158" i="241"/>
  <c r="B1742" i="242"/>
  <c r="A1741" i="242"/>
  <c r="B2013" i="242"/>
  <c r="A2012" i="242"/>
  <c r="A1173" i="242"/>
  <c r="B1174" i="242"/>
  <c r="A4" i="241"/>
  <c r="A1622" i="242"/>
  <c r="B1623" i="242"/>
  <c r="A3" i="241"/>
  <c r="A30" i="241"/>
  <c r="B2589" i="242"/>
  <c r="A2588" i="242"/>
  <c r="A2236" i="242"/>
  <c r="B2237" i="242"/>
  <c r="B537" i="242"/>
  <c r="B5" i="241"/>
  <c r="A148" i="242"/>
  <c r="B149" i="242"/>
  <c r="A2112" i="242"/>
  <c r="B2113" i="242"/>
  <c r="B208" i="241"/>
  <c r="B2891" i="242"/>
  <c r="A2890" i="242"/>
  <c r="B399" i="242"/>
  <c r="A398" i="242"/>
  <c r="B2219" i="242"/>
  <c r="A2218" i="242"/>
  <c r="A1570" i="242"/>
  <c r="B1571" i="242"/>
  <c r="A444" i="242"/>
  <c r="B445" i="242"/>
  <c r="C535" i="242"/>
  <c r="A534" i="242"/>
  <c r="A1919" i="242"/>
  <c r="B1920" i="242"/>
  <c r="A1427" i="242"/>
  <c r="B1428" i="242"/>
  <c r="A620" i="242"/>
  <c r="B621" i="242"/>
  <c r="A251" i="242"/>
  <c r="B252" i="242"/>
  <c r="B2166" i="242"/>
  <c r="A2165" i="242"/>
  <c r="B1889" i="242"/>
  <c r="A1888" i="242"/>
  <c r="A1377" i="242"/>
  <c r="B1378" i="242"/>
  <c r="A492" i="242"/>
  <c r="B493" i="242"/>
  <c r="B1683" i="242"/>
  <c r="A1682" i="242"/>
  <c r="C10" i="243"/>
  <c r="A9" i="243"/>
  <c r="A2530" i="242"/>
  <c r="B2531" i="242"/>
  <c r="A1962" i="242"/>
  <c r="B1963" i="242"/>
  <c r="A7" i="242"/>
  <c r="B8" i="242"/>
  <c r="A2426" i="242"/>
  <c r="B2427" i="242"/>
  <c r="A716" i="242"/>
  <c r="B717" i="242"/>
  <c r="A5" i="241" l="1"/>
  <c r="B6" i="241"/>
  <c r="A1963" i="242"/>
  <c r="B1964" i="242"/>
  <c r="A208" i="241"/>
  <c r="B209" i="241"/>
  <c r="B2167" i="242"/>
  <c r="A2166" i="242"/>
  <c r="A252" i="242"/>
  <c r="B253" i="242"/>
  <c r="A1889" i="242"/>
  <c r="B1890" i="242"/>
  <c r="C536" i="242"/>
  <c r="A535" i="242"/>
  <c r="A2113" i="242"/>
  <c r="B2114" i="242"/>
  <c r="B1526" i="242"/>
  <c r="A1525" i="242"/>
  <c r="B2532" i="242"/>
  <c r="A2531" i="242"/>
  <c r="B446" i="242"/>
  <c r="A445" i="242"/>
  <c r="A1623" i="242"/>
  <c r="B1624" i="242"/>
  <c r="B1175" i="242"/>
  <c r="A1174" i="242"/>
  <c r="A621" i="242"/>
  <c r="B622" i="242"/>
  <c r="A1683" i="242"/>
  <c r="B1684" i="242"/>
  <c r="B2220" i="242"/>
  <c r="A2219" i="242"/>
  <c r="C26" i="243"/>
  <c r="A25" i="243"/>
  <c r="A149" i="242"/>
  <c r="B150" i="242"/>
  <c r="B538" i="242"/>
  <c r="A2427" i="242"/>
  <c r="B2428" i="242"/>
  <c r="A493" i="242"/>
  <c r="B494" i="242"/>
  <c r="A1428" i="242"/>
  <c r="B1429" i="242"/>
  <c r="B2238" i="242"/>
  <c r="A2237" i="242"/>
  <c r="A2013" i="242"/>
  <c r="B2014" i="242"/>
  <c r="A113" i="242"/>
  <c r="B114" i="242"/>
  <c r="A399" i="242"/>
  <c r="B400" i="242"/>
  <c r="B2376" i="242"/>
  <c r="A2375" i="242"/>
  <c r="A717" i="242"/>
  <c r="B718" i="242"/>
  <c r="A8" i="242"/>
  <c r="B9" i="242"/>
  <c r="A1378" i="242"/>
  <c r="B1379" i="242"/>
  <c r="A1920" i="242"/>
  <c r="B1921" i="242"/>
  <c r="B1743" i="242"/>
  <c r="A1742" i="242"/>
  <c r="A32" i="241"/>
  <c r="B33" i="241"/>
  <c r="A1571" i="242"/>
  <c r="B1572" i="242"/>
  <c r="C11" i="243"/>
  <c r="A10" i="243"/>
  <c r="A2320" i="242"/>
  <c r="B2321" i="242"/>
  <c r="B2892" i="242"/>
  <c r="A2891" i="242"/>
  <c r="A2589" i="242"/>
  <c r="B2590" i="242"/>
  <c r="A158" i="241"/>
  <c r="B159" i="241"/>
  <c r="A2238" i="242" l="1"/>
  <c r="B2239" i="242"/>
  <c r="A1572" i="242"/>
  <c r="B1573" i="242"/>
  <c r="A2321" i="242"/>
  <c r="B2322" i="242"/>
  <c r="B1380" i="242"/>
  <c r="A1379" i="242"/>
  <c r="A2014" i="242"/>
  <c r="B2015" i="242"/>
  <c r="A150" i="242"/>
  <c r="B151" i="242"/>
  <c r="B1625" i="242"/>
  <c r="A1624" i="242"/>
  <c r="B1891" i="242"/>
  <c r="A1890" i="242"/>
  <c r="B254" i="242"/>
  <c r="A253" i="242"/>
  <c r="C27" i="243"/>
  <c r="A26" i="243"/>
  <c r="B1430" i="242"/>
  <c r="A1429" i="242"/>
  <c r="B2168" i="242"/>
  <c r="A2167" i="242"/>
  <c r="A1684" i="242"/>
  <c r="B1685" i="242"/>
  <c r="A2376" i="242"/>
  <c r="B2377" i="242"/>
  <c r="A1526" i="242"/>
  <c r="B1527" i="242"/>
  <c r="B719" i="242"/>
  <c r="A718" i="242"/>
  <c r="B2591" i="242"/>
  <c r="A2590" i="242"/>
  <c r="B401" i="242"/>
  <c r="A400" i="242"/>
  <c r="A2428" i="242"/>
  <c r="B2429" i="242"/>
  <c r="A622" i="242"/>
  <c r="B623" i="242"/>
  <c r="A2114" i="242"/>
  <c r="B2115" i="242"/>
  <c r="B1965" i="242"/>
  <c r="A1964" i="242"/>
  <c r="A159" i="241"/>
  <c r="B160" i="241"/>
  <c r="A1743" i="242"/>
  <c r="B1744" i="242"/>
  <c r="B10" i="242"/>
  <c r="A9" i="242"/>
  <c r="C12" i="243"/>
  <c r="A11" i="243"/>
  <c r="A2220" i="242"/>
  <c r="B2221" i="242"/>
  <c r="A33" i="241"/>
  <c r="B34" i="241"/>
  <c r="A209" i="241"/>
  <c r="B210" i="241"/>
  <c r="B1922" i="242"/>
  <c r="A1921" i="242"/>
  <c r="B115" i="242"/>
  <c r="A114" i="242"/>
  <c r="A6" i="241"/>
  <c r="B7" i="241"/>
  <c r="B447" i="242"/>
  <c r="A446" i="242"/>
  <c r="A2532" i="242"/>
  <c r="B2533" i="242"/>
  <c r="B495" i="242"/>
  <c r="A494" i="242"/>
  <c r="A2892" i="242"/>
  <c r="B2893" i="242"/>
  <c r="B539" i="242"/>
  <c r="B1176" i="242"/>
  <c r="A1175" i="242"/>
  <c r="C537" i="242"/>
  <c r="A536" i="242"/>
  <c r="B2116" i="242" l="1"/>
  <c r="A2115" i="242"/>
  <c r="A2893" i="242"/>
  <c r="B2894" i="242"/>
  <c r="A1744" i="242"/>
  <c r="B1745" i="242"/>
  <c r="A151" i="242"/>
  <c r="B152" i="242"/>
  <c r="A1922" i="242"/>
  <c r="B1923" i="242"/>
  <c r="A210" i="241"/>
  <c r="B211" i="241"/>
  <c r="B2592" i="242"/>
  <c r="A2591" i="242"/>
  <c r="A1430" i="242"/>
  <c r="B1431" i="242"/>
  <c r="B2534" i="242"/>
  <c r="A2533" i="242"/>
  <c r="B35" i="241"/>
  <c r="A34" i="241"/>
  <c r="A401" i="242"/>
  <c r="B402" i="242"/>
  <c r="A160" i="241"/>
  <c r="B161" i="241"/>
  <c r="A495" i="242"/>
  <c r="B496" i="242"/>
  <c r="B1381" i="242"/>
  <c r="A1380" i="242"/>
  <c r="B2323" i="242"/>
  <c r="A2322" i="242"/>
  <c r="C538" i="242"/>
  <c r="A537" i="242"/>
  <c r="A447" i="242"/>
  <c r="B448" i="242"/>
  <c r="B255" i="242"/>
  <c r="A254" i="242"/>
  <c r="A719" i="242"/>
  <c r="B720" i="242"/>
  <c r="A7" i="241"/>
  <c r="B8" i="241"/>
  <c r="A623" i="242"/>
  <c r="B624" i="242"/>
  <c r="A2377" i="242"/>
  <c r="B2378" i="242"/>
  <c r="B1574" i="242"/>
  <c r="A1573" i="242"/>
  <c r="A2015" i="242"/>
  <c r="B2016" i="242"/>
  <c r="B2222" i="242"/>
  <c r="A2221" i="242"/>
  <c r="B1177" i="242"/>
  <c r="A1176" i="242"/>
  <c r="C13" i="243"/>
  <c r="A13" i="243" s="1"/>
  <c r="A12" i="243"/>
  <c r="A1891" i="242"/>
  <c r="B1892" i="242"/>
  <c r="A2168" i="242"/>
  <c r="B2169" i="242"/>
  <c r="C28" i="243"/>
  <c r="A28" i="243" s="1"/>
  <c r="A27" i="243"/>
  <c r="B540" i="242"/>
  <c r="B2430" i="242"/>
  <c r="A2429" i="242"/>
  <c r="B1686" i="242"/>
  <c r="A1685" i="242"/>
  <c r="B2240" i="242"/>
  <c r="A2239" i="242"/>
  <c r="A1965" i="242"/>
  <c r="B1966" i="242"/>
  <c r="A1527" i="242"/>
  <c r="B1528" i="242"/>
  <c r="A115" i="242"/>
  <c r="B116" i="242"/>
  <c r="B11" i="242"/>
  <c r="A10" i="242"/>
  <c r="B1626" i="242"/>
  <c r="A1625" i="242"/>
  <c r="A255" i="242" l="1"/>
  <c r="B256" i="242"/>
  <c r="B2017" i="242"/>
  <c r="A2016" i="242"/>
  <c r="A161" i="241"/>
  <c r="B162" i="241"/>
  <c r="A211" i="241"/>
  <c r="B212" i="241"/>
  <c r="B1967" i="242"/>
  <c r="A1966" i="242"/>
  <c r="A2169" i="242"/>
  <c r="B2170" i="242"/>
  <c r="A448" i="242"/>
  <c r="B449" i="242"/>
  <c r="B403" i="242"/>
  <c r="A402" i="242"/>
  <c r="A1923" i="242"/>
  <c r="B1924" i="242"/>
  <c r="B2324" i="242"/>
  <c r="A2323" i="242"/>
  <c r="A2534" i="242"/>
  <c r="B2535" i="242"/>
  <c r="C539" i="242"/>
  <c r="A538" i="242"/>
  <c r="A1745" i="242"/>
  <c r="B1746" i="242"/>
  <c r="A8" i="241"/>
  <c r="B9" i="241"/>
  <c r="B1432" i="242"/>
  <c r="A1431" i="242"/>
  <c r="B2895" i="242"/>
  <c r="A2894" i="242"/>
  <c r="A2240" i="242"/>
  <c r="B2241" i="242"/>
  <c r="A11" i="242"/>
  <c r="B12" i="242"/>
  <c r="A2430" i="242"/>
  <c r="B2431" i="242"/>
  <c r="A1177" i="242"/>
  <c r="B1178" i="242"/>
  <c r="A1381" i="242"/>
  <c r="B1382" i="242"/>
  <c r="B1627" i="242"/>
  <c r="A1626" i="242"/>
  <c r="A116" i="242"/>
  <c r="B117" i="242"/>
  <c r="B541" i="242"/>
  <c r="A720" i="242"/>
  <c r="B721" i="242"/>
  <c r="B497" i="242"/>
  <c r="A496" i="242"/>
  <c r="A1528" i="242"/>
  <c r="B1529" i="242"/>
  <c r="A1574" i="242"/>
  <c r="B1575" i="242"/>
  <c r="B1893" i="242"/>
  <c r="A1892" i="242"/>
  <c r="B2379" i="242"/>
  <c r="A2378" i="242"/>
  <c r="B153" i="242"/>
  <c r="A152" i="242"/>
  <c r="A35" i="241"/>
  <c r="B36" i="241"/>
  <c r="A624" i="242"/>
  <c r="B625" i="242"/>
  <c r="B1687" i="242"/>
  <c r="A1686" i="242"/>
  <c r="A2222" i="242"/>
  <c r="B2223" i="242"/>
  <c r="B2593" i="242"/>
  <c r="A2592" i="242"/>
  <c r="A2116" i="242"/>
  <c r="B2117" i="242"/>
  <c r="B13" i="242" l="1"/>
  <c r="A12" i="242"/>
  <c r="A2170" i="242"/>
  <c r="B2171" i="242"/>
  <c r="A2593" i="242"/>
  <c r="B2594" i="242"/>
  <c r="B2380" i="242"/>
  <c r="A2379" i="242"/>
  <c r="B542" i="242"/>
  <c r="C540" i="242"/>
  <c r="A539" i="242"/>
  <c r="A2241" i="242"/>
  <c r="B2242" i="242"/>
  <c r="A212" i="241"/>
  <c r="B213" i="241"/>
  <c r="A1687" i="242"/>
  <c r="B1688" i="242"/>
  <c r="A1627" i="242"/>
  <c r="B1628" i="242"/>
  <c r="B2896" i="242"/>
  <c r="A2895" i="242"/>
  <c r="A2324" i="242"/>
  <c r="B2325" i="242"/>
  <c r="A1967" i="242"/>
  <c r="B1968" i="242"/>
  <c r="A1382" i="242"/>
  <c r="B1383" i="242"/>
  <c r="A1432" i="242"/>
  <c r="B1433" i="242"/>
  <c r="A2223" i="242"/>
  <c r="B2224" i="242"/>
  <c r="A1575" i="242"/>
  <c r="B1576" i="242"/>
  <c r="B1530" i="242"/>
  <c r="A1529" i="242"/>
  <c r="B1179" i="242"/>
  <c r="A1178" i="242"/>
  <c r="A9" i="241"/>
  <c r="B10" i="241"/>
  <c r="A117" i="242"/>
  <c r="B118" i="242"/>
  <c r="A497" i="242"/>
  <c r="B498" i="242"/>
  <c r="A403" i="242"/>
  <c r="B404" i="242"/>
  <c r="A2017" i="242"/>
  <c r="B2018" i="242"/>
  <c r="B1894" i="242"/>
  <c r="A1893" i="242"/>
  <c r="A162" i="241"/>
  <c r="B163" i="241"/>
  <c r="A36" i="241"/>
  <c r="B37" i="241"/>
  <c r="B2118" i="242"/>
  <c r="A2117" i="242"/>
  <c r="A721" i="242"/>
  <c r="B722" i="242"/>
  <c r="B2432" i="242"/>
  <c r="A2431" i="242"/>
  <c r="B1747" i="242"/>
  <c r="A1746" i="242"/>
  <c r="A449" i="242"/>
  <c r="B450" i="242"/>
  <c r="B257" i="242"/>
  <c r="A256" i="242"/>
  <c r="B2536" i="242"/>
  <c r="A2535" i="242"/>
  <c r="A625" i="242"/>
  <c r="B626" i="242"/>
  <c r="B1925" i="242"/>
  <c r="A1924" i="242"/>
  <c r="B154" i="242"/>
  <c r="A153" i="242"/>
  <c r="A2018" i="242" l="1"/>
  <c r="B2019" i="242"/>
  <c r="A2325" i="242"/>
  <c r="B2326" i="242"/>
  <c r="B1926" i="242"/>
  <c r="A1925" i="242"/>
  <c r="A2432" i="242"/>
  <c r="B2433" i="242"/>
  <c r="A1530" i="242"/>
  <c r="B1531" i="242"/>
  <c r="C541" i="242"/>
  <c r="A540" i="242"/>
  <c r="B723" i="242"/>
  <c r="A722" i="242"/>
  <c r="B1629" i="242"/>
  <c r="A1628" i="242"/>
  <c r="A2536" i="242"/>
  <c r="B2537" i="242"/>
  <c r="A2118" i="242"/>
  <c r="B2119" i="242"/>
  <c r="A2380" i="242"/>
  <c r="B2381" i="242"/>
  <c r="B1577" i="242"/>
  <c r="A1576" i="242"/>
  <c r="B543" i="242"/>
  <c r="A450" i="242"/>
  <c r="B451" i="242"/>
  <c r="A163" i="241"/>
  <c r="B164" i="241"/>
  <c r="B11" i="241"/>
  <c r="A10" i="241"/>
  <c r="A1383" i="242"/>
  <c r="B1384" i="242"/>
  <c r="A213" i="241"/>
  <c r="B214" i="241"/>
  <c r="B2172" i="242"/>
  <c r="A2171" i="242"/>
  <c r="B405" i="242"/>
  <c r="A404" i="242"/>
  <c r="A2896" i="242"/>
  <c r="B2897" i="242"/>
  <c r="A2224" i="242"/>
  <c r="B2225" i="242"/>
  <c r="B1434" i="242"/>
  <c r="A1433" i="242"/>
  <c r="A257" i="242"/>
  <c r="B258" i="242"/>
  <c r="A626" i="242"/>
  <c r="B627" i="242"/>
  <c r="A37" i="241"/>
  <c r="B38" i="241"/>
  <c r="A2594" i="242"/>
  <c r="B2595" i="242"/>
  <c r="B1969" i="242"/>
  <c r="A1968" i="242"/>
  <c r="B2243" i="242"/>
  <c r="A2242" i="242"/>
  <c r="A498" i="242"/>
  <c r="B499" i="242"/>
  <c r="A118" i="242"/>
  <c r="B119" i="242"/>
  <c r="A1688" i="242"/>
  <c r="B1689" i="242"/>
  <c r="B155" i="242"/>
  <c r="A154" i="242"/>
  <c r="A1747" i="242"/>
  <c r="B1748" i="242"/>
  <c r="A1894" i="242"/>
  <c r="B1895" i="242"/>
  <c r="A1179" i="242"/>
  <c r="B1180" i="242"/>
  <c r="A13" i="242"/>
  <c r="B14" i="242"/>
  <c r="A499" i="242" l="1"/>
  <c r="B500" i="242"/>
  <c r="A214" i="241"/>
  <c r="B215" i="241"/>
  <c r="B1578" i="242"/>
  <c r="A1577" i="242"/>
  <c r="C542" i="242"/>
  <c r="A541" i="242"/>
  <c r="B1181" i="242"/>
  <c r="A1180" i="242"/>
  <c r="B259" i="242"/>
  <c r="A258" i="242"/>
  <c r="A1895" i="242"/>
  <c r="B1896" i="242"/>
  <c r="B1385" i="242"/>
  <c r="A1384" i="242"/>
  <c r="A2381" i="242"/>
  <c r="B2382" i="242"/>
  <c r="B1532" i="242"/>
  <c r="A1531" i="242"/>
  <c r="B2244" i="242"/>
  <c r="A2243" i="242"/>
  <c r="B2226" i="242"/>
  <c r="A2225" i="242"/>
  <c r="A164" i="241"/>
  <c r="B165" i="241"/>
  <c r="B1927" i="242"/>
  <c r="A1926" i="242"/>
  <c r="A1434" i="242"/>
  <c r="B1435" i="242"/>
  <c r="A11" i="241"/>
  <c r="B12" i="241"/>
  <c r="A2595" i="242"/>
  <c r="B2596" i="242"/>
  <c r="A38" i="241"/>
  <c r="B39" i="241"/>
  <c r="A451" i="242"/>
  <c r="B452" i="242"/>
  <c r="A2326" i="242"/>
  <c r="B2327" i="242"/>
  <c r="A1748" i="242"/>
  <c r="B1749" i="242"/>
  <c r="A2119" i="242"/>
  <c r="B2120" i="242"/>
  <c r="B406" i="242"/>
  <c r="A405" i="242"/>
  <c r="A1629" i="242"/>
  <c r="B1630" i="242"/>
  <c r="A1969" i="242"/>
  <c r="B1970" i="242"/>
  <c r="A2537" i="242"/>
  <c r="B2538" i="242"/>
  <c r="A1689" i="242"/>
  <c r="B1690" i="242"/>
  <c r="A14" i="242"/>
  <c r="B15" i="242"/>
  <c r="A119" i="242"/>
  <c r="B120" i="242"/>
  <c r="A627" i="242"/>
  <c r="B628" i="242"/>
  <c r="A2019" i="242"/>
  <c r="B2020" i="242"/>
  <c r="A2433" i="242"/>
  <c r="B2434" i="242"/>
  <c r="A2897" i="242"/>
  <c r="B2898" i="242"/>
  <c r="A155" i="242"/>
  <c r="B156" i="242"/>
  <c r="A2172" i="242"/>
  <c r="B2173" i="242"/>
  <c r="B544" i="242"/>
  <c r="B724" i="242"/>
  <c r="A723" i="242"/>
  <c r="A120" i="242" l="1"/>
  <c r="B121" i="242"/>
  <c r="B545" i="242"/>
  <c r="B629" i="242"/>
  <c r="A628" i="242"/>
  <c r="B1631" i="242"/>
  <c r="A1630" i="242"/>
  <c r="A39" i="241"/>
  <c r="B40" i="241"/>
  <c r="B2227" i="242"/>
  <c r="A2226" i="242"/>
  <c r="A259" i="242"/>
  <c r="B260" i="242"/>
  <c r="A1578" i="242"/>
  <c r="B1579" i="242"/>
  <c r="A1181" i="242"/>
  <c r="B1182" i="242"/>
  <c r="B1436" i="242"/>
  <c r="A1435" i="242"/>
  <c r="B2328" i="242"/>
  <c r="A2327" i="242"/>
  <c r="A215" i="241"/>
  <c r="B216" i="241"/>
  <c r="B2174" i="242"/>
  <c r="A2173" i="242"/>
  <c r="B2597" i="242"/>
  <c r="A2596" i="242"/>
  <c r="A15" i="242"/>
  <c r="B16" i="242"/>
  <c r="C543" i="242"/>
  <c r="A542" i="242"/>
  <c r="B1750" i="242"/>
  <c r="A1749" i="242"/>
  <c r="A1927" i="242"/>
  <c r="B1928" i="242"/>
  <c r="B1386" i="242"/>
  <c r="A1385" i="242"/>
  <c r="A2244" i="242"/>
  <c r="B2245" i="242"/>
  <c r="A2120" i="242"/>
  <c r="B2121" i="242"/>
  <c r="A1532" i="242"/>
  <c r="B1533" i="242"/>
  <c r="B1691" i="242"/>
  <c r="A1690" i="242"/>
  <c r="B2383" i="242"/>
  <c r="A2382" i="242"/>
  <c r="A2434" i="242"/>
  <c r="B2435" i="242"/>
  <c r="B2021" i="242"/>
  <c r="A2020" i="242"/>
  <c r="A1970" i="242"/>
  <c r="B1971" i="242"/>
  <c r="A452" i="242"/>
  <c r="B453" i="242"/>
  <c r="A165" i="241"/>
  <c r="B166" i="241"/>
  <c r="B1897" i="242"/>
  <c r="A1896" i="242"/>
  <c r="A500" i="242"/>
  <c r="B501" i="242"/>
  <c r="B407" i="242"/>
  <c r="A406" i="242"/>
  <c r="A156" i="242"/>
  <c r="B157" i="242"/>
  <c r="A12" i="241"/>
  <c r="B13" i="241"/>
  <c r="B2899" i="242"/>
  <c r="A2898" i="242"/>
  <c r="B2539" i="242"/>
  <c r="A2538" i="242"/>
  <c r="A724" i="242"/>
  <c r="B725" i="242"/>
  <c r="E95" i="43"/>
  <c r="E96" i="43"/>
  <c r="E97" i="43"/>
  <c r="E98" i="43"/>
  <c r="E99" i="43"/>
  <c r="E100" i="43"/>
  <c r="E101" i="43"/>
  <c r="E102" i="43"/>
  <c r="E103" i="43"/>
  <c r="E104" i="43"/>
  <c r="E105" i="43"/>
  <c r="E106" i="43"/>
  <c r="E107" i="43"/>
  <c r="E108" i="43"/>
  <c r="E109" i="43"/>
  <c r="E110" i="43"/>
  <c r="E111" i="43"/>
  <c r="E112" i="43"/>
  <c r="E113" i="43"/>
  <c r="E94" i="43"/>
  <c r="E136" i="43"/>
  <c r="E131" i="43"/>
  <c r="E126" i="43"/>
  <c r="E121" i="43"/>
  <c r="E116" i="43"/>
  <c r="E93" i="43"/>
  <c r="B1929" i="242" l="1"/>
  <c r="A1928" i="242"/>
  <c r="A216" i="241"/>
  <c r="B217" i="241"/>
  <c r="B2540" i="242"/>
  <c r="A2539" i="242"/>
  <c r="B1898" i="242"/>
  <c r="A1897" i="242"/>
  <c r="B2384" i="242"/>
  <c r="A2383" i="242"/>
  <c r="A2227" i="242"/>
  <c r="B2228" i="242"/>
  <c r="B167" i="241"/>
  <c r="A166" i="241"/>
  <c r="A40" i="241"/>
  <c r="B41" i="241"/>
  <c r="B2900" i="242"/>
  <c r="A2899" i="242"/>
  <c r="A1691" i="242"/>
  <c r="B1692" i="242"/>
  <c r="B1751" i="242"/>
  <c r="A1750" i="242"/>
  <c r="A2328" i="242"/>
  <c r="B2329" i="242"/>
  <c r="A1631" i="242"/>
  <c r="B1632" i="242"/>
  <c r="B2246" i="242"/>
  <c r="A2245" i="242"/>
  <c r="A1579" i="242"/>
  <c r="B1580" i="242"/>
  <c r="B546" i="242"/>
  <c r="C544" i="242"/>
  <c r="A543" i="242"/>
  <c r="A1971" i="242"/>
  <c r="B1972" i="242"/>
  <c r="A407" i="242"/>
  <c r="B408" i="242"/>
  <c r="B2022" i="242"/>
  <c r="A2021" i="242"/>
  <c r="A2597" i="242"/>
  <c r="B2598" i="242"/>
  <c r="A13" i="241"/>
  <c r="B14" i="241"/>
  <c r="B1534" i="242"/>
  <c r="A1533" i="242"/>
  <c r="B1437" i="242"/>
  <c r="A1436" i="242"/>
  <c r="A2121" i="242"/>
  <c r="B2122" i="242"/>
  <c r="B1183" i="242"/>
  <c r="A1182" i="242"/>
  <c r="A725" i="242"/>
  <c r="B726" i="242"/>
  <c r="A501" i="242"/>
  <c r="B502" i="242"/>
  <c r="B2436" i="242"/>
  <c r="A2435" i="242"/>
  <c r="B261" i="242"/>
  <c r="A260" i="242"/>
  <c r="A121" i="242"/>
  <c r="B122" i="242"/>
  <c r="B454" i="242"/>
  <c r="A453" i="242"/>
  <c r="B158" i="242"/>
  <c r="A157" i="242"/>
  <c r="A16" i="242"/>
  <c r="B17" i="242"/>
  <c r="A629" i="242"/>
  <c r="B630" i="242"/>
  <c r="A1386" i="242"/>
  <c r="B1387" i="242"/>
  <c r="A2174" i="242"/>
  <c r="B2175" i="242"/>
  <c r="B1438" i="242" l="1"/>
  <c r="A1437" i="242"/>
  <c r="B1388" i="242"/>
  <c r="A1387" i="242"/>
  <c r="B262" i="242"/>
  <c r="A261" i="242"/>
  <c r="A630" i="242"/>
  <c r="B631" i="242"/>
  <c r="A2436" i="242"/>
  <c r="B2437" i="242"/>
  <c r="A1534" i="242"/>
  <c r="B1535" i="242"/>
  <c r="C545" i="242"/>
  <c r="A544" i="242"/>
  <c r="A1751" i="242"/>
  <c r="B1752" i="242"/>
  <c r="A2384" i="242"/>
  <c r="B2385" i="242"/>
  <c r="A2329" i="242"/>
  <c r="B2330" i="242"/>
  <c r="B503" i="242"/>
  <c r="A502" i="242"/>
  <c r="A2900" i="242"/>
  <c r="B2901" i="242"/>
  <c r="B2541" i="242"/>
  <c r="A2540" i="242"/>
  <c r="A2228" i="242"/>
  <c r="B2229" i="242"/>
  <c r="B547" i="242"/>
  <c r="A2598" i="242"/>
  <c r="B2599" i="242"/>
  <c r="A41" i="241"/>
  <c r="B42" i="241"/>
  <c r="A217" i="241"/>
  <c r="B218" i="241"/>
  <c r="B1973" i="242"/>
  <c r="A1972" i="242"/>
  <c r="B15" i="241"/>
  <c r="A14" i="241"/>
  <c r="A454" i="242"/>
  <c r="B455" i="242"/>
  <c r="B1184" i="242"/>
  <c r="A1183" i="242"/>
  <c r="B2023" i="242"/>
  <c r="A2022" i="242"/>
  <c r="B2247" i="242"/>
  <c r="A2246" i="242"/>
  <c r="A1692" i="242"/>
  <c r="B1693" i="242"/>
  <c r="B727" i="242"/>
  <c r="A726" i="242"/>
  <c r="A1580" i="242"/>
  <c r="B1581" i="242"/>
  <c r="A158" i="242"/>
  <c r="B159" i="242"/>
  <c r="A2175" i="242"/>
  <c r="B2176" i="242"/>
  <c r="A122" i="242"/>
  <c r="B123" i="242"/>
  <c r="A2122" i="242"/>
  <c r="B2123" i="242"/>
  <c r="B409" i="242"/>
  <c r="A408" i="242"/>
  <c r="A1632" i="242"/>
  <c r="B1633" i="242"/>
  <c r="B18" i="242"/>
  <c r="A17" i="242"/>
  <c r="B1899" i="242"/>
  <c r="A1898" i="242"/>
  <c r="A167" i="241"/>
  <c r="B168" i="241"/>
  <c r="B1930" i="242"/>
  <c r="A1929" i="242"/>
  <c r="A1899" i="242" l="1"/>
  <c r="B1900" i="242"/>
  <c r="A123" i="242"/>
  <c r="B124" i="242"/>
  <c r="A2901" i="242"/>
  <c r="B2902" i="242"/>
  <c r="B2248" i="242"/>
  <c r="A2247" i="242"/>
  <c r="A168" i="241"/>
  <c r="B169" i="241"/>
  <c r="B219" i="241"/>
  <c r="A218" i="241"/>
  <c r="B1536" i="242"/>
  <c r="A1535" i="242"/>
  <c r="A2176" i="242"/>
  <c r="B2177" i="242"/>
  <c r="B43" i="241"/>
  <c r="A42" i="241"/>
  <c r="A2437" i="242"/>
  <c r="B2438" i="242"/>
  <c r="A2023" i="242"/>
  <c r="B2024" i="242"/>
  <c r="A159" i="242"/>
  <c r="B160" i="242"/>
  <c r="B548" i="242"/>
  <c r="B263" i="242"/>
  <c r="A262" i="242"/>
  <c r="A455" i="242"/>
  <c r="B456" i="242"/>
  <c r="A2229" i="242"/>
  <c r="B2230" i="242"/>
  <c r="A1752" i="242"/>
  <c r="B1753" i="242"/>
  <c r="B2600" i="242"/>
  <c r="A2599" i="242"/>
  <c r="B19" i="242"/>
  <c r="A18" i="242"/>
  <c r="B1185" i="242"/>
  <c r="A1184" i="242"/>
  <c r="B1634" i="242"/>
  <c r="A1633" i="242"/>
  <c r="A2385" i="242"/>
  <c r="B2386" i="242"/>
  <c r="A409" i="242"/>
  <c r="B410" i="242"/>
  <c r="A727" i="242"/>
  <c r="B728" i="242"/>
  <c r="A15" i="241"/>
  <c r="B16" i="241"/>
  <c r="B1389" i="242"/>
  <c r="A1388" i="242"/>
  <c r="A631" i="242"/>
  <c r="B632" i="242"/>
  <c r="B2124" i="242"/>
  <c r="A2123" i="242"/>
  <c r="B1694" i="242"/>
  <c r="A1693" i="242"/>
  <c r="A503" i="242"/>
  <c r="B504" i="242"/>
  <c r="B2331" i="242"/>
  <c r="A2330" i="242"/>
  <c r="B1582" i="242"/>
  <c r="A1581" i="242"/>
  <c r="A1930" i="242"/>
  <c r="B1931" i="242"/>
  <c r="B1974" i="242"/>
  <c r="A1973" i="242"/>
  <c r="A2541" i="242"/>
  <c r="B2542" i="242"/>
  <c r="C546" i="242"/>
  <c r="A545" i="242"/>
  <c r="A1438" i="242"/>
  <c r="B1439" i="242"/>
  <c r="A728" i="242" l="1"/>
  <c r="B729" i="242"/>
  <c r="A160" i="242"/>
  <c r="B161" i="242"/>
  <c r="C547" i="242"/>
  <c r="A546" i="242"/>
  <c r="B2601" i="242"/>
  <c r="A2600" i="242"/>
  <c r="A219" i="241"/>
  <c r="B220" i="241"/>
  <c r="B505" i="242"/>
  <c r="A504" i="242"/>
  <c r="B2543" i="242"/>
  <c r="A2542" i="242"/>
  <c r="B411" i="242"/>
  <c r="A410" i="242"/>
  <c r="A1753" i="242"/>
  <c r="B1754" i="242"/>
  <c r="B2025" i="242"/>
  <c r="A2024" i="242"/>
  <c r="A169" i="241"/>
  <c r="B170" i="241"/>
  <c r="A1931" i="242"/>
  <c r="B1932" i="242"/>
  <c r="B1635" i="242"/>
  <c r="A1634" i="242"/>
  <c r="A43" i="241"/>
  <c r="B44" i="241"/>
  <c r="A2438" i="242"/>
  <c r="B2439" i="242"/>
  <c r="A2124" i="242"/>
  <c r="B2125" i="242"/>
  <c r="B2178" i="242"/>
  <c r="A2177" i="242"/>
  <c r="A124" i="242"/>
  <c r="B125" i="242"/>
  <c r="B1695" i="242"/>
  <c r="A1694" i="242"/>
  <c r="A456" i="242"/>
  <c r="B457" i="242"/>
  <c r="B1583" i="242"/>
  <c r="A1582" i="242"/>
  <c r="B1390" i="242"/>
  <c r="A1389" i="242"/>
  <c r="A1185" i="242"/>
  <c r="B1186" i="242"/>
  <c r="A263" i="242"/>
  <c r="B264" i="242"/>
  <c r="B2387" i="242"/>
  <c r="A2386" i="242"/>
  <c r="B633" i="242"/>
  <c r="A632" i="242"/>
  <c r="B2903" i="242"/>
  <c r="A2902" i="242"/>
  <c r="A1439" i="242"/>
  <c r="B1440" i="242"/>
  <c r="A16" i="241"/>
  <c r="B17" i="241"/>
  <c r="B549" i="242"/>
  <c r="B1901" i="242"/>
  <c r="A1900" i="242"/>
  <c r="A2230" i="242"/>
  <c r="B2231" i="242"/>
  <c r="B1975" i="242"/>
  <c r="A1974" i="242"/>
  <c r="A2248" i="242"/>
  <c r="B2249" i="242"/>
  <c r="B2332" i="242"/>
  <c r="A2331" i="242"/>
  <c r="A19" i="242"/>
  <c r="B20" i="242"/>
  <c r="B1537" i="242"/>
  <c r="A1536" i="242"/>
  <c r="B21" i="242" l="1"/>
  <c r="A20" i="242"/>
  <c r="A264" i="242"/>
  <c r="B265" i="242"/>
  <c r="A1932" i="242"/>
  <c r="B1933" i="242"/>
  <c r="B550" i="242"/>
  <c r="A505" i="242"/>
  <c r="B506" i="242"/>
  <c r="A2332" i="242"/>
  <c r="B2333" i="242"/>
  <c r="A125" i="242"/>
  <c r="B126" i="242"/>
  <c r="A17" i="241"/>
  <c r="B18" i="241"/>
  <c r="A1186" i="242"/>
  <c r="B1187" i="242"/>
  <c r="B171" i="241"/>
  <c r="A170" i="241"/>
  <c r="A220" i="241"/>
  <c r="B221" i="241"/>
  <c r="B2179" i="242"/>
  <c r="A2178" i="242"/>
  <c r="A2125" i="242"/>
  <c r="B2126" i="242"/>
  <c r="A1390" i="242"/>
  <c r="B1391" i="242"/>
  <c r="A1975" i="242"/>
  <c r="B1976" i="242"/>
  <c r="B2904" i="242"/>
  <c r="A2903" i="242"/>
  <c r="A1583" i="242"/>
  <c r="B1584" i="242"/>
  <c r="C548" i="242"/>
  <c r="A547" i="242"/>
  <c r="B1441" i="242"/>
  <c r="A1440" i="242"/>
  <c r="A457" i="242"/>
  <c r="B458" i="242"/>
  <c r="A44" i="241"/>
  <c r="B45" i="241"/>
  <c r="B162" i="242"/>
  <c r="A161" i="242"/>
  <c r="B2026" i="242"/>
  <c r="A2025" i="242"/>
  <c r="B634" i="242"/>
  <c r="A633" i="242"/>
  <c r="A411" i="242"/>
  <c r="B412" i="242"/>
  <c r="B2440" i="242"/>
  <c r="A2439" i="242"/>
  <c r="A729" i="242"/>
  <c r="B730" i="242"/>
  <c r="B2250" i="242"/>
  <c r="A2249" i="242"/>
  <c r="A2601" i="242"/>
  <c r="B2602" i="242"/>
  <c r="B1755" i="242"/>
  <c r="A1754" i="242"/>
  <c r="B2232" i="242"/>
  <c r="A2232" i="242" s="1"/>
  <c r="A2231" i="242"/>
  <c r="B1538" i="242"/>
  <c r="A1537" i="242"/>
  <c r="B1902" i="242"/>
  <c r="A1901" i="242"/>
  <c r="B2388" i="242"/>
  <c r="A2387" i="242"/>
  <c r="A1695" i="242"/>
  <c r="B1696" i="242"/>
  <c r="A1635" i="242"/>
  <c r="B1636" i="242"/>
  <c r="A2543" i="242"/>
  <c r="B2544" i="242"/>
  <c r="B507" i="242" l="1"/>
  <c r="A506" i="242"/>
  <c r="A2333" i="242"/>
  <c r="B2334" i="242"/>
  <c r="B1637" i="242"/>
  <c r="A1636" i="242"/>
  <c r="A1755" i="242"/>
  <c r="B1756" i="242"/>
  <c r="A634" i="242"/>
  <c r="B635" i="242"/>
  <c r="C549" i="242"/>
  <c r="A549" i="242" s="1"/>
  <c r="A548" i="242"/>
  <c r="B2180" i="242"/>
  <c r="A2179" i="242"/>
  <c r="A2388" i="242"/>
  <c r="B2389" i="242"/>
  <c r="A221" i="241"/>
  <c r="B222" i="241"/>
  <c r="B551" i="242"/>
  <c r="A550" i="242"/>
  <c r="A171" i="241"/>
  <c r="B172" i="241"/>
  <c r="B1977" i="242"/>
  <c r="A1976" i="242"/>
  <c r="B459" i="242"/>
  <c r="A458" i="242"/>
  <c r="B1392" i="242"/>
  <c r="A1391" i="242"/>
  <c r="B19" i="241"/>
  <c r="A18" i="241"/>
  <c r="B266" i="242"/>
  <c r="A265" i="242"/>
  <c r="B2603" i="242"/>
  <c r="A2602" i="242"/>
  <c r="B163" i="242"/>
  <c r="A162" i="242"/>
  <c r="A730" i="242"/>
  <c r="B731" i="242"/>
  <c r="B1188" i="242"/>
  <c r="A1187" i="242"/>
  <c r="A1538" i="242"/>
  <c r="B1539" i="242"/>
  <c r="A2440" i="242"/>
  <c r="B2441" i="242"/>
  <c r="A1584" i="242"/>
  <c r="B1585" i="242"/>
  <c r="B2027" i="242"/>
  <c r="A2026" i="242"/>
  <c r="A2904" i="242"/>
  <c r="B2905" i="242"/>
  <c r="A45" i="241"/>
  <c r="B46" i="241"/>
  <c r="B1903" i="242"/>
  <c r="A1902" i="242"/>
  <c r="B2545" i="242"/>
  <c r="A2544" i="242"/>
  <c r="A412" i="242"/>
  <c r="B413" i="242"/>
  <c r="A2126" i="242"/>
  <c r="B2127" i="242"/>
  <c r="B127" i="242"/>
  <c r="A126" i="242"/>
  <c r="B1697" i="242"/>
  <c r="A1696" i="242"/>
  <c r="B2251" i="242"/>
  <c r="A2250" i="242"/>
  <c r="B1934" i="242"/>
  <c r="A1933" i="242"/>
  <c r="B1442" i="242"/>
  <c r="A1441" i="242"/>
  <c r="B22" i="242"/>
  <c r="A21" i="242"/>
  <c r="A2127" i="242" l="1"/>
  <c r="B2128" i="242"/>
  <c r="A22" i="242"/>
  <c r="B23" i="242"/>
  <c r="A2027" i="242"/>
  <c r="B2028" i="242"/>
  <c r="A163" i="242"/>
  <c r="B164" i="242"/>
  <c r="B1978" i="242"/>
  <c r="A1977" i="242"/>
  <c r="A1585" i="242"/>
  <c r="B1586" i="242"/>
  <c r="A172" i="241"/>
  <c r="B173" i="241"/>
  <c r="A635" i="242"/>
  <c r="B636" i="242"/>
  <c r="A1442" i="242"/>
  <c r="B1443" i="242"/>
  <c r="B2604" i="242"/>
  <c r="A2603" i="242"/>
  <c r="A413" i="242"/>
  <c r="B414" i="242"/>
  <c r="A2441" i="242"/>
  <c r="B2442" i="242"/>
  <c r="A1903" i="242"/>
  <c r="B1904" i="242"/>
  <c r="A19" i="241"/>
  <c r="B20" i="241"/>
  <c r="B1638" i="242"/>
  <c r="A1637" i="242"/>
  <c r="B267" i="242"/>
  <c r="A266" i="242"/>
  <c r="A46" i="241"/>
  <c r="B47" i="241"/>
  <c r="A2389" i="242"/>
  <c r="B2390" i="242"/>
  <c r="A2334" i="242"/>
  <c r="B2335" i="242"/>
  <c r="B1935" i="242"/>
  <c r="A1934" i="242"/>
  <c r="A551" i="242"/>
  <c r="B552" i="242"/>
  <c r="A1697" i="242"/>
  <c r="B1698" i="242"/>
  <c r="B1189" i="242"/>
  <c r="A1188" i="242"/>
  <c r="B1393" i="242"/>
  <c r="A1392" i="242"/>
  <c r="A1756" i="242"/>
  <c r="B1757" i="242"/>
  <c r="A1539" i="242"/>
  <c r="B1540" i="242"/>
  <c r="B2252" i="242"/>
  <c r="A2251" i="242"/>
  <c r="A2905" i="242"/>
  <c r="B2906" i="242"/>
  <c r="B732" i="242"/>
  <c r="A731" i="242"/>
  <c r="A2545" i="242"/>
  <c r="B2546" i="242"/>
  <c r="A222" i="241"/>
  <c r="B223" i="241"/>
  <c r="A127" i="242"/>
  <c r="B128" i="242"/>
  <c r="A459" i="242"/>
  <c r="B460" i="242"/>
  <c r="A2180" i="242"/>
  <c r="B2181" i="242"/>
  <c r="A507" i="242"/>
  <c r="B508" i="242"/>
  <c r="B2907" i="242" l="1"/>
  <c r="A2906" i="242"/>
  <c r="B2547" i="242"/>
  <c r="A2546" i="242"/>
  <c r="A2390" i="242"/>
  <c r="B2391" i="242"/>
  <c r="A2442" i="242"/>
  <c r="B2443" i="242"/>
  <c r="B1587" i="242"/>
  <c r="A1586" i="242"/>
  <c r="A414" i="242"/>
  <c r="B415" i="242"/>
  <c r="A732" i="242"/>
  <c r="B733" i="242"/>
  <c r="A1189" i="242"/>
  <c r="B1190" i="242"/>
  <c r="B1979" i="242"/>
  <c r="A1978" i="242"/>
  <c r="B2605" i="242"/>
  <c r="A2604" i="242"/>
  <c r="B1639" i="242"/>
  <c r="A1638" i="242"/>
  <c r="A2181" i="242"/>
  <c r="B2182" i="242"/>
  <c r="A267" i="242"/>
  <c r="B268" i="242"/>
  <c r="A1443" i="242"/>
  <c r="B1444" i="242"/>
  <c r="B129" i="242"/>
  <c r="A128" i="242"/>
  <c r="B1541" i="242"/>
  <c r="A1540" i="242"/>
  <c r="A20" i="241"/>
  <c r="B21" i="241"/>
  <c r="B637" i="242"/>
  <c r="A636" i="242"/>
  <c r="A23" i="242"/>
  <c r="B24" i="242"/>
  <c r="B1394" i="242"/>
  <c r="A1393" i="242"/>
  <c r="A47" i="241"/>
  <c r="B48" i="241"/>
  <c r="A164" i="242"/>
  <c r="B165" i="242"/>
  <c r="A552" i="242"/>
  <c r="B553" i="242"/>
  <c r="A1935" i="242"/>
  <c r="B1936" i="242"/>
  <c r="B509" i="242"/>
  <c r="A508" i="242"/>
  <c r="B1699" i="242"/>
  <c r="A1698" i="242"/>
  <c r="B461" i="242"/>
  <c r="A460" i="242"/>
  <c r="A2252" i="242"/>
  <c r="B2253" i="242"/>
  <c r="A223" i="241"/>
  <c r="B224" i="241"/>
  <c r="B1758" i="242"/>
  <c r="A1757" i="242"/>
  <c r="B2336" i="242"/>
  <c r="A2335" i="242"/>
  <c r="A1904" i="242"/>
  <c r="B1905" i="242"/>
  <c r="A173" i="241"/>
  <c r="B174" i="241"/>
  <c r="A2128" i="242"/>
  <c r="B2129" i="242"/>
  <c r="A2028" i="242"/>
  <c r="B2029" i="242"/>
  <c r="B1937" i="242" l="1"/>
  <c r="A1936" i="242"/>
  <c r="A2182" i="242"/>
  <c r="B2183" i="242"/>
  <c r="A415" i="242"/>
  <c r="B416" i="242"/>
  <c r="B1759" i="242"/>
  <c r="A1758" i="242"/>
  <c r="B638" i="242"/>
  <c r="A637" i="242"/>
  <c r="A21" i="241"/>
  <c r="B22" i="241"/>
  <c r="A1639" i="242"/>
  <c r="B1640" i="242"/>
  <c r="A1587" i="242"/>
  <c r="B1588" i="242"/>
  <c r="A461" i="242"/>
  <c r="B462" i="242"/>
  <c r="A129" i="242"/>
  <c r="B130" i="242"/>
  <c r="A1979" i="242"/>
  <c r="B1980" i="242"/>
  <c r="B2030" i="242"/>
  <c r="A2029" i="242"/>
  <c r="B1542" i="242"/>
  <c r="A1541" i="242"/>
  <c r="B2392" i="242"/>
  <c r="A2391" i="242"/>
  <c r="B1445" i="242"/>
  <c r="A1444" i="242"/>
  <c r="A1190" i="242"/>
  <c r="B1191" i="242"/>
  <c r="B554" i="242"/>
  <c r="A553" i="242"/>
  <c r="B2254" i="242"/>
  <c r="A2253" i="242"/>
  <c r="A2605" i="242"/>
  <c r="B2606" i="242"/>
  <c r="A1699" i="242"/>
  <c r="B1700" i="242"/>
  <c r="A1394" i="242"/>
  <c r="B1395" i="242"/>
  <c r="A2547" i="242"/>
  <c r="B2548" i="242"/>
  <c r="A224" i="241"/>
  <c r="B225" i="241"/>
  <c r="A2443" i="242"/>
  <c r="B2444" i="242"/>
  <c r="A174" i="241"/>
  <c r="B175" i="241"/>
  <c r="B1906" i="242"/>
  <c r="A1905" i="242"/>
  <c r="B25" i="242"/>
  <c r="A24" i="242"/>
  <c r="A268" i="242"/>
  <c r="B269" i="242"/>
  <c r="A733" i="242"/>
  <c r="B734" i="242"/>
  <c r="B2130" i="242"/>
  <c r="A2129" i="242"/>
  <c r="B166" i="242"/>
  <c r="A165" i="242"/>
  <c r="A48" i="241"/>
  <c r="B49" i="241"/>
  <c r="A2336" i="242"/>
  <c r="B2337" i="242"/>
  <c r="B510" i="242"/>
  <c r="A509" i="242"/>
  <c r="B2908" i="242"/>
  <c r="A2907" i="242"/>
  <c r="A2444" i="242" l="1"/>
  <c r="B2445" i="242"/>
  <c r="A22" i="241"/>
  <c r="B23" i="241"/>
  <c r="B2131" i="242"/>
  <c r="A2130" i="242"/>
  <c r="A225" i="241"/>
  <c r="B226" i="241"/>
  <c r="A1980" i="242"/>
  <c r="B1981" i="242"/>
  <c r="A2908" i="242"/>
  <c r="B2909" i="242"/>
  <c r="A554" i="242"/>
  <c r="B555" i="242"/>
  <c r="B639" i="242"/>
  <c r="A638" i="242"/>
  <c r="B2255" i="242"/>
  <c r="A2254" i="242"/>
  <c r="A269" i="242"/>
  <c r="B270" i="242"/>
  <c r="B511" i="242"/>
  <c r="A510" i="242"/>
  <c r="A25" i="242"/>
  <c r="B26" i="242"/>
  <c r="B1446" i="242"/>
  <c r="A1445" i="242"/>
  <c r="A734" i="242"/>
  <c r="B735" i="242"/>
  <c r="B1192" i="242"/>
  <c r="A1191" i="242"/>
  <c r="A2337" i="242"/>
  <c r="B2338" i="242"/>
  <c r="B463" i="242"/>
  <c r="A462" i="242"/>
  <c r="A49" i="241"/>
  <c r="B50" i="241"/>
  <c r="B1701" i="242"/>
  <c r="A1700" i="242"/>
  <c r="B1589" i="242"/>
  <c r="A1588" i="242"/>
  <c r="A2183" i="242"/>
  <c r="B2184" i="242"/>
  <c r="B1907" i="242"/>
  <c r="A1906" i="242"/>
  <c r="A2392" i="242"/>
  <c r="B2393" i="242"/>
  <c r="B2031" i="242"/>
  <c r="A2030" i="242"/>
  <c r="B2549" i="242"/>
  <c r="A2548" i="242"/>
  <c r="A1759" i="242"/>
  <c r="B1760" i="242"/>
  <c r="A416" i="242"/>
  <c r="B417" i="242"/>
  <c r="A175" i="241"/>
  <c r="B176" i="241"/>
  <c r="A2606" i="242"/>
  <c r="B2607" i="242"/>
  <c r="A1640" i="242"/>
  <c r="B1641" i="242"/>
  <c r="A130" i="242"/>
  <c r="B131" i="242"/>
  <c r="A1395" i="242"/>
  <c r="B1396" i="242"/>
  <c r="B167" i="242"/>
  <c r="A166" i="242"/>
  <c r="A1542" i="242"/>
  <c r="B1543" i="242"/>
  <c r="A1937" i="242"/>
  <c r="B1938" i="242"/>
  <c r="B1642" i="242" l="1"/>
  <c r="A1641" i="242"/>
  <c r="B51" i="241"/>
  <c r="A50" i="241"/>
  <c r="B27" i="242"/>
  <c r="A26" i="242"/>
  <c r="A2909" i="242"/>
  <c r="B2910" i="242"/>
  <c r="A2031" i="242"/>
  <c r="B2032" i="242"/>
  <c r="A1938" i="242"/>
  <c r="B1939" i="242"/>
  <c r="A2393" i="242"/>
  <c r="B2394" i="242"/>
  <c r="B1982" i="242"/>
  <c r="A1981" i="242"/>
  <c r="A463" i="242"/>
  <c r="B464" i="242"/>
  <c r="A511" i="242"/>
  <c r="B512" i="242"/>
  <c r="A2184" i="242"/>
  <c r="B2185" i="242"/>
  <c r="B1193" i="242"/>
  <c r="A1192" i="242"/>
  <c r="B2256" i="242"/>
  <c r="A2255" i="242"/>
  <c r="B2132" i="242"/>
  <c r="A2131" i="242"/>
  <c r="A2607" i="242"/>
  <c r="B2608" i="242"/>
  <c r="B418" i="242"/>
  <c r="A417" i="242"/>
  <c r="B1761" i="242"/>
  <c r="A1760" i="242"/>
  <c r="A735" i="242"/>
  <c r="B736" i="242"/>
  <c r="A23" i="241"/>
  <c r="B24" i="241"/>
  <c r="A1543" i="242"/>
  <c r="B1544" i="242"/>
  <c r="B227" i="241"/>
  <c r="A226" i="241"/>
  <c r="B1590" i="242"/>
  <c r="A1589" i="242"/>
  <c r="A639" i="242"/>
  <c r="B640" i="242"/>
  <c r="A176" i="241"/>
  <c r="B177" i="241"/>
  <c r="B271" i="242"/>
  <c r="A270" i="242"/>
  <c r="A167" i="242"/>
  <c r="B168" i="242"/>
  <c r="A131" i="242"/>
  <c r="B132" i="242"/>
  <c r="A555" i="242"/>
  <c r="B556" i="242"/>
  <c r="B2446" i="242"/>
  <c r="A2445" i="242"/>
  <c r="B2339" i="242"/>
  <c r="A2338" i="242"/>
  <c r="A1907" i="242"/>
  <c r="B1908" i="242"/>
  <c r="A1396" i="242"/>
  <c r="B1397" i="242"/>
  <c r="A2549" i="242"/>
  <c r="B2550" i="242"/>
  <c r="B1702" i="242"/>
  <c r="A1701" i="242"/>
  <c r="A1446" i="242"/>
  <c r="B1447" i="242"/>
  <c r="A177" i="241" l="1"/>
  <c r="B178" i="241"/>
  <c r="A736" i="242"/>
  <c r="B737" i="242"/>
  <c r="A1939" i="242"/>
  <c r="B1940" i="242"/>
  <c r="B2340" i="242"/>
  <c r="A2339" i="242"/>
  <c r="A1193" i="242"/>
  <c r="B1194" i="242"/>
  <c r="A640" i="242"/>
  <c r="B641" i="242"/>
  <c r="B2186" i="242"/>
  <c r="A2185" i="242"/>
  <c r="A2032" i="242"/>
  <c r="B2033" i="242"/>
  <c r="A2446" i="242"/>
  <c r="B2447" i="242"/>
  <c r="B1762" i="242"/>
  <c r="A1761" i="242"/>
  <c r="B2911" i="242"/>
  <c r="A2910" i="242"/>
  <c r="B1591" i="242"/>
  <c r="A1590" i="242"/>
  <c r="B133" i="242"/>
  <c r="A132" i="242"/>
  <c r="A227" i="241"/>
  <c r="B228" i="241"/>
  <c r="A27" i="242"/>
  <c r="B28" i="242"/>
  <c r="B2609" i="242"/>
  <c r="A2608" i="242"/>
  <c r="B1545" i="242"/>
  <c r="A1544" i="242"/>
  <c r="B1448" i="242"/>
  <c r="A1447" i="242"/>
  <c r="A2132" i="242"/>
  <c r="B2133" i="242"/>
  <c r="B1983" i="242"/>
  <c r="A1982" i="242"/>
  <c r="A51" i="241"/>
  <c r="B52" i="241"/>
  <c r="B557" i="242"/>
  <c r="A556" i="242"/>
  <c r="A1702" i="242"/>
  <c r="B1703" i="242"/>
  <c r="A418" i="242"/>
  <c r="B419" i="242"/>
  <c r="A2550" i="242"/>
  <c r="B2551" i="242"/>
  <c r="B465" i="242"/>
  <c r="A464" i="242"/>
  <c r="A168" i="242"/>
  <c r="B169" i="242"/>
  <c r="A1908" i="242"/>
  <c r="B1909" i="242"/>
  <c r="A24" i="241"/>
  <c r="B25" i="241"/>
  <c r="A2394" i="242"/>
  <c r="B2395" i="242"/>
  <c r="A512" i="242"/>
  <c r="B513" i="242"/>
  <c r="B1398" i="242"/>
  <c r="A1397" i="242"/>
  <c r="A271" i="242"/>
  <c r="B272" i="242"/>
  <c r="A2256" i="242"/>
  <c r="B2257" i="242"/>
  <c r="B1643" i="242"/>
  <c r="A1642" i="242"/>
  <c r="B2912" i="242" l="1"/>
  <c r="A2911" i="242"/>
  <c r="A272" i="242"/>
  <c r="B273" i="242"/>
  <c r="A2395" i="242"/>
  <c r="B2396" i="242"/>
  <c r="A419" i="242"/>
  <c r="B420" i="242"/>
  <c r="A641" i="242"/>
  <c r="B642" i="242"/>
  <c r="A1448" i="242"/>
  <c r="B1449" i="242"/>
  <c r="A1591" i="242"/>
  <c r="B1592" i="242"/>
  <c r="A25" i="241"/>
  <c r="B26" i="241"/>
  <c r="A1703" i="242"/>
  <c r="B1704" i="242"/>
  <c r="B1195" i="242"/>
  <c r="A1194" i="242"/>
  <c r="A1643" i="242"/>
  <c r="B1644" i="242"/>
  <c r="B1546" i="242"/>
  <c r="A1545" i="242"/>
  <c r="A2257" i="242"/>
  <c r="B2258" i="242"/>
  <c r="B1910" i="242"/>
  <c r="A1909" i="242"/>
  <c r="A557" i="242"/>
  <c r="B558" i="242"/>
  <c r="A2609" i="242"/>
  <c r="B2610" i="242"/>
  <c r="B1763" i="242"/>
  <c r="A1762" i="242"/>
  <c r="A2340" i="242"/>
  <c r="B2341" i="242"/>
  <c r="B170" i="242"/>
  <c r="A169" i="242"/>
  <c r="A52" i="241"/>
  <c r="B53" i="241"/>
  <c r="A28" i="242"/>
  <c r="B29" i="242"/>
  <c r="A2447" i="242"/>
  <c r="B2448" i="242"/>
  <c r="B1941" i="242"/>
  <c r="A1940" i="242"/>
  <c r="A228" i="241"/>
  <c r="B229" i="241"/>
  <c r="A2033" i="242"/>
  <c r="B2034" i="242"/>
  <c r="A737" i="242"/>
  <c r="B738" i="242"/>
  <c r="A1398" i="242"/>
  <c r="B1399" i="242"/>
  <c r="B514" i="242"/>
  <c r="A513" i="242"/>
  <c r="B2552" i="242"/>
  <c r="A2551" i="242"/>
  <c r="B2134" i="242"/>
  <c r="A2133" i="242"/>
  <c r="B179" i="241"/>
  <c r="A178" i="241"/>
  <c r="B466" i="242"/>
  <c r="A465" i="242"/>
  <c r="A1983" i="242"/>
  <c r="B1984" i="242"/>
  <c r="B134" i="242"/>
  <c r="A133" i="242"/>
  <c r="B2187" i="242"/>
  <c r="A2186" i="242"/>
  <c r="A229" i="241" l="1"/>
  <c r="B230" i="241"/>
  <c r="A2341" i="242"/>
  <c r="B2342" i="242"/>
  <c r="B1450" i="242"/>
  <c r="A1449" i="242"/>
  <c r="A2187" i="242"/>
  <c r="B2188" i="242"/>
  <c r="A2448" i="242"/>
  <c r="B2449" i="242"/>
  <c r="A2610" i="242"/>
  <c r="B2611" i="242"/>
  <c r="A420" i="242"/>
  <c r="B421" i="242"/>
  <c r="A1644" i="242"/>
  <c r="B1645" i="242"/>
  <c r="A1763" i="242"/>
  <c r="B1764" i="242"/>
  <c r="A29" i="242"/>
  <c r="B30" i="242"/>
  <c r="A1704" i="242"/>
  <c r="B1705" i="242"/>
  <c r="B739" i="242"/>
  <c r="A738" i="242"/>
  <c r="A53" i="241"/>
  <c r="B54" i="241"/>
  <c r="B27" i="241"/>
  <c r="A26" i="241"/>
  <c r="A273" i="242"/>
  <c r="B274" i="242"/>
  <c r="A2552" i="242"/>
  <c r="B2553" i="242"/>
  <c r="A134" i="242"/>
  <c r="B135" i="242"/>
  <c r="A1195" i="242"/>
  <c r="B1196" i="242"/>
  <c r="B559" i="242"/>
  <c r="A558" i="242"/>
  <c r="A466" i="242"/>
  <c r="B467" i="242"/>
  <c r="B1911" i="242"/>
  <c r="A1910" i="242"/>
  <c r="A1546" i="242"/>
  <c r="B1547" i="242"/>
  <c r="B643" i="242"/>
  <c r="A642" i="242"/>
  <c r="A1399" i="242"/>
  <c r="B1400" i="242"/>
  <c r="B2035" i="242"/>
  <c r="A2034" i="242"/>
  <c r="A2258" i="242"/>
  <c r="B2259" i="242"/>
  <c r="A1592" i="242"/>
  <c r="B1593" i="242"/>
  <c r="A2134" i="242"/>
  <c r="B2135" i="242"/>
  <c r="A1941" i="242"/>
  <c r="B1942" i="242"/>
  <c r="A514" i="242"/>
  <c r="B515" i="242"/>
  <c r="A1984" i="242"/>
  <c r="B1985" i="242"/>
  <c r="A2396" i="242"/>
  <c r="B2397" i="242"/>
  <c r="A179" i="241"/>
  <c r="B180" i="241"/>
  <c r="B171" i="242"/>
  <c r="A170" i="242"/>
  <c r="A2912" i="242"/>
  <c r="B2913" i="242"/>
  <c r="A515" i="242" l="1"/>
  <c r="B516" i="242"/>
  <c r="B1401" i="242"/>
  <c r="A1400" i="242"/>
  <c r="B1197" i="242"/>
  <c r="A1196" i="242"/>
  <c r="B2612" i="242"/>
  <c r="A2611" i="242"/>
  <c r="B740" i="242"/>
  <c r="A739" i="242"/>
  <c r="A2913" i="242"/>
  <c r="B2914" i="242"/>
  <c r="B2136" i="242"/>
  <c r="A2135" i="242"/>
  <c r="B1548" i="242"/>
  <c r="A1547" i="242"/>
  <c r="A2553" i="242"/>
  <c r="B2554" i="242"/>
  <c r="A30" i="242"/>
  <c r="B31" i="242"/>
  <c r="A2188" i="242"/>
  <c r="B2189" i="242"/>
  <c r="A135" i="242"/>
  <c r="B136" i="242"/>
  <c r="A274" i="242"/>
  <c r="B275" i="242"/>
  <c r="A1911" i="242"/>
  <c r="B1912" i="242"/>
  <c r="A1450" i="242"/>
  <c r="B1451" i="242"/>
  <c r="B1706" i="242"/>
  <c r="A1705" i="242"/>
  <c r="B2260" i="242"/>
  <c r="A2259" i="242"/>
  <c r="A467" i="242"/>
  <c r="B468" i="242"/>
  <c r="A1645" i="242"/>
  <c r="B1646" i="242"/>
  <c r="B2343" i="242"/>
  <c r="A2342" i="242"/>
  <c r="B1943" i="242"/>
  <c r="A1942" i="242"/>
  <c r="A1593" i="242"/>
  <c r="B1594" i="242"/>
  <c r="A27" i="241"/>
  <c r="B28" i="241"/>
  <c r="A28" i="241" s="1"/>
  <c r="B2450" i="242"/>
  <c r="A2449" i="242"/>
  <c r="A171" i="242"/>
  <c r="B172" i="242"/>
  <c r="B1986" i="242"/>
  <c r="A1985" i="242"/>
  <c r="A54" i="241"/>
  <c r="B55" i="241"/>
  <c r="A421" i="242"/>
  <c r="B422" i="242"/>
  <c r="B231" i="241"/>
  <c r="A230" i="241"/>
  <c r="A643" i="242"/>
  <c r="B644" i="242"/>
  <c r="A180" i="241"/>
  <c r="B181" i="241"/>
  <c r="B1765" i="242"/>
  <c r="A1764" i="242"/>
  <c r="B2398" i="242"/>
  <c r="A2397" i="242"/>
  <c r="A2035" i="242"/>
  <c r="B2036" i="242"/>
  <c r="A559" i="242"/>
  <c r="B560" i="242"/>
  <c r="A644" i="242" l="1"/>
  <c r="B645" i="242"/>
  <c r="A468" i="242"/>
  <c r="B469" i="242"/>
  <c r="A136" i="242"/>
  <c r="B137" i="242"/>
  <c r="B2915" i="242"/>
  <c r="A2914" i="242"/>
  <c r="A2450" i="242"/>
  <c r="B2451" i="242"/>
  <c r="B2037" i="242"/>
  <c r="A2036" i="242"/>
  <c r="A422" i="242"/>
  <c r="B423" i="242"/>
  <c r="B1595" i="242"/>
  <c r="A1594" i="242"/>
  <c r="A31" i="242"/>
  <c r="B32" i="242"/>
  <c r="A231" i="241"/>
  <c r="B232" i="241"/>
  <c r="A1943" i="242"/>
  <c r="B1944" i="242"/>
  <c r="A1197" i="242"/>
  <c r="B1198" i="242"/>
  <c r="B1913" i="242"/>
  <c r="A1912" i="242"/>
  <c r="A740" i="242"/>
  <c r="B741" i="242"/>
  <c r="B2613" i="242"/>
  <c r="A2612" i="242"/>
  <c r="B1452" i="242"/>
  <c r="A1451" i="242"/>
  <c r="A1765" i="242"/>
  <c r="B1766" i="242"/>
  <c r="B1987" i="242"/>
  <c r="A1986" i="242"/>
  <c r="B2344" i="242"/>
  <c r="A2343" i="242"/>
  <c r="A1548" i="242"/>
  <c r="B1549" i="242"/>
  <c r="B1402" i="242"/>
  <c r="A1401" i="242"/>
  <c r="A2398" i="242"/>
  <c r="B2399" i="242"/>
  <c r="A181" i="241"/>
  <c r="B182" i="241"/>
  <c r="A172" i="242"/>
  <c r="B173" i="242"/>
  <c r="B1647" i="242"/>
  <c r="A1646" i="242"/>
  <c r="A275" i="242"/>
  <c r="B276" i="242"/>
  <c r="A516" i="242"/>
  <c r="B517" i="242"/>
  <c r="B561" i="242"/>
  <c r="A560" i="242"/>
  <c r="B2190" i="242"/>
  <c r="A2189" i="242"/>
  <c r="A2260" i="242"/>
  <c r="B2261" i="242"/>
  <c r="B1707" i="242"/>
  <c r="A1706" i="242"/>
  <c r="A55" i="241"/>
  <c r="B56" i="241"/>
  <c r="A2554" i="242"/>
  <c r="B2555" i="242"/>
  <c r="A2136" i="242"/>
  <c r="B2137" i="242"/>
  <c r="B2452" i="242" l="1"/>
  <c r="A2451" i="242"/>
  <c r="A2399" i="242"/>
  <c r="B2400" i="242"/>
  <c r="B2262" i="242"/>
  <c r="A2261" i="242"/>
  <c r="A173" i="242"/>
  <c r="B174" i="242"/>
  <c r="B1199" i="242"/>
  <c r="A1198" i="242"/>
  <c r="B2556" i="242"/>
  <c r="A2555" i="242"/>
  <c r="A1987" i="242"/>
  <c r="B1988" i="242"/>
  <c r="A2037" i="242"/>
  <c r="B2038" i="242"/>
  <c r="A1766" i="242"/>
  <c r="B1767" i="242"/>
  <c r="B2191" i="242"/>
  <c r="A2190" i="242"/>
  <c r="A232" i="241"/>
  <c r="B233" i="241"/>
  <c r="B562" i="242"/>
  <c r="A561" i="242"/>
  <c r="B1453" i="242"/>
  <c r="A1452" i="242"/>
  <c r="B2916" i="242"/>
  <c r="A2915" i="242"/>
  <c r="B1945" i="242"/>
  <c r="A1944" i="242"/>
  <c r="B2138" i="242"/>
  <c r="A2137" i="242"/>
  <c r="B33" i="242"/>
  <c r="A32" i="242"/>
  <c r="A1402" i="242"/>
  <c r="B1403" i="242"/>
  <c r="B1550" i="242"/>
  <c r="A1549" i="242"/>
  <c r="A741" i="242"/>
  <c r="B742" i="242"/>
  <c r="A469" i="242"/>
  <c r="B470" i="242"/>
  <c r="A2613" i="242"/>
  <c r="B2614" i="242"/>
  <c r="A1595" i="242"/>
  <c r="B1596" i="242"/>
  <c r="B183" i="241"/>
  <c r="A182" i="241"/>
  <c r="A517" i="242"/>
  <c r="B518" i="242"/>
  <c r="A56" i="241"/>
  <c r="B57" i="241"/>
  <c r="A423" i="242"/>
  <c r="B424" i="242"/>
  <c r="A645" i="242"/>
  <c r="B646" i="242"/>
  <c r="A137" i="242"/>
  <c r="B138" i="242"/>
  <c r="B277" i="242"/>
  <c r="A276" i="242"/>
  <c r="A1707" i="242"/>
  <c r="B1708" i="242"/>
  <c r="A1647" i="242"/>
  <c r="B1648" i="242"/>
  <c r="A2344" i="242"/>
  <c r="B2345" i="242"/>
  <c r="A1913" i="242"/>
  <c r="B1914" i="242"/>
  <c r="A1403" i="242" l="1"/>
  <c r="B1404" i="242"/>
  <c r="B139" i="242"/>
  <c r="A138" i="242"/>
  <c r="B2615" i="242"/>
  <c r="A2614" i="242"/>
  <c r="B278" i="242"/>
  <c r="A277" i="242"/>
  <c r="A183" i="241"/>
  <c r="B184" i="241"/>
  <c r="A562" i="242"/>
  <c r="B563" i="242"/>
  <c r="A2556" i="242"/>
  <c r="B2557" i="242"/>
  <c r="A1199" i="242"/>
  <c r="B1200" i="242"/>
  <c r="A424" i="242"/>
  <c r="B425" i="242"/>
  <c r="B1946" i="242"/>
  <c r="A1945" i="242"/>
  <c r="B2263" i="242"/>
  <c r="A2262" i="242"/>
  <c r="A646" i="242"/>
  <c r="B647" i="242"/>
  <c r="A2345" i="242"/>
  <c r="B2346" i="242"/>
  <c r="A1767" i="242"/>
  <c r="B1768" i="242"/>
  <c r="B1649" i="242"/>
  <c r="A1648" i="242"/>
  <c r="A57" i="241"/>
  <c r="B58" i="241"/>
  <c r="A742" i="242"/>
  <c r="B743" i="242"/>
  <c r="B2039" i="242"/>
  <c r="A2038" i="242"/>
  <c r="A2400" i="242"/>
  <c r="B2401" i="242"/>
  <c r="A33" i="242"/>
  <c r="B34" i="242"/>
  <c r="A2916" i="242"/>
  <c r="B2917" i="242"/>
  <c r="A1596" i="242"/>
  <c r="B1597" i="242"/>
  <c r="A233" i="241"/>
  <c r="B234" i="241"/>
  <c r="A2138" i="242"/>
  <c r="B2139" i="242"/>
  <c r="A1708" i="242"/>
  <c r="B1709" i="242"/>
  <c r="B519" i="242"/>
  <c r="A518" i="242"/>
  <c r="B1989" i="242"/>
  <c r="A1988" i="242"/>
  <c r="B1915" i="242"/>
  <c r="A1914" i="242"/>
  <c r="B175" i="242"/>
  <c r="A174" i="242"/>
  <c r="A2191" i="242"/>
  <c r="B2192" i="242"/>
  <c r="B471" i="242"/>
  <c r="A470" i="242"/>
  <c r="A1550" i="242"/>
  <c r="B1551" i="242"/>
  <c r="B1454" i="242"/>
  <c r="A1453" i="242"/>
  <c r="A2452" i="242"/>
  <c r="B2453" i="242"/>
  <c r="A184" i="241" l="1"/>
  <c r="B185" i="241"/>
  <c r="A2192" i="242"/>
  <c r="B2193" i="242"/>
  <c r="A2139" i="242"/>
  <c r="B2140" i="242"/>
  <c r="A647" i="242"/>
  <c r="B648" i="242"/>
  <c r="A563" i="242"/>
  <c r="B564" i="242"/>
  <c r="A743" i="242"/>
  <c r="B744" i="242"/>
  <c r="B2264" i="242"/>
  <c r="A2263" i="242"/>
  <c r="A1597" i="242"/>
  <c r="B1598" i="242"/>
  <c r="A2039" i="242"/>
  <c r="B2040" i="242"/>
  <c r="B2454" i="242"/>
  <c r="A2453" i="242"/>
  <c r="A1915" i="242"/>
  <c r="B1916" i="242"/>
  <c r="A1916" i="242" s="1"/>
  <c r="B1650" i="242"/>
  <c r="A1649" i="242"/>
  <c r="B2616" i="242"/>
  <c r="A2615" i="242"/>
  <c r="B59" i="241"/>
  <c r="A58" i="241"/>
  <c r="B1552" i="242"/>
  <c r="A1551" i="242"/>
  <c r="A34" i="242"/>
  <c r="B35" i="242"/>
  <c r="B1769" i="242"/>
  <c r="A1768" i="242"/>
  <c r="B1201" i="242"/>
  <c r="A1200" i="242"/>
  <c r="A425" i="242"/>
  <c r="B426" i="242"/>
  <c r="A519" i="242"/>
  <c r="B520" i="242"/>
  <c r="A139" i="242"/>
  <c r="B140" i="242"/>
  <c r="A278" i="242"/>
  <c r="B279" i="242"/>
  <c r="A2917" i="242"/>
  <c r="B2918" i="242"/>
  <c r="A1989" i="242"/>
  <c r="B1990" i="242"/>
  <c r="A1709" i="242"/>
  <c r="B1710" i="242"/>
  <c r="B2402" i="242"/>
  <c r="A2401" i="242"/>
  <c r="B2347" i="242"/>
  <c r="A2346" i="242"/>
  <c r="A2557" i="242"/>
  <c r="B2558" i="242"/>
  <c r="B1405" i="242"/>
  <c r="A1404" i="242"/>
  <c r="A234" i="241"/>
  <c r="B235" i="241"/>
  <c r="A175" i="242"/>
  <c r="B176" i="242"/>
  <c r="A1946" i="242"/>
  <c r="B1947" i="242"/>
  <c r="A1454" i="242"/>
  <c r="B1455" i="242"/>
  <c r="A471" i="242"/>
  <c r="B472" i="242"/>
  <c r="A2558" i="242" l="1"/>
  <c r="B2559" i="242"/>
  <c r="A235" i="241"/>
  <c r="B236" i="241"/>
  <c r="B1991" i="242"/>
  <c r="A1990" i="242"/>
  <c r="A744" i="242"/>
  <c r="B745" i="242"/>
  <c r="A1405" i="242"/>
  <c r="B1406" i="242"/>
  <c r="B473" i="242"/>
  <c r="A472" i="242"/>
  <c r="A1201" i="242"/>
  <c r="B1202" i="242"/>
  <c r="A1650" i="242"/>
  <c r="B1651" i="242"/>
  <c r="B1553" i="242"/>
  <c r="A1552" i="242"/>
  <c r="B2919" i="242"/>
  <c r="A2918" i="242"/>
  <c r="A1769" i="242"/>
  <c r="B1770" i="242"/>
  <c r="A279" i="242"/>
  <c r="B280" i="242"/>
  <c r="B2041" i="242"/>
  <c r="A2040" i="242"/>
  <c r="A1947" i="242"/>
  <c r="B1948" i="242"/>
  <c r="A520" i="242"/>
  <c r="B521" i="242"/>
  <c r="B1599" i="242"/>
  <c r="A1598" i="242"/>
  <c r="B2194" i="242"/>
  <c r="A2193" i="242"/>
  <c r="A35" i="242"/>
  <c r="B36" i="242"/>
  <c r="A1455" i="242"/>
  <c r="B1456" i="242"/>
  <c r="A2140" i="242"/>
  <c r="B2141" i="242"/>
  <c r="A2402" i="242"/>
  <c r="B2403" i="242"/>
  <c r="A59" i="241"/>
  <c r="B60" i="241"/>
  <c r="A648" i="242"/>
  <c r="B649" i="242"/>
  <c r="A2454" i="242"/>
  <c r="B2455" i="242"/>
  <c r="B141" i="242"/>
  <c r="A140" i="242"/>
  <c r="A176" i="242"/>
  <c r="B177" i="242"/>
  <c r="B1711" i="242"/>
  <c r="A1710" i="242"/>
  <c r="A426" i="242"/>
  <c r="B427" i="242"/>
  <c r="A185" i="241"/>
  <c r="B186" i="241"/>
  <c r="A564" i="242"/>
  <c r="B565" i="242"/>
  <c r="B2348" i="242"/>
  <c r="A2347" i="242"/>
  <c r="B2617" i="242"/>
  <c r="A2616" i="242"/>
  <c r="A2264" i="242"/>
  <c r="B2265" i="242"/>
  <c r="B1771" i="242" l="1"/>
  <c r="A1770" i="242"/>
  <c r="B566" i="242"/>
  <c r="A565" i="242"/>
  <c r="B2456" i="242"/>
  <c r="A2455" i="242"/>
  <c r="A36" i="242"/>
  <c r="B37" i="242"/>
  <c r="B281" i="242"/>
  <c r="A280" i="242"/>
  <c r="A186" i="241"/>
  <c r="B187" i="241"/>
  <c r="A427" i="242"/>
  <c r="B428" i="242"/>
  <c r="A60" i="241"/>
  <c r="B61" i="241"/>
  <c r="A745" i="242"/>
  <c r="B746" i="242"/>
  <c r="A649" i="242"/>
  <c r="B650" i="242"/>
  <c r="A1711" i="242"/>
  <c r="B1712" i="242"/>
  <c r="B1554" i="242"/>
  <c r="A1553" i="242"/>
  <c r="A1991" i="242"/>
  <c r="B1992" i="242"/>
  <c r="A521" i="242"/>
  <c r="B522" i="242"/>
  <c r="B178" i="242"/>
  <c r="A177" i="242"/>
  <c r="B2142" i="242"/>
  <c r="A2141" i="242"/>
  <c r="B1949" i="242"/>
  <c r="A1948" i="242"/>
  <c r="A1651" i="242"/>
  <c r="B1652" i="242"/>
  <c r="A236" i="241"/>
  <c r="B237" i="241"/>
  <c r="A1406" i="242"/>
  <c r="B1407" i="242"/>
  <c r="B2266" i="242"/>
  <c r="A2265" i="242"/>
  <c r="A2617" i="242"/>
  <c r="B2618" i="242"/>
  <c r="A473" i="242"/>
  <c r="B474" i="242"/>
  <c r="B2920" i="242"/>
  <c r="A2919" i="242"/>
  <c r="B1457" i="242"/>
  <c r="A1456" i="242"/>
  <c r="A1202" i="242"/>
  <c r="B1203" i="242"/>
  <c r="B2560" i="242"/>
  <c r="A2559" i="242"/>
  <c r="A2194" i="242"/>
  <c r="B2195" i="242"/>
  <c r="A1599" i="242"/>
  <c r="B1600" i="242"/>
  <c r="A2403" i="242"/>
  <c r="B2404" i="242"/>
  <c r="A2348" i="242"/>
  <c r="B2349" i="242"/>
  <c r="B142" i="242"/>
  <c r="A141" i="242"/>
  <c r="A2041" i="242"/>
  <c r="B2042" i="242"/>
  <c r="W17" i="54"/>
  <c r="CB13" i="202"/>
  <c r="CB14" i="202"/>
  <c r="CC14" i="202"/>
  <c r="CC13" i="202"/>
  <c r="B1713" i="242" l="1"/>
  <c r="A1712" i="242"/>
  <c r="A2404" i="242"/>
  <c r="B2405" i="242"/>
  <c r="A1652" i="242"/>
  <c r="B1653" i="242"/>
  <c r="A187" i="241"/>
  <c r="B188" i="241"/>
  <c r="A2920" i="242"/>
  <c r="B2921" i="242"/>
  <c r="B1950" i="242"/>
  <c r="A1949" i="242"/>
  <c r="A2195" i="242"/>
  <c r="B2196" i="242"/>
  <c r="A2618" i="242"/>
  <c r="B2619" i="242"/>
  <c r="A650" i="242"/>
  <c r="B651" i="242"/>
  <c r="A37" i="242"/>
  <c r="B38" i="242"/>
  <c r="B2143" i="242"/>
  <c r="A2142" i="242"/>
  <c r="A2560" i="242"/>
  <c r="B2561" i="242"/>
  <c r="B2267" i="242"/>
  <c r="A2266" i="242"/>
  <c r="A178" i="242"/>
  <c r="B179" i="242"/>
  <c r="A2456" i="242"/>
  <c r="B2457" i="242"/>
  <c r="B1204" i="242"/>
  <c r="A1203" i="242"/>
  <c r="A1407" i="242"/>
  <c r="B1408" i="242"/>
  <c r="B523" i="242"/>
  <c r="A522" i="242"/>
  <c r="A61" i="241"/>
  <c r="B62" i="241"/>
  <c r="A474" i="242"/>
  <c r="B475" i="242"/>
  <c r="B143" i="242"/>
  <c r="A142" i="242"/>
  <c r="B567" i="242"/>
  <c r="A566" i="242"/>
  <c r="A1554" i="242"/>
  <c r="B1555" i="242"/>
  <c r="A2042" i="242"/>
  <c r="B2043" i="242"/>
  <c r="A2349" i="242"/>
  <c r="B2350" i="242"/>
  <c r="A237" i="241"/>
  <c r="B238" i="241"/>
  <c r="B1993" i="242"/>
  <c r="A1992" i="242"/>
  <c r="B429" i="242"/>
  <c r="A428" i="242"/>
  <c r="B1601" i="242"/>
  <c r="A1600" i="242"/>
  <c r="A281" i="242"/>
  <c r="B282" i="242"/>
  <c r="B747" i="242"/>
  <c r="A746" i="242"/>
  <c r="B1458" i="242"/>
  <c r="A1457" i="242"/>
  <c r="A1771" i="242"/>
  <c r="B1772" i="242"/>
  <c r="CE13" i="202"/>
  <c r="CD14" i="202"/>
  <c r="CD13" i="202"/>
  <c r="CE14" i="202"/>
  <c r="AH39" i="202"/>
  <c r="BB29" i="202"/>
  <c r="BB35" i="202"/>
  <c r="BB32" i="202"/>
  <c r="BC13" i="202"/>
  <c r="BC31" i="202"/>
  <c r="BC53" i="202"/>
  <c r="AI71" i="202"/>
  <c r="AH18" i="202"/>
  <c r="AH48" i="202"/>
  <c r="BB47" i="202"/>
  <c r="BC22" i="202"/>
  <c r="AH46" i="202"/>
  <c r="BB33" i="202"/>
  <c r="BB14" i="202"/>
  <c r="BC56" i="202"/>
  <c r="BC80" i="202"/>
  <c r="BB42" i="202"/>
  <c r="AI80" i="202"/>
  <c r="BB75" i="202"/>
  <c r="BJ13" i="202"/>
  <c r="AH69" i="202"/>
  <c r="BC61" i="202"/>
  <c r="AH57" i="202"/>
  <c r="AI21" i="202"/>
  <c r="BB63" i="202"/>
  <c r="AH17" i="202"/>
  <c r="AI48" i="202"/>
  <c r="BC77" i="202"/>
  <c r="AH22" i="202"/>
  <c r="AI81" i="202"/>
  <c r="AH77" i="202"/>
  <c r="BB24" i="202"/>
  <c r="BC46" i="202"/>
  <c r="BC67" i="202"/>
  <c r="BB16" i="202"/>
  <c r="AI58" i="202"/>
  <c r="CB15" i="202"/>
  <c r="AH72" i="202"/>
  <c r="BC64" i="202"/>
  <c r="AI16" i="202"/>
  <c r="AH13" i="202"/>
  <c r="AI51" i="202"/>
  <c r="BB39" i="202"/>
  <c r="BC43" i="202"/>
  <c r="AI47" i="202"/>
  <c r="AI65" i="202"/>
  <c r="AH29" i="202"/>
  <c r="AH52" i="202"/>
  <c r="BB78" i="202"/>
  <c r="BB45" i="202"/>
  <c r="AI79" i="202"/>
  <c r="BK13" i="202"/>
  <c r="BC21" i="202"/>
  <c r="BB70" i="202"/>
  <c r="AI33" i="202"/>
  <c r="BT15" i="202"/>
  <c r="BC79" i="202"/>
  <c r="BC16" i="202"/>
  <c r="BB36" i="202"/>
  <c r="BB58" i="202"/>
  <c r="AI14" i="202"/>
  <c r="BC59" i="202"/>
  <c r="AI27" i="202"/>
  <c r="AH33" i="202"/>
  <c r="BC60" i="202"/>
  <c r="BC33" i="202"/>
  <c r="BB53" i="202"/>
  <c r="AI23" i="202"/>
  <c r="BB50" i="202"/>
  <c r="BC23" i="202"/>
  <c r="BB60" i="202"/>
  <c r="AH21" i="202"/>
  <c r="BC54" i="202"/>
  <c r="AH28" i="202"/>
  <c r="BB57" i="202"/>
  <c r="BB74" i="202"/>
  <c r="BC41" i="202"/>
  <c r="BC71" i="202"/>
  <c r="BC28" i="202"/>
  <c r="AI60" i="202"/>
  <c r="BC32" i="202"/>
  <c r="AI57" i="202"/>
  <c r="CC16" i="202"/>
  <c r="AH19" i="202"/>
  <c r="AH59" i="202"/>
  <c r="BC29" i="202"/>
  <c r="BC58" i="202"/>
  <c r="BB34" i="202"/>
  <c r="AH32" i="202"/>
  <c r="BB41" i="202"/>
  <c r="BB69" i="202"/>
  <c r="BB46" i="202"/>
  <c r="AH27" i="202"/>
  <c r="BB71" i="202"/>
  <c r="BB44" i="202"/>
  <c r="AH44" i="202"/>
  <c r="BC24" i="202"/>
  <c r="BC66" i="202"/>
  <c r="BJ14" i="202"/>
  <c r="BB62" i="202"/>
  <c r="BC26" i="202"/>
  <c r="BS15" i="202"/>
  <c r="BC34" i="202"/>
  <c r="AH70" i="202"/>
  <c r="AI18" i="202"/>
  <c r="BC35" i="202"/>
  <c r="BK15" i="202"/>
  <c r="BC68" i="202"/>
  <c r="BC57" i="202"/>
  <c r="BB22" i="202"/>
  <c r="BC40" i="202"/>
  <c r="AI15" i="202"/>
  <c r="BB65" i="202"/>
  <c r="BB19" i="202"/>
  <c r="AH23" i="202"/>
  <c r="BB38" i="202"/>
  <c r="BB72" i="202"/>
  <c r="BK16" i="202"/>
  <c r="AH64" i="202"/>
  <c r="AH31" i="202"/>
  <c r="AH65" i="202"/>
  <c r="BT13" i="202"/>
  <c r="BC70" i="202"/>
  <c r="AI36" i="202"/>
  <c r="AI20" i="202"/>
  <c r="BC55" i="202"/>
  <c r="AH75" i="202"/>
  <c r="AI25" i="202"/>
  <c r="BB37" i="202"/>
  <c r="AI78" i="202"/>
  <c r="BB20" i="202"/>
  <c r="BC78" i="202"/>
  <c r="AI45" i="202"/>
  <c r="AI34" i="202"/>
  <c r="AH56" i="202"/>
  <c r="AH76" i="202"/>
  <c r="AI55" i="202"/>
  <c r="AH43" i="202"/>
  <c r="AH73" i="202"/>
  <c r="AI37" i="202"/>
  <c r="BC51" i="202"/>
  <c r="BB25" i="202"/>
  <c r="BC17" i="202"/>
  <c r="BC50" i="202"/>
  <c r="BJ16" i="202"/>
  <c r="BC49" i="202"/>
  <c r="AH37" i="202"/>
  <c r="AH53" i="202"/>
  <c r="AI22" i="202"/>
  <c r="AH38" i="202"/>
  <c r="AI42" i="202"/>
  <c r="AH79" i="202"/>
  <c r="BB40" i="202"/>
  <c r="AI13" i="202"/>
  <c r="BC20" i="202"/>
  <c r="AS14" i="202"/>
  <c r="AH49" i="202"/>
  <c r="BC14" i="202"/>
  <c r="BC27" i="202"/>
  <c r="AI39" i="202"/>
  <c r="BC25" i="202"/>
  <c r="BB77" i="202"/>
  <c r="AH30" i="202"/>
  <c r="AI40" i="202"/>
  <c r="AH24" i="202"/>
  <c r="AH47" i="202"/>
  <c r="AH67" i="202"/>
  <c r="BC72" i="202"/>
  <c r="AI43" i="202"/>
  <c r="CB16" i="202"/>
  <c r="AH14" i="202"/>
  <c r="BC75" i="202"/>
  <c r="AI64" i="202"/>
  <c r="BC47" i="202"/>
  <c r="AH50" i="202"/>
  <c r="BT16" i="202"/>
  <c r="AI32" i="202"/>
  <c r="AH26" i="202"/>
  <c r="BB59" i="202"/>
  <c r="AH74" i="202"/>
  <c r="BC45" i="202"/>
  <c r="AH81" i="202"/>
  <c r="AI69" i="202"/>
  <c r="AH16" i="202"/>
  <c r="AH71" i="202"/>
  <c r="BB51" i="202"/>
  <c r="BC19" i="202"/>
  <c r="AH63" i="202"/>
  <c r="BB68" i="202"/>
  <c r="BB55" i="202"/>
  <c r="BC30" i="202"/>
  <c r="AH54" i="202"/>
  <c r="AI35" i="202"/>
  <c r="AH25" i="202"/>
  <c r="AI24" i="202"/>
  <c r="BB79" i="202"/>
  <c r="BC65" i="202"/>
  <c r="BB43" i="202"/>
  <c r="AI73" i="202"/>
  <c r="BB67" i="202"/>
  <c r="BB15" i="202"/>
  <c r="BJ15" i="202"/>
  <c r="AH62" i="202"/>
  <c r="AH80" i="202"/>
  <c r="AI70" i="202"/>
  <c r="BB61" i="202"/>
  <c r="AI53" i="202"/>
  <c r="AI19" i="202"/>
  <c r="AI38" i="202"/>
  <c r="BC18" i="202"/>
  <c r="BC69" i="202"/>
  <c r="AI29" i="202"/>
  <c r="BC52" i="202"/>
  <c r="AI26" i="202"/>
  <c r="BB21" i="202"/>
  <c r="BB54" i="202"/>
  <c r="AI72" i="202"/>
  <c r="BB31" i="202"/>
  <c r="AT13" i="202"/>
  <c r="AI61" i="202"/>
  <c r="BC15" i="202"/>
  <c r="AH36" i="202"/>
  <c r="AI67" i="202"/>
  <c r="BB30" i="202"/>
  <c r="BB17" i="202"/>
  <c r="BC48" i="202"/>
  <c r="AI68" i="202"/>
  <c r="AT14" i="202"/>
  <c r="BC39" i="202"/>
  <c r="AI62" i="202"/>
  <c r="BB52" i="202"/>
  <c r="BC76" i="202"/>
  <c r="AH45" i="202"/>
  <c r="BB13" i="202"/>
  <c r="AI66" i="202"/>
  <c r="BK14" i="202"/>
  <c r="BB23" i="202"/>
  <c r="BB27" i="202"/>
  <c r="AH34" i="202"/>
  <c r="BB64" i="202"/>
  <c r="AH15" i="202"/>
  <c r="BC42" i="202"/>
  <c r="BC63" i="202"/>
  <c r="BB49" i="202"/>
  <c r="AS13" i="202"/>
  <c r="AI41" i="202"/>
  <c r="AH51" i="202"/>
  <c r="BC36" i="202"/>
  <c r="BB76" i="202"/>
  <c r="BB66" i="202"/>
  <c r="AH68" i="202"/>
  <c r="BC74" i="202"/>
  <c r="BB26" i="202"/>
  <c r="AI56" i="202"/>
  <c r="AH40" i="202"/>
  <c r="AH58" i="202"/>
  <c r="AH20" i="202"/>
  <c r="AH35" i="202"/>
  <c r="AI49" i="202"/>
  <c r="AI52" i="202"/>
  <c r="AI75" i="202"/>
  <c r="BB73" i="202"/>
  <c r="AH41" i="202"/>
  <c r="AH60" i="202"/>
  <c r="BS14" i="202"/>
  <c r="BC62" i="202"/>
  <c r="AI31" i="202"/>
  <c r="AI76" i="202"/>
  <c r="BB18" i="202"/>
  <c r="AI77" i="202"/>
  <c r="AI46" i="202"/>
  <c r="BS16" i="202"/>
  <c r="BT14" i="202"/>
  <c r="BB28" i="202"/>
  <c r="AI17" i="202"/>
  <c r="AH66" i="202"/>
  <c r="BS13" i="202"/>
  <c r="CC15" i="202"/>
  <c r="BB80" i="202"/>
  <c r="BB48" i="202"/>
  <c r="AI54" i="202"/>
  <c r="AI63" i="202"/>
  <c r="BC38" i="202"/>
  <c r="AH55" i="202"/>
  <c r="AI59" i="202"/>
  <c r="BB56" i="202"/>
  <c r="AI44" i="202"/>
  <c r="AI28" i="202"/>
  <c r="BC73" i="202"/>
  <c r="AH61" i="202"/>
  <c r="AH78" i="202"/>
  <c r="AI50" i="202"/>
  <c r="BC44" i="202"/>
  <c r="BC37" i="202"/>
  <c r="AI30" i="202"/>
  <c r="AH42" i="202"/>
  <c r="AI74" i="202"/>
  <c r="B283" i="242" l="1"/>
  <c r="A282" i="242"/>
  <c r="A2043" i="242"/>
  <c r="B2044" i="242"/>
  <c r="A2561" i="242"/>
  <c r="B2562" i="242"/>
  <c r="A523" i="242"/>
  <c r="B524" i="242"/>
  <c r="B1951" i="242"/>
  <c r="A1950" i="242"/>
  <c r="B2144" i="242"/>
  <c r="A2143" i="242"/>
  <c r="B39" i="242"/>
  <c r="A38" i="242"/>
  <c r="A188" i="241"/>
  <c r="B189" i="241"/>
  <c r="B1556" i="242"/>
  <c r="A1555" i="242"/>
  <c r="A1993" i="242"/>
  <c r="B1994" i="242"/>
  <c r="A143" i="242"/>
  <c r="B144" i="242"/>
  <c r="A1408" i="242"/>
  <c r="B1409" i="242"/>
  <c r="A567" i="242"/>
  <c r="B568" i="242"/>
  <c r="A238" i="241"/>
  <c r="B239" i="241"/>
  <c r="A475" i="242"/>
  <c r="B476" i="242"/>
  <c r="A179" i="242"/>
  <c r="B180" i="242"/>
  <c r="A2619" i="242"/>
  <c r="B2620" i="242"/>
  <c r="A2405" i="242"/>
  <c r="B2406" i="242"/>
  <c r="A651" i="242"/>
  <c r="B652" i="242"/>
  <c r="A1458" i="242"/>
  <c r="B1459" i="242"/>
  <c r="B1602" i="242"/>
  <c r="A1601" i="242"/>
  <c r="A429" i="242"/>
  <c r="B430" i="242"/>
  <c r="B1773" i="242"/>
  <c r="A1772" i="242"/>
  <c r="B2458" i="242"/>
  <c r="A2457" i="242"/>
  <c r="B2351" i="242"/>
  <c r="A2350" i="242"/>
  <c r="A62" i="241"/>
  <c r="B63" i="241"/>
  <c r="A2196" i="242"/>
  <c r="B2197" i="242"/>
  <c r="A2921" i="242"/>
  <c r="B2922" i="242"/>
  <c r="B1205" i="242"/>
  <c r="A1204" i="242"/>
  <c r="A1653" i="242"/>
  <c r="B1654" i="242"/>
  <c r="A747" i="242"/>
  <c r="B748" i="242"/>
  <c r="B2268" i="242"/>
  <c r="A2267" i="242"/>
  <c r="A1713" i="242"/>
  <c r="B1714" i="242"/>
  <c r="BD42" i="202"/>
  <c r="BE53" i="202"/>
  <c r="BD17" i="202"/>
  <c r="BE62" i="202"/>
  <c r="CD16" i="202"/>
  <c r="BE77" i="202"/>
  <c r="BE66" i="202"/>
  <c r="BM16" i="202"/>
  <c r="BE22" i="202"/>
  <c r="BD49" i="202"/>
  <c r="BD22" i="202"/>
  <c r="BL14" i="202"/>
  <c r="BD34" i="202"/>
  <c r="BD18" i="202"/>
  <c r="BD77" i="202"/>
  <c r="BE70" i="202"/>
  <c r="BD76" i="202"/>
  <c r="BD79" i="202"/>
  <c r="BE39" i="202"/>
  <c r="BD56" i="202"/>
  <c r="BE16" i="202"/>
  <c r="BD38" i="202"/>
  <c r="BE29" i="202"/>
  <c r="BV13" i="202"/>
  <c r="BE14" i="202"/>
  <c r="BE49" i="202"/>
  <c r="BE45" i="202"/>
  <c r="BD36" i="202"/>
  <c r="AU13" i="202"/>
  <c r="BE26" i="202"/>
  <c r="BD25" i="202"/>
  <c r="BD28" i="202"/>
  <c r="BD48" i="202"/>
  <c r="BE25" i="202"/>
  <c r="BD44" i="202"/>
  <c r="BD29" i="202"/>
  <c r="BD53" i="202"/>
  <c r="BE56" i="202"/>
  <c r="BE71" i="202"/>
  <c r="BM13" i="202"/>
  <c r="BD30" i="202"/>
  <c r="BV15" i="202"/>
  <c r="BE74" i="202"/>
  <c r="BD23" i="202"/>
  <c r="BD41" i="202"/>
  <c r="BD54" i="202"/>
  <c r="BD14" i="202"/>
  <c r="BE55" i="202"/>
  <c r="BE21" i="202"/>
  <c r="BD59" i="202"/>
  <c r="BE60" i="202"/>
  <c r="BE40" i="202"/>
  <c r="BE23" i="202"/>
  <c r="BM15" i="202"/>
  <c r="BE17" i="202"/>
  <c r="BD80" i="202"/>
  <c r="BE33" i="202"/>
  <c r="BE72" i="202"/>
  <c r="BE73" i="202"/>
  <c r="BE51" i="202"/>
  <c r="BD69" i="202"/>
  <c r="BE57" i="202"/>
  <c r="BE68" i="202"/>
  <c r="BD67" i="202"/>
  <c r="BE32" i="202"/>
  <c r="AU14" i="202"/>
  <c r="BD21" i="202"/>
  <c r="BE79" i="202"/>
  <c r="BE31" i="202"/>
  <c r="BL15" i="202"/>
  <c r="BD15" i="202"/>
  <c r="BE64" i="202"/>
  <c r="BD66" i="202"/>
  <c r="BD35" i="202"/>
  <c r="BE19" i="202"/>
  <c r="BD62" i="202"/>
  <c r="BV16" i="202"/>
  <c r="BE30" i="202"/>
  <c r="BU13" i="202"/>
  <c r="BE18" i="202"/>
  <c r="BD78" i="202"/>
  <c r="BD70" i="202"/>
  <c r="BD51" i="202"/>
  <c r="BE54" i="202"/>
  <c r="BD74" i="202"/>
  <c r="BD64" i="202"/>
  <c r="BD50" i="202"/>
  <c r="BE24" i="202"/>
  <c r="CE15" i="202"/>
  <c r="BU15" i="202"/>
  <c r="BE47" i="202"/>
  <c r="BE58" i="202"/>
  <c r="BD47" i="202"/>
  <c r="CD15" i="202"/>
  <c r="BE75" i="202"/>
  <c r="BD45" i="202"/>
  <c r="BE13" i="202"/>
  <c r="BE67" i="202"/>
  <c r="BE50" i="202"/>
  <c r="BD46" i="202"/>
  <c r="BE15" i="202"/>
  <c r="BD40" i="202"/>
  <c r="BD60" i="202"/>
  <c r="BD71" i="202"/>
  <c r="BD55" i="202"/>
  <c r="BE61" i="202"/>
  <c r="BE34" i="202"/>
  <c r="BD32" i="202"/>
  <c r="BE28" i="202"/>
  <c r="BE46" i="202"/>
  <c r="BE69" i="202"/>
  <c r="CE16" i="202"/>
  <c r="BD58" i="202"/>
  <c r="BE27" i="202"/>
  <c r="BD52" i="202"/>
  <c r="BD73" i="202"/>
  <c r="BD72" i="202"/>
  <c r="BU14" i="202"/>
  <c r="BE59" i="202"/>
  <c r="BD61" i="202"/>
  <c r="BE43" i="202"/>
  <c r="BE78" i="202"/>
  <c r="BE44" i="202"/>
  <c r="BV14" i="202"/>
  <c r="BM14" i="202"/>
  <c r="BL16" i="202"/>
  <c r="BE48" i="202"/>
  <c r="BE63" i="202"/>
  <c r="BE35" i="202"/>
  <c r="BD37" i="202"/>
  <c r="BD20" i="202"/>
  <c r="BD13" i="202"/>
  <c r="BD63" i="202"/>
  <c r="BD16" i="202"/>
  <c r="BE20" i="202"/>
  <c r="BU16" i="202"/>
  <c r="BL13" i="202"/>
  <c r="BE42" i="202"/>
  <c r="BD19" i="202"/>
  <c r="BE37" i="202"/>
  <c r="BD57" i="202"/>
  <c r="BE52" i="202"/>
  <c r="BD31" i="202"/>
  <c r="AV13" i="202"/>
  <c r="BE80" i="202"/>
  <c r="BE36" i="202"/>
  <c r="BD27" i="202"/>
  <c r="BD65" i="202"/>
  <c r="BD68" i="202"/>
  <c r="BD39" i="202"/>
  <c r="BE65" i="202"/>
  <c r="BD24" i="202"/>
  <c r="BD75" i="202"/>
  <c r="BD43" i="202"/>
  <c r="BD26" i="202"/>
  <c r="BE38" i="202"/>
  <c r="BE41" i="202"/>
  <c r="AV14" i="202"/>
  <c r="BD33" i="202"/>
  <c r="BE76" i="202"/>
  <c r="AJ13" i="202"/>
  <c r="AJ21" i="202"/>
  <c r="AJ20" i="202"/>
  <c r="AJ19" i="202"/>
  <c r="AJ18" i="202"/>
  <c r="AJ33" i="202"/>
  <c r="AJ25" i="202"/>
  <c r="AJ17" i="202"/>
  <c r="AJ29" i="202"/>
  <c r="AJ28" i="202"/>
  <c r="AJ43" i="202"/>
  <c r="AJ42" i="202"/>
  <c r="AJ40" i="202"/>
  <c r="AJ32" i="202"/>
  <c r="AJ24" i="202"/>
  <c r="AJ16" i="202"/>
  <c r="AJ37" i="202"/>
  <c r="AJ44" i="202"/>
  <c r="AJ35" i="202"/>
  <c r="AJ34" i="202"/>
  <c r="AJ39" i="202"/>
  <c r="AJ31" i="202"/>
  <c r="AJ23" i="202"/>
  <c r="AJ15" i="202"/>
  <c r="AJ36" i="202"/>
  <c r="AJ27" i="202"/>
  <c r="AJ26" i="202"/>
  <c r="AJ38" i="202"/>
  <c r="AJ30" i="202"/>
  <c r="AJ22" i="202"/>
  <c r="AJ14" i="202"/>
  <c r="AK13" i="202"/>
  <c r="AK36" i="202"/>
  <c r="AK37" i="202"/>
  <c r="AK29" i="202"/>
  <c r="AK21" i="202"/>
  <c r="AK44" i="202"/>
  <c r="AK35" i="202"/>
  <c r="AK27" i="202"/>
  <c r="AK42" i="202"/>
  <c r="AK34" i="202"/>
  <c r="AK26" i="202"/>
  <c r="AK18" i="202"/>
  <c r="AK43" i="202"/>
  <c r="AK19" i="202"/>
  <c r="AK33" i="202"/>
  <c r="AK25" i="202"/>
  <c r="AK17" i="202"/>
  <c r="AK28" i="202"/>
  <c r="AK40" i="202"/>
  <c r="AK32" i="202"/>
  <c r="AK24" i="202"/>
  <c r="AK16" i="202"/>
  <c r="AK20" i="202"/>
  <c r="AK39" i="202"/>
  <c r="AK31" i="202"/>
  <c r="AK23" i="202"/>
  <c r="AK15" i="202"/>
  <c r="AK38" i="202"/>
  <c r="AK30" i="202"/>
  <c r="AK22" i="202"/>
  <c r="AK14" i="202"/>
  <c r="AJ45" i="202"/>
  <c r="AJ46" i="202"/>
  <c r="AK45" i="202"/>
  <c r="AK46" i="202"/>
  <c r="AJ53" i="202"/>
  <c r="AJ52" i="202"/>
  <c r="AJ51" i="202"/>
  <c r="AJ50" i="202"/>
  <c r="AJ81" i="202"/>
  <c r="AJ73" i="202"/>
  <c r="AJ65" i="202"/>
  <c r="AJ57" i="202"/>
  <c r="AJ49" i="202"/>
  <c r="AJ61" i="202"/>
  <c r="AJ60" i="202"/>
  <c r="AJ67" i="202"/>
  <c r="AJ74" i="202"/>
  <c r="AJ80" i="202"/>
  <c r="AJ72" i="202"/>
  <c r="AJ64" i="202"/>
  <c r="AJ56" i="202"/>
  <c r="AJ48" i="202"/>
  <c r="AJ77" i="202"/>
  <c r="AJ68" i="202"/>
  <c r="AJ75" i="202"/>
  <c r="AJ66" i="202"/>
  <c r="AJ79" i="202"/>
  <c r="AJ71" i="202"/>
  <c r="AJ63" i="202"/>
  <c r="AJ55" i="202"/>
  <c r="AJ47" i="202"/>
  <c r="AJ69" i="202"/>
  <c r="AJ76" i="202"/>
  <c r="AJ59" i="202"/>
  <c r="AJ58" i="202"/>
  <c r="AJ78" i="202"/>
  <c r="AJ70" i="202"/>
  <c r="AJ62" i="202"/>
  <c r="AJ54" i="202"/>
  <c r="AK76" i="202"/>
  <c r="AK51" i="202"/>
  <c r="AK79" i="202"/>
  <c r="AK71" i="202"/>
  <c r="AK78" i="202"/>
  <c r="AK70" i="202"/>
  <c r="AK77" i="202"/>
  <c r="AK69" i="202"/>
  <c r="AK61" i="202"/>
  <c r="AK53" i="202"/>
  <c r="AK68" i="202"/>
  <c r="AK59" i="202"/>
  <c r="AK74" i="202"/>
  <c r="AK66" i="202"/>
  <c r="AK58" i="202"/>
  <c r="AK50" i="202"/>
  <c r="AK60" i="202"/>
  <c r="AK75" i="202"/>
  <c r="AK81" i="202"/>
  <c r="AK73" i="202"/>
  <c r="AK65" i="202"/>
  <c r="AK57" i="202"/>
  <c r="AK49" i="202"/>
  <c r="AK80" i="202"/>
  <c r="AK72" i="202"/>
  <c r="AK64" i="202"/>
  <c r="AK56" i="202"/>
  <c r="AK48" i="202"/>
  <c r="AK63" i="202"/>
  <c r="AK55" i="202"/>
  <c r="AK47" i="202"/>
  <c r="AK52" i="202"/>
  <c r="AK67" i="202"/>
  <c r="AK62" i="202"/>
  <c r="AK54" i="202"/>
  <c r="AJ41" i="202"/>
  <c r="AK41" i="202"/>
  <c r="A1994" i="242" l="1"/>
  <c r="B1995" i="242"/>
  <c r="A1654" i="242"/>
  <c r="B1655" i="242"/>
  <c r="A2406" i="242"/>
  <c r="B2407" i="242"/>
  <c r="A2458" i="242"/>
  <c r="B2459" i="242"/>
  <c r="A2144" i="242"/>
  <c r="B2145" i="242"/>
  <c r="B1774" i="242"/>
  <c r="A1773" i="242"/>
  <c r="B181" i="242"/>
  <c r="A180" i="242"/>
  <c r="A1409" i="242"/>
  <c r="B1410" i="242"/>
  <c r="A2620" i="242"/>
  <c r="B2621" i="242"/>
  <c r="A144" i="242"/>
  <c r="B145" i="242"/>
  <c r="A145" i="242" s="1"/>
  <c r="A1205" i="242"/>
  <c r="B1206" i="242"/>
  <c r="B1715" i="242"/>
  <c r="A1714" i="242"/>
  <c r="B2198" i="242"/>
  <c r="A2197" i="242"/>
  <c r="A1602" i="242"/>
  <c r="B1603" i="242"/>
  <c r="B1557" i="242"/>
  <c r="A1556" i="242"/>
  <c r="A524" i="242"/>
  <c r="B525" i="242"/>
  <c r="A63" i="241"/>
  <c r="B64" i="241"/>
  <c r="B1460" i="242"/>
  <c r="A1459" i="242"/>
  <c r="A239" i="241"/>
  <c r="B240" i="241"/>
  <c r="A189" i="241"/>
  <c r="B190" i="241"/>
  <c r="B2045" i="242"/>
  <c r="A2044" i="242"/>
  <c r="A2268" i="242"/>
  <c r="B2269" i="242"/>
  <c r="A1951" i="242"/>
  <c r="B1952" i="242"/>
  <c r="B2923" i="242"/>
  <c r="A2922" i="242"/>
  <c r="B2563" i="242"/>
  <c r="A2562" i="242"/>
  <c r="A748" i="242"/>
  <c r="B749" i="242"/>
  <c r="B653" i="242"/>
  <c r="A652" i="242"/>
  <c r="A568" i="242"/>
  <c r="B569" i="242"/>
  <c r="A430" i="242"/>
  <c r="B431" i="242"/>
  <c r="A476" i="242"/>
  <c r="B477" i="242"/>
  <c r="B2352" i="242"/>
  <c r="A2351" i="242"/>
  <c r="A39" i="242"/>
  <c r="B40" i="242"/>
  <c r="A283" i="242"/>
  <c r="B284" i="242"/>
  <c r="A525" i="242" l="1"/>
  <c r="B526" i="242"/>
  <c r="B478" i="242"/>
  <c r="A477" i="242"/>
  <c r="B2924" i="242"/>
  <c r="A2923" i="242"/>
  <c r="A1460" i="242"/>
  <c r="B1461" i="242"/>
  <c r="A1715" i="242"/>
  <c r="B1716" i="242"/>
  <c r="B1775" i="242"/>
  <c r="A1774" i="242"/>
  <c r="A431" i="242"/>
  <c r="B432" i="242"/>
  <c r="A1952" i="242"/>
  <c r="B1953" i="242"/>
  <c r="A64" i="241"/>
  <c r="B65" i="241"/>
  <c r="A1206" i="242"/>
  <c r="B1207" i="242"/>
  <c r="B2146" i="242"/>
  <c r="A2145" i="242"/>
  <c r="B2046" i="242"/>
  <c r="A2045" i="242"/>
  <c r="B1558" i="242"/>
  <c r="A1557" i="242"/>
  <c r="A569" i="242"/>
  <c r="B570" i="242"/>
  <c r="B285" i="242"/>
  <c r="A284" i="242"/>
  <c r="B2408" i="242"/>
  <c r="A2407" i="242"/>
  <c r="B41" i="242"/>
  <c r="A40" i="242"/>
  <c r="A749" i="242"/>
  <c r="B750" i="242"/>
  <c r="B191" i="241"/>
  <c r="A190" i="241"/>
  <c r="A1603" i="242"/>
  <c r="B1604" i="242"/>
  <c r="A1410" i="242"/>
  <c r="B1411" i="242"/>
  <c r="A1655" i="242"/>
  <c r="B1656" i="242"/>
  <c r="A2621" i="242"/>
  <c r="B2622" i="242"/>
  <c r="B2460" i="242"/>
  <c r="A2459" i="242"/>
  <c r="A653" i="242"/>
  <c r="B654" i="242"/>
  <c r="A240" i="241"/>
  <c r="B241" i="241"/>
  <c r="A1995" i="242"/>
  <c r="B1996" i="242"/>
  <c r="A2269" i="242"/>
  <c r="B2270" i="242"/>
  <c r="A2352" i="242"/>
  <c r="B2353" i="242"/>
  <c r="A2563" i="242"/>
  <c r="B2564" i="242"/>
  <c r="B2199" i="242"/>
  <c r="A2198" i="242"/>
  <c r="B182" i="242"/>
  <c r="A181" i="242"/>
  <c r="B751" i="242" l="1"/>
  <c r="A750" i="242"/>
  <c r="A2460" i="242"/>
  <c r="B2461" i="242"/>
  <c r="B2047" i="242"/>
  <c r="A2046" i="242"/>
  <c r="A1775" i="242"/>
  <c r="B1776" i="242"/>
  <c r="B2565" i="242"/>
  <c r="A2564" i="242"/>
  <c r="A2353" i="242"/>
  <c r="B2354" i="242"/>
  <c r="A2622" i="242"/>
  <c r="B2623" i="242"/>
  <c r="B1717" i="242"/>
  <c r="A1716" i="242"/>
  <c r="B1462" i="242"/>
  <c r="A1461" i="242"/>
  <c r="A2408" i="242"/>
  <c r="B2409" i="242"/>
  <c r="B1997" i="242"/>
  <c r="A1996" i="242"/>
  <c r="A285" i="242"/>
  <c r="B286" i="242"/>
  <c r="A2924" i="242"/>
  <c r="B2925" i="242"/>
  <c r="A41" i="242"/>
  <c r="B42" i="242"/>
  <c r="B2271" i="242"/>
  <c r="A2270" i="242"/>
  <c r="B1412" i="242"/>
  <c r="A1411" i="242"/>
  <c r="A241" i="241"/>
  <c r="B242" i="241"/>
  <c r="A1604" i="242"/>
  <c r="B1605" i="242"/>
  <c r="B571" i="242"/>
  <c r="A570" i="242"/>
  <c r="B1954" i="242"/>
  <c r="A1953" i="242"/>
  <c r="B183" i="242"/>
  <c r="A182" i="242"/>
  <c r="B479" i="242"/>
  <c r="A478" i="242"/>
  <c r="B1657" i="242"/>
  <c r="A1656" i="242"/>
  <c r="A654" i="242"/>
  <c r="B655" i="242"/>
  <c r="B433" i="242"/>
  <c r="A432" i="242"/>
  <c r="A526" i="242"/>
  <c r="B527" i="242"/>
  <c r="A2146" i="242"/>
  <c r="B2147" i="242"/>
  <c r="A1207" i="242"/>
  <c r="B1208" i="242"/>
  <c r="A65" i="241"/>
  <c r="B66" i="241"/>
  <c r="B2200" i="242"/>
  <c r="A2199" i="242"/>
  <c r="A191" i="241"/>
  <c r="B192" i="241"/>
  <c r="A1558" i="242"/>
  <c r="B1559" i="242"/>
  <c r="A2565" i="242" l="1"/>
  <c r="B2566" i="242"/>
  <c r="A655" i="242"/>
  <c r="B656" i="242"/>
  <c r="A1605" i="242"/>
  <c r="B1606" i="242"/>
  <c r="B2355" i="242"/>
  <c r="A2354" i="242"/>
  <c r="A2200" i="242"/>
  <c r="B2201" i="242"/>
  <c r="A286" i="242"/>
  <c r="B287" i="242"/>
  <c r="B67" i="241"/>
  <c r="A66" i="241"/>
  <c r="A242" i="241"/>
  <c r="B243" i="241"/>
  <c r="A183" i="242"/>
  <c r="B184" i="242"/>
  <c r="B2272" i="242"/>
  <c r="A2271" i="242"/>
  <c r="A1462" i="242"/>
  <c r="B1463" i="242"/>
  <c r="A2047" i="242"/>
  <c r="B2048" i="242"/>
  <c r="A479" i="242"/>
  <c r="B480" i="242"/>
  <c r="A527" i="242"/>
  <c r="B528" i="242"/>
  <c r="A42" i="242"/>
  <c r="B43" i="242"/>
  <c r="B2462" i="242"/>
  <c r="A2461" i="242"/>
  <c r="A1657" i="242"/>
  <c r="B1658" i="242"/>
  <c r="B1209" i="242"/>
  <c r="A1208" i="242"/>
  <c r="A1776" i="242"/>
  <c r="B1777" i="242"/>
  <c r="A1412" i="242"/>
  <c r="B1413" i="242"/>
  <c r="A2147" i="242"/>
  <c r="B2148" i="242"/>
  <c r="B1955" i="242"/>
  <c r="A1954" i="242"/>
  <c r="A1717" i="242"/>
  <c r="B1718" i="242"/>
  <c r="B1998" i="242"/>
  <c r="A1997" i="242"/>
  <c r="B2410" i="242"/>
  <c r="A2409" i="242"/>
  <c r="A1559" i="242"/>
  <c r="B1560" i="242"/>
  <c r="A192" i="241"/>
  <c r="B193" i="241"/>
  <c r="A2925" i="242"/>
  <c r="B2926" i="242"/>
  <c r="A2623" i="242"/>
  <c r="B2624" i="242"/>
  <c r="B434" i="242"/>
  <c r="A433" i="242"/>
  <c r="A571" i="242"/>
  <c r="B572" i="242"/>
  <c r="B752" i="242"/>
  <c r="A751" i="242"/>
  <c r="A2048" i="242" l="1"/>
  <c r="B2049" i="242"/>
  <c r="A287" i="242"/>
  <c r="B288" i="242"/>
  <c r="B2202" i="242"/>
  <c r="A2201" i="242"/>
  <c r="B435" i="242"/>
  <c r="A434" i="242"/>
  <c r="B1999" i="242"/>
  <c r="A1998" i="242"/>
  <c r="A1209" i="242"/>
  <c r="B1210" i="242"/>
  <c r="A193" i="241"/>
  <c r="B194" i="241"/>
  <c r="B185" i="242"/>
  <c r="A184" i="242"/>
  <c r="A1606" i="242"/>
  <c r="B1607" i="242"/>
  <c r="B1659" i="242"/>
  <c r="A1658" i="242"/>
  <c r="A1955" i="242"/>
  <c r="B1956" i="242"/>
  <c r="B1414" i="242"/>
  <c r="A1413" i="242"/>
  <c r="B529" i="242"/>
  <c r="A528" i="242"/>
  <c r="A243" i="241"/>
  <c r="B244" i="241"/>
  <c r="A656" i="242"/>
  <c r="B657" i="242"/>
  <c r="A1463" i="242"/>
  <c r="B1464" i="242"/>
  <c r="A2272" i="242"/>
  <c r="B2273" i="242"/>
  <c r="A2148" i="242"/>
  <c r="B2149" i="242"/>
  <c r="A1560" i="242"/>
  <c r="B1561" i="242"/>
  <c r="A752" i="242"/>
  <c r="B753" i="242"/>
  <c r="A2624" i="242"/>
  <c r="B2625" i="242"/>
  <c r="A2462" i="242"/>
  <c r="B2463" i="242"/>
  <c r="A43" i="242"/>
  <c r="B44" i="242"/>
  <c r="B573" i="242"/>
  <c r="A572" i="242"/>
  <c r="B1778" i="242"/>
  <c r="A1777" i="242"/>
  <c r="A480" i="242"/>
  <c r="B481" i="242"/>
  <c r="B2567" i="242"/>
  <c r="A2566" i="242"/>
  <c r="A1718" i="242"/>
  <c r="B1719" i="242"/>
  <c r="B2927" i="242"/>
  <c r="A2926" i="242"/>
  <c r="B2356" i="242"/>
  <c r="A2355" i="242"/>
  <c r="A2410" i="242"/>
  <c r="B2411" i="242"/>
  <c r="A67" i="241"/>
  <c r="B68" i="241"/>
  <c r="A1719" i="242" l="1"/>
  <c r="B1720" i="242"/>
  <c r="B2150" i="242"/>
  <c r="A2149" i="242"/>
  <c r="B1211" i="242"/>
  <c r="A1210" i="242"/>
  <c r="A2356" i="242"/>
  <c r="B2357" i="242"/>
  <c r="B574" i="242"/>
  <c r="A573" i="242"/>
  <c r="A1414" i="242"/>
  <c r="B1415" i="242"/>
  <c r="B45" i="242"/>
  <c r="A44" i="242"/>
  <c r="B2274" i="242"/>
  <c r="A2273" i="242"/>
  <c r="A1956" i="242"/>
  <c r="B1957" i="242"/>
  <c r="B2928" i="242"/>
  <c r="A2927" i="242"/>
  <c r="A1464" i="242"/>
  <c r="B1465" i="242"/>
  <c r="A435" i="242"/>
  <c r="B436" i="242"/>
  <c r="A2567" i="242"/>
  <c r="B2568" i="242"/>
  <c r="B2203" i="242"/>
  <c r="A2202" i="242"/>
  <c r="A2463" i="242"/>
  <c r="B2464" i="242"/>
  <c r="A1607" i="242"/>
  <c r="B1608" i="242"/>
  <c r="A68" i="241"/>
  <c r="B69" i="241"/>
  <c r="A481" i="242"/>
  <c r="B482" i="242"/>
  <c r="A753" i="242"/>
  <c r="B754" i="242"/>
  <c r="A244" i="241"/>
  <c r="B245" i="241"/>
  <c r="B289" i="242"/>
  <c r="A288" i="242"/>
  <c r="A1659" i="242"/>
  <c r="B1660" i="242"/>
  <c r="B658" i="242"/>
  <c r="A657" i="242"/>
  <c r="A185" i="242"/>
  <c r="B186" i="242"/>
  <c r="B2412" i="242"/>
  <c r="A2411" i="242"/>
  <c r="B1562" i="242"/>
  <c r="A1561" i="242"/>
  <c r="B195" i="241"/>
  <c r="A194" i="241"/>
  <c r="B2050" i="242"/>
  <c r="A2049" i="242"/>
  <c r="A1999" i="242"/>
  <c r="B2000" i="242"/>
  <c r="A2625" i="242"/>
  <c r="B2626" i="242"/>
  <c r="A1778" i="242"/>
  <c r="B1779" i="242"/>
  <c r="A529" i="242"/>
  <c r="B530" i="242"/>
  <c r="A2626" i="242" l="1"/>
  <c r="B2627" i="242"/>
  <c r="B187" i="242"/>
  <c r="A186" i="242"/>
  <c r="A482" i="242"/>
  <c r="B483" i="242"/>
  <c r="A436" i="242"/>
  <c r="B437" i="242"/>
  <c r="B1416" i="242"/>
  <c r="A1415" i="242"/>
  <c r="B2001" i="242"/>
  <c r="A2000" i="242"/>
  <c r="A69" i="241"/>
  <c r="B70" i="241"/>
  <c r="B1466" i="242"/>
  <c r="A1465" i="242"/>
  <c r="A2357" i="242"/>
  <c r="B2358" i="242"/>
  <c r="B1212" i="242"/>
  <c r="A1211" i="242"/>
  <c r="A574" i="242"/>
  <c r="B575" i="242"/>
  <c r="B2051" i="242"/>
  <c r="A2050" i="242"/>
  <c r="B1958" i="242"/>
  <c r="A1957" i="242"/>
  <c r="A245" i="241"/>
  <c r="B246" i="241"/>
  <c r="B659" i="242"/>
  <c r="A658" i="242"/>
  <c r="B1609" i="242"/>
  <c r="A1608" i="242"/>
  <c r="A2928" i="242"/>
  <c r="B2929" i="242"/>
  <c r="A2464" i="242"/>
  <c r="B2465" i="242"/>
  <c r="A195" i="241"/>
  <c r="B196" i="241"/>
  <c r="A1562" i="242"/>
  <c r="B1563" i="242"/>
  <c r="A2203" i="242"/>
  <c r="B2204" i="242"/>
  <c r="B2275" i="242"/>
  <c r="A2274" i="242"/>
  <c r="B2151" i="242"/>
  <c r="A2150" i="242"/>
  <c r="B531" i="242"/>
  <c r="A531" i="242" s="1"/>
  <c r="A530" i="242"/>
  <c r="A1779" i="242"/>
  <c r="B1780" i="242"/>
  <c r="B755" i="242"/>
  <c r="A754" i="242"/>
  <c r="B2569" i="242"/>
  <c r="A2568" i="242"/>
  <c r="B1721" i="242"/>
  <c r="A1720" i="242"/>
  <c r="B1661" i="242"/>
  <c r="A1660" i="242"/>
  <c r="B290" i="242"/>
  <c r="A289" i="242"/>
  <c r="A2412" i="242"/>
  <c r="B2413" i="242"/>
  <c r="A45" i="242"/>
  <c r="B46" i="242"/>
  <c r="B2466" i="242" l="1"/>
  <c r="A2465" i="242"/>
  <c r="A2929" i="242"/>
  <c r="B2930" i="242"/>
  <c r="A290" i="242"/>
  <c r="B291" i="242"/>
  <c r="A2051" i="242"/>
  <c r="B2052" i="242"/>
  <c r="B2002" i="242"/>
  <c r="A2001" i="242"/>
  <c r="A437" i="242"/>
  <c r="B438" i="242"/>
  <c r="A659" i="242"/>
  <c r="B660" i="242"/>
  <c r="B2359" i="242"/>
  <c r="A2358" i="242"/>
  <c r="B1564" i="242"/>
  <c r="A1563" i="242"/>
  <c r="B247" i="241"/>
  <c r="A246" i="241"/>
  <c r="B1662" i="242"/>
  <c r="A1661" i="242"/>
  <c r="B1417" i="242"/>
  <c r="A1416" i="242"/>
  <c r="A1721" i="242"/>
  <c r="B1722" i="242"/>
  <c r="B1213" i="242"/>
  <c r="A1212" i="242"/>
  <c r="A2569" i="242"/>
  <c r="B2570" i="242"/>
  <c r="B756" i="242"/>
  <c r="A755" i="242"/>
  <c r="A1466" i="242"/>
  <c r="B1467" i="242"/>
  <c r="A187" i="242"/>
  <c r="B188" i="242"/>
  <c r="B2152" i="242"/>
  <c r="A2151" i="242"/>
  <c r="B2276" i="242"/>
  <c r="A2275" i="242"/>
  <c r="A483" i="242"/>
  <c r="B484" i="242"/>
  <c r="A46" i="242"/>
  <c r="B47" i="242"/>
  <c r="A2413" i="242"/>
  <c r="B2414" i="242"/>
  <c r="B1781" i="242"/>
  <c r="A1780" i="242"/>
  <c r="A196" i="241"/>
  <c r="B197" i="241"/>
  <c r="A70" i="241"/>
  <c r="B71" i="241"/>
  <c r="A2627" i="242"/>
  <c r="B2628" i="242"/>
  <c r="A575" i="242"/>
  <c r="B576" i="242"/>
  <c r="A1609" i="242"/>
  <c r="B1610" i="242"/>
  <c r="A2204" i="242"/>
  <c r="B2205" i="242"/>
  <c r="B1959" i="242"/>
  <c r="A1958" i="242"/>
  <c r="A576" i="242" l="1"/>
  <c r="B577" i="242"/>
  <c r="A247" i="241"/>
  <c r="B248" i="241"/>
  <c r="A2205" i="242"/>
  <c r="B2206" i="242"/>
  <c r="B189" i="242"/>
  <c r="A188" i="242"/>
  <c r="A438" i="242"/>
  <c r="B439" i="242"/>
  <c r="A47" i="242"/>
  <c r="B48" i="242"/>
  <c r="A2052" i="242"/>
  <c r="B2053" i="242"/>
  <c r="A2628" i="242"/>
  <c r="B2629" i="242"/>
  <c r="B1782" i="242"/>
  <c r="A1781" i="242"/>
  <c r="A1417" i="242"/>
  <c r="B1418" i="242"/>
  <c r="B1565" i="242"/>
  <c r="A1564" i="242"/>
  <c r="B1611" i="242"/>
  <c r="A1610" i="242"/>
  <c r="B2003" i="242"/>
  <c r="A2002" i="242"/>
  <c r="B485" i="242"/>
  <c r="A484" i="242"/>
  <c r="A71" i="241"/>
  <c r="B72" i="241"/>
  <c r="B2931" i="242"/>
  <c r="A2930" i="242"/>
  <c r="A2414" i="242"/>
  <c r="B2415" i="242"/>
  <c r="A291" i="242"/>
  <c r="B292" i="242"/>
  <c r="A2276" i="242"/>
  <c r="B2277" i="242"/>
  <c r="A1213" i="242"/>
  <c r="B1214" i="242"/>
  <c r="B2360" i="242"/>
  <c r="A2359" i="242"/>
  <c r="B1468" i="242"/>
  <c r="A1467" i="242"/>
  <c r="B1663" i="242"/>
  <c r="A1662" i="242"/>
  <c r="B2571" i="242"/>
  <c r="A2570" i="242"/>
  <c r="A197" i="241"/>
  <c r="B198" i="241"/>
  <c r="B1723" i="242"/>
  <c r="A1722" i="242"/>
  <c r="B661" i="242"/>
  <c r="A660" i="242"/>
  <c r="A756" i="242"/>
  <c r="B757" i="242"/>
  <c r="A1959" i="242"/>
  <c r="B1960" i="242"/>
  <c r="A1960" i="242" s="1"/>
  <c r="A2152" i="242"/>
  <c r="B2153" i="242"/>
  <c r="A2466" i="242"/>
  <c r="B2467" i="242"/>
  <c r="A439" i="242" l="1"/>
  <c r="B440" i="242"/>
  <c r="A440" i="242" s="1"/>
  <c r="B2154" i="242"/>
  <c r="A2153" i="242"/>
  <c r="B293" i="242"/>
  <c r="A292" i="242"/>
  <c r="B49" i="242"/>
  <c r="A48" i="242"/>
  <c r="A2571" i="242"/>
  <c r="B2572" i="242"/>
  <c r="A1611" i="242"/>
  <c r="B1612" i="242"/>
  <c r="A1782" i="242"/>
  <c r="B1783" i="242"/>
  <c r="B1566" i="242"/>
  <c r="A1565" i="242"/>
  <c r="B2207" i="242"/>
  <c r="A2206" i="242"/>
  <c r="A1214" i="242"/>
  <c r="B1215" i="242"/>
  <c r="B2630" i="242"/>
  <c r="A2629" i="242"/>
  <c r="A248" i="241"/>
  <c r="B249" i="241"/>
  <c r="B2416" i="242"/>
  <c r="A2415" i="242"/>
  <c r="A189" i="242"/>
  <c r="B190" i="242"/>
  <c r="A72" i="241"/>
  <c r="B73" i="241"/>
  <c r="B662" i="242"/>
  <c r="A661" i="242"/>
  <c r="A1723" i="242"/>
  <c r="B1724" i="242"/>
  <c r="B486" i="242"/>
  <c r="A485" i="242"/>
  <c r="A757" i="242"/>
  <c r="B758" i="242"/>
  <c r="A1468" i="242"/>
  <c r="B1469" i="242"/>
  <c r="A2360" i="242"/>
  <c r="B2361" i="242"/>
  <c r="B2468" i="242"/>
  <c r="A2467" i="242"/>
  <c r="A198" i="241"/>
  <c r="B199" i="241"/>
  <c r="A2277" i="242"/>
  <c r="B2278" i="242"/>
  <c r="B2054" i="242"/>
  <c r="A2053" i="242"/>
  <c r="A577" i="242"/>
  <c r="B578" i="242"/>
  <c r="A1663" i="242"/>
  <c r="B1664" i="242"/>
  <c r="A1418" i="242"/>
  <c r="B1419" i="242"/>
  <c r="B2932" i="242"/>
  <c r="A2931" i="242"/>
  <c r="A2003" i="242"/>
  <c r="B2004" i="242"/>
  <c r="AG17" i="88"/>
  <c r="AM23" i="4" a="1"/>
  <c r="W23" i="4" a="1"/>
  <c r="M23" i="4" a="1"/>
  <c r="C23" i="4" a="1"/>
  <c r="T6" i="88"/>
  <c r="T7" i="88"/>
  <c r="T8" i="88"/>
  <c r="T9" i="88"/>
  <c r="T10" i="88"/>
  <c r="T11" i="88"/>
  <c r="T12" i="88"/>
  <c r="T13" i="88"/>
  <c r="T14" i="88"/>
  <c r="T15" i="88"/>
  <c r="T16" i="88"/>
  <c r="T17" i="88"/>
  <c r="T5" i="88"/>
  <c r="A2004" i="242" l="1"/>
  <c r="B2005" i="242"/>
  <c r="A2278" i="242"/>
  <c r="B2279" i="242"/>
  <c r="A249" i="241"/>
  <c r="B250" i="241"/>
  <c r="B1613" i="242"/>
  <c r="A1612" i="242"/>
  <c r="B487" i="242"/>
  <c r="A486" i="242"/>
  <c r="A199" i="241"/>
  <c r="B200" i="241"/>
  <c r="A2630" i="242"/>
  <c r="B2631" i="242"/>
  <c r="B1420" i="242"/>
  <c r="A1419" i="242"/>
  <c r="B1216" i="242"/>
  <c r="A1215" i="242"/>
  <c r="A49" i="242"/>
  <c r="B50" i="242"/>
  <c r="A2361" i="242"/>
  <c r="B2362" i="242"/>
  <c r="B2208" i="242"/>
  <c r="A2207" i="242"/>
  <c r="A293" i="242"/>
  <c r="B294" i="242"/>
  <c r="B1725" i="242"/>
  <c r="A1724" i="242"/>
  <c r="B2573" i="242"/>
  <c r="A2572" i="242"/>
  <c r="A2932" i="242"/>
  <c r="B2933" i="242"/>
  <c r="A2468" i="242"/>
  <c r="B2469" i="242"/>
  <c r="B663" i="242"/>
  <c r="A662" i="242"/>
  <c r="B1665" i="242"/>
  <c r="A1664" i="242"/>
  <c r="A578" i="242"/>
  <c r="B579" i="242"/>
  <c r="B1470" i="242"/>
  <c r="A1469" i="242"/>
  <c r="A190" i="242"/>
  <c r="B191" i="242"/>
  <c r="A1566" i="242"/>
  <c r="B1567" i="242"/>
  <c r="B2155" i="242"/>
  <c r="A2154" i="242"/>
  <c r="A758" i="242"/>
  <c r="B759" i="242"/>
  <c r="A1783" i="242"/>
  <c r="B1784" i="242"/>
  <c r="A73" i="241"/>
  <c r="B74" i="241"/>
  <c r="B2055" i="242"/>
  <c r="A2054" i="242"/>
  <c r="A2416" i="242"/>
  <c r="B2417" i="242"/>
  <c r="W91" i="4"/>
  <c r="M88" i="4"/>
  <c r="M91" i="4"/>
  <c r="M90" i="4"/>
  <c r="M89" i="4"/>
  <c r="A200" i="241" l="1"/>
  <c r="B201" i="241"/>
  <c r="A2155" i="242"/>
  <c r="B2156" i="242"/>
  <c r="A663" i="242"/>
  <c r="B664" i="242"/>
  <c r="A2208" i="242"/>
  <c r="B2209" i="242"/>
  <c r="A2417" i="242"/>
  <c r="B2418" i="242"/>
  <c r="A1567" i="242"/>
  <c r="B1568" i="242"/>
  <c r="A1568" i="242" s="1"/>
  <c r="B2470" i="242"/>
  <c r="A2469" i="242"/>
  <c r="B2363" i="242"/>
  <c r="A2362" i="242"/>
  <c r="A191" i="242"/>
  <c r="B192" i="242"/>
  <c r="B75" i="241"/>
  <c r="A74" i="241"/>
  <c r="B251" i="241"/>
  <c r="A250" i="241"/>
  <c r="B51" i="242"/>
  <c r="A50" i="242"/>
  <c r="A2055" i="242"/>
  <c r="B2056" i="242"/>
  <c r="A1470" i="242"/>
  <c r="B1471" i="242"/>
  <c r="A2573" i="242"/>
  <c r="B2574" i="242"/>
  <c r="B1217" i="242"/>
  <c r="A1216" i="242"/>
  <c r="A2933" i="242"/>
  <c r="B2934" i="242"/>
  <c r="B1614" i="242"/>
  <c r="A1613" i="242"/>
  <c r="A1784" i="242"/>
  <c r="B1785" i="242"/>
  <c r="A579" i="242"/>
  <c r="B580" i="242"/>
  <c r="B2280" i="242"/>
  <c r="A2279" i="242"/>
  <c r="B1726" i="242"/>
  <c r="A1725" i="242"/>
  <c r="B1421" i="242"/>
  <c r="A1420" i="242"/>
  <c r="A759" i="242"/>
  <c r="B760" i="242"/>
  <c r="A294" i="242"/>
  <c r="B295" i="242"/>
  <c r="B2632" i="242"/>
  <c r="A2631" i="242"/>
  <c r="B2006" i="242"/>
  <c r="A2005" i="242"/>
  <c r="A487" i="242"/>
  <c r="B488" i="242"/>
  <c r="A1665" i="242"/>
  <c r="B1666" i="242"/>
  <c r="S17" i="88"/>
  <c r="N71" i="204"/>
  <c r="O71" i="204"/>
  <c r="P71" i="204"/>
  <c r="N72" i="204"/>
  <c r="O72" i="204"/>
  <c r="P72" i="204"/>
  <c r="N73" i="204"/>
  <c r="O73" i="204"/>
  <c r="P73" i="204"/>
  <c r="BA17" i="43" a="1"/>
  <c r="AW17" i="43" a="1"/>
  <c r="AS17" i="43" a="1"/>
  <c r="AO17" i="43" a="1"/>
  <c r="AK17" i="43" a="1"/>
  <c r="AG17" i="43" a="1"/>
  <c r="AB17" i="43" a="1"/>
  <c r="X17" i="43" a="1"/>
  <c r="T17" i="43" a="1"/>
  <c r="A17" i="43" a="1"/>
  <c r="A1666" i="242" l="1"/>
  <c r="B1667" i="242"/>
  <c r="B2935" i="242"/>
  <c r="A2934" i="242"/>
  <c r="A2418" i="242"/>
  <c r="B2419" i="242"/>
  <c r="A760" i="242"/>
  <c r="B761" i="242"/>
  <c r="B1615" i="242"/>
  <c r="A1614" i="242"/>
  <c r="A2574" i="242"/>
  <c r="B2575" i="242"/>
  <c r="B193" i="242"/>
  <c r="A192" i="242"/>
  <c r="A664" i="242"/>
  <c r="B665" i="242"/>
  <c r="A51" i="242"/>
  <c r="B52" i="242"/>
  <c r="A251" i="241"/>
  <c r="B252" i="241"/>
  <c r="A2209" i="242"/>
  <c r="B2210" i="242"/>
  <c r="B2007" i="242"/>
  <c r="A2007" i="242" s="1"/>
  <c r="A2006" i="242"/>
  <c r="A2280" i="242"/>
  <c r="B2281" i="242"/>
  <c r="B581" i="242"/>
  <c r="A580" i="242"/>
  <c r="B1472" i="242"/>
  <c r="A1471" i="242"/>
  <c r="A2156" i="242"/>
  <c r="B2157" i="242"/>
  <c r="B1422" i="242"/>
  <c r="A1421" i="242"/>
  <c r="A488" i="242"/>
  <c r="B489" i="242"/>
  <c r="A489" i="242" s="1"/>
  <c r="A2632" i="242"/>
  <c r="B2633" i="242"/>
  <c r="B2364" i="242"/>
  <c r="A2363" i="242"/>
  <c r="A295" i="242"/>
  <c r="B296" i="242"/>
  <c r="B1786" i="242"/>
  <c r="A1785" i="242"/>
  <c r="A2056" i="242"/>
  <c r="B2057" i="242"/>
  <c r="A201" i="241"/>
  <c r="B202" i="241"/>
  <c r="B1727" i="242"/>
  <c r="A1726" i="242"/>
  <c r="A1217" i="242"/>
  <c r="B1218" i="242"/>
  <c r="A75" i="241"/>
  <c r="B76" i="241"/>
  <c r="A2470" i="242"/>
  <c r="B2471" i="242"/>
  <c r="AW80" i="43"/>
  <c r="AX80" i="43" s="1"/>
  <c r="AW83" i="43"/>
  <c r="AX83" i="43" s="1"/>
  <c r="AG81" i="43"/>
  <c r="AH81" i="43" s="1"/>
  <c r="AO80" i="43"/>
  <c r="AP80" i="43" s="1"/>
  <c r="AG79" i="43"/>
  <c r="AH79" i="43" s="1"/>
  <c r="AG80" i="43"/>
  <c r="AH80" i="43" s="1"/>
  <c r="AO81" i="43"/>
  <c r="AO79" i="43"/>
  <c r="AW79" i="43"/>
  <c r="AX79" i="43" s="1"/>
  <c r="AW84" i="43"/>
  <c r="AX84" i="43" s="1"/>
  <c r="AW82" i="43"/>
  <c r="AX82" i="43" s="1"/>
  <c r="AW81" i="43"/>
  <c r="AX81" i="43" s="1"/>
  <c r="X84" i="43"/>
  <c r="X82" i="43"/>
  <c r="X80" i="43"/>
  <c r="X79" i="43"/>
  <c r="X85" i="43"/>
  <c r="X83" i="43"/>
  <c r="X81" i="43"/>
  <c r="A2057" i="242" l="1"/>
  <c r="B2058" i="242"/>
  <c r="B2211" i="242"/>
  <c r="A2210" i="242"/>
  <c r="A76" i="241"/>
  <c r="B77" i="241"/>
  <c r="A296" i="242"/>
  <c r="B297" i="242"/>
  <c r="B53" i="242"/>
  <c r="A52" i="242"/>
  <c r="B2420" i="242"/>
  <c r="A2419" i="242"/>
  <c r="A252" i="241"/>
  <c r="B253" i="241"/>
  <c r="A1786" i="242"/>
  <c r="B1787" i="242"/>
  <c r="B1473" i="242"/>
  <c r="A1472" i="242"/>
  <c r="B203" i="241"/>
  <c r="A202" i="241"/>
  <c r="B2472" i="242"/>
  <c r="A2471" i="242"/>
  <c r="B1219" i="242"/>
  <c r="A1218" i="242"/>
  <c r="B666" i="242"/>
  <c r="A665" i="242"/>
  <c r="A1615" i="242"/>
  <c r="B1616" i="242"/>
  <c r="A2364" i="242"/>
  <c r="B2365" i="242"/>
  <c r="A581" i="242"/>
  <c r="B582" i="242"/>
  <c r="B2936" i="242"/>
  <c r="A2935" i="242"/>
  <c r="A1422" i="242"/>
  <c r="B1423" i="242"/>
  <c r="B2158" i="242"/>
  <c r="A2157" i="242"/>
  <c r="B2634" i="242"/>
  <c r="A2633" i="242"/>
  <c r="A2281" i="242"/>
  <c r="B2282" i="242"/>
  <c r="A1667" i="242"/>
  <c r="B1668" i="242"/>
  <c r="B2576" i="242"/>
  <c r="A2575" i="242"/>
  <c r="A761" i="242"/>
  <c r="B762" i="242"/>
  <c r="A1727" i="242"/>
  <c r="B1728" i="242"/>
  <c r="B194" i="242"/>
  <c r="A193" i="242"/>
  <c r="AQ80" i="43"/>
  <c r="AP79" i="43"/>
  <c r="AQ79" i="43"/>
  <c r="AQ81" i="43"/>
  <c r="AP81" i="43"/>
  <c r="B1424" i="242" l="1"/>
  <c r="A1424" i="242" s="1"/>
  <c r="A1423" i="242"/>
  <c r="B2577" i="242"/>
  <c r="A2576" i="242"/>
  <c r="A2936" i="242"/>
  <c r="B2937" i="242"/>
  <c r="A2472" i="242"/>
  <c r="B2473" i="242"/>
  <c r="B54" i="242"/>
  <c r="A53" i="242"/>
  <c r="B2283" i="242"/>
  <c r="A2282" i="242"/>
  <c r="A2365" i="242"/>
  <c r="B2366" i="242"/>
  <c r="A77" i="241"/>
  <c r="B78" i="241"/>
  <c r="B1220" i="242"/>
  <c r="A1219" i="242"/>
  <c r="B298" i="242"/>
  <c r="A297" i="242"/>
  <c r="B1474" i="242"/>
  <c r="A1473" i="242"/>
  <c r="A762" i="242"/>
  <c r="B763" i="242"/>
  <c r="B583" i="242"/>
  <c r="A582" i="242"/>
  <c r="B1617" i="242"/>
  <c r="A1616" i="242"/>
  <c r="A1787" i="242"/>
  <c r="B1788" i="242"/>
  <c r="A2420" i="242"/>
  <c r="B2421" i="242"/>
  <c r="B1669" i="242"/>
  <c r="A1668" i="242"/>
  <c r="A194" i="242"/>
  <c r="B195" i="242"/>
  <c r="A2634" i="242"/>
  <c r="B2635" i="242"/>
  <c r="B2212" i="242"/>
  <c r="A2211" i="242"/>
  <c r="B1729" i="242"/>
  <c r="A1728" i="242"/>
  <c r="A253" i="241"/>
  <c r="B254" i="241"/>
  <c r="B2059" i="242"/>
  <c r="A2058" i="242"/>
  <c r="A203" i="241"/>
  <c r="B204" i="241"/>
  <c r="A2158" i="242"/>
  <c r="B2159" i="242"/>
  <c r="A666" i="242"/>
  <c r="B667" i="242"/>
  <c r="A195" i="242" l="1"/>
  <c r="B196" i="242"/>
  <c r="A2059" i="242"/>
  <c r="B2060" i="242"/>
  <c r="B1670" i="242"/>
  <c r="A1669" i="242"/>
  <c r="A1474" i="242"/>
  <c r="B1475" i="242"/>
  <c r="A54" i="242"/>
  <c r="B55" i="242"/>
  <c r="B2474" i="242"/>
  <c r="A2473" i="242"/>
  <c r="A1788" i="242"/>
  <c r="B1789" i="242"/>
  <c r="A2937" i="242"/>
  <c r="B2938" i="242"/>
  <c r="B2422" i="242"/>
  <c r="A2422" i="242" s="1"/>
  <c r="A2421" i="242"/>
  <c r="B1730" i="242"/>
  <c r="A1729" i="242"/>
  <c r="B1221" i="242"/>
  <c r="A1220" i="242"/>
  <c r="B764" i="242"/>
  <c r="A763" i="242"/>
  <c r="A667" i="242"/>
  <c r="B668" i="242"/>
  <c r="B79" i="241"/>
  <c r="A78" i="241"/>
  <c r="A2212" i="242"/>
  <c r="B2213" i="242"/>
  <c r="A1617" i="242"/>
  <c r="B1618" i="242"/>
  <c r="A1618" i="242" s="1"/>
  <c r="A2577" i="242"/>
  <c r="B2578" i="242"/>
  <c r="A204" i="241"/>
  <c r="B205" i="241"/>
  <c r="B2284" i="242"/>
  <c r="A2283" i="242"/>
  <c r="B255" i="241"/>
  <c r="A254" i="241"/>
  <c r="B2160" i="242"/>
  <c r="A2159" i="242"/>
  <c r="B2636" i="242"/>
  <c r="A2635" i="242"/>
  <c r="B2367" i="242"/>
  <c r="A2366" i="242"/>
  <c r="A298" i="242"/>
  <c r="B299" i="242"/>
  <c r="A583" i="242"/>
  <c r="B584" i="242"/>
  <c r="B2579" i="242" l="1"/>
  <c r="A2578" i="242"/>
  <c r="B2368" i="242"/>
  <c r="A2367" i="242"/>
  <c r="B1476" i="242"/>
  <c r="A1475" i="242"/>
  <c r="A2636" i="242"/>
  <c r="B2637" i="242"/>
  <c r="A1730" i="242"/>
  <c r="B1731" i="242"/>
  <c r="A205" i="241"/>
  <c r="B206" i="241"/>
  <c r="A206" i="241" s="1"/>
  <c r="A1221" i="242"/>
  <c r="B1222" i="242"/>
  <c r="A1670" i="242"/>
  <c r="B1671" i="242"/>
  <c r="A299" i="242"/>
  <c r="B300" i="242"/>
  <c r="A764" i="242"/>
  <c r="B765" i="242"/>
  <c r="B2939" i="242"/>
  <c r="A2938" i="242"/>
  <c r="B2061" i="242"/>
  <c r="A2060" i="242"/>
  <c r="B2214" i="242"/>
  <c r="A2213" i="242"/>
  <c r="A2160" i="242"/>
  <c r="B2161" i="242"/>
  <c r="A255" i="241"/>
  <c r="B256" i="241"/>
  <c r="A79" i="241"/>
  <c r="B80" i="241"/>
  <c r="A55" i="242"/>
  <c r="B56" i="242"/>
  <c r="B585" i="242"/>
  <c r="A584" i="242"/>
  <c r="B669" i="242"/>
  <c r="A668" i="242"/>
  <c r="B197" i="242"/>
  <c r="A196" i="242"/>
  <c r="A2474" i="242"/>
  <c r="B2475" i="242"/>
  <c r="B1790" i="242"/>
  <c r="A1789" i="242"/>
  <c r="A2284" i="242"/>
  <c r="B2285" i="242"/>
  <c r="A2061" i="242" l="1"/>
  <c r="B2062" i="242"/>
  <c r="A765" i="242"/>
  <c r="B766" i="242"/>
  <c r="B586" i="242"/>
  <c r="A585" i="242"/>
  <c r="B1477" i="242"/>
  <c r="A1476" i="242"/>
  <c r="A300" i="242"/>
  <c r="B301" i="242"/>
  <c r="A2161" i="242"/>
  <c r="B2162" i="242"/>
  <c r="A2162" i="242" s="1"/>
  <c r="A1671" i="242"/>
  <c r="B1672" i="242"/>
  <c r="A1731" i="242"/>
  <c r="B1732" i="242"/>
  <c r="A80" i="241"/>
  <c r="B81" i="241"/>
  <c r="B1791" i="242"/>
  <c r="A1790" i="242"/>
  <c r="B2476" i="242"/>
  <c r="A2475" i="242"/>
  <c r="A197" i="242"/>
  <c r="B198" i="242"/>
  <c r="A2368" i="242"/>
  <c r="B2369" i="242"/>
  <c r="A56" i="242"/>
  <c r="B57" i="242"/>
  <c r="B2940" i="242"/>
  <c r="A2939" i="242"/>
  <c r="B2638" i="242"/>
  <c r="A2637" i="242"/>
  <c r="A256" i="241"/>
  <c r="B257" i="241"/>
  <c r="A1222" i="242"/>
  <c r="B1223" i="242"/>
  <c r="B2286" i="242"/>
  <c r="A2285" i="242"/>
  <c r="A669" i="242"/>
  <c r="B670" i="242"/>
  <c r="B2215" i="242"/>
  <c r="A2215" i="242" s="1"/>
  <c r="A2214" i="242"/>
  <c r="B2580" i="242"/>
  <c r="A2579" i="242"/>
  <c r="D68" i="203"/>
  <c r="E68" i="203"/>
  <c r="H68" i="203"/>
  <c r="J68" i="203"/>
  <c r="L68" i="203"/>
  <c r="Q68" i="203"/>
  <c r="O68" i="203" s="1"/>
  <c r="R68" i="203"/>
  <c r="S68" i="203"/>
  <c r="T68" i="203"/>
  <c r="U68" i="203"/>
  <c r="V68" i="203"/>
  <c r="W68" i="203"/>
  <c r="X68" i="203"/>
  <c r="Y68" i="203"/>
  <c r="Z68" i="203"/>
  <c r="AA68" i="203"/>
  <c r="AB68" i="203"/>
  <c r="AC68" i="203"/>
  <c r="AD68" i="203"/>
  <c r="AE68" i="203"/>
  <c r="AF68" i="203"/>
  <c r="AG68" i="203"/>
  <c r="AH68" i="203"/>
  <c r="AI68" i="203"/>
  <c r="AJ68" i="203"/>
  <c r="AK68" i="203"/>
  <c r="AL68" i="203"/>
  <c r="AM68" i="203"/>
  <c r="AN68" i="203"/>
  <c r="AO68" i="203"/>
  <c r="AP68" i="203"/>
  <c r="AQ68" i="203"/>
  <c r="AR68" i="203"/>
  <c r="AS68" i="203"/>
  <c r="AT68" i="203"/>
  <c r="AU68" i="203"/>
  <c r="AV68" i="203"/>
  <c r="AW68" i="203"/>
  <c r="AX68" i="203"/>
  <c r="AY68" i="203"/>
  <c r="AZ68" i="203"/>
  <c r="BA68" i="203"/>
  <c r="BB68" i="203"/>
  <c r="BC68" i="203"/>
  <c r="BD68" i="203"/>
  <c r="BE68" i="203"/>
  <c r="BF68" i="203"/>
  <c r="BG68" i="203"/>
  <c r="BH68" i="203"/>
  <c r="BI68" i="203"/>
  <c r="BJ68" i="203"/>
  <c r="BK68" i="203"/>
  <c r="BL68" i="203"/>
  <c r="BM68" i="203"/>
  <c r="BN68" i="203"/>
  <c r="BO68" i="203"/>
  <c r="BP68" i="203"/>
  <c r="BQ68" i="203"/>
  <c r="BR68" i="203"/>
  <c r="BS68" i="203"/>
  <c r="BT68" i="203"/>
  <c r="BU68" i="203"/>
  <c r="BV68" i="203"/>
  <c r="BW68" i="203"/>
  <c r="BX68" i="203"/>
  <c r="BY68" i="203"/>
  <c r="BZ68" i="203"/>
  <c r="CA68" i="203"/>
  <c r="D69" i="203"/>
  <c r="E69" i="203"/>
  <c r="H69" i="203"/>
  <c r="J69" i="203"/>
  <c r="L69" i="203"/>
  <c r="Q69" i="203"/>
  <c r="N68" i="203" s="1"/>
  <c r="R69" i="203"/>
  <c r="S69" i="203"/>
  <c r="T69" i="203"/>
  <c r="U69" i="203"/>
  <c r="V69" i="203"/>
  <c r="W69" i="203"/>
  <c r="X69" i="203"/>
  <c r="Y69" i="203"/>
  <c r="Z69" i="203"/>
  <c r="AA69" i="203"/>
  <c r="AB69" i="203"/>
  <c r="AC69" i="203"/>
  <c r="AD69" i="203"/>
  <c r="AE69" i="203"/>
  <c r="AF69" i="203"/>
  <c r="AG69" i="203"/>
  <c r="AH69" i="203"/>
  <c r="AI69" i="203"/>
  <c r="AJ69" i="203"/>
  <c r="AK69" i="203"/>
  <c r="AL69" i="203"/>
  <c r="AM69" i="203"/>
  <c r="AN69" i="203"/>
  <c r="AO69" i="203"/>
  <c r="AP69" i="203"/>
  <c r="AQ69" i="203"/>
  <c r="AR69" i="203"/>
  <c r="AS69" i="203"/>
  <c r="AT69" i="203"/>
  <c r="AU69" i="203"/>
  <c r="AV69" i="203"/>
  <c r="AW69" i="203"/>
  <c r="AX69" i="203"/>
  <c r="AY69" i="203"/>
  <c r="AZ69" i="203"/>
  <c r="BA69" i="203"/>
  <c r="BB69" i="203"/>
  <c r="BC69" i="203"/>
  <c r="BD69" i="203"/>
  <c r="BE69" i="203"/>
  <c r="BF69" i="203"/>
  <c r="BG69" i="203"/>
  <c r="BH69" i="203"/>
  <c r="BI69" i="203"/>
  <c r="BJ69" i="203"/>
  <c r="BK69" i="203"/>
  <c r="BL69" i="203"/>
  <c r="BM69" i="203"/>
  <c r="BN69" i="203"/>
  <c r="BO69" i="203"/>
  <c r="BP69" i="203"/>
  <c r="BQ69" i="203"/>
  <c r="BR69" i="203"/>
  <c r="BS69" i="203"/>
  <c r="BT69" i="203"/>
  <c r="BU69" i="203"/>
  <c r="BV69" i="203"/>
  <c r="BW69" i="203"/>
  <c r="BX69" i="203"/>
  <c r="BY69" i="203"/>
  <c r="BZ69" i="203"/>
  <c r="CA69" i="203"/>
  <c r="D70" i="203"/>
  <c r="E70" i="203"/>
  <c r="H70" i="203"/>
  <c r="J70" i="203"/>
  <c r="L70" i="203"/>
  <c r="Q70" i="203"/>
  <c r="N69" i="203" s="1"/>
  <c r="R70" i="203"/>
  <c r="S70" i="203"/>
  <c r="T70" i="203"/>
  <c r="U70" i="203"/>
  <c r="V70" i="203"/>
  <c r="W70" i="203"/>
  <c r="X70" i="203"/>
  <c r="Y70" i="203"/>
  <c r="Z70" i="203"/>
  <c r="AA70" i="203"/>
  <c r="AB70" i="203"/>
  <c r="AC70" i="203"/>
  <c r="AD70" i="203"/>
  <c r="AE70" i="203"/>
  <c r="AF70" i="203"/>
  <c r="AG70" i="203"/>
  <c r="AH70" i="203"/>
  <c r="AI70" i="203"/>
  <c r="AJ70" i="203"/>
  <c r="AK70" i="203"/>
  <c r="AL70" i="203"/>
  <c r="AM70" i="203"/>
  <c r="AN70" i="203"/>
  <c r="AO70" i="203"/>
  <c r="AP70" i="203"/>
  <c r="AQ70" i="203"/>
  <c r="AR70" i="203"/>
  <c r="AS70" i="203"/>
  <c r="AT70" i="203"/>
  <c r="AU70" i="203"/>
  <c r="AV70" i="203"/>
  <c r="AW70" i="203"/>
  <c r="AX70" i="203"/>
  <c r="AY70" i="203"/>
  <c r="AZ70" i="203"/>
  <c r="BA70" i="203"/>
  <c r="BB70" i="203"/>
  <c r="BC70" i="203"/>
  <c r="BD70" i="203"/>
  <c r="BE70" i="203"/>
  <c r="BF70" i="203"/>
  <c r="BG70" i="203"/>
  <c r="BH70" i="203"/>
  <c r="BI70" i="203"/>
  <c r="BJ70" i="203"/>
  <c r="BK70" i="203"/>
  <c r="BL70" i="203"/>
  <c r="BM70" i="203"/>
  <c r="BN70" i="203"/>
  <c r="BO70" i="203"/>
  <c r="BP70" i="203"/>
  <c r="BQ70" i="203"/>
  <c r="BR70" i="203"/>
  <c r="BS70" i="203"/>
  <c r="BT70" i="203"/>
  <c r="BU70" i="203"/>
  <c r="BV70" i="203"/>
  <c r="BW70" i="203"/>
  <c r="BX70" i="203"/>
  <c r="BY70" i="203"/>
  <c r="BZ70" i="203"/>
  <c r="CA70" i="203"/>
  <c r="H71" i="203"/>
  <c r="J71" i="203"/>
  <c r="L71" i="203"/>
  <c r="Q71" i="203"/>
  <c r="N70" i="203" s="1"/>
  <c r="R71" i="203"/>
  <c r="S71" i="203"/>
  <c r="T71" i="203"/>
  <c r="U71" i="203"/>
  <c r="V71" i="203"/>
  <c r="W71" i="203"/>
  <c r="X71" i="203"/>
  <c r="Y71" i="203"/>
  <c r="Z71" i="203"/>
  <c r="AA71" i="203"/>
  <c r="AB71" i="203"/>
  <c r="AC71" i="203"/>
  <c r="AD71" i="203"/>
  <c r="AE71" i="203"/>
  <c r="AF71" i="203"/>
  <c r="AG71" i="203"/>
  <c r="AH71" i="203"/>
  <c r="AI71" i="203"/>
  <c r="AJ71" i="203"/>
  <c r="AK71" i="203"/>
  <c r="AL71" i="203"/>
  <c r="AM71" i="203"/>
  <c r="AN71" i="203"/>
  <c r="AO71" i="203"/>
  <c r="AP71" i="203"/>
  <c r="AQ71" i="203"/>
  <c r="AR71" i="203"/>
  <c r="AS71" i="203"/>
  <c r="AT71" i="203"/>
  <c r="AU71" i="203"/>
  <c r="AV71" i="203"/>
  <c r="AW71" i="203"/>
  <c r="AX71" i="203"/>
  <c r="AY71" i="203"/>
  <c r="AZ71" i="203"/>
  <c r="BA71" i="203"/>
  <c r="BB71" i="203"/>
  <c r="BC71" i="203"/>
  <c r="BD71" i="203"/>
  <c r="BE71" i="203"/>
  <c r="BF71" i="203"/>
  <c r="BG71" i="203"/>
  <c r="BH71" i="203"/>
  <c r="BI71" i="203"/>
  <c r="BJ71" i="203"/>
  <c r="BK71" i="203"/>
  <c r="BL71" i="203"/>
  <c r="BM71" i="203"/>
  <c r="BN71" i="203"/>
  <c r="BO71" i="203"/>
  <c r="BP71" i="203"/>
  <c r="BQ71" i="203"/>
  <c r="BR71" i="203"/>
  <c r="BS71" i="203"/>
  <c r="BT71" i="203"/>
  <c r="BU71" i="203"/>
  <c r="BV71" i="203"/>
  <c r="BW71" i="203"/>
  <c r="BX71" i="203"/>
  <c r="BY71" i="203"/>
  <c r="BZ71" i="203"/>
  <c r="CA71" i="203"/>
  <c r="H72" i="203"/>
  <c r="J72" i="203"/>
  <c r="L72" i="203"/>
  <c r="Q72" i="203"/>
  <c r="R72" i="203"/>
  <c r="S72" i="203"/>
  <c r="T72" i="203"/>
  <c r="U72" i="203"/>
  <c r="V72" i="203"/>
  <c r="W72" i="203"/>
  <c r="X72" i="203"/>
  <c r="Y72" i="203"/>
  <c r="Z72" i="203"/>
  <c r="AA72" i="203"/>
  <c r="AB72" i="203"/>
  <c r="AC72" i="203"/>
  <c r="AD72" i="203"/>
  <c r="AE72" i="203"/>
  <c r="AF72" i="203"/>
  <c r="AG72" i="203"/>
  <c r="AH72" i="203"/>
  <c r="AI72" i="203"/>
  <c r="AJ72" i="203"/>
  <c r="AK72" i="203"/>
  <c r="AL72" i="203"/>
  <c r="AM72" i="203"/>
  <c r="AN72" i="203"/>
  <c r="AO72" i="203"/>
  <c r="AP72" i="203"/>
  <c r="AQ72" i="203"/>
  <c r="AR72" i="203"/>
  <c r="AS72" i="203"/>
  <c r="AT72" i="203"/>
  <c r="AU72" i="203"/>
  <c r="AV72" i="203"/>
  <c r="AW72" i="203"/>
  <c r="AX72" i="203"/>
  <c r="AY72" i="203"/>
  <c r="AZ72" i="203"/>
  <c r="BA72" i="203"/>
  <c r="BB72" i="203"/>
  <c r="BC72" i="203"/>
  <c r="BD72" i="203"/>
  <c r="BE72" i="203"/>
  <c r="BF72" i="203"/>
  <c r="BG72" i="203"/>
  <c r="BH72" i="203"/>
  <c r="BI72" i="203"/>
  <c r="BJ72" i="203"/>
  <c r="BK72" i="203"/>
  <c r="BL72" i="203"/>
  <c r="BM72" i="203"/>
  <c r="BN72" i="203"/>
  <c r="BO72" i="203"/>
  <c r="BP72" i="203"/>
  <c r="BQ72" i="203"/>
  <c r="BR72" i="203"/>
  <c r="BS72" i="203"/>
  <c r="BT72" i="203"/>
  <c r="BU72" i="203"/>
  <c r="BV72" i="203"/>
  <c r="BW72" i="203"/>
  <c r="BX72" i="203"/>
  <c r="BY72" i="203"/>
  <c r="BZ72" i="203"/>
  <c r="CA72" i="203"/>
  <c r="H73" i="203"/>
  <c r="J73" i="203"/>
  <c r="L73" i="203"/>
  <c r="Q73" i="203"/>
  <c r="R73" i="203"/>
  <c r="S73" i="203"/>
  <c r="T73" i="203"/>
  <c r="U73" i="203"/>
  <c r="V73" i="203"/>
  <c r="W73" i="203"/>
  <c r="X73" i="203"/>
  <c r="Y73" i="203"/>
  <c r="Z73" i="203"/>
  <c r="AA73" i="203"/>
  <c r="AB73" i="203"/>
  <c r="AC73" i="203"/>
  <c r="AD73" i="203"/>
  <c r="AE73" i="203"/>
  <c r="AF73" i="203"/>
  <c r="AG73" i="203"/>
  <c r="AH73" i="203"/>
  <c r="AI73" i="203"/>
  <c r="AJ73" i="203"/>
  <c r="AK73" i="203"/>
  <c r="AL73" i="203"/>
  <c r="AM73" i="203"/>
  <c r="AN73" i="203"/>
  <c r="AO73" i="203"/>
  <c r="AP73" i="203"/>
  <c r="AQ73" i="203"/>
  <c r="AR73" i="203"/>
  <c r="AS73" i="203"/>
  <c r="AT73" i="203"/>
  <c r="AU73" i="203"/>
  <c r="AV73" i="203"/>
  <c r="AW73" i="203"/>
  <c r="AX73" i="203"/>
  <c r="AY73" i="203"/>
  <c r="AZ73" i="203"/>
  <c r="BA73" i="203"/>
  <c r="BB73" i="203"/>
  <c r="BC73" i="203"/>
  <c r="BD73" i="203"/>
  <c r="BE73" i="203"/>
  <c r="BF73" i="203"/>
  <c r="BG73" i="203"/>
  <c r="BH73" i="203"/>
  <c r="BI73" i="203"/>
  <c r="BJ73" i="203"/>
  <c r="BK73" i="203"/>
  <c r="BL73" i="203"/>
  <c r="BM73" i="203"/>
  <c r="BN73" i="203"/>
  <c r="BO73" i="203"/>
  <c r="BP73" i="203"/>
  <c r="BQ73" i="203"/>
  <c r="BR73" i="203"/>
  <c r="BS73" i="203"/>
  <c r="BT73" i="203"/>
  <c r="BU73" i="203"/>
  <c r="BV73" i="203"/>
  <c r="BW73" i="203"/>
  <c r="BX73" i="203"/>
  <c r="BY73" i="203"/>
  <c r="BZ73" i="203"/>
  <c r="CA73" i="203"/>
  <c r="B9" i="203" a="1"/>
  <c r="B18" i="203" s="1"/>
  <c r="B9" i="204" a="1"/>
  <c r="B9" i="204" s="1"/>
  <c r="AL17" i="69" a="1"/>
  <c r="AL18" i="69" s="1"/>
  <c r="AU96" i="4" a="1"/>
  <c r="AU105" i="4" s="1"/>
  <c r="A2476" i="242" l="1"/>
  <c r="B2477" i="242"/>
  <c r="B1224" i="242"/>
  <c r="A1223" i="242"/>
  <c r="A2940" i="242"/>
  <c r="B2941" i="242"/>
  <c r="A586" i="242"/>
  <c r="B587" i="242"/>
  <c r="A257" i="241"/>
  <c r="B258" i="241"/>
  <c r="B1478" i="242"/>
  <c r="A1477" i="242"/>
  <c r="A670" i="242"/>
  <c r="B671" i="242"/>
  <c r="B58" i="242"/>
  <c r="A57" i="242"/>
  <c r="B1733" i="242"/>
  <c r="A1732" i="242"/>
  <c r="B767" i="242"/>
  <c r="A766" i="242"/>
  <c r="A198" i="242"/>
  <c r="B199" i="242"/>
  <c r="B302" i="242"/>
  <c r="A301" i="242"/>
  <c r="A1791" i="242"/>
  <c r="B1792" i="242"/>
  <c r="A2638" i="242"/>
  <c r="B2639" i="242"/>
  <c r="A81" i="241"/>
  <c r="B82" i="241"/>
  <c r="A2369" i="242"/>
  <c r="B2370" i="242"/>
  <c r="B1673" i="242"/>
  <c r="A1672" i="242"/>
  <c r="B2063" i="242"/>
  <c r="A2062" i="242"/>
  <c r="B2581" i="242"/>
  <c r="A2580" i="242"/>
  <c r="B2287" i="242"/>
  <c r="A2286" i="242"/>
  <c r="AU121" i="4"/>
  <c r="AU97" i="4"/>
  <c r="AU109" i="4"/>
  <c r="B17" i="203"/>
  <c r="AU128" i="4"/>
  <c r="AU123" i="4"/>
  <c r="AU122" i="4"/>
  <c r="AU98" i="4"/>
  <c r="B34" i="203"/>
  <c r="B10" i="203"/>
  <c r="AU114" i="4"/>
  <c r="B16" i="204"/>
  <c r="B24" i="203"/>
  <c r="B23" i="203"/>
  <c r="AU111" i="4"/>
  <c r="B46" i="203"/>
  <c r="AU115" i="4"/>
  <c r="B27" i="203"/>
  <c r="AU110" i="4"/>
  <c r="B22" i="203"/>
  <c r="B40" i="203"/>
  <c r="B29" i="203"/>
  <c r="AU116" i="4"/>
  <c r="B28" i="203"/>
  <c r="B41" i="203"/>
  <c r="AU127" i="4"/>
  <c r="B15" i="203"/>
  <c r="AU104" i="4"/>
  <c r="B16" i="203"/>
  <c r="AU103" i="4"/>
  <c r="B39" i="203"/>
  <c r="AU126" i="4"/>
  <c r="AU102" i="4"/>
  <c r="B36" i="203"/>
  <c r="B12" i="203"/>
  <c r="AU99" i="4"/>
  <c r="B35" i="203"/>
  <c r="B11" i="203"/>
  <c r="AL36" i="69"/>
  <c r="AL39" i="69"/>
  <c r="AL17" i="69"/>
  <c r="AL52" i="69"/>
  <c r="AL35" i="69"/>
  <c r="AL51" i="69"/>
  <c r="AL29" i="69"/>
  <c r="AL28" i="69"/>
  <c r="AL48" i="69"/>
  <c r="AL47" i="69"/>
  <c r="AL27" i="69"/>
  <c r="AL53" i="69"/>
  <c r="AL41" i="69"/>
  <c r="AL24" i="69"/>
  <c r="AL40" i="69"/>
  <c r="AL23" i="69"/>
  <c r="AU125" i="4"/>
  <c r="AU113" i="4"/>
  <c r="AU101" i="4"/>
  <c r="AL50" i="69"/>
  <c r="AL38" i="69"/>
  <c r="AL26" i="69"/>
  <c r="B38" i="203"/>
  <c r="B26" i="203"/>
  <c r="B14" i="203"/>
  <c r="AU124" i="4"/>
  <c r="AU112" i="4"/>
  <c r="AU100" i="4"/>
  <c r="AL49" i="69"/>
  <c r="AL37" i="69"/>
  <c r="AL25" i="69"/>
  <c r="B37" i="203"/>
  <c r="B25" i="203"/>
  <c r="B13" i="203"/>
  <c r="AU132" i="4"/>
  <c r="AU120" i="4"/>
  <c r="AU108" i="4"/>
  <c r="AU96" i="4"/>
  <c r="AL45" i="69"/>
  <c r="AL33" i="69"/>
  <c r="AL21" i="69"/>
  <c r="B45" i="203"/>
  <c r="B33" i="203"/>
  <c r="B21" i="203"/>
  <c r="B9" i="203"/>
  <c r="AL46" i="69"/>
  <c r="AL22" i="69"/>
  <c r="AU131" i="4"/>
  <c r="AU119" i="4"/>
  <c r="AU107" i="4"/>
  <c r="AL20" i="69"/>
  <c r="AL44" i="69"/>
  <c r="AL32" i="69"/>
  <c r="B44" i="203"/>
  <c r="B32" i="203"/>
  <c r="B20" i="203"/>
  <c r="AU133" i="4"/>
  <c r="AL34" i="69"/>
  <c r="AU130" i="4"/>
  <c r="AU118" i="4"/>
  <c r="AU106" i="4"/>
  <c r="AL43" i="69"/>
  <c r="AL31" i="69"/>
  <c r="AL19" i="69"/>
  <c r="B43" i="203"/>
  <c r="B31" i="203"/>
  <c r="B19" i="203"/>
  <c r="AU129" i="4"/>
  <c r="AU117" i="4"/>
  <c r="AL54" i="69"/>
  <c r="AL42" i="69"/>
  <c r="AL30" i="69"/>
  <c r="B42" i="203"/>
  <c r="B30" i="203"/>
  <c r="P68" i="203"/>
  <c r="P69" i="203"/>
  <c r="P70" i="203"/>
  <c r="O69" i="203"/>
  <c r="O70" i="203"/>
  <c r="B40" i="204"/>
  <c r="B32" i="204"/>
  <c r="B24" i="204"/>
  <c r="B39" i="204"/>
  <c r="B31" i="204"/>
  <c r="B23" i="204"/>
  <c r="B15" i="204"/>
  <c r="B46" i="204"/>
  <c r="B38" i="204"/>
  <c r="B30" i="204"/>
  <c r="B22" i="204"/>
  <c r="B14" i="204"/>
  <c r="B45" i="204"/>
  <c r="B37" i="204"/>
  <c r="B29" i="204"/>
  <c r="B21" i="204"/>
  <c r="B13" i="204"/>
  <c r="B44" i="204"/>
  <c r="B36" i="204"/>
  <c r="B28" i="204"/>
  <c r="B20" i="204"/>
  <c r="B12" i="204"/>
  <c r="B43" i="204"/>
  <c r="B35" i="204"/>
  <c r="B27" i="204"/>
  <c r="B19" i="204"/>
  <c r="B11" i="204"/>
  <c r="B42" i="204"/>
  <c r="B34" i="204"/>
  <c r="B26" i="204"/>
  <c r="B18" i="204"/>
  <c r="B10" i="204"/>
  <c r="B41" i="204"/>
  <c r="B33" i="204"/>
  <c r="B25" i="204"/>
  <c r="B17" i="204"/>
  <c r="B2288" i="242" l="1"/>
  <c r="A2287" i="242"/>
  <c r="A58" i="242"/>
  <c r="B59" i="242"/>
  <c r="A1478" i="242"/>
  <c r="B1479" i="242"/>
  <c r="B259" i="241"/>
  <c r="A258" i="241"/>
  <c r="B2371" i="242"/>
  <c r="A2370" i="242"/>
  <c r="A587" i="242"/>
  <c r="B588" i="242"/>
  <c r="A302" i="242"/>
  <c r="B303" i="242"/>
  <c r="A199" i="242"/>
  <c r="B200" i="242"/>
  <c r="B1674" i="242"/>
  <c r="A1673" i="242"/>
  <c r="A767" i="242"/>
  <c r="B768" i="242"/>
  <c r="A2063" i="242"/>
  <c r="B2064" i="242"/>
  <c r="B1734" i="242"/>
  <c r="A1733" i="242"/>
  <c r="B83" i="241"/>
  <c r="A82" i="241"/>
  <c r="A2941" i="242"/>
  <c r="B2942" i="242"/>
  <c r="A2639" i="242"/>
  <c r="B2640" i="242"/>
  <c r="B1225" i="242"/>
  <c r="A1224" i="242"/>
  <c r="B1793" i="242"/>
  <c r="A1792" i="242"/>
  <c r="A671" i="242"/>
  <c r="B672" i="242"/>
  <c r="B2478" i="242"/>
  <c r="A2477" i="242"/>
  <c r="A2581" i="242"/>
  <c r="B2582" i="242"/>
  <c r="G69" i="192"/>
  <c r="G70" i="192"/>
  <c r="B6" i="192" a="1"/>
  <c r="A672" i="242" l="1"/>
  <c r="B673" i="242"/>
  <c r="A588" i="242"/>
  <c r="B589" i="242"/>
  <c r="B2372" i="242"/>
  <c r="A2372" i="242" s="1"/>
  <c r="A2371" i="242"/>
  <c r="A768" i="242"/>
  <c r="B769" i="242"/>
  <c r="A2640" i="242"/>
  <c r="B2641" i="242"/>
  <c r="A1479" i="242"/>
  <c r="B1480" i="242"/>
  <c r="B1675" i="242"/>
  <c r="A1674" i="242"/>
  <c r="A2582" i="242"/>
  <c r="B2583" i="242"/>
  <c r="B2943" i="242"/>
  <c r="A2942" i="242"/>
  <c r="A200" i="242"/>
  <c r="B201" i="242"/>
  <c r="A59" i="242"/>
  <c r="B60" i="242"/>
  <c r="A1225" i="242"/>
  <c r="B1226" i="242"/>
  <c r="A259" i="241"/>
  <c r="B260" i="241"/>
  <c r="A303" i="242"/>
  <c r="B304" i="242"/>
  <c r="A1734" i="242"/>
  <c r="B1735" i="242"/>
  <c r="B2065" i="242"/>
  <c r="A2064" i="242"/>
  <c r="B1794" i="242"/>
  <c r="A1793" i="242"/>
  <c r="A2478" i="242"/>
  <c r="B2479" i="242"/>
  <c r="A83" i="241"/>
  <c r="B84" i="241"/>
  <c r="A2288" i="242"/>
  <c r="B2289" i="242"/>
  <c r="A1480" i="242" l="1"/>
  <c r="B1481" i="242"/>
  <c r="B61" i="242"/>
  <c r="A60" i="242"/>
  <c r="B2642" i="242"/>
  <c r="A2641" i="242"/>
  <c r="B1227" i="242"/>
  <c r="A1226" i="242"/>
  <c r="A2065" i="242"/>
  <c r="B2066" i="242"/>
  <c r="A2479" i="242"/>
  <c r="B2480" i="242"/>
  <c r="B1795" i="242"/>
  <c r="A1794" i="242"/>
  <c r="B2944" i="242"/>
  <c r="A2943" i="242"/>
  <c r="B202" i="242"/>
  <c r="A201" i="242"/>
  <c r="B2290" i="242"/>
  <c r="A2289" i="242"/>
  <c r="A304" i="242"/>
  <c r="B305" i="242"/>
  <c r="B2584" i="242"/>
  <c r="A2583" i="242"/>
  <c r="B590" i="242"/>
  <c r="A589" i="242"/>
  <c r="A769" i="242"/>
  <c r="B770" i="242"/>
  <c r="A84" i="241"/>
  <c r="B85" i="241"/>
  <c r="A260" i="241"/>
  <c r="B261" i="241"/>
  <c r="B674" i="242"/>
  <c r="A673" i="242"/>
  <c r="A1735" i="242"/>
  <c r="B1736" i="242"/>
  <c r="A1675" i="242"/>
  <c r="B1676" i="242"/>
  <c r="B2585" i="242" l="1"/>
  <c r="A2584" i="242"/>
  <c r="A305" i="242"/>
  <c r="B306" i="242"/>
  <c r="A2066" i="242"/>
  <c r="B2067" i="242"/>
  <c r="B675" i="242"/>
  <c r="A674" i="242"/>
  <c r="A2290" i="242"/>
  <c r="B2291" i="242"/>
  <c r="A1227" i="242"/>
  <c r="B1228" i="242"/>
  <c r="A2480" i="242"/>
  <c r="B2481" i="242"/>
  <c r="A202" i="242"/>
  <c r="B203" i="242"/>
  <c r="B771" i="242"/>
  <c r="A770" i="242"/>
  <c r="A2944" i="242"/>
  <c r="B2945" i="242"/>
  <c r="B62" i="242"/>
  <c r="A61" i="242"/>
  <c r="A85" i="241"/>
  <c r="B86" i="241"/>
  <c r="B2643" i="242"/>
  <c r="A2642" i="242"/>
  <c r="A1676" i="242"/>
  <c r="B1677" i="242"/>
  <c r="B1482" i="242"/>
  <c r="A1481" i="242"/>
  <c r="A1736" i="242"/>
  <c r="B1737" i="242"/>
  <c r="A261" i="241"/>
  <c r="B262" i="241"/>
  <c r="A590" i="242"/>
  <c r="B591" i="242"/>
  <c r="A1795" i="242"/>
  <c r="B1796" i="242"/>
  <c r="A591" i="242" l="1"/>
  <c r="B592" i="242"/>
  <c r="A86" i="241"/>
  <c r="B87" i="241"/>
  <c r="B1229" i="242"/>
  <c r="A1228" i="242"/>
  <c r="B2292" i="242"/>
  <c r="A2291" i="242"/>
  <c r="A62" i="242"/>
  <c r="B63" i="242"/>
  <c r="B263" i="241"/>
  <c r="A262" i="241"/>
  <c r="B1738" i="242"/>
  <c r="A1737" i="242"/>
  <c r="A2945" i="242"/>
  <c r="B2946" i="242"/>
  <c r="A675" i="242"/>
  <c r="B676" i="242"/>
  <c r="A2067" i="242"/>
  <c r="B2068" i="242"/>
  <c r="A1677" i="242"/>
  <c r="B1678" i="242"/>
  <c r="A1482" i="242"/>
  <c r="B1483" i="242"/>
  <c r="A771" i="242"/>
  <c r="B772" i="242"/>
  <c r="A203" i="242"/>
  <c r="B204" i="242"/>
  <c r="A1796" i="242"/>
  <c r="B1797" i="242"/>
  <c r="B2482" i="242"/>
  <c r="A2481" i="242"/>
  <c r="B307" i="242"/>
  <c r="A306" i="242"/>
  <c r="A2643" i="242"/>
  <c r="B2644" i="242"/>
  <c r="A2585" i="242"/>
  <c r="B2586" i="242"/>
  <c r="A2586" i="242" s="1"/>
  <c r="P78" i="204"/>
  <c r="O78" i="204"/>
  <c r="N78" i="204"/>
  <c r="P77" i="204"/>
  <c r="O77" i="204"/>
  <c r="N77" i="204"/>
  <c r="P76" i="204"/>
  <c r="O76" i="204"/>
  <c r="N76" i="204"/>
  <c r="P75" i="204"/>
  <c r="O75" i="204"/>
  <c r="N75" i="204"/>
  <c r="E70" i="204"/>
  <c r="D70" i="204"/>
  <c r="E69" i="204"/>
  <c r="D69" i="204"/>
  <c r="E68" i="204"/>
  <c r="D68" i="204"/>
  <c r="E67" i="204"/>
  <c r="D67" i="204"/>
  <c r="E66" i="204"/>
  <c r="D66" i="204"/>
  <c r="E65" i="204"/>
  <c r="D65" i="204"/>
  <c r="E64" i="204"/>
  <c r="D64" i="204"/>
  <c r="E63" i="204"/>
  <c r="D63" i="204"/>
  <c r="E62" i="204"/>
  <c r="D62" i="204"/>
  <c r="E61" i="204"/>
  <c r="D61" i="204"/>
  <c r="E60" i="204"/>
  <c r="D60" i="204"/>
  <c r="E59" i="204"/>
  <c r="D59" i="204"/>
  <c r="E58" i="204"/>
  <c r="D58" i="204"/>
  <c r="E57" i="204"/>
  <c r="D57" i="204"/>
  <c r="E56" i="204"/>
  <c r="D56" i="204"/>
  <c r="E55" i="204"/>
  <c r="D55" i="204"/>
  <c r="E54" i="204"/>
  <c r="D54" i="204"/>
  <c r="E53" i="204"/>
  <c r="D53" i="204"/>
  <c r="E52" i="204"/>
  <c r="D52" i="204"/>
  <c r="E51" i="204"/>
  <c r="D51" i="204"/>
  <c r="E50" i="204"/>
  <c r="D50" i="204"/>
  <c r="E49" i="204"/>
  <c r="D49" i="204"/>
  <c r="E48" i="204"/>
  <c r="D48" i="204"/>
  <c r="E47" i="204"/>
  <c r="D47" i="204"/>
  <c r="AY62" i="204"/>
  <c r="E4" i="204"/>
  <c r="E67" i="203"/>
  <c r="D67" i="203"/>
  <c r="E66" i="203"/>
  <c r="D66" i="203"/>
  <c r="E65" i="203"/>
  <c r="D65" i="203"/>
  <c r="E64" i="203"/>
  <c r="D64" i="203"/>
  <c r="E63" i="203"/>
  <c r="D63" i="203"/>
  <c r="E62" i="203"/>
  <c r="D62" i="203"/>
  <c r="E61" i="203"/>
  <c r="D61" i="203"/>
  <c r="E60" i="203"/>
  <c r="D60" i="203"/>
  <c r="E59" i="203"/>
  <c r="D59" i="203"/>
  <c r="E58" i="203"/>
  <c r="D58" i="203"/>
  <c r="E57" i="203"/>
  <c r="D57" i="203"/>
  <c r="E56" i="203"/>
  <c r="D56" i="203"/>
  <c r="E55" i="203"/>
  <c r="D55" i="203"/>
  <c r="E54" i="203"/>
  <c r="D54" i="203"/>
  <c r="E53" i="203"/>
  <c r="D53" i="203"/>
  <c r="E52" i="203"/>
  <c r="D52" i="203"/>
  <c r="E51" i="203"/>
  <c r="D51" i="203"/>
  <c r="E50" i="203"/>
  <c r="D50" i="203"/>
  <c r="E49" i="203"/>
  <c r="D49" i="203"/>
  <c r="E48" i="203"/>
  <c r="D48" i="203"/>
  <c r="E47" i="203"/>
  <c r="D47" i="203"/>
  <c r="B12" i="4"/>
  <c r="V78" i="43"/>
  <c r="V79" i="43"/>
  <c r="V80" i="43"/>
  <c r="V81" i="43"/>
  <c r="V82" i="43"/>
  <c r="V83" i="43"/>
  <c r="V84" i="43"/>
  <c r="V85" i="43"/>
  <c r="Q77" i="43"/>
  <c r="V77" i="43" s="1"/>
  <c r="AU23" i="4" a="1"/>
  <c r="B6" i="193" a="1"/>
  <c r="I6" i="187" a="1"/>
  <c r="I6" i="191" a="1"/>
  <c r="B6" i="191" a="1"/>
  <c r="I6" i="190" a="1"/>
  <c r="B6" i="190" a="1"/>
  <c r="I6" i="189" a="1"/>
  <c r="B6" i="189" a="1"/>
  <c r="B18" i="189" s="1"/>
  <c r="I6" i="188" a="1"/>
  <c r="B6" i="188" a="1"/>
  <c r="I6" i="192" a="1"/>
  <c r="I6" i="193" a="1"/>
  <c r="I6" i="32" a="1"/>
  <c r="AF81" i="202"/>
  <c r="AZ80" i="202"/>
  <c r="AF80" i="202"/>
  <c r="AZ79" i="202"/>
  <c r="AF79" i="202"/>
  <c r="AZ78" i="202"/>
  <c r="AF78" i="202"/>
  <c r="CA77" i="202"/>
  <c r="BZ77" i="202"/>
  <c r="AZ77" i="202"/>
  <c r="AF77" i="202"/>
  <c r="CA76" i="202"/>
  <c r="BZ76" i="202"/>
  <c r="AZ76" i="202"/>
  <c r="AF76" i="202"/>
  <c r="CA75" i="202"/>
  <c r="BZ75" i="202"/>
  <c r="AZ75" i="202"/>
  <c r="AF75" i="202"/>
  <c r="CA74" i="202"/>
  <c r="BZ74" i="202"/>
  <c r="BR74" i="202"/>
  <c r="BQ74" i="202"/>
  <c r="AZ74" i="202"/>
  <c r="AF74" i="202"/>
  <c r="CA73" i="202"/>
  <c r="BZ73" i="202"/>
  <c r="BR73" i="202"/>
  <c r="BQ73" i="202"/>
  <c r="AZ73" i="202"/>
  <c r="AF73" i="202"/>
  <c r="CA72" i="202"/>
  <c r="BZ72" i="202"/>
  <c r="BR72" i="202"/>
  <c r="BQ72" i="202"/>
  <c r="AZ72" i="202"/>
  <c r="AF72" i="202"/>
  <c r="CA71" i="202"/>
  <c r="BZ71" i="202"/>
  <c r="BR71" i="202"/>
  <c r="BQ71" i="202"/>
  <c r="AZ71" i="202"/>
  <c r="AF71" i="202"/>
  <c r="CA70" i="202"/>
  <c r="BZ70" i="202"/>
  <c r="BR70" i="202"/>
  <c r="BQ70" i="202"/>
  <c r="AZ70" i="202"/>
  <c r="AF70" i="202"/>
  <c r="CA69" i="202"/>
  <c r="BZ69" i="202"/>
  <c r="BR69" i="202"/>
  <c r="BQ69" i="202"/>
  <c r="AZ69" i="202"/>
  <c r="AF69" i="202"/>
  <c r="CA68" i="202"/>
  <c r="BZ68" i="202"/>
  <c r="BR68" i="202"/>
  <c r="BQ68" i="202"/>
  <c r="AZ68" i="202"/>
  <c r="AF68" i="202"/>
  <c r="CA67" i="202"/>
  <c r="BZ67" i="202"/>
  <c r="BR67" i="202"/>
  <c r="BQ67" i="202"/>
  <c r="AZ67" i="202"/>
  <c r="AF67" i="202"/>
  <c r="CA66" i="202"/>
  <c r="BZ66" i="202"/>
  <c r="BR66" i="202"/>
  <c r="BQ66" i="202"/>
  <c r="AZ66" i="202"/>
  <c r="AF66" i="202"/>
  <c r="CA65" i="202"/>
  <c r="BZ65" i="202"/>
  <c r="BR65" i="202"/>
  <c r="BQ65" i="202"/>
  <c r="AZ65" i="202"/>
  <c r="AF65" i="202"/>
  <c r="CA64" i="202"/>
  <c r="BZ64" i="202"/>
  <c r="BR64" i="202"/>
  <c r="BQ64" i="202"/>
  <c r="AZ64" i="202"/>
  <c r="AF64" i="202"/>
  <c r="CA63" i="202"/>
  <c r="BZ63" i="202"/>
  <c r="BR63" i="202"/>
  <c r="BQ63" i="202"/>
  <c r="AZ63" i="202"/>
  <c r="AF63" i="202"/>
  <c r="CA62" i="202"/>
  <c r="BZ62" i="202"/>
  <c r="BR62" i="202"/>
  <c r="BQ62" i="202"/>
  <c r="AZ62" i="202"/>
  <c r="AF62" i="202"/>
  <c r="CA61" i="202"/>
  <c r="BZ61" i="202"/>
  <c r="BR61" i="202"/>
  <c r="BQ61" i="202"/>
  <c r="AZ61" i="202"/>
  <c r="AF61" i="202"/>
  <c r="CA60" i="202"/>
  <c r="BZ60" i="202"/>
  <c r="BR60" i="202"/>
  <c r="BQ60" i="202"/>
  <c r="AZ60" i="202"/>
  <c r="AF60" i="202"/>
  <c r="CA59" i="202"/>
  <c r="BZ59" i="202"/>
  <c r="BR59" i="202"/>
  <c r="BQ59" i="202"/>
  <c r="AZ59" i="202"/>
  <c r="AF59" i="202"/>
  <c r="CA58" i="202"/>
  <c r="BZ58" i="202"/>
  <c r="BR58" i="202"/>
  <c r="BQ58" i="202"/>
  <c r="AZ58" i="202"/>
  <c r="AF58" i="202"/>
  <c r="CA57" i="202"/>
  <c r="BZ57" i="202"/>
  <c r="BR57" i="202"/>
  <c r="BQ57" i="202"/>
  <c r="AZ57" i="202"/>
  <c r="AF57" i="202"/>
  <c r="CA56" i="202"/>
  <c r="BZ56" i="202"/>
  <c r="BR56" i="202"/>
  <c r="BQ56" i="202"/>
  <c r="AZ56" i="202"/>
  <c r="AF56" i="202"/>
  <c r="CA55" i="202"/>
  <c r="BZ55" i="202"/>
  <c r="BR55" i="202"/>
  <c r="BQ55" i="202"/>
  <c r="AZ55" i="202"/>
  <c r="AF55" i="202"/>
  <c r="CA54" i="202"/>
  <c r="BZ54" i="202"/>
  <c r="BR54" i="202"/>
  <c r="BQ54" i="202"/>
  <c r="AZ54" i="202"/>
  <c r="AF54" i="202"/>
  <c r="CA53" i="202"/>
  <c r="BZ53" i="202"/>
  <c r="BR53" i="202"/>
  <c r="BQ53" i="202"/>
  <c r="AZ53" i="202"/>
  <c r="AF53" i="202"/>
  <c r="CA52" i="202"/>
  <c r="BZ52" i="202"/>
  <c r="BR52" i="202"/>
  <c r="BQ52" i="202"/>
  <c r="AZ52" i="202"/>
  <c r="AF52" i="202"/>
  <c r="CA51" i="202"/>
  <c r="BZ51" i="202"/>
  <c r="BR51" i="202"/>
  <c r="BQ51" i="202"/>
  <c r="AZ51" i="202"/>
  <c r="AF51" i="202"/>
  <c r="CA50" i="202"/>
  <c r="BZ50" i="202"/>
  <c r="BR50" i="202"/>
  <c r="BQ50" i="202"/>
  <c r="AZ50" i="202"/>
  <c r="AF50" i="202"/>
  <c r="CA49" i="202"/>
  <c r="BZ49" i="202"/>
  <c r="BR49" i="202"/>
  <c r="BQ49" i="202"/>
  <c r="AZ49" i="202"/>
  <c r="AF49" i="202"/>
  <c r="CA48" i="202"/>
  <c r="BZ48" i="202"/>
  <c r="BR48" i="202"/>
  <c r="BQ48" i="202"/>
  <c r="AZ48" i="202"/>
  <c r="AF48" i="202"/>
  <c r="CA47" i="202"/>
  <c r="BZ47" i="202"/>
  <c r="BR47" i="202"/>
  <c r="BQ47" i="202"/>
  <c r="AZ47" i="202"/>
  <c r="AF47" i="202"/>
  <c r="CA46" i="202"/>
  <c r="BZ46" i="202"/>
  <c r="BR46" i="202"/>
  <c r="BQ46" i="202"/>
  <c r="AZ46" i="202"/>
  <c r="AF46" i="202"/>
  <c r="CA45" i="202"/>
  <c r="BZ45" i="202"/>
  <c r="BR45" i="202"/>
  <c r="BQ45" i="202"/>
  <c r="AZ45" i="202"/>
  <c r="AF45" i="202"/>
  <c r="CA44" i="202"/>
  <c r="BZ44" i="202"/>
  <c r="BR44" i="202"/>
  <c r="BQ44" i="202"/>
  <c r="AZ44" i="202"/>
  <c r="AF44" i="202"/>
  <c r="CA43" i="202"/>
  <c r="BZ43" i="202"/>
  <c r="BR43" i="202"/>
  <c r="BQ43" i="202"/>
  <c r="AZ43" i="202"/>
  <c r="AF43" i="202"/>
  <c r="CA42" i="202"/>
  <c r="BZ42" i="202"/>
  <c r="BR42" i="202"/>
  <c r="BQ42" i="202"/>
  <c r="AZ42" i="202"/>
  <c r="AF42" i="202"/>
  <c r="CA41" i="202"/>
  <c r="BZ41" i="202"/>
  <c r="BR41" i="202"/>
  <c r="BQ41" i="202"/>
  <c r="AZ41" i="202"/>
  <c r="AF41" i="202"/>
  <c r="CA40" i="202"/>
  <c r="BZ40" i="202"/>
  <c r="BR40" i="202"/>
  <c r="BQ40" i="202"/>
  <c r="AZ40" i="202"/>
  <c r="AF40" i="202"/>
  <c r="CA39" i="202"/>
  <c r="BZ39" i="202"/>
  <c r="BR39" i="202"/>
  <c r="BQ39" i="202"/>
  <c r="AZ39" i="202"/>
  <c r="AF39" i="202"/>
  <c r="CA38" i="202"/>
  <c r="BZ38" i="202"/>
  <c r="BR38" i="202"/>
  <c r="BQ38" i="202"/>
  <c r="AZ38" i="202"/>
  <c r="AF38" i="202"/>
  <c r="CA37" i="202"/>
  <c r="BZ37" i="202"/>
  <c r="BR37" i="202"/>
  <c r="BQ37" i="202"/>
  <c r="AZ37" i="202"/>
  <c r="AF37" i="202"/>
  <c r="CA36" i="202"/>
  <c r="BZ36" i="202"/>
  <c r="BR36" i="202"/>
  <c r="BQ36" i="202"/>
  <c r="AZ36" i="202"/>
  <c r="AF36" i="202"/>
  <c r="CA35" i="202"/>
  <c r="BZ35" i="202"/>
  <c r="BR35" i="202"/>
  <c r="BQ35" i="202"/>
  <c r="AZ35" i="202"/>
  <c r="AF35" i="202"/>
  <c r="CA34" i="202"/>
  <c r="BZ34" i="202"/>
  <c r="BR34" i="202"/>
  <c r="BQ34" i="202"/>
  <c r="AZ34" i="202"/>
  <c r="AF34" i="202"/>
  <c r="G34" i="202"/>
  <c r="E34" i="202"/>
  <c r="CA33" i="202"/>
  <c r="BZ33" i="202"/>
  <c r="BR33" i="202"/>
  <c r="BQ33" i="202"/>
  <c r="AZ33" i="202"/>
  <c r="AF33" i="202"/>
  <c r="G33" i="202"/>
  <c r="E33" i="202"/>
  <c r="CA32" i="202"/>
  <c r="BZ32" i="202"/>
  <c r="BR32" i="202"/>
  <c r="BQ32" i="202"/>
  <c r="AZ32" i="202"/>
  <c r="AF32" i="202"/>
  <c r="G32" i="202"/>
  <c r="E32" i="202"/>
  <c r="CA31" i="202"/>
  <c r="BZ31" i="202"/>
  <c r="BR31" i="202"/>
  <c r="BQ31" i="202"/>
  <c r="AZ31" i="202"/>
  <c r="AF31" i="202"/>
  <c r="G31" i="202"/>
  <c r="E31" i="202"/>
  <c r="CA30" i="202"/>
  <c r="BZ30" i="202"/>
  <c r="BR30" i="202"/>
  <c r="BQ30" i="202"/>
  <c r="AZ30" i="202"/>
  <c r="AF30" i="202"/>
  <c r="G30" i="202"/>
  <c r="E30" i="202"/>
  <c r="CA29" i="202"/>
  <c r="BZ29" i="202"/>
  <c r="BR29" i="202"/>
  <c r="BQ29" i="202"/>
  <c r="AZ29" i="202"/>
  <c r="AF29" i="202"/>
  <c r="G29" i="202"/>
  <c r="E29" i="202"/>
  <c r="CA28" i="202"/>
  <c r="BZ28" i="202"/>
  <c r="BR28" i="202"/>
  <c r="BQ28" i="202"/>
  <c r="AZ28" i="202"/>
  <c r="AF28" i="202"/>
  <c r="G28" i="202"/>
  <c r="E28" i="202"/>
  <c r="CA27" i="202"/>
  <c r="BZ27" i="202"/>
  <c r="BR27" i="202"/>
  <c r="BQ27" i="202"/>
  <c r="AZ27" i="202"/>
  <c r="AF27" i="202"/>
  <c r="G27" i="202"/>
  <c r="E27" i="202"/>
  <c r="CA26" i="202"/>
  <c r="BZ26" i="202"/>
  <c r="BR26" i="202"/>
  <c r="BQ26" i="202"/>
  <c r="AZ26" i="202"/>
  <c r="AF26" i="202"/>
  <c r="G26" i="202"/>
  <c r="E26" i="202"/>
  <c r="CA25" i="202"/>
  <c r="BZ25" i="202"/>
  <c r="BR25" i="202"/>
  <c r="BQ25" i="202"/>
  <c r="AZ25" i="202"/>
  <c r="AF25" i="202"/>
  <c r="G25" i="202"/>
  <c r="E25" i="202"/>
  <c r="CA24" i="202"/>
  <c r="BZ24" i="202"/>
  <c r="BR24" i="202"/>
  <c r="BQ24" i="202"/>
  <c r="AZ24" i="202"/>
  <c r="AF24" i="202"/>
  <c r="G24" i="202"/>
  <c r="E24" i="202"/>
  <c r="CA23" i="202"/>
  <c r="BZ23" i="202"/>
  <c r="BR23" i="202"/>
  <c r="BQ23" i="202"/>
  <c r="AZ23" i="202"/>
  <c r="AF23" i="202"/>
  <c r="G23" i="202"/>
  <c r="E23" i="202"/>
  <c r="CA22" i="202"/>
  <c r="BZ22" i="202"/>
  <c r="BR22" i="202"/>
  <c r="BQ22" i="202"/>
  <c r="AZ22" i="202"/>
  <c r="AF22" i="202"/>
  <c r="G22" i="202"/>
  <c r="E22" i="202"/>
  <c r="CA21" i="202"/>
  <c r="BZ21" i="202"/>
  <c r="BR21" i="202"/>
  <c r="BQ21" i="202"/>
  <c r="AZ21" i="202"/>
  <c r="AF21" i="202"/>
  <c r="G21" i="202"/>
  <c r="E21" i="202"/>
  <c r="CA20" i="202"/>
  <c r="BZ20" i="202"/>
  <c r="BR20" i="202"/>
  <c r="BQ20" i="202"/>
  <c r="AZ20" i="202"/>
  <c r="AF20" i="202"/>
  <c r="G20" i="202"/>
  <c r="E20" i="202"/>
  <c r="CA19" i="202"/>
  <c r="BZ19" i="202"/>
  <c r="BR19" i="202"/>
  <c r="BQ19" i="202"/>
  <c r="AZ19" i="202"/>
  <c r="AF19" i="202"/>
  <c r="G19" i="202"/>
  <c r="E19" i="202"/>
  <c r="CA18" i="202"/>
  <c r="BZ18" i="202"/>
  <c r="BR18" i="202"/>
  <c r="BQ18" i="202"/>
  <c r="AZ18" i="202"/>
  <c r="AF18" i="202"/>
  <c r="G18" i="202"/>
  <c r="E18" i="202"/>
  <c r="CA17" i="202"/>
  <c r="BZ17" i="202"/>
  <c r="BR17" i="202"/>
  <c r="BQ17" i="202"/>
  <c r="AZ17" i="202"/>
  <c r="AF17" i="202"/>
  <c r="G17" i="202"/>
  <c r="E17" i="202"/>
  <c r="BZ16" i="202"/>
  <c r="BQ16" i="202"/>
  <c r="AZ16" i="202"/>
  <c r="AF16" i="202"/>
  <c r="G16" i="202"/>
  <c r="E16" i="202"/>
  <c r="BZ15" i="202"/>
  <c r="BQ15" i="202"/>
  <c r="AZ15" i="202"/>
  <c r="AF15" i="202"/>
  <c r="G15" i="202"/>
  <c r="E15" i="202"/>
  <c r="BZ14" i="202"/>
  <c r="BQ14" i="202"/>
  <c r="AZ14" i="202"/>
  <c r="AF14" i="202"/>
  <c r="BZ13" i="202"/>
  <c r="BQ13" i="202"/>
  <c r="AZ13" i="202"/>
  <c r="AF13" i="202"/>
  <c r="BV12" i="202"/>
  <c r="BU12" i="202"/>
  <c r="C4" i="202"/>
  <c r="N3" i="202"/>
  <c r="D41" i="203"/>
  <c r="E4" i="202"/>
  <c r="D14" i="203"/>
  <c r="D32" i="204"/>
  <c r="D11" i="204"/>
  <c r="CC43" i="202"/>
  <c r="BT62" i="202"/>
  <c r="CC73" i="202"/>
  <c r="BS37" i="202"/>
  <c r="BT47" i="202"/>
  <c r="BT52" i="202"/>
  <c r="CC44" i="202"/>
  <c r="BS54" i="202"/>
  <c r="CB32" i="202"/>
  <c r="BT68" i="202"/>
  <c r="CB70" i="202"/>
  <c r="CC70" i="202"/>
  <c r="CC37" i="202"/>
  <c r="BS49" i="202"/>
  <c r="BT70" i="202"/>
  <c r="BT50" i="202"/>
  <c r="CB53" i="202"/>
  <c r="BS18" i="202"/>
  <c r="BT69" i="202"/>
  <c r="BS68" i="202"/>
  <c r="BT49" i="202"/>
  <c r="CB29" i="202"/>
  <c r="CC60" i="202"/>
  <c r="BS50" i="202"/>
  <c r="CC50" i="202"/>
  <c r="BT54" i="202"/>
  <c r="BT57" i="202"/>
  <c r="CB39" i="202"/>
  <c r="BS67" i="202"/>
  <c r="BS56" i="202"/>
  <c r="CB33" i="202"/>
  <c r="CB66" i="202"/>
  <c r="CB69" i="202"/>
  <c r="CC32" i="202"/>
  <c r="BT23" i="202"/>
  <c r="CC69" i="202"/>
  <c r="CC34" i="202"/>
  <c r="CC36" i="202"/>
  <c r="CC20" i="202"/>
  <c r="CC63" i="202"/>
  <c r="BS46" i="202"/>
  <c r="BT51" i="202"/>
  <c r="CB40" i="202"/>
  <c r="CB27" i="202"/>
  <c r="BS30" i="202"/>
  <c r="CB24" i="202"/>
  <c r="BT64" i="202"/>
  <c r="BS32" i="202"/>
  <c r="BS42" i="202"/>
  <c r="BT32" i="202"/>
  <c r="CB25" i="202"/>
  <c r="BT59" i="202"/>
  <c r="BS47" i="202"/>
  <c r="CC74" i="202"/>
  <c r="BT21" i="202"/>
  <c r="BT48" i="202"/>
  <c r="CB26" i="202"/>
  <c r="CC54" i="202"/>
  <c r="BT36" i="202"/>
  <c r="BT24" i="202"/>
  <c r="CC45" i="202"/>
  <c r="BT72" i="202"/>
  <c r="BT38" i="202"/>
  <c r="CB72" i="202"/>
  <c r="CB73" i="202"/>
  <c r="BT22" i="202"/>
  <c r="CB65" i="202"/>
  <c r="BS65" i="202"/>
  <c r="CC65" i="202"/>
  <c r="BS69" i="202"/>
  <c r="BT65" i="202"/>
  <c r="CC56" i="202"/>
  <c r="CC66" i="202"/>
  <c r="BT30" i="202"/>
  <c r="BS48" i="202"/>
  <c r="CC25" i="202"/>
  <c r="BS26" i="202"/>
  <c r="BS63" i="202"/>
  <c r="CB28" i="202"/>
  <c r="CC19" i="202"/>
  <c r="BS51" i="202"/>
  <c r="BS44" i="202"/>
  <c r="BT42" i="202"/>
  <c r="BS73" i="202"/>
  <c r="BT31" i="202"/>
  <c r="BT60" i="202"/>
  <c r="BS55" i="202"/>
  <c r="CC26" i="202"/>
  <c r="CB23" i="202"/>
  <c r="BT18" i="202"/>
  <c r="CC59" i="202"/>
  <c r="BS70" i="202"/>
  <c r="BS23" i="202"/>
  <c r="BS52" i="202"/>
  <c r="CB63" i="202"/>
  <c r="BT25" i="202"/>
  <c r="CB17" i="202"/>
  <c r="BS35" i="202"/>
  <c r="BS71" i="202"/>
  <c r="BS36" i="202"/>
  <c r="CB46" i="202"/>
  <c r="BS62" i="202"/>
  <c r="CC21" i="202"/>
  <c r="CC31" i="202"/>
  <c r="CB74" i="202"/>
  <c r="CB42" i="202"/>
  <c r="CB56" i="202"/>
  <c r="BT33" i="202"/>
  <c r="BT20" i="202"/>
  <c r="BT56" i="202"/>
  <c r="CC57" i="202"/>
  <c r="BT66" i="202"/>
  <c r="BT43" i="202"/>
  <c r="CC75" i="202"/>
  <c r="CC42" i="202"/>
  <c r="CB19" i="202"/>
  <c r="CB61" i="202"/>
  <c r="CC18" i="202"/>
  <c r="CB57" i="202"/>
  <c r="BS64" i="202"/>
  <c r="CC48" i="202"/>
  <c r="BS38" i="202"/>
  <c r="BS22" i="202"/>
  <c r="CC76" i="202"/>
  <c r="CB77" i="202"/>
  <c r="CC22" i="202"/>
  <c r="BS72" i="202"/>
  <c r="CB60" i="202"/>
  <c r="CC71" i="202"/>
  <c r="BT46" i="202"/>
  <c r="CB49" i="202"/>
  <c r="BS58" i="202"/>
  <c r="BS59" i="202"/>
  <c r="CC29" i="202"/>
  <c r="CC41" i="202"/>
  <c r="BS45" i="202"/>
  <c r="CB55" i="202"/>
  <c r="CC51" i="202"/>
  <c r="CB34" i="202"/>
  <c r="CC46" i="202"/>
  <c r="BS41" i="202"/>
  <c r="CB30" i="202"/>
  <c r="BT45" i="202"/>
  <c r="CC33" i="202"/>
  <c r="CB71" i="202"/>
  <c r="BT74" i="202"/>
  <c r="CC40" i="202"/>
  <c r="BT61" i="202"/>
  <c r="CB22" i="202"/>
  <c r="BS34" i="202"/>
  <c r="CB45" i="202"/>
  <c r="CC68" i="202"/>
  <c r="BT34" i="202"/>
  <c r="BS43" i="202"/>
  <c r="BS57" i="202"/>
  <c r="C5" i="202"/>
  <c r="CB20" i="202"/>
  <c r="BT28" i="202"/>
  <c r="BT35" i="202"/>
  <c r="BS24" i="202"/>
  <c r="BS74" i="202"/>
  <c r="CC77" i="202"/>
  <c r="BS27" i="202"/>
  <c r="CB43" i="202"/>
  <c r="BS21" i="202"/>
  <c r="BT58" i="202"/>
  <c r="CC67" i="202"/>
  <c r="CB41" i="202"/>
  <c r="BT39" i="202"/>
  <c r="BT73" i="202"/>
  <c r="BS31" i="202"/>
  <c r="CB76" i="202"/>
  <c r="CC35" i="202"/>
  <c r="CB35" i="202"/>
  <c r="CB64" i="202"/>
  <c r="CC64" i="202"/>
  <c r="CC28" i="202"/>
  <c r="CB38" i="202"/>
  <c r="BT41" i="202"/>
  <c r="CC38" i="202"/>
  <c r="BS66" i="202"/>
  <c r="BT27" i="202"/>
  <c r="CC61" i="202"/>
  <c r="BS28" i="202"/>
  <c r="CB75" i="202"/>
  <c r="CB54" i="202"/>
  <c r="BT63" i="202"/>
  <c r="CB58" i="202"/>
  <c r="CC53" i="202"/>
  <c r="CB21" i="202"/>
  <c r="BS39" i="202"/>
  <c r="CC55" i="202"/>
  <c r="CB44" i="202"/>
  <c r="BS19" i="202"/>
  <c r="CC23" i="202"/>
  <c r="BT40" i="202"/>
  <c r="CB68" i="202"/>
  <c r="CC62" i="202"/>
  <c r="CB67" i="202"/>
  <c r="CB51" i="202"/>
  <c r="CB52" i="202"/>
  <c r="CC72" i="202"/>
  <c r="BS40" i="202"/>
  <c r="CC30" i="202"/>
  <c r="CB31" i="202"/>
  <c r="CB37" i="202"/>
  <c r="CC58" i="202"/>
  <c r="BT19" i="202"/>
  <c r="BT37" i="202"/>
  <c r="CC24" i="202"/>
  <c r="BT29" i="202"/>
  <c r="BS60" i="202"/>
  <c r="CC49" i="202"/>
  <c r="BT53" i="202"/>
  <c r="BT55" i="202"/>
  <c r="CC27" i="202"/>
  <c r="CC39" i="202"/>
  <c r="BT17" i="202"/>
  <c r="BS17" i="202"/>
  <c r="CB59" i="202"/>
  <c r="CB62" i="202"/>
  <c r="CC17" i="202"/>
  <c r="CB48" i="202"/>
  <c r="CB18" i="202"/>
  <c r="BT67" i="202"/>
  <c r="BS61" i="202"/>
  <c r="BS20" i="202"/>
  <c r="BT26" i="202"/>
  <c r="BS53" i="202"/>
  <c r="BT44" i="202"/>
  <c r="CB36" i="202"/>
  <c r="BS33" i="202"/>
  <c r="CB50" i="202"/>
  <c r="CC52" i="202"/>
  <c r="CC47" i="202"/>
  <c r="BT71" i="202"/>
  <c r="BS25" i="202"/>
  <c r="CB47" i="202"/>
  <c r="BS29" i="202"/>
  <c r="A263" i="241" l="1"/>
  <c r="B264" i="241"/>
  <c r="A2644" i="242"/>
  <c r="B2645" i="242"/>
  <c r="B1484" i="242"/>
  <c r="A1483" i="242"/>
  <c r="B1679" i="242"/>
  <c r="A1679" i="242" s="1"/>
  <c r="A1678" i="242"/>
  <c r="A63" i="242"/>
  <c r="B64" i="242"/>
  <c r="A307" i="242"/>
  <c r="B308" i="242"/>
  <c r="B2069" i="242"/>
  <c r="A2068" i="242"/>
  <c r="A2482" i="242"/>
  <c r="B2483" i="242"/>
  <c r="A2292" i="242"/>
  <c r="B2293" i="242"/>
  <c r="B1798" i="242"/>
  <c r="A1797" i="242"/>
  <c r="A204" i="242"/>
  <c r="B205" i="242"/>
  <c r="B2947" i="242"/>
  <c r="A2946" i="242"/>
  <c r="A87" i="241"/>
  <c r="B88" i="241"/>
  <c r="A676" i="242"/>
  <c r="B677" i="242"/>
  <c r="A772" i="242"/>
  <c r="B773" i="242"/>
  <c r="B593" i="242"/>
  <c r="A592" i="242"/>
  <c r="A1229" i="242"/>
  <c r="B1230" i="242"/>
  <c r="A1738" i="242"/>
  <c r="B1739" i="242"/>
  <c r="A1739" i="242" s="1"/>
  <c r="B18" i="190"/>
  <c r="I27" i="188"/>
  <c r="B7" i="188"/>
  <c r="I12" i="192"/>
  <c r="I8" i="190"/>
  <c r="BV22" i="202"/>
  <c r="BU22" i="202"/>
  <c r="BU34" i="202"/>
  <c r="BV34" i="202"/>
  <c r="BV68" i="202"/>
  <c r="BU68" i="202"/>
  <c r="BU36" i="202"/>
  <c r="BV36" i="202"/>
  <c r="BU44" i="202"/>
  <c r="BV44" i="202"/>
  <c r="BV48" i="202"/>
  <c r="BU48" i="202"/>
  <c r="BU58" i="202"/>
  <c r="BV58" i="202"/>
  <c r="BU66" i="202"/>
  <c r="BV66" i="202"/>
  <c r="BV74" i="202"/>
  <c r="BU74" i="202"/>
  <c r="CE22" i="202"/>
  <c r="CD22" i="202"/>
  <c r="CD31" i="202"/>
  <c r="CE31" i="202"/>
  <c r="CD40" i="202"/>
  <c r="CE40" i="202"/>
  <c r="CE52" i="202"/>
  <c r="CD52" i="202"/>
  <c r="CD64" i="202"/>
  <c r="CE64" i="202"/>
  <c r="BU18" i="202"/>
  <c r="BV18" i="202"/>
  <c r="BV21" i="202"/>
  <c r="BU21" i="202"/>
  <c r="BU24" i="202"/>
  <c r="BV24" i="202"/>
  <c r="BU27" i="202"/>
  <c r="BV27" i="202"/>
  <c r="BU30" i="202"/>
  <c r="BV30" i="202"/>
  <c r="BU33" i="202"/>
  <c r="BV33" i="202"/>
  <c r="BU19" i="202"/>
  <c r="BV19" i="202"/>
  <c r="BV25" i="202"/>
  <c r="BU25" i="202"/>
  <c r="BU31" i="202"/>
  <c r="BV31" i="202"/>
  <c r="BV42" i="202"/>
  <c r="BU42" i="202"/>
  <c r="BU50" i="202"/>
  <c r="BV50" i="202"/>
  <c r="BV60" i="202"/>
  <c r="BU60" i="202"/>
  <c r="BU70" i="202"/>
  <c r="BV70" i="202"/>
  <c r="CD19" i="202"/>
  <c r="CE19" i="202"/>
  <c r="CD36" i="202"/>
  <c r="CE36" i="202"/>
  <c r="CE46" i="202"/>
  <c r="CD46" i="202"/>
  <c r="CD56" i="202"/>
  <c r="CE56" i="202"/>
  <c r="CD68" i="202"/>
  <c r="CE68" i="202"/>
  <c r="CD77" i="202"/>
  <c r="CE77" i="202"/>
  <c r="CD18" i="202"/>
  <c r="CE18" i="202"/>
  <c r="BV37" i="202"/>
  <c r="BU37" i="202"/>
  <c r="BV45" i="202"/>
  <c r="BU45" i="202"/>
  <c r="BV55" i="202"/>
  <c r="BU55" i="202"/>
  <c r="BU63" i="202"/>
  <c r="BV63" i="202"/>
  <c r="BU71" i="202"/>
  <c r="BV71" i="202"/>
  <c r="CD75" i="202"/>
  <c r="CE75" i="202"/>
  <c r="BU17" i="202"/>
  <c r="BV17" i="202"/>
  <c r="BV20" i="202"/>
  <c r="BU20" i="202"/>
  <c r="BU23" i="202"/>
  <c r="BV23" i="202"/>
  <c r="BU26" i="202"/>
  <c r="BV26" i="202"/>
  <c r="BU29" i="202"/>
  <c r="BV29" i="202"/>
  <c r="BU32" i="202"/>
  <c r="BV32" i="202"/>
  <c r="CD35" i="202"/>
  <c r="CE35" i="202"/>
  <c r="CD37" i="202"/>
  <c r="CE37" i="202"/>
  <c r="CE39" i="202"/>
  <c r="CD39" i="202"/>
  <c r="CE41" i="202"/>
  <c r="CD41" i="202"/>
  <c r="CE43" i="202"/>
  <c r="CD43" i="202"/>
  <c r="CD45" i="202"/>
  <c r="CE45" i="202"/>
  <c r="CE47" i="202"/>
  <c r="CD47" i="202"/>
  <c r="CD49" i="202"/>
  <c r="CE49" i="202"/>
  <c r="CE51" i="202"/>
  <c r="CD51" i="202"/>
  <c r="CD53" i="202"/>
  <c r="CE53" i="202"/>
  <c r="CD55" i="202"/>
  <c r="CE55" i="202"/>
  <c r="CD57" i="202"/>
  <c r="CE57" i="202"/>
  <c r="CE59" i="202"/>
  <c r="CD59" i="202"/>
  <c r="CE61" i="202"/>
  <c r="CD61" i="202"/>
  <c r="CD63" i="202"/>
  <c r="CE63" i="202"/>
  <c r="CD65" i="202"/>
  <c r="CE65" i="202"/>
  <c r="CD67" i="202"/>
  <c r="CE67" i="202"/>
  <c r="CE69" i="202"/>
  <c r="CD69" i="202"/>
  <c r="CD71" i="202"/>
  <c r="CE71" i="202"/>
  <c r="CD73" i="202"/>
  <c r="CE73" i="202"/>
  <c r="BV46" i="202"/>
  <c r="BU46" i="202"/>
  <c r="BV54" i="202"/>
  <c r="BU54" i="202"/>
  <c r="BV64" i="202"/>
  <c r="BU64" i="202"/>
  <c r="CE25" i="202"/>
  <c r="CD25" i="202"/>
  <c r="CD34" i="202"/>
  <c r="CE34" i="202"/>
  <c r="CE48" i="202"/>
  <c r="CD48" i="202"/>
  <c r="CE58" i="202"/>
  <c r="CD58" i="202"/>
  <c r="CD66" i="202"/>
  <c r="CE66" i="202"/>
  <c r="CE74" i="202"/>
  <c r="CD74" i="202"/>
  <c r="BV35" i="202"/>
  <c r="BU35" i="202"/>
  <c r="BU43" i="202"/>
  <c r="BV43" i="202"/>
  <c r="BV51" i="202"/>
  <c r="BU51" i="202"/>
  <c r="BU59" i="202"/>
  <c r="BV59" i="202"/>
  <c r="BV69" i="202"/>
  <c r="BU69" i="202"/>
  <c r="BU28" i="202"/>
  <c r="BV28" i="202"/>
  <c r="BU40" i="202"/>
  <c r="BV40" i="202"/>
  <c r="BV56" i="202"/>
  <c r="BU56" i="202"/>
  <c r="CE38" i="202"/>
  <c r="CD38" i="202"/>
  <c r="CD44" i="202"/>
  <c r="CE44" i="202"/>
  <c r="CE54" i="202"/>
  <c r="CD54" i="202"/>
  <c r="CE62" i="202"/>
  <c r="CD62" i="202"/>
  <c r="CD72" i="202"/>
  <c r="CE72" i="202"/>
  <c r="CE21" i="202"/>
  <c r="CD21" i="202"/>
  <c r="CE30" i="202"/>
  <c r="CD30" i="202"/>
  <c r="CD33" i="202"/>
  <c r="CE33" i="202"/>
  <c r="BU41" i="202"/>
  <c r="BV41" i="202"/>
  <c r="BV47" i="202"/>
  <c r="BU47" i="202"/>
  <c r="BU53" i="202"/>
  <c r="BV53" i="202"/>
  <c r="BV61" i="202"/>
  <c r="BU61" i="202"/>
  <c r="BV65" i="202"/>
  <c r="BU65" i="202"/>
  <c r="BV73" i="202"/>
  <c r="BU73" i="202"/>
  <c r="CE17" i="202"/>
  <c r="CD17" i="202"/>
  <c r="CE20" i="202"/>
  <c r="CD20" i="202"/>
  <c r="CD23" i="202"/>
  <c r="CE23" i="202"/>
  <c r="CD26" i="202"/>
  <c r="CE26" i="202"/>
  <c r="CE29" i="202"/>
  <c r="CD29" i="202"/>
  <c r="CE32" i="202"/>
  <c r="CD32" i="202"/>
  <c r="CD76" i="202"/>
  <c r="CE76" i="202"/>
  <c r="BU38" i="202"/>
  <c r="BV38" i="202"/>
  <c r="BV52" i="202"/>
  <c r="BU52" i="202"/>
  <c r="BU62" i="202"/>
  <c r="BV62" i="202"/>
  <c r="BU72" i="202"/>
  <c r="BV72" i="202"/>
  <c r="CD28" i="202"/>
  <c r="CE28" i="202"/>
  <c r="CD42" i="202"/>
  <c r="CE42" i="202"/>
  <c r="CE50" i="202"/>
  <c r="CD50" i="202"/>
  <c r="CD60" i="202"/>
  <c r="CE60" i="202"/>
  <c r="CD70" i="202"/>
  <c r="CE70" i="202"/>
  <c r="CE24" i="202"/>
  <c r="CD24" i="202"/>
  <c r="CE27" i="202"/>
  <c r="CD27" i="202"/>
  <c r="BV39" i="202"/>
  <c r="BU39" i="202"/>
  <c r="BU49" i="202"/>
  <c r="BV49" i="202"/>
  <c r="BU57" i="202"/>
  <c r="BV57" i="202"/>
  <c r="BV67" i="202"/>
  <c r="BU67" i="202"/>
  <c r="W26" i="4"/>
  <c r="AS20" i="43"/>
  <c r="AK23" i="43"/>
  <c r="B12" i="192"/>
  <c r="C37" i="4"/>
  <c r="T31" i="43"/>
  <c r="AK38" i="43"/>
  <c r="B27" i="192"/>
  <c r="AK48" i="43"/>
  <c r="B37" i="192"/>
  <c r="AK60" i="43"/>
  <c r="B49" i="192"/>
  <c r="AK66" i="43"/>
  <c r="B55" i="192"/>
  <c r="AK74" i="43"/>
  <c r="B63" i="192"/>
  <c r="AK81" i="43"/>
  <c r="B70" i="192"/>
  <c r="AK18" i="43"/>
  <c r="B7" i="192"/>
  <c r="AM28" i="4"/>
  <c r="AW22" i="43"/>
  <c r="A22" i="43"/>
  <c r="AG22" i="43"/>
  <c r="BA22" i="43"/>
  <c r="X22" i="43"/>
  <c r="AO22" i="43"/>
  <c r="AM34" i="4"/>
  <c r="A28" i="43"/>
  <c r="BA28" i="43"/>
  <c r="AG28" i="43"/>
  <c r="AW28" i="43"/>
  <c r="X28" i="43"/>
  <c r="AO28" i="43"/>
  <c r="AM37" i="4"/>
  <c r="AG31" i="43"/>
  <c r="X31" i="43"/>
  <c r="AO31" i="43"/>
  <c r="BA31" i="43"/>
  <c r="AW31" i="43"/>
  <c r="A31" i="43"/>
  <c r="AM40" i="4"/>
  <c r="A34" i="43"/>
  <c r="AG34" i="43"/>
  <c r="AW34" i="43"/>
  <c r="AO34" i="43"/>
  <c r="BA34" i="43"/>
  <c r="X34" i="43"/>
  <c r="AM43" i="4"/>
  <c r="X37" i="43"/>
  <c r="AG37" i="43"/>
  <c r="BA37" i="43"/>
  <c r="A37" i="43"/>
  <c r="AO37" i="43"/>
  <c r="AW37" i="43"/>
  <c r="C45" i="4"/>
  <c r="T39" i="43"/>
  <c r="C47" i="4"/>
  <c r="T41" i="43"/>
  <c r="C49" i="4"/>
  <c r="T43" i="43"/>
  <c r="C51" i="4"/>
  <c r="T45" i="43"/>
  <c r="C53" i="4"/>
  <c r="T47" i="43"/>
  <c r="C55" i="4"/>
  <c r="T49" i="43"/>
  <c r="C57" i="4"/>
  <c r="T51" i="43"/>
  <c r="C59" i="4"/>
  <c r="T53" i="43"/>
  <c r="C61" i="4"/>
  <c r="T55" i="43"/>
  <c r="C63" i="4"/>
  <c r="T57" i="43"/>
  <c r="C65" i="4"/>
  <c r="T59" i="43"/>
  <c r="C67" i="4"/>
  <c r="T61" i="43"/>
  <c r="C69" i="4"/>
  <c r="T63" i="43"/>
  <c r="C71" i="4"/>
  <c r="T65" i="43"/>
  <c r="C73" i="4"/>
  <c r="T67" i="43"/>
  <c r="C75" i="4"/>
  <c r="T69" i="43"/>
  <c r="C77" i="4"/>
  <c r="T71" i="43"/>
  <c r="C79" i="4"/>
  <c r="T73" i="43"/>
  <c r="C81" i="4"/>
  <c r="T75" i="43"/>
  <c r="C83" i="4"/>
  <c r="T77" i="43"/>
  <c r="C85" i="4"/>
  <c r="T79" i="43"/>
  <c r="C88" i="4"/>
  <c r="T82" i="43"/>
  <c r="W45" i="4"/>
  <c r="AS39" i="43"/>
  <c r="W47" i="4"/>
  <c r="AS41" i="43"/>
  <c r="W49" i="4"/>
  <c r="AS43" i="43"/>
  <c r="W51" i="4"/>
  <c r="AS45" i="43"/>
  <c r="W53" i="4"/>
  <c r="AS47" i="43"/>
  <c r="W55" i="4"/>
  <c r="AS49" i="43"/>
  <c r="W57" i="4"/>
  <c r="AS51" i="43"/>
  <c r="W59" i="4"/>
  <c r="AS53" i="43"/>
  <c r="W61" i="4"/>
  <c r="AS55" i="43"/>
  <c r="W63" i="4"/>
  <c r="AS57" i="43"/>
  <c r="W65" i="4"/>
  <c r="AS59" i="43"/>
  <c r="W67" i="4"/>
  <c r="AS61" i="43"/>
  <c r="W69" i="4"/>
  <c r="AS63" i="43"/>
  <c r="W71" i="4"/>
  <c r="AS65" i="43"/>
  <c r="W73" i="4"/>
  <c r="AS67" i="43"/>
  <c r="W75" i="4"/>
  <c r="AS69" i="43"/>
  <c r="W77" i="4"/>
  <c r="AS71" i="43"/>
  <c r="W79" i="4"/>
  <c r="AS73" i="43"/>
  <c r="W81" i="4"/>
  <c r="AS75" i="43"/>
  <c r="W83" i="4"/>
  <c r="AS77" i="43"/>
  <c r="W85" i="4"/>
  <c r="AS79" i="43"/>
  <c r="W88" i="4"/>
  <c r="AS82" i="43"/>
  <c r="I9" i="189"/>
  <c r="W87" i="4"/>
  <c r="AS81" i="43"/>
  <c r="AM24" i="4"/>
  <c r="AG18" i="43"/>
  <c r="AW18" i="43"/>
  <c r="BA18" i="43"/>
  <c r="X18" i="43"/>
  <c r="A18" i="43"/>
  <c r="AO18" i="43"/>
  <c r="AK26" i="43"/>
  <c r="B15" i="192"/>
  <c r="C40" i="4"/>
  <c r="T34" i="43"/>
  <c r="AK40" i="43"/>
  <c r="B29" i="192"/>
  <c r="AK50" i="43"/>
  <c r="B39" i="192"/>
  <c r="AK56" i="43"/>
  <c r="B45" i="192"/>
  <c r="AK62" i="43"/>
  <c r="B51" i="192"/>
  <c r="AK70" i="43"/>
  <c r="B59" i="192"/>
  <c r="AK76" i="43"/>
  <c r="B65" i="192"/>
  <c r="W37" i="4"/>
  <c r="AS31" i="43"/>
  <c r="AK22" i="43"/>
  <c r="B11" i="192"/>
  <c r="C36" i="4"/>
  <c r="T30" i="43"/>
  <c r="AK37" i="43"/>
  <c r="B26" i="192"/>
  <c r="AM51" i="4"/>
  <c r="AW45" i="43"/>
  <c r="BA45" i="43"/>
  <c r="AG45" i="43"/>
  <c r="A45" i="43"/>
  <c r="AO45" i="43"/>
  <c r="X45" i="43"/>
  <c r="AM61" i="4"/>
  <c r="A55" i="43"/>
  <c r="AW55" i="43"/>
  <c r="X55" i="43"/>
  <c r="AO55" i="43"/>
  <c r="BA55" i="43"/>
  <c r="AG55" i="43"/>
  <c r="AM69" i="4"/>
  <c r="AW63" i="43"/>
  <c r="AG63" i="43"/>
  <c r="X63" i="43"/>
  <c r="BA63" i="43"/>
  <c r="AO63" i="43"/>
  <c r="A63" i="43"/>
  <c r="AM79" i="4"/>
  <c r="BA73" i="43"/>
  <c r="AG73" i="43"/>
  <c r="AO73" i="43"/>
  <c r="A73" i="43"/>
  <c r="AW73" i="43"/>
  <c r="X73" i="43"/>
  <c r="AK79" i="43"/>
  <c r="B68" i="192"/>
  <c r="AM25" i="4"/>
  <c r="A19" i="43"/>
  <c r="X19" i="43"/>
  <c r="AW19" i="43"/>
  <c r="AO19" i="43"/>
  <c r="AG19" i="43"/>
  <c r="BA19" i="43"/>
  <c r="AK41" i="43"/>
  <c r="B30" i="192"/>
  <c r="AK49" i="43"/>
  <c r="B38" i="192"/>
  <c r="AK57" i="43"/>
  <c r="B46" i="192"/>
  <c r="AK65" i="43"/>
  <c r="B54" i="192"/>
  <c r="AK75" i="43"/>
  <c r="B64" i="192"/>
  <c r="B22" i="191"/>
  <c r="W86" i="4"/>
  <c r="AS80" i="43"/>
  <c r="W90" i="4"/>
  <c r="AS84" i="43"/>
  <c r="I57" i="191"/>
  <c r="W24" i="4"/>
  <c r="AS18" i="43"/>
  <c r="C28" i="4"/>
  <c r="T22" i="43"/>
  <c r="AK29" i="43"/>
  <c r="B18" i="192"/>
  <c r="C43" i="4"/>
  <c r="T37" i="43"/>
  <c r="AK46" i="43"/>
  <c r="B35" i="192"/>
  <c r="AK58" i="43"/>
  <c r="B47" i="192"/>
  <c r="AK68" i="43"/>
  <c r="B57" i="192"/>
  <c r="AK20" i="43"/>
  <c r="B9" i="192"/>
  <c r="AK25" i="43"/>
  <c r="B14" i="192"/>
  <c r="C39" i="4"/>
  <c r="T33" i="43"/>
  <c r="AM49" i="4"/>
  <c r="AO43" i="43"/>
  <c r="AG43" i="43"/>
  <c r="BA43" i="43"/>
  <c r="AW43" i="43"/>
  <c r="X43" i="43"/>
  <c r="A43" i="43"/>
  <c r="AM57" i="4"/>
  <c r="BA51" i="43"/>
  <c r="AO51" i="43"/>
  <c r="AW51" i="43"/>
  <c r="A51" i="43"/>
  <c r="AG51" i="43"/>
  <c r="X51" i="43"/>
  <c r="AM65" i="4"/>
  <c r="AG59" i="43"/>
  <c r="X59" i="43"/>
  <c r="A59" i="43"/>
  <c r="AO59" i="43"/>
  <c r="AW59" i="43"/>
  <c r="BA59" i="43"/>
  <c r="AM77" i="4"/>
  <c r="X71" i="43"/>
  <c r="AW71" i="43"/>
  <c r="AG71" i="43"/>
  <c r="A71" i="43"/>
  <c r="AO71" i="43"/>
  <c r="BA71" i="43"/>
  <c r="W27" i="4"/>
  <c r="AS21" i="43"/>
  <c r="AK45" i="43"/>
  <c r="B34" i="192"/>
  <c r="AK55" i="43"/>
  <c r="B44" i="192"/>
  <c r="AK63" i="43"/>
  <c r="B52" i="192"/>
  <c r="AK71" i="43"/>
  <c r="B60" i="192"/>
  <c r="AK77" i="43"/>
  <c r="B66" i="192"/>
  <c r="C90" i="4"/>
  <c r="T84" i="43"/>
  <c r="X6" i="54"/>
  <c r="X11" i="54"/>
  <c r="X16" i="54"/>
  <c r="X7" i="54"/>
  <c r="X10" i="54"/>
  <c r="X13" i="54"/>
  <c r="X15" i="54"/>
  <c r="X8" i="54"/>
  <c r="X12" i="54"/>
  <c r="X14" i="54"/>
  <c r="X5" i="54"/>
  <c r="X9" i="54"/>
  <c r="AM23" i="4"/>
  <c r="X17" i="43"/>
  <c r="AG17" i="43"/>
  <c r="A17" i="43"/>
  <c r="AO17" i="43"/>
  <c r="AW17" i="43"/>
  <c r="BA17" i="43"/>
  <c r="AK21" i="43"/>
  <c r="B10" i="192"/>
  <c r="C29" i="4"/>
  <c r="T23" i="43"/>
  <c r="AK24" i="43"/>
  <c r="B13" i="192"/>
  <c r="C32" i="4"/>
  <c r="T26" i="43"/>
  <c r="AK27" i="43"/>
  <c r="B16" i="192"/>
  <c r="C35" i="4"/>
  <c r="T29" i="43"/>
  <c r="AK30" i="43"/>
  <c r="B19" i="192"/>
  <c r="C38" i="4"/>
  <c r="T32" i="43"/>
  <c r="AK33" i="43"/>
  <c r="B22" i="192"/>
  <c r="C41" i="4"/>
  <c r="T35" i="43"/>
  <c r="AK36" i="43"/>
  <c r="B25" i="192"/>
  <c r="C44" i="4"/>
  <c r="T38" i="43"/>
  <c r="C46" i="4"/>
  <c r="T40" i="43"/>
  <c r="C48" i="4"/>
  <c r="T42" i="43"/>
  <c r="C50" i="4"/>
  <c r="T44" i="43"/>
  <c r="C52" i="4"/>
  <c r="T46" i="43"/>
  <c r="C54" i="4"/>
  <c r="T48" i="43"/>
  <c r="C56" i="4"/>
  <c r="T50" i="43"/>
  <c r="C58" i="4"/>
  <c r="T52" i="43"/>
  <c r="C60" i="4"/>
  <c r="T54" i="43"/>
  <c r="C62" i="4"/>
  <c r="T56" i="43"/>
  <c r="C64" i="4"/>
  <c r="T58" i="43"/>
  <c r="C66" i="4"/>
  <c r="T60" i="43"/>
  <c r="C68" i="4"/>
  <c r="T62" i="43"/>
  <c r="C70" i="4"/>
  <c r="T64" i="43"/>
  <c r="C72" i="4"/>
  <c r="T66" i="43"/>
  <c r="C74" i="4"/>
  <c r="T68" i="43"/>
  <c r="C76" i="4"/>
  <c r="T70" i="43"/>
  <c r="C78" i="4"/>
  <c r="T72" i="43"/>
  <c r="C80" i="4"/>
  <c r="T74" i="43"/>
  <c r="C82" i="4"/>
  <c r="T76" i="43"/>
  <c r="C84" i="4"/>
  <c r="T78" i="43"/>
  <c r="AK80" i="43"/>
  <c r="B69" i="192"/>
  <c r="C91" i="4"/>
  <c r="T85" i="43"/>
  <c r="I61" i="187"/>
  <c r="AM26" i="4"/>
  <c r="AW20" i="43"/>
  <c r="BA20" i="43"/>
  <c r="A20" i="43"/>
  <c r="AO20" i="43"/>
  <c r="AG20" i="43"/>
  <c r="X20" i="43"/>
  <c r="C34" i="4"/>
  <c r="T28" i="43"/>
  <c r="AK35" i="43"/>
  <c r="B24" i="192"/>
  <c r="AK44" i="43"/>
  <c r="B33" i="192"/>
  <c r="AK52" i="43"/>
  <c r="B41" i="192"/>
  <c r="AK64" i="43"/>
  <c r="B53" i="192"/>
  <c r="W28" i="4"/>
  <c r="AS22" i="43"/>
  <c r="W34" i="4"/>
  <c r="AS28" i="43"/>
  <c r="W40" i="4"/>
  <c r="AS34" i="43"/>
  <c r="C27" i="4"/>
  <c r="T21" i="43"/>
  <c r="C33" i="4"/>
  <c r="T27" i="43"/>
  <c r="AK31" i="43"/>
  <c r="B20" i="192"/>
  <c r="C42" i="4"/>
  <c r="T36" i="43"/>
  <c r="AM45" i="4"/>
  <c r="AG39" i="43"/>
  <c r="AO39" i="43"/>
  <c r="AW39" i="43"/>
  <c r="BA39" i="43"/>
  <c r="A39" i="43"/>
  <c r="X39" i="43"/>
  <c r="AM53" i="4"/>
  <c r="X47" i="43"/>
  <c r="AG47" i="43"/>
  <c r="AW47" i="43"/>
  <c r="A47" i="43"/>
  <c r="BA47" i="43"/>
  <c r="AO47" i="43"/>
  <c r="AM59" i="4"/>
  <c r="A53" i="43"/>
  <c r="AW53" i="43"/>
  <c r="AO53" i="43"/>
  <c r="AG53" i="43"/>
  <c r="BA53" i="43"/>
  <c r="X53" i="43"/>
  <c r="AM67" i="4"/>
  <c r="AO61" i="43"/>
  <c r="A61" i="43"/>
  <c r="BA61" i="43"/>
  <c r="AW61" i="43"/>
  <c r="AG61" i="43"/>
  <c r="X61" i="43"/>
  <c r="AM73" i="4"/>
  <c r="BA67" i="43"/>
  <c r="AG67" i="43"/>
  <c r="AW67" i="43"/>
  <c r="AO67" i="43"/>
  <c r="A67" i="43"/>
  <c r="X67" i="43"/>
  <c r="AM75" i="4"/>
  <c r="BA69" i="43"/>
  <c r="A69" i="43"/>
  <c r="AG69" i="43"/>
  <c r="AO69" i="43"/>
  <c r="AW69" i="43"/>
  <c r="X69" i="43"/>
  <c r="AM83" i="4"/>
  <c r="BA77" i="43"/>
  <c r="AW77" i="43"/>
  <c r="A77" i="43"/>
  <c r="X77" i="43"/>
  <c r="AO77" i="43"/>
  <c r="AG77" i="43"/>
  <c r="C89" i="4"/>
  <c r="T83" i="43"/>
  <c r="W33" i="4"/>
  <c r="AS27" i="43"/>
  <c r="W36" i="4"/>
  <c r="AS30" i="43"/>
  <c r="W39" i="4"/>
  <c r="AS33" i="43"/>
  <c r="W89" i="4"/>
  <c r="AS83" i="43"/>
  <c r="C23" i="4"/>
  <c r="T17" i="43"/>
  <c r="AM27" i="4"/>
  <c r="AO21" i="43"/>
  <c r="X21" i="43"/>
  <c r="BA21" i="43"/>
  <c r="AW21" i="43"/>
  <c r="AG21" i="43"/>
  <c r="A21" i="43"/>
  <c r="AM30" i="4"/>
  <c r="AW24" i="43"/>
  <c r="AG24" i="43"/>
  <c r="A24" i="43"/>
  <c r="X24" i="43"/>
  <c r="BA24" i="43"/>
  <c r="AO24" i="43"/>
  <c r="AM33" i="4"/>
  <c r="AO27" i="43"/>
  <c r="BA27" i="43"/>
  <c r="A27" i="43"/>
  <c r="AW27" i="43"/>
  <c r="AG27" i="43"/>
  <c r="X27" i="43"/>
  <c r="AM36" i="4"/>
  <c r="AO30" i="43"/>
  <c r="AW30" i="43"/>
  <c r="A30" i="43"/>
  <c r="AG30" i="43"/>
  <c r="X30" i="43"/>
  <c r="BA30" i="43"/>
  <c r="AM39" i="4"/>
  <c r="A33" i="43"/>
  <c r="AO33" i="43"/>
  <c r="AG33" i="43"/>
  <c r="AW33" i="43"/>
  <c r="X33" i="43"/>
  <c r="BA33" i="43"/>
  <c r="AK39" i="43"/>
  <c r="B28" i="192"/>
  <c r="AK47" i="43"/>
  <c r="B36" i="192"/>
  <c r="AK53" i="43"/>
  <c r="B42" i="192"/>
  <c r="AK61" i="43"/>
  <c r="B50" i="192"/>
  <c r="AK69" i="43"/>
  <c r="B58" i="192"/>
  <c r="AK73" i="43"/>
  <c r="B62" i="192"/>
  <c r="C86" i="4"/>
  <c r="T80" i="43"/>
  <c r="W23" i="4"/>
  <c r="AS17" i="43"/>
  <c r="AK19" i="43"/>
  <c r="B8" i="192"/>
  <c r="W6" i="54"/>
  <c r="W5" i="54"/>
  <c r="W13" i="54"/>
  <c r="W15" i="54"/>
  <c r="AB15" i="54" s="1"/>
  <c r="W7" i="54"/>
  <c r="W8" i="54"/>
  <c r="W11" i="54"/>
  <c r="W9" i="54"/>
  <c r="W10" i="54"/>
  <c r="W12" i="54"/>
  <c r="W14" i="54"/>
  <c r="AB14" i="54" s="1"/>
  <c r="W16" i="54"/>
  <c r="AB16" i="54" s="1"/>
  <c r="AK17" i="43"/>
  <c r="B6" i="192"/>
  <c r="W29" i="4"/>
  <c r="AS23" i="43"/>
  <c r="W32" i="4"/>
  <c r="AS26" i="43"/>
  <c r="W35" i="4"/>
  <c r="AS29" i="43"/>
  <c r="W38" i="4"/>
  <c r="AS32" i="43"/>
  <c r="W41" i="4"/>
  <c r="AS35" i="43"/>
  <c r="W44" i="4"/>
  <c r="AS38" i="43"/>
  <c r="W46" i="4"/>
  <c r="AS40" i="43"/>
  <c r="W48" i="4"/>
  <c r="AS42" i="43"/>
  <c r="W50" i="4"/>
  <c r="AS44" i="43"/>
  <c r="W52" i="4"/>
  <c r="AS46" i="43"/>
  <c r="W54" i="4"/>
  <c r="AS48" i="43"/>
  <c r="W56" i="4"/>
  <c r="AS50" i="43"/>
  <c r="W58" i="4"/>
  <c r="AS52" i="43"/>
  <c r="W60" i="4"/>
  <c r="AS54" i="43"/>
  <c r="W62" i="4"/>
  <c r="AS56" i="43"/>
  <c r="W64" i="4"/>
  <c r="AS58" i="43"/>
  <c r="W66" i="4"/>
  <c r="AS60" i="43"/>
  <c r="W68" i="4"/>
  <c r="AS62" i="43"/>
  <c r="W70" i="4"/>
  <c r="AS64" i="43"/>
  <c r="W72" i="4"/>
  <c r="AS66" i="43"/>
  <c r="W74" i="4"/>
  <c r="AS68" i="43"/>
  <c r="W76" i="4"/>
  <c r="AS70" i="43"/>
  <c r="W78" i="4"/>
  <c r="AS72" i="43"/>
  <c r="W80" i="4"/>
  <c r="AS74" i="43"/>
  <c r="W82" i="4"/>
  <c r="AS76" i="43"/>
  <c r="W84" i="4"/>
  <c r="AS78" i="43"/>
  <c r="I26" i="32"/>
  <c r="C31" i="4"/>
  <c r="T25" i="43"/>
  <c r="AK32" i="43"/>
  <c r="B21" i="192"/>
  <c r="AK42" i="43"/>
  <c r="B31" i="192"/>
  <c r="AK54" i="43"/>
  <c r="B43" i="192"/>
  <c r="AK72" i="43"/>
  <c r="B61" i="192"/>
  <c r="AK78" i="43"/>
  <c r="B67" i="192"/>
  <c r="W31" i="4"/>
  <c r="AS25" i="43"/>
  <c r="W43" i="4"/>
  <c r="AS37" i="43"/>
  <c r="AM31" i="4"/>
  <c r="A25" i="43"/>
  <c r="AW25" i="43"/>
  <c r="AG25" i="43"/>
  <c r="AO25" i="43"/>
  <c r="BA25" i="43"/>
  <c r="X25" i="43"/>
  <c r="C25" i="4"/>
  <c r="T19" i="43"/>
  <c r="C30" i="4"/>
  <c r="T24" i="43"/>
  <c r="AK28" i="43"/>
  <c r="B17" i="192"/>
  <c r="AK34" i="43"/>
  <c r="B23" i="192"/>
  <c r="AM47" i="4"/>
  <c r="BA41" i="43"/>
  <c r="AO41" i="43"/>
  <c r="AW41" i="43"/>
  <c r="A41" i="43"/>
  <c r="X41" i="43"/>
  <c r="AG41" i="43"/>
  <c r="AM55" i="4"/>
  <c r="AW49" i="43"/>
  <c r="AO49" i="43"/>
  <c r="X49" i="43"/>
  <c r="AG49" i="43"/>
  <c r="BA49" i="43"/>
  <c r="A49" i="43"/>
  <c r="AM63" i="4"/>
  <c r="X57" i="43"/>
  <c r="AG57" i="43"/>
  <c r="AO57" i="43"/>
  <c r="BA57" i="43"/>
  <c r="AW57" i="43"/>
  <c r="A57" i="43"/>
  <c r="AM71" i="4"/>
  <c r="X65" i="43"/>
  <c r="BA65" i="43"/>
  <c r="A65" i="43"/>
  <c r="AO65" i="43"/>
  <c r="AW65" i="43"/>
  <c r="AG65" i="43"/>
  <c r="AM81" i="4"/>
  <c r="AG75" i="43"/>
  <c r="A75" i="43"/>
  <c r="X75" i="43"/>
  <c r="AW75" i="43"/>
  <c r="AO75" i="43"/>
  <c r="BA75" i="43"/>
  <c r="W25" i="4"/>
  <c r="AS19" i="43"/>
  <c r="W30" i="4"/>
  <c r="AS24" i="43"/>
  <c r="W42" i="4"/>
  <c r="AS36" i="43"/>
  <c r="AM42" i="4"/>
  <c r="BA36" i="43"/>
  <c r="AG36" i="43"/>
  <c r="AW36" i="43"/>
  <c r="AO36" i="43"/>
  <c r="A36" i="43"/>
  <c r="X36" i="43"/>
  <c r="AK43" i="43"/>
  <c r="B32" i="192"/>
  <c r="AK51" i="43"/>
  <c r="B40" i="192"/>
  <c r="AK59" i="43"/>
  <c r="B48" i="192"/>
  <c r="AK67" i="43"/>
  <c r="B56" i="192"/>
  <c r="C24" i="4"/>
  <c r="T18" i="43"/>
  <c r="C26" i="4"/>
  <c r="T20" i="43"/>
  <c r="AM29" i="4"/>
  <c r="BA23" i="43"/>
  <c r="AO23" i="43"/>
  <c r="X23" i="43"/>
  <c r="AG23" i="43"/>
  <c r="AW23" i="43"/>
  <c r="A23" i="43"/>
  <c r="AM32" i="4"/>
  <c r="AW26" i="43"/>
  <c r="BA26" i="43"/>
  <c r="AG26" i="43"/>
  <c r="X26" i="43"/>
  <c r="AO26" i="43"/>
  <c r="A26" i="43"/>
  <c r="AM35" i="4"/>
  <c r="X29" i="43"/>
  <c r="AG29" i="43"/>
  <c r="AO29" i="43"/>
  <c r="BA29" i="43"/>
  <c r="A29" i="43"/>
  <c r="AW29" i="43"/>
  <c r="AM38" i="4"/>
  <c r="BA32" i="43"/>
  <c r="AG32" i="43"/>
  <c r="AW32" i="43"/>
  <c r="A32" i="43"/>
  <c r="AO32" i="43"/>
  <c r="X32" i="43"/>
  <c r="AM41" i="4"/>
  <c r="X35" i="43"/>
  <c r="BA35" i="43"/>
  <c r="AW35" i="43"/>
  <c r="AO35" i="43"/>
  <c r="A35" i="43"/>
  <c r="AG35" i="43"/>
  <c r="AM44" i="4"/>
  <c r="X38" i="43"/>
  <c r="A38" i="43"/>
  <c r="AG38" i="43"/>
  <c r="AW38" i="43"/>
  <c r="BA38" i="43"/>
  <c r="AO38" i="43"/>
  <c r="AM46" i="4"/>
  <c r="AW40" i="43"/>
  <c r="AG40" i="43"/>
  <c r="X40" i="43"/>
  <c r="BA40" i="43"/>
  <c r="A40" i="43"/>
  <c r="AO40" i="43"/>
  <c r="AM48" i="4"/>
  <c r="AG42" i="43"/>
  <c r="AW42" i="43"/>
  <c r="AO42" i="43"/>
  <c r="BA42" i="43"/>
  <c r="A42" i="43"/>
  <c r="X42" i="43"/>
  <c r="AM50" i="4"/>
  <c r="BA44" i="43"/>
  <c r="AG44" i="43"/>
  <c r="AO44" i="43"/>
  <c r="X44" i="43"/>
  <c r="AW44" i="43"/>
  <c r="A44" i="43"/>
  <c r="AM52" i="4"/>
  <c r="AO46" i="43"/>
  <c r="AG46" i="43"/>
  <c r="A46" i="43"/>
  <c r="AW46" i="43"/>
  <c r="X46" i="43"/>
  <c r="BA46" i="43"/>
  <c r="AM54" i="4"/>
  <c r="AW48" i="43"/>
  <c r="AG48" i="43"/>
  <c r="BA48" i="43"/>
  <c r="A48" i="43"/>
  <c r="X48" i="43"/>
  <c r="AO48" i="43"/>
  <c r="AM56" i="4"/>
  <c r="AG50" i="43"/>
  <c r="AW50" i="43"/>
  <c r="BA50" i="43"/>
  <c r="A50" i="43"/>
  <c r="X50" i="43"/>
  <c r="AO50" i="43"/>
  <c r="AM58" i="4"/>
  <c r="X52" i="43"/>
  <c r="AG52" i="43"/>
  <c r="A52" i="43"/>
  <c r="AO52" i="43"/>
  <c r="AW52" i="43"/>
  <c r="BA52" i="43"/>
  <c r="AM60" i="4"/>
  <c r="X54" i="43"/>
  <c r="A54" i="43"/>
  <c r="AW54" i="43"/>
  <c r="AO54" i="43"/>
  <c r="AG54" i="43"/>
  <c r="BA54" i="43"/>
  <c r="AM62" i="4"/>
  <c r="X56" i="43"/>
  <c r="AO56" i="43"/>
  <c r="AW56" i="43"/>
  <c r="AG56" i="43"/>
  <c r="A56" i="43"/>
  <c r="BA56" i="43"/>
  <c r="AM64" i="4"/>
  <c r="AG58" i="43"/>
  <c r="AO58" i="43"/>
  <c r="AW58" i="43"/>
  <c r="BA58" i="43"/>
  <c r="A58" i="43"/>
  <c r="X58" i="43"/>
  <c r="AM66" i="4"/>
  <c r="X60" i="43"/>
  <c r="AG60" i="43"/>
  <c r="BA60" i="43"/>
  <c r="AO60" i="43"/>
  <c r="A60" i="43"/>
  <c r="AW60" i="43"/>
  <c r="AM68" i="4"/>
  <c r="A62" i="43"/>
  <c r="AO62" i="43"/>
  <c r="AW62" i="43"/>
  <c r="AG62" i="43"/>
  <c r="X62" i="43"/>
  <c r="BA62" i="43"/>
  <c r="AM70" i="4"/>
  <c r="AW64" i="43"/>
  <c r="AG64" i="43"/>
  <c r="X64" i="43"/>
  <c r="A64" i="43"/>
  <c r="BA64" i="43"/>
  <c r="AO64" i="43"/>
  <c r="AM72" i="4"/>
  <c r="A66" i="43"/>
  <c r="AO66" i="43"/>
  <c r="AG66" i="43"/>
  <c r="BA66" i="43"/>
  <c r="X66" i="43"/>
  <c r="AW66" i="43"/>
  <c r="AM74" i="4"/>
  <c r="AG68" i="43"/>
  <c r="AO68" i="43"/>
  <c r="X68" i="43"/>
  <c r="A68" i="43"/>
  <c r="AW68" i="43"/>
  <c r="BA68" i="43"/>
  <c r="AM76" i="4"/>
  <c r="BA70" i="43"/>
  <c r="AG70" i="43"/>
  <c r="A70" i="43"/>
  <c r="X70" i="43"/>
  <c r="AW70" i="43"/>
  <c r="AO70" i="43"/>
  <c r="AM78" i="4"/>
  <c r="BA72" i="43"/>
  <c r="AO72" i="43"/>
  <c r="AW72" i="43"/>
  <c r="AG72" i="43"/>
  <c r="X72" i="43"/>
  <c r="A72" i="43"/>
  <c r="AM80" i="4"/>
  <c r="X74" i="43"/>
  <c r="AO74" i="43"/>
  <c r="A74" i="43"/>
  <c r="AW74" i="43"/>
  <c r="BA74" i="43"/>
  <c r="AG74" i="43"/>
  <c r="AM82" i="4"/>
  <c r="AG76" i="43"/>
  <c r="X76" i="43"/>
  <c r="AO76" i="43"/>
  <c r="AW76" i="43"/>
  <c r="A76" i="43"/>
  <c r="BA76" i="43"/>
  <c r="AM84" i="4"/>
  <c r="X78" i="43"/>
  <c r="BA78" i="43"/>
  <c r="AO78" i="43"/>
  <c r="AW78" i="43"/>
  <c r="A78" i="43"/>
  <c r="AG78" i="43"/>
  <c r="C87" i="4"/>
  <c r="T81" i="43"/>
  <c r="I10" i="193"/>
  <c r="AU27" i="4"/>
  <c r="B6" i="191"/>
  <c r="B24" i="190"/>
  <c r="B8" i="191"/>
  <c r="AU23" i="4"/>
  <c r="B62" i="191"/>
  <c r="B71" i="191"/>
  <c r="B45" i="191"/>
  <c r="B38" i="191"/>
  <c r="I7" i="190"/>
  <c r="B17" i="191"/>
  <c r="B37" i="191"/>
  <c r="I19" i="191"/>
  <c r="I41" i="191"/>
  <c r="I32" i="191"/>
  <c r="I34" i="190"/>
  <c r="B33" i="191"/>
  <c r="I18" i="191"/>
  <c r="I33" i="190"/>
  <c r="B31" i="191"/>
  <c r="I9" i="191"/>
  <c r="I8" i="191"/>
  <c r="B13" i="191"/>
  <c r="I6" i="191"/>
  <c r="B22" i="188"/>
  <c r="B63" i="191"/>
  <c r="B7" i="191"/>
  <c r="B61" i="191"/>
  <c r="B57" i="191"/>
  <c r="I46" i="191"/>
  <c r="BQ65" i="203"/>
  <c r="BF61" i="203"/>
  <c r="AU77" i="4"/>
  <c r="AU53" i="4"/>
  <c r="AU76" i="4"/>
  <c r="AU44" i="4"/>
  <c r="AP77" i="202"/>
  <c r="AQ19" i="202"/>
  <c r="AP64" i="202"/>
  <c r="AP46" i="202"/>
  <c r="AQ47" i="202"/>
  <c r="AQ30" i="202"/>
  <c r="I21" i="191"/>
  <c r="AU86" i="4"/>
  <c r="AU55" i="4"/>
  <c r="AU36" i="4"/>
  <c r="I59" i="191"/>
  <c r="AU78" i="4"/>
  <c r="AU54" i="4"/>
  <c r="AU28" i="4"/>
  <c r="B42" i="190"/>
  <c r="I56" i="191"/>
  <c r="I42" i="191"/>
  <c r="AU69" i="4"/>
  <c r="AU43" i="4"/>
  <c r="AU68" i="4"/>
  <c r="AU39" i="4"/>
  <c r="AP55" i="202"/>
  <c r="AQ14" i="202"/>
  <c r="AQ18" i="202"/>
  <c r="AQ59" i="202"/>
  <c r="AU62" i="4"/>
  <c r="AU38" i="4"/>
  <c r="AP23" i="202"/>
  <c r="I31" i="191"/>
  <c r="AU87" i="4"/>
  <c r="AU61" i="4"/>
  <c r="AU37" i="4"/>
  <c r="I9" i="192"/>
  <c r="I12" i="187"/>
  <c r="I37" i="192"/>
  <c r="I6" i="190"/>
  <c r="I36" i="192"/>
  <c r="I66" i="192"/>
  <c r="I10" i="192"/>
  <c r="I62" i="191"/>
  <c r="I30" i="191"/>
  <c r="I13" i="187"/>
  <c r="I27" i="193"/>
  <c r="I26" i="193"/>
  <c r="I45" i="193"/>
  <c r="I19" i="193"/>
  <c r="I60" i="192"/>
  <c r="I27" i="192"/>
  <c r="I70" i="190"/>
  <c r="I22" i="190"/>
  <c r="I70" i="191"/>
  <c r="I54" i="191"/>
  <c r="I40" i="191"/>
  <c r="I29" i="191"/>
  <c r="I17" i="191"/>
  <c r="I66" i="193"/>
  <c r="I51" i="193"/>
  <c r="I49" i="193"/>
  <c r="I21" i="193"/>
  <c r="I61" i="192"/>
  <c r="I35" i="192"/>
  <c r="I58" i="190"/>
  <c r="I17" i="190"/>
  <c r="I66" i="191"/>
  <c r="I50" i="191"/>
  <c r="I38" i="191"/>
  <c r="I26" i="191"/>
  <c r="I13" i="191"/>
  <c r="I59" i="193"/>
  <c r="I34" i="193"/>
  <c r="I11" i="193"/>
  <c r="I50" i="192"/>
  <c r="I13" i="192"/>
  <c r="I47" i="190"/>
  <c r="I10" i="190"/>
  <c r="I64" i="191"/>
  <c r="I49" i="191"/>
  <c r="I37" i="191"/>
  <c r="I23" i="191"/>
  <c r="I11" i="191"/>
  <c r="I50" i="193"/>
  <c r="I23" i="190"/>
  <c r="I36" i="193"/>
  <c r="I13" i="193"/>
  <c r="I59" i="192"/>
  <c r="I26" i="192"/>
  <c r="I60" i="190"/>
  <c r="I20" i="190"/>
  <c r="I67" i="191"/>
  <c r="I51" i="191"/>
  <c r="I39" i="191"/>
  <c r="I27" i="191"/>
  <c r="I15" i="191"/>
  <c r="I60" i="193"/>
  <c r="I35" i="193"/>
  <c r="I12" i="193"/>
  <c r="I52" i="192"/>
  <c r="I21" i="192"/>
  <c r="I52" i="193"/>
  <c r="I33" i="193"/>
  <c r="I45" i="192"/>
  <c r="I45" i="190"/>
  <c r="I63" i="191"/>
  <c r="I48" i="191"/>
  <c r="I33" i="191"/>
  <c r="I22" i="191"/>
  <c r="I10" i="191"/>
  <c r="B56" i="191"/>
  <c r="B24" i="191"/>
  <c r="B48" i="191"/>
  <c r="B23" i="191"/>
  <c r="B73" i="191"/>
  <c r="B47" i="191"/>
  <c r="B21" i="191"/>
  <c r="B70" i="191"/>
  <c r="B46" i="191"/>
  <c r="B72" i="189"/>
  <c r="B23" i="189"/>
  <c r="B8" i="189"/>
  <c r="B6" i="189"/>
  <c r="B65" i="188"/>
  <c r="B46" i="188"/>
  <c r="B32" i="188"/>
  <c r="B14" i="188"/>
  <c r="B56" i="189"/>
  <c r="B64" i="188"/>
  <c r="B45" i="188"/>
  <c r="B27" i="188"/>
  <c r="B13" i="188"/>
  <c r="B51" i="189"/>
  <c r="B41" i="188"/>
  <c r="B24" i="188"/>
  <c r="B9" i="188"/>
  <c r="B38" i="189"/>
  <c r="B71" i="188"/>
  <c r="B54" i="188"/>
  <c r="B35" i="188"/>
  <c r="B67" i="188"/>
  <c r="B51" i="188"/>
  <c r="B34" i="188"/>
  <c r="B19" i="188"/>
  <c r="B66" i="188"/>
  <c r="B49" i="188"/>
  <c r="B33" i="188"/>
  <c r="B17" i="188"/>
  <c r="B62" i="188"/>
  <c r="B42" i="188"/>
  <c r="B25" i="188"/>
  <c r="B10" i="188"/>
  <c r="B39" i="189"/>
  <c r="B56" i="188"/>
  <c r="B73" i="188"/>
  <c r="B55" i="188"/>
  <c r="B38" i="188"/>
  <c r="B23" i="188"/>
  <c r="B24" i="189"/>
  <c r="B6" i="193"/>
  <c r="B30" i="193"/>
  <c r="B61" i="193"/>
  <c r="B7" i="193"/>
  <c r="B31" i="193"/>
  <c r="B37" i="193"/>
  <c r="B24" i="193"/>
  <c r="B45" i="193"/>
  <c r="I51" i="32"/>
  <c r="B71" i="189"/>
  <c r="B58" i="190"/>
  <c r="B41" i="190"/>
  <c r="B47" i="193"/>
  <c r="I6" i="187"/>
  <c r="I20" i="187"/>
  <c r="I52" i="187"/>
  <c r="I36" i="187"/>
  <c r="I69" i="187"/>
  <c r="I29" i="187"/>
  <c r="I44" i="187"/>
  <c r="B46" i="193"/>
  <c r="B11" i="190"/>
  <c r="B9" i="190"/>
  <c r="B23" i="190"/>
  <c r="B34" i="190"/>
  <c r="B48" i="190"/>
  <c r="B62" i="190"/>
  <c r="B73" i="190"/>
  <c r="B7" i="190"/>
  <c r="B22" i="190"/>
  <c r="B38" i="190"/>
  <c r="B50" i="190"/>
  <c r="B65" i="190"/>
  <c r="B10" i="190"/>
  <c r="B25" i="190"/>
  <c r="B40" i="190"/>
  <c r="B55" i="190"/>
  <c r="B70" i="190"/>
  <c r="I68" i="187"/>
  <c r="B54" i="193"/>
  <c r="I11" i="190"/>
  <c r="I19" i="190"/>
  <c r="I27" i="190"/>
  <c r="I35" i="190"/>
  <c r="I43" i="190"/>
  <c r="I51" i="190"/>
  <c r="I59" i="190"/>
  <c r="I67" i="190"/>
  <c r="I9" i="190"/>
  <c r="I18" i="190"/>
  <c r="I28" i="190"/>
  <c r="I37" i="190"/>
  <c r="I46" i="190"/>
  <c r="I55" i="190"/>
  <c r="I64" i="190"/>
  <c r="I12" i="190"/>
  <c r="I21" i="190"/>
  <c r="I30" i="190"/>
  <c r="I39" i="190"/>
  <c r="I48" i="190"/>
  <c r="I57" i="190"/>
  <c r="I66" i="190"/>
  <c r="I45" i="187"/>
  <c r="B23" i="193"/>
  <c r="I13" i="32"/>
  <c r="I36" i="32"/>
  <c r="I59" i="32"/>
  <c r="I21" i="32"/>
  <c r="I45" i="32"/>
  <c r="I66" i="32"/>
  <c r="B56" i="190"/>
  <c r="B33" i="190"/>
  <c r="B16" i="190"/>
  <c r="I68" i="190"/>
  <c r="I54" i="190"/>
  <c r="I42" i="190"/>
  <c r="I31" i="190"/>
  <c r="I53" i="187"/>
  <c r="B29" i="193"/>
  <c r="I41" i="32"/>
  <c r="I12" i="32"/>
  <c r="B63" i="189"/>
  <c r="B48" i="189"/>
  <c r="B31" i="189"/>
  <c r="B15" i="189"/>
  <c r="B72" i="190"/>
  <c r="B54" i="190"/>
  <c r="B32" i="190"/>
  <c r="B15" i="190"/>
  <c r="I65" i="190"/>
  <c r="I53" i="190"/>
  <c r="I41" i="190"/>
  <c r="I29" i="190"/>
  <c r="I16" i="190"/>
  <c r="I65" i="32"/>
  <c r="I37" i="32"/>
  <c r="I11" i="32"/>
  <c r="B12" i="188"/>
  <c r="B11" i="188"/>
  <c r="B21" i="188"/>
  <c r="B30" i="188"/>
  <c r="B39" i="188"/>
  <c r="B48" i="188"/>
  <c r="B58" i="188"/>
  <c r="B70" i="188"/>
  <c r="B6" i="188"/>
  <c r="B16" i="188"/>
  <c r="B26" i="188"/>
  <c r="B37" i="188"/>
  <c r="B47" i="188"/>
  <c r="B59" i="188"/>
  <c r="B72" i="188"/>
  <c r="B8" i="188"/>
  <c r="B18" i="188"/>
  <c r="B29" i="188"/>
  <c r="B40" i="188"/>
  <c r="B50" i="188"/>
  <c r="B63" i="188"/>
  <c r="B74" i="188"/>
  <c r="B62" i="189"/>
  <c r="B47" i="189"/>
  <c r="B27" i="189"/>
  <c r="B14" i="189"/>
  <c r="B71" i="190"/>
  <c r="B49" i="190"/>
  <c r="B31" i="190"/>
  <c r="B14" i="190"/>
  <c r="I63" i="190"/>
  <c r="I52" i="190"/>
  <c r="I40" i="190"/>
  <c r="I26" i="190"/>
  <c r="I15" i="190"/>
  <c r="I37" i="187"/>
  <c r="B14" i="193"/>
  <c r="I50" i="32"/>
  <c r="I25" i="32"/>
  <c r="B67" i="189"/>
  <c r="B50" i="189"/>
  <c r="B35" i="189"/>
  <c r="I52" i="32"/>
  <c r="I27" i="32"/>
  <c r="B63" i="190"/>
  <c r="B12" i="189"/>
  <c r="B11" i="189"/>
  <c r="B22" i="189"/>
  <c r="B32" i="189"/>
  <c r="B42" i="189"/>
  <c r="B54" i="189"/>
  <c r="B64" i="189"/>
  <c r="B74" i="189"/>
  <c r="B7" i="189"/>
  <c r="B17" i="189"/>
  <c r="B30" i="189"/>
  <c r="B41" i="189"/>
  <c r="B55" i="189"/>
  <c r="B66" i="189"/>
  <c r="B9" i="189"/>
  <c r="B19" i="189"/>
  <c r="B33" i="189"/>
  <c r="B46" i="189"/>
  <c r="B57" i="189"/>
  <c r="B70" i="189"/>
  <c r="B57" i="190"/>
  <c r="B39" i="190"/>
  <c r="B17" i="190"/>
  <c r="I69" i="190"/>
  <c r="I56" i="190"/>
  <c r="I44" i="190"/>
  <c r="I32" i="190"/>
  <c r="I60" i="187"/>
  <c r="I49" i="32"/>
  <c r="I20" i="32"/>
  <c r="B65" i="189"/>
  <c r="B49" i="189"/>
  <c r="B34" i="189"/>
  <c r="B16" i="189"/>
  <c r="I61" i="32"/>
  <c r="I35" i="32"/>
  <c r="I10" i="32"/>
  <c r="B59" i="189"/>
  <c r="B43" i="189"/>
  <c r="B26" i="189"/>
  <c r="B13" i="189"/>
  <c r="B66" i="190"/>
  <c r="B47" i="190"/>
  <c r="B30" i="190"/>
  <c r="B8" i="190"/>
  <c r="I62" i="190"/>
  <c r="I50" i="190"/>
  <c r="I38" i="190"/>
  <c r="I25" i="190"/>
  <c r="I14" i="190"/>
  <c r="I28" i="187"/>
  <c r="B13" i="193"/>
  <c r="I60" i="32"/>
  <c r="I34" i="32"/>
  <c r="I9" i="32"/>
  <c r="I18" i="192"/>
  <c r="I11" i="192"/>
  <c r="I34" i="192"/>
  <c r="I51" i="192"/>
  <c r="I20" i="192"/>
  <c r="I41" i="192"/>
  <c r="I65" i="192"/>
  <c r="I25" i="192"/>
  <c r="I49" i="192"/>
  <c r="B57" i="188"/>
  <c r="B43" i="188"/>
  <c r="B31" i="188"/>
  <c r="B15" i="188"/>
  <c r="B73" i="189"/>
  <c r="B58" i="189"/>
  <c r="B40" i="189"/>
  <c r="B25" i="189"/>
  <c r="B10" i="189"/>
  <c r="B64" i="190"/>
  <c r="B46" i="190"/>
  <c r="B26" i="190"/>
  <c r="B6" i="190"/>
  <c r="I61" i="190"/>
  <c r="I49" i="190"/>
  <c r="I36" i="190"/>
  <c r="I24" i="190"/>
  <c r="I13" i="190"/>
  <c r="I21" i="187"/>
  <c r="B55" i="193"/>
  <c r="B8" i="193"/>
  <c r="CA62" i="204"/>
  <c r="BS62" i="204"/>
  <c r="BK62" i="204"/>
  <c r="BC62" i="204"/>
  <c r="AU62" i="204"/>
  <c r="AM62" i="204"/>
  <c r="AE62" i="204"/>
  <c r="W62" i="204"/>
  <c r="BW62" i="204"/>
  <c r="BN62" i="204"/>
  <c r="BE62" i="204"/>
  <c r="AV62" i="204"/>
  <c r="AL62" i="204"/>
  <c r="AC62" i="204"/>
  <c r="T62" i="204"/>
  <c r="BV62" i="204"/>
  <c r="BM62" i="204"/>
  <c r="BD62" i="204"/>
  <c r="AT62" i="204"/>
  <c r="AK62" i="204"/>
  <c r="AB62" i="204"/>
  <c r="S62" i="204"/>
  <c r="BU62" i="204"/>
  <c r="BI62" i="204"/>
  <c r="AX62" i="204"/>
  <c r="AJ62" i="204"/>
  <c r="Y62" i="204"/>
  <c r="L62" i="204"/>
  <c r="AQ70" i="69" s="1"/>
  <c r="BT62" i="204"/>
  <c r="BH62" i="204"/>
  <c r="AW62" i="204"/>
  <c r="AI62" i="204"/>
  <c r="X62" i="204"/>
  <c r="BL62" i="204"/>
  <c r="AS62" i="204"/>
  <c r="AF62" i="204"/>
  <c r="BZ62" i="204"/>
  <c r="BJ62" i="204"/>
  <c r="AR62" i="204"/>
  <c r="AD62" i="204"/>
  <c r="BP62" i="204"/>
  <c r="AQ62" i="204"/>
  <c r="V62" i="204"/>
  <c r="BO62" i="204"/>
  <c r="AP62" i="204"/>
  <c r="U62" i="204"/>
  <c r="BG62" i="204"/>
  <c r="AO62" i="204"/>
  <c r="R62" i="204"/>
  <c r="BR62" i="204"/>
  <c r="AH62" i="204"/>
  <c r="BQ62" i="204"/>
  <c r="AG62" i="204"/>
  <c r="BF62" i="204"/>
  <c r="AA62" i="204"/>
  <c r="AN62" i="204"/>
  <c r="Z62" i="204"/>
  <c r="BY62" i="204"/>
  <c r="Q62" i="204"/>
  <c r="BX62" i="204"/>
  <c r="BB62" i="204"/>
  <c r="BA62" i="204"/>
  <c r="AZ62" i="204"/>
  <c r="BT66" i="204"/>
  <c r="BL66" i="204"/>
  <c r="BD66" i="204"/>
  <c r="AV66" i="204"/>
  <c r="AN66" i="204"/>
  <c r="AF66" i="204"/>
  <c r="X66" i="204"/>
  <c r="BS66" i="204"/>
  <c r="BJ66" i="204"/>
  <c r="BA66" i="204"/>
  <c r="AR66" i="204"/>
  <c r="AI66" i="204"/>
  <c r="Z66" i="204"/>
  <c r="Q66" i="204"/>
  <c r="BW66" i="204"/>
  <c r="BM66" i="204"/>
  <c r="BB66" i="204"/>
  <c r="AQ66" i="204"/>
  <c r="AG66" i="204"/>
  <c r="V66" i="204"/>
  <c r="BV66" i="204"/>
  <c r="BK66" i="204"/>
  <c r="AZ66" i="204"/>
  <c r="AP66" i="204"/>
  <c r="AE66" i="204"/>
  <c r="U66" i="204"/>
  <c r="BY66" i="204"/>
  <c r="BI66" i="204"/>
  <c r="AW66" i="204"/>
  <c r="AJ66" i="204"/>
  <c r="T66" i="204"/>
  <c r="BX66" i="204"/>
  <c r="BH66" i="204"/>
  <c r="AU66" i="204"/>
  <c r="AH66" i="204"/>
  <c r="S66" i="204"/>
  <c r="BN66" i="204"/>
  <c r="AS66" i="204"/>
  <c r="AA66" i="204"/>
  <c r="CA66" i="204"/>
  <c r="BG66" i="204"/>
  <c r="AO66" i="204"/>
  <c r="Y66" i="204"/>
  <c r="BF66" i="204"/>
  <c r="AK66" i="204"/>
  <c r="L66" i="204"/>
  <c r="BE66" i="204"/>
  <c r="AD66" i="204"/>
  <c r="BZ66" i="204"/>
  <c r="BC66" i="204"/>
  <c r="AC66" i="204"/>
  <c r="BQ66" i="204"/>
  <c r="AB66" i="204"/>
  <c r="BP66" i="204"/>
  <c r="W66" i="204"/>
  <c r="BO66" i="204"/>
  <c r="R66" i="204"/>
  <c r="AX66" i="204"/>
  <c r="AT66" i="204"/>
  <c r="AM66" i="204"/>
  <c r="AL66" i="204"/>
  <c r="BU66" i="204"/>
  <c r="BR66" i="204"/>
  <c r="AY66" i="204"/>
  <c r="BW69" i="204"/>
  <c r="BO69" i="204"/>
  <c r="BG69" i="204"/>
  <c r="AY69" i="204"/>
  <c r="AQ69" i="204"/>
  <c r="AI69" i="204"/>
  <c r="AA69" i="204"/>
  <c r="S69" i="204"/>
  <c r="BV69" i="204"/>
  <c r="BM69" i="204"/>
  <c r="BD69" i="204"/>
  <c r="AU69" i="204"/>
  <c r="AL69" i="204"/>
  <c r="AC69" i="204"/>
  <c r="T69" i="204"/>
  <c r="BU69" i="204"/>
  <c r="BK69" i="204"/>
  <c r="BA69" i="204"/>
  <c r="AP69" i="204"/>
  <c r="AF69" i="204"/>
  <c r="V69" i="204"/>
  <c r="BT69" i="204"/>
  <c r="BJ69" i="204"/>
  <c r="AZ69" i="204"/>
  <c r="AO69" i="204"/>
  <c r="AE69" i="204"/>
  <c r="U69" i="204"/>
  <c r="BQ69" i="204"/>
  <c r="BC69" i="204"/>
  <c r="AN69" i="204"/>
  <c r="Z69" i="204"/>
  <c r="BP69" i="204"/>
  <c r="BB69" i="204"/>
  <c r="AM69" i="204"/>
  <c r="Y69" i="204"/>
  <c r="L69" i="204"/>
  <c r="BR69" i="204"/>
  <c r="AW69" i="204"/>
  <c r="AG69" i="204"/>
  <c r="BN69" i="204"/>
  <c r="AV69" i="204"/>
  <c r="AD69" i="204"/>
  <c r="BL69" i="204"/>
  <c r="AR69" i="204"/>
  <c r="Q69" i="204"/>
  <c r="BI69" i="204"/>
  <c r="AK69" i="204"/>
  <c r="BH69" i="204"/>
  <c r="AJ69" i="204"/>
  <c r="AX69" i="204"/>
  <c r="CA69" i="204"/>
  <c r="AT69" i="204"/>
  <c r="BZ69" i="204"/>
  <c r="AS69" i="204"/>
  <c r="BS69" i="204"/>
  <c r="BF69" i="204"/>
  <c r="BE69" i="204"/>
  <c r="AH69" i="204"/>
  <c r="AB69" i="204"/>
  <c r="X69" i="204"/>
  <c r="BY69" i="204"/>
  <c r="W69" i="204"/>
  <c r="BX69" i="204"/>
  <c r="R69" i="204"/>
  <c r="I9" i="193"/>
  <c r="I25" i="193"/>
  <c r="I41" i="193"/>
  <c r="I61" i="193"/>
  <c r="BY63" i="204"/>
  <c r="BQ63" i="204"/>
  <c r="BI63" i="204"/>
  <c r="BV63" i="204"/>
  <c r="BM63" i="204"/>
  <c r="BD63" i="204"/>
  <c r="AV63" i="204"/>
  <c r="AN63" i="204"/>
  <c r="AF63" i="204"/>
  <c r="X63" i="204"/>
  <c r="BR63" i="204"/>
  <c r="BG63" i="204"/>
  <c r="AX63" i="204"/>
  <c r="AO63" i="204"/>
  <c r="AE63" i="204"/>
  <c r="V63" i="204"/>
  <c r="L63" i="204"/>
  <c r="AQ71" i="69" s="1"/>
  <c r="CA63" i="204"/>
  <c r="BP63" i="204"/>
  <c r="BF63" i="204"/>
  <c r="AW63" i="204"/>
  <c r="AM63" i="204"/>
  <c r="AD63" i="204"/>
  <c r="U63" i="204"/>
  <c r="BX63" i="204"/>
  <c r="BK63" i="204"/>
  <c r="AY63" i="204"/>
  <c r="AK63" i="204"/>
  <c r="Z63" i="204"/>
  <c r="BW63" i="204"/>
  <c r="BJ63" i="204"/>
  <c r="AU63" i="204"/>
  <c r="AJ63" i="204"/>
  <c r="Y63" i="204"/>
  <c r="BT63" i="204"/>
  <c r="BB63" i="204"/>
  <c r="AL63" i="204"/>
  <c r="T63" i="204"/>
  <c r="BS63" i="204"/>
  <c r="BA63" i="204"/>
  <c r="AI63" i="204"/>
  <c r="S63" i="204"/>
  <c r="BC63" i="204"/>
  <c r="AG63" i="204"/>
  <c r="BZ63" i="204"/>
  <c r="AZ63" i="204"/>
  <c r="AC63" i="204"/>
  <c r="BU63" i="204"/>
  <c r="AT63" i="204"/>
  <c r="AB63" i="204"/>
  <c r="AS63" i="204"/>
  <c r="Q63" i="204"/>
  <c r="AR63" i="204"/>
  <c r="AQ63" i="204"/>
  <c r="BE63" i="204"/>
  <c r="AP63" i="204"/>
  <c r="AH63" i="204"/>
  <c r="AA63" i="204"/>
  <c r="BO63" i="204"/>
  <c r="W63" i="204"/>
  <c r="BN63" i="204"/>
  <c r="R63" i="204"/>
  <c r="BL63" i="204"/>
  <c r="BH63" i="204"/>
  <c r="I65" i="193"/>
  <c r="I37" i="193"/>
  <c r="I20" i="193"/>
  <c r="I12" i="191"/>
  <c r="I7" i="191"/>
  <c r="I16" i="191"/>
  <c r="I25" i="191"/>
  <c r="I34" i="191"/>
  <c r="I43" i="191"/>
  <c r="I55" i="191"/>
  <c r="I65" i="191"/>
  <c r="I14" i="191"/>
  <c r="I24" i="191"/>
  <c r="I35" i="191"/>
  <c r="I47" i="191"/>
  <c r="I58" i="191"/>
  <c r="B9" i="191"/>
  <c r="B32" i="191"/>
  <c r="B49" i="191"/>
  <c r="B72" i="191"/>
  <c r="AU75" i="4"/>
  <c r="AU52" i="4"/>
  <c r="AU29" i="4"/>
  <c r="AU47" i="4"/>
  <c r="AU63" i="4"/>
  <c r="AU79" i="4"/>
  <c r="AU30" i="4"/>
  <c r="AU51" i="4"/>
  <c r="AU67" i="4"/>
  <c r="AU83" i="4"/>
  <c r="AQ31" i="202"/>
  <c r="AQ49" i="202"/>
  <c r="L3" i="70"/>
  <c r="AP18" i="202"/>
  <c r="I33" i="188"/>
  <c r="I58" i="189"/>
  <c r="AP14" i="202"/>
  <c r="I59" i="188"/>
  <c r="I45" i="188"/>
  <c r="I34" i="188"/>
  <c r="I20" i="188"/>
  <c r="I9" i="188"/>
  <c r="I59" i="189"/>
  <c r="I45" i="189"/>
  <c r="I34" i="189"/>
  <c r="I20" i="189"/>
  <c r="BX64" i="203"/>
  <c r="BP64" i="203"/>
  <c r="BH64" i="203"/>
  <c r="AZ64" i="203"/>
  <c r="AR64" i="203"/>
  <c r="AJ64" i="203"/>
  <c r="AB64" i="203"/>
  <c r="T64" i="203"/>
  <c r="J64" i="203"/>
  <c r="BV64" i="203"/>
  <c r="BM64" i="203"/>
  <c r="BD64" i="203"/>
  <c r="AU64" i="203"/>
  <c r="AL64" i="203"/>
  <c r="AC64" i="203"/>
  <c r="S64" i="203"/>
  <c r="CA64" i="203"/>
  <c r="BQ64" i="203"/>
  <c r="BF64" i="203"/>
  <c r="AV64" i="203"/>
  <c r="AK64" i="203"/>
  <c r="Z64" i="203"/>
  <c r="BZ64" i="203"/>
  <c r="BN64" i="203"/>
  <c r="BB64" i="203"/>
  <c r="AP64" i="203"/>
  <c r="AE64" i="203"/>
  <c r="R64" i="203"/>
  <c r="BY64" i="203"/>
  <c r="BL64" i="203"/>
  <c r="BA64" i="203"/>
  <c r="AO64" i="203"/>
  <c r="AD64" i="203"/>
  <c r="Q64" i="203"/>
  <c r="BU64" i="203"/>
  <c r="BG64" i="203"/>
  <c r="AQ64" i="203"/>
  <c r="Y64" i="203"/>
  <c r="H64" i="203"/>
  <c r="BT64" i="203"/>
  <c r="BE64" i="203"/>
  <c r="AN64" i="203"/>
  <c r="X64" i="203"/>
  <c r="BS64" i="203"/>
  <c r="BC64" i="203"/>
  <c r="AM64" i="203"/>
  <c r="W64" i="203"/>
  <c r="AX64" i="203"/>
  <c r="AA64" i="203"/>
  <c r="BW64" i="203"/>
  <c r="AW64" i="203"/>
  <c r="V64" i="203"/>
  <c r="BJ64" i="203"/>
  <c r="AF64" i="203"/>
  <c r="BI64" i="203"/>
  <c r="U64" i="203"/>
  <c r="AH64" i="203"/>
  <c r="BR64" i="203"/>
  <c r="AG64" i="203"/>
  <c r="BO64" i="203"/>
  <c r="BK64" i="203"/>
  <c r="AT64" i="203"/>
  <c r="AS64" i="203"/>
  <c r="AI64" i="203"/>
  <c r="L64" i="203"/>
  <c r="AY64" i="203"/>
  <c r="I6" i="189"/>
  <c r="I14" i="189"/>
  <c r="I22" i="189"/>
  <c r="I30" i="189"/>
  <c r="I38" i="189"/>
  <c r="I46" i="189"/>
  <c r="I54" i="189"/>
  <c r="I62" i="189"/>
  <c r="I70" i="189"/>
  <c r="I7" i="189"/>
  <c r="I15" i="189"/>
  <c r="I23" i="189"/>
  <c r="I31" i="189"/>
  <c r="I39" i="189"/>
  <c r="I47" i="189"/>
  <c r="I55" i="189"/>
  <c r="I63" i="189"/>
  <c r="I8" i="189"/>
  <c r="I16" i="189"/>
  <c r="I24" i="189"/>
  <c r="I32" i="189"/>
  <c r="I40" i="189"/>
  <c r="I48" i="189"/>
  <c r="I56" i="189"/>
  <c r="I64" i="189"/>
  <c r="BY65" i="203"/>
  <c r="AS65" i="203"/>
  <c r="U65" i="203"/>
  <c r="L65" i="203"/>
  <c r="AW65" i="203"/>
  <c r="AN65" i="203"/>
  <c r="AE65" i="203"/>
  <c r="V65" i="203"/>
  <c r="AB65" i="203"/>
  <c r="R65" i="203"/>
  <c r="CA65" i="203"/>
  <c r="BN65" i="203"/>
  <c r="S65" i="203"/>
  <c r="BZ65" i="203"/>
  <c r="AP65" i="203"/>
  <c r="AY65" i="203"/>
  <c r="AI65" i="203"/>
  <c r="T65" i="203"/>
  <c r="BL65" i="203"/>
  <c r="AV65" i="203"/>
  <c r="AA65" i="203"/>
  <c r="BW65" i="203"/>
  <c r="BD65" i="203"/>
  <c r="AT65" i="203"/>
  <c r="AR65" i="203"/>
  <c r="AO65" i="203"/>
  <c r="BG65" i="203"/>
  <c r="Y65" i="203"/>
  <c r="X65" i="203"/>
  <c r="H65" i="203"/>
  <c r="BT65" i="203"/>
  <c r="I58" i="188"/>
  <c r="I68" i="188"/>
  <c r="I57" i="188"/>
  <c r="I43" i="188"/>
  <c r="I29" i="188"/>
  <c r="I18" i="188"/>
  <c r="I68" i="189"/>
  <c r="I57" i="189"/>
  <c r="I43" i="189"/>
  <c r="I29" i="189"/>
  <c r="I18" i="189"/>
  <c r="I53" i="188"/>
  <c r="I44" i="189"/>
  <c r="I69" i="188"/>
  <c r="I19" i="188"/>
  <c r="I19" i="189"/>
  <c r="I42" i="188"/>
  <c r="I67" i="189"/>
  <c r="I42" i="189"/>
  <c r="I17" i="189"/>
  <c r="I52" i="188"/>
  <c r="I41" i="188"/>
  <c r="I66" i="189"/>
  <c r="I52" i="189"/>
  <c r="I27" i="189"/>
  <c r="I13" i="189"/>
  <c r="I6" i="193"/>
  <c r="I14" i="193"/>
  <c r="I22" i="193"/>
  <c r="I30" i="193"/>
  <c r="I38" i="193"/>
  <c r="I46" i="193"/>
  <c r="I54" i="193"/>
  <c r="I62" i="193"/>
  <c r="I7" i="193"/>
  <c r="I15" i="193"/>
  <c r="I23" i="193"/>
  <c r="I31" i="193"/>
  <c r="I39" i="193"/>
  <c r="I47" i="193"/>
  <c r="I55" i="193"/>
  <c r="I63" i="193"/>
  <c r="I8" i="193"/>
  <c r="I16" i="193"/>
  <c r="I24" i="193"/>
  <c r="I32" i="193"/>
  <c r="I40" i="193"/>
  <c r="I48" i="193"/>
  <c r="I56" i="193"/>
  <c r="I64" i="193"/>
  <c r="I58" i="192"/>
  <c r="I44" i="192"/>
  <c r="I33" i="192"/>
  <c r="I19" i="192"/>
  <c r="I6" i="188"/>
  <c r="I14" i="188"/>
  <c r="I22" i="188"/>
  <c r="I30" i="188"/>
  <c r="I38" i="188"/>
  <c r="I46" i="188"/>
  <c r="I54" i="188"/>
  <c r="I62" i="188"/>
  <c r="I70" i="188"/>
  <c r="I7" i="188"/>
  <c r="I15" i="188"/>
  <c r="I23" i="188"/>
  <c r="I31" i="188"/>
  <c r="I39" i="188"/>
  <c r="I47" i="188"/>
  <c r="I55" i="188"/>
  <c r="I63" i="188"/>
  <c r="I8" i="188"/>
  <c r="I16" i="188"/>
  <c r="I24" i="188"/>
  <c r="I32" i="188"/>
  <c r="I40" i="188"/>
  <c r="I48" i="188"/>
  <c r="I56" i="188"/>
  <c r="I64" i="188"/>
  <c r="I33" i="189"/>
  <c r="I67" i="188"/>
  <c r="I17" i="188"/>
  <c r="I53" i="189"/>
  <c r="I28" i="189"/>
  <c r="I6" i="32"/>
  <c r="I14" i="32"/>
  <c r="I22" i="32"/>
  <c r="I30" i="32"/>
  <c r="I38" i="32"/>
  <c r="I46" i="32"/>
  <c r="I54" i="32"/>
  <c r="I62" i="32"/>
  <c r="I70" i="32"/>
  <c r="I7" i="32"/>
  <c r="I15" i="32"/>
  <c r="I23" i="32"/>
  <c r="I31" i="32"/>
  <c r="I39" i="32"/>
  <c r="I47" i="32"/>
  <c r="I55" i="32"/>
  <c r="I63" i="32"/>
  <c r="I8" i="32"/>
  <c r="I16" i="32"/>
  <c r="I24" i="32"/>
  <c r="I32" i="32"/>
  <c r="I40" i="32"/>
  <c r="I48" i="32"/>
  <c r="I56" i="32"/>
  <c r="I64" i="32"/>
  <c r="I58" i="193"/>
  <c r="I44" i="193"/>
  <c r="B10" i="191"/>
  <c r="B18" i="191"/>
  <c r="B26" i="191"/>
  <c r="B34" i="191"/>
  <c r="B42" i="191"/>
  <c r="B50" i="191"/>
  <c r="B58" i="191"/>
  <c r="B66" i="191"/>
  <c r="B11" i="191"/>
  <c r="B19" i="191"/>
  <c r="B27" i="191"/>
  <c r="B35" i="191"/>
  <c r="B43" i="191"/>
  <c r="B51" i="191"/>
  <c r="B59" i="191"/>
  <c r="B67" i="191"/>
  <c r="B12" i="191"/>
  <c r="B20" i="191"/>
  <c r="B28" i="191"/>
  <c r="B36" i="191"/>
  <c r="B44" i="191"/>
  <c r="B52" i="191"/>
  <c r="B60" i="191"/>
  <c r="B68" i="191"/>
  <c r="AQ76" i="202"/>
  <c r="AP72" i="202"/>
  <c r="AP63" i="202"/>
  <c r="AQ54" i="202"/>
  <c r="AQ45" i="202"/>
  <c r="AP26" i="202"/>
  <c r="AQ17" i="202"/>
  <c r="AP71" i="202"/>
  <c r="AQ62" i="202"/>
  <c r="AQ53" i="202"/>
  <c r="AQ43" i="202"/>
  <c r="AQ34" i="202"/>
  <c r="AQ70" i="202"/>
  <c r="AP61" i="202"/>
  <c r="AP42" i="202"/>
  <c r="AQ24" i="202"/>
  <c r="AQ15" i="202"/>
  <c r="AQ40" i="202"/>
  <c r="AP56" i="202"/>
  <c r="AP69" i="202"/>
  <c r="I68" i="32"/>
  <c r="I57" i="32"/>
  <c r="I43" i="32"/>
  <c r="I29" i="32"/>
  <c r="I18" i="32"/>
  <c r="I68" i="193"/>
  <c r="I57" i="193"/>
  <c r="I43" i="193"/>
  <c r="I29" i="193"/>
  <c r="I18" i="193"/>
  <c r="I68" i="192"/>
  <c r="I57" i="192"/>
  <c r="I43" i="192"/>
  <c r="I29" i="192"/>
  <c r="I61" i="188"/>
  <c r="I50" i="188"/>
  <c r="I36" i="188"/>
  <c r="I25" i="188"/>
  <c r="I11" i="188"/>
  <c r="I61" i="189"/>
  <c r="I50" i="189"/>
  <c r="I36" i="189"/>
  <c r="I25" i="189"/>
  <c r="I11" i="189"/>
  <c r="B65" i="191"/>
  <c r="B54" i="191"/>
  <c r="B40" i="191"/>
  <c r="B29" i="191"/>
  <c r="B15" i="191"/>
  <c r="I44" i="188"/>
  <c r="I69" i="189"/>
  <c r="I28" i="188"/>
  <c r="I66" i="188"/>
  <c r="I13" i="188"/>
  <c r="I41" i="189"/>
  <c r="I69" i="32"/>
  <c r="I58" i="32"/>
  <c r="I44" i="32"/>
  <c r="I33" i="32"/>
  <c r="I19" i="32"/>
  <c r="I6" i="192"/>
  <c r="I14" i="192"/>
  <c r="I22" i="192"/>
  <c r="I30" i="192"/>
  <c r="I38" i="192"/>
  <c r="I46" i="192"/>
  <c r="I54" i="192"/>
  <c r="I62" i="192"/>
  <c r="I7" i="192"/>
  <c r="I15" i="192"/>
  <c r="I23" i="192"/>
  <c r="I31" i="192"/>
  <c r="I39" i="192"/>
  <c r="I47" i="192"/>
  <c r="I55" i="192"/>
  <c r="I63" i="192"/>
  <c r="I8" i="192"/>
  <c r="I16" i="192"/>
  <c r="I24" i="192"/>
  <c r="I32" i="192"/>
  <c r="I40" i="192"/>
  <c r="I48" i="192"/>
  <c r="I56" i="192"/>
  <c r="I64" i="192"/>
  <c r="I65" i="188"/>
  <c r="I51" i="188"/>
  <c r="I37" i="188"/>
  <c r="I26" i="188"/>
  <c r="I12" i="188"/>
  <c r="I65" i="189"/>
  <c r="I51" i="189"/>
  <c r="I37" i="189"/>
  <c r="I26" i="189"/>
  <c r="I12" i="189"/>
  <c r="B69" i="191"/>
  <c r="B55" i="191"/>
  <c r="B41" i="191"/>
  <c r="B30" i="191"/>
  <c r="B16" i="191"/>
  <c r="AQ13" i="202"/>
  <c r="AP29" i="202"/>
  <c r="AQ57" i="202"/>
  <c r="AQ73" i="202"/>
  <c r="I67" i="32"/>
  <c r="I53" i="32"/>
  <c r="I42" i="32"/>
  <c r="I28" i="32"/>
  <c r="I17" i="32"/>
  <c r="I67" i="193"/>
  <c r="I53" i="193"/>
  <c r="I42" i="193"/>
  <c r="I28" i="193"/>
  <c r="I17" i="193"/>
  <c r="I67" i="192"/>
  <c r="I53" i="192"/>
  <c r="I42" i="192"/>
  <c r="I28" i="192"/>
  <c r="I17" i="192"/>
  <c r="I60" i="188"/>
  <c r="I49" i="188"/>
  <c r="I35" i="188"/>
  <c r="I21" i="188"/>
  <c r="I10" i="188"/>
  <c r="I60" i="189"/>
  <c r="I49" i="189"/>
  <c r="I35" i="189"/>
  <c r="I21" i="189"/>
  <c r="I10" i="189"/>
  <c r="B64" i="191"/>
  <c r="B53" i="191"/>
  <c r="B39" i="191"/>
  <c r="B25" i="191"/>
  <c r="B14" i="191"/>
  <c r="BV61" i="203"/>
  <c r="BU61" i="203"/>
  <c r="BK61" i="203"/>
  <c r="AR61" i="203"/>
  <c r="T61" i="203"/>
  <c r="W61" i="203"/>
  <c r="BG61" i="203"/>
  <c r="AU61" i="203"/>
  <c r="B21" i="193"/>
  <c r="B38" i="193"/>
  <c r="B56" i="193"/>
  <c r="AU24" i="4"/>
  <c r="AU32" i="4"/>
  <c r="AU40" i="4"/>
  <c r="AU48" i="4"/>
  <c r="AU56" i="4"/>
  <c r="AU64" i="4"/>
  <c r="AU72" i="4"/>
  <c r="AU80" i="4"/>
  <c r="AU25" i="4"/>
  <c r="AU33" i="4"/>
  <c r="AU41" i="4"/>
  <c r="AU49" i="4"/>
  <c r="AU57" i="4"/>
  <c r="AU65" i="4"/>
  <c r="AU73" i="4"/>
  <c r="AU81" i="4"/>
  <c r="AU26" i="4"/>
  <c r="AU34" i="4"/>
  <c r="AU42" i="4"/>
  <c r="AU50" i="4"/>
  <c r="AU58" i="4"/>
  <c r="AU66" i="4"/>
  <c r="AU74" i="4"/>
  <c r="AU82" i="4"/>
  <c r="B69" i="190"/>
  <c r="B61" i="190"/>
  <c r="B53" i="190"/>
  <c r="B45" i="190"/>
  <c r="B37" i="190"/>
  <c r="B29" i="190"/>
  <c r="B21" i="190"/>
  <c r="B13" i="190"/>
  <c r="B69" i="189"/>
  <c r="B61" i="189"/>
  <c r="B53" i="189"/>
  <c r="B45" i="189"/>
  <c r="B37" i="189"/>
  <c r="B29" i="189"/>
  <c r="B21" i="189"/>
  <c r="B63" i="193"/>
  <c r="B40" i="193"/>
  <c r="B22" i="193"/>
  <c r="AU85" i="4"/>
  <c r="AU71" i="4"/>
  <c r="AU60" i="4"/>
  <c r="AU46" i="4"/>
  <c r="AU35" i="4"/>
  <c r="B69" i="188"/>
  <c r="B61" i="188"/>
  <c r="B53" i="188"/>
  <c r="B68" i="190"/>
  <c r="B60" i="190"/>
  <c r="B52" i="190"/>
  <c r="B44" i="190"/>
  <c r="B36" i="190"/>
  <c r="B28" i="190"/>
  <c r="B20" i="190"/>
  <c r="B12" i="190"/>
  <c r="I69" i="191"/>
  <c r="I61" i="191"/>
  <c r="I53" i="191"/>
  <c r="I45" i="191"/>
  <c r="B68" i="188"/>
  <c r="B60" i="188"/>
  <c r="B52" i="188"/>
  <c r="B44" i="188"/>
  <c r="B36" i="188"/>
  <c r="B28" i="188"/>
  <c r="B20" i="188"/>
  <c r="B68" i="189"/>
  <c r="B60" i="189"/>
  <c r="B52" i="189"/>
  <c r="B44" i="189"/>
  <c r="B36" i="189"/>
  <c r="B28" i="189"/>
  <c r="B20" i="189"/>
  <c r="B67" i="190"/>
  <c r="B59" i="190"/>
  <c r="B51" i="190"/>
  <c r="B43" i="190"/>
  <c r="B35" i="190"/>
  <c r="B27" i="190"/>
  <c r="B19" i="190"/>
  <c r="I68" i="191"/>
  <c r="I60" i="191"/>
  <c r="I52" i="191"/>
  <c r="I44" i="191"/>
  <c r="I36" i="191"/>
  <c r="I28" i="191"/>
  <c r="I20" i="191"/>
  <c r="B62" i="193"/>
  <c r="B39" i="193"/>
  <c r="B15" i="193"/>
  <c r="AU84" i="4"/>
  <c r="AU70" i="4"/>
  <c r="AU59" i="4"/>
  <c r="AU45" i="4"/>
  <c r="AU31" i="4"/>
  <c r="B9" i="193"/>
  <c r="B17" i="193"/>
  <c r="B25" i="193"/>
  <c r="B33" i="193"/>
  <c r="B41" i="193"/>
  <c r="B49" i="193"/>
  <c r="B57" i="193"/>
  <c r="B65" i="193"/>
  <c r="B20" i="193"/>
  <c r="B10" i="193"/>
  <c r="B18" i="193"/>
  <c r="B26" i="193"/>
  <c r="B34" i="193"/>
  <c r="B42" i="193"/>
  <c r="B50" i="193"/>
  <c r="B58" i="193"/>
  <c r="B66" i="193"/>
  <c r="B11" i="193"/>
  <c r="B19" i="193"/>
  <c r="B27" i="193"/>
  <c r="B35" i="193"/>
  <c r="B43" i="193"/>
  <c r="B51" i="193"/>
  <c r="B59" i="193"/>
  <c r="B67" i="193"/>
  <c r="B12" i="193"/>
  <c r="B28" i="193"/>
  <c r="B36" i="193"/>
  <c r="B44" i="193"/>
  <c r="B52" i="193"/>
  <c r="B60" i="193"/>
  <c r="B68" i="193"/>
  <c r="B53" i="193"/>
  <c r="B64" i="193"/>
  <c r="B48" i="193"/>
  <c r="B32" i="193"/>
  <c r="B16" i="193"/>
  <c r="I67" i="187"/>
  <c r="I59" i="187"/>
  <c r="I51" i="187"/>
  <c r="I43" i="187"/>
  <c r="I35" i="187"/>
  <c r="I27" i="187"/>
  <c r="I19" i="187"/>
  <c r="I11" i="187"/>
  <c r="I66" i="187"/>
  <c r="I58" i="187"/>
  <c r="I50" i="187"/>
  <c r="I42" i="187"/>
  <c r="I34" i="187"/>
  <c r="I26" i="187"/>
  <c r="I18" i="187"/>
  <c r="I10" i="187"/>
  <c r="I65" i="187"/>
  <c r="I57" i="187"/>
  <c r="I49" i="187"/>
  <c r="I41" i="187"/>
  <c r="I33" i="187"/>
  <c r="I25" i="187"/>
  <c r="I17" i="187"/>
  <c r="I9" i="187"/>
  <c r="I64" i="187"/>
  <c r="I56" i="187"/>
  <c r="I48" i="187"/>
  <c r="I40" i="187"/>
  <c r="I32" i="187"/>
  <c r="I24" i="187"/>
  <c r="I16" i="187"/>
  <c r="I8" i="187"/>
  <c r="I63" i="187"/>
  <c r="I55" i="187"/>
  <c r="I47" i="187"/>
  <c r="I39" i="187"/>
  <c r="I31" i="187"/>
  <c r="I23" i="187"/>
  <c r="I15" i="187"/>
  <c r="I7" i="187"/>
  <c r="I70" i="187"/>
  <c r="I62" i="187"/>
  <c r="I54" i="187"/>
  <c r="I46" i="187"/>
  <c r="I38" i="187"/>
  <c r="I30" i="187"/>
  <c r="I22" i="187"/>
  <c r="I14" i="187"/>
  <c r="C39" i="202"/>
  <c r="H25" i="202"/>
  <c r="I25" i="202" s="1"/>
  <c r="H23" i="202"/>
  <c r="I23" i="202" s="1"/>
  <c r="H21" i="202"/>
  <c r="I21" i="202" s="1"/>
  <c r="H27" i="202"/>
  <c r="I27" i="202" s="1"/>
  <c r="H24" i="202"/>
  <c r="I24" i="202" s="1"/>
  <c r="L4" i="202"/>
  <c r="L4" i="70" s="1"/>
  <c r="M3" i="202"/>
  <c r="H22" i="202"/>
  <c r="I22" i="202" s="1"/>
  <c r="H32" i="202"/>
  <c r="I32" i="202" s="1"/>
  <c r="H17" i="202"/>
  <c r="I17" i="202" s="1"/>
  <c r="H29" i="202"/>
  <c r="I29" i="202" s="1"/>
  <c r="H30" i="202"/>
  <c r="I30" i="202" s="1"/>
  <c r="H20" i="202"/>
  <c r="I20" i="202" s="1"/>
  <c r="H15" i="202"/>
  <c r="I15" i="202" s="1"/>
  <c r="H19" i="202"/>
  <c r="I19" i="202" s="1"/>
  <c r="H16" i="202"/>
  <c r="I16" i="202" s="1"/>
  <c r="H18" i="202"/>
  <c r="I18" i="202" s="1"/>
  <c r="H28" i="202"/>
  <c r="I28" i="202" s="1"/>
  <c r="H31" i="202"/>
  <c r="I31" i="202" s="1"/>
  <c r="H34" i="202"/>
  <c r="I34" i="202" s="1"/>
  <c r="H26" i="202"/>
  <c r="I26" i="202" s="1"/>
  <c r="H33" i="202"/>
  <c r="I33" i="202" s="1"/>
  <c r="AP39" i="202"/>
  <c r="AQ39" i="202"/>
  <c r="AP48" i="202"/>
  <c r="AQ48" i="202"/>
  <c r="AQ66" i="202"/>
  <c r="AP66" i="202"/>
  <c r="AQ29" i="202"/>
  <c r="AQ38" i="202"/>
  <c r="AP38" i="202"/>
  <c r="AP47" i="202"/>
  <c r="AQ65" i="202"/>
  <c r="AP65" i="202"/>
  <c r="AQ74" i="202"/>
  <c r="AP74" i="202"/>
  <c r="AQ21" i="202"/>
  <c r="AP21" i="202"/>
  <c r="AQ22" i="202"/>
  <c r="AP22" i="202"/>
  <c r="AP31" i="202"/>
  <c r="AP40" i="202"/>
  <c r="AP49" i="202"/>
  <c r="AP58" i="202"/>
  <c r="AQ58" i="202"/>
  <c r="AQ77" i="202"/>
  <c r="AQ69" i="202"/>
  <c r="AP70" i="202"/>
  <c r="AP16" i="202"/>
  <c r="AQ71" i="202"/>
  <c r="AP17" i="202"/>
  <c r="AQ32" i="202"/>
  <c r="AP32" i="202"/>
  <c r="AQ41" i="202"/>
  <c r="AP41" i="202"/>
  <c r="AP50" i="202"/>
  <c r="AQ50" i="202"/>
  <c r="AP15" i="202"/>
  <c r="AP45" i="202"/>
  <c r="AP54" i="202"/>
  <c r="AQ23" i="202"/>
  <c r="AP33" i="202"/>
  <c r="AQ16" i="202"/>
  <c r="AQ37" i="202"/>
  <c r="AP37" i="202"/>
  <c r="AQ64" i="202"/>
  <c r="AQ33" i="202"/>
  <c r="AP59" i="202"/>
  <c r="AQ67" i="202"/>
  <c r="AP67" i="202"/>
  <c r="AQ75" i="202"/>
  <c r="AP75" i="202"/>
  <c r="AQ51" i="202"/>
  <c r="AP51" i="202"/>
  <c r="D39" i="203"/>
  <c r="AR37" i="202"/>
  <c r="N4" i="202"/>
  <c r="D21" i="203"/>
  <c r="AR22" i="202"/>
  <c r="D31" i="203"/>
  <c r="D23" i="203"/>
  <c r="D27" i="203"/>
  <c r="D31" i="204"/>
  <c r="D20" i="203"/>
  <c r="D19" i="203"/>
  <c r="D29" i="203"/>
  <c r="M21" i="202"/>
  <c r="D22" i="203"/>
  <c r="D18" i="204"/>
  <c r="M20" i="202"/>
  <c r="M18" i="202"/>
  <c r="D38" i="203"/>
  <c r="AR31" i="202"/>
  <c r="D15" i="204"/>
  <c r="D44" i="204"/>
  <c r="D30" i="203"/>
  <c r="D33" i="204"/>
  <c r="D11" i="203"/>
  <c r="D24" i="204"/>
  <c r="D45" i="203"/>
  <c r="M22" i="202"/>
  <c r="D36" i="203"/>
  <c r="D35" i="203"/>
  <c r="D15" i="203"/>
  <c r="D43" i="204"/>
  <c r="D25" i="204"/>
  <c r="D12" i="204"/>
  <c r="D42" i="203"/>
  <c r="D40" i="204"/>
  <c r="D28" i="203"/>
  <c r="D46" i="203"/>
  <c r="D34" i="203"/>
  <c r="E11" i="204"/>
  <c r="M19" i="202"/>
  <c r="D42" i="204"/>
  <c r="D44" i="203"/>
  <c r="D26" i="203"/>
  <c r="D10" i="204"/>
  <c r="E14" i="203"/>
  <c r="D43" i="203"/>
  <c r="E41" i="203"/>
  <c r="D13" i="203"/>
  <c r="AR33" i="202"/>
  <c r="D10" i="203"/>
  <c r="AR21" i="202"/>
  <c r="D37" i="203"/>
  <c r="D28" i="204"/>
  <c r="D12" i="203"/>
  <c r="D41" i="204"/>
  <c r="M17" i="202"/>
  <c r="D18" i="203"/>
  <c r="AR23" i="202"/>
  <c r="E32" i="204"/>
  <c r="D69" i="192"/>
  <c r="D70" i="192"/>
  <c r="AS21" i="202"/>
  <c r="AS22" i="202"/>
  <c r="AT31" i="202"/>
  <c r="AS31" i="202"/>
  <c r="AT33" i="202"/>
  <c r="AT21" i="202"/>
  <c r="AT22" i="202"/>
  <c r="AS23" i="202"/>
  <c r="AT23" i="202"/>
  <c r="AT37" i="202"/>
  <c r="B2948" i="242" l="1"/>
  <c r="A2947" i="242"/>
  <c r="B309" i="242"/>
  <c r="A308" i="242"/>
  <c r="A64" i="242"/>
  <c r="B65" i="242"/>
  <c r="A1484" i="242"/>
  <c r="B1485" i="242"/>
  <c r="B206" i="242"/>
  <c r="A205" i="242"/>
  <c r="B2294" i="242"/>
  <c r="A2293" i="242"/>
  <c r="B678" i="242"/>
  <c r="A677" i="242"/>
  <c r="B2484" i="242"/>
  <c r="A2483" i="242"/>
  <c r="A2645" i="242"/>
  <c r="B2646" i="242"/>
  <c r="B1799" i="242"/>
  <c r="A1798" i="242"/>
  <c r="B1231" i="242"/>
  <c r="A1230" i="242"/>
  <c r="A773" i="242"/>
  <c r="B774" i="242"/>
  <c r="A88" i="241"/>
  <c r="B89" i="241"/>
  <c r="A264" i="241"/>
  <c r="B265" i="241"/>
  <c r="A593" i="242"/>
  <c r="B594" i="242"/>
  <c r="B2070" i="242"/>
  <c r="A2069" i="242"/>
  <c r="F131" i="43"/>
  <c r="F136" i="43"/>
  <c r="F126" i="43"/>
  <c r="F121" i="43"/>
  <c r="F116" i="43"/>
  <c r="AR59" i="202"/>
  <c r="M39" i="4"/>
  <c r="AB33" i="43"/>
  <c r="M72" i="4"/>
  <c r="AB66" i="43"/>
  <c r="M26" i="4"/>
  <c r="AB20" i="43"/>
  <c r="M57" i="4"/>
  <c r="AB51" i="43"/>
  <c r="M83" i="4"/>
  <c r="AB77" i="43"/>
  <c r="M50" i="4"/>
  <c r="AB44" i="43"/>
  <c r="M25" i="4"/>
  <c r="AB19" i="43"/>
  <c r="M55" i="4"/>
  <c r="AB49" i="43"/>
  <c r="M59" i="4"/>
  <c r="AB53" i="43"/>
  <c r="M29" i="4"/>
  <c r="AB23" i="43"/>
  <c r="M48" i="4"/>
  <c r="AB42" i="43"/>
  <c r="M40" i="4"/>
  <c r="AB34" i="43"/>
  <c r="M58" i="4"/>
  <c r="AB52" i="43"/>
  <c r="M61" i="4"/>
  <c r="AB55" i="43"/>
  <c r="M31" i="4"/>
  <c r="AB25" i="43"/>
  <c r="M49" i="4"/>
  <c r="AB43" i="43"/>
  <c r="M85" i="4"/>
  <c r="AB79" i="43"/>
  <c r="M79" i="4"/>
  <c r="AB73" i="43"/>
  <c r="M84" i="4"/>
  <c r="AB78" i="43"/>
  <c r="M23" i="4"/>
  <c r="AB17" i="43"/>
  <c r="M34" i="4"/>
  <c r="AB28" i="43"/>
  <c r="M64" i="4"/>
  <c r="AB58" i="43"/>
  <c r="M41" i="4"/>
  <c r="AB35" i="43"/>
  <c r="M69" i="4"/>
  <c r="AB63" i="43"/>
  <c r="M47" i="4"/>
  <c r="AB41" i="43"/>
  <c r="M33" i="4"/>
  <c r="AB27" i="43"/>
  <c r="M28" i="4"/>
  <c r="AB22" i="43"/>
  <c r="M51" i="4"/>
  <c r="AB45" i="43"/>
  <c r="M53" i="4"/>
  <c r="AB47" i="43"/>
  <c r="M63" i="4"/>
  <c r="AB57" i="43"/>
  <c r="M27" i="4"/>
  <c r="AB21" i="43"/>
  <c r="M24" i="4"/>
  <c r="AB18" i="43"/>
  <c r="M42" i="4"/>
  <c r="AB36" i="43"/>
  <c r="M32" i="4"/>
  <c r="AB26" i="43"/>
  <c r="M81" i="4"/>
  <c r="AB75" i="43"/>
  <c r="M87" i="4"/>
  <c r="AB81" i="43"/>
  <c r="M77" i="4"/>
  <c r="AB71" i="43"/>
  <c r="M60" i="4"/>
  <c r="AB54" i="43"/>
  <c r="M68" i="4"/>
  <c r="AB62" i="43"/>
  <c r="M75" i="4"/>
  <c r="AB69" i="43"/>
  <c r="AR47" i="202"/>
  <c r="M80" i="4"/>
  <c r="AB74" i="43"/>
  <c r="M86" i="4"/>
  <c r="AB80" i="43"/>
  <c r="M74" i="4"/>
  <c r="AB68" i="43"/>
  <c r="M76" i="4"/>
  <c r="AB70" i="43"/>
  <c r="M67" i="4"/>
  <c r="AB61" i="43"/>
  <c r="M43" i="4"/>
  <c r="AB37" i="43"/>
  <c r="AR38" i="202"/>
  <c r="M44" i="4"/>
  <c r="AB38" i="43"/>
  <c r="AV33" i="202"/>
  <c r="AU21" i="202"/>
  <c r="AV21" i="202"/>
  <c r="AV22" i="202"/>
  <c r="AU22" i="202"/>
  <c r="AU31" i="202"/>
  <c r="AV31" i="202"/>
  <c r="AV37" i="202"/>
  <c r="AU23" i="202"/>
  <c r="AV23" i="202"/>
  <c r="AQ42" i="202"/>
  <c r="AR42" i="202" s="1"/>
  <c r="AR65" i="202"/>
  <c r="AP30" i="202"/>
  <c r="AQ46" i="202"/>
  <c r="AR46" i="202" s="1"/>
  <c r="AR54" i="202"/>
  <c r="BF59" i="202"/>
  <c r="CF64" i="202"/>
  <c r="BS61" i="203"/>
  <c r="AG61" i="203"/>
  <c r="BY61" i="203"/>
  <c r="BZ61" i="203"/>
  <c r="AF61" i="203"/>
  <c r="BB61" i="203"/>
  <c r="BL61" i="203"/>
  <c r="BN61" i="203"/>
  <c r="X61" i="203"/>
  <c r="BW61" i="203"/>
  <c r="J61" i="203"/>
  <c r="AN61" i="203"/>
  <c r="AE61" i="203"/>
  <c r="BE61" i="203"/>
  <c r="BT61" i="203"/>
  <c r="R61" i="203"/>
  <c r="AL61" i="203"/>
  <c r="L61" i="203"/>
  <c r="AI61" i="203"/>
  <c r="BI61" i="203"/>
  <c r="AQ61" i="203"/>
  <c r="BQ61" i="203"/>
  <c r="S61" i="203"/>
  <c r="Z61" i="203"/>
  <c r="AY61" i="203"/>
  <c r="AV61" i="203"/>
  <c r="BJ61" i="203"/>
  <c r="AD61" i="203"/>
  <c r="BD61" i="203"/>
  <c r="Q61" i="203"/>
  <c r="AB61" i="203"/>
  <c r="AH61" i="203"/>
  <c r="AO61" i="203"/>
  <c r="AP61" i="203"/>
  <c r="AZ61" i="203"/>
  <c r="AK61" i="203"/>
  <c r="BM61" i="203"/>
  <c r="AW61" i="203"/>
  <c r="AM61" i="203"/>
  <c r="BA61" i="203"/>
  <c r="CA61" i="203"/>
  <c r="AJ61" i="203"/>
  <c r="AT61" i="203"/>
  <c r="AX61" i="203"/>
  <c r="AL65" i="203"/>
  <c r="BE65" i="203"/>
  <c r="BB65" i="203"/>
  <c r="AM65" i="203"/>
  <c r="AC65" i="203"/>
  <c r="BX61" i="203"/>
  <c r="V61" i="203"/>
  <c r="BP61" i="203"/>
  <c r="AA61" i="203"/>
  <c r="BR61" i="203"/>
  <c r="H61" i="203"/>
  <c r="BH61" i="203"/>
  <c r="BO61" i="203"/>
  <c r="U61" i="203"/>
  <c r="AS61" i="203"/>
  <c r="BC61" i="203"/>
  <c r="BV65" i="203"/>
  <c r="AG65" i="203"/>
  <c r="BM65" i="203"/>
  <c r="J65" i="203"/>
  <c r="AK65" i="203"/>
  <c r="AC61" i="203"/>
  <c r="Y61" i="203"/>
  <c r="BJ65" i="203"/>
  <c r="W65" i="203"/>
  <c r="AU65" i="203"/>
  <c r="BP65" i="203"/>
  <c r="AF65" i="203"/>
  <c r="AX65" i="203"/>
  <c r="BF65" i="203"/>
  <c r="BA65" i="203"/>
  <c r="AP43" i="202"/>
  <c r="AR43" i="202" s="1"/>
  <c r="AQ72" i="202"/>
  <c r="AP57" i="202"/>
  <c r="AR57" i="202" s="1"/>
  <c r="AJ65" i="203"/>
  <c r="AZ65" i="203"/>
  <c r="BK65" i="203"/>
  <c r="Q65" i="203"/>
  <c r="AQ65" i="203"/>
  <c r="BH65" i="203"/>
  <c r="BO65" i="203"/>
  <c r="BI65" i="203"/>
  <c r="AP19" i="202"/>
  <c r="AR19" i="202" s="1"/>
  <c r="BR65" i="203"/>
  <c r="BU65" i="203"/>
  <c r="Z65" i="203"/>
  <c r="AH65" i="203"/>
  <c r="AD65" i="203"/>
  <c r="BC65" i="203"/>
  <c r="BS65" i="203"/>
  <c r="BX65" i="203"/>
  <c r="BF67" i="202"/>
  <c r="CF65" i="202"/>
  <c r="BF80" i="202"/>
  <c r="AL41" i="202"/>
  <c r="BF47" i="202"/>
  <c r="AR45" i="202"/>
  <c r="AP34" i="202"/>
  <c r="AP53" i="202"/>
  <c r="AR53" i="202" s="1"/>
  <c r="BW36" i="202"/>
  <c r="AQ55" i="202"/>
  <c r="AR55" i="202" s="1"/>
  <c r="BW38" i="202"/>
  <c r="P74" i="204"/>
  <c r="O74" i="204"/>
  <c r="N74" i="204"/>
  <c r="BZ61" i="204"/>
  <c r="BR61" i="204"/>
  <c r="BJ61" i="204"/>
  <c r="BB61" i="204"/>
  <c r="AT61" i="204"/>
  <c r="AL61" i="204"/>
  <c r="AD61" i="204"/>
  <c r="V61" i="204"/>
  <c r="BU61" i="204"/>
  <c r="BL61" i="204"/>
  <c r="BC61" i="204"/>
  <c r="AS61" i="204"/>
  <c r="AJ61" i="204"/>
  <c r="AA61" i="204"/>
  <c r="R61" i="204"/>
  <c r="BT61" i="204"/>
  <c r="BK61" i="204"/>
  <c r="BA61" i="204"/>
  <c r="AR61" i="204"/>
  <c r="AI61" i="204"/>
  <c r="Z61" i="204"/>
  <c r="Q61" i="204"/>
  <c r="BW61" i="204"/>
  <c r="BI61" i="204"/>
  <c r="AX61" i="204"/>
  <c r="AM61" i="204"/>
  <c r="Y61" i="204"/>
  <c r="L61" i="204"/>
  <c r="AQ69" i="69" s="1"/>
  <c r="BV61" i="204"/>
  <c r="BH61" i="204"/>
  <c r="AW61" i="204"/>
  <c r="AK61" i="204"/>
  <c r="X61" i="204"/>
  <c r="BX61" i="204"/>
  <c r="BF61" i="204"/>
  <c r="AP61" i="204"/>
  <c r="AB61" i="204"/>
  <c r="BS61" i="204"/>
  <c r="BE61" i="204"/>
  <c r="AO61" i="204"/>
  <c r="W61" i="204"/>
  <c r="CA61" i="204"/>
  <c r="BD61" i="204"/>
  <c r="AG61" i="204"/>
  <c r="BY61" i="204"/>
  <c r="AZ61" i="204"/>
  <c r="AF61" i="204"/>
  <c r="BQ61" i="204"/>
  <c r="AY61" i="204"/>
  <c r="AE61" i="204"/>
  <c r="AQ61" i="204"/>
  <c r="BP61" i="204"/>
  <c r="AN61" i="204"/>
  <c r="BO61" i="204"/>
  <c r="AH61" i="204"/>
  <c r="BM61" i="204"/>
  <c r="BG61" i="204"/>
  <c r="AV61" i="204"/>
  <c r="AU61" i="204"/>
  <c r="AC61" i="204"/>
  <c r="U61" i="204"/>
  <c r="T61" i="204"/>
  <c r="BN61" i="204"/>
  <c r="S61" i="204"/>
  <c r="BY60" i="204"/>
  <c r="BQ60" i="204"/>
  <c r="BI60" i="204"/>
  <c r="BA60" i="204"/>
  <c r="AS60" i="204"/>
  <c r="AK60" i="204"/>
  <c r="AC60" i="204"/>
  <c r="U60" i="204"/>
  <c r="L60" i="204"/>
  <c r="AQ68" i="69" s="1"/>
  <c r="BS60" i="204"/>
  <c r="BJ60" i="204"/>
  <c r="AZ60" i="204"/>
  <c r="AQ60" i="204"/>
  <c r="AH60" i="204"/>
  <c r="Y60" i="204"/>
  <c r="CA60" i="204"/>
  <c r="BR60" i="204"/>
  <c r="BH60" i="204"/>
  <c r="AY60" i="204"/>
  <c r="AP60" i="204"/>
  <c r="AG60" i="204"/>
  <c r="X60" i="204"/>
  <c r="BV60" i="204"/>
  <c r="BK60" i="204"/>
  <c r="AW60" i="204"/>
  <c r="AL60" i="204"/>
  <c r="Z60" i="204"/>
  <c r="BU60" i="204"/>
  <c r="BG60" i="204"/>
  <c r="AV60" i="204"/>
  <c r="AJ60" i="204"/>
  <c r="W60" i="204"/>
  <c r="BO60" i="204"/>
  <c r="BB60" i="204"/>
  <c r="AI60" i="204"/>
  <c r="S60" i="204"/>
  <c r="BN60" i="204"/>
  <c r="AX60" i="204"/>
  <c r="AF60" i="204"/>
  <c r="R60" i="204"/>
  <c r="BT60" i="204"/>
  <c r="AU60" i="204"/>
  <c r="AB60" i="204"/>
  <c r="BP60" i="204"/>
  <c r="AT60" i="204"/>
  <c r="AA60" i="204"/>
  <c r="BM60" i="204"/>
  <c r="AR60" i="204"/>
  <c r="V60" i="204"/>
  <c r="BF60" i="204"/>
  <c r="AD60" i="204"/>
  <c r="BE60" i="204"/>
  <c r="T60" i="204"/>
  <c r="BD60" i="204"/>
  <c r="Q60" i="204"/>
  <c r="BL60" i="204"/>
  <c r="BC60" i="204"/>
  <c r="AO60" i="204"/>
  <c r="AN60" i="204"/>
  <c r="AM60" i="204"/>
  <c r="BZ60" i="204"/>
  <c r="BX60" i="204"/>
  <c r="BW60" i="204"/>
  <c r="AE60" i="204"/>
  <c r="R7" i="204" a="1"/>
  <c r="BU67" i="204"/>
  <c r="BM67" i="204"/>
  <c r="BE67" i="204"/>
  <c r="AW67" i="204"/>
  <c r="AO67" i="204"/>
  <c r="AG67" i="204"/>
  <c r="Y67" i="204"/>
  <c r="Q67" i="204"/>
  <c r="BT67" i="204"/>
  <c r="BK67" i="204"/>
  <c r="BB67" i="204"/>
  <c r="AS67" i="204"/>
  <c r="AJ67" i="204"/>
  <c r="AA67" i="204"/>
  <c r="R67" i="204"/>
  <c r="BW67" i="204"/>
  <c r="BL67" i="204"/>
  <c r="BA67" i="204"/>
  <c r="AQ67" i="204"/>
  <c r="AF67" i="204"/>
  <c r="V67" i="204"/>
  <c r="BV67" i="204"/>
  <c r="BJ67" i="204"/>
  <c r="AZ67" i="204"/>
  <c r="AP67" i="204"/>
  <c r="AE67" i="204"/>
  <c r="U67" i="204"/>
  <c r="BQ67" i="204"/>
  <c r="BD67" i="204"/>
  <c r="AN67" i="204"/>
  <c r="AB67" i="204"/>
  <c r="BP67" i="204"/>
  <c r="BC67" i="204"/>
  <c r="AM67" i="204"/>
  <c r="Z67" i="204"/>
  <c r="L67" i="204"/>
  <c r="BZ67" i="204"/>
  <c r="BH67" i="204"/>
  <c r="AR67" i="204"/>
  <c r="W67" i="204"/>
  <c r="BY67" i="204"/>
  <c r="BG67" i="204"/>
  <c r="AL67" i="204"/>
  <c r="T67" i="204"/>
  <c r="CA67" i="204"/>
  <c r="AY67" i="204"/>
  <c r="AD67" i="204"/>
  <c r="BX67" i="204"/>
  <c r="AX67" i="204"/>
  <c r="AC67" i="204"/>
  <c r="BS67" i="204"/>
  <c r="AV67" i="204"/>
  <c r="X67" i="204"/>
  <c r="BI67" i="204"/>
  <c r="BF67" i="204"/>
  <c r="AU67" i="204"/>
  <c r="S67" i="204"/>
  <c r="BR67" i="204"/>
  <c r="BO67" i="204"/>
  <c r="BN67" i="204"/>
  <c r="AT67" i="204"/>
  <c r="AK67" i="204"/>
  <c r="AI67" i="204"/>
  <c r="AH67" i="204"/>
  <c r="BV68" i="204"/>
  <c r="BN68" i="204"/>
  <c r="BF68" i="204"/>
  <c r="AX68" i="204"/>
  <c r="AP68" i="204"/>
  <c r="AH68" i="204"/>
  <c r="Z68" i="204"/>
  <c r="R68" i="204"/>
  <c r="BU68" i="204"/>
  <c r="BL68" i="204"/>
  <c r="BC68" i="204"/>
  <c r="AT68" i="204"/>
  <c r="AK68" i="204"/>
  <c r="AB68" i="204"/>
  <c r="S68" i="204"/>
  <c r="BW68" i="204"/>
  <c r="BK68" i="204"/>
  <c r="BA68" i="204"/>
  <c r="AQ68" i="204"/>
  <c r="AF68" i="204"/>
  <c r="V68" i="204"/>
  <c r="BT68" i="204"/>
  <c r="BJ68" i="204"/>
  <c r="AZ68" i="204"/>
  <c r="AO68" i="204"/>
  <c r="AE68" i="204"/>
  <c r="U68" i="204"/>
  <c r="BY68" i="204"/>
  <c r="BI68" i="204"/>
  <c r="AV68" i="204"/>
  <c r="AI68" i="204"/>
  <c r="T68" i="204"/>
  <c r="BX68" i="204"/>
  <c r="BH68" i="204"/>
  <c r="AU68" i="204"/>
  <c r="AG68" i="204"/>
  <c r="Q68" i="204"/>
  <c r="BR68" i="204"/>
  <c r="BB68" i="204"/>
  <c r="AJ68" i="204"/>
  <c r="BQ68" i="204"/>
  <c r="AY68" i="204"/>
  <c r="AD68" i="204"/>
  <c r="BS68" i="204"/>
  <c r="AS68" i="204"/>
  <c r="X68" i="204"/>
  <c r="BP68" i="204"/>
  <c r="AR68" i="204"/>
  <c r="W68" i="204"/>
  <c r="BO68" i="204"/>
  <c r="AN68" i="204"/>
  <c r="BE68" i="204"/>
  <c r="L68" i="204"/>
  <c r="BD68" i="204"/>
  <c r="AW68" i="204"/>
  <c r="AM68" i="204"/>
  <c r="AL68" i="204"/>
  <c r="AC68" i="204"/>
  <c r="AA68" i="204"/>
  <c r="CA68" i="204"/>
  <c r="Y68" i="204"/>
  <c r="BZ68" i="204"/>
  <c r="BM68" i="204"/>
  <c r="BG68" i="204"/>
  <c r="BW33" i="202"/>
  <c r="AP13" i="202"/>
  <c r="AW13" i="202" s="1"/>
  <c r="AQ56" i="202"/>
  <c r="AP73" i="202"/>
  <c r="AR73" i="202" s="1"/>
  <c r="AQ63" i="202"/>
  <c r="AQ26" i="202"/>
  <c r="AP62" i="202"/>
  <c r="AR62" i="202" s="1"/>
  <c r="AQ61" i="202"/>
  <c r="AP76" i="202"/>
  <c r="AR76" i="202" s="1"/>
  <c r="CF59" i="202"/>
  <c r="BF57" i="202"/>
  <c r="BW18" i="202"/>
  <c r="AO7" i="54" s="1"/>
  <c r="CA65" i="204"/>
  <c r="BS65" i="204"/>
  <c r="BK65" i="204"/>
  <c r="BC65" i="204"/>
  <c r="AU65" i="204"/>
  <c r="AM65" i="204"/>
  <c r="AE65" i="204"/>
  <c r="W65" i="204"/>
  <c r="BZ65" i="204"/>
  <c r="BQ65" i="204"/>
  <c r="BH65" i="204"/>
  <c r="AY65" i="204"/>
  <c r="AP65" i="204"/>
  <c r="AG65" i="204"/>
  <c r="X65" i="204"/>
  <c r="BU65" i="204"/>
  <c r="BJ65" i="204"/>
  <c r="AZ65" i="204"/>
  <c r="AO65" i="204"/>
  <c r="AD65" i="204"/>
  <c r="T65" i="204"/>
  <c r="BT65" i="204"/>
  <c r="BI65" i="204"/>
  <c r="AX65" i="204"/>
  <c r="AN65" i="204"/>
  <c r="AC65" i="204"/>
  <c r="S65" i="204"/>
  <c r="BO65" i="204"/>
  <c r="BB65" i="204"/>
  <c r="AL65" i="204"/>
  <c r="Z65" i="204"/>
  <c r="BN65" i="204"/>
  <c r="BA65" i="204"/>
  <c r="AK65" i="204"/>
  <c r="Y65" i="204"/>
  <c r="BP65" i="204"/>
  <c r="AV65" i="204"/>
  <c r="AF65" i="204"/>
  <c r="L65" i="204"/>
  <c r="BM65" i="204"/>
  <c r="AT65" i="204"/>
  <c r="AB65" i="204"/>
  <c r="BV65" i="204"/>
  <c r="AS65" i="204"/>
  <c r="U65" i="204"/>
  <c r="BR65" i="204"/>
  <c r="AR65" i="204"/>
  <c r="R65" i="204"/>
  <c r="BL65" i="204"/>
  <c r="AQ65" i="204"/>
  <c r="Q65" i="204"/>
  <c r="AW65" i="204"/>
  <c r="BY65" i="204"/>
  <c r="AJ65" i="204"/>
  <c r="BX65" i="204"/>
  <c r="AI65" i="204"/>
  <c r="AA65" i="204"/>
  <c r="V65" i="204"/>
  <c r="BW65" i="204"/>
  <c r="BG65" i="204"/>
  <c r="BF65" i="204"/>
  <c r="BE65" i="204"/>
  <c r="BD65" i="204"/>
  <c r="AH65" i="204"/>
  <c r="BZ64" i="204"/>
  <c r="BR64" i="204"/>
  <c r="BJ64" i="204"/>
  <c r="BB64" i="204"/>
  <c r="AT64" i="204"/>
  <c r="AL64" i="204"/>
  <c r="AD64" i="204"/>
  <c r="V64" i="204"/>
  <c r="BX64" i="204"/>
  <c r="BO64" i="204"/>
  <c r="BF64" i="204"/>
  <c r="AW64" i="204"/>
  <c r="AN64" i="204"/>
  <c r="AE64" i="204"/>
  <c r="U64" i="204"/>
  <c r="BS64" i="204"/>
  <c r="BH64" i="204"/>
  <c r="AX64" i="204"/>
  <c r="AM64" i="204"/>
  <c r="AB64" i="204"/>
  <c r="R64" i="204"/>
  <c r="BQ64" i="204"/>
  <c r="BG64" i="204"/>
  <c r="AV64" i="204"/>
  <c r="AK64" i="204"/>
  <c r="AA64" i="204"/>
  <c r="Q64" i="204"/>
  <c r="BU64" i="204"/>
  <c r="BE64" i="204"/>
  <c r="AR64" i="204"/>
  <c r="AF64" i="204"/>
  <c r="BT64" i="204"/>
  <c r="BD64" i="204"/>
  <c r="AQ64" i="204"/>
  <c r="AC64" i="204"/>
  <c r="BV64" i="204"/>
  <c r="BA64" i="204"/>
  <c r="AI64" i="204"/>
  <c r="S64" i="204"/>
  <c r="BP64" i="204"/>
  <c r="AZ64" i="204"/>
  <c r="AH64" i="204"/>
  <c r="L64" i="204"/>
  <c r="CA64" i="204"/>
  <c r="BC64" i="204"/>
  <c r="Z64" i="204"/>
  <c r="BY64" i="204"/>
  <c r="AY64" i="204"/>
  <c r="Y64" i="204"/>
  <c r="BW64" i="204"/>
  <c r="AU64" i="204"/>
  <c r="X64" i="204"/>
  <c r="AS64" i="204"/>
  <c r="AP64" i="204"/>
  <c r="AO64" i="204"/>
  <c r="BM64" i="204"/>
  <c r="BL64" i="204"/>
  <c r="BK64" i="204"/>
  <c r="BI64" i="204"/>
  <c r="AJ64" i="204"/>
  <c r="AG64" i="204"/>
  <c r="W64" i="204"/>
  <c r="BN64" i="204"/>
  <c r="T64" i="204"/>
  <c r="CF37" i="202"/>
  <c r="AR75" i="202"/>
  <c r="AP24" i="202"/>
  <c r="AR40" i="202"/>
  <c r="BF29" i="202"/>
  <c r="BX70" i="204"/>
  <c r="BP70" i="204"/>
  <c r="BH70" i="204"/>
  <c r="AZ70" i="204"/>
  <c r="AR70" i="204"/>
  <c r="AJ70" i="204"/>
  <c r="AB70" i="204"/>
  <c r="T70" i="204"/>
  <c r="BW70" i="204"/>
  <c r="BO70" i="204"/>
  <c r="BG70" i="204"/>
  <c r="AY70" i="204"/>
  <c r="AQ70" i="204"/>
  <c r="AI70" i="204"/>
  <c r="AA70" i="204"/>
  <c r="S70" i="204"/>
  <c r="BV70" i="204"/>
  <c r="BL70" i="204"/>
  <c r="BB70" i="204"/>
  <c r="AP70" i="204"/>
  <c r="AF70" i="204"/>
  <c r="V70" i="204"/>
  <c r="BS70" i="204"/>
  <c r="BF70" i="204"/>
  <c r="AU70" i="204"/>
  <c r="AH70" i="204"/>
  <c r="W70" i="204"/>
  <c r="BR70" i="204"/>
  <c r="BE70" i="204"/>
  <c r="AT70" i="204"/>
  <c r="AG70" i="204"/>
  <c r="U70" i="204"/>
  <c r="BQ70" i="204"/>
  <c r="BA70" i="204"/>
  <c r="AL70" i="204"/>
  <c r="R70" i="204"/>
  <c r="BN70" i="204"/>
  <c r="AX70" i="204"/>
  <c r="AK70" i="204"/>
  <c r="Q70" i="204"/>
  <c r="P69" i="204" s="1"/>
  <c r="BT70" i="204"/>
  <c r="AV70" i="204"/>
  <c r="Z70" i="204"/>
  <c r="BM70" i="204"/>
  <c r="AS70" i="204"/>
  <c r="Y70" i="204"/>
  <c r="BI70" i="204"/>
  <c r="AD70" i="204"/>
  <c r="BD70" i="204"/>
  <c r="AC70" i="204"/>
  <c r="CA70" i="204"/>
  <c r="BC70" i="204"/>
  <c r="X70" i="204"/>
  <c r="BY70" i="204"/>
  <c r="AE70" i="204"/>
  <c r="BU70" i="204"/>
  <c r="BK70" i="204"/>
  <c r="L70" i="204"/>
  <c r="BZ70" i="204"/>
  <c r="BJ70" i="204"/>
  <c r="AW70" i="204"/>
  <c r="AO70" i="204"/>
  <c r="AN70" i="204"/>
  <c r="AM70" i="204"/>
  <c r="O66" i="204"/>
  <c r="AR18" i="202"/>
  <c r="BF33" i="202"/>
  <c r="BT62" i="203"/>
  <c r="BL62" i="203"/>
  <c r="BY62" i="203"/>
  <c r="BP62" i="203"/>
  <c r="BG62" i="203"/>
  <c r="AY62" i="203"/>
  <c r="AQ62" i="203"/>
  <c r="AI62" i="203"/>
  <c r="AA62" i="203"/>
  <c r="S62" i="203"/>
  <c r="H62" i="203"/>
  <c r="BZ62" i="203"/>
  <c r="BO62" i="203"/>
  <c r="BE62" i="203"/>
  <c r="AV62" i="203"/>
  <c r="AM62" i="203"/>
  <c r="AD62" i="203"/>
  <c r="U62" i="203"/>
  <c r="J62" i="203"/>
  <c r="BX62" i="203"/>
  <c r="BN62" i="203"/>
  <c r="BD62" i="203"/>
  <c r="AU62" i="203"/>
  <c r="AL62" i="203"/>
  <c r="AC62" i="203"/>
  <c r="T62" i="203"/>
  <c r="BS62" i="203"/>
  <c r="BF62" i="203"/>
  <c r="AS62" i="203"/>
  <c r="AG62" i="203"/>
  <c r="V62" i="203"/>
  <c r="BR62" i="203"/>
  <c r="BC62" i="203"/>
  <c r="AR62" i="203"/>
  <c r="AF62" i="203"/>
  <c r="R62" i="203"/>
  <c r="BQ62" i="203"/>
  <c r="BB62" i="203"/>
  <c r="AP62" i="203"/>
  <c r="AE62" i="203"/>
  <c r="Q62" i="203"/>
  <c r="BK62" i="203"/>
  <c r="AT62" i="203"/>
  <c r="Y62" i="203"/>
  <c r="BJ62" i="203"/>
  <c r="AO62" i="203"/>
  <c r="X62" i="203"/>
  <c r="BI62" i="203"/>
  <c r="AJ62" i="203"/>
  <c r="L62" i="203"/>
  <c r="BH62" i="203"/>
  <c r="AH62" i="203"/>
  <c r="BV62" i="203"/>
  <c r="AK62" i="203"/>
  <c r="BU62" i="203"/>
  <c r="AB62" i="203"/>
  <c r="BM62" i="203"/>
  <c r="Z62" i="203"/>
  <c r="BA62" i="203"/>
  <c r="W62" i="203"/>
  <c r="AX62" i="203"/>
  <c r="AW62" i="203"/>
  <c r="AN62" i="203"/>
  <c r="CA62" i="203"/>
  <c r="BW62" i="203"/>
  <c r="AZ62" i="203"/>
  <c r="BU63" i="203"/>
  <c r="BM63" i="203"/>
  <c r="BE63" i="203"/>
  <c r="AW63" i="203"/>
  <c r="AO63" i="203"/>
  <c r="AG63" i="203"/>
  <c r="Y63" i="203"/>
  <c r="Q63" i="203"/>
  <c r="BZ63" i="203"/>
  <c r="BQ63" i="203"/>
  <c r="BH63" i="203"/>
  <c r="AY63" i="203"/>
  <c r="AP63" i="203"/>
  <c r="AF63" i="203"/>
  <c r="W63" i="203"/>
  <c r="CA63" i="203"/>
  <c r="BP63" i="203"/>
  <c r="BF63" i="203"/>
  <c r="AU63" i="203"/>
  <c r="AK63" i="203"/>
  <c r="AA63" i="203"/>
  <c r="BY63" i="203"/>
  <c r="BO63" i="203"/>
  <c r="BD63" i="203"/>
  <c r="AT63" i="203"/>
  <c r="AJ63" i="203"/>
  <c r="Z63" i="203"/>
  <c r="BR63" i="203"/>
  <c r="BB63" i="203"/>
  <c r="AN63" i="203"/>
  <c r="AB63" i="203"/>
  <c r="J63" i="203"/>
  <c r="BN63" i="203"/>
  <c r="BA63" i="203"/>
  <c r="AM63" i="203"/>
  <c r="X63" i="203"/>
  <c r="H63" i="203"/>
  <c r="BL63" i="203"/>
  <c r="AZ63" i="203"/>
  <c r="AL63" i="203"/>
  <c r="V63" i="203"/>
  <c r="BX63" i="203"/>
  <c r="BG63" i="203"/>
  <c r="AH63" i="203"/>
  <c r="L63" i="203"/>
  <c r="BW63" i="203"/>
  <c r="BC63" i="203"/>
  <c r="AE63" i="203"/>
  <c r="BT63" i="203"/>
  <c r="AR63" i="203"/>
  <c r="R63" i="203"/>
  <c r="BS63" i="203"/>
  <c r="AQ63" i="203"/>
  <c r="BK63" i="203"/>
  <c r="AC63" i="203"/>
  <c r="BJ63" i="203"/>
  <c r="U63" i="203"/>
  <c r="BI63" i="203"/>
  <c r="T63" i="203"/>
  <c r="AX63" i="203"/>
  <c r="S63" i="203"/>
  <c r="AS63" i="203"/>
  <c r="AI63" i="203"/>
  <c r="AD63" i="203"/>
  <c r="BV63" i="203"/>
  <c r="AV63" i="203"/>
  <c r="R7" i="203" a="1"/>
  <c r="CA67" i="203"/>
  <c r="BS67" i="203"/>
  <c r="BK67" i="203"/>
  <c r="BC67" i="203"/>
  <c r="AU67" i="203"/>
  <c r="AM67" i="203"/>
  <c r="AE67" i="203"/>
  <c r="W67" i="203"/>
  <c r="BT67" i="203"/>
  <c r="BJ67" i="203"/>
  <c r="BA67" i="203"/>
  <c r="AR67" i="203"/>
  <c r="AI67" i="203"/>
  <c r="Z67" i="203"/>
  <c r="Q67" i="203"/>
  <c r="BW67" i="203"/>
  <c r="BM67" i="203"/>
  <c r="BB67" i="203"/>
  <c r="AQ67" i="203"/>
  <c r="AG67" i="203"/>
  <c r="V67" i="203"/>
  <c r="J67" i="203"/>
  <c r="BV67" i="203"/>
  <c r="BL67" i="203"/>
  <c r="AZ67" i="203"/>
  <c r="AP67" i="203"/>
  <c r="AF67" i="203"/>
  <c r="U67" i="203"/>
  <c r="H67" i="203"/>
  <c r="BU67" i="203"/>
  <c r="BG67" i="203"/>
  <c r="AT67" i="203"/>
  <c r="AD67" i="203"/>
  <c r="R67" i="203"/>
  <c r="BR67" i="203"/>
  <c r="BF67" i="203"/>
  <c r="AS67" i="203"/>
  <c r="AC67" i="203"/>
  <c r="BP67" i="203"/>
  <c r="AX67" i="203"/>
  <c r="AH67" i="203"/>
  <c r="L67" i="203"/>
  <c r="BO67" i="203"/>
  <c r="AW67" i="203"/>
  <c r="AB67" i="203"/>
  <c r="BN67" i="203"/>
  <c r="AV67" i="203"/>
  <c r="AA67" i="203"/>
  <c r="BX67" i="203"/>
  <c r="AN67" i="203"/>
  <c r="BQ67" i="203"/>
  <c r="AL67" i="203"/>
  <c r="BZ67" i="203"/>
  <c r="AK67" i="203"/>
  <c r="BY67" i="203"/>
  <c r="AJ67" i="203"/>
  <c r="BI67" i="203"/>
  <c r="T67" i="203"/>
  <c r="BH67" i="203"/>
  <c r="S67" i="203"/>
  <c r="BE67" i="203"/>
  <c r="BD67" i="203"/>
  <c r="Y67" i="203"/>
  <c r="X67" i="203"/>
  <c r="AY67" i="203"/>
  <c r="AO67" i="203"/>
  <c r="AL15" i="202"/>
  <c r="AL22" i="202"/>
  <c r="BF13" i="202"/>
  <c r="AR64" i="202"/>
  <c r="AR48" i="202"/>
  <c r="AR66" i="202"/>
  <c r="BW54" i="202"/>
  <c r="CF73" i="202"/>
  <c r="BF66" i="202"/>
  <c r="CF71" i="202"/>
  <c r="BF48" i="202"/>
  <c r="BF34" i="202"/>
  <c r="AL25" i="202"/>
  <c r="AL21" i="202"/>
  <c r="AR49" i="202"/>
  <c r="CF74" i="202"/>
  <c r="BF60" i="202"/>
  <c r="AL70" i="202"/>
  <c r="CF30" i="202"/>
  <c r="BW68" i="202"/>
  <c r="CF34" i="202"/>
  <c r="BF40" i="202"/>
  <c r="BW17" i="202"/>
  <c r="AO6" i="54" s="1"/>
  <c r="BF36" i="202"/>
  <c r="AQ25" i="202"/>
  <c r="AP25" i="202"/>
  <c r="AQ35" i="202"/>
  <c r="AP35" i="202"/>
  <c r="P64" i="203"/>
  <c r="N64" i="203"/>
  <c r="BZ66" i="203"/>
  <c r="BR66" i="203"/>
  <c r="BJ66" i="203"/>
  <c r="BB66" i="203"/>
  <c r="AT66" i="203"/>
  <c r="AL66" i="203"/>
  <c r="AD66" i="203"/>
  <c r="V66" i="203"/>
  <c r="CA66" i="203"/>
  <c r="BQ66" i="203"/>
  <c r="BH66" i="203"/>
  <c r="AY66" i="203"/>
  <c r="AP66" i="203"/>
  <c r="AG66" i="203"/>
  <c r="X66" i="203"/>
  <c r="BU66" i="203"/>
  <c r="BK66" i="203"/>
  <c r="AZ66" i="203"/>
  <c r="AO66" i="203"/>
  <c r="AE66" i="203"/>
  <c r="T66" i="203"/>
  <c r="BT66" i="203"/>
  <c r="BI66" i="203"/>
  <c r="AX66" i="203"/>
  <c r="AN66" i="203"/>
  <c r="AC66" i="203"/>
  <c r="S66" i="203"/>
  <c r="BW66" i="203"/>
  <c r="BG66" i="203"/>
  <c r="AU66" i="203"/>
  <c r="AH66" i="203"/>
  <c r="R66" i="203"/>
  <c r="BV66" i="203"/>
  <c r="BF66" i="203"/>
  <c r="AS66" i="203"/>
  <c r="AF66" i="203"/>
  <c r="Q66" i="203"/>
  <c r="P65" i="203" s="1"/>
  <c r="BN66" i="203"/>
  <c r="AV66" i="203"/>
  <c r="AA66" i="203"/>
  <c r="H66" i="203"/>
  <c r="BM66" i="203"/>
  <c r="AR66" i="203"/>
  <c r="Z66" i="203"/>
  <c r="BL66" i="203"/>
  <c r="AQ66" i="203"/>
  <c r="Y66" i="203"/>
  <c r="BE66" i="203"/>
  <c r="AI66" i="203"/>
  <c r="BD66" i="203"/>
  <c r="AB66" i="203"/>
  <c r="BY66" i="203"/>
  <c r="AM66" i="203"/>
  <c r="BX66" i="203"/>
  <c r="AK66" i="203"/>
  <c r="BA66" i="203"/>
  <c r="AW66" i="203"/>
  <c r="AJ66" i="203"/>
  <c r="W66" i="203"/>
  <c r="U66" i="203"/>
  <c r="L66" i="203"/>
  <c r="J66" i="203"/>
  <c r="BS66" i="203"/>
  <c r="BP66" i="203"/>
  <c r="BO66" i="203"/>
  <c r="BC66" i="203"/>
  <c r="Q60" i="203"/>
  <c r="P61" i="203" s="1"/>
  <c r="AP27" i="202"/>
  <c r="AQ27" i="202"/>
  <c r="BW24" i="202"/>
  <c r="AO13" i="54" s="1"/>
  <c r="CF63" i="202"/>
  <c r="AL33" i="202"/>
  <c r="BW69" i="202"/>
  <c r="AL79" i="202"/>
  <c r="AL26" i="202"/>
  <c r="BW35" i="202"/>
  <c r="AL31" i="202"/>
  <c r="CF67" i="202"/>
  <c r="AL48" i="202"/>
  <c r="CF52" i="202"/>
  <c r="AL50" i="202"/>
  <c r="CF61" i="202"/>
  <c r="BW26" i="202"/>
  <c r="AO15" i="54" s="1"/>
  <c r="BW57" i="202"/>
  <c r="BF15" i="202"/>
  <c r="CF51" i="202"/>
  <c r="AL60" i="202"/>
  <c r="AL69" i="202"/>
  <c r="BW43" i="202"/>
  <c r="BW21" i="202"/>
  <c r="AO10" i="54" s="1"/>
  <c r="BF20" i="202"/>
  <c r="BW46" i="202"/>
  <c r="CF76" i="202"/>
  <c r="BW65" i="202"/>
  <c r="CF28" i="202"/>
  <c r="AL81" i="202"/>
  <c r="AL65" i="202"/>
  <c r="BF69" i="202"/>
  <c r="AL73" i="202"/>
  <c r="AL58" i="202"/>
  <c r="CF20" i="202"/>
  <c r="CF14" i="202"/>
  <c r="AL72" i="202"/>
  <c r="BF71" i="202"/>
  <c r="BF35" i="202"/>
  <c r="BW13" i="202"/>
  <c r="BF61" i="202"/>
  <c r="BW59" i="202"/>
  <c r="CF55" i="202"/>
  <c r="BW34" i="202"/>
  <c r="BF17" i="202"/>
  <c r="BF25" i="202"/>
  <c r="AL18" i="202"/>
  <c r="BF39" i="202"/>
  <c r="AL16" i="202"/>
  <c r="CF13" i="202"/>
  <c r="CF32" i="202"/>
  <c r="AL46" i="202"/>
  <c r="BF52" i="202"/>
  <c r="CF19" i="202"/>
  <c r="BF51" i="202"/>
  <c r="BF41" i="202"/>
  <c r="BW19" i="202"/>
  <c r="AO8" i="54" s="1"/>
  <c r="BF49" i="202"/>
  <c r="CF18" i="202"/>
  <c r="BF37" i="202"/>
  <c r="CF17" i="202"/>
  <c r="BW72" i="202"/>
  <c r="CF29" i="202"/>
  <c r="CF40" i="202"/>
  <c r="BF14" i="202"/>
  <c r="BW55" i="202"/>
  <c r="BF43" i="202"/>
  <c r="CF25" i="202"/>
  <c r="CF39" i="202"/>
  <c r="BW45" i="202"/>
  <c r="BW71" i="202"/>
  <c r="BW23" i="202"/>
  <c r="AO12" i="54" s="1"/>
  <c r="BW61" i="202"/>
  <c r="CF41" i="202"/>
  <c r="CF75" i="202"/>
  <c r="BW67" i="202"/>
  <c r="CF66" i="202"/>
  <c r="AL77" i="202"/>
  <c r="BW64" i="202"/>
  <c r="AL78" i="202"/>
  <c r="CF53" i="202"/>
  <c r="BF54" i="202"/>
  <c r="CF70" i="202"/>
  <c r="AL57" i="202"/>
  <c r="BF77" i="202"/>
  <c r="AL62" i="202"/>
  <c r="AL47" i="202"/>
  <c r="BF76" i="202"/>
  <c r="BF53" i="202"/>
  <c r="AL53" i="202"/>
  <c r="BW74" i="202"/>
  <c r="BW49" i="202"/>
  <c r="BF21" i="202"/>
  <c r="BF56" i="202"/>
  <c r="CF38" i="202"/>
  <c r="AW14" i="202"/>
  <c r="CF16" i="202"/>
  <c r="BF18" i="202"/>
  <c r="AL42" i="202"/>
  <c r="AL37" i="202"/>
  <c r="Q29" i="202"/>
  <c r="Q30" i="202"/>
  <c r="C48" i="202"/>
  <c r="Q31" i="202"/>
  <c r="Q32" i="202"/>
  <c r="I2" i="202"/>
  <c r="Q34" i="202"/>
  <c r="Q33" i="202"/>
  <c r="BW60" i="202"/>
  <c r="CF24" i="202"/>
  <c r="BW40" i="202"/>
  <c r="BF27" i="202"/>
  <c r="CF21" i="202"/>
  <c r="AP68" i="202"/>
  <c r="AQ68" i="202"/>
  <c r="CF42" i="202"/>
  <c r="BF24" i="202"/>
  <c r="BW52" i="202"/>
  <c r="AR58" i="202"/>
  <c r="AL24" i="202"/>
  <c r="AL44" i="202"/>
  <c r="CF69" i="202"/>
  <c r="CF31" i="202"/>
  <c r="BF32" i="202"/>
  <c r="AL19" i="202"/>
  <c r="BF26" i="202"/>
  <c r="AL23" i="202"/>
  <c r="BW56" i="202"/>
  <c r="BW42" i="202"/>
  <c r="CF23" i="202"/>
  <c r="AL74" i="202"/>
  <c r="AL20" i="202"/>
  <c r="BW16" i="202"/>
  <c r="AO5" i="54" s="1"/>
  <c r="BW62" i="202"/>
  <c r="AL45" i="202"/>
  <c r="BW30" i="202"/>
  <c r="M4" i="202"/>
  <c r="BW22" i="202"/>
  <c r="AO11" i="54" s="1"/>
  <c r="AP60" i="202"/>
  <c r="AQ60" i="202"/>
  <c r="CF22" i="202"/>
  <c r="AQ44" i="202"/>
  <c r="AP44" i="202"/>
  <c r="AR69" i="202"/>
  <c r="BF73" i="202"/>
  <c r="BF72" i="202"/>
  <c r="BW51" i="202"/>
  <c r="AL29" i="202"/>
  <c r="AL55" i="202"/>
  <c r="AR71" i="202"/>
  <c r="BW66" i="202"/>
  <c r="BF62" i="202"/>
  <c r="CF58" i="202"/>
  <c r="AL63" i="202"/>
  <c r="BF31" i="202"/>
  <c r="AL38" i="202"/>
  <c r="AL51" i="202"/>
  <c r="AL76" i="202"/>
  <c r="AQ28" i="202"/>
  <c r="AP28" i="202"/>
  <c r="AR70" i="202"/>
  <c r="AL66" i="202"/>
  <c r="CF62" i="202"/>
  <c r="CF36" i="202"/>
  <c r="AL67" i="202"/>
  <c r="BF50" i="202"/>
  <c r="BW31" i="202"/>
  <c r="BF22" i="202"/>
  <c r="CF50" i="202"/>
  <c r="AL27" i="202"/>
  <c r="AL17" i="202"/>
  <c r="CF54" i="202"/>
  <c r="AL13" i="202"/>
  <c r="CF35" i="202"/>
  <c r="BF42" i="202"/>
  <c r="BW47" i="202"/>
  <c r="BW70" i="202"/>
  <c r="CF44" i="202"/>
  <c r="BF19" i="202"/>
  <c r="C44" i="202"/>
  <c r="D44" i="202" s="1"/>
  <c r="C42" i="202"/>
  <c r="D42" i="202" s="1"/>
  <c r="C40" i="202"/>
  <c r="D40" i="202" s="1"/>
  <c r="C41" i="202"/>
  <c r="D41" i="202" s="1"/>
  <c r="D39" i="202"/>
  <c r="C43" i="202"/>
  <c r="D43" i="202" s="1"/>
  <c r="CF33" i="202"/>
  <c r="AL14" i="202"/>
  <c r="BF74" i="202"/>
  <c r="AR67" i="202"/>
  <c r="AQ36" i="202"/>
  <c r="AP36" i="202"/>
  <c r="BW63" i="202"/>
  <c r="CF72" i="202"/>
  <c r="CF68" i="202"/>
  <c r="AL56" i="202"/>
  <c r="BF28" i="202"/>
  <c r="AL30" i="202"/>
  <c r="AL34" i="202"/>
  <c r="AR56" i="202"/>
  <c r="BF45" i="202"/>
  <c r="BW73" i="202"/>
  <c r="AP20" i="202"/>
  <c r="AQ20" i="202"/>
  <c r="BF78" i="202"/>
  <c r="CF60" i="202"/>
  <c r="CF49" i="202"/>
  <c r="BF46" i="202"/>
  <c r="CF46" i="202"/>
  <c r="BW27" i="202"/>
  <c r="AO16" i="54" s="1"/>
  <c r="AL59" i="202"/>
  <c r="CF15" i="202"/>
  <c r="BF70" i="202"/>
  <c r="CF47" i="202"/>
  <c r="AL54" i="202"/>
  <c r="BF16" i="202"/>
  <c r="AL32" i="202"/>
  <c r="AL52" i="202"/>
  <c r="BF38" i="202"/>
  <c r="BW37" i="202"/>
  <c r="BW15" i="202"/>
  <c r="BF79" i="202"/>
  <c r="AP52" i="202"/>
  <c r="AQ52" i="202"/>
  <c r="AR16" i="202"/>
  <c r="AR39" i="202"/>
  <c r="AL68" i="202"/>
  <c r="AL75" i="202"/>
  <c r="CF56" i="202"/>
  <c r="BF75" i="202"/>
  <c r="BW48" i="202"/>
  <c r="BF44" i="202"/>
  <c r="AR50" i="202"/>
  <c r="AL80" i="202"/>
  <c r="BW58" i="202"/>
  <c r="AL71" i="202"/>
  <c r="BF63" i="202"/>
  <c r="BW50" i="202"/>
  <c r="BW29" i="202"/>
  <c r="BF68" i="202"/>
  <c r="BF55" i="202"/>
  <c r="AR51" i="202"/>
  <c r="AR15" i="202"/>
  <c r="AR41" i="202"/>
  <c r="AR17" i="202"/>
  <c r="AR77" i="202"/>
  <c r="AR74" i="202"/>
  <c r="BF64" i="202"/>
  <c r="AL43" i="202"/>
  <c r="BF58" i="202"/>
  <c r="AL64" i="202"/>
  <c r="AL49" i="202"/>
  <c r="AL35" i="202"/>
  <c r="AL28" i="202"/>
  <c r="BW53" i="202"/>
  <c r="AL61" i="202"/>
  <c r="BW39" i="202"/>
  <c r="CF77" i="202"/>
  <c r="BF65" i="202"/>
  <c r="CF43" i="202"/>
  <c r="BW14" i="202"/>
  <c r="BW25" i="202"/>
  <c r="AO14" i="54" s="1"/>
  <c r="BW20" i="202"/>
  <c r="AO9" i="54" s="1"/>
  <c r="CF45" i="202"/>
  <c r="BW32" i="202"/>
  <c r="CF57" i="202"/>
  <c r="CF26" i="202"/>
  <c r="CF27" i="202"/>
  <c r="BW44" i="202"/>
  <c r="BW28" i="202"/>
  <c r="AL39" i="202"/>
  <c r="CF48" i="202"/>
  <c r="AL40" i="202"/>
  <c r="BW41" i="202"/>
  <c r="AL36" i="202"/>
  <c r="BF30" i="202"/>
  <c r="BF23" i="202"/>
  <c r="H60" i="203"/>
  <c r="D24" i="203"/>
  <c r="E44" i="204"/>
  <c r="D9" i="204"/>
  <c r="E43" i="204"/>
  <c r="D25" i="203"/>
  <c r="D20" i="204"/>
  <c r="E18" i="203"/>
  <c r="E15" i="203"/>
  <c r="E18" i="204"/>
  <c r="D21" i="204"/>
  <c r="E33" i="204"/>
  <c r="E44" i="203"/>
  <c r="D16" i="203"/>
  <c r="AR34" i="202"/>
  <c r="E38" i="203"/>
  <c r="E31" i="204"/>
  <c r="E37" i="203"/>
  <c r="E28" i="204"/>
  <c r="D19" i="204"/>
  <c r="D37" i="204"/>
  <c r="E26" i="203"/>
  <c r="AR32" i="202"/>
  <c r="AR36" i="202"/>
  <c r="E41" i="204"/>
  <c r="D16" i="204"/>
  <c r="E46" i="203"/>
  <c r="I3" i="202"/>
  <c r="N20" i="202"/>
  <c r="AR25" i="202"/>
  <c r="AR20" i="202"/>
  <c r="D26" i="204"/>
  <c r="E36" i="203"/>
  <c r="N19" i="202"/>
  <c r="E39" i="203"/>
  <c r="D17" i="203"/>
  <c r="D40" i="203"/>
  <c r="E10" i="204"/>
  <c r="D36" i="204"/>
  <c r="E29" i="203"/>
  <c r="N18" i="202"/>
  <c r="D13" i="204"/>
  <c r="E12" i="203"/>
  <c r="E11" i="203"/>
  <c r="E25" i="204"/>
  <c r="D32" i="203"/>
  <c r="N21" i="202"/>
  <c r="D38" i="204"/>
  <c r="E34" i="203"/>
  <c r="E40" i="204"/>
  <c r="E21" i="203"/>
  <c r="AR28" i="202"/>
  <c r="D14" i="204"/>
  <c r="E24" i="204"/>
  <c r="E42" i="204"/>
  <c r="E42" i="203"/>
  <c r="D35" i="204"/>
  <c r="E28" i="203"/>
  <c r="AR35" i="202"/>
  <c r="D29" i="204"/>
  <c r="N17" i="202"/>
  <c r="E15" i="204"/>
  <c r="N22" i="202"/>
  <c r="E10" i="203"/>
  <c r="E43" i="203"/>
  <c r="D34" i="204"/>
  <c r="D39" i="204"/>
  <c r="E19" i="203"/>
  <c r="D46" i="204"/>
  <c r="E20" i="203"/>
  <c r="D9" i="203"/>
  <c r="E22" i="203"/>
  <c r="D27" i="204"/>
  <c r="E27" i="203"/>
  <c r="E12" i="204"/>
  <c r="E31" i="203"/>
  <c r="D45" i="204"/>
  <c r="D17" i="204"/>
  <c r="AR24" i="202"/>
  <c r="D23" i="204"/>
  <c r="AR27" i="202"/>
  <c r="E35" i="203"/>
  <c r="E30" i="203"/>
  <c r="E45" i="203"/>
  <c r="D33" i="203"/>
  <c r="AR30" i="202"/>
  <c r="D22" i="204"/>
  <c r="AR26" i="202"/>
  <c r="AR29" i="202"/>
  <c r="D30" i="204"/>
  <c r="E13" i="203"/>
  <c r="E23" i="203"/>
  <c r="AS73" i="202"/>
  <c r="AS75" i="202"/>
  <c r="AS19" i="202"/>
  <c r="AT73" i="202"/>
  <c r="AT55" i="202"/>
  <c r="E43" i="202"/>
  <c r="AS58" i="202"/>
  <c r="AT41" i="202"/>
  <c r="AT18" i="202"/>
  <c r="AS20" i="202"/>
  <c r="F44" i="202"/>
  <c r="E39" i="202"/>
  <c r="AS17" i="202"/>
  <c r="AS45" i="202"/>
  <c r="AS16" i="202"/>
  <c r="AS34" i="202"/>
  <c r="AT51" i="202"/>
  <c r="AS41" i="202"/>
  <c r="AS30" i="202"/>
  <c r="AT30" i="202"/>
  <c r="AS39" i="202"/>
  <c r="AT75" i="202"/>
  <c r="AS70" i="202"/>
  <c r="AS27" i="202"/>
  <c r="AS15" i="202"/>
  <c r="AT19" i="202"/>
  <c r="AT17" i="202"/>
  <c r="AT36" i="202"/>
  <c r="AT45" i="202"/>
  <c r="AS64" i="202"/>
  <c r="AT65" i="202"/>
  <c r="AS49" i="202"/>
  <c r="AT47" i="202"/>
  <c r="AS77" i="202"/>
  <c r="AS25" i="202"/>
  <c r="AS29" i="202"/>
  <c r="AS55" i="202"/>
  <c r="AT34" i="202"/>
  <c r="E40" i="202"/>
  <c r="AS33" i="202"/>
  <c r="F41" i="202"/>
  <c r="AT58" i="202"/>
  <c r="E44" i="202"/>
  <c r="AT32" i="202"/>
  <c r="AS48" i="202"/>
  <c r="AS65" i="202"/>
  <c r="AT48" i="202"/>
  <c r="AS76" i="202"/>
  <c r="F39" i="202"/>
  <c r="AS46" i="202"/>
  <c r="AT54" i="202"/>
  <c r="F42" i="202"/>
  <c r="AS40" i="202"/>
  <c r="AS69" i="202"/>
  <c r="AT24" i="202"/>
  <c r="AT46" i="202"/>
  <c r="AT25" i="202"/>
  <c r="AS37" i="202"/>
  <c r="AS56" i="202"/>
  <c r="AT43" i="202"/>
  <c r="AS53" i="202"/>
  <c r="AS66" i="202"/>
  <c r="AT38" i="202"/>
  <c r="AT67" i="202"/>
  <c r="AT15" i="202"/>
  <c r="AT62" i="202"/>
  <c r="AS57" i="202"/>
  <c r="AT49" i="202"/>
  <c r="AS42" i="202"/>
  <c r="AT39" i="202"/>
  <c r="AS38" i="202"/>
  <c r="AT40" i="202"/>
  <c r="AT66" i="202"/>
  <c r="F43" i="202"/>
  <c r="AS28" i="202"/>
  <c r="AS18" i="202"/>
  <c r="AT76" i="202"/>
  <c r="AS62" i="202"/>
  <c r="AS59" i="202"/>
  <c r="AT59" i="202"/>
  <c r="AS54" i="202"/>
  <c r="AS32" i="202"/>
  <c r="AS67" i="202"/>
  <c r="AS24" i="202"/>
  <c r="AS43" i="202"/>
  <c r="AT57" i="202"/>
  <c r="AT26" i="202"/>
  <c r="AT70" i="202"/>
  <c r="AT69" i="202"/>
  <c r="AT71" i="202"/>
  <c r="AS47" i="202"/>
  <c r="AS51" i="202"/>
  <c r="AT77" i="202"/>
  <c r="AT64" i="202"/>
  <c r="AT42" i="202"/>
  <c r="AS74" i="202"/>
  <c r="AS36" i="202"/>
  <c r="AT74" i="202"/>
  <c r="F40" i="202"/>
  <c r="E42" i="202"/>
  <c r="AT53" i="202"/>
  <c r="E41" i="202"/>
  <c r="AT50" i="202"/>
  <c r="AT16" i="202"/>
  <c r="AT29" i="202"/>
  <c r="AT56" i="202"/>
  <c r="AS71" i="202"/>
  <c r="AT35" i="202"/>
  <c r="AS50" i="202"/>
  <c r="AN14" i="54" l="1"/>
  <c r="AN10" i="54"/>
  <c r="AN12" i="54"/>
  <c r="AN5" i="54"/>
  <c r="AN6" i="54"/>
  <c r="AN11" i="54"/>
  <c r="AN8" i="54"/>
  <c r="AN13" i="54"/>
  <c r="AN7" i="54"/>
  <c r="AN9" i="54"/>
  <c r="AN16" i="54"/>
  <c r="AN15" i="54"/>
  <c r="A774" i="242"/>
  <c r="B775" i="242"/>
  <c r="B1486" i="242"/>
  <c r="A1485" i="242"/>
  <c r="B2071" i="242"/>
  <c r="A2070" i="242"/>
  <c r="B2295" i="242"/>
  <c r="A2294" i="242"/>
  <c r="A1799" i="242"/>
  <c r="B1800" i="242"/>
  <c r="B66" i="242"/>
  <c r="A65" i="242"/>
  <c r="A265" i="241"/>
  <c r="B266" i="241"/>
  <c r="A206" i="242"/>
  <c r="B207" i="242"/>
  <c r="B2647" i="242"/>
  <c r="A2646" i="242"/>
  <c r="A2484" i="242"/>
  <c r="B2485" i="242"/>
  <c r="A309" i="242"/>
  <c r="B310" i="242"/>
  <c r="A1231" i="242"/>
  <c r="B1232" i="242"/>
  <c r="A89" i="241"/>
  <c r="B90" i="241"/>
  <c r="B595" i="242"/>
  <c r="A594" i="242"/>
  <c r="B679" i="242"/>
  <c r="A678" i="242"/>
  <c r="A2948" i="242"/>
  <c r="B2949" i="242"/>
  <c r="AU33" i="202"/>
  <c r="AW33" i="202" s="1"/>
  <c r="F132" i="43"/>
  <c r="F137" i="43"/>
  <c r="F127" i="43"/>
  <c r="F122" i="43"/>
  <c r="F117" i="43"/>
  <c r="AU59" i="202"/>
  <c r="AV59" i="202"/>
  <c r="AU38" i="202"/>
  <c r="AV38" i="202"/>
  <c r="AV47" i="202"/>
  <c r="AU47" i="202"/>
  <c r="M30" i="4"/>
  <c r="AB24" i="43"/>
  <c r="M37" i="4"/>
  <c r="AB31" i="43"/>
  <c r="M54" i="4"/>
  <c r="AB48" i="43"/>
  <c r="M70" i="4"/>
  <c r="AB64" i="43"/>
  <c r="M78" i="4"/>
  <c r="AB72" i="43"/>
  <c r="M66" i="4"/>
  <c r="AB60" i="43"/>
  <c r="M65" i="4"/>
  <c r="AB59" i="43"/>
  <c r="M56" i="4"/>
  <c r="AB50" i="43"/>
  <c r="M71" i="4"/>
  <c r="AB65" i="43"/>
  <c r="M46" i="4"/>
  <c r="AB40" i="43"/>
  <c r="AR61" i="202"/>
  <c r="M36" i="4"/>
  <c r="AB30" i="43"/>
  <c r="M38" i="4"/>
  <c r="AB32" i="43"/>
  <c r="M52" i="4"/>
  <c r="AB46" i="43"/>
  <c r="M35" i="4"/>
  <c r="AB29" i="43"/>
  <c r="AR72" i="202"/>
  <c r="M82" i="4"/>
  <c r="AB76" i="43"/>
  <c r="M45" i="4"/>
  <c r="AB39" i="43"/>
  <c r="M62" i="4"/>
  <c r="AB56" i="43"/>
  <c r="M73" i="4"/>
  <c r="AB67" i="43"/>
  <c r="AR63" i="202"/>
  <c r="AU37" i="202"/>
  <c r="AW37" i="202" s="1"/>
  <c r="AU30" i="202"/>
  <c r="AV30" i="202"/>
  <c r="AV26" i="202"/>
  <c r="AV36" i="202"/>
  <c r="AU36" i="202"/>
  <c r="AU27" i="202"/>
  <c r="AU25" i="202"/>
  <c r="AV25" i="202"/>
  <c r="AU20" i="202"/>
  <c r="AV24" i="202"/>
  <c r="AU24" i="202"/>
  <c r="AV35" i="202"/>
  <c r="AU28" i="202"/>
  <c r="AU32" i="202"/>
  <c r="AV32" i="202"/>
  <c r="AV34" i="202"/>
  <c r="AU34" i="202"/>
  <c r="AU29" i="202"/>
  <c r="AV29" i="202"/>
  <c r="AV39" i="202"/>
  <c r="AU39" i="202"/>
  <c r="AU18" i="202"/>
  <c r="AV18" i="202"/>
  <c r="X16" i="88"/>
  <c r="AV41" i="202"/>
  <c r="AU41" i="202"/>
  <c r="AU56" i="202"/>
  <c r="AV56" i="202"/>
  <c r="AV16" i="202"/>
  <c r="AU16" i="202"/>
  <c r="X14" i="88"/>
  <c r="AU15" i="202"/>
  <c r="AV15" i="202"/>
  <c r="AV50" i="202"/>
  <c r="AU50" i="202"/>
  <c r="AV71" i="202"/>
  <c r="AU71" i="202"/>
  <c r="AV49" i="202"/>
  <c r="AU49" i="202"/>
  <c r="AU70" i="202"/>
  <c r="AV70" i="202"/>
  <c r="AV17" i="202"/>
  <c r="AU17" i="202"/>
  <c r="AU43" i="202"/>
  <c r="AV43" i="202"/>
  <c r="AV53" i="202"/>
  <c r="AU53" i="202"/>
  <c r="AU42" i="202"/>
  <c r="AV42" i="202"/>
  <c r="AV51" i="202"/>
  <c r="AU51" i="202"/>
  <c r="AU40" i="202"/>
  <c r="AV40" i="202"/>
  <c r="AU57" i="202"/>
  <c r="AV57" i="202"/>
  <c r="AV58" i="202"/>
  <c r="AU58" i="202"/>
  <c r="AU54" i="202"/>
  <c r="AV54" i="202"/>
  <c r="AV55" i="202"/>
  <c r="AU55" i="202"/>
  <c r="AU45" i="202"/>
  <c r="AV45" i="202"/>
  <c r="AU65" i="202"/>
  <c r="AV65" i="202"/>
  <c r="AV64" i="202"/>
  <c r="AU64" i="202"/>
  <c r="X15" i="88"/>
  <c r="AU75" i="202"/>
  <c r="AV75" i="202"/>
  <c r="AV74" i="202"/>
  <c r="AU74" i="202"/>
  <c r="AU48" i="202"/>
  <c r="AV48" i="202"/>
  <c r="AV77" i="202"/>
  <c r="AU77" i="202"/>
  <c r="AU62" i="202"/>
  <c r="AV62" i="202"/>
  <c r="AV67" i="202"/>
  <c r="AU67" i="202"/>
  <c r="AU73" i="202"/>
  <c r="AV73" i="202"/>
  <c r="AV76" i="202"/>
  <c r="AU76" i="202"/>
  <c r="AV46" i="202"/>
  <c r="AU46" i="202"/>
  <c r="AU69" i="202"/>
  <c r="AV69" i="202"/>
  <c r="AU66" i="202"/>
  <c r="AV66" i="202"/>
  <c r="AV19" i="202"/>
  <c r="AU19" i="202"/>
  <c r="N61" i="204"/>
  <c r="P62" i="204"/>
  <c r="O65" i="203"/>
  <c r="AR44" i="202"/>
  <c r="AW23" i="202"/>
  <c r="AW22" i="202"/>
  <c r="N67" i="204"/>
  <c r="O68" i="204"/>
  <c r="P68" i="204"/>
  <c r="O69" i="204"/>
  <c r="N68" i="204"/>
  <c r="N69" i="204"/>
  <c r="P70" i="204"/>
  <c r="O70" i="204"/>
  <c r="B6" i="187" a="1"/>
  <c r="B6" i="187" s="1"/>
  <c r="P64" i="204"/>
  <c r="N63" i="204"/>
  <c r="O64" i="204"/>
  <c r="O63" i="204"/>
  <c r="P63" i="204"/>
  <c r="O65" i="204"/>
  <c r="N64" i="204"/>
  <c r="P65" i="204"/>
  <c r="P66" i="204"/>
  <c r="N65" i="204"/>
  <c r="O61" i="204"/>
  <c r="P61" i="204"/>
  <c r="O62" i="204"/>
  <c r="N62" i="204"/>
  <c r="P67" i="204"/>
  <c r="O67" i="204"/>
  <c r="N66" i="204"/>
  <c r="N70" i="204"/>
  <c r="BY7" i="204"/>
  <c r="BQ7" i="204"/>
  <c r="BI7" i="204"/>
  <c r="BA7" i="204"/>
  <c r="AS7" i="204"/>
  <c r="AK7" i="204"/>
  <c r="AC7" i="204"/>
  <c r="U7" i="204"/>
  <c r="BV7" i="204"/>
  <c r="BM7" i="204"/>
  <c r="BD7" i="204"/>
  <c r="AU7" i="204"/>
  <c r="AL7" i="204"/>
  <c r="AB7" i="204"/>
  <c r="S7" i="204"/>
  <c r="BU7" i="204"/>
  <c r="BL7" i="204"/>
  <c r="BC7" i="204"/>
  <c r="AT7" i="204"/>
  <c r="AJ7" i="204"/>
  <c r="AA7" i="204"/>
  <c r="R7" i="204"/>
  <c r="CA7" i="204"/>
  <c r="BO7" i="204"/>
  <c r="BB7" i="204"/>
  <c r="AP7" i="204"/>
  <c r="AE7" i="204"/>
  <c r="BX7" i="204"/>
  <c r="BK7" i="204"/>
  <c r="AY7" i="204"/>
  <c r="AN7" i="204"/>
  <c r="Z7" i="204"/>
  <c r="BZ7" i="204"/>
  <c r="BH7" i="204"/>
  <c r="AR7" i="204"/>
  <c r="AD7" i="204"/>
  <c r="BW7" i="204"/>
  <c r="BG7" i="204"/>
  <c r="AQ7" i="204"/>
  <c r="Y7" i="204"/>
  <c r="BT7" i="204"/>
  <c r="BF7" i="204"/>
  <c r="AO7" i="204"/>
  <c r="X7" i="204"/>
  <c r="BS7" i="204"/>
  <c r="BE7" i="204"/>
  <c r="AM7" i="204"/>
  <c r="W7" i="204"/>
  <c r="BR7" i="204"/>
  <c r="AZ7" i="204"/>
  <c r="AI7" i="204"/>
  <c r="V7" i="204"/>
  <c r="BP7" i="204"/>
  <c r="AX7" i="204"/>
  <c r="AH7" i="204"/>
  <c r="T7" i="204"/>
  <c r="BN7" i="204"/>
  <c r="AW7" i="204"/>
  <c r="AG7" i="204"/>
  <c r="BJ7" i="204"/>
  <c r="AV7" i="204"/>
  <c r="AF7" i="204"/>
  <c r="O61" i="203"/>
  <c r="B6" i="32" a="1"/>
  <c r="N67" i="203"/>
  <c r="P63" i="203"/>
  <c r="O63" i="203"/>
  <c r="N62" i="203"/>
  <c r="N61" i="203"/>
  <c r="P62" i="203"/>
  <c r="O62" i="203"/>
  <c r="O67" i="203"/>
  <c r="N66" i="203"/>
  <c r="P67" i="203"/>
  <c r="BT7" i="203"/>
  <c r="BL7" i="203"/>
  <c r="BD7" i="203"/>
  <c r="AV7" i="203"/>
  <c r="AN7" i="203"/>
  <c r="AF7" i="203"/>
  <c r="X7" i="203"/>
  <c r="CA7" i="203"/>
  <c r="BS7" i="203"/>
  <c r="BK7" i="203"/>
  <c r="BC7" i="203"/>
  <c r="AU7" i="203"/>
  <c r="AM7" i="203"/>
  <c r="AE7" i="203"/>
  <c r="W7" i="203"/>
  <c r="BX7" i="203"/>
  <c r="BN7" i="203"/>
  <c r="BB7" i="203"/>
  <c r="AR7" i="203"/>
  <c r="AH7" i="203"/>
  <c r="V7" i="203"/>
  <c r="BW7" i="203"/>
  <c r="BM7" i="203"/>
  <c r="BA7" i="203"/>
  <c r="AQ7" i="203"/>
  <c r="AG7" i="203"/>
  <c r="U7" i="203"/>
  <c r="BV7" i="203"/>
  <c r="BJ7" i="203"/>
  <c r="AZ7" i="203"/>
  <c r="AP7" i="203"/>
  <c r="AD7" i="203"/>
  <c r="T7" i="203"/>
  <c r="BY7" i="203"/>
  <c r="BG7" i="203"/>
  <c r="AO7" i="203"/>
  <c r="Z7" i="203"/>
  <c r="BU7" i="203"/>
  <c r="BF7" i="203"/>
  <c r="AL7" i="203"/>
  <c r="Y7" i="203"/>
  <c r="BR7" i="203"/>
  <c r="BE7" i="203"/>
  <c r="AK7" i="203"/>
  <c r="S7" i="203"/>
  <c r="BQ7" i="203"/>
  <c r="AY7" i="203"/>
  <c r="AJ7" i="203"/>
  <c r="R7" i="203"/>
  <c r="BP7" i="203"/>
  <c r="AX7" i="203"/>
  <c r="AI7" i="203"/>
  <c r="BI7" i="203"/>
  <c r="AS7" i="203"/>
  <c r="BH7" i="203"/>
  <c r="AW7" i="203"/>
  <c r="AT7" i="203"/>
  <c r="AC7" i="203"/>
  <c r="BZ7" i="203"/>
  <c r="AB7" i="203"/>
  <c r="BO7" i="203"/>
  <c r="AA7" i="203"/>
  <c r="O66" i="203"/>
  <c r="N65" i="203"/>
  <c r="P66" i="203"/>
  <c r="O64" i="203"/>
  <c r="N63" i="203"/>
  <c r="AW31" i="202"/>
  <c r="AW21" i="202"/>
  <c r="AR68" i="202"/>
  <c r="AR60" i="202"/>
  <c r="AR52" i="202"/>
  <c r="D48" i="202"/>
  <c r="C52" i="202"/>
  <c r="D52" i="202" s="1"/>
  <c r="C51" i="202"/>
  <c r="D51" i="202" s="1"/>
  <c r="C53" i="202"/>
  <c r="D53" i="202" s="1"/>
  <c r="C49" i="202"/>
  <c r="D49" i="202" s="1"/>
  <c r="C50" i="202"/>
  <c r="D50" i="202" s="1"/>
  <c r="J60" i="203"/>
  <c r="E24" i="203"/>
  <c r="E14" i="204"/>
  <c r="E38" i="204"/>
  <c r="E21" i="204"/>
  <c r="E29" i="204"/>
  <c r="E17" i="203"/>
  <c r="E26" i="204"/>
  <c r="E32" i="203"/>
  <c r="E27" i="204"/>
  <c r="E9" i="204"/>
  <c r="E13" i="204"/>
  <c r="E46" i="204"/>
  <c r="E45" i="204"/>
  <c r="E16" i="204"/>
  <c r="E39" i="204"/>
  <c r="E9" i="203"/>
  <c r="E36" i="204"/>
  <c r="E16" i="203"/>
  <c r="E34" i="204"/>
  <c r="I4" i="202"/>
  <c r="E33" i="203"/>
  <c r="E22" i="204"/>
  <c r="E25" i="203"/>
  <c r="E30" i="204"/>
  <c r="E35" i="204"/>
  <c r="E40" i="203"/>
  <c r="E37" i="204"/>
  <c r="E19" i="204"/>
  <c r="E17" i="204"/>
  <c r="E20" i="204"/>
  <c r="E23" i="204"/>
  <c r="AT63" i="202"/>
  <c r="AT68" i="202"/>
  <c r="AT20" i="202"/>
  <c r="AS72" i="202"/>
  <c r="AS44" i="202"/>
  <c r="F51" i="202"/>
  <c r="G42" i="202"/>
  <c r="G40" i="202"/>
  <c r="F53" i="202"/>
  <c r="AS61" i="202"/>
  <c r="AS35" i="202"/>
  <c r="E50" i="202"/>
  <c r="G41" i="202"/>
  <c r="AT60" i="202"/>
  <c r="AS52" i="202"/>
  <c r="AT61" i="202"/>
  <c r="AT72" i="202"/>
  <c r="AT28" i="202"/>
  <c r="F48" i="202"/>
  <c r="E51" i="202"/>
  <c r="E52" i="202"/>
  <c r="F52" i="202"/>
  <c r="AT44" i="202"/>
  <c r="F50" i="202"/>
  <c r="AS26" i="202"/>
  <c r="G44" i="202"/>
  <c r="E49" i="202"/>
  <c r="AT27" i="202"/>
  <c r="AS68" i="202"/>
  <c r="G43" i="202"/>
  <c r="F49" i="202"/>
  <c r="E48" i="202"/>
  <c r="E53" i="202"/>
  <c r="AS60" i="202"/>
  <c r="AS63" i="202"/>
  <c r="G39" i="202"/>
  <c r="AT52" i="202"/>
  <c r="B1233" i="242" l="1"/>
  <c r="A1232" i="242"/>
  <c r="B67" i="242"/>
  <c r="A66" i="242"/>
  <c r="B311" i="242"/>
  <c r="A310" i="242"/>
  <c r="A1800" i="242"/>
  <c r="B1801" i="242"/>
  <c r="B2486" i="242"/>
  <c r="A2485" i="242"/>
  <c r="B2296" i="242"/>
  <c r="A2295" i="242"/>
  <c r="A679" i="242"/>
  <c r="B680" i="242"/>
  <c r="A2647" i="242"/>
  <c r="B2648" i="242"/>
  <c r="A2071" i="242"/>
  <c r="B2072" i="242"/>
  <c r="A207" i="242"/>
  <c r="B208" i="242"/>
  <c r="A595" i="242"/>
  <c r="B596" i="242"/>
  <c r="A1486" i="242"/>
  <c r="B1487" i="242"/>
  <c r="A2949" i="242"/>
  <c r="B2950" i="242"/>
  <c r="B91" i="241"/>
  <c r="A90" i="241"/>
  <c r="B267" i="241"/>
  <c r="A266" i="241"/>
  <c r="B776" i="242"/>
  <c r="A775" i="242"/>
  <c r="AU35" i="202"/>
  <c r="AW35" i="202" s="1"/>
  <c r="AW38" i="202"/>
  <c r="AW59" i="202"/>
  <c r="AW47" i="202"/>
  <c r="AV63" i="202"/>
  <c r="AU63" i="202"/>
  <c r="AU61" i="202"/>
  <c r="AV61" i="202"/>
  <c r="AU72" i="202"/>
  <c r="AV72" i="202"/>
  <c r="AU26" i="202"/>
  <c r="AW26" i="202" s="1"/>
  <c r="AV27" i="202"/>
  <c r="AW27" i="202" s="1"/>
  <c r="AV28" i="202"/>
  <c r="AW28" i="202" s="1"/>
  <c r="AV20" i="202"/>
  <c r="AW20" i="202" s="1"/>
  <c r="AW30" i="202"/>
  <c r="AV52" i="202"/>
  <c r="AU52" i="202"/>
  <c r="AV60" i="202"/>
  <c r="AU60" i="202"/>
  <c r="AV44" i="202"/>
  <c r="AU44" i="202"/>
  <c r="AU68" i="202"/>
  <c r="AV68" i="202"/>
  <c r="B19" i="187"/>
  <c r="AW19" i="202"/>
  <c r="AW54" i="202"/>
  <c r="AW65" i="202"/>
  <c r="R8" i="203" a="1"/>
  <c r="AW57" i="202"/>
  <c r="B30" i="187"/>
  <c r="B56" i="187"/>
  <c r="B60" i="187"/>
  <c r="B21" i="187"/>
  <c r="B16" i="187"/>
  <c r="B7" i="187"/>
  <c r="B41" i="187"/>
  <c r="B27" i="187"/>
  <c r="AW75" i="202"/>
  <c r="AW42" i="202"/>
  <c r="AW34" i="202"/>
  <c r="AW25" i="202"/>
  <c r="AW73" i="202"/>
  <c r="AW53" i="202"/>
  <c r="AW40" i="202"/>
  <c r="AW45" i="202"/>
  <c r="B55" i="187"/>
  <c r="B43" i="187"/>
  <c r="B45" i="187"/>
  <c r="B37" i="187"/>
  <c r="B26" i="187"/>
  <c r="B39" i="187"/>
  <c r="B62" i="187"/>
  <c r="B40" i="187"/>
  <c r="B65" i="187"/>
  <c r="B28" i="187"/>
  <c r="B51" i="187"/>
  <c r="B66" i="187"/>
  <c r="B13" i="187"/>
  <c r="B42" i="187"/>
  <c r="B67" i="187"/>
  <c r="B53" i="187"/>
  <c r="R8" i="204" a="1"/>
  <c r="AW62" i="202"/>
  <c r="B24" i="187"/>
  <c r="B23" i="187"/>
  <c r="B25" i="187"/>
  <c r="B57" i="187"/>
  <c r="B8" i="187"/>
  <c r="B14" i="187"/>
  <c r="B69" i="187"/>
  <c r="B12" i="187"/>
  <c r="B49" i="187"/>
  <c r="B48" i="187"/>
  <c r="B50" i="187"/>
  <c r="B58" i="187"/>
  <c r="B9" i="187"/>
  <c r="B20" i="187"/>
  <c r="B61" i="187"/>
  <c r="B70" i="187"/>
  <c r="AW18" i="202"/>
  <c r="B34" i="187"/>
  <c r="B59" i="187"/>
  <c r="B38" i="187"/>
  <c r="B22" i="187"/>
  <c r="B52" i="187"/>
  <c r="B32" i="187"/>
  <c r="B31" i="187"/>
  <c r="B47" i="187"/>
  <c r="B63" i="187"/>
  <c r="B11" i="187"/>
  <c r="B44" i="187"/>
  <c r="B54" i="187"/>
  <c r="B29" i="187"/>
  <c r="B35" i="187"/>
  <c r="B15" i="187"/>
  <c r="B10" i="187"/>
  <c r="B18" i="187"/>
  <c r="B17" i="187"/>
  <c r="B33" i="187"/>
  <c r="B64" i="187"/>
  <c r="B46" i="187"/>
  <c r="B68" i="187"/>
  <c r="B36" i="187"/>
  <c r="AW48" i="202"/>
  <c r="AW49" i="202"/>
  <c r="B12" i="32"/>
  <c r="B20" i="32"/>
  <c r="B28" i="32"/>
  <c r="E28" i="32" s="1"/>
  <c r="B36" i="32"/>
  <c r="B44" i="32"/>
  <c r="B52" i="32"/>
  <c r="B60" i="32"/>
  <c r="B68" i="32"/>
  <c r="B37" i="32"/>
  <c r="B53" i="32"/>
  <c r="B69" i="32"/>
  <c r="B13" i="32"/>
  <c r="B21" i="32"/>
  <c r="B29" i="32"/>
  <c r="E29" i="32" s="1"/>
  <c r="B45" i="32"/>
  <c r="B61" i="32"/>
  <c r="B6" i="32"/>
  <c r="B14" i="32"/>
  <c r="B22" i="32"/>
  <c r="B30" i="32"/>
  <c r="E30" i="32" s="1"/>
  <c r="B38" i="32"/>
  <c r="B46" i="32"/>
  <c r="B54" i="32"/>
  <c r="B62" i="32"/>
  <c r="B70" i="32"/>
  <c r="B15" i="32"/>
  <c r="B26" i="32"/>
  <c r="E26" i="32" s="1"/>
  <c r="B40" i="32"/>
  <c r="B51" i="32"/>
  <c r="B65" i="32"/>
  <c r="B17" i="32"/>
  <c r="B31" i="32"/>
  <c r="B42" i="32"/>
  <c r="B56" i="32"/>
  <c r="B67" i="32"/>
  <c r="B7" i="32"/>
  <c r="B57" i="32"/>
  <c r="B8" i="32"/>
  <c r="B47" i="32"/>
  <c r="B35" i="32"/>
  <c r="B63" i="32"/>
  <c r="B16" i="32"/>
  <c r="B27" i="32"/>
  <c r="E27" i="32" s="1"/>
  <c r="B41" i="32"/>
  <c r="B55" i="32"/>
  <c r="B66" i="32"/>
  <c r="B32" i="32"/>
  <c r="B33" i="32"/>
  <c r="B18" i="32"/>
  <c r="B43" i="32"/>
  <c r="B19" i="32"/>
  <c r="B58" i="32"/>
  <c r="B49" i="32"/>
  <c r="B9" i="32"/>
  <c r="B23" i="32"/>
  <c r="B34" i="32"/>
  <c r="B48" i="32"/>
  <c r="B59" i="32"/>
  <c r="B11" i="32"/>
  <c r="B25" i="32"/>
  <c r="E25" i="32" s="1"/>
  <c r="B39" i="32"/>
  <c r="B50" i="32"/>
  <c r="B64" i="32"/>
  <c r="B24" i="32"/>
  <c r="B10" i="32"/>
  <c r="AW66" i="202"/>
  <c r="AW64" i="202"/>
  <c r="AW77" i="202"/>
  <c r="AW74" i="202"/>
  <c r="AW17" i="202"/>
  <c r="AW70" i="202"/>
  <c r="AW24" i="202"/>
  <c r="AW50" i="202"/>
  <c r="AW71" i="202"/>
  <c r="AW16" i="202"/>
  <c r="AW51" i="202"/>
  <c r="AW55" i="202"/>
  <c r="AW76" i="202"/>
  <c r="AW32" i="202"/>
  <c r="AW43" i="202"/>
  <c r="AW29" i="202"/>
  <c r="AW58" i="202"/>
  <c r="AW56" i="202"/>
  <c r="AW36" i="202"/>
  <c r="AW41" i="202"/>
  <c r="AW39" i="202"/>
  <c r="AW67" i="202"/>
  <c r="AW69" i="202"/>
  <c r="AW46" i="202"/>
  <c r="AW15" i="202"/>
  <c r="I5" i="202"/>
  <c r="G48" i="202"/>
  <c r="G50" i="202"/>
  <c r="G51" i="202"/>
  <c r="G52" i="202"/>
  <c r="G49" i="202"/>
  <c r="G53" i="202"/>
  <c r="B597" i="242" l="1"/>
  <c r="A596" i="242"/>
  <c r="B1488" i="242"/>
  <c r="A1487" i="242"/>
  <c r="A2486" i="242"/>
  <c r="B2487" i="242"/>
  <c r="B209" i="242"/>
  <c r="A208" i="242"/>
  <c r="A1801" i="242"/>
  <c r="B1802" i="242"/>
  <c r="A776" i="242"/>
  <c r="B777" i="242"/>
  <c r="A267" i="241"/>
  <c r="B268" i="241"/>
  <c r="A311" i="242"/>
  <c r="B312" i="242"/>
  <c r="B2073" i="242"/>
  <c r="A2072" i="242"/>
  <c r="A2648" i="242"/>
  <c r="B2649" i="242"/>
  <c r="A91" i="241"/>
  <c r="B92" i="241"/>
  <c r="A67" i="242"/>
  <c r="B68" i="242"/>
  <c r="B2951" i="242"/>
  <c r="A2950" i="242"/>
  <c r="A680" i="242"/>
  <c r="B681" i="242"/>
  <c r="A2296" i="242"/>
  <c r="B2297" i="242"/>
  <c r="A1233" i="242"/>
  <c r="B1234" i="242"/>
  <c r="AW61" i="202"/>
  <c r="AW63" i="202"/>
  <c r="AW72" i="202"/>
  <c r="AW44" i="202"/>
  <c r="R8" i="203"/>
  <c r="X8" i="203"/>
  <c r="AN8" i="203"/>
  <c r="Y8" i="203"/>
  <c r="BD8" i="203"/>
  <c r="AF8" i="203"/>
  <c r="AO8" i="203"/>
  <c r="AG8" i="203"/>
  <c r="BE8" i="203"/>
  <c r="BL8" i="203"/>
  <c r="BM8" i="203"/>
  <c r="BS8" i="203"/>
  <c r="AL8" i="203"/>
  <c r="BP8" i="203"/>
  <c r="AI8" i="203"/>
  <c r="BI8" i="203"/>
  <c r="AT8" i="203"/>
  <c r="BK8" i="203"/>
  <c r="AD8" i="203"/>
  <c r="BH8" i="203"/>
  <c r="AA8" i="203"/>
  <c r="BT8" i="203"/>
  <c r="V8" i="203"/>
  <c r="AZ8" i="203"/>
  <c r="S8" i="203"/>
  <c r="BQ8" i="203"/>
  <c r="AJ8" i="203"/>
  <c r="BA8" i="203"/>
  <c r="T8" i="203"/>
  <c r="AX8" i="203"/>
  <c r="BC8" i="203"/>
  <c r="W8" i="203"/>
  <c r="BU8" i="203"/>
  <c r="AQ8" i="203"/>
  <c r="AU8" i="203"/>
  <c r="BY8" i="203"/>
  <c r="AR8" i="203"/>
  <c r="BV8" i="203"/>
  <c r="AM8" i="203"/>
  <c r="BN8" i="203"/>
  <c r="AE8" i="203"/>
  <c r="AB8" i="203"/>
  <c r="BF8" i="203"/>
  <c r="BZ8" i="203"/>
  <c r="AS8" i="203"/>
  <c r="BW8" i="203"/>
  <c r="AP8" i="203"/>
  <c r="AC8" i="203"/>
  <c r="CA8" i="203"/>
  <c r="BR8" i="203"/>
  <c r="AK8" i="203"/>
  <c r="BO8" i="203"/>
  <c r="AH8" i="203"/>
  <c r="AW8" i="203"/>
  <c r="BJ8" i="203"/>
  <c r="BG8" i="203"/>
  <c r="Z8" i="203"/>
  <c r="AV8" i="203"/>
  <c r="BB8" i="203"/>
  <c r="U8" i="203"/>
  <c r="AY8" i="203"/>
  <c r="BX8" i="203"/>
  <c r="AW68" i="202"/>
  <c r="AW52" i="202"/>
  <c r="BZ8" i="204"/>
  <c r="BR8" i="204"/>
  <c r="BJ8" i="204"/>
  <c r="BB8" i="204"/>
  <c r="AT8" i="204"/>
  <c r="AL8" i="204"/>
  <c r="AD8" i="204"/>
  <c r="V8" i="204"/>
  <c r="BY8" i="204"/>
  <c r="BQ8" i="204"/>
  <c r="BI8" i="204"/>
  <c r="CA8" i="204"/>
  <c r="BO8" i="204"/>
  <c r="BE8" i="204"/>
  <c r="AV8" i="204"/>
  <c r="AM8" i="204"/>
  <c r="AC8" i="204"/>
  <c r="T8" i="204"/>
  <c r="BX8" i="204"/>
  <c r="BN8" i="204"/>
  <c r="BD8" i="204"/>
  <c r="AU8" i="204"/>
  <c r="AK8" i="204"/>
  <c r="AB8" i="204"/>
  <c r="S8" i="204"/>
  <c r="BM8" i="204"/>
  <c r="AZ8" i="204"/>
  <c r="AO8" i="204"/>
  <c r="AA8" i="204"/>
  <c r="BW8" i="204"/>
  <c r="BK8" i="204"/>
  <c r="AX8" i="204"/>
  <c r="AJ8" i="204"/>
  <c r="Y8" i="204"/>
  <c r="BL8" i="204"/>
  <c r="AS8" i="204"/>
  <c r="AF8" i="204"/>
  <c r="BH8" i="204"/>
  <c r="AR8" i="204"/>
  <c r="AE8" i="204"/>
  <c r="BG8" i="204"/>
  <c r="AQ8" i="204"/>
  <c r="Z8" i="204"/>
  <c r="BV8" i="204"/>
  <c r="BF8" i="204"/>
  <c r="AP8" i="204"/>
  <c r="X8" i="204"/>
  <c r="BU8" i="204"/>
  <c r="BC8" i="204"/>
  <c r="AN8" i="204"/>
  <c r="W8" i="204"/>
  <c r="BT8" i="204"/>
  <c r="BA8" i="204"/>
  <c r="AI8" i="204"/>
  <c r="U8" i="204"/>
  <c r="BS8" i="204"/>
  <c r="AY8" i="204"/>
  <c r="AH8" i="204"/>
  <c r="R8" i="204"/>
  <c r="BP8" i="204"/>
  <c r="AW8" i="204"/>
  <c r="AG8" i="204"/>
  <c r="BU60" i="203"/>
  <c r="BM60" i="203"/>
  <c r="BE60" i="203"/>
  <c r="AW60" i="203"/>
  <c r="AO60" i="203"/>
  <c r="AG60" i="203"/>
  <c r="Y60" i="203"/>
  <c r="BT60" i="203"/>
  <c r="BL60" i="203"/>
  <c r="BD60" i="203"/>
  <c r="AV60" i="203"/>
  <c r="AN60" i="203"/>
  <c r="AF60" i="203"/>
  <c r="X60" i="203"/>
  <c r="BY60" i="203"/>
  <c r="BO60" i="203"/>
  <c r="BC60" i="203"/>
  <c r="AS60" i="203"/>
  <c r="AI60" i="203"/>
  <c r="W60" i="203"/>
  <c r="BX60" i="203"/>
  <c r="BN60" i="203"/>
  <c r="BB60" i="203"/>
  <c r="AR60" i="203"/>
  <c r="AH60" i="203"/>
  <c r="V60" i="203"/>
  <c r="BW60" i="203"/>
  <c r="BK60" i="203"/>
  <c r="BA60" i="203"/>
  <c r="AQ60" i="203"/>
  <c r="AE60" i="203"/>
  <c r="U60" i="203"/>
  <c r="BJ60" i="203"/>
  <c r="AU60" i="203"/>
  <c r="AC60" i="203"/>
  <c r="CA60" i="203"/>
  <c r="BI60" i="203"/>
  <c r="AT60" i="203"/>
  <c r="AB60" i="203"/>
  <c r="BZ60" i="203"/>
  <c r="BH60" i="203"/>
  <c r="AP60" i="203"/>
  <c r="AA60" i="203"/>
  <c r="BV60" i="203"/>
  <c r="BG60" i="203"/>
  <c r="AM60" i="203"/>
  <c r="Z60" i="203"/>
  <c r="BS60" i="203"/>
  <c r="BF60" i="203"/>
  <c r="AL60" i="203"/>
  <c r="T60" i="203"/>
  <c r="AX60" i="203"/>
  <c r="BQ60" i="203"/>
  <c r="S60" i="203"/>
  <c r="AK60" i="203"/>
  <c r="AJ60" i="203"/>
  <c r="BR60" i="203"/>
  <c r="AD60" i="203"/>
  <c r="BP60" i="203"/>
  <c r="R60" i="203"/>
  <c r="AZ60" i="203"/>
  <c r="AY60" i="203"/>
  <c r="AW60" i="202"/>
  <c r="A2649" i="242" l="1"/>
  <c r="B2650" i="242"/>
  <c r="A68" i="242"/>
  <c r="B69" i="242"/>
  <c r="A777" i="242"/>
  <c r="B778" i="242"/>
  <c r="A209" i="242"/>
  <c r="B210" i="242"/>
  <c r="A1234" i="242"/>
  <c r="B1235" i="242"/>
  <c r="A2297" i="242"/>
  <c r="B2298" i="242"/>
  <c r="B2074" i="242"/>
  <c r="A2073" i="242"/>
  <c r="A92" i="241"/>
  <c r="B93" i="241"/>
  <c r="B2488" i="242"/>
  <c r="A2487" i="242"/>
  <c r="B682" i="242"/>
  <c r="A681" i="242"/>
  <c r="A312" i="242"/>
  <c r="B313" i="242"/>
  <c r="B1489" i="242"/>
  <c r="A1488" i="242"/>
  <c r="A268" i="241"/>
  <c r="B269" i="241"/>
  <c r="B1803" i="242"/>
  <c r="A1802" i="242"/>
  <c r="B2952" i="242"/>
  <c r="A2951" i="242"/>
  <c r="B598" i="242"/>
  <c r="A597" i="242"/>
  <c r="L60" i="203"/>
  <c r="B2299" i="242" l="1"/>
  <c r="A2298" i="242"/>
  <c r="B1236" i="242"/>
  <c r="A1235" i="242"/>
  <c r="B211" i="242"/>
  <c r="A210" i="242"/>
  <c r="B599" i="242"/>
  <c r="A598" i="242"/>
  <c r="A682" i="242"/>
  <c r="B683" i="242"/>
  <c r="A2952" i="242"/>
  <c r="B2953" i="242"/>
  <c r="A2488" i="242"/>
  <c r="B2489" i="242"/>
  <c r="B779" i="242"/>
  <c r="A778" i="242"/>
  <c r="A93" i="241"/>
  <c r="B94" i="241"/>
  <c r="A69" i="242"/>
  <c r="B70" i="242"/>
  <c r="B314" i="242"/>
  <c r="A313" i="242"/>
  <c r="A1803" i="242"/>
  <c r="B1804" i="242"/>
  <c r="B1490" i="242"/>
  <c r="A1489" i="242"/>
  <c r="A269" i="241"/>
  <c r="B270" i="241"/>
  <c r="B2651" i="242"/>
  <c r="A2650" i="242"/>
  <c r="B2075" i="242"/>
  <c r="A2074" i="242"/>
  <c r="B95" i="241" l="1"/>
  <c r="A94" i="241"/>
  <c r="A1804" i="242"/>
  <c r="B1805" i="242"/>
  <c r="A2953" i="242"/>
  <c r="B2954" i="242"/>
  <c r="A683" i="242"/>
  <c r="B684" i="242"/>
  <c r="B71" i="242"/>
  <c r="A70" i="242"/>
  <c r="A2075" i="242"/>
  <c r="B2076" i="242"/>
  <c r="A599" i="242"/>
  <c r="B600" i="242"/>
  <c r="B2652" i="242"/>
  <c r="A2651" i="242"/>
  <c r="A211" i="242"/>
  <c r="B212" i="242"/>
  <c r="B271" i="241"/>
  <c r="A270" i="241"/>
  <c r="B780" i="242"/>
  <c r="A779" i="242"/>
  <c r="B1237" i="242"/>
  <c r="A1236" i="242"/>
  <c r="B2490" i="242"/>
  <c r="A2489" i="242"/>
  <c r="A314" i="242"/>
  <c r="B315" i="242"/>
  <c r="A1490" i="242"/>
  <c r="B1491" i="242"/>
  <c r="B2300" i="242"/>
  <c r="A2299" i="242"/>
  <c r="A2076" i="242" l="1"/>
  <c r="B2077" i="242"/>
  <c r="A1237" i="242"/>
  <c r="B1238" i="242"/>
  <c r="B685" i="242"/>
  <c r="A684" i="242"/>
  <c r="A2300" i="242"/>
  <c r="B2301" i="242"/>
  <c r="A271" i="241"/>
  <c r="B272" i="241"/>
  <c r="A315" i="242"/>
  <c r="B316" i="242"/>
  <c r="A1805" i="242"/>
  <c r="B1806" i="242"/>
  <c r="A71" i="242"/>
  <c r="B72" i="242"/>
  <c r="B213" i="242"/>
  <c r="A212" i="242"/>
  <c r="A2652" i="242"/>
  <c r="B2653" i="242"/>
  <c r="B2955" i="242"/>
  <c r="A2954" i="242"/>
  <c r="A600" i="242"/>
  <c r="B601" i="242"/>
  <c r="A780" i="242"/>
  <c r="B781" i="242"/>
  <c r="B1492" i="242"/>
  <c r="A1491" i="242"/>
  <c r="A2490" i="242"/>
  <c r="B2491" i="242"/>
  <c r="A95" i="241"/>
  <c r="B96" i="241"/>
  <c r="B602" i="242" l="1"/>
  <c r="A601" i="242"/>
  <c r="A316" i="242"/>
  <c r="B317" i="242"/>
  <c r="B214" i="242"/>
  <c r="A213" i="242"/>
  <c r="A685" i="242"/>
  <c r="B686" i="242"/>
  <c r="A272" i="241"/>
  <c r="B273" i="241"/>
  <c r="B2654" i="242"/>
  <c r="A2653" i="242"/>
  <c r="B73" i="242"/>
  <c r="A72" i="242"/>
  <c r="A1238" i="242"/>
  <c r="B1239" i="242"/>
  <c r="B2302" i="242"/>
  <c r="A2301" i="242"/>
  <c r="A2491" i="242"/>
  <c r="B2492" i="242"/>
  <c r="B1493" i="242"/>
  <c r="A1492" i="242"/>
  <c r="B2956" i="242"/>
  <c r="A2955" i="242"/>
  <c r="A781" i="242"/>
  <c r="B782" i="242"/>
  <c r="B1807" i="242"/>
  <c r="A1806" i="242"/>
  <c r="B2078" i="242"/>
  <c r="A2077" i="242"/>
  <c r="A96" i="241"/>
  <c r="B97" i="241"/>
  <c r="A2956" i="242" l="1"/>
  <c r="B2957" i="242"/>
  <c r="A2957" i="242" s="1"/>
  <c r="B2655" i="242"/>
  <c r="A2654" i="242"/>
  <c r="A273" i="241"/>
  <c r="B274" i="241"/>
  <c r="A686" i="242"/>
  <c r="B687" i="242"/>
  <c r="B2079" i="242"/>
  <c r="A2078" i="242"/>
  <c r="B2303" i="242"/>
  <c r="A2302" i="242"/>
  <c r="B215" i="242"/>
  <c r="A214" i="242"/>
  <c r="A97" i="241"/>
  <c r="B98" i="241"/>
  <c r="B1240" i="242"/>
  <c r="A1239" i="242"/>
  <c r="B318" i="242"/>
  <c r="A317" i="242"/>
  <c r="B1494" i="242"/>
  <c r="A1493" i="242"/>
  <c r="A1807" i="242"/>
  <c r="B1808" i="242"/>
  <c r="A2492" i="242"/>
  <c r="B2493" i="242"/>
  <c r="B783" i="242"/>
  <c r="A782" i="242"/>
  <c r="A73" i="242"/>
  <c r="B74" i="242"/>
  <c r="A602" i="242"/>
  <c r="B603" i="242"/>
  <c r="B1809" i="242" l="1"/>
  <c r="A1808" i="242"/>
  <c r="B319" i="242"/>
  <c r="A318" i="242"/>
  <c r="A603" i="242"/>
  <c r="B604" i="242"/>
  <c r="B1241" i="242"/>
  <c r="A1240" i="242"/>
  <c r="B75" i="242"/>
  <c r="A74" i="242"/>
  <c r="B99" i="241"/>
  <c r="A98" i="241"/>
  <c r="B2304" i="242"/>
  <c r="A2303" i="242"/>
  <c r="A1494" i="242"/>
  <c r="B1495" i="242"/>
  <c r="A783" i="242"/>
  <c r="B784" i="242"/>
  <c r="B2656" i="242"/>
  <c r="A2655" i="242"/>
  <c r="A2079" i="242"/>
  <c r="B2080" i="242"/>
  <c r="B275" i="241"/>
  <c r="A274" i="241"/>
  <c r="B2494" i="242"/>
  <c r="A2493" i="242"/>
  <c r="A687" i="242"/>
  <c r="B688" i="242"/>
  <c r="A215" i="242"/>
  <c r="B216" i="242"/>
  <c r="A275" i="241" l="1"/>
  <c r="B276" i="241"/>
  <c r="A99" i="241"/>
  <c r="B100" i="241"/>
  <c r="A2656" i="242"/>
  <c r="B2657" i="242"/>
  <c r="A1241" i="242"/>
  <c r="B1242" i="242"/>
  <c r="A2080" i="242"/>
  <c r="B2081" i="242"/>
  <c r="B217" i="242"/>
  <c r="A216" i="242"/>
  <c r="A75" i="242"/>
  <c r="B76" i="242"/>
  <c r="A1495" i="242"/>
  <c r="B1496" i="242"/>
  <c r="B605" i="242"/>
  <c r="A604" i="242"/>
  <c r="A319" i="242"/>
  <c r="B320" i="242"/>
  <c r="A784" i="242"/>
  <c r="B785" i="242"/>
  <c r="B689" i="242"/>
  <c r="A688" i="242"/>
  <c r="A2494" i="242"/>
  <c r="B2495" i="242"/>
  <c r="A2304" i="242"/>
  <c r="B2305" i="242"/>
  <c r="B1810" i="242"/>
  <c r="A1809" i="242"/>
  <c r="B690" i="242" l="1"/>
  <c r="A689" i="242"/>
  <c r="A1242" i="242"/>
  <c r="B1243" i="242"/>
  <c r="A605" i="242"/>
  <c r="B606" i="242"/>
  <c r="B2082" i="242"/>
  <c r="A2081" i="242"/>
  <c r="A2305" i="242"/>
  <c r="B2306" i="242"/>
  <c r="A1496" i="242"/>
  <c r="B1497" i="242"/>
  <c r="A100" i="241"/>
  <c r="B101" i="241"/>
  <c r="B218" i="242"/>
  <c r="A217" i="242"/>
  <c r="A320" i="242"/>
  <c r="B321" i="242"/>
  <c r="A785" i="242"/>
  <c r="B786" i="242"/>
  <c r="B1811" i="242"/>
  <c r="A1810" i="242"/>
  <c r="B2496" i="242"/>
  <c r="A2495" i="242"/>
  <c r="A76" i="242"/>
  <c r="B77" i="242"/>
  <c r="A276" i="241"/>
  <c r="B277" i="241"/>
  <c r="B2658" i="242"/>
  <c r="A2657" i="242"/>
  <c r="A2496" i="242" l="1"/>
  <c r="B2497" i="242"/>
  <c r="A1811" i="242"/>
  <c r="B1812" i="242"/>
  <c r="B2083" i="242"/>
  <c r="A2082" i="242"/>
  <c r="A786" i="242"/>
  <c r="B787" i="242"/>
  <c r="A1243" i="242"/>
  <c r="B1244" i="242"/>
  <c r="B607" i="242"/>
  <c r="A606" i="242"/>
  <c r="B219" i="242"/>
  <c r="A218" i="242"/>
  <c r="B1498" i="242"/>
  <c r="A1497" i="242"/>
  <c r="A2306" i="242"/>
  <c r="B2307" i="242"/>
  <c r="A321" i="242"/>
  <c r="B322" i="242"/>
  <c r="A277" i="241"/>
  <c r="B278" i="241"/>
  <c r="A77" i="242"/>
  <c r="B78" i="242"/>
  <c r="A101" i="241"/>
  <c r="B102" i="241"/>
  <c r="B2659" i="242"/>
  <c r="A2658" i="242"/>
  <c r="B691" i="242"/>
  <c r="A690" i="242"/>
  <c r="A78" i="242" l="1"/>
  <c r="B79" i="242"/>
  <c r="A322" i="242"/>
  <c r="B323" i="242"/>
  <c r="A691" i="242"/>
  <c r="B692" i="242"/>
  <c r="A2083" i="242"/>
  <c r="B2084" i="242"/>
  <c r="B279" i="241"/>
  <c r="A278" i="241"/>
  <c r="B788" i="242"/>
  <c r="A787" i="242"/>
  <c r="B1813" i="242"/>
  <c r="A1812" i="242"/>
  <c r="B1245" i="242"/>
  <c r="A1244" i="242"/>
  <c r="B2660" i="242"/>
  <c r="A2659" i="242"/>
  <c r="A1498" i="242"/>
  <c r="B1499" i="242"/>
  <c r="A607" i="242"/>
  <c r="B608" i="242"/>
  <c r="A102" i="241"/>
  <c r="B103" i="241"/>
  <c r="B2498" i="242"/>
  <c r="A2497" i="242"/>
  <c r="B2308" i="242"/>
  <c r="A2307" i="242"/>
  <c r="A219" i="242"/>
  <c r="B220" i="242"/>
  <c r="A2660" i="242" l="1"/>
  <c r="B2661" i="242"/>
  <c r="B609" i="242"/>
  <c r="A608" i="242"/>
  <c r="A220" i="242"/>
  <c r="B221" i="242"/>
  <c r="A323" i="242"/>
  <c r="B324" i="242"/>
  <c r="A788" i="242"/>
  <c r="B789" i="242"/>
  <c r="B1500" i="242"/>
  <c r="A1499" i="242"/>
  <c r="A692" i="242"/>
  <c r="B693" i="242"/>
  <c r="A2308" i="242"/>
  <c r="B2309" i="242"/>
  <c r="A1245" i="242"/>
  <c r="B1246" i="242"/>
  <c r="B2085" i="242"/>
  <c r="A2084" i="242"/>
  <c r="A79" i="242"/>
  <c r="B80" i="242"/>
  <c r="A103" i="241"/>
  <c r="B104" i="241"/>
  <c r="A279" i="241"/>
  <c r="B280" i="241"/>
  <c r="A2498" i="242"/>
  <c r="B2499" i="242"/>
  <c r="A1813" i="242"/>
  <c r="B1814" i="242"/>
  <c r="A1500" i="242" l="1"/>
  <c r="B1501" i="242"/>
  <c r="A80" i="242"/>
  <c r="B81" i="242"/>
  <c r="A789" i="242"/>
  <c r="B790" i="242"/>
  <c r="A2085" i="242"/>
  <c r="B2086" i="242"/>
  <c r="A2499" i="242"/>
  <c r="B2500" i="242"/>
  <c r="B2310" i="242"/>
  <c r="A2309" i="242"/>
  <c r="B1247" i="242"/>
  <c r="A1246" i="242"/>
  <c r="B610" i="242"/>
  <c r="A609" i="242"/>
  <c r="A1814" i="242"/>
  <c r="B1815" i="242"/>
  <c r="A280" i="241"/>
  <c r="B281" i="241"/>
  <c r="A693" i="242"/>
  <c r="B694" i="242"/>
  <c r="A2661" i="242"/>
  <c r="B2662" i="242"/>
  <c r="A104" i="241"/>
  <c r="B105" i="241"/>
  <c r="B325" i="242"/>
  <c r="A324" i="242"/>
  <c r="A221" i="242"/>
  <c r="B222" i="242"/>
  <c r="A2662" i="242" l="1"/>
  <c r="B2663" i="242"/>
  <c r="B695" i="242"/>
  <c r="A694" i="242"/>
  <c r="A2500" i="242"/>
  <c r="B2501" i="242"/>
  <c r="A281" i="241"/>
  <c r="B282" i="241"/>
  <c r="B2311" i="242"/>
  <c r="A2310" i="242"/>
  <c r="A81" i="242"/>
  <c r="B82" i="242"/>
  <c r="A222" i="242"/>
  <c r="B223" i="242"/>
  <c r="A1815" i="242"/>
  <c r="B1816" i="242"/>
  <c r="A325" i="242"/>
  <c r="B326" i="242"/>
  <c r="A610" i="242"/>
  <c r="B611" i="242"/>
  <c r="B791" i="242"/>
  <c r="A790" i="242"/>
  <c r="A105" i="241"/>
  <c r="B106" i="241"/>
  <c r="B1502" i="242"/>
  <c r="A1501" i="242"/>
  <c r="B2087" i="242"/>
  <c r="A2086" i="242"/>
  <c r="A1247" i="242"/>
  <c r="B1248" i="242"/>
  <c r="B107" i="241" l="1"/>
  <c r="A106" i="241"/>
  <c r="A82" i="242"/>
  <c r="B83" i="242"/>
  <c r="B2312" i="242"/>
  <c r="A2311" i="242"/>
  <c r="B1817" i="242"/>
  <c r="A1816" i="242"/>
  <c r="A326" i="242"/>
  <c r="B327" i="242"/>
  <c r="A2087" i="242"/>
  <c r="B2088" i="242"/>
  <c r="B696" i="242"/>
  <c r="A695" i="242"/>
  <c r="B283" i="241"/>
  <c r="A282" i="241"/>
  <c r="A223" i="242"/>
  <c r="B224" i="242"/>
  <c r="A2663" i="242"/>
  <c r="B2664" i="242"/>
  <c r="A791" i="242"/>
  <c r="B792" i="242"/>
  <c r="A611" i="242"/>
  <c r="B612" i="242"/>
  <c r="B1249" i="242"/>
  <c r="A1248" i="242"/>
  <c r="B2502" i="242"/>
  <c r="A2501" i="242"/>
  <c r="A1502" i="242"/>
  <c r="B1503" i="242"/>
  <c r="E1" i="192"/>
  <c r="H7" i="193"/>
  <c r="G7" i="193" s="1"/>
  <c r="H8" i="193"/>
  <c r="G8" i="193" s="1"/>
  <c r="H9" i="193"/>
  <c r="G9" i="193" s="1"/>
  <c r="H10" i="193"/>
  <c r="G10" i="193" s="1"/>
  <c r="H11" i="193"/>
  <c r="G11" i="193" s="1"/>
  <c r="H12" i="193"/>
  <c r="G12" i="193" s="1"/>
  <c r="H13" i="193"/>
  <c r="G13" i="193" s="1"/>
  <c r="H14" i="193"/>
  <c r="G14" i="193" s="1"/>
  <c r="H15" i="193"/>
  <c r="G15" i="193" s="1"/>
  <c r="H16" i="193"/>
  <c r="G16" i="193" s="1"/>
  <c r="H17" i="193"/>
  <c r="G17" i="193" s="1"/>
  <c r="H18" i="193"/>
  <c r="G18" i="193" s="1"/>
  <c r="H19" i="193"/>
  <c r="G19" i="193" s="1"/>
  <c r="H20" i="193"/>
  <c r="G20" i="193" s="1"/>
  <c r="H21" i="193"/>
  <c r="G21" i="193" s="1"/>
  <c r="H22" i="193"/>
  <c r="G22" i="193" s="1"/>
  <c r="H23" i="193"/>
  <c r="G23" i="193" s="1"/>
  <c r="H24" i="193"/>
  <c r="G24" i="193" s="1"/>
  <c r="H25" i="193"/>
  <c r="G25" i="193" s="1"/>
  <c r="H26" i="193"/>
  <c r="G26" i="193" s="1"/>
  <c r="H27" i="193"/>
  <c r="G27" i="193" s="1"/>
  <c r="H28" i="193"/>
  <c r="G28" i="193" s="1"/>
  <c r="H29" i="193"/>
  <c r="G29" i="193" s="1"/>
  <c r="H30" i="193"/>
  <c r="G30" i="193" s="1"/>
  <c r="H31" i="193"/>
  <c r="G31" i="193" s="1"/>
  <c r="H32" i="193"/>
  <c r="G32" i="193" s="1"/>
  <c r="H33" i="193"/>
  <c r="G33" i="193" s="1"/>
  <c r="H34" i="193"/>
  <c r="G34" i="193" s="1"/>
  <c r="H35" i="193"/>
  <c r="G35" i="193" s="1"/>
  <c r="H36" i="193"/>
  <c r="G36" i="193" s="1"/>
  <c r="H37" i="193"/>
  <c r="G37" i="193" s="1"/>
  <c r="H38" i="193"/>
  <c r="G38" i="193" s="1"/>
  <c r="H39" i="193"/>
  <c r="G39" i="193" s="1"/>
  <c r="H40" i="193"/>
  <c r="G40" i="193" s="1"/>
  <c r="H41" i="193"/>
  <c r="G41" i="193" s="1"/>
  <c r="H42" i="193"/>
  <c r="G42" i="193" s="1"/>
  <c r="H43" i="193"/>
  <c r="G43" i="193" s="1"/>
  <c r="H44" i="193"/>
  <c r="G44" i="193" s="1"/>
  <c r="H45" i="193"/>
  <c r="G45" i="193" s="1"/>
  <c r="H46" i="193"/>
  <c r="G46" i="193" s="1"/>
  <c r="H47" i="193"/>
  <c r="G47" i="193" s="1"/>
  <c r="H48" i="193"/>
  <c r="G48" i="193" s="1"/>
  <c r="H49" i="193"/>
  <c r="G49" i="193" s="1"/>
  <c r="H50" i="193"/>
  <c r="G50" i="193" s="1"/>
  <c r="H51" i="193"/>
  <c r="G51" i="193" s="1"/>
  <c r="H52" i="193"/>
  <c r="G52" i="193" s="1"/>
  <c r="H53" i="193"/>
  <c r="G53" i="193" s="1"/>
  <c r="H54" i="193"/>
  <c r="G54" i="193" s="1"/>
  <c r="H55" i="193"/>
  <c r="G55" i="193" s="1"/>
  <c r="H56" i="193"/>
  <c r="G56" i="193" s="1"/>
  <c r="H57" i="193"/>
  <c r="G57" i="193" s="1"/>
  <c r="H58" i="193"/>
  <c r="G58" i="193" s="1"/>
  <c r="H59" i="193"/>
  <c r="G59" i="193" s="1"/>
  <c r="H60" i="193"/>
  <c r="G60" i="193" s="1"/>
  <c r="H61" i="193"/>
  <c r="G61" i="193" s="1"/>
  <c r="H62" i="193"/>
  <c r="G62" i="193" s="1"/>
  <c r="H63" i="193"/>
  <c r="G63" i="193" s="1"/>
  <c r="H64" i="193"/>
  <c r="G64" i="193" s="1"/>
  <c r="H65" i="193"/>
  <c r="G65" i="193" s="1"/>
  <c r="H66" i="193"/>
  <c r="G66" i="193" s="1"/>
  <c r="H67" i="193"/>
  <c r="G67" i="193" s="1"/>
  <c r="H68" i="193"/>
  <c r="G68" i="193" s="1"/>
  <c r="H6" i="193"/>
  <c r="G6" i="193" s="1"/>
  <c r="J68" i="193"/>
  <c r="E1" i="193"/>
  <c r="J68" i="192"/>
  <c r="G68" i="192"/>
  <c r="G67" i="192"/>
  <c r="G66" i="192"/>
  <c r="G65" i="192"/>
  <c r="G64" i="192"/>
  <c r="G63" i="192"/>
  <c r="G62" i="192"/>
  <c r="G61" i="192"/>
  <c r="G60" i="192"/>
  <c r="G59" i="192"/>
  <c r="G58" i="192"/>
  <c r="G57" i="192"/>
  <c r="G56" i="192"/>
  <c r="G55" i="192"/>
  <c r="G54" i="192"/>
  <c r="G53" i="192"/>
  <c r="G52" i="192"/>
  <c r="G51" i="192"/>
  <c r="G50" i="192"/>
  <c r="G49" i="192"/>
  <c r="G48" i="192"/>
  <c r="G47" i="192"/>
  <c r="G46" i="192"/>
  <c r="G45" i="192"/>
  <c r="G44" i="192"/>
  <c r="G43" i="192"/>
  <c r="G42" i="192"/>
  <c r="G41" i="192"/>
  <c r="G40" i="192"/>
  <c r="G39" i="192"/>
  <c r="G38" i="192"/>
  <c r="G37" i="192"/>
  <c r="G36" i="192"/>
  <c r="G35" i="192"/>
  <c r="G34" i="192"/>
  <c r="G33" i="192"/>
  <c r="G32" i="192"/>
  <c r="G31" i="192"/>
  <c r="G30" i="192"/>
  <c r="G29" i="192"/>
  <c r="G28" i="192"/>
  <c r="G27" i="192"/>
  <c r="G26" i="192"/>
  <c r="G25" i="192"/>
  <c r="G24" i="192"/>
  <c r="G23" i="192"/>
  <c r="G22" i="192"/>
  <c r="G21" i="192"/>
  <c r="G20" i="192"/>
  <c r="G19" i="192"/>
  <c r="G18" i="192"/>
  <c r="G17" i="192"/>
  <c r="G16" i="192"/>
  <c r="G15" i="192"/>
  <c r="G14" i="192"/>
  <c r="G13" i="192"/>
  <c r="G12" i="192"/>
  <c r="G11" i="192"/>
  <c r="G10" i="192"/>
  <c r="G9" i="192"/>
  <c r="G8" i="192"/>
  <c r="G7" i="192"/>
  <c r="G6" i="192"/>
  <c r="H7" i="191"/>
  <c r="G7" i="191" s="1"/>
  <c r="H8" i="191"/>
  <c r="G8" i="191" s="1"/>
  <c r="H9" i="191"/>
  <c r="G9" i="191" s="1"/>
  <c r="H10" i="191"/>
  <c r="G10" i="191" s="1"/>
  <c r="H11" i="191"/>
  <c r="G11" i="191" s="1"/>
  <c r="H12" i="191"/>
  <c r="G12" i="191" s="1"/>
  <c r="H13" i="191"/>
  <c r="G13" i="191" s="1"/>
  <c r="H14" i="191"/>
  <c r="G14" i="191" s="1"/>
  <c r="H15" i="191"/>
  <c r="G15" i="191" s="1"/>
  <c r="H16" i="191"/>
  <c r="G16" i="191" s="1"/>
  <c r="H17" i="191"/>
  <c r="G17" i="191" s="1"/>
  <c r="H18" i="191"/>
  <c r="G18" i="191" s="1"/>
  <c r="H19" i="191"/>
  <c r="G19" i="191" s="1"/>
  <c r="H20" i="191"/>
  <c r="G20" i="191" s="1"/>
  <c r="H21" i="191"/>
  <c r="G21" i="191" s="1"/>
  <c r="H22" i="191"/>
  <c r="G22" i="191" s="1"/>
  <c r="H23" i="191"/>
  <c r="G23" i="191" s="1"/>
  <c r="H24" i="191"/>
  <c r="G24" i="191" s="1"/>
  <c r="H25" i="191"/>
  <c r="G25" i="191" s="1"/>
  <c r="H26" i="191"/>
  <c r="G26" i="191" s="1"/>
  <c r="H27" i="191"/>
  <c r="G27" i="191" s="1"/>
  <c r="H28" i="191"/>
  <c r="G28" i="191" s="1"/>
  <c r="H29" i="191"/>
  <c r="G29" i="191" s="1"/>
  <c r="H30" i="191"/>
  <c r="G30" i="191" s="1"/>
  <c r="H31" i="191"/>
  <c r="G31" i="191" s="1"/>
  <c r="H32" i="191"/>
  <c r="G32" i="191" s="1"/>
  <c r="H33" i="191"/>
  <c r="G33" i="191" s="1"/>
  <c r="H34" i="191"/>
  <c r="G34" i="191" s="1"/>
  <c r="H35" i="191"/>
  <c r="G35" i="191" s="1"/>
  <c r="H36" i="191"/>
  <c r="G36" i="191" s="1"/>
  <c r="H37" i="191"/>
  <c r="G37" i="191" s="1"/>
  <c r="H38" i="191"/>
  <c r="G38" i="191" s="1"/>
  <c r="H39" i="191"/>
  <c r="G39" i="191" s="1"/>
  <c r="H40" i="191"/>
  <c r="G40" i="191" s="1"/>
  <c r="H41" i="191"/>
  <c r="G41" i="191" s="1"/>
  <c r="H42" i="191"/>
  <c r="G42" i="191" s="1"/>
  <c r="H43" i="191"/>
  <c r="G43" i="191" s="1"/>
  <c r="H44" i="191"/>
  <c r="G44" i="191" s="1"/>
  <c r="H45" i="191"/>
  <c r="G45" i="191" s="1"/>
  <c r="H46" i="191"/>
  <c r="G46" i="191" s="1"/>
  <c r="H47" i="191"/>
  <c r="G47" i="191" s="1"/>
  <c r="H48" i="191"/>
  <c r="G48" i="191" s="1"/>
  <c r="H49" i="191"/>
  <c r="G49" i="191" s="1"/>
  <c r="H50" i="191"/>
  <c r="G50" i="191" s="1"/>
  <c r="H51" i="191"/>
  <c r="G51" i="191" s="1"/>
  <c r="H52" i="191"/>
  <c r="G52" i="191" s="1"/>
  <c r="H53" i="191"/>
  <c r="G53" i="191" s="1"/>
  <c r="H54" i="191"/>
  <c r="G54" i="191" s="1"/>
  <c r="H55" i="191"/>
  <c r="G55" i="191" s="1"/>
  <c r="H56" i="191"/>
  <c r="G56" i="191" s="1"/>
  <c r="H57" i="191"/>
  <c r="G57" i="191" s="1"/>
  <c r="H58" i="191"/>
  <c r="G58" i="191" s="1"/>
  <c r="H59" i="191"/>
  <c r="G59" i="191" s="1"/>
  <c r="H60" i="191"/>
  <c r="G60" i="191" s="1"/>
  <c r="H61" i="191"/>
  <c r="G61" i="191" s="1"/>
  <c r="H62" i="191"/>
  <c r="G62" i="191" s="1"/>
  <c r="H63" i="191"/>
  <c r="G63" i="191" s="1"/>
  <c r="H64" i="191"/>
  <c r="G64" i="191" s="1"/>
  <c r="H65" i="191"/>
  <c r="G65" i="191" s="1"/>
  <c r="H66" i="191"/>
  <c r="G66" i="191" s="1"/>
  <c r="H67" i="191"/>
  <c r="G67" i="191" s="1"/>
  <c r="H68" i="191"/>
  <c r="G68" i="191" s="1"/>
  <c r="H69" i="191"/>
  <c r="G69" i="191" s="1"/>
  <c r="H70" i="191"/>
  <c r="G70" i="191" s="1"/>
  <c r="H71" i="191"/>
  <c r="G71" i="191" s="1"/>
  <c r="H72" i="191"/>
  <c r="G72" i="191" s="1"/>
  <c r="H73" i="191"/>
  <c r="G73" i="191" s="1"/>
  <c r="H6" i="191"/>
  <c r="G6" i="191" s="1"/>
  <c r="E1" i="191"/>
  <c r="G73" i="190"/>
  <c r="G72" i="190"/>
  <c r="G71" i="190"/>
  <c r="G70" i="190"/>
  <c r="G69" i="190"/>
  <c r="G68" i="190"/>
  <c r="G67" i="190"/>
  <c r="G66" i="190"/>
  <c r="G65" i="190"/>
  <c r="G64" i="190"/>
  <c r="G63" i="190"/>
  <c r="G62" i="190"/>
  <c r="G61" i="190"/>
  <c r="G60" i="190"/>
  <c r="G59" i="190"/>
  <c r="G58" i="190"/>
  <c r="G57" i="190"/>
  <c r="G56" i="190"/>
  <c r="G55" i="190"/>
  <c r="G54" i="190"/>
  <c r="G53" i="190"/>
  <c r="G52" i="190"/>
  <c r="G51" i="190"/>
  <c r="G50" i="190"/>
  <c r="G49" i="190"/>
  <c r="G48" i="190"/>
  <c r="G47" i="190"/>
  <c r="G46" i="190"/>
  <c r="G45" i="190"/>
  <c r="G44" i="190"/>
  <c r="G43" i="190"/>
  <c r="G42" i="190"/>
  <c r="G41" i="190"/>
  <c r="G40" i="190"/>
  <c r="G39" i="190"/>
  <c r="G38" i="190"/>
  <c r="G37" i="190"/>
  <c r="G36" i="190"/>
  <c r="G35" i="190"/>
  <c r="G34" i="190"/>
  <c r="G33" i="190"/>
  <c r="G32" i="190"/>
  <c r="G31" i="190"/>
  <c r="G30" i="190"/>
  <c r="G29" i="190"/>
  <c r="G28" i="190"/>
  <c r="G27" i="190"/>
  <c r="G26" i="190"/>
  <c r="G25" i="190"/>
  <c r="G24" i="190"/>
  <c r="G23" i="190"/>
  <c r="G22" i="190"/>
  <c r="G21" i="190"/>
  <c r="G20" i="190"/>
  <c r="G19" i="190"/>
  <c r="G18" i="190"/>
  <c r="G17" i="190"/>
  <c r="G16" i="190"/>
  <c r="G15" i="190"/>
  <c r="G14" i="190"/>
  <c r="G13" i="190"/>
  <c r="G12" i="190"/>
  <c r="G11" i="190"/>
  <c r="G10" i="190"/>
  <c r="G9" i="190"/>
  <c r="G8" i="190"/>
  <c r="G7" i="190"/>
  <c r="G6" i="190"/>
  <c r="E1" i="190"/>
  <c r="H7" i="189"/>
  <c r="G7" i="189" s="1"/>
  <c r="H8" i="189"/>
  <c r="G8" i="189" s="1"/>
  <c r="H9" i="189"/>
  <c r="G9" i="189" s="1"/>
  <c r="H10" i="189"/>
  <c r="G10" i="189" s="1"/>
  <c r="H11" i="189"/>
  <c r="G11" i="189" s="1"/>
  <c r="H12" i="189"/>
  <c r="G12" i="189" s="1"/>
  <c r="H13" i="189"/>
  <c r="G13" i="189" s="1"/>
  <c r="H14" i="189"/>
  <c r="G14" i="189" s="1"/>
  <c r="H15" i="189"/>
  <c r="G15" i="189" s="1"/>
  <c r="H16" i="189"/>
  <c r="G16" i="189" s="1"/>
  <c r="H17" i="189"/>
  <c r="G17" i="189" s="1"/>
  <c r="H18" i="189"/>
  <c r="G18" i="189" s="1"/>
  <c r="H19" i="189"/>
  <c r="G19" i="189" s="1"/>
  <c r="H20" i="189"/>
  <c r="G20" i="189" s="1"/>
  <c r="H21" i="189"/>
  <c r="G21" i="189" s="1"/>
  <c r="H22" i="189"/>
  <c r="G22" i="189" s="1"/>
  <c r="H23" i="189"/>
  <c r="G23" i="189" s="1"/>
  <c r="H24" i="189"/>
  <c r="G24" i="189" s="1"/>
  <c r="H25" i="189"/>
  <c r="G25" i="189" s="1"/>
  <c r="H26" i="189"/>
  <c r="G26" i="189" s="1"/>
  <c r="H27" i="189"/>
  <c r="G27" i="189" s="1"/>
  <c r="H28" i="189"/>
  <c r="G28" i="189" s="1"/>
  <c r="H29" i="189"/>
  <c r="G29" i="189" s="1"/>
  <c r="H30" i="189"/>
  <c r="G30" i="189" s="1"/>
  <c r="H31" i="189"/>
  <c r="G31" i="189" s="1"/>
  <c r="H32" i="189"/>
  <c r="G32" i="189" s="1"/>
  <c r="H33" i="189"/>
  <c r="G33" i="189" s="1"/>
  <c r="H34" i="189"/>
  <c r="G34" i="189" s="1"/>
  <c r="H35" i="189"/>
  <c r="G35" i="189" s="1"/>
  <c r="H36" i="189"/>
  <c r="G36" i="189" s="1"/>
  <c r="H37" i="189"/>
  <c r="G37" i="189" s="1"/>
  <c r="H38" i="189"/>
  <c r="G38" i="189" s="1"/>
  <c r="H39" i="189"/>
  <c r="G39" i="189" s="1"/>
  <c r="H40" i="189"/>
  <c r="G40" i="189" s="1"/>
  <c r="H41" i="189"/>
  <c r="G41" i="189" s="1"/>
  <c r="H42" i="189"/>
  <c r="G42" i="189" s="1"/>
  <c r="H43" i="189"/>
  <c r="G43" i="189" s="1"/>
  <c r="H44" i="189"/>
  <c r="G44" i="189" s="1"/>
  <c r="H45" i="189"/>
  <c r="G45" i="189" s="1"/>
  <c r="H46" i="189"/>
  <c r="G46" i="189" s="1"/>
  <c r="H47" i="189"/>
  <c r="G47" i="189" s="1"/>
  <c r="H48" i="189"/>
  <c r="G48" i="189" s="1"/>
  <c r="H49" i="189"/>
  <c r="G49" i="189" s="1"/>
  <c r="H50" i="189"/>
  <c r="G50" i="189" s="1"/>
  <c r="H51" i="189"/>
  <c r="G51" i="189" s="1"/>
  <c r="H52" i="189"/>
  <c r="G52" i="189" s="1"/>
  <c r="H53" i="189"/>
  <c r="G53" i="189" s="1"/>
  <c r="H54" i="189"/>
  <c r="G54" i="189" s="1"/>
  <c r="H55" i="189"/>
  <c r="G55" i="189" s="1"/>
  <c r="H56" i="189"/>
  <c r="G56" i="189" s="1"/>
  <c r="H57" i="189"/>
  <c r="G57" i="189" s="1"/>
  <c r="H58" i="189"/>
  <c r="G58" i="189" s="1"/>
  <c r="H59" i="189"/>
  <c r="G59" i="189" s="1"/>
  <c r="H60" i="189"/>
  <c r="G60" i="189" s="1"/>
  <c r="H61" i="189"/>
  <c r="G61" i="189" s="1"/>
  <c r="H62" i="189"/>
  <c r="G62" i="189" s="1"/>
  <c r="H63" i="189"/>
  <c r="G63" i="189" s="1"/>
  <c r="H64" i="189"/>
  <c r="G64" i="189" s="1"/>
  <c r="H65" i="189"/>
  <c r="G65" i="189" s="1"/>
  <c r="H66" i="189"/>
  <c r="G66" i="189" s="1"/>
  <c r="H67" i="189"/>
  <c r="G67" i="189" s="1"/>
  <c r="H68" i="189"/>
  <c r="G68" i="189" s="1"/>
  <c r="H69" i="189"/>
  <c r="G69" i="189" s="1"/>
  <c r="H70" i="189"/>
  <c r="G70" i="189" s="1"/>
  <c r="H71" i="189"/>
  <c r="G71" i="189" s="1"/>
  <c r="H72" i="189"/>
  <c r="G72" i="189" s="1"/>
  <c r="H73" i="189"/>
  <c r="G73" i="189" s="1"/>
  <c r="H74" i="189"/>
  <c r="G74" i="189" s="1"/>
  <c r="H6" i="189"/>
  <c r="G6" i="189" s="1"/>
  <c r="H7" i="187"/>
  <c r="H8" i="187"/>
  <c r="H9" i="187"/>
  <c r="H10" i="187"/>
  <c r="H11" i="187"/>
  <c r="H12" i="187"/>
  <c r="H13" i="187"/>
  <c r="H14" i="187"/>
  <c r="H15" i="187"/>
  <c r="H16" i="187"/>
  <c r="H17" i="187"/>
  <c r="H18" i="187"/>
  <c r="H19" i="187"/>
  <c r="H20" i="187"/>
  <c r="H21" i="187"/>
  <c r="H22" i="187"/>
  <c r="H23" i="187"/>
  <c r="H24" i="187"/>
  <c r="H25" i="187"/>
  <c r="H26" i="187"/>
  <c r="H27" i="187"/>
  <c r="H28" i="187"/>
  <c r="H29" i="187"/>
  <c r="H30" i="187"/>
  <c r="H31" i="187"/>
  <c r="H32" i="187"/>
  <c r="H33" i="187"/>
  <c r="H34" i="187"/>
  <c r="H35" i="187"/>
  <c r="H36" i="187"/>
  <c r="H37" i="187"/>
  <c r="H38" i="187"/>
  <c r="H39" i="187"/>
  <c r="H40" i="187"/>
  <c r="H41" i="187"/>
  <c r="H42" i="187"/>
  <c r="H43" i="187"/>
  <c r="H44" i="187"/>
  <c r="H45" i="187"/>
  <c r="H46" i="187"/>
  <c r="H47" i="187"/>
  <c r="H48" i="187"/>
  <c r="H49" i="187"/>
  <c r="H50" i="187"/>
  <c r="H51" i="187"/>
  <c r="H52" i="187"/>
  <c r="H53" i="187"/>
  <c r="H54" i="187"/>
  <c r="H55" i="187"/>
  <c r="H56" i="187"/>
  <c r="H57" i="187"/>
  <c r="H58" i="187"/>
  <c r="H59" i="187"/>
  <c r="H60" i="187"/>
  <c r="H61" i="187"/>
  <c r="H62" i="187"/>
  <c r="H63" i="187"/>
  <c r="H64" i="187"/>
  <c r="H65" i="187"/>
  <c r="H66" i="187"/>
  <c r="H67" i="187"/>
  <c r="H68" i="187"/>
  <c r="H69" i="187"/>
  <c r="H70" i="187"/>
  <c r="H6" i="187"/>
  <c r="E1" i="189"/>
  <c r="E1" i="188"/>
  <c r="E1" i="187"/>
  <c r="E1" i="32"/>
  <c r="G71" i="188"/>
  <c r="G72" i="188"/>
  <c r="G73" i="188"/>
  <c r="G74" i="188"/>
  <c r="G70" i="188"/>
  <c r="G69" i="188"/>
  <c r="G68" i="188"/>
  <c r="G67" i="188"/>
  <c r="G66" i="188"/>
  <c r="G65" i="188"/>
  <c r="G64" i="188"/>
  <c r="G63" i="188"/>
  <c r="G62" i="188"/>
  <c r="G61" i="188"/>
  <c r="G60" i="188"/>
  <c r="G59" i="188"/>
  <c r="G58" i="188"/>
  <c r="G57" i="188"/>
  <c r="G56" i="188"/>
  <c r="G55" i="188"/>
  <c r="G54" i="188"/>
  <c r="G53" i="188"/>
  <c r="G52" i="188"/>
  <c r="G51" i="188"/>
  <c r="G50" i="188"/>
  <c r="G49" i="188"/>
  <c r="G48" i="188"/>
  <c r="G47" i="188"/>
  <c r="G46" i="188"/>
  <c r="G45" i="188"/>
  <c r="G44" i="188"/>
  <c r="G43" i="188"/>
  <c r="G42" i="188"/>
  <c r="G41" i="188"/>
  <c r="G40" i="188"/>
  <c r="G39" i="188"/>
  <c r="G38" i="188"/>
  <c r="G37" i="188"/>
  <c r="G36" i="188"/>
  <c r="G35" i="188"/>
  <c r="G34" i="188"/>
  <c r="G33" i="188"/>
  <c r="G32" i="188"/>
  <c r="G31" i="188"/>
  <c r="G30" i="188"/>
  <c r="G29" i="188"/>
  <c r="G28" i="188"/>
  <c r="G27" i="188"/>
  <c r="G26" i="188"/>
  <c r="G25" i="188"/>
  <c r="G24" i="188"/>
  <c r="G23" i="188"/>
  <c r="G22" i="188"/>
  <c r="G21" i="188"/>
  <c r="G20" i="188"/>
  <c r="G19" i="188"/>
  <c r="G18" i="188"/>
  <c r="G17" i="188"/>
  <c r="G16" i="188"/>
  <c r="G15" i="188"/>
  <c r="G14" i="188"/>
  <c r="G13" i="188"/>
  <c r="G12" i="188"/>
  <c r="G11" i="188"/>
  <c r="G10" i="188"/>
  <c r="G9" i="188"/>
  <c r="G8" i="188"/>
  <c r="G7" i="188"/>
  <c r="G6" i="188"/>
  <c r="B613" i="242" l="1"/>
  <c r="A612" i="242"/>
  <c r="B2089" i="242"/>
  <c r="A2088" i="242"/>
  <c r="A792" i="242"/>
  <c r="B793" i="242"/>
  <c r="A327" i="242"/>
  <c r="B328" i="242"/>
  <c r="A2664" i="242"/>
  <c r="B2665" i="242"/>
  <c r="A2312" i="242"/>
  <c r="B2313" i="242"/>
  <c r="A224" i="242"/>
  <c r="B225" i="242"/>
  <c r="A83" i="242"/>
  <c r="B84" i="242"/>
  <c r="B1504" i="242"/>
  <c r="A1503" i="242"/>
  <c r="A2502" i="242"/>
  <c r="B2503" i="242"/>
  <c r="A283" i="241"/>
  <c r="B284" i="241"/>
  <c r="A1817" i="242"/>
  <c r="B1818" i="242"/>
  <c r="A1249" i="242"/>
  <c r="B1250" i="242"/>
  <c r="A696" i="242"/>
  <c r="B697" i="242"/>
  <c r="A107" i="241"/>
  <c r="B108" i="241"/>
  <c r="E7" i="192"/>
  <c r="E8" i="192"/>
  <c r="E6" i="192"/>
  <c r="F6" i="192"/>
  <c r="B1819" i="242" l="1"/>
  <c r="A1818" i="242"/>
  <c r="A2313" i="242"/>
  <c r="B2314" i="242"/>
  <c r="A284" i="241"/>
  <c r="B285" i="241"/>
  <c r="A2665" i="242"/>
  <c r="B2666" i="242"/>
  <c r="A328" i="242"/>
  <c r="B329" i="242"/>
  <c r="B1505" i="242"/>
  <c r="A1504" i="242"/>
  <c r="B698" i="242"/>
  <c r="A697" i="242"/>
  <c r="A84" i="242"/>
  <c r="B85" i="242"/>
  <c r="A108" i="241"/>
  <c r="B109" i="241"/>
  <c r="B2090" i="242"/>
  <c r="A2089" i="242"/>
  <c r="A793" i="242"/>
  <c r="B794" i="242"/>
  <c r="A1250" i="242"/>
  <c r="B1251" i="242"/>
  <c r="A225" i="242"/>
  <c r="B226" i="242"/>
  <c r="A2503" i="242"/>
  <c r="B2504" i="242"/>
  <c r="B614" i="242"/>
  <c r="A613" i="242"/>
  <c r="M6" i="193" a="1"/>
  <c r="M6" i="192" a="1"/>
  <c r="M6" i="191" a="1"/>
  <c r="M6" i="190" a="1"/>
  <c r="M6" i="189" a="1"/>
  <c r="M6" i="188" a="1"/>
  <c r="B1252" i="242" l="1"/>
  <c r="A1251" i="242"/>
  <c r="A2666" i="242"/>
  <c r="B2667" i="242"/>
  <c r="B1506" i="242"/>
  <c r="A1505" i="242"/>
  <c r="A2090" i="242"/>
  <c r="B2091" i="242"/>
  <c r="B795" i="242"/>
  <c r="A794" i="242"/>
  <c r="A2504" i="242"/>
  <c r="B2505" i="242"/>
  <c r="A85" i="242"/>
  <c r="B86" i="242"/>
  <c r="B2315" i="242"/>
  <c r="A2314" i="242"/>
  <c r="A329" i="242"/>
  <c r="B330" i="242"/>
  <c r="A285" i="241"/>
  <c r="B286" i="241"/>
  <c r="B615" i="242"/>
  <c r="A614" i="242"/>
  <c r="B227" i="242"/>
  <c r="A226" i="242"/>
  <c r="A109" i="241"/>
  <c r="B110" i="241"/>
  <c r="A698" i="242"/>
  <c r="B699" i="242"/>
  <c r="A1819" i="242"/>
  <c r="B1820" i="242"/>
  <c r="M68" i="193"/>
  <c r="M68" i="192"/>
  <c r="M6" i="187" a="1"/>
  <c r="A227" i="242" l="1"/>
  <c r="B228" i="242"/>
  <c r="B796" i="242"/>
  <c r="A795" i="242"/>
  <c r="B287" i="241"/>
  <c r="A286" i="241"/>
  <c r="A2091" i="242"/>
  <c r="B2092" i="242"/>
  <c r="B2506" i="242"/>
  <c r="A2505" i="242"/>
  <c r="A1506" i="242"/>
  <c r="B1507" i="242"/>
  <c r="B331" i="242"/>
  <c r="A330" i="242"/>
  <c r="A699" i="242"/>
  <c r="B700" i="242"/>
  <c r="B2668" i="242"/>
  <c r="A2667" i="242"/>
  <c r="B2316" i="242"/>
  <c r="A2315" i="242"/>
  <c r="B1821" i="242"/>
  <c r="A1820" i="242"/>
  <c r="B111" i="241"/>
  <c r="A110" i="241"/>
  <c r="B87" i="242"/>
  <c r="A86" i="242"/>
  <c r="A615" i="242"/>
  <c r="B616" i="242"/>
  <c r="B1253" i="242"/>
  <c r="A1252" i="242"/>
  <c r="B1508" i="242" l="1"/>
  <c r="A1507" i="242"/>
  <c r="A2506" i="242"/>
  <c r="B2507" i="242"/>
  <c r="A2092" i="242"/>
  <c r="B2093" i="242"/>
  <c r="A111" i="241"/>
  <c r="B112" i="241"/>
  <c r="A2316" i="242"/>
  <c r="B2317" i="242"/>
  <c r="A2317" i="242" s="1"/>
  <c r="A2668" i="242"/>
  <c r="B2669" i="242"/>
  <c r="A287" i="241"/>
  <c r="B288" i="241"/>
  <c r="A1253" i="242"/>
  <c r="B1254" i="242"/>
  <c r="B617" i="242"/>
  <c r="A617" i="242" s="1"/>
  <c r="A616" i="242"/>
  <c r="A700" i="242"/>
  <c r="B701" i="242"/>
  <c r="B1822" i="242"/>
  <c r="A1821" i="242"/>
  <c r="A796" i="242"/>
  <c r="B797" i="242"/>
  <c r="B229" i="242"/>
  <c r="A228" i="242"/>
  <c r="A87" i="242"/>
  <c r="B88" i="242"/>
  <c r="A331" i="242"/>
  <c r="B332" i="242"/>
  <c r="A701" i="242" l="1"/>
  <c r="B702" i="242"/>
  <c r="A112" i="241"/>
  <c r="B113" i="241"/>
  <c r="A1254" i="242"/>
  <c r="B1255" i="242"/>
  <c r="B2508" i="242"/>
  <c r="A2507" i="242"/>
  <c r="A1822" i="242"/>
  <c r="B1823" i="242"/>
  <c r="B333" i="242"/>
  <c r="A332" i="242"/>
  <c r="A88" i="242"/>
  <c r="B89" i="242"/>
  <c r="A797" i="242"/>
  <c r="B798" i="242"/>
  <c r="B2094" i="242"/>
  <c r="A2093" i="242"/>
  <c r="A288" i="241"/>
  <c r="B289" i="241"/>
  <c r="A2669" i="242"/>
  <c r="B2670" i="242"/>
  <c r="B230" i="242"/>
  <c r="A229" i="242"/>
  <c r="B1509" i="242"/>
  <c r="A1508" i="242"/>
  <c r="A230" i="242" l="1"/>
  <c r="B231" i="242"/>
  <c r="B290" i="241"/>
  <c r="A289" i="241"/>
  <c r="B2095" i="242"/>
  <c r="A2094" i="242"/>
  <c r="A2508" i="242"/>
  <c r="B2509" i="242"/>
  <c r="A798" i="242"/>
  <c r="B799" i="242"/>
  <c r="A113" i="241"/>
  <c r="B114" i="241"/>
  <c r="A2670" i="242"/>
  <c r="B2671" i="242"/>
  <c r="A1823" i="242"/>
  <c r="B1824" i="242"/>
  <c r="A1255" i="242"/>
  <c r="B1256" i="242"/>
  <c r="A89" i="242"/>
  <c r="B90" i="242"/>
  <c r="A702" i="242"/>
  <c r="B703" i="242"/>
  <c r="A333" i="242"/>
  <c r="B334" i="242"/>
  <c r="B1510" i="242"/>
  <c r="A1509" i="242"/>
  <c r="A703" i="242" l="1"/>
  <c r="B704" i="242"/>
  <c r="A90" i="242"/>
  <c r="B91" i="242"/>
  <c r="B2510" i="242"/>
  <c r="A2509" i="242"/>
  <c r="B2096" i="242"/>
  <c r="A2095" i="242"/>
  <c r="B1825" i="242"/>
  <c r="A1824" i="242"/>
  <c r="B115" i="241"/>
  <c r="A114" i="241"/>
  <c r="B1257" i="242"/>
  <c r="A1256" i="242"/>
  <c r="B291" i="241"/>
  <c r="A290" i="241"/>
  <c r="A334" i="242"/>
  <c r="B335" i="242"/>
  <c r="B800" i="242"/>
  <c r="A799" i="242"/>
  <c r="B2672" i="242"/>
  <c r="A2671" i="242"/>
  <c r="A231" i="242"/>
  <c r="B232" i="242"/>
  <c r="A1510" i="242"/>
  <c r="B1511" i="242"/>
  <c r="M6" i="32" a="1"/>
  <c r="A2672" i="242" l="1"/>
  <c r="B2673" i="242"/>
  <c r="A2510" i="242"/>
  <c r="B2511" i="242"/>
  <c r="A115" i="241"/>
  <c r="B116" i="241"/>
  <c r="A800" i="242"/>
  <c r="B801" i="242"/>
  <c r="A91" i="242"/>
  <c r="B92" i="242"/>
  <c r="A2096" i="242"/>
  <c r="B2097" i="242"/>
  <c r="A291" i="241"/>
  <c r="B292" i="241"/>
  <c r="A232" i="242"/>
  <c r="B233" i="242"/>
  <c r="B1826" i="242"/>
  <c r="A1825" i="242"/>
  <c r="A335" i="242"/>
  <c r="B336" i="242"/>
  <c r="A1511" i="242"/>
  <c r="B1512" i="242"/>
  <c r="A704" i="242"/>
  <c r="B705" i="242"/>
  <c r="A1257" i="242"/>
  <c r="B1258" i="242"/>
  <c r="A705" i="242" l="1"/>
  <c r="B706" i="242"/>
  <c r="A2097" i="242"/>
  <c r="B2098" i="242"/>
  <c r="A801" i="242"/>
  <c r="B802" i="242"/>
  <c r="A1512" i="242"/>
  <c r="B1513" i="242"/>
  <c r="A233" i="242"/>
  <c r="B234" i="242"/>
  <c r="B2512" i="242"/>
  <c r="A2511" i="242"/>
  <c r="B337" i="242"/>
  <c r="A336" i="242"/>
  <c r="A116" i="241"/>
  <c r="B117" i="241"/>
  <c r="A1258" i="242"/>
  <c r="B1259" i="242"/>
  <c r="A292" i="241"/>
  <c r="B293" i="241"/>
  <c r="A2673" i="242"/>
  <c r="B2674" i="242"/>
  <c r="B93" i="242"/>
  <c r="A92" i="242"/>
  <c r="B1827" i="242"/>
  <c r="A1826" i="242"/>
  <c r="A93" i="242" l="1"/>
  <c r="B94" i="242"/>
  <c r="A2512" i="242"/>
  <c r="B2513" i="242"/>
  <c r="A2674" i="242"/>
  <c r="B2675" i="242"/>
  <c r="B235" i="242"/>
  <c r="A234" i="242"/>
  <c r="B294" i="241"/>
  <c r="A293" i="241"/>
  <c r="A117" i="241"/>
  <c r="B118" i="241"/>
  <c r="B2099" i="242"/>
  <c r="A2098" i="242"/>
  <c r="A802" i="242"/>
  <c r="B803" i="242"/>
  <c r="B1514" i="242"/>
  <c r="A1513" i="242"/>
  <c r="B1260" i="242"/>
  <c r="A1259" i="242"/>
  <c r="B707" i="242"/>
  <c r="A706" i="242"/>
  <c r="A1827" i="242"/>
  <c r="B1828" i="242"/>
  <c r="A337" i="242"/>
  <c r="B338" i="242"/>
  <c r="A118" i="241" l="1"/>
  <c r="B119" i="241"/>
  <c r="A1514" i="242"/>
  <c r="B1515" i="242"/>
  <c r="B1261" i="242"/>
  <c r="A1260" i="242"/>
  <c r="B804" i="242"/>
  <c r="A803" i="242"/>
  <c r="B2514" i="242"/>
  <c r="A2513" i="242"/>
  <c r="A1828" i="242"/>
  <c r="B1829" i="242"/>
  <c r="B295" i="241"/>
  <c r="A294" i="241"/>
  <c r="B708" i="242"/>
  <c r="A707" i="242"/>
  <c r="A235" i="242"/>
  <c r="B236" i="242"/>
  <c r="B339" i="242"/>
  <c r="A338" i="242"/>
  <c r="B95" i="242"/>
  <c r="A94" i="242"/>
  <c r="A2675" i="242"/>
  <c r="B2676" i="242"/>
  <c r="B2100" i="242"/>
  <c r="A2099" i="242"/>
  <c r="B1830" i="242" l="1"/>
  <c r="A1829" i="242"/>
  <c r="A1261" i="242"/>
  <c r="B1262" i="242"/>
  <c r="A2676" i="242"/>
  <c r="B2677" i="242"/>
  <c r="A95" i="242"/>
  <c r="B96" i="242"/>
  <c r="A804" i="242"/>
  <c r="B805" i="242"/>
  <c r="B1516" i="242"/>
  <c r="A1515" i="242"/>
  <c r="B237" i="242"/>
  <c r="A236" i="242"/>
  <c r="A708" i="242"/>
  <c r="B709" i="242"/>
  <c r="A339" i="242"/>
  <c r="B340" i="242"/>
  <c r="A119" i="241"/>
  <c r="B120" i="241"/>
  <c r="A2514" i="242"/>
  <c r="B2515" i="242"/>
  <c r="A2100" i="242"/>
  <c r="B2101" i="242"/>
  <c r="A295" i="241"/>
  <c r="B296" i="241"/>
  <c r="A805" i="242" l="1"/>
  <c r="B806" i="242"/>
  <c r="A1516" i="242"/>
  <c r="B1517" i="242"/>
  <c r="A709" i="242"/>
  <c r="B710" i="242"/>
  <c r="A1262" i="242"/>
  <c r="B1263" i="242"/>
  <c r="B2102" i="242"/>
  <c r="A2101" i="242"/>
  <c r="A2515" i="242"/>
  <c r="B2516" i="242"/>
  <c r="B97" i="242"/>
  <c r="A96" i="242"/>
  <c r="A340" i="242"/>
  <c r="B341" i="242"/>
  <c r="A296" i="241"/>
  <c r="B297" i="241"/>
  <c r="A120" i="241"/>
  <c r="B121" i="241"/>
  <c r="B2678" i="242"/>
  <c r="A2677" i="242"/>
  <c r="A237" i="242"/>
  <c r="B238" i="242"/>
  <c r="B1831" i="242"/>
  <c r="A1830" i="242"/>
  <c r="A2678" i="242" l="1"/>
  <c r="B2679" i="242"/>
  <c r="A238" i="242"/>
  <c r="B239" i="242"/>
  <c r="B342" i="242"/>
  <c r="A341" i="242"/>
  <c r="B1518" i="242"/>
  <c r="A1517" i="242"/>
  <c r="A121" i="241"/>
  <c r="B122" i="241"/>
  <c r="B711" i="242"/>
  <c r="A710" i="242"/>
  <c r="A1263" i="242"/>
  <c r="B1264" i="242"/>
  <c r="B298" i="241"/>
  <c r="A297" i="241"/>
  <c r="A806" i="242"/>
  <c r="B807" i="242"/>
  <c r="A2516" i="242"/>
  <c r="B2517" i="242"/>
  <c r="A2102" i="242"/>
  <c r="B2103" i="242"/>
  <c r="A1831" i="242"/>
  <c r="B1832" i="242"/>
  <c r="A97" i="242"/>
  <c r="B98" i="242"/>
  <c r="B2104" i="242" l="1"/>
  <c r="A2103" i="242"/>
  <c r="B123" i="241"/>
  <c r="A122" i="241"/>
  <c r="A342" i="242"/>
  <c r="B343" i="242"/>
  <c r="A711" i="242"/>
  <c r="B712" i="242"/>
  <c r="A239" i="242"/>
  <c r="B240" i="242"/>
  <c r="B2518" i="242"/>
  <c r="A2517" i="242"/>
  <c r="A1518" i="242"/>
  <c r="B1519" i="242"/>
  <c r="B299" i="241"/>
  <c r="A298" i="241"/>
  <c r="A1832" i="242"/>
  <c r="B1833" i="242"/>
  <c r="A807" i="242"/>
  <c r="B808" i="242"/>
  <c r="B99" i="242"/>
  <c r="A98" i="242"/>
  <c r="B1265" i="242"/>
  <c r="A1264" i="242"/>
  <c r="B2680" i="242"/>
  <c r="A2679" i="242"/>
  <c r="B241" i="242" l="1"/>
  <c r="A240" i="242"/>
  <c r="A1265" i="242"/>
  <c r="B1266" i="242"/>
  <c r="A2518" i="242"/>
  <c r="B2519" i="242"/>
  <c r="A808" i="242"/>
  <c r="B809" i="242"/>
  <c r="A343" i="242"/>
  <c r="B344" i="242"/>
  <c r="A299" i="241"/>
  <c r="B300" i="241"/>
  <c r="A123" i="241"/>
  <c r="B124" i="241"/>
  <c r="A712" i="242"/>
  <c r="B713" i="242"/>
  <c r="A713" i="242" s="1"/>
  <c r="B1834" i="242"/>
  <c r="A1833" i="242"/>
  <c r="B1520" i="242"/>
  <c r="A1519" i="242"/>
  <c r="A99" i="242"/>
  <c r="B100" i="242"/>
  <c r="A2680" i="242"/>
  <c r="B2681" i="242"/>
  <c r="A2104" i="242"/>
  <c r="B2105" i="242"/>
  <c r="A300" i="241" l="1"/>
  <c r="B301" i="241"/>
  <c r="B101" i="242"/>
  <c r="A100" i="242"/>
  <c r="B345" i="242"/>
  <c r="A344" i="242"/>
  <c r="A809" i="242"/>
  <c r="B810" i="242"/>
  <c r="B1835" i="242"/>
  <c r="A1834" i="242"/>
  <c r="B1521" i="242"/>
  <c r="A1520" i="242"/>
  <c r="B1267" i="242"/>
  <c r="A1266" i="242"/>
  <c r="A2105" i="242"/>
  <c r="B2106" i="242"/>
  <c r="A124" i="241"/>
  <c r="B125" i="241"/>
  <c r="B2682" i="242"/>
  <c r="A2681" i="242"/>
  <c r="B2520" i="242"/>
  <c r="A2519" i="242"/>
  <c r="A241" i="242"/>
  <c r="B242" i="242"/>
  <c r="B1522" i="242" l="1"/>
  <c r="A1522" i="242" s="1"/>
  <c r="A1521" i="242"/>
  <c r="B346" i="242"/>
  <c r="A345" i="242"/>
  <c r="B2107" i="242"/>
  <c r="A2106" i="242"/>
  <c r="A1835" i="242"/>
  <c r="B1836" i="242"/>
  <c r="A125" i="241"/>
  <c r="B126" i="241"/>
  <c r="A101" i="242"/>
  <c r="B102" i="242"/>
  <c r="A810" i="242"/>
  <c r="B811" i="242"/>
  <c r="B302" i="241"/>
  <c r="A301" i="241"/>
  <c r="B243" i="242"/>
  <c r="A242" i="242"/>
  <c r="A2520" i="242"/>
  <c r="B2521" i="242"/>
  <c r="A2682" i="242"/>
  <c r="B2683" i="242"/>
  <c r="B1268" i="242"/>
  <c r="A1267" i="242"/>
  <c r="B127" i="241" l="1"/>
  <c r="A126" i="241"/>
  <c r="A243" i="242"/>
  <c r="B244" i="242"/>
  <c r="A2107" i="242"/>
  <c r="B2108" i="242"/>
  <c r="A2108" i="242" s="1"/>
  <c r="B2684" i="242"/>
  <c r="A2683" i="242"/>
  <c r="B2522" i="242"/>
  <c r="A2521" i="242"/>
  <c r="B303" i="241"/>
  <c r="A302" i="241"/>
  <c r="A346" i="242"/>
  <c r="B347" i="242"/>
  <c r="B1269" i="242"/>
  <c r="A1268" i="242"/>
  <c r="A1836" i="242"/>
  <c r="B1837" i="242"/>
  <c r="A811" i="242"/>
  <c r="B812" i="242"/>
  <c r="A102" i="242"/>
  <c r="B103" i="242"/>
  <c r="A303" i="241" l="1"/>
  <c r="B304" i="241"/>
  <c r="A103" i="242"/>
  <c r="B104" i="242"/>
  <c r="A2684" i="242"/>
  <c r="B2685" i="242"/>
  <c r="B245" i="242"/>
  <c r="A245" i="242" s="1"/>
  <c r="A244" i="242"/>
  <c r="A812" i="242"/>
  <c r="B813" i="242"/>
  <c r="A1837" i="242"/>
  <c r="B1838" i="242"/>
  <c r="A1269" i="242"/>
  <c r="B1270" i="242"/>
  <c r="A2522" i="242"/>
  <c r="B2523" i="242"/>
  <c r="A347" i="242"/>
  <c r="B348" i="242"/>
  <c r="A127" i="241"/>
  <c r="B128" i="241"/>
  <c r="A813" i="242" l="1"/>
  <c r="B814" i="242"/>
  <c r="A348" i="242"/>
  <c r="B349" i="242"/>
  <c r="A2523" i="242"/>
  <c r="B2524" i="242"/>
  <c r="A104" i="242"/>
  <c r="B105" i="242"/>
  <c r="A1838" i="242"/>
  <c r="B1839" i="242"/>
  <c r="A128" i="241"/>
  <c r="B129" i="241"/>
  <c r="B2686" i="242"/>
  <c r="A2685" i="242"/>
  <c r="B1271" i="242"/>
  <c r="A1270" i="242"/>
  <c r="A304" i="241"/>
  <c r="B305" i="241"/>
  <c r="A129" i="241" l="1"/>
  <c r="B130" i="241"/>
  <c r="B350" i="242"/>
  <c r="A349" i="242"/>
  <c r="B106" i="242"/>
  <c r="A105" i="242"/>
  <c r="A2524" i="242"/>
  <c r="B2525" i="242"/>
  <c r="A2525" i="242" s="1"/>
  <c r="A1271" i="242"/>
  <c r="B1272" i="242"/>
  <c r="A1839" i="242"/>
  <c r="B1840" i="242"/>
  <c r="B306" i="241"/>
  <c r="A305" i="241"/>
  <c r="B815" i="242"/>
  <c r="A814" i="242"/>
  <c r="B2687" i="242"/>
  <c r="A2686" i="242"/>
  <c r="A106" i="242" l="1"/>
  <c r="B107" i="242"/>
  <c r="B1841" i="242"/>
  <c r="A1840" i="242"/>
  <c r="B1273" i="242"/>
  <c r="A1272" i="242"/>
  <c r="A815" i="242"/>
  <c r="B816" i="242"/>
  <c r="A350" i="242"/>
  <c r="B351" i="242"/>
  <c r="B131" i="241"/>
  <c r="A130" i="241"/>
  <c r="A2687" i="242"/>
  <c r="B2688" i="242"/>
  <c r="B307" i="241"/>
  <c r="A306" i="241"/>
  <c r="A351" i="242" l="1"/>
  <c r="B352" i="242"/>
  <c r="A1273" i="242"/>
  <c r="B1274" i="242"/>
  <c r="A816" i="242"/>
  <c r="B817" i="242"/>
  <c r="A307" i="241"/>
  <c r="B308" i="241"/>
  <c r="A1841" i="242"/>
  <c r="B1842" i="242"/>
  <c r="A2688" i="242"/>
  <c r="B2689" i="242"/>
  <c r="A107" i="242"/>
  <c r="B108" i="242"/>
  <c r="A108" i="242" s="1"/>
  <c r="A131" i="241"/>
  <c r="B132" i="241"/>
  <c r="A2689" i="242" l="1"/>
  <c r="B2690" i="242"/>
  <c r="B1275" i="242"/>
  <c r="A1274" i="242"/>
  <c r="A1842" i="242"/>
  <c r="B1843" i="242"/>
  <c r="A817" i="242"/>
  <c r="B818" i="242"/>
  <c r="B353" i="242"/>
  <c r="A352" i="242"/>
  <c r="A308" i="241"/>
  <c r="B309" i="241"/>
  <c r="A309" i="241" s="1"/>
  <c r="A132" i="241"/>
  <c r="B133" i="241"/>
  <c r="B819" i="242" l="1"/>
  <c r="A818" i="242"/>
  <c r="A1275" i="242"/>
  <c r="B1276" i="242"/>
  <c r="B354" i="242"/>
  <c r="A353" i="242"/>
  <c r="A1843" i="242"/>
  <c r="B1844" i="242"/>
  <c r="A133" i="241"/>
  <c r="B134" i="241"/>
  <c r="B2691" i="242"/>
  <c r="A2690" i="242"/>
  <c r="A2691" i="242" l="1"/>
  <c r="B2692" i="242"/>
  <c r="B1277" i="242"/>
  <c r="A1276" i="242"/>
  <c r="A134" i="241"/>
  <c r="B135" i="241"/>
  <c r="B1845" i="242"/>
  <c r="A1844" i="242"/>
  <c r="B355" i="242"/>
  <c r="A354" i="242"/>
  <c r="B820" i="242"/>
  <c r="A819" i="242"/>
  <c r="B1846" i="242" l="1"/>
  <c r="A1845" i="242"/>
  <c r="A820" i="242"/>
  <c r="B821" i="242"/>
  <c r="A1277" i="242"/>
  <c r="B1278" i="242"/>
  <c r="A135" i="241"/>
  <c r="B136" i="241"/>
  <c r="A2692" i="242"/>
  <c r="B2693" i="242"/>
  <c r="A355" i="242"/>
  <c r="B356" i="242"/>
  <c r="A821" i="242" l="1"/>
  <c r="B822" i="242"/>
  <c r="A356" i="242"/>
  <c r="B357" i="242"/>
  <c r="A136" i="241"/>
  <c r="B137" i="241"/>
  <c r="A2693" i="242"/>
  <c r="B2694" i="242"/>
  <c r="B1279" i="242"/>
  <c r="A1278" i="242"/>
  <c r="A1846" i="242"/>
  <c r="B1847" i="242"/>
  <c r="B358" i="242" l="1"/>
  <c r="A357" i="242"/>
  <c r="A1847" i="242"/>
  <c r="B1848" i="242"/>
  <c r="B2695" i="242"/>
  <c r="A2694" i="242"/>
  <c r="B823" i="242"/>
  <c r="A822" i="242"/>
  <c r="B1280" i="242"/>
  <c r="A1279" i="242"/>
  <c r="A137" i="241"/>
  <c r="B138" i="241"/>
  <c r="B1281" i="242" l="1"/>
  <c r="A1280" i="242"/>
  <c r="B1849" i="242"/>
  <c r="A1848" i="242"/>
  <c r="B139" i="241"/>
  <c r="A138" i="241"/>
  <c r="B824" i="242"/>
  <c r="A823" i="242"/>
  <c r="B2696" i="242"/>
  <c r="A2695" i="242"/>
  <c r="B359" i="242"/>
  <c r="A358" i="242"/>
  <c r="A2696" i="242" l="1"/>
  <c r="B2697" i="242"/>
  <c r="A359" i="242"/>
  <c r="B360" i="242"/>
  <c r="A824" i="242"/>
  <c r="B825" i="242"/>
  <c r="B1850" i="242"/>
  <c r="A1849" i="242"/>
  <c r="A139" i="241"/>
  <c r="B140" i="241"/>
  <c r="A1281" i="242"/>
  <c r="B1282" i="242"/>
  <c r="B1851" i="242" l="1"/>
  <c r="A1850" i="242"/>
  <c r="A360" i="242"/>
  <c r="B361" i="242"/>
  <c r="A1282" i="242"/>
  <c r="B1283" i="242"/>
  <c r="A825" i="242"/>
  <c r="B826" i="242"/>
  <c r="A2697" i="242"/>
  <c r="B2698" i="242"/>
  <c r="A140" i="241"/>
  <c r="B141" i="241"/>
  <c r="A361" i="242" l="1"/>
  <c r="B362" i="242"/>
  <c r="A141" i="241"/>
  <c r="B142" i="241"/>
  <c r="A826" i="242"/>
  <c r="B827" i="242"/>
  <c r="A1283" i="242"/>
  <c r="B1284" i="242"/>
  <c r="A2698" i="242"/>
  <c r="B2699" i="242"/>
  <c r="A1851" i="242"/>
  <c r="B1852" i="242"/>
  <c r="B143" i="241" l="1"/>
  <c r="A142" i="241"/>
  <c r="B1853" i="242"/>
  <c r="A1852" i="242"/>
  <c r="B1285" i="242"/>
  <c r="A1284" i="242"/>
  <c r="B828" i="242"/>
  <c r="A827" i="242"/>
  <c r="A362" i="242"/>
  <c r="B363" i="242"/>
  <c r="B2700" i="242"/>
  <c r="A2699" i="242"/>
  <c r="A363" i="242" l="1"/>
  <c r="B364" i="242"/>
  <c r="A828" i="242"/>
  <c r="B829" i="242"/>
  <c r="A1853" i="242"/>
  <c r="B1854" i="242"/>
  <c r="A2700" i="242"/>
  <c r="B2701" i="242"/>
  <c r="A1285" i="242"/>
  <c r="B1286" i="242"/>
  <c r="A143" i="241"/>
  <c r="B144" i="241"/>
  <c r="A2701" i="242" l="1"/>
  <c r="B2702" i="242"/>
  <c r="A829" i="242"/>
  <c r="B830" i="242"/>
  <c r="B1287" i="242"/>
  <c r="A1286" i="242"/>
  <c r="A144" i="241"/>
  <c r="B145" i="241"/>
  <c r="A364" i="242"/>
  <c r="B365" i="242"/>
  <c r="B1855" i="242"/>
  <c r="A1854" i="242"/>
  <c r="A830" i="242" l="1"/>
  <c r="B831" i="242"/>
  <c r="A1855" i="242"/>
  <c r="B1856" i="242"/>
  <c r="A145" i="241"/>
  <c r="B146" i="241"/>
  <c r="B1288" i="242"/>
  <c r="A1287" i="242"/>
  <c r="A2702" i="242"/>
  <c r="B2703" i="242"/>
  <c r="B366" i="242"/>
  <c r="A365" i="242"/>
  <c r="A1856" i="242" l="1"/>
  <c r="B1857" i="242"/>
  <c r="A366" i="242"/>
  <c r="B367" i="242"/>
  <c r="B1289" i="242"/>
  <c r="A1288" i="242"/>
  <c r="B147" i="241"/>
  <c r="A146" i="241"/>
  <c r="A831" i="242"/>
  <c r="B832" i="242"/>
  <c r="B2704" i="242"/>
  <c r="A2703" i="242"/>
  <c r="A2704" i="242" l="1"/>
  <c r="B2705" i="242"/>
  <c r="A367" i="242"/>
  <c r="B368" i="242"/>
  <c r="A147" i="241"/>
  <c r="B148" i="241"/>
  <c r="A1289" i="242"/>
  <c r="B1290" i="242"/>
  <c r="B1858" i="242"/>
  <c r="A1857" i="242"/>
  <c r="A832" i="242"/>
  <c r="B833" i="242"/>
  <c r="B1291" i="242" l="1"/>
  <c r="A1290" i="242"/>
  <c r="A368" i="242"/>
  <c r="B369" i="242"/>
  <c r="A833" i="242"/>
  <c r="B834" i="242"/>
  <c r="A2705" i="242"/>
  <c r="B2706" i="242"/>
  <c r="B1859" i="242"/>
  <c r="A1858" i="242"/>
  <c r="A148" i="241"/>
  <c r="B149" i="241"/>
  <c r="B370" i="242" l="1"/>
  <c r="A369" i="242"/>
  <c r="A2706" i="242"/>
  <c r="B2707" i="242"/>
  <c r="B835" i="242"/>
  <c r="A834" i="242"/>
  <c r="A149" i="241"/>
  <c r="B150" i="241"/>
  <c r="A1859" i="242"/>
  <c r="B1860" i="242"/>
  <c r="A1291" i="242"/>
  <c r="B1292" i="242"/>
  <c r="A835" i="242" l="1"/>
  <c r="B836" i="242"/>
  <c r="B1293" i="242"/>
  <c r="A1292" i="242"/>
  <c r="B2708" i="242"/>
  <c r="A2707" i="242"/>
  <c r="A150" i="241"/>
  <c r="B151" i="241"/>
  <c r="A1860" i="242"/>
  <c r="B1861" i="242"/>
  <c r="B371" i="242"/>
  <c r="A370" i="242"/>
  <c r="A371" i="242" l="1"/>
  <c r="B372" i="242"/>
  <c r="A1293" i="242"/>
  <c r="B1294" i="242"/>
  <c r="B1862" i="242"/>
  <c r="A1861" i="242"/>
  <c r="A836" i="242"/>
  <c r="B837" i="242"/>
  <c r="A151" i="241"/>
  <c r="B152" i="241"/>
  <c r="A2708" i="242"/>
  <c r="B2709" i="242"/>
  <c r="B1295" i="242" l="1"/>
  <c r="A1294" i="242"/>
  <c r="A2709" i="242"/>
  <c r="B2710" i="242"/>
  <c r="A152" i="241"/>
  <c r="B153" i="241"/>
  <c r="A372" i="242"/>
  <c r="B373" i="242"/>
  <c r="A837" i="242"/>
  <c r="B838" i="242"/>
  <c r="B1863" i="242"/>
  <c r="A1862" i="242"/>
  <c r="A373" i="242" l="1"/>
  <c r="B374" i="242"/>
  <c r="A1863" i="242"/>
  <c r="B1864" i="242"/>
  <c r="B2711" i="242"/>
  <c r="A2710" i="242"/>
  <c r="B839" i="242"/>
  <c r="A838" i="242"/>
  <c r="A153" i="241"/>
  <c r="B154" i="241"/>
  <c r="A1295" i="242"/>
  <c r="B1296" i="242"/>
  <c r="B1865" i="242" l="1"/>
  <c r="A1864" i="242"/>
  <c r="B1297" i="242"/>
  <c r="A1296" i="242"/>
  <c r="A839" i="242"/>
  <c r="B840" i="242"/>
  <c r="B155" i="241"/>
  <c r="A155" i="241" s="1"/>
  <c r="A154" i="241"/>
  <c r="A374" i="242"/>
  <c r="B375" i="242"/>
  <c r="A2711" i="242"/>
  <c r="B2712" i="242"/>
  <c r="A1297" i="242" l="1"/>
  <c r="B1298" i="242"/>
  <c r="A2712" i="242"/>
  <c r="B2713" i="242"/>
  <c r="A375" i="242"/>
  <c r="B376" i="242"/>
  <c r="A840" i="242"/>
  <c r="B841" i="242"/>
  <c r="A1865" i="242"/>
  <c r="B1866" i="242"/>
  <c r="AD3" i="43"/>
  <c r="U3" i="43"/>
  <c r="A2713" i="242" l="1"/>
  <c r="B2714" i="242"/>
  <c r="A841" i="242"/>
  <c r="B842" i="242"/>
  <c r="B377" i="242"/>
  <c r="A376" i="242"/>
  <c r="A1298" i="242"/>
  <c r="B1299" i="242"/>
  <c r="A1866" i="242"/>
  <c r="B1867" i="242"/>
  <c r="B843" i="242" l="1"/>
  <c r="A842" i="242"/>
  <c r="B1300" i="242"/>
  <c r="A1299" i="242"/>
  <c r="A377" i="242"/>
  <c r="B378" i="242"/>
  <c r="B2715" i="242"/>
  <c r="A2714" i="242"/>
  <c r="A1867" i="242"/>
  <c r="B1868" i="242"/>
  <c r="A2715" i="242" l="1"/>
  <c r="B2716" i="242"/>
  <c r="B1301" i="242"/>
  <c r="A1300" i="242"/>
  <c r="A378" i="242"/>
  <c r="B379" i="242"/>
  <c r="B1869" i="242"/>
  <c r="A1868" i="242"/>
  <c r="B844" i="242"/>
  <c r="A843" i="242"/>
  <c r="A379" i="242" l="1"/>
  <c r="B380" i="242"/>
  <c r="A1301" i="242"/>
  <c r="B1302" i="242"/>
  <c r="A1869" i="242"/>
  <c r="B1870" i="242"/>
  <c r="A2716" i="242"/>
  <c r="B2717" i="242"/>
  <c r="A844" i="242"/>
  <c r="B845" i="242"/>
  <c r="A2717" i="242" l="1"/>
  <c r="B2718" i="242"/>
  <c r="A1302" i="242"/>
  <c r="B1303" i="242"/>
  <c r="A845" i="242"/>
  <c r="B846" i="242"/>
  <c r="A1870" i="242"/>
  <c r="B1871" i="242"/>
  <c r="B381" i="242"/>
  <c r="A380" i="242"/>
  <c r="A1303" i="242" l="1"/>
  <c r="B1304" i="242"/>
  <c r="A1871" i="242"/>
  <c r="B1872" i="242"/>
  <c r="A381" i="242"/>
  <c r="B382" i="242"/>
  <c r="B847" i="242"/>
  <c r="A846" i="242"/>
  <c r="B2719" i="242"/>
  <c r="A2718" i="242"/>
  <c r="T26" i="4"/>
  <c r="T32" i="4"/>
  <c r="T33" i="4"/>
  <c r="T34" i="4"/>
  <c r="T38" i="4"/>
  <c r="T44" i="4"/>
  <c r="T45" i="4"/>
  <c r="T46" i="4"/>
  <c r="T50" i="4"/>
  <c r="T56" i="4"/>
  <c r="T57" i="4"/>
  <c r="T58" i="4"/>
  <c r="T62" i="4"/>
  <c r="T68" i="4"/>
  <c r="T69" i="4"/>
  <c r="T70" i="4"/>
  <c r="T74" i="4"/>
  <c r="T80" i="4"/>
  <c r="T81" i="4"/>
  <c r="T82" i="4"/>
  <c r="T86" i="4"/>
  <c r="T89" i="4"/>
  <c r="T90" i="4"/>
  <c r="T91" i="4"/>
  <c r="R23" i="4"/>
  <c r="T23" i="4" s="1"/>
  <c r="R24" i="4"/>
  <c r="T24" i="4" s="1"/>
  <c r="R25" i="4"/>
  <c r="T25" i="4" s="1"/>
  <c r="R26" i="4"/>
  <c r="R27" i="4"/>
  <c r="T27" i="4" s="1"/>
  <c r="R28" i="4"/>
  <c r="T28" i="4" s="1"/>
  <c r="R29" i="4"/>
  <c r="T29" i="4" s="1"/>
  <c r="R30" i="4"/>
  <c r="T30" i="4" s="1"/>
  <c r="R31" i="4"/>
  <c r="T31" i="4" s="1"/>
  <c r="R32" i="4"/>
  <c r="R33" i="4"/>
  <c r="R34" i="4"/>
  <c r="R35" i="4"/>
  <c r="T35" i="4" s="1"/>
  <c r="R36" i="4"/>
  <c r="T36" i="4" s="1"/>
  <c r="R37" i="4"/>
  <c r="T37" i="4" s="1"/>
  <c r="R38" i="4"/>
  <c r="R39" i="4"/>
  <c r="T39" i="4" s="1"/>
  <c r="R40" i="4"/>
  <c r="T40" i="4" s="1"/>
  <c r="R41" i="4"/>
  <c r="T41" i="4" s="1"/>
  <c r="R42" i="4"/>
  <c r="T42" i="4" s="1"/>
  <c r="R43" i="4"/>
  <c r="T43" i="4" s="1"/>
  <c r="R44" i="4"/>
  <c r="R45" i="4"/>
  <c r="R46" i="4"/>
  <c r="R47" i="4"/>
  <c r="T47" i="4" s="1"/>
  <c r="R48" i="4"/>
  <c r="T48" i="4" s="1"/>
  <c r="R49" i="4"/>
  <c r="T49" i="4" s="1"/>
  <c r="R50" i="4"/>
  <c r="R51" i="4"/>
  <c r="T51" i="4" s="1"/>
  <c r="R52" i="4"/>
  <c r="T52" i="4" s="1"/>
  <c r="R53" i="4"/>
  <c r="T53" i="4" s="1"/>
  <c r="R54" i="4"/>
  <c r="T54" i="4" s="1"/>
  <c r="R55" i="4"/>
  <c r="T55" i="4" s="1"/>
  <c r="R56" i="4"/>
  <c r="R57" i="4"/>
  <c r="R58" i="4"/>
  <c r="R59" i="4"/>
  <c r="T59" i="4" s="1"/>
  <c r="R60" i="4"/>
  <c r="T60" i="4" s="1"/>
  <c r="R61" i="4"/>
  <c r="T61" i="4" s="1"/>
  <c r="R62" i="4"/>
  <c r="R63" i="4"/>
  <c r="T63" i="4" s="1"/>
  <c r="R64" i="4"/>
  <c r="T64" i="4" s="1"/>
  <c r="R65" i="4"/>
  <c r="T65" i="4" s="1"/>
  <c r="R66" i="4"/>
  <c r="T66" i="4" s="1"/>
  <c r="R67" i="4"/>
  <c r="T67" i="4" s="1"/>
  <c r="R68" i="4"/>
  <c r="R69" i="4"/>
  <c r="R70" i="4"/>
  <c r="R71" i="4"/>
  <c r="T71" i="4" s="1"/>
  <c r="R72" i="4"/>
  <c r="T72" i="4" s="1"/>
  <c r="R73" i="4"/>
  <c r="T73" i="4" s="1"/>
  <c r="R74" i="4"/>
  <c r="R75" i="4"/>
  <c r="T75" i="4" s="1"/>
  <c r="R76" i="4"/>
  <c r="T76" i="4" s="1"/>
  <c r="R77" i="4"/>
  <c r="T77" i="4" s="1"/>
  <c r="R78" i="4"/>
  <c r="T78" i="4" s="1"/>
  <c r="R79" i="4"/>
  <c r="T79" i="4" s="1"/>
  <c r="R80" i="4"/>
  <c r="R81" i="4"/>
  <c r="R82" i="4"/>
  <c r="R83" i="4"/>
  <c r="T83" i="4" s="1"/>
  <c r="R84" i="4"/>
  <c r="T84" i="4" s="1"/>
  <c r="R85" i="4"/>
  <c r="T85" i="4" s="1"/>
  <c r="R86" i="4"/>
  <c r="R87" i="4"/>
  <c r="T87" i="4" s="1"/>
  <c r="R88" i="4"/>
  <c r="T88" i="4" s="1"/>
  <c r="R89" i="4"/>
  <c r="R90" i="4"/>
  <c r="R91" i="4"/>
  <c r="BF22" i="4"/>
  <c r="BF23" i="4" s="1" a="1"/>
  <c r="B383" i="242" l="1"/>
  <c r="A382" i="242"/>
  <c r="B1873" i="242"/>
  <c r="A1872" i="242"/>
  <c r="B2720" i="242"/>
  <c r="A2719" i="242"/>
  <c r="B848" i="242"/>
  <c r="A847" i="242"/>
  <c r="B1305" i="242"/>
  <c r="A1304" i="242"/>
  <c r="BF29" i="4"/>
  <c r="BG29" i="4" s="1"/>
  <c r="BF32" i="4"/>
  <c r="BG32" i="4" s="1"/>
  <c r="BF43" i="4"/>
  <c r="BG43" i="4" s="1"/>
  <c r="BF60" i="4"/>
  <c r="BG60" i="4" s="1"/>
  <c r="BF83" i="4"/>
  <c r="BG83" i="4" s="1"/>
  <c r="BF23" i="4"/>
  <c r="BG23" i="4" s="1"/>
  <c r="BI23" i="4" s="1"/>
  <c r="BF49" i="4"/>
  <c r="BG49" i="4" s="1"/>
  <c r="BF90" i="4"/>
  <c r="BG90" i="4" s="1"/>
  <c r="BF24" i="4"/>
  <c r="BG24" i="4" s="1"/>
  <c r="BF35" i="4"/>
  <c r="BG35" i="4" s="1"/>
  <c r="BF50" i="4"/>
  <c r="BG50" i="4" s="1"/>
  <c r="BF68" i="4"/>
  <c r="BG68" i="4" s="1"/>
  <c r="BF25" i="4"/>
  <c r="BG25" i="4" s="1"/>
  <c r="BF51" i="4"/>
  <c r="BG51" i="4" s="1"/>
  <c r="BF41" i="4"/>
  <c r="BG41" i="4" s="1"/>
  <c r="BF76" i="4"/>
  <c r="BG76" i="4" s="1"/>
  <c r="BF42" i="4"/>
  <c r="BG42" i="4" s="1"/>
  <c r="BF33" i="4"/>
  <c r="BG33" i="4" s="1"/>
  <c r="BF44" i="4"/>
  <c r="BG44" i="4" s="1"/>
  <c r="BF66" i="4"/>
  <c r="BG66" i="4" s="1"/>
  <c r="BF84" i="4"/>
  <c r="BG84" i="4" s="1"/>
  <c r="BF34" i="4"/>
  <c r="BG34" i="4" s="1"/>
  <c r="BF67" i="4"/>
  <c r="BG67" i="4" s="1"/>
  <c r="BF91" i="4"/>
  <c r="BG91" i="4" s="1"/>
  <c r="BF36" i="4"/>
  <c r="BG36" i="4" s="1"/>
  <c r="BF74" i="4"/>
  <c r="BG74" i="4" s="1"/>
  <c r="BF26" i="4"/>
  <c r="BG26" i="4" s="1"/>
  <c r="BF40" i="4"/>
  <c r="BG40" i="4" s="1"/>
  <c r="BF52" i="4"/>
  <c r="BG52" i="4" s="1"/>
  <c r="BF75" i="4"/>
  <c r="BG75" i="4" s="1"/>
  <c r="BF27" i="4"/>
  <c r="BG27" i="4" s="1"/>
  <c r="BF58" i="4"/>
  <c r="BG58" i="4" s="1"/>
  <c r="BF28" i="4"/>
  <c r="BG28" i="4" s="1"/>
  <c r="BF59" i="4"/>
  <c r="BG59" i="4" s="1"/>
  <c r="BF82" i="4"/>
  <c r="BG82" i="4" s="1"/>
  <c r="BF89" i="4"/>
  <c r="BG89" i="4" s="1"/>
  <c r="BF81" i="4"/>
  <c r="BG81" i="4" s="1"/>
  <c r="BF73" i="4"/>
  <c r="BG73" i="4" s="1"/>
  <c r="BF65" i="4"/>
  <c r="BG65" i="4" s="1"/>
  <c r="BF57" i="4"/>
  <c r="BG57" i="4" s="1"/>
  <c r="BF88" i="4"/>
  <c r="BG88" i="4" s="1"/>
  <c r="BF80" i="4"/>
  <c r="BG80" i="4" s="1"/>
  <c r="BF72" i="4"/>
  <c r="BG72" i="4" s="1"/>
  <c r="BF64" i="4"/>
  <c r="BG64" i="4" s="1"/>
  <c r="BF56" i="4"/>
  <c r="BG56" i="4" s="1"/>
  <c r="BF48" i="4"/>
  <c r="BG48" i="4" s="1"/>
  <c r="BF87" i="4"/>
  <c r="BG87" i="4" s="1"/>
  <c r="BF79" i="4"/>
  <c r="BG79" i="4" s="1"/>
  <c r="BF71" i="4"/>
  <c r="BG71" i="4" s="1"/>
  <c r="BF63" i="4"/>
  <c r="BG63" i="4" s="1"/>
  <c r="BF55" i="4"/>
  <c r="BG55" i="4" s="1"/>
  <c r="BF47" i="4"/>
  <c r="BG47" i="4" s="1"/>
  <c r="BF39" i="4"/>
  <c r="BG39" i="4" s="1"/>
  <c r="BF31" i="4"/>
  <c r="BG31" i="4" s="1"/>
  <c r="BF86" i="4"/>
  <c r="BG86" i="4" s="1"/>
  <c r="BF78" i="4"/>
  <c r="BG78" i="4" s="1"/>
  <c r="BF70" i="4"/>
  <c r="BG70" i="4" s="1"/>
  <c r="BF62" i="4"/>
  <c r="BG62" i="4" s="1"/>
  <c r="BF54" i="4"/>
  <c r="BG54" i="4" s="1"/>
  <c r="BF46" i="4"/>
  <c r="BG46" i="4" s="1"/>
  <c r="BF38" i="4"/>
  <c r="BG38" i="4" s="1"/>
  <c r="BF30" i="4"/>
  <c r="BG30" i="4" s="1"/>
  <c r="BF85" i="4"/>
  <c r="BG85" i="4" s="1"/>
  <c r="BF77" i="4"/>
  <c r="BG77" i="4" s="1"/>
  <c r="BF69" i="4"/>
  <c r="BG69" i="4" s="1"/>
  <c r="BF61" i="4"/>
  <c r="BG61" i="4" s="1"/>
  <c r="BF53" i="4"/>
  <c r="BG53" i="4" s="1"/>
  <c r="BF45" i="4"/>
  <c r="BG45" i="4" s="1"/>
  <c r="BF37" i="4"/>
  <c r="BG37" i="4" s="1"/>
  <c r="AB23" i="4"/>
  <c r="AB24" i="4"/>
  <c r="AB25" i="4"/>
  <c r="AB26" i="4"/>
  <c r="AB27" i="4"/>
  <c r="AB28" i="4"/>
  <c r="AB29" i="4"/>
  <c r="AB30" i="4"/>
  <c r="AB31" i="4"/>
  <c r="AB32" i="4"/>
  <c r="AB33" i="4"/>
  <c r="AB34" i="4"/>
  <c r="AB35" i="4"/>
  <c r="AB36" i="4"/>
  <c r="AB37" i="4"/>
  <c r="AB38" i="4"/>
  <c r="AB39" i="4"/>
  <c r="AB40" i="4"/>
  <c r="AB41" i="4"/>
  <c r="AB42" i="4"/>
  <c r="AB43" i="4"/>
  <c r="AB44" i="4"/>
  <c r="AB45" i="4"/>
  <c r="AB46" i="4"/>
  <c r="AB47" i="4"/>
  <c r="AB48" i="4"/>
  <c r="AB49" i="4"/>
  <c r="AB50" i="4"/>
  <c r="AB51" i="4"/>
  <c r="AB52" i="4"/>
  <c r="AB53" i="4"/>
  <c r="AB54" i="4"/>
  <c r="AB55" i="4"/>
  <c r="AB56" i="4"/>
  <c r="AB57" i="4"/>
  <c r="AB58" i="4"/>
  <c r="AB59" i="4"/>
  <c r="AB60" i="4"/>
  <c r="AB61" i="4"/>
  <c r="AB62" i="4"/>
  <c r="AB63" i="4"/>
  <c r="AB64" i="4"/>
  <c r="AB65" i="4"/>
  <c r="AB66" i="4"/>
  <c r="AB67" i="4"/>
  <c r="AB68" i="4"/>
  <c r="AB69" i="4"/>
  <c r="AB70" i="4"/>
  <c r="AB71" i="4"/>
  <c r="AB72" i="4"/>
  <c r="AB73" i="4"/>
  <c r="AB74" i="4"/>
  <c r="AB75" i="4"/>
  <c r="AB76" i="4"/>
  <c r="AB77" i="4"/>
  <c r="AB78" i="4"/>
  <c r="AB79" i="4"/>
  <c r="AB80" i="4"/>
  <c r="AB81" i="4"/>
  <c r="AB82" i="4"/>
  <c r="AB83" i="4"/>
  <c r="AB84" i="4"/>
  <c r="AB85" i="4"/>
  <c r="AB86" i="4"/>
  <c r="AB87" i="4"/>
  <c r="AB88" i="4"/>
  <c r="AB89" i="4"/>
  <c r="AB90" i="4"/>
  <c r="AB91" i="4"/>
  <c r="Y23" i="4"/>
  <c r="Z23" i="4" s="1"/>
  <c r="Y24" i="4"/>
  <c r="Z24" i="4" s="1"/>
  <c r="Y25" i="4"/>
  <c r="Z25" i="4" s="1"/>
  <c r="Y26" i="4"/>
  <c r="Z26" i="4" s="1"/>
  <c r="Y27" i="4"/>
  <c r="Z27" i="4" s="1"/>
  <c r="Y28" i="4"/>
  <c r="Z28" i="4" s="1"/>
  <c r="Y29" i="4"/>
  <c r="Z29" i="4" s="1"/>
  <c r="Y30" i="4"/>
  <c r="Z30" i="4" s="1"/>
  <c r="Y31" i="4"/>
  <c r="Z31" i="4" s="1"/>
  <c r="Y32" i="4"/>
  <c r="Z32" i="4" s="1"/>
  <c r="Y33" i="4"/>
  <c r="Z33" i="4" s="1"/>
  <c r="Y34" i="4"/>
  <c r="Z34" i="4" s="1"/>
  <c r="Y35" i="4"/>
  <c r="Z35" i="4" s="1"/>
  <c r="Y36" i="4"/>
  <c r="Z36" i="4" s="1"/>
  <c r="Y37" i="4"/>
  <c r="Z37" i="4" s="1"/>
  <c r="Y38" i="4"/>
  <c r="Z38" i="4" s="1"/>
  <c r="Y39" i="4"/>
  <c r="Z39" i="4" s="1"/>
  <c r="Y40" i="4"/>
  <c r="Z40" i="4" s="1"/>
  <c r="Y41" i="4"/>
  <c r="Z41" i="4" s="1"/>
  <c r="Y42" i="4"/>
  <c r="Z42" i="4" s="1"/>
  <c r="Y43" i="4"/>
  <c r="Z43" i="4" s="1"/>
  <c r="Y44" i="4"/>
  <c r="Z44" i="4" s="1"/>
  <c r="Y45" i="4"/>
  <c r="Z45" i="4" s="1"/>
  <c r="Y46" i="4"/>
  <c r="Z46" i="4" s="1"/>
  <c r="Y47" i="4"/>
  <c r="Z47" i="4" s="1"/>
  <c r="Y48" i="4"/>
  <c r="Z48" i="4" s="1"/>
  <c r="Y49" i="4"/>
  <c r="Z49" i="4" s="1"/>
  <c r="Y50" i="4"/>
  <c r="Z50" i="4" s="1"/>
  <c r="Y51" i="4"/>
  <c r="Z51" i="4" s="1"/>
  <c r="Y52" i="4"/>
  <c r="Z52" i="4" s="1"/>
  <c r="Y53" i="4"/>
  <c r="Z53" i="4" s="1"/>
  <c r="Y54" i="4"/>
  <c r="Z54" i="4" s="1"/>
  <c r="Y55" i="4"/>
  <c r="Z55" i="4" s="1"/>
  <c r="Y56" i="4"/>
  <c r="Z56" i="4" s="1"/>
  <c r="Y57" i="4"/>
  <c r="Z57" i="4" s="1"/>
  <c r="Y58" i="4"/>
  <c r="Z58" i="4" s="1"/>
  <c r="Y59" i="4"/>
  <c r="Z59" i="4" s="1"/>
  <c r="Y60" i="4"/>
  <c r="Z60" i="4" s="1"/>
  <c r="Y61" i="4"/>
  <c r="Z61" i="4" s="1"/>
  <c r="Y62" i="4"/>
  <c r="Z62" i="4" s="1"/>
  <c r="Y63" i="4"/>
  <c r="Z63" i="4" s="1"/>
  <c r="Y64" i="4"/>
  <c r="Z64" i="4" s="1"/>
  <c r="Y65" i="4"/>
  <c r="Z65" i="4" s="1"/>
  <c r="Y66" i="4"/>
  <c r="Z66" i="4" s="1"/>
  <c r="Y67" i="4"/>
  <c r="Z67" i="4" s="1"/>
  <c r="Y68" i="4"/>
  <c r="Z68" i="4" s="1"/>
  <c r="Y69" i="4"/>
  <c r="Z69" i="4" s="1"/>
  <c r="Y70" i="4"/>
  <c r="Z70" i="4" s="1"/>
  <c r="Y71" i="4"/>
  <c r="Z71" i="4" s="1"/>
  <c r="Y72" i="4"/>
  <c r="Z72" i="4" s="1"/>
  <c r="Y73" i="4"/>
  <c r="Z73" i="4" s="1"/>
  <c r="Y74" i="4"/>
  <c r="Z74" i="4" s="1"/>
  <c r="Y75" i="4"/>
  <c r="Z75" i="4" s="1"/>
  <c r="Y76" i="4"/>
  <c r="Z76" i="4" s="1"/>
  <c r="Y77" i="4"/>
  <c r="Z77" i="4" s="1"/>
  <c r="Y78" i="4"/>
  <c r="Z78" i="4" s="1"/>
  <c r="Y79" i="4"/>
  <c r="Z79" i="4" s="1"/>
  <c r="Y80" i="4"/>
  <c r="Z80" i="4" s="1"/>
  <c r="Y81" i="4"/>
  <c r="Z81" i="4" s="1"/>
  <c r="Y82" i="4"/>
  <c r="Z82" i="4" s="1"/>
  <c r="Y83" i="4"/>
  <c r="Z83" i="4" s="1"/>
  <c r="Y84" i="4"/>
  <c r="Z84" i="4" s="1"/>
  <c r="Y85" i="4"/>
  <c r="Z85" i="4" s="1"/>
  <c r="Y86" i="4"/>
  <c r="Z86" i="4" s="1"/>
  <c r="Y87" i="4"/>
  <c r="Z87" i="4" s="1"/>
  <c r="Y88" i="4"/>
  <c r="Z88" i="4" s="1"/>
  <c r="Y89" i="4"/>
  <c r="Z89" i="4" s="1"/>
  <c r="Y90" i="4"/>
  <c r="Z90" i="4" s="1"/>
  <c r="Y91" i="4"/>
  <c r="Z91" i="4" s="1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H60" i="4"/>
  <c r="H61" i="4"/>
  <c r="H62" i="4"/>
  <c r="H63" i="4"/>
  <c r="H64" i="4"/>
  <c r="H65" i="4"/>
  <c r="H66" i="4"/>
  <c r="H67" i="4"/>
  <c r="H68" i="4"/>
  <c r="H69" i="4"/>
  <c r="H70" i="4"/>
  <c r="H71" i="4"/>
  <c r="H72" i="4"/>
  <c r="H73" i="4"/>
  <c r="H74" i="4"/>
  <c r="H75" i="4"/>
  <c r="H76" i="4"/>
  <c r="H77" i="4"/>
  <c r="H78" i="4"/>
  <c r="H79" i="4"/>
  <c r="H80" i="4"/>
  <c r="H81" i="4"/>
  <c r="H82" i="4"/>
  <c r="H83" i="4"/>
  <c r="H84" i="4"/>
  <c r="H85" i="4"/>
  <c r="H86" i="4"/>
  <c r="H87" i="4"/>
  <c r="H88" i="4"/>
  <c r="H89" i="4"/>
  <c r="H90" i="4"/>
  <c r="H91" i="4"/>
  <c r="E23" i="4"/>
  <c r="E24" i="4"/>
  <c r="E25" i="4"/>
  <c r="E26" i="4"/>
  <c r="E27" i="4"/>
  <c r="E28" i="4"/>
  <c r="E29" i="4"/>
  <c r="E30" i="4"/>
  <c r="E31" i="4"/>
  <c r="E32" i="4"/>
  <c r="E33" i="4"/>
  <c r="E34" i="4"/>
  <c r="E35" i="4"/>
  <c r="E36" i="4"/>
  <c r="E37" i="4"/>
  <c r="E38" i="4"/>
  <c r="E39" i="4"/>
  <c r="E40" i="4"/>
  <c r="E41" i="4"/>
  <c r="E42" i="4"/>
  <c r="E43" i="4"/>
  <c r="E44" i="4"/>
  <c r="E45" i="4"/>
  <c r="E46" i="4"/>
  <c r="E47" i="4"/>
  <c r="E48" i="4"/>
  <c r="E49" i="4"/>
  <c r="E50" i="4"/>
  <c r="E51" i="4"/>
  <c r="E52" i="4"/>
  <c r="E53" i="4"/>
  <c r="E54" i="4"/>
  <c r="E55" i="4"/>
  <c r="E56" i="4"/>
  <c r="E57" i="4"/>
  <c r="E58" i="4"/>
  <c r="E59" i="4"/>
  <c r="E60" i="4"/>
  <c r="E61" i="4"/>
  <c r="E62" i="4"/>
  <c r="E63" i="4"/>
  <c r="E64" i="4"/>
  <c r="E65" i="4"/>
  <c r="E66" i="4"/>
  <c r="E67" i="4"/>
  <c r="E68" i="4"/>
  <c r="E69" i="4"/>
  <c r="E70" i="4"/>
  <c r="E71" i="4"/>
  <c r="E72" i="4"/>
  <c r="E73" i="4"/>
  <c r="E74" i="4"/>
  <c r="E75" i="4"/>
  <c r="E76" i="4"/>
  <c r="E77" i="4"/>
  <c r="E78" i="4"/>
  <c r="E79" i="4"/>
  <c r="E80" i="4"/>
  <c r="E81" i="4"/>
  <c r="E82" i="4"/>
  <c r="E83" i="4"/>
  <c r="E84" i="4"/>
  <c r="E85" i="4"/>
  <c r="E86" i="4"/>
  <c r="E87" i="4"/>
  <c r="E88" i="4"/>
  <c r="F88" i="4" s="1"/>
  <c r="E89" i="4"/>
  <c r="F89" i="4" s="1"/>
  <c r="E90" i="4"/>
  <c r="F90" i="4" s="1"/>
  <c r="E91" i="4"/>
  <c r="BO22" i="4"/>
  <c r="S17" i="70"/>
  <c r="S26" i="70"/>
  <c r="S15" i="70"/>
  <c r="S25" i="70"/>
  <c r="S27" i="70"/>
  <c r="S13" i="70"/>
  <c r="S18" i="70"/>
  <c r="S22" i="70"/>
  <c r="S23" i="70"/>
  <c r="S21" i="70"/>
  <c r="S19" i="70"/>
  <c r="S20" i="70"/>
  <c r="S14" i="70"/>
  <c r="S16" i="70"/>
  <c r="S24" i="70"/>
  <c r="A1305" i="242" l="1"/>
  <c r="B1306" i="242"/>
  <c r="A2720" i="242"/>
  <c r="B2721" i="242"/>
  <c r="B1874" i="242"/>
  <c r="A1873" i="242"/>
  <c r="A848" i="242"/>
  <c r="B849" i="242"/>
  <c r="A383" i="242"/>
  <c r="B384" i="242"/>
  <c r="BH24" i="4"/>
  <c r="BH25" i="4" s="1"/>
  <c r="BH26" i="4" s="1"/>
  <c r="BH27" i="4" s="1"/>
  <c r="BH28" i="4" s="1"/>
  <c r="BH29" i="4" s="1"/>
  <c r="BI29" i="4" s="1"/>
  <c r="F23" i="4"/>
  <c r="F24" i="4"/>
  <c r="F25" i="4"/>
  <c r="F26" i="4"/>
  <c r="F27" i="4"/>
  <c r="F28" i="4"/>
  <c r="F29" i="4"/>
  <c r="F30" i="4"/>
  <c r="F31" i="4"/>
  <c r="F32" i="4"/>
  <c r="F33" i="4"/>
  <c r="F34" i="4"/>
  <c r="F35" i="4"/>
  <c r="F36" i="4"/>
  <c r="F37" i="4"/>
  <c r="F38" i="4"/>
  <c r="F39" i="4"/>
  <c r="F40" i="4"/>
  <c r="F41" i="4"/>
  <c r="F42" i="4"/>
  <c r="F43" i="4"/>
  <c r="F44" i="4"/>
  <c r="F45" i="4"/>
  <c r="F46" i="4"/>
  <c r="F47" i="4"/>
  <c r="F48" i="4"/>
  <c r="F49" i="4"/>
  <c r="F50" i="4"/>
  <c r="F51" i="4"/>
  <c r="F52" i="4"/>
  <c r="F53" i="4"/>
  <c r="F54" i="4"/>
  <c r="F55" i="4"/>
  <c r="F56" i="4"/>
  <c r="F57" i="4"/>
  <c r="F58" i="4"/>
  <c r="F59" i="4"/>
  <c r="F60" i="4"/>
  <c r="F61" i="4"/>
  <c r="F62" i="4"/>
  <c r="F63" i="4"/>
  <c r="F64" i="4"/>
  <c r="F65" i="4"/>
  <c r="F66" i="4"/>
  <c r="F67" i="4"/>
  <c r="F68" i="4"/>
  <c r="F69" i="4"/>
  <c r="F70" i="4"/>
  <c r="F71" i="4"/>
  <c r="F72" i="4"/>
  <c r="F73" i="4"/>
  <c r="F74" i="4"/>
  <c r="F75" i="4"/>
  <c r="F76" i="4"/>
  <c r="F77" i="4"/>
  <c r="F78" i="4"/>
  <c r="F79" i="4"/>
  <c r="F80" i="4"/>
  <c r="F81" i="4"/>
  <c r="F82" i="4"/>
  <c r="F83" i="4"/>
  <c r="F84" i="4"/>
  <c r="F85" i="4"/>
  <c r="F86" i="4"/>
  <c r="F87" i="4"/>
  <c r="F91" i="4"/>
  <c r="B1875" i="242" l="1"/>
  <c r="A1874" i="242"/>
  <c r="A849" i="242"/>
  <c r="B850" i="242"/>
  <c r="A1306" i="242"/>
  <c r="B1307" i="242"/>
  <c r="B385" i="242"/>
  <c r="A384" i="242"/>
  <c r="A2721" i="242"/>
  <c r="B2722" i="242"/>
  <c r="D88" i="4"/>
  <c r="BD23" i="4" a="1"/>
  <c r="BD70" i="4" s="1"/>
  <c r="BL23" i="4" a="1"/>
  <c r="BL91" i="4" s="1"/>
  <c r="BM91" i="4" s="1"/>
  <c r="BH30" i="4"/>
  <c r="BI25" i="4"/>
  <c r="BI28" i="4"/>
  <c r="BI26" i="4"/>
  <c r="BI27" i="4"/>
  <c r="BI24" i="4"/>
  <c r="B851" i="242" l="1"/>
  <c r="A850" i="242"/>
  <c r="B1308" i="242"/>
  <c r="A1307" i="242"/>
  <c r="A2722" i="242"/>
  <c r="B2723" i="242"/>
  <c r="A385" i="242"/>
  <c r="B386" i="242"/>
  <c r="A1875" i="242"/>
  <c r="B1876" i="242"/>
  <c r="D36" i="4"/>
  <c r="D27" i="4"/>
  <c r="BL28" i="4"/>
  <c r="BD31" i="4"/>
  <c r="D56" i="4"/>
  <c r="D32" i="4"/>
  <c r="D42" i="4"/>
  <c r="D23" i="4"/>
  <c r="D28" i="4"/>
  <c r="D52" i="4"/>
  <c r="D48" i="4"/>
  <c r="D45" i="4"/>
  <c r="D53" i="4"/>
  <c r="D40" i="4"/>
  <c r="BD30" i="4"/>
  <c r="BD51" i="4"/>
  <c r="BD78" i="4"/>
  <c r="BD54" i="4"/>
  <c r="BD32" i="4"/>
  <c r="BD71" i="4"/>
  <c r="BD86" i="4"/>
  <c r="BD28" i="4"/>
  <c r="BD49" i="4"/>
  <c r="BD33" i="4"/>
  <c r="BD56" i="4"/>
  <c r="BD44" i="4"/>
  <c r="BD41" i="4"/>
  <c r="BD61" i="4"/>
  <c r="BD58" i="4"/>
  <c r="BD55" i="4"/>
  <c r="D70" i="4"/>
  <c r="D61" i="4"/>
  <c r="BD35" i="4"/>
  <c r="BD47" i="4"/>
  <c r="BD39" i="4"/>
  <c r="D59" i="4"/>
  <c r="BD25" i="4"/>
  <c r="D38" i="4"/>
  <c r="D46" i="4"/>
  <c r="BD27" i="4"/>
  <c r="BD50" i="4"/>
  <c r="D30" i="4"/>
  <c r="D68" i="4"/>
  <c r="BD43" i="4"/>
  <c r="D26" i="4"/>
  <c r="D65" i="4"/>
  <c r="D44" i="4"/>
  <c r="D50" i="4"/>
  <c r="D34" i="4"/>
  <c r="D72" i="4"/>
  <c r="D64" i="4"/>
  <c r="BD75" i="4"/>
  <c r="D24" i="4"/>
  <c r="D69" i="4"/>
  <c r="D87" i="4"/>
  <c r="D91" i="4"/>
  <c r="D90" i="4"/>
  <c r="D79" i="4"/>
  <c r="D76" i="4"/>
  <c r="D86" i="4"/>
  <c r="D89" i="4"/>
  <c r="D77" i="4"/>
  <c r="D78" i="4"/>
  <c r="D71" i="4"/>
  <c r="D39" i="4"/>
  <c r="BD69" i="4"/>
  <c r="D74" i="4"/>
  <c r="BL33" i="4"/>
  <c r="D25" i="4"/>
  <c r="D35" i="4"/>
  <c r="D37" i="4"/>
  <c r="BD66" i="4"/>
  <c r="BD64" i="4"/>
  <c r="D29" i="4"/>
  <c r="D84" i="4"/>
  <c r="D57" i="4"/>
  <c r="D33" i="4"/>
  <c r="D58" i="4"/>
  <c r="D43" i="4"/>
  <c r="D85" i="4"/>
  <c r="BD23" i="4"/>
  <c r="D41" i="4"/>
  <c r="BD74" i="4"/>
  <c r="D51" i="4"/>
  <c r="D31" i="4"/>
  <c r="D67" i="4"/>
  <c r="D62" i="4"/>
  <c r="D63" i="4"/>
  <c r="D49" i="4"/>
  <c r="D82" i="4"/>
  <c r="D75" i="4"/>
  <c r="BD29" i="4"/>
  <c r="D47" i="4"/>
  <c r="D55" i="4"/>
  <c r="BD72" i="4"/>
  <c r="D81" i="4"/>
  <c r="BD85" i="4"/>
  <c r="BD37" i="4"/>
  <c r="D73" i="4"/>
  <c r="BD38" i="4"/>
  <c r="D83" i="4"/>
  <c r="D80" i="4"/>
  <c r="D60" i="4"/>
  <c r="BD77" i="4"/>
  <c r="BD88" i="4"/>
  <c r="BD82" i="4"/>
  <c r="BD81" i="4"/>
  <c r="D66" i="4"/>
  <c r="BD53" i="4"/>
  <c r="D54" i="4"/>
  <c r="BD80" i="4"/>
  <c r="BD89" i="4"/>
  <c r="D20" i="188"/>
  <c r="D19" i="188"/>
  <c r="D24" i="188"/>
  <c r="D16" i="188"/>
  <c r="D33" i="188"/>
  <c r="D25" i="188"/>
  <c r="D23" i="188"/>
  <c r="D17" i="188"/>
  <c r="D21" i="188"/>
  <c r="D18" i="188"/>
  <c r="D30" i="188"/>
  <c r="D26" i="188"/>
  <c r="D29" i="188"/>
  <c r="D32" i="188"/>
  <c r="D31" i="188"/>
  <c r="D34" i="188"/>
  <c r="D27" i="188"/>
  <c r="D22" i="188"/>
  <c r="D28" i="188"/>
  <c r="BD87" i="4"/>
  <c r="BL63" i="4"/>
  <c r="BL43" i="4"/>
  <c r="BL77" i="4"/>
  <c r="BL40" i="4"/>
  <c r="BL81" i="4"/>
  <c r="BL88" i="4"/>
  <c r="BL69" i="4"/>
  <c r="BL62" i="4"/>
  <c r="BL76" i="4"/>
  <c r="BL46" i="4"/>
  <c r="P6" i="190"/>
  <c r="BL71" i="4"/>
  <c r="BL56" i="4"/>
  <c r="BL73" i="4"/>
  <c r="BL61" i="4"/>
  <c r="BL54" i="4"/>
  <c r="P6" i="191"/>
  <c r="BL79" i="4"/>
  <c r="BD83" i="4"/>
  <c r="BL74" i="4"/>
  <c r="BL89" i="4"/>
  <c r="BL80" i="4"/>
  <c r="BL66" i="4"/>
  <c r="BL59" i="4"/>
  <c r="BL51" i="4"/>
  <c r="BL55" i="4"/>
  <c r="BD84" i="4"/>
  <c r="BL53" i="4"/>
  <c r="BL42" i="4"/>
  <c r="BL47" i="4"/>
  <c r="BL25" i="4"/>
  <c r="BL86" i="4"/>
  <c r="BL68" i="4"/>
  <c r="BL60" i="4"/>
  <c r="BL38" i="4"/>
  <c r="BL37" i="4"/>
  <c r="BL78" i="4"/>
  <c r="BL41" i="4"/>
  <c r="BL35" i="4"/>
  <c r="BL82" i="4"/>
  <c r="BD59" i="4"/>
  <c r="BD52" i="4"/>
  <c r="BL29" i="4"/>
  <c r="BL90" i="4"/>
  <c r="BD46" i="4"/>
  <c r="BL23" i="4"/>
  <c r="BD76" i="4"/>
  <c r="BL87" i="4"/>
  <c r="BL72" i="4"/>
  <c r="BL58" i="4"/>
  <c r="BD42" i="4"/>
  <c r="BL50" i="4"/>
  <c r="BD73" i="4"/>
  <c r="BD91" i="4"/>
  <c r="BD24" i="4"/>
  <c r="BL24" i="4"/>
  <c r="BL57" i="4"/>
  <c r="BD57" i="4"/>
  <c r="BL26" i="4"/>
  <c r="BD26" i="4"/>
  <c r="BL67" i="4"/>
  <c r="BD67" i="4"/>
  <c r="BD60" i="4"/>
  <c r="BL30" i="4"/>
  <c r="BL31" i="4"/>
  <c r="BD63" i="4"/>
  <c r="BL83" i="4"/>
  <c r="BL75" i="4"/>
  <c r="BL52" i="4"/>
  <c r="BL44" i="4"/>
  <c r="BL36" i="4"/>
  <c r="BL48" i="4"/>
  <c r="BL27" i="4"/>
  <c r="BD36" i="4"/>
  <c r="BL64" i="4"/>
  <c r="BD48" i="4"/>
  <c r="BL49" i="4"/>
  <c r="BD40" i="4"/>
  <c r="BL70" i="4"/>
  <c r="BL85" i="4"/>
  <c r="BD90" i="4"/>
  <c r="BL84" i="4"/>
  <c r="BD45" i="4"/>
  <c r="BL32" i="4"/>
  <c r="BL65" i="4"/>
  <c r="BD65" i="4"/>
  <c r="BL34" i="4"/>
  <c r="BD34" i="4"/>
  <c r="BD68" i="4"/>
  <c r="BL45" i="4"/>
  <c r="BD62" i="4"/>
  <c r="BL39" i="4"/>
  <c r="P6" i="189"/>
  <c r="BD79" i="4"/>
  <c r="BI30" i="4"/>
  <c r="BH31" i="4"/>
  <c r="D49" i="190"/>
  <c r="D62" i="190"/>
  <c r="D48" i="188"/>
  <c r="D9" i="32"/>
  <c r="D73" i="189"/>
  <c r="D18" i="190"/>
  <c r="D14" i="190"/>
  <c r="D37" i="190"/>
  <c r="D8" i="32"/>
  <c r="D43" i="189"/>
  <c r="D59" i="190"/>
  <c r="D51" i="189"/>
  <c r="D43" i="191"/>
  <c r="D19" i="190"/>
  <c r="D69" i="191"/>
  <c r="D46" i="188"/>
  <c r="D73" i="188"/>
  <c r="D38" i="189"/>
  <c r="D38" i="188"/>
  <c r="D60" i="189"/>
  <c r="D41" i="188"/>
  <c r="D10" i="188"/>
  <c r="D11" i="188"/>
  <c r="D39" i="188"/>
  <c r="D67" i="189"/>
  <c r="D65" i="190"/>
  <c r="D31" i="32"/>
  <c r="D68" i="190"/>
  <c r="D51" i="191"/>
  <c r="D9" i="190"/>
  <c r="D40" i="190"/>
  <c r="D36" i="188"/>
  <c r="D42" i="189"/>
  <c r="D57" i="190"/>
  <c r="D42" i="190"/>
  <c r="D48" i="189"/>
  <c r="D50" i="189"/>
  <c r="D16" i="190"/>
  <c r="D47" i="188"/>
  <c r="D61" i="188"/>
  <c r="D44" i="188"/>
  <c r="D14" i="191"/>
  <c r="D42" i="191"/>
  <c r="D51" i="188"/>
  <c r="D62" i="188"/>
  <c r="D39" i="190"/>
  <c r="D66" i="188"/>
  <c r="D12" i="32"/>
  <c r="D70" i="190"/>
  <c r="D67" i="190"/>
  <c r="D55" i="188"/>
  <c r="D9" i="191"/>
  <c r="D35" i="188"/>
  <c r="D32" i="32"/>
  <c r="D7" i="189"/>
  <c r="D73" i="191"/>
  <c r="D40" i="191"/>
  <c r="D39" i="191"/>
  <c r="D10" i="32"/>
  <c r="D41" i="189"/>
  <c r="D18" i="191"/>
  <c r="D35" i="190"/>
  <c r="D56" i="189"/>
  <c r="D46" i="190"/>
  <c r="D59" i="189"/>
  <c r="D65" i="191"/>
  <c r="D36" i="190"/>
  <c r="D41" i="190"/>
  <c r="D51" i="190"/>
  <c r="D12" i="191"/>
  <c r="D69" i="190"/>
  <c r="D70" i="191"/>
  <c r="D7" i="191"/>
  <c r="D74" i="189"/>
  <c r="D40" i="189"/>
  <c r="D7" i="190"/>
  <c r="D62" i="191"/>
  <c r="D44" i="191"/>
  <c r="D60" i="191"/>
  <c r="D12" i="189"/>
  <c r="D59" i="188"/>
  <c r="D44" i="189"/>
  <c r="D36" i="189"/>
  <c r="D43" i="190"/>
  <c r="D16" i="191"/>
  <c r="D58" i="191"/>
  <c r="D41" i="191"/>
  <c r="D45" i="190"/>
  <c r="D35" i="191"/>
  <c r="D19" i="191"/>
  <c r="D64" i="190"/>
  <c r="D74" i="188"/>
  <c r="D63" i="189"/>
  <c r="D37" i="191"/>
  <c r="D46" i="191"/>
  <c r="D58" i="189"/>
  <c r="D11" i="190"/>
  <c r="D20" i="191"/>
  <c r="D10" i="189"/>
  <c r="D69" i="189"/>
  <c r="D57" i="189"/>
  <c r="D37" i="188"/>
  <c r="D64" i="191"/>
  <c r="D49" i="188"/>
  <c r="D52" i="188"/>
  <c r="D63" i="191"/>
  <c r="D8" i="191"/>
  <c r="D13" i="191"/>
  <c r="D61" i="191"/>
  <c r="D71" i="190"/>
  <c r="D15" i="191"/>
  <c r="D20" i="190"/>
  <c r="D55" i="189"/>
  <c r="D64" i="189"/>
  <c r="D66" i="190"/>
  <c r="D8" i="188"/>
  <c r="D48" i="191"/>
  <c r="D15" i="188"/>
  <c r="D56" i="191"/>
  <c r="D42" i="188"/>
  <c r="D64" i="188"/>
  <c r="D38" i="190"/>
  <c r="D72" i="191"/>
  <c r="D47" i="190"/>
  <c r="D39" i="189"/>
  <c r="D52" i="190"/>
  <c r="D49" i="189"/>
  <c r="D55" i="190"/>
  <c r="D54" i="188"/>
  <c r="D60" i="190"/>
  <c r="D17" i="190"/>
  <c r="D48" i="190"/>
  <c r="D14" i="189"/>
  <c r="D10" i="191"/>
  <c r="D62" i="189"/>
  <c r="D46" i="189"/>
  <c r="D53" i="191"/>
  <c r="D49" i="191"/>
  <c r="D71" i="188"/>
  <c r="D13" i="189"/>
  <c r="D36" i="191"/>
  <c r="D54" i="191"/>
  <c r="D68" i="188"/>
  <c r="D12" i="190"/>
  <c r="D15" i="190"/>
  <c r="D53" i="190"/>
  <c r="D17" i="191"/>
  <c r="D21" i="190"/>
  <c r="D52" i="189"/>
  <c r="D9" i="189"/>
  <c r="D10" i="190"/>
  <c r="D59" i="191"/>
  <c r="D61" i="189"/>
  <c r="D37" i="189"/>
  <c r="D15" i="189"/>
  <c r="D70" i="189"/>
  <c r="D9" i="188"/>
  <c r="D66" i="191"/>
  <c r="D53" i="189"/>
  <c r="D40" i="188"/>
  <c r="D60" i="188"/>
  <c r="D69" i="188"/>
  <c r="D73" i="190"/>
  <c r="D45" i="189"/>
  <c r="D68" i="191"/>
  <c r="D43" i="188"/>
  <c r="D47" i="191"/>
  <c r="D54" i="189"/>
  <c r="D63" i="188"/>
  <c r="D65" i="189"/>
  <c r="D71" i="191"/>
  <c r="D11" i="32"/>
  <c r="D67" i="191"/>
  <c r="D47" i="189"/>
  <c r="D34" i="190"/>
  <c r="D67" i="188"/>
  <c r="D55" i="191"/>
  <c r="D72" i="190"/>
  <c r="D11" i="189"/>
  <c r="D53" i="188"/>
  <c r="D45" i="191"/>
  <c r="D44" i="190"/>
  <c r="D38" i="191"/>
  <c r="D7" i="32"/>
  <c r="D45" i="188"/>
  <c r="D50" i="190"/>
  <c r="D7" i="188"/>
  <c r="D33" i="32"/>
  <c r="D63" i="190"/>
  <c r="D72" i="188"/>
  <c r="D70" i="188"/>
  <c r="D71" i="189"/>
  <c r="D72" i="189"/>
  <c r="D50" i="188"/>
  <c r="D57" i="191"/>
  <c r="D14" i="188"/>
  <c r="D66" i="189"/>
  <c r="D13" i="188"/>
  <c r="D54" i="190"/>
  <c r="D57" i="188"/>
  <c r="D56" i="190"/>
  <c r="D56" i="188"/>
  <c r="D34" i="191"/>
  <c r="D65" i="188"/>
  <c r="D68" i="189"/>
  <c r="D13" i="190"/>
  <c r="D8" i="190"/>
  <c r="D8" i="189"/>
  <c r="D11" i="191"/>
  <c r="D12" i="188"/>
  <c r="D21" i="191"/>
  <c r="D52" i="191"/>
  <c r="D61" i="190"/>
  <c r="D35" i="189"/>
  <c r="D50" i="191"/>
  <c r="D58" i="190"/>
  <c r="D58" i="188"/>
  <c r="A1876" i="242" l="1"/>
  <c r="B1877" i="242"/>
  <c r="B387" i="242"/>
  <c r="A386" i="242"/>
  <c r="B1309" i="242"/>
  <c r="A1308" i="242"/>
  <c r="B2724" i="242"/>
  <c r="A2723" i="242"/>
  <c r="B852" i="242"/>
  <c r="A851" i="242"/>
  <c r="P42" i="189"/>
  <c r="P65" i="189"/>
  <c r="P46" i="189"/>
  <c r="P49" i="189"/>
  <c r="P28" i="189"/>
  <c r="D28" i="189"/>
  <c r="P71" i="189"/>
  <c r="P54" i="189"/>
  <c r="P51" i="189"/>
  <c r="P59" i="189"/>
  <c r="P24" i="191"/>
  <c r="D24" i="191"/>
  <c r="P69" i="191"/>
  <c r="P53" i="191"/>
  <c r="P44" i="191"/>
  <c r="P41" i="191"/>
  <c r="P13" i="191"/>
  <c r="P73" i="191"/>
  <c r="P62" i="191"/>
  <c r="P65" i="190"/>
  <c r="D32" i="190"/>
  <c r="P32" i="190"/>
  <c r="P36" i="190"/>
  <c r="P72" i="190"/>
  <c r="D24" i="190"/>
  <c r="P24" i="190"/>
  <c r="P59" i="190"/>
  <c r="P58" i="190"/>
  <c r="P73" i="188"/>
  <c r="P74" i="188"/>
  <c r="P71" i="188"/>
  <c r="P29" i="189"/>
  <c r="D29" i="189"/>
  <c r="P43" i="190"/>
  <c r="P21" i="189"/>
  <c r="D21" i="189"/>
  <c r="P27" i="189"/>
  <c r="D27" i="189"/>
  <c r="P67" i="189"/>
  <c r="P21" i="191"/>
  <c r="P66" i="191"/>
  <c r="P33" i="190"/>
  <c r="D33" i="190"/>
  <c r="P12" i="190"/>
  <c r="P20" i="189"/>
  <c r="D20" i="189"/>
  <c r="P38" i="189"/>
  <c r="P36" i="189"/>
  <c r="P60" i="191"/>
  <c r="P68" i="191"/>
  <c r="P63" i="191"/>
  <c r="P8" i="191"/>
  <c r="P16" i="191"/>
  <c r="P57" i="191"/>
  <c r="P56" i="191"/>
  <c r="P46" i="191"/>
  <c r="P52" i="190"/>
  <c r="P45" i="190"/>
  <c r="P49" i="190"/>
  <c r="P44" i="190"/>
  <c r="P70" i="190"/>
  <c r="P57" i="190"/>
  <c r="P42" i="190"/>
  <c r="D19" i="189"/>
  <c r="P19" i="189"/>
  <c r="P56" i="189"/>
  <c r="P72" i="189"/>
  <c r="P17" i="189"/>
  <c r="D17" i="189"/>
  <c r="P66" i="189"/>
  <c r="P40" i="189"/>
  <c r="P15" i="189"/>
  <c r="P35" i="189"/>
  <c r="P12" i="191"/>
  <c r="P55" i="191"/>
  <c r="P51" i="191"/>
  <c r="P67" i="191"/>
  <c r="P72" i="191"/>
  <c r="P48" i="191"/>
  <c r="P47" i="191"/>
  <c r="P38" i="191"/>
  <c r="P64" i="190"/>
  <c r="D22" i="190"/>
  <c r="P22" i="190"/>
  <c r="P71" i="190"/>
  <c r="P7" i="190"/>
  <c r="D30" i="190"/>
  <c r="P30" i="190"/>
  <c r="P60" i="190"/>
  <c r="P47" i="190"/>
  <c r="P35" i="190"/>
  <c r="P34" i="190"/>
  <c r="P39" i="189"/>
  <c r="P25" i="189"/>
  <c r="D25" i="189"/>
  <c r="P34" i="189"/>
  <c r="D34" i="189"/>
  <c r="P33" i="191"/>
  <c r="D33" i="191"/>
  <c r="P20" i="190"/>
  <c r="P13" i="189"/>
  <c r="D24" i="189"/>
  <c r="P24" i="189"/>
  <c r="P22" i="189"/>
  <c r="D22" i="189"/>
  <c r="P7" i="189"/>
  <c r="P69" i="189"/>
  <c r="P37" i="189"/>
  <c r="P45" i="191"/>
  <c r="P43" i="191"/>
  <c r="P42" i="191"/>
  <c r="P39" i="191"/>
  <c r="P37" i="191"/>
  <c r="P55" i="190"/>
  <c r="P14" i="190"/>
  <c r="P37" i="190"/>
  <c r="D26" i="190"/>
  <c r="P26" i="190"/>
  <c r="P14" i="189"/>
  <c r="P52" i="189"/>
  <c r="P64" i="189"/>
  <c r="P58" i="189"/>
  <c r="P62" i="189"/>
  <c r="D26" i="191"/>
  <c r="P26" i="191"/>
  <c r="P61" i="189"/>
  <c r="P43" i="189"/>
  <c r="P53" i="189"/>
  <c r="P70" i="191"/>
  <c r="D31" i="191"/>
  <c r="P31" i="191"/>
  <c r="D27" i="191"/>
  <c r="P27" i="191"/>
  <c r="P65" i="191"/>
  <c r="P54" i="191"/>
  <c r="P8" i="190"/>
  <c r="P56" i="190"/>
  <c r="P69" i="190"/>
  <c r="P51" i="190"/>
  <c r="P50" i="190"/>
  <c r="P50" i="189"/>
  <c r="P68" i="189"/>
  <c r="P8" i="189"/>
  <c r="D32" i="189"/>
  <c r="P32" i="189"/>
  <c r="D33" i="189"/>
  <c r="P33" i="189"/>
  <c r="P49" i="191"/>
  <c r="P40" i="191"/>
  <c r="P61" i="191"/>
  <c r="D30" i="191"/>
  <c r="P30" i="191"/>
  <c r="P53" i="190"/>
  <c r="P63" i="190"/>
  <c r="P73" i="190"/>
  <c r="P48" i="190"/>
  <c r="D27" i="190"/>
  <c r="P27" i="190"/>
  <c r="P44" i="189"/>
  <c r="P12" i="189"/>
  <c r="D18" i="189"/>
  <c r="P18" i="189"/>
  <c r="P48" i="189"/>
  <c r="P35" i="191"/>
  <c r="D23" i="191"/>
  <c r="P23" i="191"/>
  <c r="D32" i="191"/>
  <c r="P32" i="191"/>
  <c r="P17" i="191"/>
  <c r="P50" i="191"/>
  <c r="D29" i="191"/>
  <c r="P29" i="191"/>
  <c r="D28" i="191"/>
  <c r="P28" i="191"/>
  <c r="P22" i="191"/>
  <c r="D22" i="191"/>
  <c r="P39" i="190"/>
  <c r="P21" i="190"/>
  <c r="P41" i="190"/>
  <c r="P61" i="190"/>
  <c r="P68" i="190"/>
  <c r="P38" i="190"/>
  <c r="D25" i="190"/>
  <c r="P25" i="190"/>
  <c r="P19" i="190"/>
  <c r="P18" i="190"/>
  <c r="P74" i="189"/>
  <c r="P57" i="189"/>
  <c r="P31" i="189"/>
  <c r="D31" i="189"/>
  <c r="P11" i="189"/>
  <c r="P55" i="189"/>
  <c r="P73" i="189"/>
  <c r="P60" i="189"/>
  <c r="P23" i="189"/>
  <c r="D23" i="189"/>
  <c r="P30" i="189"/>
  <c r="D30" i="189"/>
  <c r="P34" i="191"/>
  <c r="P59" i="191"/>
  <c r="P18" i="191"/>
  <c r="P15" i="191"/>
  <c r="P64" i="191"/>
  <c r="P36" i="191"/>
  <c r="P20" i="191"/>
  <c r="P19" i="191"/>
  <c r="P14" i="191"/>
  <c r="D23" i="190"/>
  <c r="P23" i="190"/>
  <c r="P62" i="190"/>
  <c r="D29" i="190"/>
  <c r="P29" i="190"/>
  <c r="D31" i="190"/>
  <c r="P31" i="190"/>
  <c r="P54" i="190"/>
  <c r="D28" i="190"/>
  <c r="P28" i="190"/>
  <c r="P15" i="190"/>
  <c r="P11" i="190"/>
  <c r="P10" i="190"/>
  <c r="P41" i="189"/>
  <c r="P70" i="189"/>
  <c r="P45" i="189"/>
  <c r="P63" i="189"/>
  <c r="D16" i="189"/>
  <c r="P16" i="189"/>
  <c r="P9" i="189"/>
  <c r="P26" i="189"/>
  <c r="D26" i="189"/>
  <c r="P10" i="189"/>
  <c r="P47" i="189"/>
  <c r="P71" i="191"/>
  <c r="P9" i="191"/>
  <c r="P7" i="191"/>
  <c r="P58" i="191"/>
  <c r="P52" i="191"/>
  <c r="D25" i="191"/>
  <c r="P25" i="191"/>
  <c r="P11" i="191"/>
  <c r="P10" i="191"/>
  <c r="P9" i="190"/>
  <c r="P46" i="190"/>
  <c r="P13" i="190"/>
  <c r="P17" i="190"/>
  <c r="P40" i="190"/>
  <c r="P16" i="190"/>
  <c r="P67" i="190"/>
  <c r="P66" i="190"/>
  <c r="P72" i="188"/>
  <c r="P17" i="188"/>
  <c r="P52" i="188"/>
  <c r="P62" i="188"/>
  <c r="P20" i="188"/>
  <c r="P10" i="188"/>
  <c r="P47" i="188"/>
  <c r="P68" i="188"/>
  <c r="P8" i="188"/>
  <c r="P26" i="188"/>
  <c r="P28" i="188"/>
  <c r="P15" i="188"/>
  <c r="P34" i="188"/>
  <c r="P21" i="188"/>
  <c r="P61" i="188"/>
  <c r="P14" i="188"/>
  <c r="P16" i="188"/>
  <c r="P24" i="188"/>
  <c r="P39" i="188"/>
  <c r="P6" i="188"/>
  <c r="P38" i="188"/>
  <c r="P45" i="188"/>
  <c r="P35" i="188"/>
  <c r="P13" i="188"/>
  <c r="P23" i="188"/>
  <c r="P49" i="188"/>
  <c r="P29" i="188"/>
  <c r="P63" i="188"/>
  <c r="P57" i="188"/>
  <c r="P46" i="188"/>
  <c r="P22" i="188"/>
  <c r="P33" i="188"/>
  <c r="P32" i="188"/>
  <c r="P18" i="188"/>
  <c r="P53" i="188"/>
  <c r="P19" i="188"/>
  <c r="P70" i="188"/>
  <c r="P58" i="188"/>
  <c r="P31" i="188"/>
  <c r="P42" i="188"/>
  <c r="P40" i="188"/>
  <c r="P43" i="188"/>
  <c r="P54" i="188"/>
  <c r="P44" i="188"/>
  <c r="P7" i="188"/>
  <c r="P11" i="188"/>
  <c r="P41" i="188"/>
  <c r="P51" i="188"/>
  <c r="P48" i="188"/>
  <c r="P66" i="188"/>
  <c r="P12" i="188"/>
  <c r="P67" i="188"/>
  <c r="P30" i="188"/>
  <c r="P25" i="188"/>
  <c r="P50" i="188"/>
  <c r="P60" i="188"/>
  <c r="P56" i="188"/>
  <c r="P65" i="188"/>
  <c r="P27" i="188"/>
  <c r="P37" i="188"/>
  <c r="P9" i="188"/>
  <c r="P55" i="188"/>
  <c r="P36" i="188"/>
  <c r="P59" i="188"/>
  <c r="P69" i="188"/>
  <c r="P64" i="188"/>
  <c r="P47" i="187"/>
  <c r="P10" i="187"/>
  <c r="P28" i="187"/>
  <c r="P65" i="187"/>
  <c r="P15" i="187"/>
  <c r="P44" i="187"/>
  <c r="P57" i="187"/>
  <c r="P14" i="187"/>
  <c r="P18" i="187"/>
  <c r="P37" i="187"/>
  <c r="P53" i="187"/>
  <c r="P17" i="187"/>
  <c r="P46" i="187"/>
  <c r="P11" i="187"/>
  <c r="P52" i="187"/>
  <c r="P62" i="187"/>
  <c r="P22" i="187"/>
  <c r="P27" i="187"/>
  <c r="P34" i="187"/>
  <c r="P55" i="187"/>
  <c r="P56" i="187"/>
  <c r="P70" i="187"/>
  <c r="P12" i="187"/>
  <c r="P31" i="187"/>
  <c r="P69" i="187"/>
  <c r="P36" i="187"/>
  <c r="P42" i="187"/>
  <c r="P64" i="187"/>
  <c r="P20" i="187"/>
  <c r="P7" i="187"/>
  <c r="P21" i="187"/>
  <c r="P40" i="187"/>
  <c r="P6" i="187"/>
  <c r="P45" i="187"/>
  <c r="P50" i="187"/>
  <c r="P38" i="187"/>
  <c r="P23" i="187"/>
  <c r="P16" i="187"/>
  <c r="P30" i="187"/>
  <c r="P49" i="187"/>
  <c r="P24" i="187"/>
  <c r="P54" i="187"/>
  <c r="P58" i="187"/>
  <c r="P19" i="187"/>
  <c r="P60" i="187"/>
  <c r="P35" i="187"/>
  <c r="P48" i="187"/>
  <c r="P68" i="187"/>
  <c r="P61" i="187"/>
  <c r="P8" i="187"/>
  <c r="P13" i="187"/>
  <c r="P33" i="187"/>
  <c r="P67" i="187"/>
  <c r="P32" i="187"/>
  <c r="P26" i="187"/>
  <c r="P51" i="187"/>
  <c r="P9" i="187"/>
  <c r="P29" i="187"/>
  <c r="P41" i="187"/>
  <c r="P25" i="187"/>
  <c r="P39" i="187"/>
  <c r="P59" i="187"/>
  <c r="P43" i="187"/>
  <c r="P63" i="187"/>
  <c r="P66" i="187"/>
  <c r="P67" i="32"/>
  <c r="P38" i="32"/>
  <c r="P47" i="32"/>
  <c r="P36" i="32"/>
  <c r="P68" i="32"/>
  <c r="P45" i="32"/>
  <c r="P54" i="32"/>
  <c r="P59" i="32"/>
  <c r="P50" i="32"/>
  <c r="P66" i="32"/>
  <c r="P70" i="32"/>
  <c r="P34" i="32"/>
  <c r="P48" i="32"/>
  <c r="P44" i="32"/>
  <c r="P63" i="32"/>
  <c r="P43" i="32"/>
  <c r="P49" i="32"/>
  <c r="P61" i="32"/>
  <c r="P60" i="32"/>
  <c r="P46" i="32"/>
  <c r="P62" i="32"/>
  <c r="P64" i="32"/>
  <c r="P40" i="32"/>
  <c r="P56" i="32"/>
  <c r="P65" i="32"/>
  <c r="P39" i="32"/>
  <c r="P55" i="32"/>
  <c r="P42" i="32"/>
  <c r="P35" i="32"/>
  <c r="P41" i="32"/>
  <c r="P57" i="32"/>
  <c r="P69" i="32"/>
  <c r="P53" i="32"/>
  <c r="P37" i="32"/>
  <c r="P51" i="32"/>
  <c r="P52" i="32"/>
  <c r="P58" i="32"/>
  <c r="P15" i="32"/>
  <c r="P22" i="32"/>
  <c r="P31" i="32"/>
  <c r="P12" i="32"/>
  <c r="P27" i="32"/>
  <c r="P30" i="32"/>
  <c r="P20" i="32"/>
  <c r="P32" i="32"/>
  <c r="P33" i="32"/>
  <c r="P23" i="32"/>
  <c r="P21" i="32"/>
  <c r="P26" i="32"/>
  <c r="P25" i="32"/>
  <c r="P9" i="32"/>
  <c r="P6" i="32"/>
  <c r="P17" i="32"/>
  <c r="P16" i="32"/>
  <c r="P11" i="32"/>
  <c r="P28" i="32"/>
  <c r="P29" i="32"/>
  <c r="P14" i="32"/>
  <c r="P13" i="32"/>
  <c r="P7" i="32"/>
  <c r="P24" i="32"/>
  <c r="P8" i="32"/>
  <c r="P19" i="32"/>
  <c r="P18" i="32"/>
  <c r="P10" i="32"/>
  <c r="BH32" i="4"/>
  <c r="BI31" i="4"/>
  <c r="D27" i="187"/>
  <c r="D16" i="187"/>
  <c r="D27" i="32"/>
  <c r="D23" i="32"/>
  <c r="D24" i="32"/>
  <c r="D30" i="32"/>
  <c r="D21" i="32"/>
  <c r="D19" i="32"/>
  <c r="D20" i="187"/>
  <c r="D20" i="32"/>
  <c r="D18" i="187"/>
  <c r="D24" i="187"/>
  <c r="D13" i="32"/>
  <c r="D28" i="32"/>
  <c r="D17" i="187"/>
  <c r="D19" i="187"/>
  <c r="D13" i="187"/>
  <c r="D29" i="32"/>
  <c r="D29" i="187"/>
  <c r="D26" i="32"/>
  <c r="D14" i="187"/>
  <c r="D30" i="187"/>
  <c r="D15" i="32"/>
  <c r="D17" i="32"/>
  <c r="D14" i="32"/>
  <c r="D22" i="32"/>
  <c r="D16" i="32"/>
  <c r="D25" i="187"/>
  <c r="D22" i="187"/>
  <c r="D26" i="187"/>
  <c r="D25" i="32"/>
  <c r="D15" i="187"/>
  <c r="D21" i="187"/>
  <c r="D28" i="187"/>
  <c r="D23" i="187"/>
  <c r="D18" i="32"/>
  <c r="D64" i="187"/>
  <c r="D68" i="187"/>
  <c r="D11" i="187"/>
  <c r="D63" i="187"/>
  <c r="D67" i="187"/>
  <c r="D70" i="187"/>
  <c r="D69" i="187"/>
  <c r="D34" i="187"/>
  <c r="D46" i="187"/>
  <c r="D40" i="187"/>
  <c r="D58" i="187"/>
  <c r="D50" i="187"/>
  <c r="D55" i="187"/>
  <c r="D39" i="187"/>
  <c r="D37" i="187"/>
  <c r="D53" i="187"/>
  <c r="D36" i="187"/>
  <c r="D31" i="187"/>
  <c r="D44" i="187"/>
  <c r="D33" i="187"/>
  <c r="D7" i="187"/>
  <c r="D66" i="187"/>
  <c r="D48" i="187"/>
  <c r="D10" i="187"/>
  <c r="D61" i="187"/>
  <c r="D47" i="187"/>
  <c r="D32" i="187"/>
  <c r="D51" i="187"/>
  <c r="D65" i="187"/>
  <c r="D38" i="187"/>
  <c r="D52" i="187"/>
  <c r="D42" i="187"/>
  <c r="D62" i="187"/>
  <c r="D59" i="187"/>
  <c r="D45" i="187"/>
  <c r="D43" i="187"/>
  <c r="D9" i="187"/>
  <c r="D60" i="187"/>
  <c r="D8" i="187"/>
  <c r="D49" i="187"/>
  <c r="D12" i="187"/>
  <c r="D35" i="187"/>
  <c r="D41" i="187"/>
  <c r="D57" i="187"/>
  <c r="D56" i="187"/>
  <c r="D54" i="187"/>
  <c r="F27" i="32"/>
  <c r="F25" i="32"/>
  <c r="F29" i="32"/>
  <c r="F28" i="32"/>
  <c r="F30" i="32"/>
  <c r="F26" i="32"/>
  <c r="A852" i="242" l="1"/>
  <c r="B853" i="242"/>
  <c r="A1309" i="242"/>
  <c r="B1310" i="242"/>
  <c r="A2724" i="242"/>
  <c r="B2725" i="242"/>
  <c r="A387" i="242"/>
  <c r="B388" i="242"/>
  <c r="B1878" i="242"/>
  <c r="A1877" i="242"/>
  <c r="BH33" i="4"/>
  <c r="BI32" i="4"/>
  <c r="B1879" i="242" l="1"/>
  <c r="A1878" i="242"/>
  <c r="A1310" i="242"/>
  <c r="B1311" i="242"/>
  <c r="B389" i="242"/>
  <c r="A388" i="242"/>
  <c r="A853" i="242"/>
  <c r="B854" i="242"/>
  <c r="A2725" i="242"/>
  <c r="B2726" i="242"/>
  <c r="G11" i="32"/>
  <c r="G28" i="32"/>
  <c r="G26" i="32"/>
  <c r="G25" i="32"/>
  <c r="G24" i="32"/>
  <c r="G23" i="32"/>
  <c r="G30" i="32"/>
  <c r="G37" i="32"/>
  <c r="G35" i="32"/>
  <c r="G12" i="32"/>
  <c r="G66" i="32"/>
  <c r="G65" i="32"/>
  <c r="G63" i="32"/>
  <c r="G70" i="32"/>
  <c r="G13" i="32"/>
  <c r="G60" i="32"/>
  <c r="G57" i="32"/>
  <c r="G55" i="32"/>
  <c r="G62" i="32"/>
  <c r="G67" i="32"/>
  <c r="G47" i="32"/>
  <c r="G44" i="32"/>
  <c r="G40" i="32"/>
  <c r="G39" i="32"/>
  <c r="G46" i="32"/>
  <c r="G51" i="32"/>
  <c r="G33" i="32"/>
  <c r="G20" i="32"/>
  <c r="G18" i="32"/>
  <c r="G17" i="32"/>
  <c r="G16" i="32"/>
  <c r="G15" i="32"/>
  <c r="G22" i="32"/>
  <c r="G29" i="32"/>
  <c r="G27" i="32"/>
  <c r="G10" i="32"/>
  <c r="G9" i="32"/>
  <c r="G8" i="32"/>
  <c r="G7" i="32"/>
  <c r="G14" i="32"/>
  <c r="G21" i="32"/>
  <c r="G19" i="32"/>
  <c r="G68" i="32"/>
  <c r="G64" i="32"/>
  <c r="G6" i="32"/>
  <c r="G58" i="32"/>
  <c r="G56" i="32"/>
  <c r="G69" i="32"/>
  <c r="G59" i="32"/>
  <c r="G41" i="32"/>
  <c r="G34" i="32"/>
  <c r="G52" i="32"/>
  <c r="G50" i="32"/>
  <c r="G49" i="32"/>
  <c r="G48" i="32"/>
  <c r="G54" i="32"/>
  <c r="G61" i="32"/>
  <c r="G42" i="32"/>
  <c r="G53" i="32"/>
  <c r="G36" i="32"/>
  <c r="G32" i="32"/>
  <c r="G31" i="32"/>
  <c r="G38" i="32"/>
  <c r="G45" i="32"/>
  <c r="G43" i="32"/>
  <c r="BH34" i="4"/>
  <c r="BI33" i="4"/>
  <c r="A854" i="242" l="1"/>
  <c r="B855" i="242"/>
  <c r="A389" i="242"/>
  <c r="B390" i="242"/>
  <c r="B1312" i="242"/>
  <c r="A1311" i="242"/>
  <c r="A2726" i="242"/>
  <c r="B2727" i="242"/>
  <c r="A1879" i="242"/>
  <c r="B1880" i="242"/>
  <c r="BH35" i="4"/>
  <c r="BI34" i="4"/>
  <c r="A390" i="242" l="1"/>
  <c r="B391" i="242"/>
  <c r="A1880" i="242"/>
  <c r="B1881" i="242"/>
  <c r="B856" i="242"/>
  <c r="A855" i="242"/>
  <c r="A2727" i="242"/>
  <c r="B2728" i="242"/>
  <c r="B1313" i="242"/>
  <c r="A1312" i="242"/>
  <c r="BH36" i="4"/>
  <c r="BI35" i="4"/>
  <c r="A856" i="242" l="1"/>
  <c r="B857" i="242"/>
  <c r="B1882" i="242"/>
  <c r="A1881" i="242"/>
  <c r="A2728" i="242"/>
  <c r="B2729" i="242"/>
  <c r="A391" i="242"/>
  <c r="B392" i="242"/>
  <c r="A1313" i="242"/>
  <c r="B1314" i="242"/>
  <c r="BH37" i="4"/>
  <c r="BI36" i="4"/>
  <c r="B1315" i="242" l="1"/>
  <c r="A1314" i="242"/>
  <c r="B1883" i="242"/>
  <c r="A1882" i="242"/>
  <c r="A857" i="242"/>
  <c r="B858" i="242"/>
  <c r="B393" i="242"/>
  <c r="A392" i="242"/>
  <c r="A2729" i="242"/>
  <c r="B2730" i="242"/>
  <c r="BH38" i="4"/>
  <c r="BI37" i="4"/>
  <c r="A2730" i="242" l="1"/>
  <c r="B2731" i="242"/>
  <c r="B394" i="242"/>
  <c r="A394" i="242" s="1"/>
  <c r="A393" i="242"/>
  <c r="A1883" i="242"/>
  <c r="B1884" i="242"/>
  <c r="B859" i="242"/>
  <c r="A858" i="242"/>
  <c r="B1316" i="242"/>
  <c r="A1315" i="242"/>
  <c r="BH39" i="4"/>
  <c r="BI38" i="4"/>
  <c r="A1884" i="242" l="1"/>
  <c r="B1885" i="242"/>
  <c r="B1317" i="242"/>
  <c r="A1316" i="242"/>
  <c r="A859" i="242"/>
  <c r="B860" i="242"/>
  <c r="B2732" i="242"/>
  <c r="A2731" i="242"/>
  <c r="BH40" i="4"/>
  <c r="BI39" i="4"/>
  <c r="A860" i="242" l="1"/>
  <c r="B861" i="242"/>
  <c r="A1317" i="242"/>
  <c r="B1318" i="242"/>
  <c r="A2732" i="242"/>
  <c r="B2733" i="242"/>
  <c r="A1885" i="242"/>
  <c r="B1886" i="242"/>
  <c r="A1886" i="242" s="1"/>
  <c r="BH41" i="4"/>
  <c r="BI40" i="4"/>
  <c r="A1318" i="242" l="1"/>
  <c r="B1319" i="242"/>
  <c r="A2733" i="242"/>
  <c r="B2734" i="242"/>
  <c r="A861" i="242"/>
  <c r="B862" i="242"/>
  <c r="BH42" i="4"/>
  <c r="BI41" i="4"/>
  <c r="B863" i="242" l="1"/>
  <c r="A862" i="242"/>
  <c r="A2734" i="242"/>
  <c r="B2735" i="242"/>
  <c r="A1319" i="242"/>
  <c r="B1320" i="242"/>
  <c r="BH43" i="4"/>
  <c r="BI42" i="4"/>
  <c r="A2735" i="242" l="1"/>
  <c r="B2736" i="242"/>
  <c r="B1321" i="242"/>
  <c r="A1320" i="242"/>
  <c r="B864" i="242"/>
  <c r="A863" i="242"/>
  <c r="BH44" i="4"/>
  <c r="BI43" i="4"/>
  <c r="A1321" i="242" l="1"/>
  <c r="B1322" i="242"/>
  <c r="A864" i="242"/>
  <c r="B865" i="242"/>
  <c r="A2736" i="242"/>
  <c r="B2737" i="242"/>
  <c r="BH45" i="4"/>
  <c r="BI44" i="4"/>
  <c r="A865" i="242" l="1"/>
  <c r="B866" i="242"/>
  <c r="A2737" i="242"/>
  <c r="B2738" i="242"/>
  <c r="B1323" i="242"/>
  <c r="A1322" i="242"/>
  <c r="BH46" i="4"/>
  <c r="BI45" i="4"/>
  <c r="B2739" i="242" l="1"/>
  <c r="A2738" i="242"/>
  <c r="A1323" i="242"/>
  <c r="B1324" i="242"/>
  <c r="B867" i="242"/>
  <c r="A866" i="242"/>
  <c r="BH47" i="4"/>
  <c r="BI46" i="4"/>
  <c r="B1325" i="242" l="1"/>
  <c r="A1324" i="242"/>
  <c r="B868" i="242"/>
  <c r="A867" i="242"/>
  <c r="A2739" i="242"/>
  <c r="B2740" i="242"/>
  <c r="BH48" i="4"/>
  <c r="BI47" i="4"/>
  <c r="A2740" i="242" l="1"/>
  <c r="B2741" i="242"/>
  <c r="A868" i="242"/>
  <c r="B869" i="242"/>
  <c r="A1325" i="242"/>
  <c r="B1326" i="242"/>
  <c r="BH49" i="4"/>
  <c r="BI48" i="4"/>
  <c r="A869" i="242" l="1"/>
  <c r="B870" i="242"/>
  <c r="B1327" i="242"/>
  <c r="A1326" i="242"/>
  <c r="A2741" i="242"/>
  <c r="B2742" i="242"/>
  <c r="BH50" i="4"/>
  <c r="BI49" i="4"/>
  <c r="B1328" i="242" l="1"/>
  <c r="A1327" i="242"/>
  <c r="A870" i="242"/>
  <c r="B871" i="242"/>
  <c r="B2743" i="242"/>
  <c r="A2742" i="242"/>
  <c r="BH51" i="4"/>
  <c r="BI50" i="4"/>
  <c r="A871" i="242" l="1"/>
  <c r="B872" i="242"/>
  <c r="B2744" i="242"/>
  <c r="A2743" i="242"/>
  <c r="B1329" i="242"/>
  <c r="A1328" i="242"/>
  <c r="BH52" i="4"/>
  <c r="BI51" i="4"/>
  <c r="H27" i="20"/>
  <c r="C12" i="70" l="1"/>
  <c r="C12" i="202"/>
  <c r="A2744" i="242"/>
  <c r="B2745" i="242"/>
  <c r="A1329" i="242"/>
  <c r="B1330" i="242"/>
  <c r="A872" i="242"/>
  <c r="B873" i="242"/>
  <c r="BH53" i="4"/>
  <c r="BI52" i="4"/>
  <c r="T28" i="202" l="1"/>
  <c r="Q28" i="202"/>
  <c r="A1330" i="242"/>
  <c r="B1331" i="242"/>
  <c r="A873" i="242"/>
  <c r="B874" i="242"/>
  <c r="A2745" i="242"/>
  <c r="B2746" i="242"/>
  <c r="BH54" i="4"/>
  <c r="BI53" i="4"/>
  <c r="B875" i="242" l="1"/>
  <c r="A874" i="242"/>
  <c r="A2746" i="242"/>
  <c r="B2747" i="242"/>
  <c r="A1331" i="242"/>
  <c r="B1332" i="242"/>
  <c r="BH55" i="4"/>
  <c r="BI54" i="4"/>
  <c r="B2748" i="242" l="1"/>
  <c r="A2747" i="242"/>
  <c r="B1333" i="242"/>
  <c r="A1332" i="242"/>
  <c r="A875" i="242"/>
  <c r="B876" i="242"/>
  <c r="BH56" i="4"/>
  <c r="BI55" i="4"/>
  <c r="A876" i="242" l="1"/>
  <c r="B877" i="242"/>
  <c r="A1333" i="242"/>
  <c r="B1334" i="242"/>
  <c r="A2748" i="242"/>
  <c r="B2749" i="242"/>
  <c r="BH57" i="4"/>
  <c r="BI56" i="4"/>
  <c r="E3" i="69"/>
  <c r="A2749" i="242" l="1"/>
  <c r="B2750" i="242"/>
  <c r="B1335" i="242"/>
  <c r="A1334" i="242"/>
  <c r="A877" i="242"/>
  <c r="B878" i="242"/>
  <c r="BH58" i="4"/>
  <c r="BI57" i="4"/>
  <c r="B1336" i="242" l="1"/>
  <c r="A1335" i="242"/>
  <c r="B879" i="242"/>
  <c r="A878" i="242"/>
  <c r="A2750" i="242"/>
  <c r="B2751" i="242"/>
  <c r="BH59" i="4"/>
  <c r="BI58" i="4"/>
  <c r="B2752" i="242" l="1"/>
  <c r="A2751" i="242"/>
  <c r="B880" i="242"/>
  <c r="A879" i="242"/>
  <c r="B1337" i="242"/>
  <c r="A1336" i="242"/>
  <c r="BH60" i="4"/>
  <c r="BI59" i="4"/>
  <c r="BX50" i="70"/>
  <c r="BX17" i="70"/>
  <c r="BX18" i="70"/>
  <c r="BX19" i="70"/>
  <c r="BX20" i="70"/>
  <c r="BX21" i="70"/>
  <c r="BX22" i="70"/>
  <c r="BX23" i="70"/>
  <c r="BX24" i="70"/>
  <c r="BX25" i="70"/>
  <c r="BX26" i="70"/>
  <c r="BX27" i="70"/>
  <c r="BX28" i="70"/>
  <c r="BX29" i="70"/>
  <c r="BX30" i="70"/>
  <c r="BX31" i="70"/>
  <c r="BX32" i="70"/>
  <c r="BX33" i="70"/>
  <c r="BX34" i="70"/>
  <c r="BX35" i="70"/>
  <c r="BX36" i="70"/>
  <c r="BX37" i="70"/>
  <c r="BX38" i="70"/>
  <c r="BX39" i="70"/>
  <c r="BX40" i="70"/>
  <c r="BX41" i="70"/>
  <c r="BX42" i="70"/>
  <c r="BX43" i="70"/>
  <c r="BX44" i="70"/>
  <c r="BX45" i="70"/>
  <c r="BX46" i="70"/>
  <c r="BX47" i="70"/>
  <c r="BX48" i="70"/>
  <c r="BX49" i="70"/>
  <c r="BX16" i="70"/>
  <c r="A1337" i="242" l="1"/>
  <c r="B1338" i="242"/>
  <c r="A880" i="242"/>
  <c r="B881" i="242"/>
  <c r="A2752" i="242"/>
  <c r="B2753" i="242"/>
  <c r="BH61" i="4"/>
  <c r="BI60" i="4"/>
  <c r="BQ96" i="4" a="1"/>
  <c r="BR95" i="4"/>
  <c r="AX97" i="4"/>
  <c r="AX98" i="4"/>
  <c r="AX99" i="4"/>
  <c r="AX100" i="4"/>
  <c r="AX101" i="4"/>
  <c r="AX102" i="4"/>
  <c r="AX103" i="4"/>
  <c r="AX104" i="4"/>
  <c r="AX105" i="4"/>
  <c r="AX106" i="4"/>
  <c r="AX107" i="4"/>
  <c r="AX108" i="4"/>
  <c r="AX109" i="4"/>
  <c r="AX110" i="4"/>
  <c r="AX111" i="4"/>
  <c r="AX112" i="4"/>
  <c r="AX113" i="4"/>
  <c r="AX114" i="4"/>
  <c r="AX115" i="4"/>
  <c r="AX116" i="4"/>
  <c r="AX117" i="4"/>
  <c r="AX118" i="4"/>
  <c r="AX119" i="4"/>
  <c r="AX120" i="4"/>
  <c r="AX121" i="4"/>
  <c r="AX122" i="4"/>
  <c r="AX123" i="4"/>
  <c r="AX124" i="4"/>
  <c r="AX125" i="4"/>
  <c r="AX126" i="4"/>
  <c r="AX127" i="4"/>
  <c r="AX128" i="4"/>
  <c r="AX129" i="4"/>
  <c r="AX130" i="4"/>
  <c r="AX131" i="4"/>
  <c r="AX132" i="4"/>
  <c r="AX133" i="4"/>
  <c r="AZ96" i="4"/>
  <c r="AZ97" i="4"/>
  <c r="AZ98" i="4"/>
  <c r="AZ99" i="4"/>
  <c r="AZ100" i="4"/>
  <c r="AZ101" i="4"/>
  <c r="AZ102" i="4"/>
  <c r="AZ103" i="4"/>
  <c r="AZ104" i="4"/>
  <c r="AZ105" i="4"/>
  <c r="AZ106" i="4"/>
  <c r="AZ107" i="4"/>
  <c r="AZ108" i="4"/>
  <c r="AZ109" i="4"/>
  <c r="AZ110" i="4"/>
  <c r="AZ111" i="4"/>
  <c r="AZ112" i="4"/>
  <c r="AZ113" i="4"/>
  <c r="AZ114" i="4"/>
  <c r="AZ115" i="4"/>
  <c r="AZ116" i="4"/>
  <c r="AZ117" i="4"/>
  <c r="AZ118" i="4"/>
  <c r="AZ119" i="4"/>
  <c r="AZ120" i="4"/>
  <c r="AZ121" i="4"/>
  <c r="AZ122" i="4"/>
  <c r="AZ123" i="4"/>
  <c r="AZ124" i="4"/>
  <c r="AZ125" i="4"/>
  <c r="AZ126" i="4"/>
  <c r="AZ127" i="4"/>
  <c r="AZ128" i="4"/>
  <c r="AZ129" i="4"/>
  <c r="AZ130" i="4"/>
  <c r="AZ131" i="4"/>
  <c r="AZ132" i="4"/>
  <c r="AZ133" i="4"/>
  <c r="CB12" i="70"/>
  <c r="CA12" i="70"/>
  <c r="AL4" i="69"/>
  <c r="AN3" i="69"/>
  <c r="AN8" i="69" s="1"/>
  <c r="AM8" i="69" s="1"/>
  <c r="AM3" i="69"/>
  <c r="AL2" i="69"/>
  <c r="BW50" i="70"/>
  <c r="BW49" i="70"/>
  <c r="BW48" i="70"/>
  <c r="BW47" i="70"/>
  <c r="BW46" i="70"/>
  <c r="BW45" i="70"/>
  <c r="BW44" i="70"/>
  <c r="BW43" i="70"/>
  <c r="BW42" i="70"/>
  <c r="BW41" i="70"/>
  <c r="BW40" i="70"/>
  <c r="BW39" i="70"/>
  <c r="BW38" i="70"/>
  <c r="BW37" i="70"/>
  <c r="BW36" i="70"/>
  <c r="BW35" i="70"/>
  <c r="BW34" i="70"/>
  <c r="BW33" i="70"/>
  <c r="BW32" i="70"/>
  <c r="BW31" i="70"/>
  <c r="BW30" i="70"/>
  <c r="BW29" i="70"/>
  <c r="BW28" i="70"/>
  <c r="BW27" i="70"/>
  <c r="BW26" i="70"/>
  <c r="BW25" i="70"/>
  <c r="BW24" i="70"/>
  <c r="BW23" i="70"/>
  <c r="BW22" i="70"/>
  <c r="BW21" i="70"/>
  <c r="BW20" i="70"/>
  <c r="BW19" i="70"/>
  <c r="BW18" i="70"/>
  <c r="BW17" i="70"/>
  <c r="BW16" i="70"/>
  <c r="BW15" i="70"/>
  <c r="BW14" i="70"/>
  <c r="BW13" i="70"/>
  <c r="BZ49" i="70"/>
  <c r="BZ25" i="70"/>
  <c r="BZ36" i="70"/>
  <c r="BY44" i="70"/>
  <c r="BY33" i="70"/>
  <c r="BZ45" i="70"/>
  <c r="BY19" i="70"/>
  <c r="BZ43" i="70"/>
  <c r="BZ40" i="70"/>
  <c r="BY46" i="70"/>
  <c r="BZ44" i="70"/>
  <c r="BZ31" i="70"/>
  <c r="BY43" i="70"/>
  <c r="BY41" i="70"/>
  <c r="BY40" i="70"/>
  <c r="BZ28" i="70"/>
  <c r="BY50" i="70"/>
  <c r="BY31" i="70"/>
  <c r="BY37" i="70"/>
  <c r="BY14" i="70"/>
  <c r="BY38" i="70"/>
  <c r="BZ35" i="70"/>
  <c r="BZ16" i="70"/>
  <c r="BY18" i="70"/>
  <c r="BY22" i="70"/>
  <c r="BY30" i="70"/>
  <c r="BZ24" i="70"/>
  <c r="BY34" i="70"/>
  <c r="BZ22" i="70"/>
  <c r="BZ37" i="70"/>
  <c r="BY25" i="70"/>
  <c r="BZ18" i="70"/>
  <c r="BZ32" i="70"/>
  <c r="BZ50" i="70"/>
  <c r="BY26" i="70"/>
  <c r="BY27" i="70"/>
  <c r="BY15" i="70"/>
  <c r="BY36" i="70"/>
  <c r="BZ48" i="70"/>
  <c r="BY20" i="70"/>
  <c r="BY17" i="70"/>
  <c r="BY45" i="70"/>
  <c r="BZ13" i="70"/>
  <c r="BZ39" i="70"/>
  <c r="BZ27" i="70"/>
  <c r="BY39" i="70"/>
  <c r="BY47" i="70"/>
  <c r="BZ29" i="70"/>
  <c r="BZ17" i="70"/>
  <c r="BY21" i="70"/>
  <c r="BY16" i="70"/>
  <c r="BY35" i="70"/>
  <c r="BY13" i="70"/>
  <c r="BZ30" i="70"/>
  <c r="BZ26" i="70"/>
  <c r="BZ19" i="70"/>
  <c r="BZ38" i="70"/>
  <c r="BZ46" i="70"/>
  <c r="BY48" i="70"/>
  <c r="BY42" i="70"/>
  <c r="BZ42" i="70"/>
  <c r="BZ14" i="70"/>
  <c r="BZ15" i="70"/>
  <c r="BZ20" i="70"/>
  <c r="BY32" i="70"/>
  <c r="BY29" i="70"/>
  <c r="BY23" i="70"/>
  <c r="BY28" i="70"/>
  <c r="BZ34" i="70"/>
  <c r="BY49" i="70"/>
  <c r="BZ47" i="70"/>
  <c r="BY24" i="70"/>
  <c r="BZ21" i="70"/>
  <c r="BZ23" i="70"/>
  <c r="BZ33" i="70"/>
  <c r="BZ41" i="70"/>
  <c r="A881" i="242" l="1"/>
  <c r="B882" i="242"/>
  <c r="B1339" i="242"/>
  <c r="A1338" i="242"/>
  <c r="A2753" i="242"/>
  <c r="B2754" i="242"/>
  <c r="BH62" i="4"/>
  <c r="BI61" i="4"/>
  <c r="AV96" i="4"/>
  <c r="BQ96" i="4"/>
  <c r="BQ127" i="4"/>
  <c r="BQ119" i="4"/>
  <c r="BQ111" i="4"/>
  <c r="BQ103" i="4"/>
  <c r="BQ126" i="4"/>
  <c r="BQ118" i="4"/>
  <c r="BQ110" i="4"/>
  <c r="BQ102" i="4"/>
  <c r="BQ133" i="4"/>
  <c r="BQ125" i="4"/>
  <c r="BQ117" i="4"/>
  <c r="BQ109" i="4"/>
  <c r="BQ101" i="4"/>
  <c r="BQ132" i="4"/>
  <c r="BQ124" i="4"/>
  <c r="BQ116" i="4"/>
  <c r="BQ108" i="4"/>
  <c r="BQ100" i="4"/>
  <c r="BQ131" i="4"/>
  <c r="BQ123" i="4"/>
  <c r="BQ115" i="4"/>
  <c r="BQ107" i="4"/>
  <c r="BQ99" i="4"/>
  <c r="BQ130" i="4"/>
  <c r="BQ122" i="4"/>
  <c r="BQ114" i="4"/>
  <c r="BQ106" i="4"/>
  <c r="BQ98" i="4"/>
  <c r="BQ129" i="4"/>
  <c r="BQ121" i="4"/>
  <c r="BQ113" i="4"/>
  <c r="BQ105" i="4"/>
  <c r="BQ97" i="4"/>
  <c r="BQ128" i="4"/>
  <c r="BQ120" i="4"/>
  <c r="BQ112" i="4"/>
  <c r="BQ104" i="4"/>
  <c r="CA14" i="70"/>
  <c r="CB14" i="70"/>
  <c r="CA13" i="70"/>
  <c r="CB15" i="70"/>
  <c r="CB13" i="70"/>
  <c r="CA15" i="70"/>
  <c r="A2754" i="242" l="1"/>
  <c r="B2755" i="242"/>
  <c r="A1339" i="242"/>
  <c r="B1340" i="242"/>
  <c r="A882" i="242"/>
  <c r="B883" i="242"/>
  <c r="BH63" i="4"/>
  <c r="BI62" i="4"/>
  <c r="CC15" i="70"/>
  <c r="AV105" i="4"/>
  <c r="AV130" i="4"/>
  <c r="AV116" i="4"/>
  <c r="AV103" i="4"/>
  <c r="AV113" i="4"/>
  <c r="AV99" i="4"/>
  <c r="AV124" i="4"/>
  <c r="AV126" i="4"/>
  <c r="AV121" i="4"/>
  <c r="AV107" i="4"/>
  <c r="AV132" i="4"/>
  <c r="AV110" i="4"/>
  <c r="AV104" i="4"/>
  <c r="AV129" i="4"/>
  <c r="AV115" i="4"/>
  <c r="AV101" i="4"/>
  <c r="AV112" i="4"/>
  <c r="AV98" i="4"/>
  <c r="AV123" i="4"/>
  <c r="AV109" i="4"/>
  <c r="AV118" i="4"/>
  <c r="AV120" i="4"/>
  <c r="AV106" i="4"/>
  <c r="AV131" i="4"/>
  <c r="AV117" i="4"/>
  <c r="AV111" i="4"/>
  <c r="AV119" i="4"/>
  <c r="AV128" i="4"/>
  <c r="AV114" i="4"/>
  <c r="AV100" i="4"/>
  <c r="AV125" i="4"/>
  <c r="AV127" i="4"/>
  <c r="AV97" i="4"/>
  <c r="AV122" i="4"/>
  <c r="AV108" i="4"/>
  <c r="AV133" i="4"/>
  <c r="AV102" i="4"/>
  <c r="CC14" i="70"/>
  <c r="CC13" i="70"/>
  <c r="B1341" i="242" l="1"/>
  <c r="A1340" i="242"/>
  <c r="B884" i="242"/>
  <c r="A883" i="242"/>
  <c r="A2755" i="242"/>
  <c r="B2756" i="242"/>
  <c r="BH64" i="4"/>
  <c r="BI63" i="4"/>
  <c r="A884" i="242" l="1"/>
  <c r="B885" i="242"/>
  <c r="A2756" i="242"/>
  <c r="B2757" i="242"/>
  <c r="A1341" i="242"/>
  <c r="B1342" i="242"/>
  <c r="BH65" i="4"/>
  <c r="BI64" i="4"/>
  <c r="AK4" i="54"/>
  <c r="AL4" i="54"/>
  <c r="AM4" i="54"/>
  <c r="AN4" i="54"/>
  <c r="AO4" i="54"/>
  <c r="AJ4" i="54"/>
  <c r="AP14" i="70"/>
  <c r="F28" i="70"/>
  <c r="F29" i="70"/>
  <c r="F18" i="70"/>
  <c r="BP15" i="70"/>
  <c r="F16" i="70"/>
  <c r="BG14" i="70"/>
  <c r="AX14" i="70"/>
  <c r="BF15" i="70"/>
  <c r="AQ15" i="70"/>
  <c r="F23" i="70"/>
  <c r="F22" i="70"/>
  <c r="F30" i="70"/>
  <c r="AP15" i="70"/>
  <c r="AY13" i="70"/>
  <c r="BG13" i="70"/>
  <c r="F34" i="70"/>
  <c r="F15" i="70"/>
  <c r="AX15" i="70"/>
  <c r="BO15" i="70"/>
  <c r="AX13" i="70"/>
  <c r="F21" i="70"/>
  <c r="BF13" i="70"/>
  <c r="F32" i="70"/>
  <c r="F27" i="70"/>
  <c r="F31" i="70"/>
  <c r="BG15" i="70"/>
  <c r="AY15" i="70"/>
  <c r="BF14" i="70"/>
  <c r="BO13" i="70"/>
  <c r="BP14" i="70"/>
  <c r="F25" i="70"/>
  <c r="AQ13" i="70"/>
  <c r="AP13" i="70"/>
  <c r="BO14" i="70"/>
  <c r="F24" i="70"/>
  <c r="AQ14" i="70"/>
  <c r="F33" i="70"/>
  <c r="AY14" i="70"/>
  <c r="F19" i="70"/>
  <c r="F17" i="70"/>
  <c r="F26" i="70"/>
  <c r="F20" i="70"/>
  <c r="BP13" i="70"/>
  <c r="A2757" i="242" l="1"/>
  <c r="B2758" i="242"/>
  <c r="A885" i="242"/>
  <c r="B886" i="242"/>
  <c r="B1343" i="242"/>
  <c r="A1342" i="242"/>
  <c r="BH66" i="4"/>
  <c r="BI65" i="4"/>
  <c r="A1343" i="242" l="1"/>
  <c r="B1344" i="242"/>
  <c r="A886" i="242"/>
  <c r="B887" i="242"/>
  <c r="A2758" i="242"/>
  <c r="B2759" i="242"/>
  <c r="BH67" i="4"/>
  <c r="BI66" i="4"/>
  <c r="A2759" i="242" l="1"/>
  <c r="B2760" i="242"/>
  <c r="B888" i="242"/>
  <c r="A887" i="242"/>
  <c r="B1345" i="242"/>
  <c r="A1344" i="242"/>
  <c r="BH68" i="4"/>
  <c r="BI67" i="4"/>
  <c r="A1345" i="242" l="1"/>
  <c r="B1346" i="242"/>
  <c r="A888" i="242"/>
  <c r="B889" i="242"/>
  <c r="A2760" i="242"/>
  <c r="B2761" i="242"/>
  <c r="BH69" i="4"/>
  <c r="BI68" i="4"/>
  <c r="AC17" i="88"/>
  <c r="AJ17" i="88"/>
  <c r="AI17" i="88"/>
  <c r="AH17" i="88"/>
  <c r="AF17" i="88"/>
  <c r="A2761" i="242" l="1"/>
  <c r="B2762" i="242"/>
  <c r="A889" i="242"/>
  <c r="B890" i="242"/>
  <c r="A1346" i="242"/>
  <c r="B1347" i="242"/>
  <c r="BH70" i="4"/>
  <c r="BI69" i="4"/>
  <c r="X17" i="54"/>
  <c r="B891" i="242" l="1"/>
  <c r="A890" i="242"/>
  <c r="B1348" i="242"/>
  <c r="A1347" i="242"/>
  <c r="B2763" i="242"/>
  <c r="A2762" i="242"/>
  <c r="BH71" i="4"/>
  <c r="BI70" i="4"/>
  <c r="B1349" i="242" l="1"/>
  <c r="A1348" i="242"/>
  <c r="A2763" i="242"/>
  <c r="B2764" i="242"/>
  <c r="A891" i="242"/>
  <c r="B892" i="242"/>
  <c r="BH72" i="4"/>
  <c r="BI71" i="4"/>
  <c r="A2764" i="242" l="1"/>
  <c r="B2765" i="242"/>
  <c r="A892" i="242"/>
  <c r="B893" i="242"/>
  <c r="A1349" i="242"/>
  <c r="B1350" i="242"/>
  <c r="BH73" i="4"/>
  <c r="BI72" i="4"/>
  <c r="A893" i="242" l="1"/>
  <c r="B894" i="242"/>
  <c r="A2765" i="242"/>
  <c r="B2766" i="242"/>
  <c r="A1350" i="242"/>
  <c r="B1351" i="242"/>
  <c r="BH74" i="4"/>
  <c r="BI73" i="4"/>
  <c r="B2767" i="242" l="1"/>
  <c r="A2766" i="242"/>
  <c r="B895" i="242"/>
  <c r="A894" i="242"/>
  <c r="A1351" i="242"/>
  <c r="B1352" i="242"/>
  <c r="BH75" i="4"/>
  <c r="BI74" i="4"/>
  <c r="B896" i="242" l="1"/>
  <c r="A895" i="242"/>
  <c r="B1353" i="242"/>
  <c r="A1352" i="242"/>
  <c r="B2768" i="242"/>
  <c r="A2767" i="242"/>
  <c r="BH76" i="4"/>
  <c r="BI75" i="4"/>
  <c r="A2768" i="242" l="1"/>
  <c r="B2769" i="242"/>
  <c r="A1353" i="242"/>
  <c r="B1354" i="242"/>
  <c r="A896" i="242"/>
  <c r="B897" i="242"/>
  <c r="BH77" i="4"/>
  <c r="BI76" i="4"/>
  <c r="B1355" i="242" l="1"/>
  <c r="A1354" i="242"/>
  <c r="A897" i="242"/>
  <c r="B898" i="242"/>
  <c r="A2769" i="242"/>
  <c r="B2770" i="242"/>
  <c r="BH78" i="4"/>
  <c r="BI77" i="4"/>
  <c r="A898" i="242" l="1"/>
  <c r="B899" i="242"/>
  <c r="A2770" i="242"/>
  <c r="B2771" i="242"/>
  <c r="B1356" i="242"/>
  <c r="A1355" i="242"/>
  <c r="BH79" i="4"/>
  <c r="BI78" i="4"/>
  <c r="E110" i="69"/>
  <c r="E101" i="69"/>
  <c r="E98" i="69"/>
  <c r="E105" i="69"/>
  <c r="E103" i="69"/>
  <c r="E94" i="69"/>
  <c r="E109" i="69"/>
  <c r="E100" i="69"/>
  <c r="E111" i="69"/>
  <c r="E104" i="69"/>
  <c r="E108" i="69"/>
  <c r="E96" i="69"/>
  <c r="E95" i="69"/>
  <c r="E97" i="69"/>
  <c r="E112" i="69"/>
  <c r="E102" i="69"/>
  <c r="E113" i="69"/>
  <c r="E107" i="69"/>
  <c r="E99" i="69"/>
  <c r="E106" i="69"/>
  <c r="B1357" i="242" l="1"/>
  <c r="A1356" i="242"/>
  <c r="B2772" i="242"/>
  <c r="A2771" i="242"/>
  <c r="B900" i="242"/>
  <c r="A899" i="242"/>
  <c r="BH80" i="4"/>
  <c r="BI79" i="4"/>
  <c r="T35" i="70"/>
  <c r="T36" i="70"/>
  <c r="T37" i="70"/>
  <c r="T38" i="70"/>
  <c r="A900" i="242" l="1"/>
  <c r="B901" i="242"/>
  <c r="A2772" i="242"/>
  <c r="B2773" i="242"/>
  <c r="A1357" i="242"/>
  <c r="B1358" i="242"/>
  <c r="BH81" i="4"/>
  <c r="BI80" i="4"/>
  <c r="C11" i="70"/>
  <c r="E126" i="69"/>
  <c r="CT7" i="4"/>
  <c r="H5" i="4"/>
  <c r="BE23" i="4" s="1"/>
  <c r="BP95" i="4"/>
  <c r="BO95" i="4"/>
  <c r="BM95" i="4"/>
  <c r="BK95" i="4"/>
  <c r="BE95" i="4"/>
  <c r="BS22" i="4"/>
  <c r="BQ22" i="4"/>
  <c r="BM22" i="4"/>
  <c r="BK22" i="4"/>
  <c r="BE22" i="4"/>
  <c r="I9" i="70"/>
  <c r="A2773" i="242" l="1"/>
  <c r="B2774" i="242"/>
  <c r="A901" i="242"/>
  <c r="B902" i="242"/>
  <c r="A1358" i="242"/>
  <c r="B1359" i="242"/>
  <c r="BH82" i="4"/>
  <c r="BI81" i="4"/>
  <c r="BM23" i="4"/>
  <c r="BM71" i="4"/>
  <c r="BM79" i="4"/>
  <c r="BM87" i="4"/>
  <c r="BM31" i="4"/>
  <c r="BM32" i="4"/>
  <c r="BM40" i="4"/>
  <c r="BM39" i="4"/>
  <c r="BM45" i="4"/>
  <c r="BM35" i="4"/>
  <c r="BM28" i="4"/>
  <c r="BM59" i="4"/>
  <c r="BM48" i="4"/>
  <c r="BM41" i="4"/>
  <c r="BM74" i="4"/>
  <c r="BM83" i="4"/>
  <c r="BM73" i="4"/>
  <c r="BM46" i="4"/>
  <c r="BM85" i="4"/>
  <c r="BM30" i="4"/>
  <c r="BM68" i="4"/>
  <c r="BM64" i="4"/>
  <c r="BM72" i="4"/>
  <c r="BM80" i="4"/>
  <c r="BM24" i="4"/>
  <c r="BM50" i="4"/>
  <c r="BM49" i="4"/>
  <c r="BM25" i="4"/>
  <c r="BM53" i="4"/>
  <c r="BM42" i="4"/>
  <c r="BM63" i="4"/>
  <c r="BM29" i="4"/>
  <c r="BM56" i="4"/>
  <c r="BM57" i="4"/>
  <c r="BM66" i="4"/>
  <c r="BM78" i="4"/>
  <c r="BM82" i="4"/>
  <c r="BM54" i="4"/>
  <c r="BM89" i="4"/>
  <c r="BM26" i="4"/>
  <c r="BM34" i="4"/>
  <c r="BM88" i="4"/>
  <c r="BM36" i="4"/>
  <c r="BM58" i="4"/>
  <c r="BM55" i="4"/>
  <c r="BM86" i="4"/>
  <c r="BM76" i="4"/>
  <c r="BM81" i="4"/>
  <c r="BM75" i="4"/>
  <c r="BM67" i="4"/>
  <c r="BM37" i="4"/>
  <c r="BM69" i="4"/>
  <c r="BM52" i="4"/>
  <c r="BM38" i="4"/>
  <c r="BM90" i="4"/>
  <c r="BM43" i="4"/>
  <c r="BM44" i="4"/>
  <c r="BM61" i="4"/>
  <c r="BM62" i="4"/>
  <c r="BM27" i="4"/>
  <c r="BM84" i="4"/>
  <c r="BM33" i="4"/>
  <c r="BM65" i="4"/>
  <c r="BM60" i="4"/>
  <c r="BM70" i="4"/>
  <c r="BM51" i="4"/>
  <c r="BM47" i="4"/>
  <c r="BM77" i="4"/>
  <c r="BE56" i="4"/>
  <c r="BE58" i="4"/>
  <c r="BE88" i="4"/>
  <c r="BE67" i="4"/>
  <c r="BE77" i="4"/>
  <c r="BE80" i="4"/>
  <c r="BE73" i="4"/>
  <c r="BE68" i="4"/>
  <c r="BE42" i="4"/>
  <c r="BE86" i="4"/>
  <c r="BE39" i="4"/>
  <c r="BE49" i="4"/>
  <c r="BE46" i="4"/>
  <c r="BE90" i="4"/>
  <c r="BE65" i="4"/>
  <c r="BE44" i="4"/>
  <c r="BE83" i="4"/>
  <c r="BE32" i="4"/>
  <c r="BE60" i="4"/>
  <c r="BE40" i="4"/>
  <c r="BE74" i="4"/>
  <c r="BE71" i="4"/>
  <c r="BE37" i="4"/>
  <c r="BE31" i="4"/>
  <c r="BE85" i="4"/>
  <c r="BE33" i="4"/>
  <c r="BE54" i="4"/>
  <c r="BE82" i="4"/>
  <c r="BE62" i="4"/>
  <c r="BE47" i="4"/>
  <c r="BE78" i="4"/>
  <c r="BE89" i="4"/>
  <c r="BE91" i="4"/>
  <c r="BE81" i="4"/>
  <c r="BE87" i="4"/>
  <c r="BE25" i="4"/>
  <c r="BE50" i="4"/>
  <c r="BE61" i="4"/>
  <c r="BE75" i="4"/>
  <c r="BE69" i="4"/>
  <c r="BE24" i="4"/>
  <c r="BE30" i="4"/>
  <c r="BE63" i="4"/>
  <c r="BE43" i="4"/>
  <c r="BE57" i="4"/>
  <c r="BE64" i="4"/>
  <c r="BE35" i="4"/>
  <c r="BE79" i="4"/>
  <c r="BE41" i="4"/>
  <c r="BE48" i="4"/>
  <c r="BE26" i="4"/>
  <c r="BE70" i="4"/>
  <c r="BE45" i="4"/>
  <c r="BE55" i="4"/>
  <c r="BE27" i="4"/>
  <c r="BE38" i="4"/>
  <c r="BE51" i="4"/>
  <c r="BE29" i="4"/>
  <c r="BE84" i="4"/>
  <c r="BE59" i="4"/>
  <c r="BE34" i="4"/>
  <c r="BE52" i="4"/>
  <c r="BE28" i="4"/>
  <c r="BE53" i="4"/>
  <c r="BE76" i="4"/>
  <c r="BE72" i="4"/>
  <c r="BE36" i="4"/>
  <c r="BE66" i="4"/>
  <c r="BR96" i="4"/>
  <c r="BR113" i="4"/>
  <c r="BR112" i="4"/>
  <c r="BR106" i="4"/>
  <c r="BR114" i="4"/>
  <c r="BR119" i="4"/>
  <c r="BR120" i="4"/>
  <c r="BR110" i="4"/>
  <c r="BR100" i="4"/>
  <c r="BR133" i="4"/>
  <c r="BR109" i="4"/>
  <c r="BR103" i="4"/>
  <c r="BR132" i="4"/>
  <c r="BR99" i="4"/>
  <c r="BR98" i="4"/>
  <c r="BR131" i="4"/>
  <c r="BR126" i="4"/>
  <c r="BR127" i="4"/>
  <c r="BR101" i="4"/>
  <c r="BR108" i="4"/>
  <c r="BR124" i="4"/>
  <c r="BR117" i="4"/>
  <c r="BR125" i="4"/>
  <c r="BR102" i="4"/>
  <c r="BR121" i="4"/>
  <c r="BR122" i="4"/>
  <c r="BR105" i="4"/>
  <c r="BR104" i="4"/>
  <c r="BR123" i="4"/>
  <c r="BR111" i="4"/>
  <c r="BR97" i="4"/>
  <c r="BR128" i="4"/>
  <c r="BR130" i="4"/>
  <c r="BR129" i="4"/>
  <c r="BR116" i="4"/>
  <c r="BR118" i="4"/>
  <c r="BR115" i="4"/>
  <c r="BR107" i="4"/>
  <c r="AC12" i="70"/>
  <c r="G34" i="70"/>
  <c r="E34" i="70"/>
  <c r="G33" i="70"/>
  <c r="E33" i="70"/>
  <c r="G32" i="70"/>
  <c r="E32" i="70"/>
  <c r="G31" i="70"/>
  <c r="E31" i="70"/>
  <c r="G30" i="70"/>
  <c r="E30" i="70"/>
  <c r="G29" i="70"/>
  <c r="E29" i="70"/>
  <c r="G28" i="70"/>
  <c r="E28" i="70"/>
  <c r="G27" i="70"/>
  <c r="E27" i="70"/>
  <c r="G26" i="70"/>
  <c r="E26" i="70"/>
  <c r="G25" i="70"/>
  <c r="E25" i="70"/>
  <c r="G24" i="70"/>
  <c r="E24" i="70"/>
  <c r="G23" i="70"/>
  <c r="E23" i="70"/>
  <c r="G22" i="70"/>
  <c r="E22" i="70"/>
  <c r="G21" i="70"/>
  <c r="E21" i="70"/>
  <c r="G20" i="70"/>
  <c r="E20" i="70"/>
  <c r="G19" i="70"/>
  <c r="E19" i="70"/>
  <c r="G18" i="70"/>
  <c r="E18" i="70"/>
  <c r="G17" i="70"/>
  <c r="E17" i="70"/>
  <c r="G16" i="70"/>
  <c r="E16" i="70"/>
  <c r="M15" i="70"/>
  <c r="G15" i="70"/>
  <c r="E15" i="70"/>
  <c r="BR12" i="70"/>
  <c r="BQ12" i="70"/>
  <c r="C4" i="70"/>
  <c r="E2" i="70"/>
  <c r="E3" i="70" s="1"/>
  <c r="E121" i="69"/>
  <c r="E116" i="69"/>
  <c r="E93" i="69"/>
  <c r="E11" i="69"/>
  <c r="D11" i="69"/>
  <c r="AG4" i="69"/>
  <c r="AB4" i="69"/>
  <c r="V4" i="69"/>
  <c r="Q4" i="69"/>
  <c r="K4" i="69"/>
  <c r="AI3" i="69"/>
  <c r="AH3" i="69"/>
  <c r="AD3" i="69"/>
  <c r="AC3" i="69"/>
  <c r="Y3" i="69"/>
  <c r="W3" i="69"/>
  <c r="S3" i="69"/>
  <c r="N3" i="69"/>
  <c r="L3" i="69"/>
  <c r="D3" i="69"/>
  <c r="AG2" i="69"/>
  <c r="AB2" i="69"/>
  <c r="V2" i="69"/>
  <c r="Q2" i="69"/>
  <c r="K2" i="69"/>
  <c r="I2" i="69"/>
  <c r="H2" i="69"/>
  <c r="L17" i="70" a="1"/>
  <c r="C5" i="70"/>
  <c r="A902" i="242" l="1"/>
  <c r="B903" i="242"/>
  <c r="A2774" i="242"/>
  <c r="B2775" i="242"/>
  <c r="B1360" i="242"/>
  <c r="A1359" i="242"/>
  <c r="L22" i="70"/>
  <c r="L17" i="70"/>
  <c r="L18" i="70"/>
  <c r="L19" i="70"/>
  <c r="L20" i="70"/>
  <c r="L21" i="70"/>
  <c r="BH83" i="4"/>
  <c r="BI82" i="4"/>
  <c r="B2776" i="242" l="1"/>
  <c r="A2775" i="242"/>
  <c r="B1361" i="242"/>
  <c r="A1360" i="242"/>
  <c r="B904" i="242"/>
  <c r="A903" i="242"/>
  <c r="BH84" i="4"/>
  <c r="BI83" i="4"/>
  <c r="M3" i="70"/>
  <c r="A904" i="242" l="1"/>
  <c r="B905" i="242"/>
  <c r="A1361" i="242"/>
  <c r="B1362" i="242"/>
  <c r="A2776" i="242"/>
  <c r="B2777" i="242"/>
  <c r="BH85" i="4"/>
  <c r="BI84" i="4"/>
  <c r="I28" i="4"/>
  <c r="I75" i="4"/>
  <c r="I42" i="4"/>
  <c r="I76" i="4"/>
  <c r="I50" i="4"/>
  <c r="I78" i="4"/>
  <c r="I77" i="4"/>
  <c r="I51" i="4"/>
  <c r="I53" i="4"/>
  <c r="I66" i="4"/>
  <c r="I67" i="4"/>
  <c r="I26" i="4"/>
  <c r="I27" i="4"/>
  <c r="I90" i="4"/>
  <c r="I91" i="4"/>
  <c r="I52" i="4"/>
  <c r="I40" i="4"/>
  <c r="I54" i="4"/>
  <c r="I48" i="4"/>
  <c r="I70" i="4"/>
  <c r="I37" i="4"/>
  <c r="AC50" i="4"/>
  <c r="AU44" i="43" s="1"/>
  <c r="I84" i="4"/>
  <c r="AC45" i="4"/>
  <c r="AU39" i="43" s="1"/>
  <c r="AC52" i="4"/>
  <c r="AU46" i="43" s="1"/>
  <c r="AC75" i="4"/>
  <c r="AU69" i="43" s="1"/>
  <c r="AC57" i="4"/>
  <c r="AU51" i="43" s="1"/>
  <c r="U42" i="4"/>
  <c r="AE36" i="43" s="1"/>
  <c r="AC32" i="4"/>
  <c r="AU26" i="43" s="1"/>
  <c r="I58" i="4"/>
  <c r="AC31" i="4"/>
  <c r="AU25" i="43" s="1"/>
  <c r="I89" i="4"/>
  <c r="I25" i="4"/>
  <c r="AC38" i="4"/>
  <c r="AU32" i="43" s="1"/>
  <c r="I63" i="4"/>
  <c r="I87" i="4"/>
  <c r="I24" i="4"/>
  <c r="I62" i="4"/>
  <c r="I29" i="4"/>
  <c r="AC42" i="4"/>
  <c r="AU36" i="43" s="1"/>
  <c r="I68" i="4"/>
  <c r="AC37" i="4"/>
  <c r="AU31" i="43" s="1"/>
  <c r="AC44" i="4"/>
  <c r="AU38" i="43" s="1"/>
  <c r="AC67" i="4"/>
  <c r="AU61" i="43" s="1"/>
  <c r="I36" i="4"/>
  <c r="AC49" i="4"/>
  <c r="AU43" i="43" s="1"/>
  <c r="AC88" i="4"/>
  <c r="AU82" i="43" s="1"/>
  <c r="AC24" i="4"/>
  <c r="AU18" i="43" s="1"/>
  <c r="I34" i="4"/>
  <c r="AC23" i="4"/>
  <c r="AU17" i="43" s="1"/>
  <c r="I81" i="4"/>
  <c r="U48" i="4"/>
  <c r="AE42" i="43" s="1"/>
  <c r="AC30" i="4"/>
  <c r="AU24" i="43" s="1"/>
  <c r="I46" i="4"/>
  <c r="AC71" i="4"/>
  <c r="AU65" i="43" s="1"/>
  <c r="AC86" i="4"/>
  <c r="AU80" i="43" s="1"/>
  <c r="I79" i="4"/>
  <c r="I61" i="4"/>
  <c r="AC66" i="4"/>
  <c r="AU60" i="43" s="1"/>
  <c r="AC61" i="4"/>
  <c r="AU55" i="43" s="1"/>
  <c r="AC68" i="4"/>
  <c r="AU62" i="43" s="1"/>
  <c r="AC91" i="4"/>
  <c r="AC27" i="4"/>
  <c r="AU21" i="43" s="1"/>
  <c r="AC73" i="4"/>
  <c r="AU67" i="43" s="1"/>
  <c r="I35" i="4"/>
  <c r="AC55" i="4"/>
  <c r="AU49" i="43" s="1"/>
  <c r="I41" i="4"/>
  <c r="I31" i="4"/>
  <c r="I71" i="4"/>
  <c r="I38" i="4"/>
  <c r="U44" i="4"/>
  <c r="AE38" i="43" s="1"/>
  <c r="AC34" i="4"/>
  <c r="AU28" i="43" s="1"/>
  <c r="I44" i="4"/>
  <c r="AC29" i="4"/>
  <c r="AU23" i="43" s="1"/>
  <c r="AC36" i="4"/>
  <c r="AU30" i="43" s="1"/>
  <c r="AC59" i="4"/>
  <c r="AU53" i="43" s="1"/>
  <c r="U51" i="4"/>
  <c r="AE45" i="43" s="1"/>
  <c r="AC41" i="4"/>
  <c r="AU35" i="43" s="1"/>
  <c r="AC80" i="4"/>
  <c r="AU74" i="43" s="1"/>
  <c r="U49" i="4"/>
  <c r="AE43" i="43" s="1"/>
  <c r="I73" i="4"/>
  <c r="I80" i="4"/>
  <c r="I69" i="4"/>
  <c r="I55" i="4"/>
  <c r="I30" i="4"/>
  <c r="AC90" i="4"/>
  <c r="AU84" i="43" s="1"/>
  <c r="I60" i="4"/>
  <c r="AC85" i="4"/>
  <c r="AU79" i="43" s="1"/>
  <c r="U46" i="4"/>
  <c r="AE40" i="43" s="1"/>
  <c r="AC28" i="4"/>
  <c r="AU22" i="43" s="1"/>
  <c r="AC51" i="4"/>
  <c r="AU45" i="43" s="1"/>
  <c r="U43" i="4"/>
  <c r="AE37" i="43" s="1"/>
  <c r="AC33" i="4"/>
  <c r="AU27" i="43" s="1"/>
  <c r="I83" i="4"/>
  <c r="AC72" i="4"/>
  <c r="AU66" i="43" s="1"/>
  <c r="AC39" i="4"/>
  <c r="AU33" i="43" s="1"/>
  <c r="AC87" i="4"/>
  <c r="AU81" i="43" s="1"/>
  <c r="I65" i="4"/>
  <c r="AC78" i="4"/>
  <c r="AU72" i="43" s="1"/>
  <c r="U91" i="4"/>
  <c r="AC48" i="4"/>
  <c r="AU42" i="43" s="1"/>
  <c r="I82" i="4"/>
  <c r="AC54" i="4"/>
  <c r="AU48" i="43" s="1"/>
  <c r="I56" i="4"/>
  <c r="AC26" i="4"/>
  <c r="AU20" i="43" s="1"/>
  <c r="I39" i="4"/>
  <c r="U90" i="4"/>
  <c r="AC82" i="4"/>
  <c r="AU76" i="43" s="1"/>
  <c r="U47" i="4"/>
  <c r="AE41" i="43" s="1"/>
  <c r="AC77" i="4"/>
  <c r="AU71" i="43" s="1"/>
  <c r="AC84" i="4"/>
  <c r="AU78" i="43" s="1"/>
  <c r="AC43" i="4"/>
  <c r="AU37" i="43" s="1"/>
  <c r="AC89" i="4"/>
  <c r="AU83" i="43" s="1"/>
  <c r="AC25" i="4"/>
  <c r="AU19" i="43" s="1"/>
  <c r="I59" i="4"/>
  <c r="AC64" i="4"/>
  <c r="AU58" i="43" s="1"/>
  <c r="AC79" i="4"/>
  <c r="AU73" i="43" s="1"/>
  <c r="I57" i="4"/>
  <c r="AC70" i="4"/>
  <c r="AU64" i="43" s="1"/>
  <c r="I88" i="4"/>
  <c r="I49" i="4"/>
  <c r="I32" i="4"/>
  <c r="I23" i="4"/>
  <c r="I85" i="4"/>
  <c r="AC74" i="4"/>
  <c r="AU68" i="43" s="1"/>
  <c r="AC69" i="4"/>
  <c r="AU63" i="43" s="1"/>
  <c r="AC76" i="4"/>
  <c r="AU70" i="43" s="1"/>
  <c r="U45" i="4"/>
  <c r="AE39" i="43" s="1"/>
  <c r="AC35" i="4"/>
  <c r="AU29" i="43" s="1"/>
  <c r="AC81" i="4"/>
  <c r="AU75" i="43" s="1"/>
  <c r="I43" i="4"/>
  <c r="AC56" i="4"/>
  <c r="AU50" i="43" s="1"/>
  <c r="AC63" i="4"/>
  <c r="AU57" i="43" s="1"/>
  <c r="AC62" i="4"/>
  <c r="AU56" i="43" s="1"/>
  <c r="I72" i="4"/>
  <c r="I47" i="4"/>
  <c r="I64" i="4"/>
  <c r="I86" i="4"/>
  <c r="I45" i="4"/>
  <c r="AC58" i="4"/>
  <c r="AU52" i="43" s="1"/>
  <c r="AC53" i="4"/>
  <c r="AU47" i="43" s="1"/>
  <c r="AC60" i="4"/>
  <c r="AU54" i="43" s="1"/>
  <c r="AC83" i="4"/>
  <c r="AU77" i="43" s="1"/>
  <c r="AC65" i="4"/>
  <c r="AU59" i="43" s="1"/>
  <c r="U50" i="4"/>
  <c r="AE44" i="43" s="1"/>
  <c r="AC40" i="4"/>
  <c r="AU34" i="43" s="1"/>
  <c r="I74" i="4"/>
  <c r="AC47" i="4"/>
  <c r="AU41" i="43" s="1"/>
  <c r="I33" i="4"/>
  <c r="AC46" i="4"/>
  <c r="AU40" i="43" s="1"/>
  <c r="U89" i="4"/>
  <c r="BA130" i="4"/>
  <c r="BA116" i="4"/>
  <c r="BA104" i="4"/>
  <c r="BA129" i="4"/>
  <c r="BA114" i="4"/>
  <c r="BA102" i="4"/>
  <c r="BA128" i="4"/>
  <c r="BA113" i="4"/>
  <c r="BA100" i="4"/>
  <c r="BA99" i="4"/>
  <c r="BA124" i="4"/>
  <c r="BA112" i="4"/>
  <c r="BA98" i="4"/>
  <c r="AN19" i="69" s="1"/>
  <c r="BA107" i="4"/>
  <c r="BA122" i="4"/>
  <c r="BA110" i="4"/>
  <c r="BA97" i="4"/>
  <c r="AN18" i="69" s="1"/>
  <c r="BA115" i="4"/>
  <c r="BA121" i="4"/>
  <c r="BA108" i="4"/>
  <c r="BA96" i="4"/>
  <c r="AN17" i="69" s="1"/>
  <c r="BA123" i="4"/>
  <c r="BA120" i="4"/>
  <c r="BA106" i="4"/>
  <c r="BA131" i="4"/>
  <c r="BA132" i="4"/>
  <c r="BA118" i="4"/>
  <c r="BA105" i="4"/>
  <c r="BA126" i="4"/>
  <c r="BA133" i="4"/>
  <c r="BA125" i="4"/>
  <c r="BA109" i="4"/>
  <c r="BA117" i="4"/>
  <c r="BA101" i="4"/>
  <c r="BA111" i="4"/>
  <c r="BA119" i="4"/>
  <c r="BA127" i="4"/>
  <c r="BA103" i="4"/>
  <c r="F126" i="69"/>
  <c r="F121" i="69"/>
  <c r="F116" i="69"/>
  <c r="M4" i="70"/>
  <c r="AS14" i="70"/>
  <c r="BI15" i="70"/>
  <c r="AZ13" i="70"/>
  <c r="AR13" i="70"/>
  <c r="AS15" i="70"/>
  <c r="BH15" i="70"/>
  <c r="AZ15" i="70"/>
  <c r="AR14" i="70"/>
  <c r="BR13" i="70"/>
  <c r="BR15" i="70"/>
  <c r="BQ13" i="70"/>
  <c r="BA15" i="70"/>
  <c r="BI14" i="70"/>
  <c r="BH13" i="70"/>
  <c r="BA14" i="70"/>
  <c r="BR14" i="70"/>
  <c r="BQ15" i="70"/>
  <c r="BH14" i="70"/>
  <c r="BI13" i="70"/>
  <c r="AS13" i="70"/>
  <c r="BQ14" i="70"/>
  <c r="AZ14" i="70"/>
  <c r="BA13" i="70"/>
  <c r="AR15" i="70"/>
  <c r="N3" i="70"/>
  <c r="N4" i="70"/>
  <c r="E4" i="70"/>
  <c r="B1363" i="242" l="1"/>
  <c r="A1362" i="242"/>
  <c r="A905" i="242"/>
  <c r="B906" i="242"/>
  <c r="A2777" i="242"/>
  <c r="B2778" i="242"/>
  <c r="BH86" i="4"/>
  <c r="BI85" i="4"/>
  <c r="H34" i="70"/>
  <c r="I34" i="70" s="1"/>
  <c r="H32" i="70"/>
  <c r="I32" i="70" s="1"/>
  <c r="H27" i="70"/>
  <c r="I27" i="70" s="1"/>
  <c r="H30" i="70"/>
  <c r="I30" i="70" s="1"/>
  <c r="H28" i="70"/>
  <c r="I28" i="70" s="1"/>
  <c r="H31" i="70"/>
  <c r="I31" i="70" s="1"/>
  <c r="H29" i="70"/>
  <c r="I29" i="70" s="1"/>
  <c r="H33" i="70"/>
  <c r="I33" i="70" s="1"/>
  <c r="C45" i="70"/>
  <c r="C39" i="70"/>
  <c r="H25" i="70"/>
  <c r="I25" i="70" s="1"/>
  <c r="H20" i="70"/>
  <c r="I20" i="70" s="1"/>
  <c r="H24" i="70"/>
  <c r="I24" i="70" s="1"/>
  <c r="H23" i="70"/>
  <c r="I23" i="70" s="1"/>
  <c r="H16" i="70"/>
  <c r="I16" i="70" s="1"/>
  <c r="H19" i="70"/>
  <c r="I19" i="70" s="1"/>
  <c r="H26" i="70"/>
  <c r="I26" i="70" s="1"/>
  <c r="H15" i="70"/>
  <c r="I15" i="70" s="1"/>
  <c r="H17" i="70"/>
  <c r="I17" i="70" s="1"/>
  <c r="H21" i="70"/>
  <c r="I21" i="70" s="1"/>
  <c r="H22" i="70"/>
  <c r="I22" i="70" s="1"/>
  <c r="H18" i="70"/>
  <c r="I18" i="70" s="1"/>
  <c r="F122" i="69"/>
  <c r="F117" i="69"/>
  <c r="F127" i="69"/>
  <c r="AC8" i="69"/>
  <c r="L8" i="69"/>
  <c r="AH8" i="69"/>
  <c r="D8" i="69"/>
  <c r="R8" i="69"/>
  <c r="W8" i="69"/>
  <c r="M21" i="70"/>
  <c r="M17" i="70"/>
  <c r="M18" i="70"/>
  <c r="M19" i="70"/>
  <c r="M22" i="70"/>
  <c r="M20" i="70"/>
  <c r="T13" i="70"/>
  <c r="E5" i="70"/>
  <c r="T15" i="70"/>
  <c r="T14" i="70"/>
  <c r="B907" i="242" l="1"/>
  <c r="A906" i="242"/>
  <c r="A2778" i="242"/>
  <c r="B2779" i="242"/>
  <c r="B1364" i="242"/>
  <c r="A1363" i="242"/>
  <c r="BH87" i="4"/>
  <c r="BI86" i="4"/>
  <c r="D45" i="70"/>
  <c r="C48" i="70"/>
  <c r="D48" i="70" s="1"/>
  <c r="C41" i="70"/>
  <c r="D41" i="70" s="1"/>
  <c r="C42" i="70"/>
  <c r="D42" i="70" s="1"/>
  <c r="C46" i="70"/>
  <c r="D46" i="70" s="1"/>
  <c r="C40" i="70"/>
  <c r="D40" i="70" s="1"/>
  <c r="D39" i="70"/>
  <c r="Q30" i="70"/>
  <c r="T30" i="70" s="1"/>
  <c r="Q29" i="70"/>
  <c r="T29" i="70" s="1"/>
  <c r="Q90" i="69"/>
  <c r="R90" i="69"/>
  <c r="Q34" i="70"/>
  <c r="T34" i="70" s="1"/>
  <c r="Q33" i="70"/>
  <c r="T33" i="70" s="1"/>
  <c r="I2" i="70"/>
  <c r="Q31" i="70"/>
  <c r="T31" i="70" s="1"/>
  <c r="Q32" i="70"/>
  <c r="T32" i="70" s="1"/>
  <c r="C47" i="70"/>
  <c r="D47" i="70" s="1"/>
  <c r="N18" i="70"/>
  <c r="N22" i="70"/>
  <c r="N20" i="70"/>
  <c r="N21" i="70"/>
  <c r="N19" i="70"/>
  <c r="N17" i="70"/>
  <c r="I3" i="70"/>
  <c r="F40" i="70"/>
  <c r="F39" i="70"/>
  <c r="F45" i="70"/>
  <c r="E42" i="70"/>
  <c r="H41" i="70"/>
  <c r="H47" i="70"/>
  <c r="H40" i="70"/>
  <c r="F42" i="70"/>
  <c r="E39" i="70"/>
  <c r="H39" i="70"/>
  <c r="H46" i="70"/>
  <c r="E46" i="70"/>
  <c r="H42" i="70"/>
  <c r="F46" i="70"/>
  <c r="E41" i="70"/>
  <c r="H48" i="70"/>
  <c r="E40" i="70"/>
  <c r="F47" i="70"/>
  <c r="H45" i="70"/>
  <c r="E47" i="70"/>
  <c r="F48" i="70"/>
  <c r="E48" i="70"/>
  <c r="E45" i="70"/>
  <c r="F41" i="70"/>
  <c r="B1365" i="242" l="1"/>
  <c r="A1364" i="242"/>
  <c r="A2779" i="242"/>
  <c r="B2780" i="242"/>
  <c r="A907" i="242"/>
  <c r="B908" i="242"/>
  <c r="BH88" i="4"/>
  <c r="BI87" i="4"/>
  <c r="Q110" i="69"/>
  <c r="R110" i="69" s="1"/>
  <c r="Q106" i="69"/>
  <c r="R106" i="69" s="1"/>
  <c r="Q111" i="69"/>
  <c r="R111" i="69" s="1"/>
  <c r="Q112" i="69"/>
  <c r="R112" i="69" s="1"/>
  <c r="Q107" i="69"/>
  <c r="R107" i="69" s="1"/>
  <c r="Q113" i="69"/>
  <c r="R113" i="69" s="1"/>
  <c r="Q108" i="69"/>
  <c r="R108" i="69" s="1"/>
  <c r="Q109" i="69"/>
  <c r="R109" i="69" s="1"/>
  <c r="Q101" i="69"/>
  <c r="R101" i="69" s="1"/>
  <c r="Q96" i="69"/>
  <c r="Q95" i="69"/>
  <c r="Q105" i="69"/>
  <c r="R105" i="69" s="1"/>
  <c r="Q103" i="69"/>
  <c r="R103" i="69" s="1"/>
  <c r="Q102" i="69"/>
  <c r="R102" i="69" s="1"/>
  <c r="Q94" i="69"/>
  <c r="Q104" i="69"/>
  <c r="R104" i="69" s="1"/>
  <c r="Q97" i="69"/>
  <c r="Q99" i="69"/>
  <c r="Q100" i="69"/>
  <c r="Q98" i="69"/>
  <c r="I4" i="70"/>
  <c r="G42" i="70"/>
  <c r="G39" i="70"/>
  <c r="G47" i="70"/>
  <c r="G48" i="70"/>
  <c r="G46" i="70"/>
  <c r="I41" i="70"/>
  <c r="G40" i="70"/>
  <c r="G45" i="70"/>
  <c r="G41" i="70"/>
  <c r="A2780" i="242" l="1"/>
  <c r="B2781" i="242"/>
  <c r="A908" i="242"/>
  <c r="B909" i="242"/>
  <c r="A1365" i="242"/>
  <c r="B1366" i="242"/>
  <c r="BH89" i="4"/>
  <c r="BI88" i="4"/>
  <c r="M116" i="69"/>
  <c r="M127" i="69"/>
  <c r="M121" i="69"/>
  <c r="M117" i="69"/>
  <c r="M122" i="69"/>
  <c r="M126" i="69"/>
  <c r="C9" i="4"/>
  <c r="B18" i="20"/>
  <c r="I5" i="70"/>
  <c r="T27" i="202"/>
  <c r="T17" i="202"/>
  <c r="T57" i="202"/>
  <c r="T58" i="202"/>
  <c r="T59" i="202"/>
  <c r="T21" i="202"/>
  <c r="T73" i="202"/>
  <c r="T22" i="202"/>
  <c r="T50" i="202"/>
  <c r="T62" i="202"/>
  <c r="T74" i="202"/>
  <c r="T43" i="202"/>
  <c r="T68" i="202"/>
  <c r="T18" i="202"/>
  <c r="T20" i="202"/>
  <c r="T60" i="202"/>
  <c r="T49" i="202"/>
  <c r="T61" i="202"/>
  <c r="T23" i="202"/>
  <c r="T39" i="202"/>
  <c r="T51" i="202"/>
  <c r="T63" i="202"/>
  <c r="T75" i="202"/>
  <c r="T16" i="202"/>
  <c r="T19" i="202"/>
  <c r="T71" i="202"/>
  <c r="T72" i="202"/>
  <c r="T24" i="202"/>
  <c r="T40" i="202"/>
  <c r="T52" i="202"/>
  <c r="T64" i="202"/>
  <c r="T76" i="202"/>
  <c r="T55" i="202"/>
  <c r="T56" i="202"/>
  <c r="T45" i="202"/>
  <c r="T46" i="202"/>
  <c r="T47" i="202"/>
  <c r="T25" i="202"/>
  <c r="T41" i="202"/>
  <c r="T53" i="202"/>
  <c r="T65" i="202"/>
  <c r="T77" i="202"/>
  <c r="T67" i="202"/>
  <c r="T44" i="202"/>
  <c r="T69" i="202"/>
  <c r="T70" i="202"/>
  <c r="T48" i="202"/>
  <c r="T26" i="202"/>
  <c r="T42" i="202"/>
  <c r="T54" i="202"/>
  <c r="T66" i="202"/>
  <c r="T78" i="202"/>
  <c r="U26" i="202" l="1"/>
  <c r="U25" i="202"/>
  <c r="U27" i="202"/>
  <c r="A909" i="242"/>
  <c r="B910" i="242"/>
  <c r="A1366" i="242"/>
  <c r="B1367" i="242"/>
  <c r="A2781" i="242"/>
  <c r="B2782" i="242"/>
  <c r="C1" i="193"/>
  <c r="C1" i="192"/>
  <c r="C1" i="191"/>
  <c r="C1" i="190"/>
  <c r="C1" i="189"/>
  <c r="C1" i="188"/>
  <c r="C1" i="187"/>
  <c r="C1" i="32"/>
  <c r="BH90" i="4"/>
  <c r="BI89" i="4"/>
  <c r="I6" i="70"/>
  <c r="Q28" i="70"/>
  <c r="I2" i="43"/>
  <c r="H2" i="43"/>
  <c r="AA13" i="202" a="1"/>
  <c r="W13" i="202" a="1"/>
  <c r="V13" i="202" a="1"/>
  <c r="T45" i="70"/>
  <c r="T66" i="70"/>
  <c r="T47" i="70"/>
  <c r="T78" i="70"/>
  <c r="T73" i="70"/>
  <c r="T44" i="70"/>
  <c r="T42" i="70"/>
  <c r="T64" i="70"/>
  <c r="T22" i="70"/>
  <c r="T70" i="70"/>
  <c r="T20" i="70"/>
  <c r="T60" i="70"/>
  <c r="T56" i="70"/>
  <c r="T52" i="70"/>
  <c r="T68" i="70"/>
  <c r="T27" i="70"/>
  <c r="T72" i="70"/>
  <c r="T77" i="70"/>
  <c r="T21" i="70"/>
  <c r="T17" i="70"/>
  <c r="T57" i="70"/>
  <c r="T51" i="70"/>
  <c r="T59" i="70"/>
  <c r="T74" i="70"/>
  <c r="T75" i="70"/>
  <c r="T48" i="70"/>
  <c r="T54" i="70"/>
  <c r="T67" i="70"/>
  <c r="T76" i="70"/>
  <c r="T55" i="70"/>
  <c r="T40" i="70"/>
  <c r="T50" i="70"/>
  <c r="T62" i="70"/>
  <c r="T43" i="70"/>
  <c r="T61" i="70"/>
  <c r="T41" i="70"/>
  <c r="T69" i="70"/>
  <c r="T18" i="70"/>
  <c r="T46" i="70"/>
  <c r="T63" i="70"/>
  <c r="T26" i="70"/>
  <c r="T71" i="70"/>
  <c r="T16" i="70"/>
  <c r="T19" i="70"/>
  <c r="T24" i="70"/>
  <c r="T23" i="70"/>
  <c r="T39" i="70"/>
  <c r="T65" i="70"/>
  <c r="T49" i="70"/>
  <c r="T58" i="70"/>
  <c r="T53" i="70"/>
  <c r="T25" i="70"/>
  <c r="V55" i="202" l="1"/>
  <c r="V16" i="202"/>
  <c r="V32" i="202"/>
  <c r="V67" i="202"/>
  <c r="V46" i="202"/>
  <c r="V44" i="202"/>
  <c r="V14" i="202"/>
  <c r="BN14" i="202" s="1"/>
  <c r="V34" i="202"/>
  <c r="V27" i="202"/>
  <c r="V47" i="202"/>
  <c r="V78" i="202"/>
  <c r="BN78" i="202" s="1"/>
  <c r="V13" i="202"/>
  <c r="V40" i="202"/>
  <c r="V72" i="202"/>
  <c r="BN72" i="202" s="1"/>
  <c r="V18" i="202"/>
  <c r="V24" i="202"/>
  <c r="V30" i="202"/>
  <c r="V62" i="202"/>
  <c r="V39" i="202"/>
  <c r="V69" i="202"/>
  <c r="V42" i="202"/>
  <c r="V75" i="202"/>
  <c r="BN75" i="202" s="1"/>
  <c r="V65" i="202"/>
  <c r="V36" i="202"/>
  <c r="V70" i="202"/>
  <c r="V54" i="202"/>
  <c r="V31" i="202"/>
  <c r="V60" i="202"/>
  <c r="V76" i="202"/>
  <c r="BN76" i="202" s="1"/>
  <c r="V48" i="202"/>
  <c r="V64" i="202"/>
  <c r="V56" i="202"/>
  <c r="V66" i="202"/>
  <c r="V61" i="202"/>
  <c r="V21" i="202"/>
  <c r="V53" i="202"/>
  <c r="V19" i="202"/>
  <c r="V59" i="202"/>
  <c r="V26" i="202"/>
  <c r="V25" i="202"/>
  <c r="V41" i="202"/>
  <c r="V73" i="202"/>
  <c r="BN73" i="202" s="1"/>
  <c r="V45" i="202"/>
  <c r="V23" i="202"/>
  <c r="V51" i="202"/>
  <c r="V58" i="202"/>
  <c r="V20" i="202"/>
  <c r="V37" i="202"/>
  <c r="V15" i="202"/>
  <c r="V33" i="202"/>
  <c r="V49" i="202"/>
  <c r="V38" i="202"/>
  <c r="V17" i="202"/>
  <c r="V52" i="202"/>
  <c r="V77" i="202"/>
  <c r="BN77" i="202" s="1"/>
  <c r="V57" i="202"/>
  <c r="V28" i="202"/>
  <c r="V50" i="202"/>
  <c r="V63" i="202"/>
  <c r="V22" i="202"/>
  <c r="V43" i="202"/>
  <c r="V68" i="202"/>
  <c r="V29" i="202"/>
  <c r="V74" i="202"/>
  <c r="BN74" i="202" s="1"/>
  <c r="V35" i="202"/>
  <c r="V71" i="202"/>
  <c r="W77" i="202"/>
  <c r="W30" i="202"/>
  <c r="W37" i="202"/>
  <c r="W61" i="202"/>
  <c r="W59" i="202"/>
  <c r="W71" i="202"/>
  <c r="W39" i="202"/>
  <c r="W28" i="202"/>
  <c r="W57" i="202"/>
  <c r="W64" i="202"/>
  <c r="W46" i="202"/>
  <c r="W67" i="202"/>
  <c r="W21" i="202"/>
  <c r="W18" i="202"/>
  <c r="W34" i="202"/>
  <c r="W62" i="202"/>
  <c r="W60" i="202"/>
  <c r="W29" i="202"/>
  <c r="W50" i="202"/>
  <c r="W19" i="202"/>
  <c r="W58" i="202"/>
  <c r="W74" i="202"/>
  <c r="W17" i="202"/>
  <c r="W14" i="202"/>
  <c r="W41" i="202"/>
  <c r="W26" i="202"/>
  <c r="W49" i="202"/>
  <c r="W65" i="202"/>
  <c r="W56" i="202"/>
  <c r="W33" i="202"/>
  <c r="W78" i="202"/>
  <c r="W22" i="202"/>
  <c r="W52" i="202"/>
  <c r="W13" i="202"/>
  <c r="W54" i="202"/>
  <c r="W24" i="202"/>
  <c r="W42" i="202"/>
  <c r="W55" i="202"/>
  <c r="W16" i="202"/>
  <c r="W76" i="202"/>
  <c r="W40" i="202"/>
  <c r="W47" i="202"/>
  <c r="W27" i="202"/>
  <c r="W53" i="202"/>
  <c r="W51" i="202"/>
  <c r="W68" i="202"/>
  <c r="W31" i="202"/>
  <c r="W38" i="202"/>
  <c r="W72" i="202"/>
  <c r="W32" i="202"/>
  <c r="W25" i="202"/>
  <c r="W63" i="202"/>
  <c r="W70" i="202"/>
  <c r="W44" i="202"/>
  <c r="W75" i="202"/>
  <c r="W45" i="202"/>
  <c r="W43" i="202"/>
  <c r="W23" i="202"/>
  <c r="W20" i="202"/>
  <c r="W36" i="202"/>
  <c r="W66" i="202"/>
  <c r="W73" i="202"/>
  <c r="W35" i="202"/>
  <c r="W69" i="202"/>
  <c r="W15" i="202"/>
  <c r="W48" i="202"/>
  <c r="AA14" i="202"/>
  <c r="AA60" i="202"/>
  <c r="AA13" i="202"/>
  <c r="AA48" i="202"/>
  <c r="AA36" i="202"/>
  <c r="AA46" i="202"/>
  <c r="AA30" i="202"/>
  <c r="AA32" i="202"/>
  <c r="AA74" i="202"/>
  <c r="AA57" i="202"/>
  <c r="AA77" i="202"/>
  <c r="AA51" i="202"/>
  <c r="AA58" i="202"/>
  <c r="AA65" i="202"/>
  <c r="AA44" i="202"/>
  <c r="AA70" i="202"/>
  <c r="AA62" i="202"/>
  <c r="AA52" i="202"/>
  <c r="AA67" i="202"/>
  <c r="AA76" i="202"/>
  <c r="AA69" i="202"/>
  <c r="AA42" i="202"/>
  <c r="AA40" i="202"/>
  <c r="AA37" i="202"/>
  <c r="AA18" i="202"/>
  <c r="AA15" i="202"/>
  <c r="AA71" i="202"/>
  <c r="AA50" i="202"/>
  <c r="AA72" i="202"/>
  <c r="AA61" i="202"/>
  <c r="AA33" i="202"/>
  <c r="AA68" i="202"/>
  <c r="AA17" i="202"/>
  <c r="AA56" i="202"/>
  <c r="AA28" i="202"/>
  <c r="AA27" i="202"/>
  <c r="AA54" i="202"/>
  <c r="AA43" i="202"/>
  <c r="AA29" i="202"/>
  <c r="AA75" i="202"/>
  <c r="AA53" i="202"/>
  <c r="AA16" i="202"/>
  <c r="AA20" i="202"/>
  <c r="AA23" i="202"/>
  <c r="AA78" i="202"/>
  <c r="AA73" i="202"/>
  <c r="AA24" i="202"/>
  <c r="AA49" i="202"/>
  <c r="AA64" i="202"/>
  <c r="AA55" i="202"/>
  <c r="AA63" i="202"/>
  <c r="AA31" i="202"/>
  <c r="AA35" i="202"/>
  <c r="AA59" i="202"/>
  <c r="AA34" i="202"/>
  <c r="AA21" i="202"/>
  <c r="AA47" i="202"/>
  <c r="AA45" i="202"/>
  <c r="AA22" i="202"/>
  <c r="AA19" i="202"/>
  <c r="AA38" i="202"/>
  <c r="AA25" i="202"/>
  <c r="AA41" i="202"/>
  <c r="AA39" i="202"/>
  <c r="AA26" i="202"/>
  <c r="AA66" i="202"/>
  <c r="A1367" i="242"/>
  <c r="B1368" i="242"/>
  <c r="A2782" i="242"/>
  <c r="B2783" i="242"/>
  <c r="B911" i="242"/>
  <c r="A910" i="242"/>
  <c r="E69" i="192"/>
  <c r="E70" i="192"/>
  <c r="E68" i="32"/>
  <c r="E68" i="187" s="1"/>
  <c r="E45" i="32"/>
  <c r="E50" i="32"/>
  <c r="E56" i="32"/>
  <c r="E35" i="32"/>
  <c r="E51" i="32"/>
  <c r="E60" i="32"/>
  <c r="E9" i="32"/>
  <c r="E62" i="32"/>
  <c r="E38" i="32"/>
  <c r="E48" i="32"/>
  <c r="E63" i="32"/>
  <c r="E58" i="32"/>
  <c r="E61" i="32"/>
  <c r="E44" i="32"/>
  <c r="E43" i="32"/>
  <c r="E42" i="32"/>
  <c r="E12" i="32"/>
  <c r="E12" i="187" s="1"/>
  <c r="E65" i="32"/>
  <c r="E7" i="32"/>
  <c r="E10" i="32"/>
  <c r="E10" i="187" s="1"/>
  <c r="E53" i="32"/>
  <c r="E6" i="32"/>
  <c r="E46" i="32"/>
  <c r="E36" i="32"/>
  <c r="E39" i="32"/>
  <c r="E49" i="32"/>
  <c r="E55" i="32"/>
  <c r="E40" i="32"/>
  <c r="E59" i="32"/>
  <c r="E66" i="32"/>
  <c r="E57" i="32"/>
  <c r="E8" i="32"/>
  <c r="E64" i="32"/>
  <c r="E64" i="187" s="1"/>
  <c r="E70" i="32"/>
  <c r="E33" i="32"/>
  <c r="E32" i="32"/>
  <c r="E11" i="32"/>
  <c r="E11" i="187" s="1"/>
  <c r="E52" i="32"/>
  <c r="E37" i="32"/>
  <c r="E31" i="32"/>
  <c r="E47" i="32"/>
  <c r="E41" i="32"/>
  <c r="E67" i="32"/>
  <c r="E69" i="32"/>
  <c r="E34" i="32"/>
  <c r="E54" i="32"/>
  <c r="E12" i="192"/>
  <c r="E12" i="193" s="1"/>
  <c r="E20" i="192"/>
  <c r="E20" i="193" s="1"/>
  <c r="E28" i="192"/>
  <c r="E28" i="193" s="1"/>
  <c r="E36" i="192"/>
  <c r="E36" i="193" s="1"/>
  <c r="E44" i="192"/>
  <c r="E44" i="193" s="1"/>
  <c r="E52" i="192"/>
  <c r="E52" i="193" s="1"/>
  <c r="E60" i="192"/>
  <c r="E60" i="193" s="1"/>
  <c r="E68" i="192"/>
  <c r="E68" i="193" s="1"/>
  <c r="E8" i="193"/>
  <c r="E32" i="192"/>
  <c r="E32" i="193" s="1"/>
  <c r="E56" i="192"/>
  <c r="E56" i="193" s="1"/>
  <c r="E33" i="192"/>
  <c r="E33" i="193" s="1"/>
  <c r="E57" i="192"/>
  <c r="E57" i="193" s="1"/>
  <c r="E10" i="192"/>
  <c r="E10" i="193" s="1"/>
  <c r="E18" i="192"/>
  <c r="E18" i="193" s="1"/>
  <c r="E26" i="192"/>
  <c r="E26" i="193" s="1"/>
  <c r="E42" i="192"/>
  <c r="E42" i="193" s="1"/>
  <c r="E58" i="192"/>
  <c r="E58" i="193" s="1"/>
  <c r="E66" i="192"/>
  <c r="E66" i="193" s="1"/>
  <c r="E27" i="192"/>
  <c r="E27" i="193" s="1"/>
  <c r="E43" i="192"/>
  <c r="E43" i="193" s="1"/>
  <c r="E59" i="192"/>
  <c r="E59" i="193" s="1"/>
  <c r="E13" i="192"/>
  <c r="E13" i="193" s="1"/>
  <c r="E21" i="192"/>
  <c r="E21" i="193" s="1"/>
  <c r="E29" i="192"/>
  <c r="E29" i="193" s="1"/>
  <c r="E37" i="192"/>
  <c r="E37" i="193" s="1"/>
  <c r="E45" i="192"/>
  <c r="E45" i="193" s="1"/>
  <c r="E53" i="192"/>
  <c r="E53" i="193" s="1"/>
  <c r="E61" i="192"/>
  <c r="E61" i="193" s="1"/>
  <c r="E48" i="192"/>
  <c r="E48" i="193" s="1"/>
  <c r="E9" i="192"/>
  <c r="E9" i="193" s="1"/>
  <c r="E25" i="192"/>
  <c r="E25" i="193" s="1"/>
  <c r="E49" i="192"/>
  <c r="E49" i="193" s="1"/>
  <c r="E34" i="192"/>
  <c r="E34" i="193" s="1"/>
  <c r="E50" i="192"/>
  <c r="E50" i="193" s="1"/>
  <c r="E11" i="192"/>
  <c r="E11" i="193" s="1"/>
  <c r="E19" i="192"/>
  <c r="E19" i="193" s="1"/>
  <c r="E35" i="192"/>
  <c r="E35" i="193" s="1"/>
  <c r="E51" i="192"/>
  <c r="E51" i="193" s="1"/>
  <c r="E14" i="192"/>
  <c r="E14" i="193" s="1"/>
  <c r="E22" i="192"/>
  <c r="E22" i="193" s="1"/>
  <c r="E30" i="192"/>
  <c r="E30" i="193" s="1"/>
  <c r="E38" i="192"/>
  <c r="E38" i="193" s="1"/>
  <c r="E46" i="192"/>
  <c r="E46" i="193" s="1"/>
  <c r="E54" i="192"/>
  <c r="E54" i="193" s="1"/>
  <c r="E62" i="192"/>
  <c r="E62" i="193" s="1"/>
  <c r="E63" i="192"/>
  <c r="E63" i="193" s="1"/>
  <c r="E16" i="192"/>
  <c r="E16" i="193" s="1"/>
  <c r="E40" i="192"/>
  <c r="E40" i="193" s="1"/>
  <c r="E64" i="192"/>
  <c r="E64" i="193" s="1"/>
  <c r="E17" i="192"/>
  <c r="E17" i="193" s="1"/>
  <c r="E41" i="192"/>
  <c r="E41" i="193" s="1"/>
  <c r="E65" i="192"/>
  <c r="E65" i="193" s="1"/>
  <c r="E7" i="193"/>
  <c r="E15" i="192"/>
  <c r="E15" i="193" s="1"/>
  <c r="E23" i="192"/>
  <c r="E23" i="193" s="1"/>
  <c r="E31" i="192"/>
  <c r="E31" i="193" s="1"/>
  <c r="E39" i="192"/>
  <c r="E39" i="193" s="1"/>
  <c r="E47" i="192"/>
  <c r="E47" i="193" s="1"/>
  <c r="E55" i="192"/>
  <c r="E55" i="193" s="1"/>
  <c r="E67" i="192"/>
  <c r="E67" i="193" s="1"/>
  <c r="E24" i="192"/>
  <c r="E24" i="193" s="1"/>
  <c r="E36" i="188"/>
  <c r="E44" i="188"/>
  <c r="E52" i="188"/>
  <c r="E60" i="188"/>
  <c r="E68" i="188"/>
  <c r="E41" i="188"/>
  <c r="E37" i="188"/>
  <c r="E45" i="188"/>
  <c r="E53" i="188"/>
  <c r="E61" i="188"/>
  <c r="E69" i="188"/>
  <c r="E38" i="188"/>
  <c r="E46" i="188"/>
  <c r="E54" i="188"/>
  <c r="E62" i="188"/>
  <c r="E70" i="188"/>
  <c r="E49" i="188"/>
  <c r="E39" i="188"/>
  <c r="E47" i="188"/>
  <c r="E55" i="188"/>
  <c r="E63" i="188"/>
  <c r="E71" i="188"/>
  <c r="E57" i="188"/>
  <c r="E40" i="188"/>
  <c r="E48" i="188"/>
  <c r="E56" i="188"/>
  <c r="E64" i="188"/>
  <c r="E72" i="188"/>
  <c r="E73" i="188"/>
  <c r="E65" i="188"/>
  <c r="E42" i="188"/>
  <c r="E50" i="188"/>
  <c r="E58" i="188"/>
  <c r="E66" i="188"/>
  <c r="E74" i="188"/>
  <c r="E43" i="188"/>
  <c r="E51" i="188"/>
  <c r="E59" i="188"/>
  <c r="E67" i="188"/>
  <c r="E35" i="188"/>
  <c r="E35" i="190"/>
  <c r="E43" i="190"/>
  <c r="E51" i="190"/>
  <c r="E59" i="190"/>
  <c r="E67" i="190"/>
  <c r="E34" i="190"/>
  <c r="E18" i="190"/>
  <c r="E18" i="191" s="1"/>
  <c r="E21" i="190"/>
  <c r="E40" i="190"/>
  <c r="E56" i="190"/>
  <c r="E36" i="190"/>
  <c r="E44" i="190"/>
  <c r="E52" i="190"/>
  <c r="E60" i="190"/>
  <c r="E68" i="190"/>
  <c r="E19" i="190"/>
  <c r="E19" i="191" s="1"/>
  <c r="E37" i="190"/>
  <c r="E45" i="190"/>
  <c r="E53" i="190"/>
  <c r="E61" i="190"/>
  <c r="E69" i="190"/>
  <c r="E20" i="190"/>
  <c r="E20" i="191" s="1"/>
  <c r="E48" i="190"/>
  <c r="E38" i="190"/>
  <c r="E46" i="190"/>
  <c r="E54" i="190"/>
  <c r="E62" i="190"/>
  <c r="E70" i="190"/>
  <c r="E39" i="190"/>
  <c r="E47" i="190"/>
  <c r="E55" i="190"/>
  <c r="E63" i="190"/>
  <c r="E71" i="190"/>
  <c r="E64" i="190"/>
  <c r="E50" i="190"/>
  <c r="E57" i="190"/>
  <c r="E58" i="190"/>
  <c r="E65" i="190"/>
  <c r="E15" i="190"/>
  <c r="E15" i="191" s="1"/>
  <c r="E66" i="190"/>
  <c r="E16" i="190"/>
  <c r="E16" i="191" s="1"/>
  <c r="E41" i="190"/>
  <c r="E17" i="190"/>
  <c r="E17" i="191" s="1"/>
  <c r="E42" i="190"/>
  <c r="E73" i="190"/>
  <c r="E49" i="190"/>
  <c r="E72" i="190"/>
  <c r="E13" i="190"/>
  <c r="E13" i="191" s="1"/>
  <c r="E6" i="190"/>
  <c r="E8" i="190"/>
  <c r="E9" i="190"/>
  <c r="E12" i="190"/>
  <c r="E12" i="191" s="1"/>
  <c r="E10" i="190"/>
  <c r="E10" i="191" s="1"/>
  <c r="E7" i="190"/>
  <c r="E11" i="190"/>
  <c r="E11" i="191" s="1"/>
  <c r="E14" i="190"/>
  <c r="E14" i="191" s="1"/>
  <c r="E6" i="188"/>
  <c r="E11" i="188"/>
  <c r="E11" i="189" s="1"/>
  <c r="E13" i="188"/>
  <c r="E13" i="189" s="1"/>
  <c r="E7" i="188"/>
  <c r="E14" i="188"/>
  <c r="E14" i="189" s="1"/>
  <c r="E10" i="188"/>
  <c r="E10" i="189" s="1"/>
  <c r="E12" i="188"/>
  <c r="E12" i="189" s="1"/>
  <c r="E9" i="188"/>
  <c r="E8" i="188"/>
  <c r="E15" i="188"/>
  <c r="E15" i="189" s="1"/>
  <c r="BH91" i="4"/>
  <c r="BI91" i="4" s="1"/>
  <c r="BI90" i="4"/>
  <c r="T28" i="70"/>
  <c r="U26" i="70"/>
  <c r="U25" i="70"/>
  <c r="U27" i="70"/>
  <c r="AB27" i="202"/>
  <c r="AB28" i="202"/>
  <c r="AB30" i="202"/>
  <c r="AC31" i="202"/>
  <c r="AC29" i="202"/>
  <c r="AC30" i="202"/>
  <c r="AB31" i="202"/>
  <c r="AB32" i="202"/>
  <c r="AB29" i="202"/>
  <c r="AB26" i="202"/>
  <c r="F49" i="190"/>
  <c r="F54" i="188"/>
  <c r="F45" i="188"/>
  <c r="F37" i="188"/>
  <c r="W13" i="70" a="1"/>
  <c r="F69" i="192"/>
  <c r="F57" i="190"/>
  <c r="F37" i="190"/>
  <c r="F74" i="188"/>
  <c r="F69" i="190"/>
  <c r="F36" i="188"/>
  <c r="F68" i="190"/>
  <c r="F52" i="190"/>
  <c r="F48" i="190"/>
  <c r="F62" i="190"/>
  <c r="F40" i="188"/>
  <c r="F70" i="190"/>
  <c r="F63" i="188"/>
  <c r="F43" i="188"/>
  <c r="F48" i="188"/>
  <c r="F65" i="190"/>
  <c r="F53" i="188"/>
  <c r="F70" i="192"/>
  <c r="F7" i="32"/>
  <c r="F57" i="188"/>
  <c r="F69" i="188"/>
  <c r="F6" i="32"/>
  <c r="F73" i="190"/>
  <c r="F59" i="190"/>
  <c r="F8" i="190"/>
  <c r="F53" i="190"/>
  <c r="F56" i="190"/>
  <c r="F73" i="188"/>
  <c r="F9" i="190"/>
  <c r="F43" i="190"/>
  <c r="F32" i="32"/>
  <c r="F39" i="188"/>
  <c r="F36" i="190"/>
  <c r="F50" i="188"/>
  <c r="F34" i="190"/>
  <c r="F64" i="190"/>
  <c r="F9" i="188"/>
  <c r="F55" i="188"/>
  <c r="F44" i="188"/>
  <c r="F42" i="190"/>
  <c r="F39" i="190"/>
  <c r="F35" i="190"/>
  <c r="F52" i="188"/>
  <c r="F54" i="190"/>
  <c r="F56" i="188"/>
  <c r="F61" i="190"/>
  <c r="F46" i="188"/>
  <c r="F47" i="190"/>
  <c r="F31" i="32"/>
  <c r="F63" i="190"/>
  <c r="F47" i="188"/>
  <c r="F41" i="190"/>
  <c r="F55" i="190"/>
  <c r="F72" i="190"/>
  <c r="F60" i="190"/>
  <c r="F71" i="188"/>
  <c r="F7" i="190"/>
  <c r="F44" i="190"/>
  <c r="F58" i="190"/>
  <c r="F61" i="188"/>
  <c r="F40" i="190"/>
  <c r="F6" i="188"/>
  <c r="F49" i="188"/>
  <c r="F41" i="188"/>
  <c r="F46" i="190"/>
  <c r="F33" i="32"/>
  <c r="F50" i="190"/>
  <c r="F8" i="32"/>
  <c r="F67" i="190"/>
  <c r="F38" i="190"/>
  <c r="F70" i="188"/>
  <c r="F38" i="188"/>
  <c r="F42" i="188"/>
  <c r="F60" i="188"/>
  <c r="F51" i="190"/>
  <c r="AA13" i="70" a="1"/>
  <c r="F45" i="190"/>
  <c r="F21" i="190"/>
  <c r="F68" i="188"/>
  <c r="F9" i="32"/>
  <c r="F35" i="188"/>
  <c r="F7" i="188"/>
  <c r="F59" i="188"/>
  <c r="F65" i="188"/>
  <c r="F8" i="188"/>
  <c r="F66" i="188"/>
  <c r="F58" i="188"/>
  <c r="F72" i="188"/>
  <c r="F64" i="188"/>
  <c r="F6" i="190"/>
  <c r="F71" i="190"/>
  <c r="V13" i="70" a="1"/>
  <c r="F66" i="190"/>
  <c r="F62" i="188"/>
  <c r="F51" i="188"/>
  <c r="F67" i="188"/>
  <c r="Y62" i="202" l="1"/>
  <c r="AB62" i="202"/>
  <c r="Y73" i="202"/>
  <c r="AB73" i="202"/>
  <c r="Y26" i="202"/>
  <c r="Y48" i="202"/>
  <c r="AB48" i="202"/>
  <c r="Y44" i="202"/>
  <c r="AB44" i="202"/>
  <c r="Y47" i="202"/>
  <c r="AB47" i="202"/>
  <c r="Y33" i="202"/>
  <c r="AB33" i="202"/>
  <c r="Y29" i="202"/>
  <c r="Y71" i="202"/>
  <c r="AB71" i="202"/>
  <c r="AE23" i="4" a="1"/>
  <c r="L17" i="43" a="1"/>
  <c r="BN13" i="202"/>
  <c r="BH13" i="202" a="1"/>
  <c r="Y15" i="202"/>
  <c r="Z15" i="202" s="1"/>
  <c r="AB15" i="202"/>
  <c r="Y70" i="202"/>
  <c r="AB70" i="202"/>
  <c r="Y40" i="202"/>
  <c r="AB40" i="202"/>
  <c r="Y56" i="202"/>
  <c r="AB56" i="202"/>
  <c r="Y60" i="202"/>
  <c r="AB60" i="202"/>
  <c r="Y59" i="202"/>
  <c r="AB59" i="202"/>
  <c r="Y65" i="202"/>
  <c r="AB65" i="202"/>
  <c r="Y61" i="202"/>
  <c r="AB61" i="202"/>
  <c r="Y32" i="202"/>
  <c r="Y55" i="202"/>
  <c r="AB55" i="202"/>
  <c r="Y18" i="202"/>
  <c r="AB18" i="202"/>
  <c r="AC34" i="202"/>
  <c r="Y20" i="202"/>
  <c r="AB20" i="202"/>
  <c r="Y31" i="202"/>
  <c r="Y54" i="202"/>
  <c r="AB54" i="202"/>
  <c r="Y17" i="202"/>
  <c r="AB17" i="202"/>
  <c r="Y46" i="202"/>
  <c r="AB46" i="202"/>
  <c r="Y76" i="202"/>
  <c r="AB76" i="202"/>
  <c r="X76" i="202"/>
  <c r="Y35" i="202"/>
  <c r="AB35" i="202"/>
  <c r="Y36" i="202"/>
  <c r="AB36" i="202"/>
  <c r="Y38" i="202"/>
  <c r="AB38" i="202"/>
  <c r="Y24" i="202"/>
  <c r="AB24" i="202"/>
  <c r="Y14" i="202"/>
  <c r="Z14" i="202" s="1"/>
  <c r="AB14" i="202"/>
  <c r="Y67" i="202"/>
  <c r="AB67" i="202"/>
  <c r="Y23" i="202"/>
  <c r="AB23" i="202"/>
  <c r="Y68" i="202"/>
  <c r="AB68" i="202"/>
  <c r="Y13" i="202"/>
  <c r="N17" i="43" a="1"/>
  <c r="AB13" i="202"/>
  <c r="X13" i="202"/>
  <c r="X14" i="202" s="1"/>
  <c r="X15" i="202" s="1"/>
  <c r="X16" i="202" s="1"/>
  <c r="X17" i="202" s="1"/>
  <c r="X18" i="202" s="1"/>
  <c r="X19" i="202" s="1"/>
  <c r="X20" i="202" s="1"/>
  <c r="X21" i="202" s="1"/>
  <c r="X22" i="202" s="1"/>
  <c r="X23" i="202" s="1"/>
  <c r="X24" i="202" s="1"/>
  <c r="X25" i="202" s="1"/>
  <c r="X26" i="202" s="1"/>
  <c r="X27" i="202" s="1"/>
  <c r="X28" i="202" s="1"/>
  <c r="X29" i="202" s="1"/>
  <c r="X30" i="202" s="1"/>
  <c r="X31" i="202" s="1"/>
  <c r="X32" i="202" s="1"/>
  <c r="X33" i="202" s="1"/>
  <c r="X34" i="202" s="1"/>
  <c r="X35" i="202" s="1"/>
  <c r="X36" i="202" s="1"/>
  <c r="X37" i="202" s="1"/>
  <c r="X38" i="202" s="1"/>
  <c r="X39" i="202" s="1"/>
  <c r="X40" i="202" s="1"/>
  <c r="X41" i="202" s="1"/>
  <c r="X42" i="202" s="1"/>
  <c r="X43" i="202" s="1"/>
  <c r="X44" i="202" s="1"/>
  <c r="X45" i="202" s="1"/>
  <c r="X46" i="202" s="1"/>
  <c r="X47" i="202" s="1"/>
  <c r="X48" i="202" s="1"/>
  <c r="X49" i="202" s="1"/>
  <c r="X50" i="202" s="1"/>
  <c r="X51" i="202" s="1"/>
  <c r="X52" i="202" s="1"/>
  <c r="X53" i="202" s="1"/>
  <c r="X54" i="202" s="1"/>
  <c r="X55" i="202" s="1"/>
  <c r="X56" i="202" s="1"/>
  <c r="X57" i="202" s="1"/>
  <c r="X58" i="202" s="1"/>
  <c r="X59" i="202" s="1"/>
  <c r="X60" i="202" s="1"/>
  <c r="X61" i="202" s="1"/>
  <c r="X62" i="202" s="1"/>
  <c r="X63" i="202" s="1"/>
  <c r="X64" i="202" s="1"/>
  <c r="X65" i="202" s="1"/>
  <c r="X66" i="202" s="1"/>
  <c r="X67" i="202" s="1"/>
  <c r="X68" i="202" s="1"/>
  <c r="X69" i="202" s="1"/>
  <c r="X70" i="202" s="1"/>
  <c r="X71" i="202" s="1"/>
  <c r="X72" i="202" s="1"/>
  <c r="X73" i="202" s="1"/>
  <c r="Y74" i="202"/>
  <c r="X74" i="202"/>
  <c r="AB74" i="202"/>
  <c r="Y64" i="202"/>
  <c r="AB64" i="202"/>
  <c r="Y69" i="202"/>
  <c r="AB69" i="202"/>
  <c r="Y25" i="202"/>
  <c r="AB25" i="202"/>
  <c r="Y72" i="202"/>
  <c r="AB72" i="202"/>
  <c r="Y43" i="202"/>
  <c r="AB43" i="202"/>
  <c r="Y51" i="202"/>
  <c r="AB51" i="202"/>
  <c r="Y52" i="202"/>
  <c r="AB52" i="202"/>
  <c r="Y58" i="202"/>
  <c r="AB58" i="202"/>
  <c r="Y57" i="202"/>
  <c r="AB57" i="202"/>
  <c r="Y16" i="202"/>
  <c r="Z16" i="202" s="1"/>
  <c r="AB16" i="202"/>
  <c r="Y49" i="202"/>
  <c r="AB49" i="202"/>
  <c r="Y34" i="202"/>
  <c r="AB34" i="202"/>
  <c r="Y37" i="202"/>
  <c r="AB37" i="202"/>
  <c r="Y30" i="202"/>
  <c r="Y66" i="202"/>
  <c r="AB66" i="202"/>
  <c r="Y41" i="202"/>
  <c r="AB41" i="202"/>
  <c r="Y45" i="202"/>
  <c r="AB45" i="202"/>
  <c r="Y53" i="202"/>
  <c r="AB53" i="202"/>
  <c r="Y22" i="202"/>
  <c r="AB22" i="202"/>
  <c r="Y19" i="202"/>
  <c r="AB19" i="202"/>
  <c r="Y28" i="202"/>
  <c r="AC33" i="202"/>
  <c r="BN16" i="202"/>
  <c r="Y63" i="202"/>
  <c r="AB63" i="202"/>
  <c r="Y42" i="202"/>
  <c r="AB42" i="202"/>
  <c r="Y21" i="202"/>
  <c r="AB21" i="202"/>
  <c r="Y77" i="202"/>
  <c r="AB77" i="202"/>
  <c r="X77" i="202"/>
  <c r="Y75" i="202"/>
  <c r="X75" i="202"/>
  <c r="AB75" i="202"/>
  <c r="Y27" i="202"/>
  <c r="Y78" i="202"/>
  <c r="X78" i="202"/>
  <c r="AB78" i="202"/>
  <c r="Y50" i="202"/>
  <c r="AB50" i="202"/>
  <c r="Y39" i="202"/>
  <c r="AB39" i="202"/>
  <c r="BN15" i="202"/>
  <c r="B912" i="242"/>
  <c r="A911" i="242"/>
  <c r="A2783" i="242"/>
  <c r="B2784" i="242"/>
  <c r="B1369" i="242"/>
  <c r="A1368" i="242"/>
  <c r="E59" i="187"/>
  <c r="E51" i="187"/>
  <c r="E67" i="187"/>
  <c r="E55" i="187"/>
  <c r="E63" i="187"/>
  <c r="E56" i="187"/>
  <c r="E70" i="187"/>
  <c r="E49" i="187"/>
  <c r="E65" i="187"/>
  <c r="E48" i="187"/>
  <c r="E50" i="187"/>
  <c r="E61" i="187"/>
  <c r="E47" i="187"/>
  <c r="E62" i="187"/>
  <c r="E57" i="187"/>
  <c r="E43" i="187"/>
  <c r="E53" i="187"/>
  <c r="E69" i="187"/>
  <c r="E58" i="187"/>
  <c r="E54" i="187"/>
  <c r="E52" i="187"/>
  <c r="E66" i="187"/>
  <c r="E60" i="187"/>
  <c r="F6" i="193"/>
  <c r="E8" i="189"/>
  <c r="E46" i="191"/>
  <c r="E40" i="191"/>
  <c r="E58" i="189"/>
  <c r="E49" i="189"/>
  <c r="E36" i="189"/>
  <c r="E66" i="191"/>
  <c r="E38" i="191"/>
  <c r="E21" i="191"/>
  <c r="E50" i="189"/>
  <c r="E70" i="189"/>
  <c r="E72" i="191"/>
  <c r="E55" i="191"/>
  <c r="E48" i="191"/>
  <c r="E68" i="191"/>
  <c r="E67" i="189"/>
  <c r="E42" i="189"/>
  <c r="E57" i="189"/>
  <c r="E62" i="189"/>
  <c r="E37" i="189"/>
  <c r="E6" i="193"/>
  <c r="E7" i="191"/>
  <c r="E65" i="191"/>
  <c r="E47" i="191"/>
  <c r="E60" i="191"/>
  <c r="E34" i="191"/>
  <c r="E65" i="189"/>
  <c r="E71" i="189"/>
  <c r="E54" i="189"/>
  <c r="E41" i="189"/>
  <c r="E39" i="191"/>
  <c r="E52" i="191"/>
  <c r="E51" i="189"/>
  <c r="E68" i="189"/>
  <c r="E6" i="189"/>
  <c r="E6" i="191"/>
  <c r="E71" i="191"/>
  <c r="E37" i="191"/>
  <c r="E35" i="191"/>
  <c r="E48" i="189"/>
  <c r="E53" i="189"/>
  <c r="E9" i="189"/>
  <c r="E63" i="191"/>
  <c r="E35" i="189"/>
  <c r="E40" i="189"/>
  <c r="E45" i="189"/>
  <c r="E49" i="191"/>
  <c r="E59" i="189"/>
  <c r="E73" i="191"/>
  <c r="E58" i="191"/>
  <c r="E69" i="191"/>
  <c r="E67" i="191"/>
  <c r="E73" i="189"/>
  <c r="E63" i="189"/>
  <c r="E46" i="189"/>
  <c r="E7" i="189"/>
  <c r="E42" i="191"/>
  <c r="E57" i="191"/>
  <c r="E70" i="191"/>
  <c r="E61" i="191"/>
  <c r="E44" i="191"/>
  <c r="E59" i="191"/>
  <c r="E43" i="189"/>
  <c r="E72" i="189"/>
  <c r="E55" i="189"/>
  <c r="E38" i="189"/>
  <c r="E60" i="189"/>
  <c r="E9" i="191"/>
  <c r="E50" i="191"/>
  <c r="E62" i="191"/>
  <c r="E53" i="191"/>
  <c r="E36" i="191"/>
  <c r="E51" i="191"/>
  <c r="E74" i="189"/>
  <c r="E64" i="189"/>
  <c r="E47" i="189"/>
  <c r="E69" i="189"/>
  <c r="E52" i="189"/>
  <c r="E8" i="191"/>
  <c r="E41" i="191"/>
  <c r="E64" i="191"/>
  <c r="E54" i="191"/>
  <c r="E45" i="191"/>
  <c r="E56" i="191"/>
  <c r="E43" i="191"/>
  <c r="E66" i="189"/>
  <c r="E56" i="189"/>
  <c r="E39" i="189"/>
  <c r="E61" i="189"/>
  <c r="E44" i="189"/>
  <c r="E8" i="187"/>
  <c r="E7" i="187"/>
  <c r="E6" i="187"/>
  <c r="E45" i="187"/>
  <c r="E41" i="187"/>
  <c r="E39" i="187"/>
  <c r="E9" i="187"/>
  <c r="E31" i="187"/>
  <c r="E42" i="187"/>
  <c r="E37" i="187"/>
  <c r="E46" i="187"/>
  <c r="E32" i="187"/>
  <c r="E38" i="187"/>
  <c r="E36" i="187"/>
  <c r="E40" i="187"/>
  <c r="E44" i="187"/>
  <c r="E35" i="187"/>
  <c r="E33" i="187"/>
  <c r="E34" i="187"/>
  <c r="V20" i="70"/>
  <c r="V13" i="70"/>
  <c r="V77" i="70"/>
  <c r="V70" i="70"/>
  <c r="V63" i="70"/>
  <c r="V64" i="70"/>
  <c r="V65" i="70"/>
  <c r="V66" i="70"/>
  <c r="V75" i="70"/>
  <c r="V36" i="70"/>
  <c r="V19" i="70"/>
  <c r="V44" i="70"/>
  <c r="V30" i="70"/>
  <c r="V23" i="70"/>
  <c r="V24" i="70"/>
  <c r="V25" i="70"/>
  <c r="V26" i="70"/>
  <c r="V27" i="70"/>
  <c r="V52" i="70"/>
  <c r="V31" i="70"/>
  <c r="V33" i="70"/>
  <c r="V35" i="70"/>
  <c r="V53" i="70"/>
  <c r="V61" i="70"/>
  <c r="V48" i="70"/>
  <c r="V50" i="70"/>
  <c r="V62" i="70"/>
  <c r="V58" i="70"/>
  <c r="V28" i="70"/>
  <c r="V21" i="70"/>
  <c r="V14" i="70"/>
  <c r="V78" i="70"/>
  <c r="V71" i="70"/>
  <c r="V72" i="70"/>
  <c r="V73" i="70"/>
  <c r="V74" i="70"/>
  <c r="V67" i="70"/>
  <c r="V17" i="70"/>
  <c r="V37" i="70"/>
  <c r="V45" i="70"/>
  <c r="V32" i="70"/>
  <c r="V34" i="70"/>
  <c r="V60" i="70"/>
  <c r="V39" i="70"/>
  <c r="V40" i="70"/>
  <c r="V41" i="70"/>
  <c r="V42" i="70"/>
  <c r="V43" i="70"/>
  <c r="V54" i="70"/>
  <c r="V51" i="70"/>
  <c r="V69" i="70"/>
  <c r="V56" i="70"/>
  <c r="V59" i="70"/>
  <c r="V29" i="70"/>
  <c r="V22" i="70"/>
  <c r="V15" i="70"/>
  <c r="V16" i="70"/>
  <c r="V18" i="70"/>
  <c r="V38" i="70"/>
  <c r="V46" i="70"/>
  <c r="V68" i="70"/>
  <c r="V47" i="70"/>
  <c r="V49" i="70"/>
  <c r="V76" i="70"/>
  <c r="V57" i="70"/>
  <c r="V55" i="70"/>
  <c r="AA13" i="70"/>
  <c r="AA77" i="70"/>
  <c r="AA78" i="70"/>
  <c r="AA23" i="70"/>
  <c r="AA24" i="70"/>
  <c r="AA41" i="70"/>
  <c r="AA66" i="70"/>
  <c r="AA67" i="70"/>
  <c r="AA68" i="70"/>
  <c r="AA71" i="70"/>
  <c r="AA21" i="70"/>
  <c r="AA22" i="70"/>
  <c r="AA25" i="70"/>
  <c r="AA31" i="70"/>
  <c r="AA32" i="70"/>
  <c r="AA65" i="70"/>
  <c r="AA74" i="70"/>
  <c r="AA75" i="70"/>
  <c r="AA76" i="70"/>
  <c r="AA14" i="70"/>
  <c r="AA72" i="70"/>
  <c r="AA29" i="70"/>
  <c r="AA30" i="70"/>
  <c r="AA33" i="70"/>
  <c r="AA39" i="70"/>
  <c r="AA40" i="70"/>
  <c r="AA18" i="70"/>
  <c r="AA19" i="70"/>
  <c r="AA20" i="70"/>
  <c r="AA51" i="70"/>
  <c r="AA37" i="70"/>
  <c r="AA38" i="70"/>
  <c r="AA49" i="70"/>
  <c r="AA47" i="70"/>
  <c r="AA48" i="70"/>
  <c r="AA26" i="70"/>
  <c r="AA27" i="70"/>
  <c r="AA28" i="70"/>
  <c r="AA45" i="70"/>
  <c r="AA46" i="70"/>
  <c r="AA57" i="70"/>
  <c r="AA55" i="70"/>
  <c r="AA56" i="70"/>
  <c r="AA34" i="70"/>
  <c r="AA35" i="70"/>
  <c r="AA36" i="70"/>
  <c r="AA62" i="70"/>
  <c r="AA52" i="70"/>
  <c r="AA53" i="70"/>
  <c r="AA54" i="70"/>
  <c r="AA73" i="70"/>
  <c r="AA63" i="70"/>
  <c r="AA64" i="70"/>
  <c r="AA42" i="70"/>
  <c r="AA43" i="70"/>
  <c r="AA44" i="70"/>
  <c r="AA61" i="70"/>
  <c r="AA69" i="70"/>
  <c r="AA70" i="70"/>
  <c r="AA15" i="70"/>
  <c r="AA16" i="70"/>
  <c r="AA17" i="70"/>
  <c r="AA58" i="70"/>
  <c r="AA59" i="70"/>
  <c r="AA60" i="70"/>
  <c r="AA50" i="70"/>
  <c r="W68" i="70"/>
  <c r="W33" i="70"/>
  <c r="W27" i="70"/>
  <c r="W28" i="70"/>
  <c r="W31" i="70"/>
  <c r="W22" i="70"/>
  <c r="W67" i="70"/>
  <c r="W14" i="70"/>
  <c r="W58" i="70"/>
  <c r="W69" i="70"/>
  <c r="W15" i="70"/>
  <c r="W18" i="70"/>
  <c r="W30" i="70"/>
  <c r="W20" i="70"/>
  <c r="W74" i="70"/>
  <c r="W75" i="70"/>
  <c r="W57" i="70"/>
  <c r="W72" i="70"/>
  <c r="W61" i="70"/>
  <c r="W17" i="70"/>
  <c r="W19" i="70"/>
  <c r="W73" i="70"/>
  <c r="W64" i="70"/>
  <c r="W65" i="70"/>
  <c r="W47" i="70"/>
  <c r="W62" i="70"/>
  <c r="W63" i="70"/>
  <c r="W46" i="70"/>
  <c r="W70" i="70"/>
  <c r="W60" i="70"/>
  <c r="W51" i="70"/>
  <c r="W55" i="70"/>
  <c r="W36" i="70"/>
  <c r="W59" i="70"/>
  <c r="W52" i="70"/>
  <c r="W53" i="70"/>
  <c r="W45" i="70"/>
  <c r="W37" i="70"/>
  <c r="W66" i="70"/>
  <c r="W42" i="70"/>
  <c r="W77" i="70"/>
  <c r="W24" i="70"/>
  <c r="W49" i="70"/>
  <c r="W50" i="70"/>
  <c r="W54" i="70"/>
  <c r="W44" i="70"/>
  <c r="W35" i="70"/>
  <c r="W29" i="70"/>
  <c r="W78" i="70"/>
  <c r="W13" i="70"/>
  <c r="W21" i="70"/>
  <c r="W48" i="70"/>
  <c r="W40" i="70"/>
  <c r="W43" i="70"/>
  <c r="W34" i="70"/>
  <c r="W25" i="70"/>
  <c r="W26" i="70"/>
  <c r="W56" i="70"/>
  <c r="W71" i="70"/>
  <c r="W76" i="70"/>
  <c r="W38" i="70"/>
  <c r="W39" i="70"/>
  <c r="W41" i="70"/>
  <c r="W32" i="70"/>
  <c r="W23" i="70"/>
  <c r="W16" i="70"/>
  <c r="Z34" i="202" l="1"/>
  <c r="BI34" i="202"/>
  <c r="Z77" i="202"/>
  <c r="BI77" i="202"/>
  <c r="BI43" i="202"/>
  <c r="Z43" i="202"/>
  <c r="BI75" i="202"/>
  <c r="Z75" i="202"/>
  <c r="BI22" i="202"/>
  <c r="Z22" i="202"/>
  <c r="Z54" i="202"/>
  <c r="BI54" i="202"/>
  <c r="BI63" i="202"/>
  <c r="Z63" i="202"/>
  <c r="Z37" i="202"/>
  <c r="BI37" i="202"/>
  <c r="N41" i="43"/>
  <c r="I41" i="43" s="1"/>
  <c r="N63" i="43"/>
  <c r="I63" i="43" s="1"/>
  <c r="N21" i="43"/>
  <c r="N65" i="43"/>
  <c r="I65" i="43" s="1"/>
  <c r="N61" i="43"/>
  <c r="I61" i="43" s="1"/>
  <c r="N48" i="43"/>
  <c r="I48" i="43" s="1"/>
  <c r="N56" i="43"/>
  <c r="I56" i="43" s="1"/>
  <c r="N34" i="43"/>
  <c r="N45" i="43"/>
  <c r="I45" i="43" s="1"/>
  <c r="N32" i="43"/>
  <c r="N43" i="43"/>
  <c r="I43" i="43" s="1"/>
  <c r="N42" i="43"/>
  <c r="I42" i="43" s="1"/>
  <c r="N30" i="43"/>
  <c r="N18" i="43"/>
  <c r="N73" i="43"/>
  <c r="I73" i="43" s="1"/>
  <c r="N77" i="43"/>
  <c r="N71" i="43"/>
  <c r="I71" i="43" s="1"/>
  <c r="N55" i="43"/>
  <c r="I55" i="43" s="1"/>
  <c r="N52" i="43"/>
  <c r="I52" i="43" s="1"/>
  <c r="N74" i="43"/>
  <c r="I74" i="43" s="1"/>
  <c r="N35" i="43"/>
  <c r="N26" i="43"/>
  <c r="N68" i="43"/>
  <c r="I68" i="43" s="1"/>
  <c r="N29" i="43"/>
  <c r="N67" i="43"/>
  <c r="I67" i="43" s="1"/>
  <c r="N40" i="43"/>
  <c r="I40" i="43" s="1"/>
  <c r="N24" i="43"/>
  <c r="N22" i="43"/>
  <c r="N39" i="43"/>
  <c r="I39" i="43" s="1"/>
  <c r="N64" i="43"/>
  <c r="I64" i="43" s="1"/>
  <c r="N38" i="43"/>
  <c r="I38" i="43" s="1"/>
  <c r="N51" i="43"/>
  <c r="I51" i="43" s="1"/>
  <c r="N33" i="43"/>
  <c r="N59" i="43"/>
  <c r="I59" i="43" s="1"/>
  <c r="N53" i="43"/>
  <c r="I53" i="43" s="1"/>
  <c r="N62" i="43"/>
  <c r="I62" i="43" s="1"/>
  <c r="N57" i="43"/>
  <c r="I57" i="43" s="1"/>
  <c r="N20" i="43"/>
  <c r="N58" i="43"/>
  <c r="I58" i="43" s="1"/>
  <c r="N28" i="43"/>
  <c r="N60" i="43"/>
  <c r="I60" i="43" s="1"/>
  <c r="N50" i="43"/>
  <c r="I50" i="43" s="1"/>
  <c r="N27" i="43"/>
  <c r="N36" i="43"/>
  <c r="N19" i="43"/>
  <c r="N17" i="43"/>
  <c r="N23" i="43"/>
  <c r="N47" i="43"/>
  <c r="I47" i="43" s="1"/>
  <c r="N31" i="43"/>
  <c r="N76" i="43"/>
  <c r="I76" i="43" s="1"/>
  <c r="N69" i="43"/>
  <c r="I69" i="43" s="1"/>
  <c r="N49" i="43"/>
  <c r="I49" i="43" s="1"/>
  <c r="N70" i="43"/>
  <c r="I70" i="43" s="1"/>
  <c r="N25" i="43"/>
  <c r="N46" i="43"/>
  <c r="I46" i="43" s="1"/>
  <c r="N44" i="43"/>
  <c r="I44" i="43" s="1"/>
  <c r="N54" i="43"/>
  <c r="I54" i="43" s="1"/>
  <c r="N72" i="43"/>
  <c r="I72" i="43" s="1"/>
  <c r="N37" i="43"/>
  <c r="I37" i="43" s="1"/>
  <c r="N66" i="43"/>
  <c r="I66" i="43" s="1"/>
  <c r="N75" i="43"/>
  <c r="I75" i="43" s="1"/>
  <c r="Z24" i="202"/>
  <c r="BI24" i="202"/>
  <c r="BI76" i="202"/>
  <c r="Z76" i="202"/>
  <c r="BI31" i="202"/>
  <c r="Z31" i="202"/>
  <c r="BI44" i="202"/>
  <c r="Z44" i="202"/>
  <c r="BI39" i="202"/>
  <c r="Z39" i="202"/>
  <c r="Z53" i="202"/>
  <c r="BI53" i="202"/>
  <c r="BI61" i="202"/>
  <c r="Z61" i="202"/>
  <c r="Z56" i="202"/>
  <c r="BI56" i="202"/>
  <c r="Z57" i="202"/>
  <c r="BI57" i="202"/>
  <c r="Z38" i="202"/>
  <c r="BI38" i="202"/>
  <c r="Z50" i="202"/>
  <c r="BI50" i="202"/>
  <c r="BI72" i="202"/>
  <c r="Z72" i="202"/>
  <c r="BI58" i="202"/>
  <c r="Z58" i="202"/>
  <c r="Z68" i="202"/>
  <c r="BI68" i="202"/>
  <c r="BI36" i="202"/>
  <c r="Z36" i="202"/>
  <c r="Z21" i="202"/>
  <c r="BI21" i="202"/>
  <c r="Z64" i="202"/>
  <c r="BI64" i="202"/>
  <c r="Z70" i="202"/>
  <c r="BI70" i="202"/>
  <c r="Z71" i="202"/>
  <c r="BI71" i="202"/>
  <c r="BI26" i="202"/>
  <c r="Z26" i="202"/>
  <c r="Z78" i="202"/>
  <c r="BI78" i="202"/>
  <c r="Z52" i="202"/>
  <c r="BI52" i="202"/>
  <c r="Z23" i="202"/>
  <c r="BI23" i="202"/>
  <c r="BI29" i="202"/>
  <c r="Z29" i="202"/>
  <c r="Z42" i="202"/>
  <c r="BI42" i="202"/>
  <c r="Z28" i="202"/>
  <c r="BI28" i="202"/>
  <c r="Z41" i="202"/>
  <c r="BI41" i="202"/>
  <c r="Z25" i="202"/>
  <c r="BI25" i="202"/>
  <c r="BI46" i="202"/>
  <c r="Z46" i="202"/>
  <c r="Z18" i="202"/>
  <c r="BI18" i="202"/>
  <c r="BI73" i="202"/>
  <c r="Z73" i="202"/>
  <c r="Z20" i="202"/>
  <c r="BI20" i="202"/>
  <c r="BI74" i="202"/>
  <c r="Z74" i="202"/>
  <c r="Z67" i="202"/>
  <c r="BI67" i="202"/>
  <c r="BH65" i="202"/>
  <c r="BH48" i="202"/>
  <c r="BH28" i="202"/>
  <c r="BH29" i="202"/>
  <c r="BH26" i="202"/>
  <c r="BH45" i="202"/>
  <c r="BH59" i="202"/>
  <c r="BH58" i="202"/>
  <c r="BH57" i="202"/>
  <c r="BH32" i="202"/>
  <c r="BH74" i="202"/>
  <c r="BH19" i="202"/>
  <c r="BH78" i="202"/>
  <c r="BH14" i="202"/>
  <c r="BH49" i="202"/>
  <c r="BH16" i="202"/>
  <c r="BH52" i="202"/>
  <c r="BH70" i="202"/>
  <c r="BH77" i="202"/>
  <c r="BH44" i="202"/>
  <c r="BH41" i="202"/>
  <c r="BH75" i="202"/>
  <c r="BH60" i="202"/>
  <c r="BH22" i="202"/>
  <c r="BH67" i="202"/>
  <c r="BH13" i="202"/>
  <c r="BH43" i="202"/>
  <c r="BH37" i="202"/>
  <c r="BH34" i="202"/>
  <c r="BH69" i="202"/>
  <c r="BH68" i="202"/>
  <c r="BH53" i="202"/>
  <c r="BH38" i="202"/>
  <c r="BH20" i="202"/>
  <c r="BH25" i="202"/>
  <c r="BH17" i="202"/>
  <c r="BH18" i="202"/>
  <c r="BH33" i="202"/>
  <c r="BH63" i="202"/>
  <c r="BH50" i="202"/>
  <c r="BH56" i="202"/>
  <c r="BH62" i="202"/>
  <c r="BH61" i="202"/>
  <c r="BH66" i="202"/>
  <c r="BH23" i="202"/>
  <c r="BH40" i="202"/>
  <c r="BH42" i="202"/>
  <c r="BH51" i="202"/>
  <c r="BH35" i="202"/>
  <c r="BH46" i="202"/>
  <c r="BH27" i="202"/>
  <c r="BH36" i="202"/>
  <c r="BH30" i="202"/>
  <c r="BH71" i="202"/>
  <c r="BH39" i="202"/>
  <c r="BH72" i="202"/>
  <c r="BH21" i="202"/>
  <c r="BH73" i="202"/>
  <c r="BH55" i="202"/>
  <c r="BH64" i="202"/>
  <c r="BH15" i="202"/>
  <c r="BH47" i="202"/>
  <c r="BH54" i="202"/>
  <c r="BH24" i="202"/>
  <c r="BH76" i="202"/>
  <c r="BH31" i="202"/>
  <c r="BI33" i="202"/>
  <c r="Z33" i="202"/>
  <c r="B23" i="4" a="1"/>
  <c r="Z13" i="202"/>
  <c r="Z48" i="202"/>
  <c r="BI48" i="202"/>
  <c r="BI40" i="202"/>
  <c r="Z40" i="202"/>
  <c r="Z27" i="202"/>
  <c r="BI27" i="202"/>
  <c r="BI51" i="202"/>
  <c r="Z51" i="202"/>
  <c r="BI35" i="202"/>
  <c r="Z35" i="202"/>
  <c r="BI19" i="202"/>
  <c r="Z19" i="202"/>
  <c r="BI66" i="202"/>
  <c r="Z66" i="202"/>
  <c r="BI17" i="202"/>
  <c r="Z17" i="202"/>
  <c r="BI55" i="202"/>
  <c r="Z55" i="202"/>
  <c r="Z59" i="202"/>
  <c r="BI59" i="202"/>
  <c r="BI65" i="202"/>
  <c r="Z65" i="202"/>
  <c r="BI69" i="202"/>
  <c r="Z69" i="202"/>
  <c r="Z32" i="202"/>
  <c r="BI32" i="202"/>
  <c r="L27" i="43"/>
  <c r="H27" i="43" s="1"/>
  <c r="L50" i="43"/>
  <c r="H50" i="43" s="1"/>
  <c r="L55" i="43"/>
  <c r="H55" i="43" s="1"/>
  <c r="L77" i="43"/>
  <c r="L20" i="43"/>
  <c r="H20" i="43" s="1"/>
  <c r="L70" i="43"/>
  <c r="H70" i="43" s="1"/>
  <c r="L47" i="43"/>
  <c r="H47" i="43" s="1"/>
  <c r="L23" i="43"/>
  <c r="H23" i="43" s="1"/>
  <c r="L63" i="43"/>
  <c r="H63" i="43" s="1"/>
  <c r="L18" i="43"/>
  <c r="H18" i="43" s="1"/>
  <c r="L24" i="43"/>
  <c r="H24" i="43" s="1"/>
  <c r="L22" i="43"/>
  <c r="H22" i="43" s="1"/>
  <c r="L26" i="43"/>
  <c r="H26" i="43" s="1"/>
  <c r="L38" i="43"/>
  <c r="H38" i="43" s="1"/>
  <c r="L42" i="43"/>
  <c r="H42" i="43" s="1"/>
  <c r="L44" i="43"/>
  <c r="H44" i="43" s="1"/>
  <c r="L57" i="43"/>
  <c r="H57" i="43" s="1"/>
  <c r="L52" i="43"/>
  <c r="H52" i="43" s="1"/>
  <c r="L43" i="43"/>
  <c r="L39" i="43"/>
  <c r="L48" i="43"/>
  <c r="H48" i="43" s="1"/>
  <c r="L34" i="43"/>
  <c r="H34" i="43" s="1"/>
  <c r="L59" i="43"/>
  <c r="H59" i="43" s="1"/>
  <c r="L73" i="43"/>
  <c r="H73" i="43" s="1"/>
  <c r="L28" i="43"/>
  <c r="H28" i="43" s="1"/>
  <c r="L35" i="43"/>
  <c r="H35" i="43" s="1"/>
  <c r="L75" i="43"/>
  <c r="H75" i="43" s="1"/>
  <c r="L33" i="43"/>
  <c r="H33" i="43" s="1"/>
  <c r="L49" i="43"/>
  <c r="H49" i="43" s="1"/>
  <c r="L41" i="43"/>
  <c r="H41" i="43" s="1"/>
  <c r="L45" i="43"/>
  <c r="H45" i="43" s="1"/>
  <c r="L30" i="43"/>
  <c r="H30" i="43" s="1"/>
  <c r="L68" i="43"/>
  <c r="H68" i="43" s="1"/>
  <c r="L31" i="43"/>
  <c r="H31" i="43" s="1"/>
  <c r="L37" i="43"/>
  <c r="H37" i="43" s="1"/>
  <c r="L58" i="43"/>
  <c r="H58" i="43" s="1"/>
  <c r="L64" i="43"/>
  <c r="H64" i="43" s="1"/>
  <c r="L32" i="43"/>
  <c r="H32" i="43" s="1"/>
  <c r="L65" i="43"/>
  <c r="H65" i="43" s="1"/>
  <c r="L66" i="43"/>
  <c r="H66" i="43" s="1"/>
  <c r="L29" i="43"/>
  <c r="H29" i="43" s="1"/>
  <c r="L72" i="43"/>
  <c r="H72" i="43" s="1"/>
  <c r="L53" i="43"/>
  <c r="H53" i="43" s="1"/>
  <c r="L56" i="43"/>
  <c r="H56" i="43" s="1"/>
  <c r="L61" i="43"/>
  <c r="H61" i="43" s="1"/>
  <c r="L71" i="43"/>
  <c r="H71" i="43" s="1"/>
  <c r="L62" i="43"/>
  <c r="H62" i="43" s="1"/>
  <c r="L54" i="43"/>
  <c r="H54" i="43" s="1"/>
  <c r="L19" i="43"/>
  <c r="H19" i="43" s="1"/>
  <c r="L46" i="43"/>
  <c r="H46" i="43" s="1"/>
  <c r="L17" i="43"/>
  <c r="H17" i="43" s="1"/>
  <c r="L67" i="43"/>
  <c r="H67" i="43" s="1"/>
  <c r="L36" i="43"/>
  <c r="H36" i="43" s="1"/>
  <c r="L40" i="43"/>
  <c r="H40" i="43" s="1"/>
  <c r="L21" i="43"/>
  <c r="H21" i="43" s="1"/>
  <c r="L25" i="43"/>
  <c r="H25" i="43" s="1"/>
  <c r="L69" i="43"/>
  <c r="H69" i="43" s="1"/>
  <c r="L74" i="43"/>
  <c r="H74" i="43" s="1"/>
  <c r="L76" i="43"/>
  <c r="H76" i="43" s="1"/>
  <c r="L51" i="43"/>
  <c r="H51" i="43" s="1"/>
  <c r="L60" i="43"/>
  <c r="H60" i="43" s="1"/>
  <c r="BI47" i="202"/>
  <c r="Z47" i="202"/>
  <c r="Z45" i="202"/>
  <c r="BI45" i="202"/>
  <c r="BI49" i="202"/>
  <c r="Z49" i="202"/>
  <c r="Z30" i="202"/>
  <c r="BI30" i="202"/>
  <c r="Z60" i="202"/>
  <c r="BI60" i="202"/>
  <c r="AE51" i="4"/>
  <c r="AE64" i="4"/>
  <c r="AE31" i="4"/>
  <c r="AE66" i="4"/>
  <c r="AE23" i="4"/>
  <c r="AE63" i="4"/>
  <c r="AE76" i="4"/>
  <c r="AE43" i="4"/>
  <c r="AE78" i="4"/>
  <c r="AE35" i="4"/>
  <c r="AE68" i="4"/>
  <c r="AE75" i="4"/>
  <c r="AE37" i="4"/>
  <c r="AE55" i="4"/>
  <c r="AE62" i="4"/>
  <c r="AE47" i="4"/>
  <c r="AE58" i="4"/>
  <c r="AE24" i="4"/>
  <c r="AE81" i="4"/>
  <c r="AE26" i="4"/>
  <c r="AE67" i="4"/>
  <c r="AE32" i="4"/>
  <c r="AE59" i="4"/>
  <c r="AE50" i="4"/>
  <c r="AE83" i="4"/>
  <c r="AE74" i="4"/>
  <c r="AE49" i="4"/>
  <c r="AE34" i="4"/>
  <c r="AE38" i="4"/>
  <c r="AE79" i="4"/>
  <c r="AE44" i="4"/>
  <c r="AE71" i="4"/>
  <c r="AE46" i="4"/>
  <c r="AE25" i="4"/>
  <c r="AE56" i="4"/>
  <c r="AE28" i="4"/>
  <c r="AE53" i="4"/>
  <c r="AE30" i="4"/>
  <c r="AE45" i="4"/>
  <c r="AE60" i="4"/>
  <c r="AE27" i="4"/>
  <c r="AE40" i="4"/>
  <c r="AE65" i="4"/>
  <c r="AE42" i="4"/>
  <c r="AE57" i="4"/>
  <c r="AE72" i="4"/>
  <c r="AE39" i="4"/>
  <c r="AE52" i="4"/>
  <c r="AE77" i="4"/>
  <c r="AE70" i="4"/>
  <c r="AE82" i="4"/>
  <c r="AE29" i="4"/>
  <c r="AE33" i="4"/>
  <c r="AE41" i="4"/>
  <c r="AE61" i="4"/>
  <c r="AE73" i="4"/>
  <c r="AE54" i="4"/>
  <c r="AE80" i="4"/>
  <c r="AE69" i="4"/>
  <c r="AE36" i="4"/>
  <c r="AE48" i="4"/>
  <c r="Z62" i="202"/>
  <c r="BI62" i="202"/>
  <c r="A1369" i="242"/>
  <c r="B1370" i="242"/>
  <c r="A2784" i="242"/>
  <c r="B2785" i="242"/>
  <c r="A912" i="242"/>
  <c r="B913" i="242"/>
  <c r="C17" i="69" a="1"/>
  <c r="C46" i="69" s="1"/>
  <c r="BD13" i="70" a="1"/>
  <c r="BD49" i="70" s="1"/>
  <c r="AV13" i="70" a="1"/>
  <c r="AV56" i="70" s="1"/>
  <c r="AN13" i="70" a="1"/>
  <c r="AN63" i="70" s="1"/>
  <c r="BM13" i="70" a="1"/>
  <c r="BM65" i="70" s="1"/>
  <c r="AE13" i="70" a="1"/>
  <c r="AE64" i="70" s="1"/>
  <c r="Q17" i="69" a="1"/>
  <c r="Q71" i="69" s="1"/>
  <c r="K17" i="69" a="1"/>
  <c r="K44" i="69" s="1"/>
  <c r="AG17" i="69" a="1"/>
  <c r="AG48" i="69" s="1"/>
  <c r="AP17" i="69" a="1"/>
  <c r="AP35" i="69" s="1"/>
  <c r="A17" i="69" a="1"/>
  <c r="A44" i="69" s="1"/>
  <c r="AB17" i="69" a="1"/>
  <c r="AB63" i="69" s="1"/>
  <c r="V17" i="69" a="1"/>
  <c r="V50" i="69" s="1"/>
  <c r="C36" i="69"/>
  <c r="C67" i="69"/>
  <c r="I9" i="204" a="1"/>
  <c r="I50" i="204" s="1"/>
  <c r="I9" i="203" a="1"/>
  <c r="I46" i="203" s="1"/>
  <c r="G9" i="203" a="1"/>
  <c r="G37" i="203" s="1"/>
  <c r="AM96" i="4" a="1"/>
  <c r="AM103" i="4" s="1"/>
  <c r="AE96" i="4" a="1"/>
  <c r="AE113" i="4" s="1"/>
  <c r="G9" i="204" a="1"/>
  <c r="G39" i="204" s="1"/>
  <c r="W96" i="4" a="1"/>
  <c r="W129" i="4" s="1"/>
  <c r="M96" i="4" a="1"/>
  <c r="M129" i="4" s="1"/>
  <c r="C96" i="4" a="1"/>
  <c r="C149" i="4" s="1"/>
  <c r="BS67" i="70"/>
  <c r="BS66" i="70"/>
  <c r="BS13" i="70"/>
  <c r="BS15" i="70"/>
  <c r="BS14" i="70"/>
  <c r="Q91" i="69"/>
  <c r="R97" i="69" s="1"/>
  <c r="R91" i="69"/>
  <c r="BN96" i="4" a="1"/>
  <c r="BN146" i="4" s="1"/>
  <c r="Y39" i="70"/>
  <c r="AB39" i="70"/>
  <c r="Y44" i="70"/>
  <c r="AB44" i="70"/>
  <c r="Y60" i="70"/>
  <c r="AB60" i="70"/>
  <c r="AT13" i="70"/>
  <c r="BJ13" i="70"/>
  <c r="BB13" i="70"/>
  <c r="Y19" i="70"/>
  <c r="AB19" i="70"/>
  <c r="Y31" i="70"/>
  <c r="AB76" i="70"/>
  <c r="Y76" i="70"/>
  <c r="X76" i="70"/>
  <c r="AB18" i="70"/>
  <c r="Y18" i="70"/>
  <c r="Y28" i="70"/>
  <c r="AB22" i="70"/>
  <c r="Y22" i="70"/>
  <c r="AB49" i="70"/>
  <c r="Y49" i="70"/>
  <c r="AT15" i="70"/>
  <c r="BB15" i="70"/>
  <c r="BJ15" i="70"/>
  <c r="AB54" i="70"/>
  <c r="Y54" i="70"/>
  <c r="Y70" i="70"/>
  <c r="AB70" i="70"/>
  <c r="Y17" i="70"/>
  <c r="AB17" i="70"/>
  <c r="Y59" i="70"/>
  <c r="AB59" i="70"/>
  <c r="AB72" i="70"/>
  <c r="Y72" i="70"/>
  <c r="Y69" i="70"/>
  <c r="AB69" i="70"/>
  <c r="Y33" i="70"/>
  <c r="BB66" i="70"/>
  <c r="BJ66" i="70"/>
  <c r="AK66" i="70"/>
  <c r="AT66" i="70"/>
  <c r="AB37" i="70"/>
  <c r="Y37" i="70"/>
  <c r="Y38" i="70"/>
  <c r="AB38" i="70"/>
  <c r="AB45" i="70"/>
  <c r="Y45" i="70"/>
  <c r="Y50" i="70"/>
  <c r="AB50" i="70"/>
  <c r="Y46" i="70"/>
  <c r="AB46" i="70"/>
  <c r="Y71" i="70"/>
  <c r="AB71" i="70"/>
  <c r="AB21" i="70"/>
  <c r="Y21" i="70"/>
  <c r="AB52" i="70"/>
  <c r="Y52" i="70"/>
  <c r="AB61" i="70"/>
  <c r="Y61" i="70"/>
  <c r="Y15" i="70"/>
  <c r="AB15" i="70"/>
  <c r="Y27" i="70"/>
  <c r="AB56" i="70"/>
  <c r="Y56" i="70"/>
  <c r="Y13" i="70"/>
  <c r="X13" i="70"/>
  <c r="X14" i="70" s="1"/>
  <c r="X15" i="70" s="1"/>
  <c r="X16" i="70" s="1"/>
  <c r="X17" i="70" s="1"/>
  <c r="X18" i="70" s="1"/>
  <c r="X19" i="70" s="1"/>
  <c r="X20" i="70" s="1"/>
  <c r="X21" i="70" s="1"/>
  <c r="X22" i="70" s="1"/>
  <c r="X23" i="70" s="1"/>
  <c r="X24" i="70" s="1"/>
  <c r="X25" i="70" s="1"/>
  <c r="X26" i="70" s="1"/>
  <c r="X27" i="70" s="1"/>
  <c r="X28" i="70" s="1"/>
  <c r="X29" i="70" s="1"/>
  <c r="X30" i="70" s="1"/>
  <c r="X31" i="70" s="1"/>
  <c r="X32" i="70" s="1"/>
  <c r="X33" i="70" s="1"/>
  <c r="X34" i="70" s="1"/>
  <c r="X35" i="70" s="1"/>
  <c r="X36" i="70" s="1"/>
  <c r="X37" i="70" s="1"/>
  <c r="X38" i="70" s="1"/>
  <c r="X39" i="70" s="1"/>
  <c r="X40" i="70" s="1"/>
  <c r="X41" i="70" s="1"/>
  <c r="X42" i="70" s="1"/>
  <c r="X43" i="70" s="1"/>
  <c r="X44" i="70" s="1"/>
  <c r="X45" i="70" s="1"/>
  <c r="X46" i="70" s="1"/>
  <c r="X47" i="70" s="1"/>
  <c r="X48" i="70" s="1"/>
  <c r="X49" i="70" s="1"/>
  <c r="X50" i="70" s="1"/>
  <c r="X51" i="70" s="1"/>
  <c r="X52" i="70" s="1"/>
  <c r="X53" i="70" s="1"/>
  <c r="X54" i="70" s="1"/>
  <c r="X55" i="70" s="1"/>
  <c r="X56" i="70" s="1"/>
  <c r="X57" i="70" s="1"/>
  <c r="X58" i="70" s="1"/>
  <c r="X59" i="70" s="1"/>
  <c r="X60" i="70" s="1"/>
  <c r="X61" i="70" s="1"/>
  <c r="X62" i="70" s="1"/>
  <c r="X63" i="70" s="1"/>
  <c r="X64" i="70" s="1"/>
  <c r="X65" i="70" s="1"/>
  <c r="X66" i="70" s="1"/>
  <c r="X67" i="70" s="1"/>
  <c r="X68" i="70" s="1"/>
  <c r="X69" i="70" s="1"/>
  <c r="X70" i="70" s="1"/>
  <c r="X71" i="70" s="1"/>
  <c r="X72" i="70" s="1"/>
  <c r="X73" i="70" s="1"/>
  <c r="AB13" i="70"/>
  <c r="Y26" i="70"/>
  <c r="AB77" i="70"/>
  <c r="X77" i="70"/>
  <c r="Y77" i="70"/>
  <c r="Y36" i="70"/>
  <c r="AB36" i="70"/>
  <c r="Y47" i="70"/>
  <c r="AB47" i="70"/>
  <c r="Y57" i="70"/>
  <c r="AB57" i="70"/>
  <c r="Y58" i="70"/>
  <c r="AB58" i="70"/>
  <c r="AB68" i="70"/>
  <c r="Y68" i="70"/>
  <c r="AB73" i="70"/>
  <c r="Y73" i="70"/>
  <c r="Y42" i="70"/>
  <c r="AB42" i="70"/>
  <c r="Y55" i="70"/>
  <c r="AB55" i="70"/>
  <c r="AB65" i="70"/>
  <c r="Y65" i="70"/>
  <c r="Y75" i="70"/>
  <c r="AB75" i="70"/>
  <c r="X75" i="70"/>
  <c r="AB14" i="70"/>
  <c r="Y14" i="70"/>
  <c r="Y43" i="70"/>
  <c r="AB43" i="70"/>
  <c r="Y20" i="70"/>
  <c r="AB20" i="70"/>
  <c r="AB40" i="70"/>
  <c r="Y40" i="70"/>
  <c r="Y30" i="70"/>
  <c r="AB48" i="70"/>
  <c r="Y48" i="70"/>
  <c r="Y53" i="70"/>
  <c r="AB53" i="70"/>
  <c r="Y63" i="70"/>
  <c r="AB63" i="70"/>
  <c r="AB16" i="70"/>
  <c r="Y16" i="70"/>
  <c r="AB24" i="70"/>
  <c r="Y24" i="70"/>
  <c r="Y62" i="70"/>
  <c r="AB62" i="70"/>
  <c r="Y23" i="70"/>
  <c r="AB23" i="70"/>
  <c r="Y78" i="70"/>
  <c r="X78" i="70"/>
  <c r="AB78" i="70"/>
  <c r="Y32" i="70"/>
  <c r="AB25" i="70"/>
  <c r="Y25" i="70"/>
  <c r="Y29" i="70"/>
  <c r="Y41" i="70"/>
  <c r="AB41" i="70"/>
  <c r="Y34" i="70"/>
  <c r="AB35" i="70"/>
  <c r="Y35" i="70"/>
  <c r="Y66" i="70"/>
  <c r="AB66" i="70"/>
  <c r="Y51" i="70"/>
  <c r="AB51" i="70"/>
  <c r="Y64" i="70"/>
  <c r="AB64" i="70"/>
  <c r="AB74" i="70"/>
  <c r="Y74" i="70"/>
  <c r="X74" i="70"/>
  <c r="AB67" i="70"/>
  <c r="Y67" i="70"/>
  <c r="BJ67" i="70"/>
  <c r="BB67" i="70"/>
  <c r="AT67" i="70"/>
  <c r="AK67" i="70"/>
  <c r="AT14" i="70"/>
  <c r="BJ14" i="70"/>
  <c r="BB14" i="70"/>
  <c r="F97" i="69"/>
  <c r="M97" i="69" s="1"/>
  <c r="F109" i="69"/>
  <c r="M109" i="69" s="1"/>
  <c r="F106" i="69"/>
  <c r="M106" i="69" s="1"/>
  <c r="F95" i="69"/>
  <c r="M95" i="69" s="1"/>
  <c r="F107" i="69"/>
  <c r="M107" i="69" s="1"/>
  <c r="F102" i="69"/>
  <c r="M102" i="69" s="1"/>
  <c r="F108" i="69"/>
  <c r="M108" i="69" s="1"/>
  <c r="F104" i="69"/>
  <c r="M104" i="69" s="1"/>
  <c r="F101" i="69"/>
  <c r="M101" i="69" s="1"/>
  <c r="F105" i="69"/>
  <c r="M105" i="69" s="1"/>
  <c r="F111" i="69"/>
  <c r="M111" i="69" s="1"/>
  <c r="F112" i="69"/>
  <c r="M112" i="69" s="1"/>
  <c r="F113" i="69"/>
  <c r="M113" i="69" s="1"/>
  <c r="F94" i="69"/>
  <c r="M94" i="69" s="1"/>
  <c r="F96" i="69"/>
  <c r="M96" i="69" s="1"/>
  <c r="F99" i="69"/>
  <c r="M99" i="69" s="1"/>
  <c r="F100" i="69"/>
  <c r="M100" i="69" s="1"/>
  <c r="F98" i="69"/>
  <c r="M98" i="69" s="1"/>
  <c r="F110" i="69"/>
  <c r="M110" i="69" s="1"/>
  <c r="F103" i="69"/>
  <c r="M103" i="69" s="1"/>
  <c r="BK63" i="202"/>
  <c r="BJ63" i="202"/>
  <c r="BJ57" i="202"/>
  <c r="BK57" i="202"/>
  <c r="BJ78" i="202"/>
  <c r="BK78" i="202"/>
  <c r="BK41" i="202"/>
  <c r="BJ41" i="202"/>
  <c r="BJ34" i="202"/>
  <c r="BK34" i="202"/>
  <c r="BK39" i="202"/>
  <c r="BJ39" i="202"/>
  <c r="BJ38" i="202"/>
  <c r="BK38" i="202"/>
  <c r="BK21" i="202"/>
  <c r="BJ21" i="202"/>
  <c r="BJ52" i="202"/>
  <c r="BK52" i="202"/>
  <c r="BK25" i="202"/>
  <c r="BJ25" i="202"/>
  <c r="BJ67" i="202"/>
  <c r="BK67" i="202"/>
  <c r="BJ48" i="202"/>
  <c r="BK48" i="202"/>
  <c r="BJ59" i="202"/>
  <c r="BK59" i="202"/>
  <c r="BJ30" i="202"/>
  <c r="BK30" i="202"/>
  <c r="BK77" i="202"/>
  <c r="BJ77" i="202"/>
  <c r="BK37" i="202"/>
  <c r="BJ37" i="202"/>
  <c r="BK46" i="202"/>
  <c r="BJ46" i="202"/>
  <c r="BK40" i="202"/>
  <c r="BJ40" i="202"/>
  <c r="BJ65" i="202"/>
  <c r="BK65" i="202"/>
  <c r="BJ43" i="202"/>
  <c r="BK43" i="202"/>
  <c r="BK53" i="202"/>
  <c r="BJ53" i="202"/>
  <c r="BK50" i="202"/>
  <c r="BJ50" i="202"/>
  <c r="BJ64" i="202"/>
  <c r="BK64" i="202"/>
  <c r="BK23" i="202"/>
  <c r="BJ23" i="202"/>
  <c r="BK36" i="202"/>
  <c r="BJ36" i="202"/>
  <c r="BJ74" i="202"/>
  <c r="BK74" i="202"/>
  <c r="BK72" i="202"/>
  <c r="BJ72" i="202"/>
  <c r="BK29" i="202"/>
  <c r="BJ29" i="202"/>
  <c r="BJ19" i="202"/>
  <c r="BK19" i="202"/>
  <c r="BK69" i="202"/>
  <c r="BJ69" i="202"/>
  <c r="BK32" i="202"/>
  <c r="BJ32" i="202"/>
  <c r="BJ75" i="202"/>
  <c r="BK75" i="202"/>
  <c r="BK24" i="202"/>
  <c r="BJ24" i="202"/>
  <c r="BK70" i="202"/>
  <c r="BJ70" i="202"/>
  <c r="BK18" i="202"/>
  <c r="BJ18" i="202"/>
  <c r="BJ27" i="202"/>
  <c r="BK27" i="202"/>
  <c r="BJ62" i="202"/>
  <c r="BK62" i="202"/>
  <c r="BK49" i="202"/>
  <c r="BJ49" i="202"/>
  <c r="BK76" i="202"/>
  <c r="BJ76" i="202"/>
  <c r="BK61" i="202"/>
  <c r="BJ61" i="202"/>
  <c r="BK58" i="202"/>
  <c r="BJ58" i="202"/>
  <c r="BJ73" i="202"/>
  <c r="BK73" i="202"/>
  <c r="BK51" i="202"/>
  <c r="BJ51" i="202"/>
  <c r="BK66" i="202"/>
  <c r="BJ66" i="202"/>
  <c r="BK47" i="202"/>
  <c r="BJ47" i="202"/>
  <c r="BJ60" i="202"/>
  <c r="BK60" i="202"/>
  <c r="BJ20" i="202"/>
  <c r="BK20" i="202"/>
  <c r="BJ45" i="202"/>
  <c r="BK45" i="202"/>
  <c r="BK22" i="202"/>
  <c r="BJ22" i="202"/>
  <c r="BK71" i="202"/>
  <c r="BJ71" i="202"/>
  <c r="BK42" i="202"/>
  <c r="BJ42" i="202"/>
  <c r="BJ28" i="202"/>
  <c r="BK28" i="202"/>
  <c r="BJ54" i="202"/>
  <c r="BK54" i="202"/>
  <c r="BJ44" i="202"/>
  <c r="BK44" i="202"/>
  <c r="BK31" i="202"/>
  <c r="BJ31" i="202"/>
  <c r="BJ26" i="202"/>
  <c r="BK26" i="202"/>
  <c r="BJ33" i="202"/>
  <c r="BK33" i="202"/>
  <c r="BJ35" i="202"/>
  <c r="BK35" i="202"/>
  <c r="BJ17" i="202"/>
  <c r="BK17" i="202"/>
  <c r="BK56" i="202"/>
  <c r="BJ56" i="202"/>
  <c r="BJ68" i="202"/>
  <c r="BK68" i="202"/>
  <c r="BK55" i="202"/>
  <c r="BJ55" i="202"/>
  <c r="AB34" i="70"/>
  <c r="AC33" i="70"/>
  <c r="AB33" i="70"/>
  <c r="AC34" i="70"/>
  <c r="AB32" i="70"/>
  <c r="AC32" i="70"/>
  <c r="AB26" i="70"/>
  <c r="AC30" i="70"/>
  <c r="AC29" i="70"/>
  <c r="AB31" i="70"/>
  <c r="AB30" i="70"/>
  <c r="AC31" i="70"/>
  <c r="AB27" i="70"/>
  <c r="AB29" i="70"/>
  <c r="V18" i="88" a="1"/>
  <c r="AB28" i="70"/>
  <c r="V2" i="88" a="1"/>
  <c r="BL55" i="202" l="1"/>
  <c r="BM55" i="202"/>
  <c r="BM68" i="202"/>
  <c r="BL68" i="202"/>
  <c r="BL56" i="202"/>
  <c r="BM56" i="202"/>
  <c r="BM17" i="202"/>
  <c r="BL17" i="202"/>
  <c r="BN17" i="202" s="1"/>
  <c r="BM35" i="202"/>
  <c r="BL35" i="202"/>
  <c r="BN35" i="202" s="1"/>
  <c r="BM33" i="202"/>
  <c r="BL33" i="202"/>
  <c r="BN33" i="202" s="1"/>
  <c r="BM26" i="202"/>
  <c r="BL26" i="202"/>
  <c r="BN26" i="202" s="1"/>
  <c r="BL31" i="202"/>
  <c r="BN31" i="202" s="1"/>
  <c r="BM31" i="202"/>
  <c r="BM44" i="202"/>
  <c r="BL44" i="202"/>
  <c r="BN44" i="202" s="1"/>
  <c r="BM54" i="202"/>
  <c r="BL54" i="202"/>
  <c r="BN54" i="202" s="1"/>
  <c r="BM28" i="202"/>
  <c r="BL28" i="202"/>
  <c r="BN28" i="202" s="1"/>
  <c r="BL42" i="202"/>
  <c r="BM42" i="202"/>
  <c r="BL71" i="202"/>
  <c r="BM71" i="202"/>
  <c r="BL22" i="202"/>
  <c r="BN22" i="202" s="1"/>
  <c r="BM22" i="202"/>
  <c r="BM45" i="202"/>
  <c r="BL45" i="202"/>
  <c r="BN45" i="202" s="1"/>
  <c r="BM20" i="202"/>
  <c r="BL20" i="202"/>
  <c r="BN20" i="202" s="1"/>
  <c r="BM60" i="202"/>
  <c r="BL60" i="202"/>
  <c r="BN60" i="202" s="1"/>
  <c r="BL47" i="202"/>
  <c r="BM47" i="202"/>
  <c r="BL66" i="202"/>
  <c r="BM66" i="202"/>
  <c r="BL51" i="202"/>
  <c r="BN51" i="202" s="1"/>
  <c r="BM51" i="202"/>
  <c r="BM73" i="202"/>
  <c r="BL73" i="202"/>
  <c r="BL58" i="202"/>
  <c r="BM58" i="202"/>
  <c r="BL61" i="202"/>
  <c r="BM61" i="202"/>
  <c r="BL76" i="202"/>
  <c r="BM76" i="202"/>
  <c r="BL49" i="202"/>
  <c r="BM49" i="202"/>
  <c r="BM62" i="202"/>
  <c r="BL62" i="202"/>
  <c r="BM27" i="202"/>
  <c r="BL27" i="202"/>
  <c r="BN27" i="202" s="1"/>
  <c r="BL18" i="202"/>
  <c r="BM18" i="202"/>
  <c r="BL70" i="202"/>
  <c r="BM70" i="202"/>
  <c r="BL24" i="202"/>
  <c r="BM24" i="202"/>
  <c r="BM75" i="202"/>
  <c r="BL75" i="202"/>
  <c r="BL32" i="202"/>
  <c r="BN32" i="202" s="1"/>
  <c r="BM32" i="202"/>
  <c r="BL69" i="202"/>
  <c r="BM69" i="202"/>
  <c r="BM19" i="202"/>
  <c r="BL19" i="202"/>
  <c r="BN19" i="202" s="1"/>
  <c r="BL29" i="202"/>
  <c r="BM29" i="202"/>
  <c r="BL72" i="202"/>
  <c r="BM72" i="202"/>
  <c r="BM74" i="202"/>
  <c r="BL74" i="202"/>
  <c r="BL36" i="202"/>
  <c r="BN36" i="202" s="1"/>
  <c r="BM36" i="202"/>
  <c r="BL23" i="202"/>
  <c r="BM23" i="202"/>
  <c r="BM64" i="202"/>
  <c r="BL64" i="202"/>
  <c r="BN64" i="202" s="1"/>
  <c r="BL50" i="202"/>
  <c r="BM50" i="202"/>
  <c r="BL53" i="202"/>
  <c r="BM53" i="202"/>
  <c r="BM43" i="202"/>
  <c r="BL43" i="202"/>
  <c r="BN43" i="202" s="1"/>
  <c r="BM65" i="202"/>
  <c r="BL65" i="202"/>
  <c r="BL40" i="202"/>
  <c r="BM40" i="202"/>
  <c r="BL46" i="202"/>
  <c r="BM46" i="202"/>
  <c r="BL37" i="202"/>
  <c r="BM37" i="202"/>
  <c r="BL77" i="202"/>
  <c r="BM77" i="202"/>
  <c r="BM30" i="202"/>
  <c r="BL30" i="202"/>
  <c r="BN30" i="202" s="1"/>
  <c r="BM59" i="202"/>
  <c r="BL59" i="202"/>
  <c r="BM48" i="202"/>
  <c r="BL48" i="202"/>
  <c r="BN48" i="202" s="1"/>
  <c r="BM67" i="202"/>
  <c r="BL67" i="202"/>
  <c r="BN67" i="202" s="1"/>
  <c r="BL25" i="202"/>
  <c r="BM25" i="202"/>
  <c r="BM52" i="202"/>
  <c r="BL52" i="202"/>
  <c r="BN52" i="202" s="1"/>
  <c r="BL21" i="202"/>
  <c r="BM21" i="202"/>
  <c r="BM38" i="202"/>
  <c r="BL38" i="202"/>
  <c r="BL39" i="202"/>
  <c r="BM39" i="202"/>
  <c r="BM34" i="202"/>
  <c r="BL34" i="202"/>
  <c r="BN34" i="202" s="1"/>
  <c r="BL41" i="202"/>
  <c r="BM41" i="202"/>
  <c r="BM78" i="202"/>
  <c r="BL78" i="202"/>
  <c r="BM57" i="202"/>
  <c r="BL57" i="202"/>
  <c r="BN57" i="202" s="1"/>
  <c r="BL63" i="202"/>
  <c r="BN63" i="202" s="1"/>
  <c r="BM63" i="202"/>
  <c r="I27" i="43"/>
  <c r="O27" i="43"/>
  <c r="I25" i="43"/>
  <c r="O25" i="43"/>
  <c r="B33" i="4"/>
  <c r="B54" i="4"/>
  <c r="B79" i="4"/>
  <c r="B64" i="4"/>
  <c r="B65" i="4"/>
  <c r="B84" i="4"/>
  <c r="B48" i="4"/>
  <c r="B27" i="4"/>
  <c r="B83" i="4"/>
  <c r="B73" i="4"/>
  <c r="B59" i="4"/>
  <c r="B74" i="4"/>
  <c r="B85" i="4"/>
  <c r="B66" i="4"/>
  <c r="B57" i="4"/>
  <c r="B37" i="4"/>
  <c r="B55" i="4"/>
  <c r="B78" i="4"/>
  <c r="B31" i="4"/>
  <c r="B40" i="4"/>
  <c r="B53" i="4"/>
  <c r="B60" i="4"/>
  <c r="B82" i="4"/>
  <c r="B76" i="4"/>
  <c r="B29" i="4"/>
  <c r="B46" i="4"/>
  <c r="B24" i="4"/>
  <c r="B43" i="4"/>
  <c r="B90" i="4"/>
  <c r="B50" i="4"/>
  <c r="B49" i="4"/>
  <c r="B45" i="4"/>
  <c r="B32" i="4"/>
  <c r="B30" i="4"/>
  <c r="B75" i="4"/>
  <c r="B87" i="4"/>
  <c r="B41" i="4"/>
  <c r="B36" i="4"/>
  <c r="B70" i="4"/>
  <c r="B63" i="4"/>
  <c r="B58" i="4"/>
  <c r="B71" i="4"/>
  <c r="B91" i="4"/>
  <c r="B34" i="4"/>
  <c r="B56" i="4"/>
  <c r="B47" i="4"/>
  <c r="B62" i="4"/>
  <c r="B51" i="4"/>
  <c r="B23" i="4"/>
  <c r="B38" i="4"/>
  <c r="B26" i="4"/>
  <c r="B77" i="4"/>
  <c r="B69" i="4"/>
  <c r="B72" i="4"/>
  <c r="B28" i="4"/>
  <c r="B68" i="4"/>
  <c r="B39" i="4"/>
  <c r="B86" i="4"/>
  <c r="B67" i="4"/>
  <c r="B81" i="4"/>
  <c r="B52" i="4"/>
  <c r="B35" i="4"/>
  <c r="B61" i="4"/>
  <c r="B42" i="4"/>
  <c r="B89" i="4"/>
  <c r="B88" i="4"/>
  <c r="B25" i="4"/>
  <c r="B80" i="4"/>
  <c r="B44" i="4"/>
  <c r="I36" i="43"/>
  <c r="I28" i="43"/>
  <c r="O28" i="43"/>
  <c r="O22" i="43"/>
  <c r="I22" i="43"/>
  <c r="I24" i="43"/>
  <c r="O24" i="43"/>
  <c r="I21" i="43"/>
  <c r="O21" i="43"/>
  <c r="I20" i="43"/>
  <c r="O20" i="43"/>
  <c r="I18" i="43"/>
  <c r="O18" i="43"/>
  <c r="I34" i="43"/>
  <c r="O34" i="43"/>
  <c r="I31" i="43"/>
  <c r="O31" i="43"/>
  <c r="I30" i="43"/>
  <c r="O30" i="43"/>
  <c r="I29" i="43"/>
  <c r="O29" i="43"/>
  <c r="I23" i="43"/>
  <c r="O23" i="43"/>
  <c r="H39" i="43"/>
  <c r="I17" i="43"/>
  <c r="O17" i="43"/>
  <c r="I26" i="43"/>
  <c r="O26" i="43"/>
  <c r="I32" i="43"/>
  <c r="O32" i="43"/>
  <c r="H43" i="43"/>
  <c r="M17" i="43" a="1"/>
  <c r="A23" i="4" a="1"/>
  <c r="I19" i="43"/>
  <c r="O19" i="43"/>
  <c r="I33" i="43"/>
  <c r="O33" i="43"/>
  <c r="I35" i="43"/>
  <c r="O35" i="43"/>
  <c r="A2785" i="242"/>
  <c r="B2786" i="242"/>
  <c r="B1371" i="242"/>
  <c r="A1370" i="242"/>
  <c r="A913" i="242"/>
  <c r="B914" i="242"/>
  <c r="C50" i="69"/>
  <c r="I14" i="203"/>
  <c r="I12" i="204"/>
  <c r="C45" i="69"/>
  <c r="AV47" i="70"/>
  <c r="I28" i="203"/>
  <c r="AV48" i="70"/>
  <c r="AV52" i="70"/>
  <c r="G17" i="204"/>
  <c r="AP42" i="69"/>
  <c r="AP40" i="69"/>
  <c r="AP66" i="69"/>
  <c r="I38" i="203"/>
  <c r="AP33" i="69"/>
  <c r="AP28" i="69"/>
  <c r="A41" i="69"/>
  <c r="AP41" i="69"/>
  <c r="AP38" i="69"/>
  <c r="AG19" i="69"/>
  <c r="AV65" i="70"/>
  <c r="AV32" i="70"/>
  <c r="G11" i="204"/>
  <c r="AV24" i="70"/>
  <c r="AV44" i="70"/>
  <c r="G12" i="204"/>
  <c r="BM37" i="70"/>
  <c r="AV50" i="70"/>
  <c r="AN46" i="70"/>
  <c r="G48" i="204"/>
  <c r="G59" i="204"/>
  <c r="G14" i="203"/>
  <c r="AV42" i="70"/>
  <c r="AV46" i="70"/>
  <c r="AV27" i="70"/>
  <c r="BM46" i="70"/>
  <c r="G20" i="203"/>
  <c r="G14" i="204"/>
  <c r="AV35" i="70"/>
  <c r="AV22" i="70"/>
  <c r="AV18" i="70"/>
  <c r="AV30" i="70"/>
  <c r="AV36" i="70"/>
  <c r="AV31" i="70"/>
  <c r="G54" i="204"/>
  <c r="AM113" i="4"/>
  <c r="AV21" i="70"/>
  <c r="BM45" i="70"/>
  <c r="AV55" i="70"/>
  <c r="AV33" i="70"/>
  <c r="BM29" i="70"/>
  <c r="AV54" i="70"/>
  <c r="BM44" i="70"/>
  <c r="G47" i="203"/>
  <c r="G29" i="204"/>
  <c r="G22" i="203"/>
  <c r="G26" i="203"/>
  <c r="AV43" i="70"/>
  <c r="AV19" i="70"/>
  <c r="I14" i="204"/>
  <c r="I10" i="204"/>
  <c r="AN32" i="70"/>
  <c r="A34" i="69"/>
  <c r="I19" i="203"/>
  <c r="AN33" i="70"/>
  <c r="G45" i="204"/>
  <c r="I19" i="204"/>
  <c r="I31" i="203"/>
  <c r="AP68" i="69"/>
  <c r="AE37" i="70"/>
  <c r="AW37" i="70" s="1"/>
  <c r="I42" i="203"/>
  <c r="AM126" i="4"/>
  <c r="AN35" i="70"/>
  <c r="G21" i="204"/>
  <c r="I39" i="203"/>
  <c r="G42" i="203"/>
  <c r="AE44" i="70"/>
  <c r="BE44" i="70" s="1"/>
  <c r="AM109" i="4"/>
  <c r="I12" i="203"/>
  <c r="A38" i="69"/>
  <c r="AN22" i="70"/>
  <c r="AN44" i="70"/>
  <c r="I36" i="203"/>
  <c r="AN18" i="70"/>
  <c r="AM120" i="4"/>
  <c r="AM96" i="4"/>
  <c r="G59" i="203"/>
  <c r="I43" i="203"/>
  <c r="I16" i="204"/>
  <c r="I17" i="203"/>
  <c r="G10" i="203"/>
  <c r="G11" i="203"/>
  <c r="G12" i="203"/>
  <c r="I51" i="203"/>
  <c r="G34" i="203"/>
  <c r="I48" i="203"/>
  <c r="BM64" i="70"/>
  <c r="AV17" i="70"/>
  <c r="Q18" i="69"/>
  <c r="BM66" i="70"/>
  <c r="AV15" i="70"/>
  <c r="AV16" i="70"/>
  <c r="K38" i="69"/>
  <c r="AN58" i="70"/>
  <c r="AV28" i="70"/>
  <c r="G9" i="203"/>
  <c r="AM115" i="4"/>
  <c r="I41" i="203"/>
  <c r="I16" i="203"/>
  <c r="AM104" i="4"/>
  <c r="G10" i="204"/>
  <c r="I18" i="203"/>
  <c r="I45" i="203"/>
  <c r="I21" i="203"/>
  <c r="I15" i="204"/>
  <c r="I47" i="203"/>
  <c r="AN64" i="70"/>
  <c r="AV41" i="70"/>
  <c r="AN14" i="70"/>
  <c r="BM25" i="70"/>
  <c r="AV20" i="70"/>
  <c r="BM16" i="70"/>
  <c r="AE34" i="70"/>
  <c r="Q64" i="69"/>
  <c r="AV58" i="70"/>
  <c r="BM67" i="70"/>
  <c r="C63" i="69"/>
  <c r="BM17" i="70"/>
  <c r="Q19" i="69"/>
  <c r="G45" i="203"/>
  <c r="G41" i="203"/>
  <c r="I23" i="203"/>
  <c r="AE98" i="4"/>
  <c r="AE99" i="4"/>
  <c r="I13" i="204"/>
  <c r="G15" i="203"/>
  <c r="I11" i="204"/>
  <c r="I29" i="203"/>
  <c r="I17" i="204"/>
  <c r="I13" i="203"/>
  <c r="I11" i="203"/>
  <c r="AN17" i="70"/>
  <c r="AV66" i="70"/>
  <c r="AN16" i="70"/>
  <c r="AM106" i="4"/>
  <c r="G28" i="203"/>
  <c r="I34" i="203"/>
  <c r="I33" i="203"/>
  <c r="G56" i="203"/>
  <c r="I18" i="204"/>
  <c r="AM119" i="4"/>
  <c r="I54" i="203"/>
  <c r="I15" i="203"/>
  <c r="AV64" i="70"/>
  <c r="AV14" i="70"/>
  <c r="AV25" i="70"/>
  <c r="AE26" i="70"/>
  <c r="AW26" i="70" s="1"/>
  <c r="AV57" i="70"/>
  <c r="BM34" i="70"/>
  <c r="AN60" i="70"/>
  <c r="AN39" i="70"/>
  <c r="AN67" i="70"/>
  <c r="C48" i="69"/>
  <c r="AE32" i="70"/>
  <c r="BE32" i="70" s="1"/>
  <c r="AE27" i="70"/>
  <c r="AE17" i="70"/>
  <c r="BN17" i="70" s="1"/>
  <c r="AE15" i="70"/>
  <c r="AE19" i="70"/>
  <c r="AW19" i="70" s="1"/>
  <c r="I26" i="203"/>
  <c r="G48" i="203"/>
  <c r="G49" i="203"/>
  <c r="AE53" i="70"/>
  <c r="AW53" i="70" s="1"/>
  <c r="AN15" i="70"/>
  <c r="BM58" i="70"/>
  <c r="AE106" i="4"/>
  <c r="AM110" i="4"/>
  <c r="G24" i="203"/>
  <c r="I9" i="203"/>
  <c r="AM138" i="4"/>
  <c r="AM105" i="4"/>
  <c r="I56" i="203"/>
  <c r="G32" i="203"/>
  <c r="I32" i="203"/>
  <c r="I50" i="203"/>
  <c r="AV23" i="70"/>
  <c r="AE29" i="70"/>
  <c r="Q49" i="69"/>
  <c r="BM26" i="70"/>
  <c r="AV13" i="70"/>
  <c r="AN34" i="70"/>
  <c r="AV60" i="70"/>
  <c r="AV39" i="70"/>
  <c r="AV67" i="70"/>
  <c r="C60" i="69"/>
  <c r="G33" i="203"/>
  <c r="G55" i="203"/>
  <c r="AM123" i="4"/>
  <c r="I55" i="203"/>
  <c r="I25" i="203"/>
  <c r="BM30" i="70"/>
  <c r="G46" i="203"/>
  <c r="G25" i="203"/>
  <c r="AM117" i="4"/>
  <c r="I9" i="204"/>
  <c r="G51" i="204"/>
  <c r="I27" i="203"/>
  <c r="I20" i="203"/>
  <c r="AE119" i="4"/>
  <c r="I22" i="203"/>
  <c r="AM127" i="4"/>
  <c r="Q39" i="69"/>
  <c r="AN29" i="70"/>
  <c r="AN45" i="70"/>
  <c r="AN26" i="70"/>
  <c r="BM13" i="70"/>
  <c r="AV34" i="70"/>
  <c r="BM56" i="70"/>
  <c r="AV40" i="70"/>
  <c r="C24" i="69"/>
  <c r="I49" i="203"/>
  <c r="G54" i="203"/>
  <c r="G53" i="203"/>
  <c r="I57" i="203"/>
  <c r="G27" i="203"/>
  <c r="I10" i="203"/>
  <c r="I30" i="203"/>
  <c r="G16" i="203"/>
  <c r="G13" i="203"/>
  <c r="I44" i="203"/>
  <c r="G30" i="203"/>
  <c r="I35" i="203"/>
  <c r="I24" i="203"/>
  <c r="I53" i="203"/>
  <c r="I20" i="204"/>
  <c r="G31" i="203"/>
  <c r="G57" i="203"/>
  <c r="G40" i="203"/>
  <c r="AE35" i="70"/>
  <c r="BE35" i="70" s="1"/>
  <c r="AV29" i="70"/>
  <c r="AV37" i="70"/>
  <c r="AV45" i="70"/>
  <c r="AV26" i="70"/>
  <c r="BM18" i="70"/>
  <c r="AV38" i="70"/>
  <c r="Q50" i="69"/>
  <c r="AE33" i="70"/>
  <c r="AW33" i="70" s="1"/>
  <c r="M133" i="4"/>
  <c r="C129" i="4"/>
  <c r="C53" i="69"/>
  <c r="I37" i="203"/>
  <c r="AE135" i="4"/>
  <c r="C116" i="4"/>
  <c r="I52" i="203"/>
  <c r="Q68" i="69"/>
  <c r="AG39" i="69"/>
  <c r="Q21" i="69"/>
  <c r="Q33" i="69"/>
  <c r="AN65" i="70"/>
  <c r="AN53" i="70"/>
  <c r="AN37" i="70"/>
  <c r="BM22" i="70"/>
  <c r="AN66" i="70"/>
  <c r="BM61" i="70"/>
  <c r="K19" i="69"/>
  <c r="Q30" i="69"/>
  <c r="BM32" i="70"/>
  <c r="AE16" i="70"/>
  <c r="BN16" i="70" s="1"/>
  <c r="AN13" i="70"/>
  <c r="BM27" i="70"/>
  <c r="Q22" i="69"/>
  <c r="BM19" i="70"/>
  <c r="AN62" i="70"/>
  <c r="Q48" i="69"/>
  <c r="AG62" i="69"/>
  <c r="AE56" i="70"/>
  <c r="BE56" i="70" s="1"/>
  <c r="Q34" i="69"/>
  <c r="BM28" i="70"/>
  <c r="BM33" i="70"/>
  <c r="C27" i="69"/>
  <c r="C18" i="69"/>
  <c r="BM35" i="70"/>
  <c r="Q45" i="69"/>
  <c r="Q51" i="69"/>
  <c r="AE24" i="70"/>
  <c r="BE24" i="70" s="1"/>
  <c r="K46" i="69"/>
  <c r="Q53" i="69"/>
  <c r="AE45" i="70"/>
  <c r="BN45" i="70" s="1"/>
  <c r="AG52" i="69"/>
  <c r="AE54" i="70"/>
  <c r="BN54" i="70" s="1"/>
  <c r="AE57" i="70"/>
  <c r="BN57" i="70" s="1"/>
  <c r="AE50" i="70"/>
  <c r="BE50" i="70" s="1"/>
  <c r="K59" i="69"/>
  <c r="Q42" i="69"/>
  <c r="K35" i="69"/>
  <c r="AE30" i="70"/>
  <c r="AE67" i="70"/>
  <c r="AG63" i="69"/>
  <c r="C65" i="69"/>
  <c r="G46" i="204"/>
  <c r="G53" i="204"/>
  <c r="AE23" i="70"/>
  <c r="BN23" i="70" s="1"/>
  <c r="K25" i="69"/>
  <c r="BM41" i="70"/>
  <c r="BM14" i="70"/>
  <c r="AE42" i="70"/>
  <c r="BE42" i="70" s="1"/>
  <c r="BM49" i="70"/>
  <c r="Q47" i="69"/>
  <c r="Q24" i="69"/>
  <c r="AN48" i="70"/>
  <c r="AN54" i="70"/>
  <c r="AN50" i="70"/>
  <c r="AG55" i="69"/>
  <c r="AN52" i="70"/>
  <c r="AG42" i="69"/>
  <c r="K67" i="69"/>
  <c r="AN30" i="70"/>
  <c r="AE40" i="70"/>
  <c r="BE40" i="70" s="1"/>
  <c r="AN59" i="70"/>
  <c r="C38" i="69"/>
  <c r="Q27" i="69"/>
  <c r="Q25" i="69"/>
  <c r="AE41" i="70"/>
  <c r="BN41" i="70" s="1"/>
  <c r="AN47" i="70"/>
  <c r="AN24" i="70"/>
  <c r="BM42" i="70"/>
  <c r="AE49" i="70"/>
  <c r="BE49" i="70" s="1"/>
  <c r="AN25" i="70"/>
  <c r="K47" i="69"/>
  <c r="BM15" i="70"/>
  <c r="K52" i="69"/>
  <c r="BM54" i="70"/>
  <c r="AN57" i="70"/>
  <c r="AN36" i="70"/>
  <c r="BM50" i="70"/>
  <c r="Q55" i="69"/>
  <c r="AN55" i="70"/>
  <c r="BM52" i="70"/>
  <c r="Q35" i="69"/>
  <c r="AE39" i="70"/>
  <c r="BE39" i="70" s="1"/>
  <c r="Q44" i="69"/>
  <c r="Q63" i="69"/>
  <c r="G13" i="204"/>
  <c r="G25" i="204"/>
  <c r="AN23" i="70"/>
  <c r="AN41" i="70"/>
  <c r="AE47" i="70"/>
  <c r="BE47" i="70" s="1"/>
  <c r="BM24" i="70"/>
  <c r="K41" i="69"/>
  <c r="AN42" i="70"/>
  <c r="AN49" i="70"/>
  <c r="AG65" i="69"/>
  <c r="Q17" i="69"/>
  <c r="BM36" i="70"/>
  <c r="AN51" i="70"/>
  <c r="AE55" i="70"/>
  <c r="BE55" i="70" s="1"/>
  <c r="AE38" i="70"/>
  <c r="BE38" i="70" s="1"/>
  <c r="BM31" i="70"/>
  <c r="BM39" i="70"/>
  <c r="Q67" i="69"/>
  <c r="Q32" i="69"/>
  <c r="AE59" i="70"/>
  <c r="BN59" i="70" s="1"/>
  <c r="C68" i="69"/>
  <c r="K28" i="69"/>
  <c r="AE14" i="70"/>
  <c r="Q46" i="69"/>
  <c r="K53" i="69"/>
  <c r="AE25" i="70"/>
  <c r="BN25" i="70" s="1"/>
  <c r="Q58" i="69"/>
  <c r="Q61" i="69"/>
  <c r="AG40" i="69"/>
  <c r="Q54" i="69"/>
  <c r="AE18" i="70"/>
  <c r="BN18" i="70" s="1"/>
  <c r="AE52" i="70"/>
  <c r="AW52" i="70" s="1"/>
  <c r="BM60" i="70"/>
  <c r="Q43" i="69"/>
  <c r="AE46" i="70"/>
  <c r="AW46" i="70" s="1"/>
  <c r="K63" i="69"/>
  <c r="I58" i="203"/>
  <c r="I59" i="203"/>
  <c r="AE123" i="4"/>
  <c r="G31" i="204"/>
  <c r="AM125" i="4"/>
  <c r="I40" i="203"/>
  <c r="AE21" i="70"/>
  <c r="BN21" i="70" s="1"/>
  <c r="BM47" i="70"/>
  <c r="Q57" i="69"/>
  <c r="AV49" i="70"/>
  <c r="K65" i="69"/>
  <c r="BM43" i="70"/>
  <c r="AE20" i="70"/>
  <c r="AW20" i="70" s="1"/>
  <c r="AE48" i="70"/>
  <c r="BN48" i="70" s="1"/>
  <c r="AG20" i="69"/>
  <c r="AG17" i="69"/>
  <c r="AE36" i="70"/>
  <c r="AW36" i="70" s="1"/>
  <c r="Q38" i="69"/>
  <c r="AV51" i="70"/>
  <c r="Q23" i="69"/>
  <c r="Q66" i="69"/>
  <c r="BM38" i="70"/>
  <c r="AN31" i="70"/>
  <c r="K60" i="69"/>
  <c r="AV63" i="70"/>
  <c r="AN28" i="70"/>
  <c r="BM40" i="70"/>
  <c r="AV59" i="70"/>
  <c r="C66" i="69"/>
  <c r="K68" i="69"/>
  <c r="K18" i="69"/>
  <c r="K56" i="69"/>
  <c r="AG34" i="69"/>
  <c r="C132" i="4"/>
  <c r="C150" i="4"/>
  <c r="BM23" i="70"/>
  <c r="AN21" i="70"/>
  <c r="K33" i="69"/>
  <c r="C17" i="69"/>
  <c r="AV53" i="70"/>
  <c r="Q26" i="69"/>
  <c r="Q70" i="69"/>
  <c r="AN61" i="70"/>
  <c r="AE43" i="70"/>
  <c r="BE43" i="70" s="1"/>
  <c r="AN20" i="70"/>
  <c r="BM48" i="70"/>
  <c r="K20" i="69"/>
  <c r="K17" i="69"/>
  <c r="Q31" i="69"/>
  <c r="AE51" i="70"/>
  <c r="AW51" i="70" s="1"/>
  <c r="AN19" i="70"/>
  <c r="BM62" i="70"/>
  <c r="AN38" i="70"/>
  <c r="AE31" i="70"/>
  <c r="AN56" i="70"/>
  <c r="BM63" i="70"/>
  <c r="AN40" i="70"/>
  <c r="BM59" i="70"/>
  <c r="C31" i="69"/>
  <c r="K71" i="69"/>
  <c r="Q28" i="69"/>
  <c r="AG53" i="69"/>
  <c r="Q29" i="69"/>
  <c r="Q40" i="69"/>
  <c r="K54" i="69"/>
  <c r="Q56" i="69"/>
  <c r="K34" i="69"/>
  <c r="M142" i="4"/>
  <c r="M150" i="4"/>
  <c r="G20" i="204"/>
  <c r="M148" i="4"/>
  <c r="G37" i="204"/>
  <c r="G34" i="204"/>
  <c r="K39" i="69"/>
  <c r="BM21" i="70"/>
  <c r="Q69" i="69"/>
  <c r="BM53" i="70"/>
  <c r="Q41" i="69"/>
  <c r="AE22" i="70"/>
  <c r="AW22" i="70" s="1"/>
  <c r="AE66" i="70"/>
  <c r="AV61" i="70"/>
  <c r="AN43" i="70"/>
  <c r="BM20" i="70"/>
  <c r="Q36" i="69"/>
  <c r="Q20" i="69"/>
  <c r="AE13" i="70"/>
  <c r="AN27" i="70"/>
  <c r="AG38" i="69"/>
  <c r="BM51" i="70"/>
  <c r="AV62" i="70"/>
  <c r="K62" i="69"/>
  <c r="AE28" i="70"/>
  <c r="BE28" i="70" s="1"/>
  <c r="Q37" i="69"/>
  <c r="C70" i="69"/>
  <c r="AB42" i="69"/>
  <c r="A62" i="69"/>
  <c r="G19" i="203"/>
  <c r="G23" i="203"/>
  <c r="AM132" i="4"/>
  <c r="M117" i="4"/>
  <c r="G55" i="204"/>
  <c r="G17" i="203"/>
  <c r="AE148" i="4"/>
  <c r="G18" i="203"/>
  <c r="G35" i="203"/>
  <c r="G29" i="203"/>
  <c r="M118" i="4"/>
  <c r="G26" i="204"/>
  <c r="G38" i="203"/>
  <c r="G42" i="204"/>
  <c r="AP25" i="69"/>
  <c r="AG33" i="69"/>
  <c r="A28" i="69"/>
  <c r="AG41" i="69"/>
  <c r="AP46" i="69"/>
  <c r="AP70" i="69"/>
  <c r="A19" i="69"/>
  <c r="AG24" i="69"/>
  <c r="K36" i="69"/>
  <c r="A40" i="69"/>
  <c r="K55" i="69"/>
  <c r="AP23" i="69"/>
  <c r="K66" i="69"/>
  <c r="K42" i="69"/>
  <c r="K50" i="69"/>
  <c r="AP34" i="69"/>
  <c r="AG44" i="69"/>
  <c r="C44" i="69"/>
  <c r="C20" i="69"/>
  <c r="C19" i="69"/>
  <c r="C42" i="69"/>
  <c r="AG30" i="69"/>
  <c r="AG27" i="69"/>
  <c r="AP39" i="69"/>
  <c r="AG45" i="69"/>
  <c r="K69" i="69"/>
  <c r="V26" i="69"/>
  <c r="K29" i="69"/>
  <c r="K49" i="69"/>
  <c r="AB30" i="69"/>
  <c r="AP17" i="69"/>
  <c r="A54" i="69"/>
  <c r="V22" i="69"/>
  <c r="AG56" i="69"/>
  <c r="K64" i="69"/>
  <c r="AB35" i="69"/>
  <c r="AB37" i="69"/>
  <c r="G9" i="204"/>
  <c r="G47" i="204"/>
  <c r="G28" i="204"/>
  <c r="AM145" i="4"/>
  <c r="M128" i="4"/>
  <c r="G56" i="204"/>
  <c r="G57" i="204"/>
  <c r="G49" i="204"/>
  <c r="G44" i="204"/>
  <c r="V27" i="69"/>
  <c r="K45" i="69"/>
  <c r="AP69" i="69"/>
  <c r="AG18" i="69"/>
  <c r="AG26" i="69"/>
  <c r="A49" i="69"/>
  <c r="K30" i="69"/>
  <c r="K58" i="69"/>
  <c r="AG54" i="69"/>
  <c r="AG64" i="69"/>
  <c r="AG35" i="69"/>
  <c r="AP67" i="69"/>
  <c r="K37" i="69"/>
  <c r="C41" i="69"/>
  <c r="M138" i="4"/>
  <c r="M141" i="4"/>
  <c r="C144" i="4"/>
  <c r="AP18" i="69"/>
  <c r="AG59" i="69"/>
  <c r="AG37" i="69"/>
  <c r="C69" i="69"/>
  <c r="C37" i="69"/>
  <c r="C96" i="4"/>
  <c r="G58" i="204"/>
  <c r="G24" i="204"/>
  <c r="C114" i="4"/>
  <c r="G32" i="204"/>
  <c r="G40" i="204"/>
  <c r="C131" i="4"/>
  <c r="A27" i="69"/>
  <c r="K21" i="69"/>
  <c r="AG57" i="69"/>
  <c r="A26" i="69"/>
  <c r="AG29" i="69"/>
  <c r="AP49" i="69"/>
  <c r="AP30" i="69"/>
  <c r="AG58" i="69"/>
  <c r="AG22" i="69"/>
  <c r="AP43" i="69"/>
  <c r="C26" i="69"/>
  <c r="A18" i="69"/>
  <c r="AP52" i="69"/>
  <c r="A59" i="69"/>
  <c r="AP60" i="69"/>
  <c r="G43" i="204"/>
  <c r="C110" i="4"/>
  <c r="G41" i="204"/>
  <c r="C143" i="4"/>
  <c r="M114" i="4"/>
  <c r="G50" i="204"/>
  <c r="AG21" i="69"/>
  <c r="AG51" i="69"/>
  <c r="K57" i="69"/>
  <c r="K26" i="69"/>
  <c r="AG49" i="69"/>
  <c r="A24" i="69"/>
  <c r="A58" i="69"/>
  <c r="AG31" i="69"/>
  <c r="K22" i="69"/>
  <c r="AG23" i="69"/>
  <c r="K48" i="69"/>
  <c r="K43" i="69"/>
  <c r="V32" i="69"/>
  <c r="C64" i="69"/>
  <c r="C62" i="69"/>
  <c r="AP45" i="69"/>
  <c r="A69" i="69"/>
  <c r="AG47" i="69"/>
  <c r="V35" i="69"/>
  <c r="AP71" i="69"/>
  <c r="C56" i="69"/>
  <c r="G16" i="204"/>
  <c r="G43" i="203"/>
  <c r="M110" i="4"/>
  <c r="G33" i="204"/>
  <c r="G52" i="203"/>
  <c r="G22" i="204"/>
  <c r="AM147" i="4"/>
  <c r="G36" i="204"/>
  <c r="G27" i="204"/>
  <c r="C119" i="4"/>
  <c r="M125" i="4"/>
  <c r="G39" i="203"/>
  <c r="G50" i="203"/>
  <c r="K27" i="69"/>
  <c r="AP21" i="69"/>
  <c r="K51" i="69"/>
  <c r="AB46" i="69"/>
  <c r="AP24" i="69"/>
  <c r="AG36" i="69"/>
  <c r="K61" i="69"/>
  <c r="A31" i="69"/>
  <c r="AB55" i="69"/>
  <c r="K23" i="69"/>
  <c r="AG43" i="69"/>
  <c r="AG50" i="69"/>
  <c r="AG32" i="69"/>
  <c r="C35" i="69"/>
  <c r="C28" i="69"/>
  <c r="C71" i="69"/>
  <c r="C23" i="69"/>
  <c r="V45" i="69"/>
  <c r="V53" i="69"/>
  <c r="AB47" i="69"/>
  <c r="A52" i="69"/>
  <c r="AP59" i="69"/>
  <c r="A60" i="69"/>
  <c r="AP63" i="69"/>
  <c r="M96" i="4"/>
  <c r="C107" i="4"/>
  <c r="M149" i="4"/>
  <c r="C101" i="4"/>
  <c r="M144" i="4"/>
  <c r="G15" i="204"/>
  <c r="C52" i="69"/>
  <c r="G19" i="204"/>
  <c r="G23" i="204"/>
  <c r="G30" i="204"/>
  <c r="G52" i="204"/>
  <c r="AM142" i="4"/>
  <c r="G18" i="204"/>
  <c r="G35" i="204"/>
  <c r="G38" i="204"/>
  <c r="AG25" i="69"/>
  <c r="AP51" i="69"/>
  <c r="AG28" i="69"/>
  <c r="AG46" i="69"/>
  <c r="K70" i="69"/>
  <c r="AB19" i="69"/>
  <c r="K24" i="69"/>
  <c r="AP36" i="69"/>
  <c r="AP61" i="69"/>
  <c r="K40" i="69"/>
  <c r="K31" i="69"/>
  <c r="A55" i="69"/>
  <c r="A48" i="69"/>
  <c r="K32" i="69"/>
  <c r="C61" i="69"/>
  <c r="C47" i="69"/>
  <c r="C55" i="69"/>
  <c r="C33" i="69"/>
  <c r="V17" i="69"/>
  <c r="C100" i="4"/>
  <c r="C128" i="4"/>
  <c r="M147" i="4"/>
  <c r="M135" i="4"/>
  <c r="M137" i="4"/>
  <c r="A51" i="69"/>
  <c r="A65" i="69"/>
  <c r="AB67" i="69"/>
  <c r="C133" i="4"/>
  <c r="M115" i="4"/>
  <c r="M107" i="4"/>
  <c r="C138" i="4"/>
  <c r="M98" i="4"/>
  <c r="M116" i="4"/>
  <c r="M101" i="4"/>
  <c r="AM150" i="4"/>
  <c r="C136" i="4"/>
  <c r="G44" i="203"/>
  <c r="AB39" i="69"/>
  <c r="AB45" i="69"/>
  <c r="AB57" i="69"/>
  <c r="AB18" i="69"/>
  <c r="V46" i="69"/>
  <c r="AB26" i="69"/>
  <c r="AB53" i="69"/>
  <c r="AB70" i="69"/>
  <c r="AB29" i="69"/>
  <c r="AB65" i="69"/>
  <c r="V47" i="69"/>
  <c r="V19" i="69"/>
  <c r="V24" i="69"/>
  <c r="A36" i="69"/>
  <c r="A20" i="69"/>
  <c r="V61" i="69"/>
  <c r="V40" i="69"/>
  <c r="AP31" i="69"/>
  <c r="V55" i="69"/>
  <c r="AP22" i="69"/>
  <c r="Q59" i="69"/>
  <c r="A56" i="69"/>
  <c r="AG66" i="69"/>
  <c r="AB64" i="69"/>
  <c r="AP62" i="69"/>
  <c r="V43" i="69"/>
  <c r="AG60" i="69"/>
  <c r="AP50" i="69"/>
  <c r="AG67" i="69"/>
  <c r="AB34" i="69"/>
  <c r="A32" i="69"/>
  <c r="A71" i="69"/>
  <c r="AP44" i="69"/>
  <c r="AP37" i="69"/>
  <c r="C57" i="69"/>
  <c r="C49" i="69"/>
  <c r="C147" i="4"/>
  <c r="V21" i="69"/>
  <c r="AB28" i="69"/>
  <c r="AB54" i="69"/>
  <c r="V23" i="69"/>
  <c r="V66" i="69"/>
  <c r="A64" i="69"/>
  <c r="V67" i="69"/>
  <c r="AB32" i="69"/>
  <c r="V44" i="69"/>
  <c r="V39" i="69"/>
  <c r="V18" i="69"/>
  <c r="AP26" i="69"/>
  <c r="A29" i="69"/>
  <c r="AB52" i="69"/>
  <c r="A17" i="69"/>
  <c r="AB66" i="69"/>
  <c r="V68" i="69"/>
  <c r="A39" i="69"/>
  <c r="A25" i="69"/>
  <c r="A21" i="69"/>
  <c r="A45" i="69"/>
  <c r="A33" i="69"/>
  <c r="V51" i="69"/>
  <c r="V69" i="69"/>
  <c r="AB41" i="69"/>
  <c r="A53" i="69"/>
  <c r="BD45" i="70"/>
  <c r="BD32" i="70"/>
  <c r="BD13" i="70"/>
  <c r="BD55" i="70"/>
  <c r="C21" i="69"/>
  <c r="C40" i="69"/>
  <c r="C43" i="69"/>
  <c r="M100" i="4"/>
  <c r="C145" i="4"/>
  <c r="C117" i="4"/>
  <c r="C142" i="4"/>
  <c r="M105" i="4"/>
  <c r="C99" i="4"/>
  <c r="C127" i="4"/>
  <c r="C137" i="4"/>
  <c r="A68" i="69"/>
  <c r="AP27" i="69"/>
  <c r="V25" i="69"/>
  <c r="AB21" i="69"/>
  <c r="AB33" i="69"/>
  <c r="AB51" i="69"/>
  <c r="AP57" i="69"/>
  <c r="V41" i="69"/>
  <c r="A46" i="69"/>
  <c r="A70" i="69"/>
  <c r="AP65" i="69"/>
  <c r="V49" i="69"/>
  <c r="AP47" i="69"/>
  <c r="V36" i="69"/>
  <c r="AB58" i="69"/>
  <c r="AB20" i="69"/>
  <c r="A61" i="69"/>
  <c r="AB40" i="69"/>
  <c r="AB31" i="69"/>
  <c r="AP54" i="69"/>
  <c r="AB38" i="69"/>
  <c r="AB23" i="69"/>
  <c r="AP56" i="69"/>
  <c r="AP48" i="69"/>
  <c r="A43" i="69"/>
  <c r="AB60" i="69"/>
  <c r="A50" i="69"/>
  <c r="AP32" i="69"/>
  <c r="BD67" i="70"/>
  <c r="M106" i="4"/>
  <c r="M146" i="4"/>
  <c r="G58" i="203"/>
  <c r="C105" i="4"/>
  <c r="C122" i="4"/>
  <c r="M99" i="4"/>
  <c r="C102" i="4"/>
  <c r="C125" i="4"/>
  <c r="M127" i="4"/>
  <c r="C112" i="4"/>
  <c r="M145" i="4"/>
  <c r="AM139" i="4"/>
  <c r="C140" i="4"/>
  <c r="M104" i="4"/>
  <c r="C123" i="4"/>
  <c r="M122" i="4"/>
  <c r="C118" i="4"/>
  <c r="AE102" i="4"/>
  <c r="AM121" i="4"/>
  <c r="C103" i="4"/>
  <c r="BD64" i="70"/>
  <c r="BD23" i="70"/>
  <c r="BD35" i="70"/>
  <c r="AE65" i="70"/>
  <c r="BN65" i="70" s="1"/>
  <c r="AE61" i="70"/>
  <c r="AW61" i="70" s="1"/>
  <c r="BD43" i="70"/>
  <c r="BD20" i="70"/>
  <c r="BM57" i="70"/>
  <c r="BM55" i="70"/>
  <c r="AE62" i="70"/>
  <c r="AW62" i="70" s="1"/>
  <c r="AE60" i="70"/>
  <c r="AW60" i="70" s="1"/>
  <c r="BD44" i="70"/>
  <c r="BD31" i="70"/>
  <c r="AE58" i="70"/>
  <c r="AW58" i="70" s="1"/>
  <c r="AE63" i="70"/>
  <c r="BE63" i="70" s="1"/>
  <c r="BD40" i="70"/>
  <c r="C59" i="69"/>
  <c r="C58" i="69"/>
  <c r="C25" i="69"/>
  <c r="V57" i="69"/>
  <c r="V65" i="69"/>
  <c r="V52" i="69"/>
  <c r="V71" i="69"/>
  <c r="AB68" i="69"/>
  <c r="M134" i="4"/>
  <c r="M108" i="4"/>
  <c r="C104" i="4"/>
  <c r="C97" i="4"/>
  <c r="M124" i="4"/>
  <c r="M102" i="4"/>
  <c r="M103" i="4"/>
  <c r="BD21" i="70"/>
  <c r="BD53" i="70"/>
  <c r="BD54" i="70"/>
  <c r="BD52" i="70"/>
  <c r="BD56" i="70"/>
  <c r="BD63" i="70"/>
  <c r="BD28" i="70"/>
  <c r="BD59" i="70"/>
  <c r="C54" i="69"/>
  <c r="C30" i="69"/>
  <c r="C32" i="69"/>
  <c r="BD47" i="70"/>
  <c r="BD37" i="70"/>
  <c r="BD22" i="70"/>
  <c r="BD66" i="70"/>
  <c r="BD61" i="70"/>
  <c r="BD48" i="70"/>
  <c r="BD36" i="70"/>
  <c r="BD27" i="70"/>
  <c r="BD51" i="70"/>
  <c r="BD18" i="70"/>
  <c r="BD19" i="70"/>
  <c r="BD62" i="70"/>
  <c r="BD60" i="70"/>
  <c r="BD39" i="70"/>
  <c r="BD30" i="70"/>
  <c r="BD33" i="70"/>
  <c r="C29" i="69"/>
  <c r="C39" i="69"/>
  <c r="C51" i="69"/>
  <c r="V30" i="69"/>
  <c r="V31" i="69"/>
  <c r="V54" i="69"/>
  <c r="V59" i="69"/>
  <c r="V48" i="69"/>
  <c r="V62" i="69"/>
  <c r="V34" i="69"/>
  <c r="AB27" i="69"/>
  <c r="AB25" i="69"/>
  <c r="V33" i="69"/>
  <c r="AB69" i="69"/>
  <c r="V28" i="69"/>
  <c r="A57" i="69"/>
  <c r="AP53" i="69"/>
  <c r="V70" i="69"/>
  <c r="V29" i="69"/>
  <c r="AB24" i="69"/>
  <c r="AB36" i="69"/>
  <c r="V58" i="69"/>
  <c r="V20" i="69"/>
  <c r="AB61" i="69"/>
  <c r="AB17" i="69"/>
  <c r="AB22" i="69"/>
  <c r="AB59" i="69"/>
  <c r="A23" i="69"/>
  <c r="V56" i="69"/>
  <c r="AP64" i="69"/>
  <c r="A42" i="69"/>
  <c r="AB48" i="69"/>
  <c r="A35" i="69"/>
  <c r="AB62" i="69"/>
  <c r="AB43" i="69"/>
  <c r="AB50" i="69"/>
  <c r="A67" i="69"/>
  <c r="AB71" i="69"/>
  <c r="AB44" i="69"/>
  <c r="A37" i="69"/>
  <c r="C106" i="4"/>
  <c r="M112" i="4"/>
  <c r="C108" i="4"/>
  <c r="C139" i="4"/>
  <c r="C109" i="4"/>
  <c r="M123" i="4"/>
  <c r="M97" i="4"/>
  <c r="C124" i="4"/>
  <c r="C121" i="4"/>
  <c r="BD29" i="70"/>
  <c r="BD65" i="70"/>
  <c r="BD25" i="70"/>
  <c r="BD15" i="70"/>
  <c r="BD26" i="70"/>
  <c r="BD16" i="70"/>
  <c r="BD57" i="70"/>
  <c r="BD50" i="70"/>
  <c r="BD34" i="70"/>
  <c r="BD38" i="70"/>
  <c r="BD58" i="70"/>
  <c r="BD46" i="70"/>
  <c r="V37" i="69"/>
  <c r="A63" i="69"/>
  <c r="V60" i="69"/>
  <c r="V63" i="69"/>
  <c r="M120" i="4"/>
  <c r="C111" i="4"/>
  <c r="M139" i="4"/>
  <c r="M113" i="4"/>
  <c r="M121" i="4"/>
  <c r="C126" i="4"/>
  <c r="AM133" i="4"/>
  <c r="M130" i="4"/>
  <c r="C115" i="4"/>
  <c r="C120" i="4"/>
  <c r="M111" i="4"/>
  <c r="G21" i="203"/>
  <c r="M109" i="4"/>
  <c r="G51" i="203"/>
  <c r="G36" i="203"/>
  <c r="M143" i="4"/>
  <c r="C98" i="4"/>
  <c r="AE116" i="4"/>
  <c r="M119" i="4"/>
  <c r="C113" i="4"/>
  <c r="M136" i="4"/>
  <c r="M126" i="4"/>
  <c r="M131" i="4"/>
  <c r="BD17" i="70"/>
  <c r="BD41" i="70"/>
  <c r="BD24" i="70"/>
  <c r="BD14" i="70"/>
  <c r="BD42" i="70"/>
  <c r="AP29" i="69"/>
  <c r="Q65" i="69"/>
  <c r="AB49" i="69"/>
  <c r="A47" i="69"/>
  <c r="AP19" i="69"/>
  <c r="A30" i="69"/>
  <c r="Q52" i="69"/>
  <c r="AP58" i="69"/>
  <c r="AP20" i="69"/>
  <c r="AG61" i="69"/>
  <c r="V38" i="69"/>
  <c r="AP55" i="69"/>
  <c r="A22" i="69"/>
  <c r="AB56" i="69"/>
  <c r="A66" i="69"/>
  <c r="V64" i="69"/>
  <c r="V42" i="69"/>
  <c r="Q62" i="69"/>
  <c r="Q60" i="69"/>
  <c r="C22" i="69"/>
  <c r="C34" i="69"/>
  <c r="V5" i="88"/>
  <c r="V6" i="88"/>
  <c r="V14" i="88"/>
  <c r="S14" i="88" s="1"/>
  <c r="V3" i="88"/>
  <c r="V4" i="88"/>
  <c r="V16" i="88"/>
  <c r="V9" i="88"/>
  <c r="V13" i="88"/>
  <c r="V2" i="88"/>
  <c r="V10" i="88"/>
  <c r="V7" i="88"/>
  <c r="V11" i="88"/>
  <c r="V15" i="88"/>
  <c r="V8" i="88"/>
  <c r="V12" i="88"/>
  <c r="V42" i="88"/>
  <c r="V44" i="88"/>
  <c r="V23" i="88"/>
  <c r="V41" i="88"/>
  <c r="V27" i="88"/>
  <c r="V39" i="88"/>
  <c r="V35" i="88"/>
  <c r="V24" i="88"/>
  <c r="V43" i="88"/>
  <c r="V45" i="88"/>
  <c r="V40" i="88"/>
  <c r="V34" i="88"/>
  <c r="V36" i="88"/>
  <c r="V38" i="88"/>
  <c r="V33" i="88"/>
  <c r="V19" i="88"/>
  <c r="V21" i="88"/>
  <c r="V31" i="88"/>
  <c r="V29" i="88"/>
  <c r="V37" i="88"/>
  <c r="V32" i="88"/>
  <c r="V18" i="88"/>
  <c r="V20" i="88"/>
  <c r="V22" i="88"/>
  <c r="V26" i="88"/>
  <c r="V28" i="88"/>
  <c r="V30" i="88"/>
  <c r="V25" i="88"/>
  <c r="I43" i="204"/>
  <c r="I45" i="204"/>
  <c r="W136" i="4"/>
  <c r="B96" i="4" a="1"/>
  <c r="B107" i="4" s="1"/>
  <c r="W115" i="4"/>
  <c r="AE132" i="4"/>
  <c r="W111" i="4"/>
  <c r="AE142" i="4"/>
  <c r="W97" i="4"/>
  <c r="W114" i="4"/>
  <c r="AE122" i="4"/>
  <c r="I56" i="204"/>
  <c r="AE118" i="4"/>
  <c r="I21" i="204"/>
  <c r="I30" i="204"/>
  <c r="AE103" i="4"/>
  <c r="W137" i="4"/>
  <c r="I47" i="204"/>
  <c r="AE96" i="4"/>
  <c r="W133" i="4"/>
  <c r="AM100" i="4"/>
  <c r="C130" i="4"/>
  <c r="C146" i="4"/>
  <c r="AM112" i="4"/>
  <c r="M132" i="4"/>
  <c r="I34" i="204"/>
  <c r="W117" i="4"/>
  <c r="W139" i="4"/>
  <c r="AE109" i="4"/>
  <c r="AM140" i="4"/>
  <c r="C148" i="4"/>
  <c r="C135" i="4"/>
  <c r="AE97" i="4"/>
  <c r="I53" i="204"/>
  <c r="AM118" i="4"/>
  <c r="AM124" i="4"/>
  <c r="AE101" i="4"/>
  <c r="W113" i="4"/>
  <c r="AM129" i="4"/>
  <c r="W100" i="4"/>
  <c r="C134" i="4"/>
  <c r="AE107" i="4"/>
  <c r="W132" i="4"/>
  <c r="AM111" i="4"/>
  <c r="AE108" i="4"/>
  <c r="C141" i="4"/>
  <c r="I58" i="204"/>
  <c r="M140" i="4"/>
  <c r="I28" i="204"/>
  <c r="W123" i="4"/>
  <c r="AE105" i="4"/>
  <c r="I36" i="204"/>
  <c r="AE114" i="4"/>
  <c r="I39" i="204"/>
  <c r="W124" i="4"/>
  <c r="AM101" i="4"/>
  <c r="W150" i="4"/>
  <c r="AE125" i="4"/>
  <c r="W127" i="4"/>
  <c r="I40" i="204"/>
  <c r="W134" i="4"/>
  <c r="W107" i="4"/>
  <c r="AE145" i="4"/>
  <c r="I41" i="204"/>
  <c r="AE141" i="4"/>
  <c r="I29" i="204"/>
  <c r="I24" i="204"/>
  <c r="I27" i="204"/>
  <c r="W149" i="4"/>
  <c r="W116" i="4"/>
  <c r="I31" i="204"/>
  <c r="W96" i="4"/>
  <c r="AM134" i="4"/>
  <c r="AM130" i="4"/>
  <c r="AE130" i="4"/>
  <c r="AE146" i="4"/>
  <c r="AE110" i="4"/>
  <c r="I44" i="204"/>
  <c r="I23" i="204"/>
  <c r="W138" i="4"/>
  <c r="I38" i="204"/>
  <c r="I54" i="204"/>
  <c r="AE129" i="4"/>
  <c r="I55" i="204"/>
  <c r="W131" i="4"/>
  <c r="AE134" i="4"/>
  <c r="AM107" i="4"/>
  <c r="W108" i="4"/>
  <c r="W128" i="4"/>
  <c r="W140" i="4"/>
  <c r="I59" i="204"/>
  <c r="AE147" i="4"/>
  <c r="AE104" i="4"/>
  <c r="W148" i="4"/>
  <c r="AE149" i="4"/>
  <c r="I32" i="204"/>
  <c r="AE144" i="4"/>
  <c r="W102" i="4"/>
  <c r="AM136" i="4"/>
  <c r="W106" i="4"/>
  <c r="I49" i="204"/>
  <c r="AE115" i="4"/>
  <c r="AE112" i="4"/>
  <c r="AE111" i="4"/>
  <c r="W141" i="4"/>
  <c r="AE140" i="4"/>
  <c r="W135" i="4"/>
  <c r="W143" i="4"/>
  <c r="W122" i="4"/>
  <c r="I22" i="204"/>
  <c r="W126" i="4"/>
  <c r="I25" i="204"/>
  <c r="W146" i="4"/>
  <c r="W112" i="4"/>
  <c r="AM108" i="4"/>
  <c r="W142" i="4"/>
  <c r="W147" i="4"/>
  <c r="AE138" i="4"/>
  <c r="I57" i="204"/>
  <c r="W105" i="4"/>
  <c r="AM149" i="4"/>
  <c r="AM114" i="4"/>
  <c r="AM122" i="4"/>
  <c r="W119" i="4"/>
  <c r="W118" i="4"/>
  <c r="W101" i="4"/>
  <c r="I51" i="204"/>
  <c r="AM144" i="4"/>
  <c r="AE150" i="4"/>
  <c r="AM102" i="4"/>
  <c r="AE136" i="4"/>
  <c r="W125" i="4"/>
  <c r="AE121" i="4"/>
  <c r="AM131" i="4"/>
  <c r="AM137" i="4"/>
  <c r="I48" i="204"/>
  <c r="AE133" i="4"/>
  <c r="W145" i="4"/>
  <c r="I42" i="204"/>
  <c r="AE128" i="4"/>
  <c r="AE139" i="4"/>
  <c r="I33" i="204"/>
  <c r="W109" i="4"/>
  <c r="W104" i="4"/>
  <c r="W98" i="4"/>
  <c r="W99" i="4"/>
  <c r="AE127" i="4"/>
  <c r="W103" i="4"/>
  <c r="AE131" i="4"/>
  <c r="AE137" i="4"/>
  <c r="AE100" i="4"/>
  <c r="AE120" i="4"/>
  <c r="I26" i="204"/>
  <c r="AM141" i="4"/>
  <c r="I37" i="204"/>
  <c r="AM135" i="4"/>
  <c r="AM97" i="4"/>
  <c r="AM116" i="4"/>
  <c r="AM99" i="4"/>
  <c r="AE124" i="4"/>
  <c r="I52" i="204"/>
  <c r="AE126" i="4"/>
  <c r="W130" i="4"/>
  <c r="AM146" i="4"/>
  <c r="W110" i="4"/>
  <c r="W120" i="4"/>
  <c r="AE117" i="4"/>
  <c r="AM128" i="4"/>
  <c r="I35" i="204"/>
  <c r="AM148" i="4"/>
  <c r="AM143" i="4"/>
  <c r="AE143" i="4"/>
  <c r="AM98" i="4"/>
  <c r="I46" i="204"/>
  <c r="W144" i="4"/>
  <c r="W121" i="4"/>
  <c r="Z25" i="70"/>
  <c r="R100" i="69"/>
  <c r="S100" i="69" s="1"/>
  <c r="AF34" i="70"/>
  <c r="AF35" i="70"/>
  <c r="AF62" i="70"/>
  <c r="AF40" i="70"/>
  <c r="AF42" i="70"/>
  <c r="AF24" i="70"/>
  <c r="AF57" i="70"/>
  <c r="AF26" i="70"/>
  <c r="AF33" i="70"/>
  <c r="AF39" i="70"/>
  <c r="AF64" i="70"/>
  <c r="AF20" i="70"/>
  <c r="AF47" i="70"/>
  <c r="AF38" i="70"/>
  <c r="AF49" i="70"/>
  <c r="AF19" i="70"/>
  <c r="AF17" i="70"/>
  <c r="AF53" i="70"/>
  <c r="AF61" i="70"/>
  <c r="AF37" i="70"/>
  <c r="AF51" i="70"/>
  <c r="AF41" i="70"/>
  <c r="AF48" i="70"/>
  <c r="AF43" i="70"/>
  <c r="AF36" i="70"/>
  <c r="AF46" i="70"/>
  <c r="AF54" i="70"/>
  <c r="AF22" i="70"/>
  <c r="AF23" i="70"/>
  <c r="AF55" i="70"/>
  <c r="AF56" i="70"/>
  <c r="AF52" i="70"/>
  <c r="AF60" i="70"/>
  <c r="AF63" i="70"/>
  <c r="AF25" i="70"/>
  <c r="AF58" i="70"/>
  <c r="AF50" i="70"/>
  <c r="AF21" i="70"/>
  <c r="AF45" i="70"/>
  <c r="AF59" i="70"/>
  <c r="AF18" i="70"/>
  <c r="AF44" i="70"/>
  <c r="BN67" i="70"/>
  <c r="AF67" i="70"/>
  <c r="BN66" i="70"/>
  <c r="AF66" i="70"/>
  <c r="AF32" i="70"/>
  <c r="AF30" i="70"/>
  <c r="AF65" i="70"/>
  <c r="AF27" i="70"/>
  <c r="AF28" i="70"/>
  <c r="AF31" i="70"/>
  <c r="AF29" i="70"/>
  <c r="R99" i="69"/>
  <c r="S99" i="69" s="1"/>
  <c r="R95" i="69"/>
  <c r="S95" i="69" s="1"/>
  <c r="R94" i="69"/>
  <c r="S94" i="69" s="1"/>
  <c r="R98" i="69"/>
  <c r="S98" i="69" s="1"/>
  <c r="R96" i="69"/>
  <c r="S96" i="69" s="1"/>
  <c r="S106" i="69"/>
  <c r="S101" i="69"/>
  <c r="S111" i="69"/>
  <c r="S102" i="69"/>
  <c r="S105" i="69"/>
  <c r="S103" i="69"/>
  <c r="S107" i="69"/>
  <c r="S109" i="69"/>
  <c r="S113" i="69"/>
  <c r="S112" i="69"/>
  <c r="S108" i="69"/>
  <c r="S104" i="69"/>
  <c r="S110" i="69"/>
  <c r="S97" i="69"/>
  <c r="BN125" i="4"/>
  <c r="BN128" i="4"/>
  <c r="BN130" i="4"/>
  <c r="BN103" i="4"/>
  <c r="BN109" i="4"/>
  <c r="BN104" i="4"/>
  <c r="BN117" i="4"/>
  <c r="BN106" i="4"/>
  <c r="BN107" i="4"/>
  <c r="BN121" i="4"/>
  <c r="BN115" i="4"/>
  <c r="BN96" i="4"/>
  <c r="BN133" i="4"/>
  <c r="BN97" i="4"/>
  <c r="BN119" i="4"/>
  <c r="BN129" i="4"/>
  <c r="BN120" i="4"/>
  <c r="BN108" i="4"/>
  <c r="BN101" i="4"/>
  <c r="BN118" i="4"/>
  <c r="BN112" i="4"/>
  <c r="BN113" i="4"/>
  <c r="BN102" i="4"/>
  <c r="BN99" i="4"/>
  <c r="BN123" i="4"/>
  <c r="BN131" i="4"/>
  <c r="BN126" i="4"/>
  <c r="BN127" i="4"/>
  <c r="BN116" i="4"/>
  <c r="BN122" i="4"/>
  <c r="BN111" i="4"/>
  <c r="BN110" i="4"/>
  <c r="BN100" i="4"/>
  <c r="BN105" i="4"/>
  <c r="BN136" i="4"/>
  <c r="BN98" i="4"/>
  <c r="BN137" i="4"/>
  <c r="BN153" i="4"/>
  <c r="BN135" i="4"/>
  <c r="BN124" i="4"/>
  <c r="BN114" i="4"/>
  <c r="BN143" i="4"/>
  <c r="BN132" i="4"/>
  <c r="BN160" i="4"/>
  <c r="BN139" i="4"/>
  <c r="BN134" i="4"/>
  <c r="BN138" i="4"/>
  <c r="BN151" i="4"/>
  <c r="F95" i="43"/>
  <c r="F94" i="43"/>
  <c r="F96" i="43"/>
  <c r="F98" i="43"/>
  <c r="F104" i="43"/>
  <c r="F102" i="43"/>
  <c r="F99" i="43"/>
  <c r="F106" i="43"/>
  <c r="F108" i="43"/>
  <c r="F110" i="43"/>
  <c r="F113" i="43"/>
  <c r="F101" i="43"/>
  <c r="F112" i="43"/>
  <c r="F109" i="43"/>
  <c r="F97" i="43"/>
  <c r="F111" i="43"/>
  <c r="F100" i="43"/>
  <c r="F107" i="43"/>
  <c r="F103" i="43"/>
  <c r="F105" i="43"/>
  <c r="BN161" i="4"/>
  <c r="BN145" i="4"/>
  <c r="BN147" i="4"/>
  <c r="BN142" i="4"/>
  <c r="BN154" i="4"/>
  <c r="BN150" i="4"/>
  <c r="BN158" i="4"/>
  <c r="BN159" i="4"/>
  <c r="BN152" i="4"/>
  <c r="BN141" i="4"/>
  <c r="BN148" i="4"/>
  <c r="BN140" i="4"/>
  <c r="BN157" i="4"/>
  <c r="BN149" i="4"/>
  <c r="BN155" i="4"/>
  <c r="BN156" i="4"/>
  <c r="BN144" i="4"/>
  <c r="Z14" i="70"/>
  <c r="Z15" i="70"/>
  <c r="AR150" i="4"/>
  <c r="AJ150" i="4"/>
  <c r="T150" i="4"/>
  <c r="H150" i="4"/>
  <c r="AB150" i="4"/>
  <c r="AB149" i="4"/>
  <c r="AR149" i="4"/>
  <c r="AJ149" i="4"/>
  <c r="H149" i="4"/>
  <c r="T149" i="4"/>
  <c r="Z13" i="70"/>
  <c r="Z52" i="70"/>
  <c r="AO52" i="70"/>
  <c r="Z66" i="70"/>
  <c r="AO66" i="70"/>
  <c r="Z60" i="70"/>
  <c r="AO60" i="70"/>
  <c r="BE30" i="70"/>
  <c r="AO30" i="70"/>
  <c r="BN30" i="70"/>
  <c r="Z30" i="70"/>
  <c r="AW30" i="70"/>
  <c r="AO23" i="70"/>
  <c r="Z23" i="70"/>
  <c r="AO63" i="70"/>
  <c r="Z63" i="70"/>
  <c r="Z75" i="70"/>
  <c r="AO42" i="70"/>
  <c r="Z42" i="70"/>
  <c r="Z69" i="70"/>
  <c r="BE31" i="70"/>
  <c r="BN31" i="70"/>
  <c r="AO31" i="70"/>
  <c r="Z31" i="70"/>
  <c r="AW31" i="70"/>
  <c r="Z35" i="70"/>
  <c r="AO35" i="70"/>
  <c r="AO41" i="70"/>
  <c r="Z41" i="70"/>
  <c r="Z32" i="70"/>
  <c r="AO32" i="70"/>
  <c r="AO65" i="70"/>
  <c r="Z65" i="70"/>
  <c r="AO47" i="70"/>
  <c r="Z47" i="70"/>
  <c r="AO46" i="70"/>
  <c r="Z46" i="70"/>
  <c r="AO17" i="70"/>
  <c r="Z17" i="70"/>
  <c r="Z49" i="70"/>
  <c r="AO49" i="70"/>
  <c r="AO28" i="70"/>
  <c r="Z28" i="70"/>
  <c r="AO37" i="70"/>
  <c r="Z37" i="70"/>
  <c r="AO64" i="70"/>
  <c r="Z64" i="70"/>
  <c r="BN29" i="70"/>
  <c r="AW29" i="70"/>
  <c r="AO29" i="70"/>
  <c r="BE29" i="70"/>
  <c r="Z29" i="70"/>
  <c r="AO62" i="70"/>
  <c r="Z62" i="70"/>
  <c r="Z40" i="70"/>
  <c r="AO40" i="70"/>
  <c r="Z73" i="70"/>
  <c r="AO58" i="70"/>
  <c r="Z58" i="70"/>
  <c r="AO26" i="70"/>
  <c r="Z26" i="70"/>
  <c r="AO21" i="70"/>
  <c r="Z21" i="70"/>
  <c r="AO38" i="70"/>
  <c r="Z38" i="70"/>
  <c r="Z72" i="70"/>
  <c r="Z34" i="70"/>
  <c r="AO34" i="70"/>
  <c r="Z16" i="70"/>
  <c r="AO16" i="70"/>
  <c r="AO67" i="70"/>
  <c r="Z67" i="70"/>
  <c r="Z53" i="70"/>
  <c r="AO53" i="70"/>
  <c r="AO20" i="70"/>
  <c r="Z20" i="70"/>
  <c r="AO33" i="70"/>
  <c r="Z33" i="70"/>
  <c r="AO22" i="70"/>
  <c r="Z22" i="70"/>
  <c r="Z18" i="70"/>
  <c r="AO18" i="70"/>
  <c r="BE27" i="70"/>
  <c r="BE67" i="70"/>
  <c r="AW34" i="70"/>
  <c r="BE64" i="70"/>
  <c r="AO44" i="70"/>
  <c r="Z44" i="70"/>
  <c r="Z36" i="70"/>
  <c r="AO36" i="70"/>
  <c r="AO61" i="70"/>
  <c r="Z61" i="70"/>
  <c r="Z50" i="70"/>
  <c r="AO50" i="70"/>
  <c r="Z70" i="70"/>
  <c r="AO19" i="70"/>
  <c r="Z19" i="70"/>
  <c r="AO24" i="70"/>
  <c r="Z24" i="70"/>
  <c r="AO51" i="70"/>
  <c r="Z51" i="70"/>
  <c r="Z78" i="70"/>
  <c r="Z48" i="70"/>
  <c r="AO48" i="70"/>
  <c r="AO57" i="70"/>
  <c r="Z57" i="70"/>
  <c r="Z77" i="70"/>
  <c r="Z71" i="70"/>
  <c r="Z45" i="70"/>
  <c r="AO45" i="70"/>
  <c r="AO59" i="70"/>
  <c r="Z59" i="70"/>
  <c r="Z74" i="70"/>
  <c r="AO25" i="70"/>
  <c r="Z43" i="70"/>
  <c r="AO43" i="70"/>
  <c r="AO55" i="70"/>
  <c r="Z55" i="70"/>
  <c r="Z68" i="70"/>
  <c r="Z56" i="70"/>
  <c r="AO56" i="70"/>
  <c r="AO27" i="70"/>
  <c r="Z27" i="70"/>
  <c r="AO54" i="70"/>
  <c r="Z54" i="70"/>
  <c r="Z76" i="70"/>
  <c r="AO39" i="70"/>
  <c r="Z39" i="70"/>
  <c r="BN39" i="202" l="1"/>
  <c r="BN40" i="202"/>
  <c r="BN23" i="202"/>
  <c r="BN69" i="202"/>
  <c r="BN56" i="202"/>
  <c r="BN38" i="202"/>
  <c r="BN59" i="202"/>
  <c r="BN65" i="202"/>
  <c r="BN62" i="202"/>
  <c r="BN68" i="202"/>
  <c r="BN66" i="202"/>
  <c r="M62" i="43"/>
  <c r="M66" i="43"/>
  <c r="M37" i="43"/>
  <c r="M24" i="43"/>
  <c r="M30" i="43"/>
  <c r="M39" i="43"/>
  <c r="M36" i="43"/>
  <c r="M23" i="43"/>
  <c r="M18" i="43"/>
  <c r="M71" i="43"/>
  <c r="M77" i="43"/>
  <c r="P77" i="43" s="1"/>
  <c r="M35" i="43"/>
  <c r="M61" i="43"/>
  <c r="M58" i="43"/>
  <c r="M26" i="43"/>
  <c r="M56" i="43"/>
  <c r="M27" i="43"/>
  <c r="M63" i="43"/>
  <c r="M54" i="43"/>
  <c r="M49" i="43"/>
  <c r="M73" i="43"/>
  <c r="M25" i="43"/>
  <c r="M43" i="43"/>
  <c r="M45" i="43"/>
  <c r="M75" i="43"/>
  <c r="M31" i="43"/>
  <c r="M51" i="43"/>
  <c r="M72" i="43"/>
  <c r="M28" i="43"/>
  <c r="M41" i="43"/>
  <c r="M29" i="43"/>
  <c r="M74" i="43"/>
  <c r="M38" i="43"/>
  <c r="M22" i="43"/>
  <c r="M70" i="43"/>
  <c r="M42" i="43"/>
  <c r="M21" i="43"/>
  <c r="M69" i="43"/>
  <c r="M40" i="43"/>
  <c r="M53" i="43"/>
  <c r="M34" i="43"/>
  <c r="M65" i="43"/>
  <c r="M59" i="43"/>
  <c r="M33" i="43"/>
  <c r="M57" i="43"/>
  <c r="M76" i="43"/>
  <c r="M60" i="43"/>
  <c r="M50" i="43"/>
  <c r="M32" i="43"/>
  <c r="M46" i="43"/>
  <c r="M19" i="43"/>
  <c r="M67" i="43"/>
  <c r="M17" i="43"/>
  <c r="M20" i="43"/>
  <c r="M52" i="43"/>
  <c r="M48" i="43"/>
  <c r="M44" i="43"/>
  <c r="M55" i="43"/>
  <c r="M68" i="43"/>
  <c r="M47" i="43"/>
  <c r="M64" i="43"/>
  <c r="BN53" i="202"/>
  <c r="BN24" i="202"/>
  <c r="BN47" i="202"/>
  <c r="BN42" i="202"/>
  <c r="BN55" i="202"/>
  <c r="A83" i="4"/>
  <c r="A51" i="4"/>
  <c r="A33" i="4"/>
  <c r="A75" i="4"/>
  <c r="A88" i="4"/>
  <c r="A55" i="4"/>
  <c r="A87" i="4"/>
  <c r="A69" i="4"/>
  <c r="A79" i="4"/>
  <c r="A65" i="4"/>
  <c r="A89" i="4"/>
  <c r="A70" i="4"/>
  <c r="A54" i="4"/>
  <c r="A74" i="4"/>
  <c r="A31" i="4"/>
  <c r="A27" i="4"/>
  <c r="A24" i="4"/>
  <c r="A63" i="4"/>
  <c r="A57" i="4"/>
  <c r="A45" i="4"/>
  <c r="A53" i="4"/>
  <c r="A67" i="4"/>
  <c r="A36" i="4"/>
  <c r="A81" i="4"/>
  <c r="A42" i="4"/>
  <c r="A46" i="4"/>
  <c r="A56" i="4"/>
  <c r="A62" i="4"/>
  <c r="A64" i="4"/>
  <c r="A71" i="4"/>
  <c r="A43" i="4"/>
  <c r="A50" i="4"/>
  <c r="A86" i="4"/>
  <c r="A90" i="4"/>
  <c r="A48" i="4"/>
  <c r="A29" i="4"/>
  <c r="A25" i="4"/>
  <c r="A58" i="4"/>
  <c r="A78" i="4"/>
  <c r="A91" i="4"/>
  <c r="A60" i="4"/>
  <c r="A41" i="4"/>
  <c r="A37" i="4"/>
  <c r="A82" i="4"/>
  <c r="A32" i="4"/>
  <c r="A72" i="4"/>
  <c r="A49" i="4"/>
  <c r="A44" i="4"/>
  <c r="A84" i="4"/>
  <c r="A61" i="4"/>
  <c r="A34" i="4"/>
  <c r="A66" i="4"/>
  <c r="A39" i="4"/>
  <c r="A23" i="4"/>
  <c r="A26" i="4"/>
  <c r="A77" i="4"/>
  <c r="A73" i="4"/>
  <c r="A28" i="4"/>
  <c r="A68" i="4"/>
  <c r="A35" i="4"/>
  <c r="A38" i="4"/>
  <c r="A30" i="4"/>
  <c r="A85" i="4"/>
  <c r="A40" i="4"/>
  <c r="A80" i="4"/>
  <c r="A47" i="4"/>
  <c r="A52" i="4"/>
  <c r="A59" i="4"/>
  <c r="A76" i="4"/>
  <c r="BN41" i="202"/>
  <c r="BN25" i="202"/>
  <c r="BN37" i="202"/>
  <c r="BN50" i="202"/>
  <c r="BN29" i="202"/>
  <c r="BN70" i="202"/>
  <c r="BN61" i="202"/>
  <c r="BN71" i="202"/>
  <c r="BN21" i="202"/>
  <c r="BN49" i="202"/>
  <c r="BN46" i="202"/>
  <c r="BN18" i="202"/>
  <c r="BN58" i="202"/>
  <c r="A914" i="242"/>
  <c r="B915" i="242"/>
  <c r="A1371" i="242"/>
  <c r="B1372" i="242"/>
  <c r="A1372" i="242" s="1"/>
  <c r="B2787" i="242"/>
  <c r="A2786" i="242"/>
  <c r="F23" i="69"/>
  <c r="F21" i="69"/>
  <c r="F39" i="69"/>
  <c r="F19" i="69"/>
  <c r="F22" i="69"/>
  <c r="F20" i="69"/>
  <c r="F17" i="69"/>
  <c r="F18" i="69"/>
  <c r="F24" i="69"/>
  <c r="F38" i="69"/>
  <c r="B110" i="4"/>
  <c r="B17" i="69" a="1"/>
  <c r="B67" i="69" s="1"/>
  <c r="B100" i="4"/>
  <c r="B143" i="4"/>
  <c r="B124" i="4"/>
  <c r="B118" i="4"/>
  <c r="H118" i="4" s="1"/>
  <c r="B123" i="4"/>
  <c r="T26" i="88"/>
  <c r="AK26" i="88" s="1"/>
  <c r="S26" i="88"/>
  <c r="X26" i="88" s="1"/>
  <c r="T21" i="88"/>
  <c r="S21" i="88"/>
  <c r="X21" i="88" s="1"/>
  <c r="T43" i="88"/>
  <c r="AK43" i="88" s="1"/>
  <c r="S43" i="88"/>
  <c r="X43" i="88" s="1"/>
  <c r="T42" i="88"/>
  <c r="AK42" i="88" s="1"/>
  <c r="S42" i="88"/>
  <c r="X42" i="88" s="1"/>
  <c r="S13" i="88"/>
  <c r="X13" i="88" s="1"/>
  <c r="T22" i="88"/>
  <c r="S22" i="88"/>
  <c r="X22" i="88" s="1"/>
  <c r="T19" i="88"/>
  <c r="S19" i="88"/>
  <c r="X19" i="88" s="1"/>
  <c r="T24" i="88"/>
  <c r="S24" i="88"/>
  <c r="X24" i="88" s="1"/>
  <c r="S12" i="88"/>
  <c r="X12" i="88" s="1"/>
  <c r="S9" i="88"/>
  <c r="X9" i="88" s="1"/>
  <c r="T20" i="88"/>
  <c r="S20" i="88"/>
  <c r="X20" i="88" s="1"/>
  <c r="T35" i="88"/>
  <c r="S35" i="88"/>
  <c r="X35" i="88" s="1"/>
  <c r="T18" i="88"/>
  <c r="S18" i="88"/>
  <c r="X18" i="88" s="1"/>
  <c r="T38" i="88"/>
  <c r="AK38" i="88" s="1"/>
  <c r="S38" i="88"/>
  <c r="X38" i="88" s="1"/>
  <c r="T39" i="88"/>
  <c r="AK39" i="88" s="1"/>
  <c r="S39" i="88"/>
  <c r="X39" i="88" s="1"/>
  <c r="AH15" i="88"/>
  <c r="AI15" i="88"/>
  <c r="AG15" i="88"/>
  <c r="AJ15" i="88"/>
  <c r="AF15" i="88"/>
  <c r="S15" i="88"/>
  <c r="AI16" i="88"/>
  <c r="AJ16" i="88"/>
  <c r="AH16" i="88"/>
  <c r="AG16" i="88"/>
  <c r="AF16" i="88"/>
  <c r="S16" i="88"/>
  <c r="T32" i="88"/>
  <c r="AK32" i="88" s="1"/>
  <c r="S32" i="88"/>
  <c r="X32" i="88" s="1"/>
  <c r="T36" i="88"/>
  <c r="AK36" i="88" s="1"/>
  <c r="S36" i="88"/>
  <c r="X36" i="88" s="1"/>
  <c r="T27" i="88"/>
  <c r="S27" i="88"/>
  <c r="X27" i="88" s="1"/>
  <c r="S11" i="88"/>
  <c r="X11" i="88" s="1"/>
  <c r="S8" i="88"/>
  <c r="X8" i="88" s="1"/>
  <c r="T30" i="88"/>
  <c r="S30" i="88"/>
  <c r="X30" i="88" s="1"/>
  <c r="T29" i="88"/>
  <c r="AK29" i="88" s="1"/>
  <c r="S29" i="88"/>
  <c r="X29" i="88" s="1"/>
  <c r="T40" i="88"/>
  <c r="S40" i="88"/>
  <c r="X40" i="88" s="1"/>
  <c r="T23" i="88"/>
  <c r="S23" i="88"/>
  <c r="X23" i="88" s="1"/>
  <c r="S10" i="88"/>
  <c r="X10" i="88" s="1"/>
  <c r="S6" i="88"/>
  <c r="X6" i="88" s="1"/>
  <c r="T33" i="88"/>
  <c r="AK33" i="88" s="1"/>
  <c r="S33" i="88"/>
  <c r="X33" i="88" s="1"/>
  <c r="T25" i="88"/>
  <c r="S25" i="88"/>
  <c r="X25" i="88" s="1"/>
  <c r="T37" i="88"/>
  <c r="AK37" i="88" s="1"/>
  <c r="S37" i="88"/>
  <c r="X37" i="88" s="1"/>
  <c r="T34" i="88"/>
  <c r="AK34" i="88" s="1"/>
  <c r="S34" i="88"/>
  <c r="X34" i="88" s="1"/>
  <c r="T41" i="88"/>
  <c r="AK41" i="88" s="1"/>
  <c r="S41" i="88"/>
  <c r="X41" i="88" s="1"/>
  <c r="S7" i="88"/>
  <c r="X7" i="88" s="1"/>
  <c r="T28" i="88"/>
  <c r="AK28" i="88" s="1"/>
  <c r="S28" i="88"/>
  <c r="X28" i="88" s="1"/>
  <c r="T31" i="88"/>
  <c r="AK31" i="88" s="1"/>
  <c r="S31" i="88"/>
  <c r="X31" i="88" s="1"/>
  <c r="T45" i="88"/>
  <c r="S45" i="88"/>
  <c r="X45" i="88" s="1"/>
  <c r="T44" i="88"/>
  <c r="AK44" i="88" s="1"/>
  <c r="S44" i="88"/>
  <c r="X44" i="88" s="1"/>
  <c r="S5" i="88"/>
  <c r="X5" i="88" s="1"/>
  <c r="B137" i="4"/>
  <c r="B135" i="4"/>
  <c r="AN135" i="4" s="1"/>
  <c r="B105" i="4"/>
  <c r="AF105" i="4" s="1"/>
  <c r="B147" i="4"/>
  <c r="AJ147" i="4" s="1"/>
  <c r="B130" i="4"/>
  <c r="T130" i="4" s="1"/>
  <c r="B97" i="4"/>
  <c r="AB97" i="4" s="1"/>
  <c r="B114" i="4"/>
  <c r="B103" i="4"/>
  <c r="B128" i="4"/>
  <c r="B112" i="4"/>
  <c r="B148" i="4"/>
  <c r="B142" i="4"/>
  <c r="AF142" i="4" s="1"/>
  <c r="AG142" i="4" s="1"/>
  <c r="AH142" i="4" s="1"/>
  <c r="B144" i="4"/>
  <c r="B139" i="4"/>
  <c r="F9" i="203" a="1"/>
  <c r="F10" i="203" s="1"/>
  <c r="A96" i="4" a="1"/>
  <c r="A118" i="4" s="1"/>
  <c r="F9" i="204" a="1"/>
  <c r="F42" i="204" s="1"/>
  <c r="B115" i="4"/>
  <c r="B140" i="4"/>
  <c r="B125" i="4"/>
  <c r="B116" i="4"/>
  <c r="B136" i="4"/>
  <c r="B145" i="4"/>
  <c r="B141" i="4"/>
  <c r="B101" i="4"/>
  <c r="X101" i="4" s="1"/>
  <c r="Y101" i="4" s="1"/>
  <c r="Z101" i="4" s="1"/>
  <c r="B117" i="4"/>
  <c r="B138" i="4"/>
  <c r="B146" i="4"/>
  <c r="B108" i="4"/>
  <c r="B120" i="4"/>
  <c r="B109" i="4"/>
  <c r="B127" i="4"/>
  <c r="B133" i="4"/>
  <c r="B132" i="4"/>
  <c r="B106" i="4"/>
  <c r="B122" i="4"/>
  <c r="B104" i="4"/>
  <c r="B149" i="4"/>
  <c r="X149" i="4" s="1"/>
  <c r="Y149" i="4" s="1"/>
  <c r="Z149" i="4" s="1"/>
  <c r="AC149" i="4" s="1"/>
  <c r="AD70" i="69" s="1"/>
  <c r="B102" i="4"/>
  <c r="B98" i="4"/>
  <c r="AF98" i="4" s="1"/>
  <c r="B113" i="4"/>
  <c r="B150" i="4"/>
  <c r="B131" i="4"/>
  <c r="B121" i="4"/>
  <c r="B96" i="4"/>
  <c r="B126" i="4"/>
  <c r="B134" i="4"/>
  <c r="B111" i="4"/>
  <c r="AF111" i="4" s="1"/>
  <c r="B119" i="4"/>
  <c r="B99" i="4"/>
  <c r="B129" i="4"/>
  <c r="E30" i="187"/>
  <c r="E27" i="187"/>
  <c r="E28" i="187"/>
  <c r="E29" i="187"/>
  <c r="E25" i="187"/>
  <c r="E26" i="187"/>
  <c r="P110" i="43"/>
  <c r="P108" i="43"/>
  <c r="P107" i="43"/>
  <c r="P113" i="43"/>
  <c r="P106" i="43"/>
  <c r="P111" i="43"/>
  <c r="P105" i="43"/>
  <c r="P109" i="43"/>
  <c r="P112" i="43"/>
  <c r="L30" i="69"/>
  <c r="W65" i="69"/>
  <c r="W45" i="69"/>
  <c r="W64" i="69"/>
  <c r="L26" i="69"/>
  <c r="W53" i="69"/>
  <c r="W56" i="69"/>
  <c r="W60" i="69"/>
  <c r="W47" i="69"/>
  <c r="W61" i="69"/>
  <c r="W68" i="69"/>
  <c r="L27" i="69"/>
  <c r="W44" i="69"/>
  <c r="W69" i="69"/>
  <c r="L29" i="69"/>
  <c r="W66" i="69"/>
  <c r="L23" i="69"/>
  <c r="L21" i="69"/>
  <c r="W54" i="69"/>
  <c r="W71" i="69"/>
  <c r="L18" i="69"/>
  <c r="W42" i="69"/>
  <c r="W39" i="69"/>
  <c r="L35" i="69"/>
  <c r="L17" i="69"/>
  <c r="W50" i="69"/>
  <c r="W48" i="69"/>
  <c r="W51" i="69"/>
  <c r="W67" i="69"/>
  <c r="W58" i="69"/>
  <c r="W59" i="69"/>
  <c r="L25" i="69"/>
  <c r="L34" i="69"/>
  <c r="L28" i="69"/>
  <c r="W40" i="69"/>
  <c r="L22" i="69"/>
  <c r="W43" i="69"/>
  <c r="L19" i="69"/>
  <c r="W63" i="69"/>
  <c r="W70" i="69"/>
  <c r="W57" i="69"/>
  <c r="W41" i="69"/>
  <c r="L32" i="69"/>
  <c r="L20" i="69"/>
  <c r="W55" i="69"/>
  <c r="W46" i="69"/>
  <c r="L24" i="69"/>
  <c r="W52" i="69"/>
  <c r="L33" i="69"/>
  <c r="W49" i="69"/>
  <c r="L31" i="69"/>
  <c r="W62" i="69"/>
  <c r="AW28" i="70"/>
  <c r="BN28" i="70"/>
  <c r="CA23" i="70"/>
  <c r="CB23" i="70"/>
  <c r="CB41" i="70"/>
  <c r="CA41" i="70"/>
  <c r="CB21" i="70"/>
  <c r="CA21" i="70"/>
  <c r="CB17" i="70"/>
  <c r="CA17" i="70"/>
  <c r="CA25" i="70"/>
  <c r="CB25" i="70"/>
  <c r="CA31" i="70"/>
  <c r="CB31" i="70"/>
  <c r="CA30" i="70"/>
  <c r="CB30" i="70"/>
  <c r="CB16" i="70"/>
  <c r="CA16" i="70"/>
  <c r="CB28" i="70"/>
  <c r="CA28" i="70"/>
  <c r="CB50" i="70"/>
  <c r="CA50" i="70"/>
  <c r="CB18" i="70"/>
  <c r="CA18" i="70"/>
  <c r="CB29" i="70"/>
  <c r="CA29" i="70"/>
  <c r="CB47" i="70"/>
  <c r="CA47" i="70"/>
  <c r="BN32" i="70"/>
  <c r="AW32" i="70"/>
  <c r="BN33" i="70"/>
  <c r="BE33" i="70"/>
  <c r="T107" i="4"/>
  <c r="BN55" i="70"/>
  <c r="AW55" i="70"/>
  <c r="BN27" i="70"/>
  <c r="AW54" i="70"/>
  <c r="BE54" i="70"/>
  <c r="AW27" i="70"/>
  <c r="BN39" i="70"/>
  <c r="AW45" i="70"/>
  <c r="BE57" i="70"/>
  <c r="AW24" i="70"/>
  <c r="BN56" i="70"/>
  <c r="AW56" i="70"/>
  <c r="BE51" i="70"/>
  <c r="BN61" i="70"/>
  <c r="BN50" i="70"/>
  <c r="AW57" i="70"/>
  <c r="AW50" i="70"/>
  <c r="BN36" i="70"/>
  <c r="BE36" i="70"/>
  <c r="AW39" i="70"/>
  <c r="BE26" i="70"/>
  <c r="AW44" i="70"/>
  <c r="BE61" i="70"/>
  <c r="BN40" i="70"/>
  <c r="AW67" i="70"/>
  <c r="BN20" i="70"/>
  <c r="BE25" i="70"/>
  <c r="BE20" i="70"/>
  <c r="AW65" i="70"/>
  <c r="BN19" i="70"/>
  <c r="BN43" i="70"/>
  <c r="BN24" i="70"/>
  <c r="BE16" i="70"/>
  <c r="AW40" i="70"/>
  <c r="BN37" i="70"/>
  <c r="BE22" i="70"/>
  <c r="BE53" i="70"/>
  <c r="BN26" i="70"/>
  <c r="BN46" i="70"/>
  <c r="AW43" i="70"/>
  <c r="BN44" i="70"/>
  <c r="AW49" i="70"/>
  <c r="AW25" i="70"/>
  <c r="AW59" i="70"/>
  <c r="AW38" i="70"/>
  <c r="BE21" i="70"/>
  <c r="BE41" i="70"/>
  <c r="AW35" i="70"/>
  <c r="AW42" i="70"/>
  <c r="AW23" i="70"/>
  <c r="BE66" i="70"/>
  <c r="BN52" i="70"/>
  <c r="BE59" i="70"/>
  <c r="BE48" i="70"/>
  <c r="BE19" i="70"/>
  <c r="BN22" i="70"/>
  <c r="AW16" i="70"/>
  <c r="AW21" i="70"/>
  <c r="BN62" i="70"/>
  <c r="AW64" i="70"/>
  <c r="BE17" i="70"/>
  <c r="BN47" i="70"/>
  <c r="AW41" i="70"/>
  <c r="BN35" i="70"/>
  <c r="AW63" i="70"/>
  <c r="BE23" i="70"/>
  <c r="AW18" i="70"/>
  <c r="BE18" i="70"/>
  <c r="BN58" i="70"/>
  <c r="BN64" i="70"/>
  <c r="BE37" i="70"/>
  <c r="BE46" i="70"/>
  <c r="BE65" i="70"/>
  <c r="BN42" i="70"/>
  <c r="BN63" i="70"/>
  <c r="BE52" i="70"/>
  <c r="BE45" i="70"/>
  <c r="AW48" i="70"/>
  <c r="BN53" i="70"/>
  <c r="BN38" i="70"/>
  <c r="BN49" i="70"/>
  <c r="AW17" i="70"/>
  <c r="AW47" i="70"/>
  <c r="BN60" i="70"/>
  <c r="BN51" i="70"/>
  <c r="BE34" i="70"/>
  <c r="BE58" i="70"/>
  <c r="BE62" i="70"/>
  <c r="BE60" i="70"/>
  <c r="AW66" i="70"/>
  <c r="BN34" i="70"/>
  <c r="A2787" i="242" l="1"/>
  <c r="B2788" i="242"/>
  <c r="B916" i="242"/>
  <c r="A915" i="242"/>
  <c r="F55" i="203"/>
  <c r="Q55" i="203" s="1"/>
  <c r="F57" i="203"/>
  <c r="Q57" i="203" s="1"/>
  <c r="B44" i="69"/>
  <c r="F37" i="203"/>
  <c r="Q37" i="203" s="1"/>
  <c r="B30" i="69"/>
  <c r="F36" i="203"/>
  <c r="B29" i="69"/>
  <c r="B55" i="69"/>
  <c r="F30" i="203"/>
  <c r="B51" i="69"/>
  <c r="F18" i="203"/>
  <c r="Q18" i="203" s="1"/>
  <c r="B45" i="69"/>
  <c r="B40" i="69"/>
  <c r="B36" i="69"/>
  <c r="B37" i="69"/>
  <c r="A97" i="4"/>
  <c r="BE97" i="4" s="1"/>
  <c r="B28" i="69"/>
  <c r="F44" i="203"/>
  <c r="Q44" i="203" s="1"/>
  <c r="B19" i="69"/>
  <c r="B53" i="69"/>
  <c r="B34" i="69"/>
  <c r="F12" i="203"/>
  <c r="B31" i="69"/>
  <c r="F45" i="203"/>
  <c r="Q45" i="203" s="1"/>
  <c r="F50" i="203"/>
  <c r="Q50" i="203" s="1"/>
  <c r="B58" i="69"/>
  <c r="B38" i="69"/>
  <c r="F38" i="203"/>
  <c r="Q38" i="203" s="1"/>
  <c r="F29" i="203"/>
  <c r="Q29" i="203" s="1"/>
  <c r="B60" i="69"/>
  <c r="F25" i="203"/>
  <c r="H25" i="203" s="1"/>
  <c r="F27" i="203"/>
  <c r="Q27" i="203" s="1"/>
  <c r="B46" i="69"/>
  <c r="B41" i="69"/>
  <c r="B18" i="69"/>
  <c r="F52" i="203"/>
  <c r="Q52" i="203" s="1"/>
  <c r="F26" i="203"/>
  <c r="H26" i="203" s="1"/>
  <c r="F51" i="203"/>
  <c r="Q51" i="203" s="1"/>
  <c r="B71" i="69"/>
  <c r="B47" i="69"/>
  <c r="F36" i="204"/>
  <c r="Q36" i="204" s="1"/>
  <c r="F33" i="203"/>
  <c r="Q33" i="203" s="1"/>
  <c r="F31" i="203"/>
  <c r="Q31" i="203" s="1"/>
  <c r="B24" i="69"/>
  <c r="B69" i="69"/>
  <c r="B48" i="69"/>
  <c r="B70" i="69"/>
  <c r="B57" i="69"/>
  <c r="B54" i="69"/>
  <c r="B20" i="69"/>
  <c r="B56" i="69"/>
  <c r="B43" i="69"/>
  <c r="F17" i="204"/>
  <c r="Q17" i="204" s="1"/>
  <c r="B22" i="69"/>
  <c r="B25" i="69"/>
  <c r="B35" i="69"/>
  <c r="F17" i="203"/>
  <c r="Q17" i="203" s="1"/>
  <c r="F38" i="204"/>
  <c r="Q38" i="204" s="1"/>
  <c r="F59" i="203"/>
  <c r="B26" i="69"/>
  <c r="B23" i="69"/>
  <c r="B52" i="69"/>
  <c r="B63" i="69"/>
  <c r="G63" i="69" s="1"/>
  <c r="B64" i="69"/>
  <c r="F37" i="204"/>
  <c r="Q37" i="204" s="1"/>
  <c r="F28" i="203"/>
  <c r="Q28" i="203" s="1"/>
  <c r="F54" i="203"/>
  <c r="Q54" i="203" s="1"/>
  <c r="B32" i="69"/>
  <c r="B49" i="69"/>
  <c r="B42" i="69"/>
  <c r="B33" i="69"/>
  <c r="B66" i="69"/>
  <c r="F34" i="203"/>
  <c r="Q34" i="203" s="1"/>
  <c r="F42" i="203"/>
  <c r="Q42" i="203" s="1"/>
  <c r="B61" i="69"/>
  <c r="F16" i="204"/>
  <c r="Q16" i="204" s="1"/>
  <c r="F47" i="203"/>
  <c r="Q47" i="203" s="1"/>
  <c r="F46" i="204"/>
  <c r="Q46" i="204" s="1"/>
  <c r="B39" i="69"/>
  <c r="B65" i="69"/>
  <c r="B68" i="69"/>
  <c r="B27" i="69"/>
  <c r="B17" i="69"/>
  <c r="B59" i="69"/>
  <c r="F16" i="203"/>
  <c r="Q16" i="203" s="1"/>
  <c r="F13" i="203"/>
  <c r="Q13" i="203" s="1"/>
  <c r="F46" i="203"/>
  <c r="Q46" i="203" s="1"/>
  <c r="B62" i="69"/>
  <c r="B21" i="69"/>
  <c r="B50" i="69"/>
  <c r="AF149" i="4"/>
  <c r="AG149" i="4" s="1"/>
  <c r="AH149" i="4" s="1"/>
  <c r="AK149" i="4" s="1"/>
  <c r="Y70" i="69" s="1"/>
  <c r="F21" i="204"/>
  <c r="Q21" i="204" s="1"/>
  <c r="F35" i="204"/>
  <c r="Q35" i="204" s="1"/>
  <c r="F15" i="204"/>
  <c r="Q15" i="204" s="1"/>
  <c r="F32" i="204"/>
  <c r="Q32" i="204" s="1"/>
  <c r="F48" i="204"/>
  <c r="Q48" i="204" s="1"/>
  <c r="F14" i="204"/>
  <c r="Q14" i="204" s="1"/>
  <c r="F41" i="204"/>
  <c r="Q41" i="204" s="1"/>
  <c r="F22" i="204"/>
  <c r="Q22" i="204" s="1"/>
  <c r="A149" i="4"/>
  <c r="BP149" i="4" s="1"/>
  <c r="F10" i="204"/>
  <c r="Q10" i="204" s="1"/>
  <c r="F13" i="204"/>
  <c r="Q13" i="204" s="1"/>
  <c r="F33" i="204"/>
  <c r="Q33" i="204" s="1"/>
  <c r="F12" i="204"/>
  <c r="Q12" i="204" s="1"/>
  <c r="F27" i="204"/>
  <c r="Q27" i="204" s="1"/>
  <c r="F31" i="204"/>
  <c r="Q31" i="204" s="1"/>
  <c r="A147" i="4"/>
  <c r="BM147" i="4" s="1"/>
  <c r="A108" i="4"/>
  <c r="BP108" i="4" s="1"/>
  <c r="A142" i="4"/>
  <c r="BO142" i="4" s="1"/>
  <c r="A122" i="4"/>
  <c r="BM122" i="4" s="1"/>
  <c r="A102" i="4"/>
  <c r="BK102" i="4" s="1"/>
  <c r="A117" i="4"/>
  <c r="BK117" i="4" s="1"/>
  <c r="A115" i="4"/>
  <c r="BO115" i="4" s="1"/>
  <c r="A119" i="4"/>
  <c r="BK119" i="4" s="1"/>
  <c r="A113" i="4"/>
  <c r="BE113" i="4" s="1"/>
  <c r="A135" i="4"/>
  <c r="BE135" i="4" s="1"/>
  <c r="A101" i="4"/>
  <c r="BE101" i="4" s="1"/>
  <c r="A141" i="4"/>
  <c r="BE141" i="4" s="1"/>
  <c r="A128" i="4"/>
  <c r="BO128" i="4" s="1"/>
  <c r="A109" i="4"/>
  <c r="BP109" i="4" s="1"/>
  <c r="F21" i="203"/>
  <c r="Q21" i="203" s="1"/>
  <c r="F55" i="204"/>
  <c r="Q55" i="204" s="1"/>
  <c r="F35" i="203"/>
  <c r="Q35" i="203" s="1"/>
  <c r="F15" i="203"/>
  <c r="Q15" i="203" s="1"/>
  <c r="F30" i="204"/>
  <c r="Q30" i="204" s="1"/>
  <c r="F28" i="204"/>
  <c r="Q28" i="204" s="1"/>
  <c r="F32" i="203"/>
  <c r="F26" i="204"/>
  <c r="Q26" i="204" s="1"/>
  <c r="F48" i="203"/>
  <c r="Q48" i="203" s="1"/>
  <c r="F14" i="203"/>
  <c r="Q14" i="203" s="1"/>
  <c r="F54" i="204"/>
  <c r="Q54" i="204" s="1"/>
  <c r="F41" i="203"/>
  <c r="Q41" i="203" s="1"/>
  <c r="F22" i="203"/>
  <c r="H22" i="203" s="1"/>
  <c r="H22" i="204" s="1"/>
  <c r="A150" i="4"/>
  <c r="BE150" i="4" s="1"/>
  <c r="A148" i="4"/>
  <c r="BK148" i="4" s="1"/>
  <c r="A132" i="4"/>
  <c r="BO132" i="4" s="1"/>
  <c r="A106" i="4"/>
  <c r="BE106" i="4" s="1"/>
  <c r="A145" i="4"/>
  <c r="BO145" i="4" s="1"/>
  <c r="A140" i="4"/>
  <c r="BE140" i="4" s="1"/>
  <c r="A98" i="4"/>
  <c r="BP98" i="4" s="1"/>
  <c r="A116" i="4"/>
  <c r="BO116" i="4" s="1"/>
  <c r="A110" i="4"/>
  <c r="BO110" i="4" s="1"/>
  <c r="A111" i="4"/>
  <c r="BP111" i="4" s="1"/>
  <c r="A131" i="4"/>
  <c r="BP131" i="4" s="1"/>
  <c r="A144" i="4"/>
  <c r="BP144" i="4" s="1"/>
  <c r="A138" i="4"/>
  <c r="BK138" i="4" s="1"/>
  <c r="A107" i="4"/>
  <c r="BM107" i="4" s="1"/>
  <c r="F45" i="204"/>
  <c r="Q45" i="204" s="1"/>
  <c r="F19" i="203"/>
  <c r="Q19" i="203" s="1"/>
  <c r="F58" i="203"/>
  <c r="Q58" i="203" s="1"/>
  <c r="F53" i="203"/>
  <c r="Q53" i="203" s="1"/>
  <c r="F11" i="203"/>
  <c r="Q11" i="203" s="1"/>
  <c r="F29" i="204"/>
  <c r="Q29" i="204" s="1"/>
  <c r="F23" i="203"/>
  <c r="Q23" i="203" s="1"/>
  <c r="F24" i="203"/>
  <c r="H24" i="203" s="1"/>
  <c r="F44" i="204"/>
  <c r="Q44" i="204" s="1"/>
  <c r="A137" i="4"/>
  <c r="BK137" i="4" s="1"/>
  <c r="F57" i="204"/>
  <c r="Q57" i="204" s="1"/>
  <c r="F51" i="204"/>
  <c r="Q51" i="204" s="1"/>
  <c r="F20" i="203"/>
  <c r="Q20" i="203" s="1"/>
  <c r="F58" i="204"/>
  <c r="Q58" i="204" s="1"/>
  <c r="F11" i="204"/>
  <c r="Q11" i="204" s="1"/>
  <c r="F23" i="204"/>
  <c r="Q23" i="204" s="1"/>
  <c r="A112" i="4"/>
  <c r="BO112" i="4" s="1"/>
  <c r="A105" i="4"/>
  <c r="BP105" i="4" s="1"/>
  <c r="A134" i="4"/>
  <c r="BE134" i="4" s="1"/>
  <c r="A96" i="4"/>
  <c r="BK96" i="4" s="1"/>
  <c r="A146" i="4"/>
  <c r="BO146" i="4" s="1"/>
  <c r="A143" i="4"/>
  <c r="BK143" i="4" s="1"/>
  <c r="F39" i="204"/>
  <c r="Q39" i="204" s="1"/>
  <c r="A121" i="4"/>
  <c r="BP121" i="4" s="1"/>
  <c r="F40" i="204"/>
  <c r="Q40" i="204" s="1"/>
  <c r="F9" i="204"/>
  <c r="Q9" i="204" s="1"/>
  <c r="F43" i="204"/>
  <c r="Q43" i="204" s="1"/>
  <c r="A129" i="4"/>
  <c r="BP129" i="4" s="1"/>
  <c r="F56" i="204"/>
  <c r="Q56" i="204" s="1"/>
  <c r="F49" i="204"/>
  <c r="Q49" i="204" s="1"/>
  <c r="F19" i="204"/>
  <c r="Q19" i="204" s="1"/>
  <c r="F53" i="204"/>
  <c r="Q53" i="204" s="1"/>
  <c r="F24" i="204"/>
  <c r="Q24" i="204" s="1"/>
  <c r="F50" i="204"/>
  <c r="Q50" i="204" s="1"/>
  <c r="F20" i="204"/>
  <c r="Q20" i="204" s="1"/>
  <c r="A126" i="4"/>
  <c r="BM126" i="4" s="1"/>
  <c r="A139" i="4"/>
  <c r="BO139" i="4" s="1"/>
  <c r="A127" i="4"/>
  <c r="BE127" i="4" s="1"/>
  <c r="A130" i="4"/>
  <c r="BE130" i="4" s="1"/>
  <c r="A136" i="4"/>
  <c r="BP136" i="4" s="1"/>
  <c r="N149" i="4"/>
  <c r="O149" i="4" s="1"/>
  <c r="P149" i="4" s="1"/>
  <c r="U149" i="4" s="1"/>
  <c r="S70" i="69" s="1"/>
  <c r="F25" i="204"/>
  <c r="Q25" i="204" s="1"/>
  <c r="F39" i="203"/>
  <c r="Q39" i="203" s="1"/>
  <c r="F34" i="204"/>
  <c r="Q34" i="204" s="1"/>
  <c r="F52" i="204"/>
  <c r="Q52" i="204" s="1"/>
  <c r="F18" i="204"/>
  <c r="Q18" i="204" s="1"/>
  <c r="F40" i="203"/>
  <c r="Q40" i="203" s="1"/>
  <c r="F47" i="204"/>
  <c r="Q47" i="204" s="1"/>
  <c r="F9" i="203"/>
  <c r="F43" i="203"/>
  <c r="Q43" i="203" s="1"/>
  <c r="F59" i="204"/>
  <c r="Q59" i="204" s="1"/>
  <c r="F56" i="203"/>
  <c r="Q56" i="203" s="1"/>
  <c r="F49" i="203"/>
  <c r="Q49" i="203" s="1"/>
  <c r="AN149" i="4"/>
  <c r="AO149" i="4" s="1"/>
  <c r="AP149" i="4" s="1"/>
  <c r="AS149" i="4" s="1"/>
  <c r="AI70" i="69" s="1"/>
  <c r="A104" i="4"/>
  <c r="BO104" i="4" s="1"/>
  <c r="A124" i="4"/>
  <c r="BP124" i="4" s="1"/>
  <c r="A103" i="4"/>
  <c r="BO103" i="4" s="1"/>
  <c r="A123" i="4"/>
  <c r="BO123" i="4" s="1"/>
  <c r="A125" i="4"/>
  <c r="BE125" i="4" s="1"/>
  <c r="A100" i="4"/>
  <c r="BK100" i="4" s="1"/>
  <c r="A120" i="4"/>
  <c r="BP120" i="4" s="1"/>
  <c r="A99" i="4"/>
  <c r="BK99" i="4" s="1"/>
  <c r="A114" i="4"/>
  <c r="BK114" i="4" s="1"/>
  <c r="A133" i="4"/>
  <c r="BM133" i="4" s="1"/>
  <c r="Q10" i="203"/>
  <c r="Q30" i="203"/>
  <c r="Q42" i="204"/>
  <c r="AR148" i="4"/>
  <c r="AJ148" i="4"/>
  <c r="H148" i="4"/>
  <c r="AB148" i="4"/>
  <c r="T148" i="4"/>
  <c r="CC18" i="70"/>
  <c r="AK7" i="88" s="1"/>
  <c r="N96" i="4"/>
  <c r="O96" i="4" s="1"/>
  <c r="P96" i="4" s="1"/>
  <c r="AX96" i="4"/>
  <c r="CC31" i="70"/>
  <c r="AN35" i="69" s="1"/>
  <c r="CC25" i="70"/>
  <c r="AK14" i="88" s="1"/>
  <c r="CC29" i="70"/>
  <c r="AN33" i="69" s="1"/>
  <c r="CC16" i="70"/>
  <c r="AK5" i="88" s="1"/>
  <c r="CC17" i="70"/>
  <c r="AK6" i="88" s="1"/>
  <c r="CC21" i="70"/>
  <c r="AK10" i="88" s="1"/>
  <c r="CC23" i="70"/>
  <c r="AK12" i="88" s="1"/>
  <c r="CA33" i="70"/>
  <c r="CB33" i="70"/>
  <c r="CB38" i="70"/>
  <c r="CA38" i="70"/>
  <c r="CB37" i="70"/>
  <c r="CA37" i="70"/>
  <c r="CB35" i="70"/>
  <c r="CA35" i="70"/>
  <c r="CA22" i="70"/>
  <c r="CB22" i="70"/>
  <c r="CB32" i="70"/>
  <c r="CA32" i="70"/>
  <c r="CB20" i="70"/>
  <c r="CA20" i="70"/>
  <c r="CB36" i="70"/>
  <c r="CA36" i="70"/>
  <c r="CB27" i="70"/>
  <c r="CA27" i="70"/>
  <c r="CA46" i="70"/>
  <c r="CB46" i="70"/>
  <c r="CB24" i="70"/>
  <c r="CA24" i="70"/>
  <c r="CB44" i="70"/>
  <c r="CA44" i="70"/>
  <c r="CA34" i="70"/>
  <c r="CB34" i="70"/>
  <c r="CA45" i="70"/>
  <c r="CB45" i="70"/>
  <c r="CB40" i="70"/>
  <c r="CA40" i="70"/>
  <c r="CA26" i="70"/>
  <c r="CB26" i="70"/>
  <c r="CB49" i="70"/>
  <c r="CA49" i="70"/>
  <c r="CB43" i="70"/>
  <c r="CA43" i="70"/>
  <c r="CA48" i="70"/>
  <c r="CB48" i="70"/>
  <c r="CB42" i="70"/>
  <c r="CA42" i="70"/>
  <c r="CB19" i="70"/>
  <c r="CA19" i="70"/>
  <c r="CB39" i="70"/>
  <c r="CA39" i="70"/>
  <c r="CC30" i="70"/>
  <c r="AN34" i="69" s="1"/>
  <c r="CC50" i="70"/>
  <c r="AN54" i="69" s="1"/>
  <c r="CC41" i="70"/>
  <c r="CC47" i="70"/>
  <c r="CC28" i="70"/>
  <c r="AN32" i="69" s="1"/>
  <c r="X107" i="4"/>
  <c r="Y107" i="4" s="1"/>
  <c r="Z107" i="4" s="1"/>
  <c r="H107" i="4"/>
  <c r="AR110" i="4"/>
  <c r="AB110" i="4"/>
  <c r="AJ110" i="4"/>
  <c r="T110" i="4"/>
  <c r="H110" i="4"/>
  <c r="AF116" i="4"/>
  <c r="AG116" i="4" s="1"/>
  <c r="AH116" i="4" s="1"/>
  <c r="AR116" i="4"/>
  <c r="H116" i="4"/>
  <c r="AB116" i="4"/>
  <c r="AJ116" i="4"/>
  <c r="T116" i="4"/>
  <c r="AF135" i="4"/>
  <c r="AG135" i="4" s="1"/>
  <c r="AH135" i="4" s="1"/>
  <c r="AO135" i="4"/>
  <c r="AP135" i="4" s="1"/>
  <c r="AJ130" i="4"/>
  <c r="N107" i="4"/>
  <c r="O107" i="4" s="1"/>
  <c r="P107" i="4" s="1"/>
  <c r="U107" i="4" s="1"/>
  <c r="AG105" i="4"/>
  <c r="AH105" i="4" s="1"/>
  <c r="AJ107" i="4"/>
  <c r="AJ135" i="4"/>
  <c r="AF107" i="4"/>
  <c r="AG107" i="4" s="1"/>
  <c r="AH107" i="4" s="1"/>
  <c r="AB107" i="4"/>
  <c r="AC107" i="4" s="1"/>
  <c r="AN107" i="4"/>
  <c r="AO107" i="4" s="1"/>
  <c r="AP107" i="4" s="1"/>
  <c r="AR107" i="4"/>
  <c r="AB96" i="4"/>
  <c r="T96" i="4"/>
  <c r="H97" i="4"/>
  <c r="AR97" i="4"/>
  <c r="T97" i="4"/>
  <c r="X96" i="4"/>
  <c r="Y96" i="4" s="1"/>
  <c r="Z96" i="4" s="1"/>
  <c r="AN118" i="4"/>
  <c r="AO118" i="4" s="1"/>
  <c r="AP118" i="4" s="1"/>
  <c r="N97" i="4"/>
  <c r="O97" i="4" s="1"/>
  <c r="P97" i="4" s="1"/>
  <c r="AJ97" i="4"/>
  <c r="AB135" i="4"/>
  <c r="H135" i="4"/>
  <c r="T147" i="4"/>
  <c r="AN96" i="4"/>
  <c r="AO96" i="4" s="1"/>
  <c r="AP96" i="4" s="1"/>
  <c r="AR96" i="4"/>
  <c r="AR135" i="4"/>
  <c r="AJ96" i="4"/>
  <c r="AN97" i="4"/>
  <c r="AO97" i="4" s="1"/>
  <c r="AP97" i="4" s="1"/>
  <c r="AG111" i="4"/>
  <c r="AH111" i="4" s="1"/>
  <c r="AF96" i="4"/>
  <c r="AG96" i="4" s="1"/>
  <c r="AH96" i="4" s="1"/>
  <c r="AB147" i="4"/>
  <c r="T135" i="4"/>
  <c r="N147" i="4"/>
  <c r="O147" i="4" s="1"/>
  <c r="P147" i="4" s="1"/>
  <c r="H147" i="4"/>
  <c r="AF147" i="4"/>
  <c r="AG147" i="4" s="1"/>
  <c r="AH147" i="4" s="1"/>
  <c r="AK147" i="4" s="1"/>
  <c r="AR147" i="4"/>
  <c r="AN147" i="4"/>
  <c r="AO147" i="4" s="1"/>
  <c r="AP147" i="4" s="1"/>
  <c r="X135" i="4"/>
  <c r="Y135" i="4" s="1"/>
  <c r="Z135" i="4" s="1"/>
  <c r="X147" i="4"/>
  <c r="Y147" i="4" s="1"/>
  <c r="Z147" i="4" s="1"/>
  <c r="AF101" i="4"/>
  <c r="AG101" i="4" s="1"/>
  <c r="AH101" i="4" s="1"/>
  <c r="T101" i="4"/>
  <c r="AJ101" i="4"/>
  <c r="AR101" i="4"/>
  <c r="H101" i="4"/>
  <c r="AR98" i="4"/>
  <c r="AB101" i="4"/>
  <c r="AC101" i="4" s="1"/>
  <c r="N101" i="4"/>
  <c r="O101" i="4" s="1"/>
  <c r="P101" i="4" s="1"/>
  <c r="T98" i="4"/>
  <c r="AB130" i="4"/>
  <c r="AR130" i="4"/>
  <c r="AN130" i="4"/>
  <c r="AO130" i="4" s="1"/>
  <c r="AP130" i="4" s="1"/>
  <c r="N130" i="4"/>
  <c r="O130" i="4" s="1"/>
  <c r="P130" i="4" s="1"/>
  <c r="U130" i="4" s="1"/>
  <c r="AJ144" i="4"/>
  <c r="X144" i="4"/>
  <c r="Y144" i="4" s="1"/>
  <c r="Z144" i="4" s="1"/>
  <c r="AR144" i="4"/>
  <c r="AN144" i="4"/>
  <c r="AO144" i="4" s="1"/>
  <c r="AP144" i="4" s="1"/>
  <c r="N144" i="4"/>
  <c r="O144" i="4" s="1"/>
  <c r="P144" i="4" s="1"/>
  <c r="T144" i="4"/>
  <c r="AF144" i="4"/>
  <c r="AG144" i="4" s="1"/>
  <c r="AH144" i="4" s="1"/>
  <c r="AB144" i="4"/>
  <c r="H144" i="4"/>
  <c r="X127" i="4"/>
  <c r="Y127" i="4" s="1"/>
  <c r="Z127" i="4" s="1"/>
  <c r="H127" i="4"/>
  <c r="AB127" i="4"/>
  <c r="AF127" i="4"/>
  <c r="AG127" i="4" s="1"/>
  <c r="AH127" i="4" s="1"/>
  <c r="N127" i="4"/>
  <c r="O127" i="4" s="1"/>
  <c r="P127" i="4" s="1"/>
  <c r="AR127" i="4"/>
  <c r="AN127" i="4"/>
  <c r="AO127" i="4" s="1"/>
  <c r="AP127" i="4" s="1"/>
  <c r="T127" i="4"/>
  <c r="AJ127" i="4"/>
  <c r="AR118" i="4"/>
  <c r="T118" i="4"/>
  <c r="X98" i="4"/>
  <c r="Y98" i="4" s="1"/>
  <c r="Z98" i="4" s="1"/>
  <c r="N98" i="4"/>
  <c r="O98" i="4" s="1"/>
  <c r="P98" i="4" s="1"/>
  <c r="AN98" i="4"/>
  <c r="AO98" i="4" s="1"/>
  <c r="AP98" i="4" s="1"/>
  <c r="N142" i="4"/>
  <c r="O142" i="4" s="1"/>
  <c r="P142" i="4" s="1"/>
  <c r="AB142" i="4"/>
  <c r="AR142" i="4"/>
  <c r="H142" i="4"/>
  <c r="T142" i="4"/>
  <c r="AJ142" i="4"/>
  <c r="AK142" i="4" s="1"/>
  <c r="AG98" i="4"/>
  <c r="AH98" i="4" s="1"/>
  <c r="AN142" i="4"/>
  <c r="AO142" i="4" s="1"/>
  <c r="AP142" i="4" s="1"/>
  <c r="X118" i="4"/>
  <c r="Y118" i="4" s="1"/>
  <c r="Z118" i="4" s="1"/>
  <c r="AF118" i="4"/>
  <c r="AG118" i="4" s="1"/>
  <c r="AH118" i="4" s="1"/>
  <c r="X150" i="4"/>
  <c r="Y150" i="4" s="1"/>
  <c r="Z150" i="4" s="1"/>
  <c r="AC150" i="4" s="1"/>
  <c r="AD71" i="69" s="1"/>
  <c r="AF150" i="4"/>
  <c r="AG150" i="4" s="1"/>
  <c r="AH150" i="4" s="1"/>
  <c r="AK150" i="4" s="1"/>
  <c r="Y71" i="69" s="1"/>
  <c r="N150" i="4"/>
  <c r="O150" i="4" s="1"/>
  <c r="P150" i="4" s="1"/>
  <c r="U150" i="4" s="1"/>
  <c r="S71" i="69" s="1"/>
  <c r="AN150" i="4"/>
  <c r="AO150" i="4" s="1"/>
  <c r="AP150" i="4" s="1"/>
  <c r="AS150" i="4" s="1"/>
  <c r="AI71" i="69" s="1"/>
  <c r="X103" i="4"/>
  <c r="Y103" i="4" s="1"/>
  <c r="Z103" i="4" s="1"/>
  <c r="AR103" i="4"/>
  <c r="AJ103" i="4"/>
  <c r="AF103" i="4"/>
  <c r="AG103" i="4" s="1"/>
  <c r="AH103" i="4" s="1"/>
  <c r="AN103" i="4"/>
  <c r="AO103" i="4" s="1"/>
  <c r="AP103" i="4" s="1"/>
  <c r="T103" i="4"/>
  <c r="AB103" i="4"/>
  <c r="H103" i="4"/>
  <c r="N103" i="4"/>
  <c r="O103" i="4" s="1"/>
  <c r="P103" i="4" s="1"/>
  <c r="H98" i="4"/>
  <c r="AJ118" i="4"/>
  <c r="AR145" i="4"/>
  <c r="N145" i="4"/>
  <c r="O145" i="4" s="1"/>
  <c r="P145" i="4" s="1"/>
  <c r="H145" i="4"/>
  <c r="AF145" i="4"/>
  <c r="AG145" i="4" s="1"/>
  <c r="AH145" i="4" s="1"/>
  <c r="AB145" i="4"/>
  <c r="AN145" i="4"/>
  <c r="AO145" i="4" s="1"/>
  <c r="AP145" i="4" s="1"/>
  <c r="AJ145" i="4"/>
  <c r="X145" i="4"/>
  <c r="Y145" i="4" s="1"/>
  <c r="Z145" i="4" s="1"/>
  <c r="T145" i="4"/>
  <c r="AJ98" i="4"/>
  <c r="AN101" i="4"/>
  <c r="AO101" i="4" s="1"/>
  <c r="AP101" i="4" s="1"/>
  <c r="AF130" i="4"/>
  <c r="AG130" i="4" s="1"/>
  <c r="AH130" i="4" s="1"/>
  <c r="AJ136" i="4"/>
  <c r="AB136" i="4"/>
  <c r="X136" i="4"/>
  <c r="Y136" i="4" s="1"/>
  <c r="Z136" i="4" s="1"/>
  <c r="AN136" i="4"/>
  <c r="AO136" i="4" s="1"/>
  <c r="AP136" i="4" s="1"/>
  <c r="AR136" i="4"/>
  <c r="T136" i="4"/>
  <c r="H136" i="4"/>
  <c r="N136" i="4"/>
  <c r="O136" i="4" s="1"/>
  <c r="P136" i="4" s="1"/>
  <c r="AF136" i="4"/>
  <c r="AG136" i="4" s="1"/>
  <c r="AH136" i="4" s="1"/>
  <c r="AB118" i="4"/>
  <c r="X130" i="4"/>
  <c r="Y130" i="4" s="1"/>
  <c r="Z130" i="4" s="1"/>
  <c r="AR111" i="4"/>
  <c r="N111" i="4"/>
  <c r="O111" i="4" s="1"/>
  <c r="P111" i="4" s="1"/>
  <c r="H111" i="4"/>
  <c r="X111" i="4"/>
  <c r="Y111" i="4" s="1"/>
  <c r="Z111" i="4" s="1"/>
  <c r="AB111" i="4"/>
  <c r="T111" i="4"/>
  <c r="AN111" i="4"/>
  <c r="AO111" i="4" s="1"/>
  <c r="AP111" i="4" s="1"/>
  <c r="AJ111" i="4"/>
  <c r="AN116" i="4"/>
  <c r="AO116" i="4" s="1"/>
  <c r="AP116" i="4" s="1"/>
  <c r="N116" i="4"/>
  <c r="O116" i="4" s="1"/>
  <c r="P116" i="4" s="1"/>
  <c r="X116" i="4"/>
  <c r="Y116" i="4" s="1"/>
  <c r="Z116" i="4" s="1"/>
  <c r="H130" i="4"/>
  <c r="X97" i="4"/>
  <c r="Y97" i="4" s="1"/>
  <c r="Z97" i="4" s="1"/>
  <c r="AC97" i="4" s="1"/>
  <c r="AD18" i="69" s="1"/>
  <c r="AF97" i="4"/>
  <c r="AG97" i="4" s="1"/>
  <c r="AH97" i="4" s="1"/>
  <c r="AR146" i="4"/>
  <c r="T146" i="4"/>
  <c r="X146" i="4"/>
  <c r="Y146" i="4" s="1"/>
  <c r="Z146" i="4" s="1"/>
  <c r="H146" i="4"/>
  <c r="AN146" i="4"/>
  <c r="AO146" i="4" s="1"/>
  <c r="AP146" i="4" s="1"/>
  <c r="AF146" i="4"/>
  <c r="AG146" i="4" s="1"/>
  <c r="AH146" i="4" s="1"/>
  <c r="N146" i="4"/>
  <c r="O146" i="4" s="1"/>
  <c r="P146" i="4" s="1"/>
  <c r="AJ146" i="4"/>
  <c r="AB146" i="4"/>
  <c r="AB98" i="4"/>
  <c r="N135" i="4"/>
  <c r="O135" i="4" s="1"/>
  <c r="P135" i="4" s="1"/>
  <c r="X142" i="4"/>
  <c r="Y142" i="4" s="1"/>
  <c r="Z142" i="4" s="1"/>
  <c r="N118" i="4"/>
  <c r="O118" i="4" s="1"/>
  <c r="P118" i="4" s="1"/>
  <c r="AN105" i="4"/>
  <c r="AO105" i="4" s="1"/>
  <c r="AP105" i="4" s="1"/>
  <c r="N105" i="4"/>
  <c r="O105" i="4" s="1"/>
  <c r="P105" i="4" s="1"/>
  <c r="T105" i="4"/>
  <c r="AJ105" i="4"/>
  <c r="AK105" i="4" s="1"/>
  <c r="AR105" i="4"/>
  <c r="AB105" i="4"/>
  <c r="X105" i="4"/>
  <c r="Y105" i="4" s="1"/>
  <c r="Z105" i="4" s="1"/>
  <c r="H105" i="4"/>
  <c r="BK153" i="4"/>
  <c r="N99" i="4"/>
  <c r="O99" i="4" s="1"/>
  <c r="P99" i="4" s="1"/>
  <c r="AB99" i="4"/>
  <c r="AN99" i="4"/>
  <c r="AO99" i="4" s="1"/>
  <c r="AP99" i="4" s="1"/>
  <c r="AR99" i="4"/>
  <c r="AJ99" i="4"/>
  <c r="T99" i="4"/>
  <c r="H99" i="4"/>
  <c r="X99" i="4"/>
  <c r="Y99" i="4" s="1"/>
  <c r="Z99" i="4" s="1"/>
  <c r="AF99" i="4"/>
  <c r="AG99" i="4" s="1"/>
  <c r="AH99" i="4" s="1"/>
  <c r="BE156" i="4"/>
  <c r="BE118" i="4"/>
  <c r="AN120" i="4"/>
  <c r="AO120" i="4" s="1"/>
  <c r="AP120" i="4" s="1"/>
  <c r="T120" i="4"/>
  <c r="N120" i="4"/>
  <c r="O120" i="4" s="1"/>
  <c r="P120" i="4" s="1"/>
  <c r="H120" i="4"/>
  <c r="AB120" i="4"/>
  <c r="AR120" i="4"/>
  <c r="X120" i="4"/>
  <c r="Y120" i="4" s="1"/>
  <c r="Z120" i="4" s="1"/>
  <c r="AJ120" i="4"/>
  <c r="AF120" i="4"/>
  <c r="AG120" i="4" s="1"/>
  <c r="AH120" i="4" s="1"/>
  <c r="AF140" i="4"/>
  <c r="AG140" i="4" s="1"/>
  <c r="AH140" i="4" s="1"/>
  <c r="X140" i="4"/>
  <c r="Y140" i="4" s="1"/>
  <c r="Z140" i="4" s="1"/>
  <c r="AJ140" i="4"/>
  <c r="AB140" i="4"/>
  <c r="T140" i="4"/>
  <c r="N140" i="4"/>
  <c r="O140" i="4" s="1"/>
  <c r="P140" i="4" s="1"/>
  <c r="AR140" i="4"/>
  <c r="H140" i="4"/>
  <c r="AN140" i="4"/>
  <c r="AO140" i="4" s="1"/>
  <c r="AP140" i="4" s="1"/>
  <c r="N133" i="4"/>
  <c r="O133" i="4" s="1"/>
  <c r="P133" i="4" s="1"/>
  <c r="AN133" i="4"/>
  <c r="AO133" i="4" s="1"/>
  <c r="AP133" i="4" s="1"/>
  <c r="AF133" i="4"/>
  <c r="AG133" i="4" s="1"/>
  <c r="AH133" i="4" s="1"/>
  <c r="AR133" i="4"/>
  <c r="AJ133" i="4"/>
  <c r="T133" i="4"/>
  <c r="X133" i="4"/>
  <c r="Y133" i="4" s="1"/>
  <c r="Z133" i="4" s="1"/>
  <c r="H133" i="4"/>
  <c r="AB133" i="4"/>
  <c r="AF100" i="4"/>
  <c r="AG100" i="4" s="1"/>
  <c r="AH100" i="4" s="1"/>
  <c r="AJ100" i="4"/>
  <c r="AR100" i="4"/>
  <c r="AN100" i="4"/>
  <c r="AO100" i="4" s="1"/>
  <c r="AP100" i="4" s="1"/>
  <c r="AB100" i="4"/>
  <c r="H100" i="4"/>
  <c r="X100" i="4"/>
  <c r="Y100" i="4" s="1"/>
  <c r="Z100" i="4" s="1"/>
  <c r="T100" i="4"/>
  <c r="N100" i="4"/>
  <c r="O100" i="4" s="1"/>
  <c r="P100" i="4" s="1"/>
  <c r="AR137" i="4"/>
  <c r="X137" i="4"/>
  <c r="Y137" i="4" s="1"/>
  <c r="Z137" i="4" s="1"/>
  <c r="AJ137" i="4"/>
  <c r="AB137" i="4"/>
  <c r="T137" i="4"/>
  <c r="N137" i="4"/>
  <c r="O137" i="4" s="1"/>
  <c r="P137" i="4" s="1"/>
  <c r="AN137" i="4"/>
  <c r="AO137" i="4" s="1"/>
  <c r="AP137" i="4" s="1"/>
  <c r="H137" i="4"/>
  <c r="AF137" i="4"/>
  <c r="AG137" i="4" s="1"/>
  <c r="AH137" i="4" s="1"/>
  <c r="BE159" i="4"/>
  <c r="BO155" i="4"/>
  <c r="N131" i="4"/>
  <c r="O131" i="4" s="1"/>
  <c r="P131" i="4" s="1"/>
  <c r="AF131" i="4"/>
  <c r="AG131" i="4" s="1"/>
  <c r="AH131" i="4" s="1"/>
  <c r="AR131" i="4"/>
  <c r="H131" i="4"/>
  <c r="X131" i="4"/>
  <c r="Y131" i="4" s="1"/>
  <c r="Z131" i="4" s="1"/>
  <c r="T131" i="4"/>
  <c r="AN131" i="4"/>
  <c r="AO131" i="4" s="1"/>
  <c r="AP131" i="4" s="1"/>
  <c r="AB131" i="4"/>
  <c r="AJ131" i="4"/>
  <c r="AN110" i="4"/>
  <c r="AO110" i="4" s="1"/>
  <c r="AP110" i="4" s="1"/>
  <c r="X110" i="4"/>
  <c r="Y110" i="4" s="1"/>
  <c r="Z110" i="4" s="1"/>
  <c r="AF110" i="4"/>
  <c r="AG110" i="4" s="1"/>
  <c r="AH110" i="4" s="1"/>
  <c r="N110" i="4"/>
  <c r="O110" i="4" s="1"/>
  <c r="P110" i="4" s="1"/>
  <c r="N104" i="4"/>
  <c r="O104" i="4" s="1"/>
  <c r="P104" i="4" s="1"/>
  <c r="AF104" i="4"/>
  <c r="AG104" i="4" s="1"/>
  <c r="AH104" i="4" s="1"/>
  <c r="AR104" i="4"/>
  <c r="AB104" i="4"/>
  <c r="T104" i="4"/>
  <c r="X104" i="4"/>
  <c r="Y104" i="4" s="1"/>
  <c r="Z104" i="4" s="1"/>
  <c r="AJ104" i="4"/>
  <c r="H104" i="4"/>
  <c r="AN104" i="4"/>
  <c r="AO104" i="4" s="1"/>
  <c r="AP104" i="4" s="1"/>
  <c r="BM158" i="4"/>
  <c r="BK161" i="4"/>
  <c r="BE160" i="4"/>
  <c r="BM154" i="4"/>
  <c r="H138" i="4"/>
  <c r="X138" i="4"/>
  <c r="Y138" i="4" s="1"/>
  <c r="Z138" i="4" s="1"/>
  <c r="AN138" i="4"/>
  <c r="AO138" i="4" s="1"/>
  <c r="AP138" i="4" s="1"/>
  <c r="N138" i="4"/>
  <c r="O138" i="4" s="1"/>
  <c r="P138" i="4" s="1"/>
  <c r="AR138" i="4"/>
  <c r="AF138" i="4"/>
  <c r="AG138" i="4" s="1"/>
  <c r="AH138" i="4" s="1"/>
  <c r="AB138" i="4"/>
  <c r="T138" i="4"/>
  <c r="AJ138" i="4"/>
  <c r="AR108" i="4"/>
  <c r="AB108" i="4"/>
  <c r="AF108" i="4"/>
  <c r="AG108" i="4" s="1"/>
  <c r="AH108" i="4" s="1"/>
  <c r="AJ108" i="4"/>
  <c r="X108" i="4"/>
  <c r="Y108" i="4" s="1"/>
  <c r="Z108" i="4" s="1"/>
  <c r="H108" i="4"/>
  <c r="T108" i="4"/>
  <c r="AN108" i="4"/>
  <c r="AO108" i="4" s="1"/>
  <c r="AP108" i="4" s="1"/>
  <c r="N108" i="4"/>
  <c r="O108" i="4" s="1"/>
  <c r="P108" i="4" s="1"/>
  <c r="AR141" i="4"/>
  <c r="N141" i="4"/>
  <c r="O141" i="4" s="1"/>
  <c r="P141" i="4" s="1"/>
  <c r="X141" i="4"/>
  <c r="Y141" i="4" s="1"/>
  <c r="Z141" i="4" s="1"/>
  <c r="H141" i="4"/>
  <c r="T141" i="4"/>
  <c r="AF141" i="4"/>
  <c r="AG141" i="4" s="1"/>
  <c r="AH141" i="4" s="1"/>
  <c r="AN141" i="4"/>
  <c r="AO141" i="4" s="1"/>
  <c r="AP141" i="4" s="1"/>
  <c r="AJ141" i="4"/>
  <c r="AB141" i="4"/>
  <c r="AR121" i="4"/>
  <c r="AJ121" i="4"/>
  <c r="AF121" i="4"/>
  <c r="AG121" i="4" s="1"/>
  <c r="AH121" i="4" s="1"/>
  <c r="X121" i="4"/>
  <c r="Y121" i="4" s="1"/>
  <c r="Z121" i="4" s="1"/>
  <c r="T121" i="4"/>
  <c r="H121" i="4"/>
  <c r="AN121" i="4"/>
  <c r="AO121" i="4" s="1"/>
  <c r="AP121" i="4" s="1"/>
  <c r="N121" i="4"/>
  <c r="O121" i="4" s="1"/>
  <c r="P121" i="4" s="1"/>
  <c r="AB121" i="4"/>
  <c r="T119" i="4"/>
  <c r="H119" i="4"/>
  <c r="AF119" i="4"/>
  <c r="AG119" i="4" s="1"/>
  <c r="AH119" i="4" s="1"/>
  <c r="AB119" i="4"/>
  <c r="AN119" i="4"/>
  <c r="AO119" i="4" s="1"/>
  <c r="AP119" i="4" s="1"/>
  <c r="AJ119" i="4"/>
  <c r="X119" i="4"/>
  <c r="Y119" i="4" s="1"/>
  <c r="Z119" i="4" s="1"/>
  <c r="AR119" i="4"/>
  <c r="N119" i="4"/>
  <c r="O119" i="4" s="1"/>
  <c r="P119" i="4" s="1"/>
  <c r="AB123" i="4"/>
  <c r="AJ123" i="4"/>
  <c r="AN123" i="4"/>
  <c r="AO123" i="4" s="1"/>
  <c r="AP123" i="4" s="1"/>
  <c r="T123" i="4"/>
  <c r="N123" i="4"/>
  <c r="O123" i="4" s="1"/>
  <c r="P123" i="4" s="1"/>
  <c r="X123" i="4"/>
  <c r="Y123" i="4" s="1"/>
  <c r="Z123" i="4" s="1"/>
  <c r="AF123" i="4"/>
  <c r="AG123" i="4" s="1"/>
  <c r="AH123" i="4" s="1"/>
  <c r="AR123" i="4"/>
  <c r="H123" i="4"/>
  <c r="T125" i="4"/>
  <c r="AN125" i="4"/>
  <c r="AO125" i="4" s="1"/>
  <c r="AP125" i="4" s="1"/>
  <c r="AJ125" i="4"/>
  <c r="N125" i="4"/>
  <c r="O125" i="4" s="1"/>
  <c r="P125" i="4" s="1"/>
  <c r="AB125" i="4"/>
  <c r="AR125" i="4"/>
  <c r="AF125" i="4"/>
  <c r="AG125" i="4" s="1"/>
  <c r="AH125" i="4" s="1"/>
  <c r="X125" i="4"/>
  <c r="Y125" i="4" s="1"/>
  <c r="Z125" i="4" s="1"/>
  <c r="H125" i="4"/>
  <c r="T102" i="4"/>
  <c r="AN102" i="4"/>
  <c r="AO102" i="4" s="1"/>
  <c r="AP102" i="4" s="1"/>
  <c r="H102" i="4"/>
  <c r="AF102" i="4"/>
  <c r="AG102" i="4" s="1"/>
  <c r="AH102" i="4" s="1"/>
  <c r="AJ102" i="4"/>
  <c r="AB102" i="4"/>
  <c r="X102" i="4"/>
  <c r="Y102" i="4" s="1"/>
  <c r="Z102" i="4" s="1"/>
  <c r="N102" i="4"/>
  <c r="O102" i="4" s="1"/>
  <c r="P102" i="4" s="1"/>
  <c r="AR102" i="4"/>
  <c r="BO151" i="4"/>
  <c r="BE157" i="4"/>
  <c r="BE152" i="4"/>
  <c r="AR112" i="4"/>
  <c r="X112" i="4"/>
  <c r="Y112" i="4" s="1"/>
  <c r="Z112" i="4" s="1"/>
  <c r="AF112" i="4"/>
  <c r="AG112" i="4" s="1"/>
  <c r="AH112" i="4" s="1"/>
  <c r="AB112" i="4"/>
  <c r="T112" i="4"/>
  <c r="N112" i="4"/>
  <c r="O112" i="4" s="1"/>
  <c r="P112" i="4" s="1"/>
  <c r="H112" i="4"/>
  <c r="AN112" i="4"/>
  <c r="AO112" i="4" s="1"/>
  <c r="AP112" i="4" s="1"/>
  <c r="AJ112" i="4"/>
  <c r="AB113" i="4"/>
  <c r="X113" i="4"/>
  <c r="Y113" i="4" s="1"/>
  <c r="Z113" i="4" s="1"/>
  <c r="AR113" i="4"/>
  <c r="AF113" i="4"/>
  <c r="AG113" i="4" s="1"/>
  <c r="AH113" i="4" s="1"/>
  <c r="N113" i="4"/>
  <c r="O113" i="4" s="1"/>
  <c r="P113" i="4" s="1"/>
  <c r="T113" i="4"/>
  <c r="AJ113" i="4"/>
  <c r="H113" i="4"/>
  <c r="AN113" i="4"/>
  <c r="AO113" i="4" s="1"/>
  <c r="AP113" i="4" s="1"/>
  <c r="N143" i="4"/>
  <c r="O143" i="4" s="1"/>
  <c r="P143" i="4" s="1"/>
  <c r="X143" i="4"/>
  <c r="Y143" i="4" s="1"/>
  <c r="Z143" i="4" s="1"/>
  <c r="AN143" i="4"/>
  <c r="AO143" i="4" s="1"/>
  <c r="AP143" i="4" s="1"/>
  <c r="AR143" i="4"/>
  <c r="AJ143" i="4"/>
  <c r="AF143" i="4"/>
  <c r="AG143" i="4" s="1"/>
  <c r="AH143" i="4" s="1"/>
  <c r="T143" i="4"/>
  <c r="H143" i="4"/>
  <c r="AB143" i="4"/>
  <c r="AB126" i="4"/>
  <c r="AR126" i="4"/>
  <c r="T126" i="4"/>
  <c r="H126" i="4"/>
  <c r="X126" i="4"/>
  <c r="Y126" i="4" s="1"/>
  <c r="Z126" i="4" s="1"/>
  <c r="AF126" i="4"/>
  <c r="AG126" i="4" s="1"/>
  <c r="AH126" i="4" s="1"/>
  <c r="AN126" i="4"/>
  <c r="AO126" i="4" s="1"/>
  <c r="AP126" i="4" s="1"/>
  <c r="N126" i="4"/>
  <c r="O126" i="4" s="1"/>
  <c r="P126" i="4" s="1"/>
  <c r="AJ126" i="4"/>
  <c r="AF122" i="4"/>
  <c r="AG122" i="4" s="1"/>
  <c r="AH122" i="4" s="1"/>
  <c r="X122" i="4"/>
  <c r="Y122" i="4" s="1"/>
  <c r="Z122" i="4" s="1"/>
  <c r="AN122" i="4"/>
  <c r="AO122" i="4" s="1"/>
  <c r="AP122" i="4" s="1"/>
  <c r="N122" i="4"/>
  <c r="O122" i="4" s="1"/>
  <c r="P122" i="4" s="1"/>
  <c r="AR122" i="4"/>
  <c r="AJ122" i="4"/>
  <c r="T122" i="4"/>
  <c r="AB122" i="4"/>
  <c r="H122" i="4"/>
  <c r="X117" i="4"/>
  <c r="Y117" i="4" s="1"/>
  <c r="Z117" i="4" s="1"/>
  <c r="T117" i="4"/>
  <c r="N117" i="4"/>
  <c r="O117" i="4" s="1"/>
  <c r="P117" i="4" s="1"/>
  <c r="AF117" i="4"/>
  <c r="AG117" i="4" s="1"/>
  <c r="AH117" i="4" s="1"/>
  <c r="AR117" i="4"/>
  <c r="AB117" i="4"/>
  <c r="H117" i="4"/>
  <c r="AN117" i="4"/>
  <c r="AO117" i="4" s="1"/>
  <c r="AP117" i="4" s="1"/>
  <c r="AJ117" i="4"/>
  <c r="H115" i="4"/>
  <c r="N115" i="4"/>
  <c r="O115" i="4" s="1"/>
  <c r="P115" i="4" s="1"/>
  <c r="T115" i="4"/>
  <c r="AN115" i="4"/>
  <c r="AO115" i="4" s="1"/>
  <c r="AP115" i="4" s="1"/>
  <c r="AB115" i="4"/>
  <c r="AR115" i="4"/>
  <c r="AF115" i="4"/>
  <c r="AG115" i="4" s="1"/>
  <c r="AH115" i="4" s="1"/>
  <c r="X115" i="4"/>
  <c r="Y115" i="4" s="1"/>
  <c r="Z115" i="4" s="1"/>
  <c r="AJ115" i="4"/>
  <c r="AF148" i="4"/>
  <c r="AG148" i="4" s="1"/>
  <c r="AH148" i="4" s="1"/>
  <c r="X148" i="4"/>
  <c r="Y148" i="4" s="1"/>
  <c r="Z148" i="4" s="1"/>
  <c r="AN148" i="4"/>
  <c r="AO148" i="4" s="1"/>
  <c r="AP148" i="4" s="1"/>
  <c r="N148" i="4"/>
  <c r="O148" i="4" s="1"/>
  <c r="P148" i="4" s="1"/>
  <c r="N106" i="4"/>
  <c r="O106" i="4" s="1"/>
  <c r="P106" i="4" s="1"/>
  <c r="AB106" i="4"/>
  <c r="AR106" i="4"/>
  <c r="T106" i="4"/>
  <c r="X106" i="4"/>
  <c r="Y106" i="4" s="1"/>
  <c r="Z106" i="4" s="1"/>
  <c r="H106" i="4"/>
  <c r="AF106" i="4"/>
  <c r="AG106" i="4" s="1"/>
  <c r="AH106" i="4" s="1"/>
  <c r="AN106" i="4"/>
  <c r="AO106" i="4" s="1"/>
  <c r="AP106" i="4" s="1"/>
  <c r="AJ106" i="4"/>
  <c r="AR109" i="4"/>
  <c r="AB109" i="4"/>
  <c r="AN109" i="4"/>
  <c r="AO109" i="4" s="1"/>
  <c r="AP109" i="4" s="1"/>
  <c r="X109" i="4"/>
  <c r="Y109" i="4" s="1"/>
  <c r="Z109" i="4" s="1"/>
  <c r="T109" i="4"/>
  <c r="N109" i="4"/>
  <c r="O109" i="4" s="1"/>
  <c r="P109" i="4" s="1"/>
  <c r="H109" i="4"/>
  <c r="AF109" i="4"/>
  <c r="AG109" i="4" s="1"/>
  <c r="AH109" i="4" s="1"/>
  <c r="AJ109" i="4"/>
  <c r="AJ134" i="4"/>
  <c r="H134" i="4"/>
  <c r="AF134" i="4"/>
  <c r="AG134" i="4" s="1"/>
  <c r="AH134" i="4" s="1"/>
  <c r="AN134" i="4"/>
  <c r="AO134" i="4" s="1"/>
  <c r="AP134" i="4" s="1"/>
  <c r="AB134" i="4"/>
  <c r="X134" i="4"/>
  <c r="Y134" i="4" s="1"/>
  <c r="Z134" i="4" s="1"/>
  <c r="AR134" i="4"/>
  <c r="T134" i="4"/>
  <c r="N134" i="4"/>
  <c r="O134" i="4" s="1"/>
  <c r="P134" i="4" s="1"/>
  <c r="X124" i="4"/>
  <c r="Y124" i="4" s="1"/>
  <c r="Z124" i="4" s="1"/>
  <c r="H124" i="4"/>
  <c r="AJ124" i="4"/>
  <c r="T124" i="4"/>
  <c r="AN124" i="4"/>
  <c r="AO124" i="4" s="1"/>
  <c r="AP124" i="4" s="1"/>
  <c r="N124" i="4"/>
  <c r="O124" i="4" s="1"/>
  <c r="P124" i="4" s="1"/>
  <c r="AB124" i="4"/>
  <c r="AF124" i="4"/>
  <c r="AG124" i="4" s="1"/>
  <c r="AH124" i="4" s="1"/>
  <c r="AR124" i="4"/>
  <c r="AN139" i="4"/>
  <c r="AO139" i="4" s="1"/>
  <c r="AP139" i="4" s="1"/>
  <c r="AF139" i="4"/>
  <c r="AG139" i="4" s="1"/>
  <c r="AH139" i="4" s="1"/>
  <c r="N139" i="4"/>
  <c r="O139" i="4" s="1"/>
  <c r="P139" i="4" s="1"/>
  <c r="AR139" i="4"/>
  <c r="AJ139" i="4"/>
  <c r="AB139" i="4"/>
  <c r="X139" i="4"/>
  <c r="Y139" i="4" s="1"/>
  <c r="Z139" i="4" s="1"/>
  <c r="H139" i="4"/>
  <c r="T139" i="4"/>
  <c r="AJ132" i="4"/>
  <c r="T132" i="4"/>
  <c r="AN132" i="4"/>
  <c r="AO132" i="4" s="1"/>
  <c r="AP132" i="4" s="1"/>
  <c r="N132" i="4"/>
  <c r="O132" i="4" s="1"/>
  <c r="P132" i="4" s="1"/>
  <c r="AB132" i="4"/>
  <c r="AF132" i="4"/>
  <c r="AG132" i="4" s="1"/>
  <c r="AH132" i="4" s="1"/>
  <c r="X132" i="4"/>
  <c r="Y132" i="4" s="1"/>
  <c r="Z132" i="4" s="1"/>
  <c r="AR132" i="4"/>
  <c r="H132" i="4"/>
  <c r="AB129" i="4"/>
  <c r="AR129" i="4"/>
  <c r="AJ129" i="4"/>
  <c r="T129" i="4"/>
  <c r="N129" i="4"/>
  <c r="O129" i="4" s="1"/>
  <c r="P129" i="4" s="1"/>
  <c r="H129" i="4"/>
  <c r="AN129" i="4"/>
  <c r="AO129" i="4" s="1"/>
  <c r="AP129" i="4" s="1"/>
  <c r="AF129" i="4"/>
  <c r="AG129" i="4" s="1"/>
  <c r="AH129" i="4" s="1"/>
  <c r="X129" i="4"/>
  <c r="Y129" i="4" s="1"/>
  <c r="Z129" i="4" s="1"/>
  <c r="AJ128" i="4"/>
  <c r="X128" i="4"/>
  <c r="Y128" i="4" s="1"/>
  <c r="Z128" i="4" s="1"/>
  <c r="AR128" i="4"/>
  <c r="AF128" i="4"/>
  <c r="AG128" i="4" s="1"/>
  <c r="AH128" i="4" s="1"/>
  <c r="AB128" i="4"/>
  <c r="N128" i="4"/>
  <c r="O128" i="4" s="1"/>
  <c r="P128" i="4" s="1"/>
  <c r="H128" i="4"/>
  <c r="T128" i="4"/>
  <c r="AN128" i="4"/>
  <c r="AO128" i="4" s="1"/>
  <c r="AP128" i="4" s="1"/>
  <c r="H114" i="4"/>
  <c r="AF114" i="4"/>
  <c r="AG114" i="4" s="1"/>
  <c r="AH114" i="4" s="1"/>
  <c r="AB114" i="4"/>
  <c r="AN114" i="4"/>
  <c r="AO114" i="4" s="1"/>
  <c r="AP114" i="4" s="1"/>
  <c r="X114" i="4"/>
  <c r="Y114" i="4" s="1"/>
  <c r="Z114" i="4" s="1"/>
  <c r="AR114" i="4"/>
  <c r="N114" i="4"/>
  <c r="O114" i="4" s="1"/>
  <c r="P114" i="4" s="1"/>
  <c r="AJ114" i="4"/>
  <c r="T114" i="4"/>
  <c r="P104" i="43"/>
  <c r="P103" i="43"/>
  <c r="P102" i="43"/>
  <c r="P101" i="43"/>
  <c r="P100" i="43"/>
  <c r="P99" i="43"/>
  <c r="P98" i="43"/>
  <c r="P97" i="43"/>
  <c r="P96" i="43"/>
  <c r="P95" i="43"/>
  <c r="P94" i="43"/>
  <c r="H59" i="203"/>
  <c r="AH64" i="70"/>
  <c r="AP65" i="70"/>
  <c r="H10" i="203"/>
  <c r="BG65" i="70"/>
  <c r="H12" i="203"/>
  <c r="AP67" i="70"/>
  <c r="AG66" i="70"/>
  <c r="BF64" i="70"/>
  <c r="AY67" i="70"/>
  <c r="AQ65" i="70"/>
  <c r="BO66" i="70"/>
  <c r="BO64" i="70"/>
  <c r="AX65" i="70"/>
  <c r="BG66" i="70"/>
  <c r="AG65" i="70"/>
  <c r="BP64" i="70"/>
  <c r="AG67" i="70"/>
  <c r="H32" i="203"/>
  <c r="H9" i="203"/>
  <c r="H36" i="203"/>
  <c r="AG64" i="70"/>
  <c r="AQ64" i="70"/>
  <c r="AY64" i="70"/>
  <c r="AP64" i="70"/>
  <c r="AY65" i="70"/>
  <c r="BF65" i="70"/>
  <c r="AQ66" i="70"/>
  <c r="AH65" i="70"/>
  <c r="AH67" i="70"/>
  <c r="AQ67" i="70"/>
  <c r="AH66" i="70"/>
  <c r="BF67" i="70"/>
  <c r="H51" i="203"/>
  <c r="BP67" i="70"/>
  <c r="AX67" i="70"/>
  <c r="AY66" i="70"/>
  <c r="BO65" i="70"/>
  <c r="BF66" i="70"/>
  <c r="BG67" i="70"/>
  <c r="BP65" i="70"/>
  <c r="BG64" i="70"/>
  <c r="H30" i="203"/>
  <c r="AP66" i="70"/>
  <c r="AX64" i="70"/>
  <c r="BO67" i="70"/>
  <c r="H34" i="203"/>
  <c r="BP66" i="70"/>
  <c r="AX66" i="70"/>
  <c r="BP51" i="70"/>
  <c r="AH35" i="70"/>
  <c r="AQ43" i="70"/>
  <c r="BO43" i="70"/>
  <c r="AX47" i="70"/>
  <c r="BF46" i="70"/>
  <c r="AX41" i="70"/>
  <c r="BO29" i="70"/>
  <c r="AP56" i="70"/>
  <c r="AX48" i="70"/>
  <c r="AG14" i="70"/>
  <c r="BO18" i="70"/>
  <c r="AH14" i="70"/>
  <c r="BG54" i="70"/>
  <c r="AX37" i="70"/>
  <c r="AG62" i="70"/>
  <c r="AP53" i="70"/>
  <c r="AP63" i="70"/>
  <c r="AG56" i="70"/>
  <c r="AY28" i="70"/>
  <c r="AQ61" i="70"/>
  <c r="AX52" i="70"/>
  <c r="AX50" i="70"/>
  <c r="AH55" i="70"/>
  <c r="BF17" i="70"/>
  <c r="AQ38" i="70"/>
  <c r="AP41" i="70"/>
  <c r="BP62" i="70"/>
  <c r="BF32" i="70"/>
  <c r="AG60" i="70"/>
  <c r="AX31" i="70"/>
  <c r="AP30" i="70"/>
  <c r="BF40" i="70"/>
  <c r="AX24" i="70"/>
  <c r="AY23" i="70"/>
  <c r="AG16" i="70"/>
  <c r="BG38" i="70"/>
  <c r="BP38" i="70"/>
  <c r="BO20" i="70"/>
  <c r="AQ29" i="70"/>
  <c r="AP31" i="70"/>
  <c r="BF16" i="70"/>
  <c r="BG29" i="70"/>
  <c r="AG32" i="70"/>
  <c r="BP42" i="70"/>
  <c r="AH43" i="70"/>
  <c r="AY41" i="70"/>
  <c r="BP39" i="70"/>
  <c r="AQ23" i="70"/>
  <c r="AX25" i="70"/>
  <c r="BO49" i="70"/>
  <c r="BG40" i="70"/>
  <c r="BP60" i="70"/>
  <c r="BO19" i="70"/>
  <c r="AX44" i="70"/>
  <c r="AH57" i="70"/>
  <c r="AP58" i="70"/>
  <c r="AG33" i="70"/>
  <c r="AP16" i="70"/>
  <c r="BO33" i="70"/>
  <c r="BP17" i="70"/>
  <c r="AH62" i="70"/>
  <c r="AQ34" i="70"/>
  <c r="AX59" i="70"/>
  <c r="BG22" i="70"/>
  <c r="BF58" i="70"/>
  <c r="BF63" i="70"/>
  <c r="AQ58" i="70"/>
  <c r="AX28" i="70"/>
  <c r="BF47" i="70"/>
  <c r="AG59" i="70"/>
  <c r="BP33" i="70"/>
  <c r="AY36" i="70"/>
  <c r="AG42" i="70"/>
  <c r="AP57" i="70"/>
  <c r="AG40" i="70"/>
  <c r="AX19" i="70"/>
  <c r="BG50" i="70"/>
  <c r="AG58" i="70"/>
  <c r="BG34" i="70"/>
  <c r="AQ30" i="70"/>
  <c r="BF38" i="70"/>
  <c r="BO26" i="70"/>
  <c r="BP36" i="70"/>
  <c r="AG27" i="70"/>
  <c r="BP58" i="70"/>
  <c r="AG13" i="70"/>
  <c r="AQ37" i="70"/>
  <c r="BO25" i="70"/>
  <c r="AY62" i="70"/>
  <c r="AP59" i="70"/>
  <c r="AX42" i="70"/>
  <c r="AH51" i="70"/>
  <c r="AX22" i="70"/>
  <c r="BO60" i="70"/>
  <c r="AX55" i="70"/>
  <c r="AH15" i="70"/>
  <c r="AH53" i="70"/>
  <c r="AX33" i="70"/>
  <c r="BG47" i="70"/>
  <c r="AQ36" i="70"/>
  <c r="AX30" i="70"/>
  <c r="AQ25" i="70"/>
  <c r="AQ27" i="70"/>
  <c r="AY61" i="70"/>
  <c r="AH24" i="70"/>
  <c r="AP49" i="70"/>
  <c r="BP34" i="70"/>
  <c r="BF61" i="70"/>
  <c r="BG61" i="70"/>
  <c r="AX56" i="70"/>
  <c r="AG41" i="70"/>
  <c r="AG34" i="70"/>
  <c r="AG25" i="70"/>
  <c r="BO63" i="70"/>
  <c r="AQ41" i="70"/>
  <c r="AQ18" i="70"/>
  <c r="BG36" i="70"/>
  <c r="BP32" i="70"/>
  <c r="AH36" i="70"/>
  <c r="AY27" i="70"/>
  <c r="BG46" i="70"/>
  <c r="AH22" i="70"/>
  <c r="AG48" i="70"/>
  <c r="AP52" i="70"/>
  <c r="BF62" i="70"/>
  <c r="BP26" i="70"/>
  <c r="BG43" i="70"/>
  <c r="AY24" i="70"/>
  <c r="AY37" i="70"/>
  <c r="BO52" i="70"/>
  <c r="BF22" i="70"/>
  <c r="AY34" i="70"/>
  <c r="AX38" i="70"/>
  <c r="AG55" i="70"/>
  <c r="BO44" i="70"/>
  <c r="AQ44" i="70"/>
  <c r="BG59" i="70"/>
  <c r="AY59" i="70"/>
  <c r="AY58" i="70"/>
  <c r="AP55" i="70"/>
  <c r="BF43" i="70"/>
  <c r="BP55" i="70"/>
  <c r="BF34" i="70"/>
  <c r="BP61" i="70"/>
  <c r="AX36" i="70"/>
  <c r="BP54" i="70"/>
  <c r="AP35" i="70"/>
  <c r="AQ24" i="70"/>
  <c r="AH16" i="70"/>
  <c r="BP43" i="70"/>
  <c r="AQ22" i="70"/>
  <c r="AH33" i="70"/>
  <c r="AP23" i="70"/>
  <c r="BG19" i="70"/>
  <c r="BG41" i="70"/>
  <c r="AH46" i="70"/>
  <c r="AQ35" i="70"/>
  <c r="AP42" i="70"/>
  <c r="AH18" i="70"/>
  <c r="AP50" i="70"/>
  <c r="BO40" i="70"/>
  <c r="BG45" i="70"/>
  <c r="AH34" i="70"/>
  <c r="BP44" i="70"/>
  <c r="BF55" i="70"/>
  <c r="AP18" i="70"/>
  <c r="AX45" i="70"/>
  <c r="AH21" i="70"/>
  <c r="BG51" i="70"/>
  <c r="AH50" i="70"/>
  <c r="AG45" i="70"/>
  <c r="AQ56" i="70"/>
  <c r="AP20" i="70"/>
  <c r="AG63" i="70"/>
  <c r="BF20" i="70"/>
  <c r="BO36" i="70"/>
  <c r="BO21" i="70"/>
  <c r="AX21" i="70"/>
  <c r="AG50" i="70"/>
  <c r="BG28" i="70"/>
  <c r="AP21" i="70"/>
  <c r="BO31" i="70"/>
  <c r="BG30" i="70"/>
  <c r="BO48" i="70"/>
  <c r="AG26" i="70"/>
  <c r="AY19" i="70"/>
  <c r="AX20" i="70"/>
  <c r="BG35" i="70"/>
  <c r="BP30" i="70"/>
  <c r="BF33" i="70"/>
  <c r="BO38" i="70"/>
  <c r="BG32" i="70"/>
  <c r="AH52" i="70"/>
  <c r="BF59" i="70"/>
  <c r="BO27" i="70"/>
  <c r="BO34" i="70"/>
  <c r="BP19" i="70"/>
  <c r="AX18" i="70"/>
  <c r="BO45" i="70"/>
  <c r="BF52" i="70"/>
  <c r="BP22" i="70"/>
  <c r="AY32" i="70"/>
  <c r="BF45" i="70"/>
  <c r="BG37" i="70"/>
  <c r="AX27" i="70"/>
  <c r="BP41" i="70"/>
  <c r="BF35" i="70"/>
  <c r="AQ28" i="70"/>
  <c r="BP25" i="70"/>
  <c r="BF49" i="70"/>
  <c r="AH30" i="70"/>
  <c r="BP18" i="70"/>
  <c r="AQ52" i="70"/>
  <c r="AP60" i="70"/>
  <c r="BG58" i="70"/>
  <c r="AG31" i="70"/>
  <c r="AP24" i="70"/>
  <c r="AX61" i="70"/>
  <c r="AX35" i="70"/>
  <c r="AQ19" i="70"/>
  <c r="AG20" i="70"/>
  <c r="BG44" i="70"/>
  <c r="AP45" i="70"/>
  <c r="AH49" i="70"/>
  <c r="AP51" i="70"/>
  <c r="BF21" i="70"/>
  <c r="BF51" i="70"/>
  <c r="AP26" i="70"/>
  <c r="BO17" i="70"/>
  <c r="AH41" i="70"/>
  <c r="BP23" i="70"/>
  <c r="BO37" i="70"/>
  <c r="AP47" i="70"/>
  <c r="BP59" i="70"/>
  <c r="AG38" i="70"/>
  <c r="AQ21" i="70"/>
  <c r="AG51" i="70"/>
  <c r="BO53" i="70"/>
  <c r="BO28" i="70"/>
  <c r="BO41" i="70"/>
  <c r="AY30" i="70"/>
  <c r="AH23" i="70"/>
  <c r="BG26" i="70"/>
  <c r="AX39" i="70"/>
  <c r="BG39" i="70"/>
  <c r="AH38" i="70"/>
  <c r="AY33" i="70"/>
  <c r="BG27" i="70"/>
  <c r="BG55" i="70"/>
  <c r="AQ59" i="70"/>
  <c r="AH54" i="70"/>
  <c r="BF37" i="70"/>
  <c r="AH32" i="70"/>
  <c r="BG31" i="70"/>
  <c r="BG20" i="70"/>
  <c r="AG35" i="70"/>
  <c r="AP19" i="70"/>
  <c r="BF28" i="70"/>
  <c r="AX16" i="70"/>
  <c r="AQ50" i="70"/>
  <c r="BG48" i="70"/>
  <c r="AQ39" i="70"/>
  <c r="BG60" i="70"/>
  <c r="AQ49" i="70"/>
  <c r="AQ53" i="70"/>
  <c r="BG63" i="70"/>
  <c r="BG42" i="70"/>
  <c r="BG52" i="70"/>
  <c r="AH59" i="70"/>
  <c r="AY17" i="70"/>
  <c r="AY29" i="70"/>
  <c r="BO23" i="70"/>
  <c r="AY63" i="70"/>
  <c r="AG23" i="70"/>
  <c r="AQ26" i="70"/>
  <c r="AY53" i="70"/>
  <c r="AQ40" i="70"/>
  <c r="AG54" i="70"/>
  <c r="AH28" i="70"/>
  <c r="AQ42" i="70"/>
  <c r="AP37" i="70"/>
  <c r="BF56" i="70"/>
  <c r="AH13" i="70"/>
  <c r="BF24" i="70"/>
  <c r="BP20" i="70"/>
  <c r="AY39" i="70"/>
  <c r="AY51" i="70"/>
  <c r="BF50" i="70"/>
  <c r="BP56" i="70"/>
  <c r="BG23" i="70"/>
  <c r="BG18" i="70"/>
  <c r="BP31" i="70"/>
  <c r="AY21" i="70"/>
  <c r="AP44" i="70"/>
  <c r="AG36" i="70"/>
  <c r="AH17" i="70"/>
  <c r="AP32" i="70"/>
  <c r="AG24" i="70"/>
  <c r="AP61" i="70"/>
  <c r="BO47" i="70"/>
  <c r="BP50" i="70"/>
  <c r="AY56" i="70"/>
  <c r="BP21" i="70"/>
  <c r="AX62" i="70"/>
  <c r="AX58" i="70"/>
  <c r="AY40" i="70"/>
  <c r="BG56" i="70"/>
  <c r="AQ54" i="70"/>
  <c r="AH48" i="70"/>
  <c r="AX17" i="70"/>
  <c r="BO56" i="70"/>
  <c r="AH20" i="70"/>
  <c r="BF27" i="70"/>
  <c r="BF48" i="70"/>
  <c r="AH63" i="70"/>
  <c r="AG52" i="70"/>
  <c r="AX60" i="70"/>
  <c r="AY31" i="70"/>
  <c r="BF60" i="70"/>
  <c r="AG37" i="70"/>
  <c r="AY49" i="70"/>
  <c r="BP46" i="70"/>
  <c r="AH31" i="70"/>
  <c r="BG53" i="70"/>
  <c r="BO59" i="70"/>
  <c r="AX29" i="70"/>
  <c r="AG47" i="70"/>
  <c r="BP37" i="70"/>
  <c r="AY46" i="70"/>
  <c r="AP33" i="70"/>
  <c r="BG17" i="70"/>
  <c r="BF18" i="70"/>
  <c r="AQ48" i="70"/>
  <c r="AX57" i="70"/>
  <c r="BG57" i="70"/>
  <c r="AP29" i="70"/>
  <c r="AG46" i="70"/>
  <c r="AP48" i="70"/>
  <c r="AG28" i="70"/>
  <c r="BG25" i="70"/>
  <c r="BF53" i="70"/>
  <c r="AQ57" i="70"/>
  <c r="AY42" i="70"/>
  <c r="AH37" i="70"/>
  <c r="AH26" i="70"/>
  <c r="AX26" i="70"/>
  <c r="AQ55" i="70"/>
  <c r="AP38" i="70"/>
  <c r="BG62" i="70"/>
  <c r="BF44" i="70"/>
  <c r="BG24" i="70"/>
  <c r="AQ63" i="70"/>
  <c r="AH58" i="70"/>
  <c r="BF39" i="70"/>
  <c r="AG53" i="70"/>
  <c r="BO39" i="70"/>
  <c r="AG43" i="70"/>
  <c r="AY26" i="70"/>
  <c r="BF31" i="70"/>
  <c r="BF57" i="70"/>
  <c r="BF23" i="70"/>
  <c r="AP17" i="70"/>
  <c r="AY47" i="70"/>
  <c r="AQ32" i="70"/>
  <c r="AG18" i="70"/>
  <c r="BG16" i="70"/>
  <c r="AG22" i="70"/>
  <c r="AX23" i="70"/>
  <c r="BF41" i="70"/>
  <c r="BG49" i="70"/>
  <c r="BO50" i="70"/>
  <c r="AY54" i="70"/>
  <c r="BF19" i="70"/>
  <c r="AY22" i="70"/>
  <c r="AY52" i="70"/>
  <c r="BF25" i="70"/>
  <c r="BP63" i="70"/>
  <c r="BP57" i="70"/>
  <c r="AY35" i="70"/>
  <c r="AH25" i="70"/>
  <c r="AY55" i="70"/>
  <c r="AY25" i="70"/>
  <c r="AP27" i="70"/>
  <c r="BO62" i="70"/>
  <c r="BP52" i="70"/>
  <c r="AH39" i="70"/>
  <c r="AH29" i="70"/>
  <c r="AY45" i="70"/>
  <c r="BO30" i="70"/>
  <c r="AQ20" i="70"/>
  <c r="AH47" i="70"/>
  <c r="BO55" i="70"/>
  <c r="AG30" i="70"/>
  <c r="AX53" i="70"/>
  <c r="BP29" i="70"/>
  <c r="AG19" i="70"/>
  <c r="AH60" i="70"/>
  <c r="AG21" i="70"/>
  <c r="AQ47" i="70"/>
  <c r="BF29" i="70"/>
  <c r="AX40" i="70"/>
  <c r="AQ46" i="70"/>
  <c r="BO16" i="70"/>
  <c r="BO57" i="70"/>
  <c r="BO24" i="70"/>
  <c r="BP48" i="70"/>
  <c r="AH19" i="70"/>
  <c r="AY44" i="70"/>
  <c r="AG44" i="70"/>
  <c r="AG39" i="70"/>
  <c r="AP25" i="70"/>
  <c r="AX32" i="70"/>
  <c r="BF54" i="70"/>
  <c r="BO58" i="70"/>
  <c r="AG17" i="70"/>
  <c r="AP43" i="70"/>
  <c r="BO46" i="70"/>
  <c r="AQ60" i="70"/>
  <c r="BF42" i="70"/>
  <c r="AH44" i="70"/>
  <c r="AQ31" i="70"/>
  <c r="BF30" i="70"/>
  <c r="AX34" i="70"/>
  <c r="AQ33" i="70"/>
  <c r="BG33" i="70"/>
  <c r="AQ16" i="70"/>
  <c r="AG61" i="70"/>
  <c r="AP39" i="70"/>
  <c r="AH56" i="70"/>
  <c r="AH40" i="70"/>
  <c r="BP24" i="70"/>
  <c r="AY18" i="70"/>
  <c r="AH42" i="70"/>
  <c r="BO35" i="70"/>
  <c r="AX46" i="70"/>
  <c r="AP22" i="70"/>
  <c r="BO54" i="70"/>
  <c r="AP62" i="70"/>
  <c r="AP36" i="70"/>
  <c r="BG21" i="70"/>
  <c r="AH61" i="70"/>
  <c r="AY16" i="70"/>
  <c r="AX49" i="70"/>
  <c r="AX54" i="70"/>
  <c r="AP46" i="70"/>
  <c r="BO51" i="70"/>
  <c r="AY20" i="70"/>
  <c r="BP16" i="70"/>
  <c r="BP49" i="70"/>
  <c r="AY43" i="70"/>
  <c r="AG49" i="70"/>
  <c r="AY57" i="70"/>
  <c r="AQ51" i="70"/>
  <c r="BF26" i="70"/>
  <c r="AG29" i="70"/>
  <c r="AG57" i="70"/>
  <c r="AY50" i="70"/>
  <c r="BP35" i="70"/>
  <c r="AX51" i="70"/>
  <c r="AQ17" i="70"/>
  <c r="AP34" i="70"/>
  <c r="AP28" i="70"/>
  <c r="BP27" i="70"/>
  <c r="BP53" i="70"/>
  <c r="BO22" i="70"/>
  <c r="AQ45" i="70"/>
  <c r="AP40" i="70"/>
  <c r="AQ62" i="70"/>
  <c r="BF36" i="70"/>
  <c r="BP45" i="70"/>
  <c r="BP28" i="70"/>
  <c r="BO42" i="70"/>
  <c r="BP47" i="70"/>
  <c r="AH45" i="70"/>
  <c r="AH27" i="70"/>
  <c r="AY38" i="70"/>
  <c r="AP54" i="70"/>
  <c r="AX43" i="70"/>
  <c r="AY48" i="70"/>
  <c r="BP40" i="70"/>
  <c r="BO32" i="70"/>
  <c r="AY60" i="70"/>
  <c r="BO61" i="70"/>
  <c r="AX63" i="70"/>
  <c r="AG15" i="70"/>
  <c r="H34" i="204" l="1"/>
  <c r="H30" i="204"/>
  <c r="H51" i="204"/>
  <c r="H36" i="204"/>
  <c r="H9" i="204"/>
  <c r="H32" i="204"/>
  <c r="H12" i="204"/>
  <c r="H10" i="204"/>
  <c r="H59" i="204"/>
  <c r="J26" i="203"/>
  <c r="J26" i="204" s="1"/>
  <c r="H26" i="204"/>
  <c r="J25" i="203"/>
  <c r="J25" i="204" s="1"/>
  <c r="H25" i="204"/>
  <c r="J24" i="203"/>
  <c r="J24" i="204" s="1"/>
  <c r="H24" i="204"/>
  <c r="A916" i="242"/>
  <c r="B917" i="242"/>
  <c r="A2788" i="242"/>
  <c r="B2789" i="242"/>
  <c r="AK24" i="88"/>
  <c r="AK45" i="88"/>
  <c r="Q26" i="203"/>
  <c r="Q36" i="203"/>
  <c r="P35" i="203" s="1"/>
  <c r="Q59" i="203"/>
  <c r="N58" i="203" s="1"/>
  <c r="Q25" i="203"/>
  <c r="H27" i="203"/>
  <c r="Q12" i="203"/>
  <c r="O12" i="203" s="1"/>
  <c r="AC63" i="69"/>
  <c r="AH63" i="69"/>
  <c r="Q22" i="203"/>
  <c r="Q9" i="203"/>
  <c r="O10" i="203" s="1"/>
  <c r="Q32" i="203"/>
  <c r="N32" i="203" s="1"/>
  <c r="J22" i="203"/>
  <c r="J22" i="204" s="1"/>
  <c r="O49" i="203"/>
  <c r="Q24" i="203"/>
  <c r="BM130" i="4"/>
  <c r="H23" i="203"/>
  <c r="BK130" i="4"/>
  <c r="BO130" i="4"/>
  <c r="BP130" i="4"/>
  <c r="N39" i="203"/>
  <c r="P40" i="203"/>
  <c r="O40" i="203"/>
  <c r="N33" i="204"/>
  <c r="O34" i="204"/>
  <c r="P34" i="204"/>
  <c r="P46" i="204"/>
  <c r="P47" i="204"/>
  <c r="O47" i="204"/>
  <c r="N46" i="204"/>
  <c r="N56" i="203"/>
  <c r="O57" i="203"/>
  <c r="P57" i="203"/>
  <c r="O56" i="203"/>
  <c r="N55" i="203"/>
  <c r="P56" i="203"/>
  <c r="P49" i="204"/>
  <c r="O49" i="204"/>
  <c r="N48" i="204"/>
  <c r="P50" i="204"/>
  <c r="O50" i="204"/>
  <c r="N49" i="204"/>
  <c r="O18" i="204"/>
  <c r="P18" i="204"/>
  <c r="N17" i="204"/>
  <c r="P9" i="204"/>
  <c r="O9" i="204"/>
  <c r="O51" i="204"/>
  <c r="P51" i="204"/>
  <c r="N50" i="204"/>
  <c r="O44" i="203"/>
  <c r="P44" i="203"/>
  <c r="N43" i="203"/>
  <c r="O60" i="204"/>
  <c r="P60" i="204"/>
  <c r="N59" i="204"/>
  <c r="N60" i="204"/>
  <c r="O59" i="204"/>
  <c r="N58" i="204"/>
  <c r="P59" i="204"/>
  <c r="O57" i="204"/>
  <c r="O58" i="204"/>
  <c r="N57" i="204"/>
  <c r="P58" i="204"/>
  <c r="N18" i="204"/>
  <c r="O19" i="204"/>
  <c r="P19" i="204"/>
  <c r="P55" i="204"/>
  <c r="O55" i="204"/>
  <c r="N54" i="204"/>
  <c r="O13" i="204"/>
  <c r="P13" i="204"/>
  <c r="N12" i="204"/>
  <c r="P20" i="203"/>
  <c r="N20" i="203"/>
  <c r="O18" i="203"/>
  <c r="P18" i="203"/>
  <c r="N17" i="203"/>
  <c r="N40" i="203"/>
  <c r="O41" i="203"/>
  <c r="P41" i="203"/>
  <c r="O51" i="203"/>
  <c r="P51" i="203"/>
  <c r="N50" i="203"/>
  <c r="P34" i="203"/>
  <c r="O34" i="203"/>
  <c r="P39" i="203"/>
  <c r="O39" i="203"/>
  <c r="N38" i="203"/>
  <c r="N14" i="203"/>
  <c r="O15" i="203"/>
  <c r="P15" i="203"/>
  <c r="O43" i="203"/>
  <c r="P43" i="203"/>
  <c r="N42" i="203"/>
  <c r="N51" i="204"/>
  <c r="P52" i="204"/>
  <c r="O52" i="204"/>
  <c r="N48" i="203"/>
  <c r="N46" i="203"/>
  <c r="P47" i="203"/>
  <c r="O47" i="203"/>
  <c r="N41" i="204"/>
  <c r="P42" i="204"/>
  <c r="O42" i="204"/>
  <c r="N45" i="204"/>
  <c r="P44" i="204"/>
  <c r="N43" i="204"/>
  <c r="O44" i="204"/>
  <c r="N18" i="203"/>
  <c r="P19" i="203"/>
  <c r="O19" i="203"/>
  <c r="N38" i="204"/>
  <c r="O39" i="204"/>
  <c r="P39" i="204"/>
  <c r="O10" i="204"/>
  <c r="P11" i="204"/>
  <c r="O11" i="204"/>
  <c r="N10" i="204"/>
  <c r="O20" i="204"/>
  <c r="P20" i="204"/>
  <c r="N19" i="204"/>
  <c r="N44" i="203"/>
  <c r="P45" i="203"/>
  <c r="O45" i="203"/>
  <c r="P48" i="204"/>
  <c r="O48" i="204"/>
  <c r="N47" i="204"/>
  <c r="N20" i="204"/>
  <c r="N42" i="204"/>
  <c r="P43" i="204"/>
  <c r="O43" i="204"/>
  <c r="O15" i="204"/>
  <c r="N14" i="204"/>
  <c r="P15" i="204"/>
  <c r="N51" i="203"/>
  <c r="O52" i="203"/>
  <c r="P52" i="203"/>
  <c r="N56" i="204"/>
  <c r="P57" i="204"/>
  <c r="N19" i="203"/>
  <c r="O20" i="203"/>
  <c r="N45" i="203"/>
  <c r="O46" i="203"/>
  <c r="P46" i="203"/>
  <c r="P56" i="204"/>
  <c r="O56" i="204"/>
  <c r="N55" i="204"/>
  <c r="P40" i="204"/>
  <c r="O40" i="204"/>
  <c r="N39" i="204"/>
  <c r="O33" i="204"/>
  <c r="N32" i="204"/>
  <c r="P33" i="204"/>
  <c r="P38" i="203"/>
  <c r="O38" i="203"/>
  <c r="P45" i="204"/>
  <c r="O45" i="204"/>
  <c r="N44" i="204"/>
  <c r="O14" i="203"/>
  <c r="P14" i="203"/>
  <c r="N41" i="203"/>
  <c r="P42" i="203"/>
  <c r="O42" i="203"/>
  <c r="N53" i="204"/>
  <c r="P53" i="204"/>
  <c r="N52" i="204"/>
  <c r="O53" i="204"/>
  <c r="N49" i="203"/>
  <c r="P50" i="203"/>
  <c r="O50" i="203"/>
  <c r="N13" i="204"/>
  <c r="N11" i="204"/>
  <c r="O12" i="204"/>
  <c r="P12" i="204"/>
  <c r="P10" i="204"/>
  <c r="N9" i="204"/>
  <c r="N52" i="203"/>
  <c r="P53" i="203"/>
  <c r="O14" i="204"/>
  <c r="P14" i="204"/>
  <c r="O46" i="204"/>
  <c r="P32" i="204"/>
  <c r="O32" i="204"/>
  <c r="N34" i="203"/>
  <c r="P54" i="204"/>
  <c r="O54" i="204"/>
  <c r="P49" i="203"/>
  <c r="P48" i="203"/>
  <c r="N47" i="203"/>
  <c r="O48" i="203"/>
  <c r="N40" i="204"/>
  <c r="O41" i="204"/>
  <c r="P41" i="204"/>
  <c r="N57" i="203"/>
  <c r="O53" i="203"/>
  <c r="P54" i="203"/>
  <c r="O54" i="203"/>
  <c r="N53" i="203"/>
  <c r="N34" i="204"/>
  <c r="P35" i="204"/>
  <c r="O35" i="204"/>
  <c r="O16" i="203"/>
  <c r="N15" i="203"/>
  <c r="P16" i="203"/>
  <c r="O17" i="203"/>
  <c r="P17" i="203"/>
  <c r="N16" i="203"/>
  <c r="O55" i="203"/>
  <c r="P55" i="203"/>
  <c r="N54" i="203"/>
  <c r="N36" i="204"/>
  <c r="P37" i="204"/>
  <c r="O37" i="204"/>
  <c r="N35" i="204"/>
  <c r="O36" i="204"/>
  <c r="P36" i="204"/>
  <c r="P31" i="204"/>
  <c r="P30" i="204" s="1"/>
  <c r="P29" i="204" s="1"/>
  <c r="O31" i="204"/>
  <c r="O30" i="204" s="1"/>
  <c r="O29" i="204" s="1"/>
  <c r="P16" i="204"/>
  <c r="O16" i="204"/>
  <c r="N15" i="204"/>
  <c r="N16" i="204"/>
  <c r="P17" i="204"/>
  <c r="O17" i="204"/>
  <c r="P38" i="204"/>
  <c r="N37" i="204"/>
  <c r="O38" i="204"/>
  <c r="L70" i="69"/>
  <c r="L71" i="69"/>
  <c r="W38" i="69"/>
  <c r="L69" i="69"/>
  <c r="AJ27" i="70"/>
  <c r="AI14" i="70"/>
  <c r="AJ15" i="70"/>
  <c r="AI27" i="70"/>
  <c r="AJ13" i="70"/>
  <c r="AJ14" i="70"/>
  <c r="AI16" i="70"/>
  <c r="AJ16" i="70"/>
  <c r="AI15" i="70"/>
  <c r="AI13" i="70"/>
  <c r="AN45" i="69"/>
  <c r="AN51" i="69"/>
  <c r="AC148" i="4"/>
  <c r="U148" i="4"/>
  <c r="AK148" i="4"/>
  <c r="AS148" i="4"/>
  <c r="G46" i="69"/>
  <c r="G61" i="69"/>
  <c r="G21" i="69"/>
  <c r="AH51" i="69"/>
  <c r="G54" i="69"/>
  <c r="G48" i="69"/>
  <c r="AH39" i="69"/>
  <c r="G25" i="69"/>
  <c r="G47" i="69"/>
  <c r="G27" i="69"/>
  <c r="AN22" i="69"/>
  <c r="AD7" i="88" s="1"/>
  <c r="CC34" i="70"/>
  <c r="AN38" i="69" s="1"/>
  <c r="CC22" i="70"/>
  <c r="CC33" i="70"/>
  <c r="AN37" i="69" s="1"/>
  <c r="CC40" i="70"/>
  <c r="CC24" i="70"/>
  <c r="CC20" i="70"/>
  <c r="AK9" i="88" s="1"/>
  <c r="CC37" i="70"/>
  <c r="AN25" i="69"/>
  <c r="AD10" i="88" s="1"/>
  <c r="AN21" i="69"/>
  <c r="AD6" i="88" s="1"/>
  <c r="AN29" i="69"/>
  <c r="AD14" i="88" s="1"/>
  <c r="AN27" i="69"/>
  <c r="AD12" i="88" s="1"/>
  <c r="AN20" i="69"/>
  <c r="AD5" i="88" s="1"/>
  <c r="CC42" i="70"/>
  <c r="CC44" i="70"/>
  <c r="CC36" i="70"/>
  <c r="CC35" i="70"/>
  <c r="CC19" i="70"/>
  <c r="AK8" i="88" s="1"/>
  <c r="CC49" i="70"/>
  <c r="AN53" i="69" s="1"/>
  <c r="CC39" i="70"/>
  <c r="CC43" i="70"/>
  <c r="CC32" i="70"/>
  <c r="AN36" i="69" s="1"/>
  <c r="CC38" i="70"/>
  <c r="CC26" i="70"/>
  <c r="AK15" i="88" s="1"/>
  <c r="CC48" i="70"/>
  <c r="AN52" i="69" s="1"/>
  <c r="CC45" i="70"/>
  <c r="CC46" i="70"/>
  <c r="CC27" i="70"/>
  <c r="AK16" i="88" s="1"/>
  <c r="AS135" i="4"/>
  <c r="AK125" i="4"/>
  <c r="AK99" i="4"/>
  <c r="AS105" i="4"/>
  <c r="AC124" i="4"/>
  <c r="AS109" i="4"/>
  <c r="AS129" i="4"/>
  <c r="AK123" i="4"/>
  <c r="AK111" i="4"/>
  <c r="U111" i="4"/>
  <c r="AS139" i="4"/>
  <c r="U97" i="4"/>
  <c r="S18" i="69" s="1"/>
  <c r="AS107" i="4"/>
  <c r="AK100" i="4"/>
  <c r="U109" i="4"/>
  <c r="U100" i="4"/>
  <c r="U105" i="4"/>
  <c r="AK135" i="4"/>
  <c r="AC122" i="4"/>
  <c r="AC141" i="4"/>
  <c r="AK107" i="4"/>
  <c r="AC114" i="4"/>
  <c r="AS125" i="4"/>
  <c r="AC100" i="4"/>
  <c r="AS140" i="4"/>
  <c r="AS142" i="4"/>
  <c r="AK127" i="4"/>
  <c r="AC106" i="4"/>
  <c r="AS126" i="4"/>
  <c r="AC125" i="4"/>
  <c r="AC116" i="4"/>
  <c r="AH28" i="69"/>
  <c r="G28" i="69"/>
  <c r="G55" i="69"/>
  <c r="G65" i="69"/>
  <c r="AC70" i="69"/>
  <c r="AE70" i="69" s="1"/>
  <c r="G70" i="69"/>
  <c r="AC62" i="69"/>
  <c r="G62" i="69"/>
  <c r="G32" i="69"/>
  <c r="G68" i="69"/>
  <c r="G24" i="69"/>
  <c r="AC23" i="69"/>
  <c r="G23" i="69"/>
  <c r="G59" i="69"/>
  <c r="G22" i="69"/>
  <c r="G30" i="69"/>
  <c r="AC36" i="69"/>
  <c r="G36" i="69"/>
  <c r="AC67" i="69"/>
  <c r="G67" i="69"/>
  <c r="AC50" i="69"/>
  <c r="G33" i="69"/>
  <c r="G18" i="69"/>
  <c r="AH53" i="69"/>
  <c r="G53" i="69"/>
  <c r="AC40" i="69"/>
  <c r="G17" i="69"/>
  <c r="G31" i="69"/>
  <c r="G29" i="69"/>
  <c r="G60" i="69"/>
  <c r="G57" i="69"/>
  <c r="G19" i="69"/>
  <c r="AC35" i="69"/>
  <c r="G35" i="69"/>
  <c r="AH43" i="69"/>
  <c r="G20" i="69"/>
  <c r="G71" i="69"/>
  <c r="G34" i="69"/>
  <c r="AH56" i="69"/>
  <c r="G56" i="69"/>
  <c r="G44" i="69"/>
  <c r="G58" i="69"/>
  <c r="G64" i="69"/>
  <c r="G66" i="69"/>
  <c r="AC45" i="69"/>
  <c r="G45" i="69"/>
  <c r="AH49" i="69"/>
  <c r="G69" i="69"/>
  <c r="AH26" i="69"/>
  <c r="G26" i="69"/>
  <c r="BP107" i="4"/>
  <c r="AS116" i="4"/>
  <c r="AS110" i="4"/>
  <c r="BK98" i="4"/>
  <c r="BE98" i="4"/>
  <c r="BM98" i="4"/>
  <c r="U116" i="4"/>
  <c r="BM137" i="4"/>
  <c r="BK142" i="4"/>
  <c r="BE142" i="4"/>
  <c r="BO106" i="4"/>
  <c r="AK116" i="4"/>
  <c r="BM142" i="4"/>
  <c r="AC110" i="4"/>
  <c r="AC147" i="4"/>
  <c r="U110" i="4"/>
  <c r="BP142" i="4"/>
  <c r="AH67" i="69"/>
  <c r="U135" i="4"/>
  <c r="U96" i="4"/>
  <c r="S17" i="69" s="1"/>
  <c r="AK97" i="4"/>
  <c r="Y18" i="69" s="1"/>
  <c r="AK110" i="4"/>
  <c r="AC33" i="69"/>
  <c r="AH50" i="69"/>
  <c r="BO161" i="4"/>
  <c r="BP119" i="4"/>
  <c r="BE161" i="4"/>
  <c r="BK111" i="4"/>
  <c r="BO114" i="4"/>
  <c r="BP122" i="4"/>
  <c r="BK140" i="4"/>
  <c r="BO140" i="4"/>
  <c r="BK128" i="4"/>
  <c r="BE128" i="4"/>
  <c r="BM128" i="4"/>
  <c r="BM114" i="4"/>
  <c r="BM132" i="4"/>
  <c r="BP161" i="4"/>
  <c r="BO107" i="4"/>
  <c r="BM161" i="4"/>
  <c r="AC96" i="4"/>
  <c r="AD17" i="69" s="1"/>
  <c r="BP132" i="4"/>
  <c r="BE119" i="4"/>
  <c r="BE132" i="4"/>
  <c r="BM119" i="4"/>
  <c r="BK132" i="4"/>
  <c r="BO119" i="4"/>
  <c r="BK136" i="4"/>
  <c r="BP114" i="4"/>
  <c r="BM140" i="4"/>
  <c r="BE114" i="4"/>
  <c r="BP154" i="4"/>
  <c r="BP140" i="4"/>
  <c r="AS147" i="4"/>
  <c r="U147" i="4"/>
  <c r="BM125" i="4"/>
  <c r="BE111" i="4"/>
  <c r="AC60" i="69"/>
  <c r="AH19" i="69"/>
  <c r="BO111" i="4"/>
  <c r="BE131" i="4"/>
  <c r="BP147" i="4"/>
  <c r="BO156" i="4"/>
  <c r="AH61" i="69"/>
  <c r="BO98" i="4"/>
  <c r="AS97" i="4"/>
  <c r="AI18" i="69" s="1"/>
  <c r="BP128" i="4"/>
  <c r="BM111" i="4"/>
  <c r="AH18" i="69"/>
  <c r="BM102" i="4"/>
  <c r="AH36" i="69"/>
  <c r="AH24" i="69"/>
  <c r="BP102" i="4"/>
  <c r="AC24" i="69"/>
  <c r="BO102" i="4"/>
  <c r="BE102" i="4"/>
  <c r="AK130" i="4"/>
  <c r="BP146" i="4"/>
  <c r="AH23" i="69"/>
  <c r="BP153" i="4"/>
  <c r="BE100" i="4"/>
  <c r="BK131" i="4"/>
  <c r="BM144" i="4"/>
  <c r="BE147" i="4"/>
  <c r="AC18" i="69"/>
  <c r="AE18" i="69" s="1"/>
  <c r="AH33" i="69"/>
  <c r="AH52" i="69"/>
  <c r="BE143" i="4"/>
  <c r="BO144" i="4"/>
  <c r="BK147" i="4"/>
  <c r="AC52" i="69"/>
  <c r="BM100" i="4"/>
  <c r="AC20" i="69"/>
  <c r="BP100" i="4"/>
  <c r="BM143" i="4"/>
  <c r="BE144" i="4"/>
  <c r="BK152" i="4"/>
  <c r="BO100" i="4"/>
  <c r="BO152" i="4"/>
  <c r="AH71" i="69"/>
  <c r="AJ71" i="69" s="1"/>
  <c r="BO143" i="4"/>
  <c r="BK144" i="4"/>
  <c r="AH34" i="69"/>
  <c r="BP143" i="4"/>
  <c r="BO131" i="4"/>
  <c r="AC34" i="69"/>
  <c r="AC71" i="69"/>
  <c r="AE71" i="69" s="1"/>
  <c r="AC21" i="69"/>
  <c r="AH27" i="69"/>
  <c r="AH48" i="69"/>
  <c r="BM131" i="4"/>
  <c r="BO147" i="4"/>
  <c r="AC56" i="69"/>
  <c r="AH21" i="69"/>
  <c r="AC27" i="69"/>
  <c r="AC48" i="69"/>
  <c r="BO136" i="4"/>
  <c r="AS96" i="4"/>
  <c r="AI17" i="69" s="1"/>
  <c r="AS123" i="4"/>
  <c r="BP157" i="4"/>
  <c r="AH54" i="69"/>
  <c r="BE148" i="4"/>
  <c r="BK127" i="4"/>
  <c r="BE153" i="4"/>
  <c r="BK125" i="4"/>
  <c r="BM156" i="4"/>
  <c r="AH60" i="69"/>
  <c r="AC19" i="69"/>
  <c r="BO134" i="4"/>
  <c r="BO153" i="4"/>
  <c r="BE129" i="4"/>
  <c r="BM110" i="4"/>
  <c r="BK156" i="4"/>
  <c r="BK134" i="4"/>
  <c r="BM153" i="4"/>
  <c r="BK110" i="4"/>
  <c r="BP156" i="4"/>
  <c r="AC30" i="69"/>
  <c r="BM134" i="4"/>
  <c r="BP110" i="4"/>
  <c r="AC29" i="69"/>
  <c r="AC38" i="69"/>
  <c r="AC57" i="69"/>
  <c r="AH30" i="69"/>
  <c r="AC135" i="4"/>
  <c r="BP134" i="4"/>
  <c r="BE110" i="4"/>
  <c r="BP125" i="4"/>
  <c r="AH29" i="69"/>
  <c r="AH38" i="69"/>
  <c r="AH57" i="69"/>
  <c r="AK96" i="4"/>
  <c r="Y17" i="69" s="1"/>
  <c r="BO125" i="4"/>
  <c r="AC51" i="69"/>
  <c r="AC58" i="69"/>
  <c r="U139" i="4"/>
  <c r="AK134" i="4"/>
  <c r="AC109" i="4"/>
  <c r="AS143" i="4"/>
  <c r="AK102" i="4"/>
  <c r="AK120" i="4"/>
  <c r="AK98" i="4"/>
  <c r="Y19" i="69" s="1"/>
  <c r="BM124" i="4"/>
  <c r="U99" i="4"/>
  <c r="U145" i="4"/>
  <c r="AS144" i="4"/>
  <c r="AC104" i="4"/>
  <c r="AC120" i="4"/>
  <c r="AC103" i="4"/>
  <c r="U103" i="4"/>
  <c r="AK114" i="4"/>
  <c r="AS114" i="4"/>
  <c r="AK132" i="4"/>
  <c r="AK124" i="4"/>
  <c r="AS112" i="4"/>
  <c r="AC133" i="4"/>
  <c r="BM141" i="4"/>
  <c r="AC54" i="69"/>
  <c r="U123" i="4"/>
  <c r="BP103" i="4"/>
  <c r="BM139" i="4"/>
  <c r="BP148" i="4"/>
  <c r="BK103" i="4"/>
  <c r="BP139" i="4"/>
  <c r="BK113" i="4"/>
  <c r="BM155" i="4"/>
  <c r="BE103" i="4"/>
  <c r="BO157" i="4"/>
  <c r="AC26" i="69"/>
  <c r="AC61" i="69"/>
  <c r="AC37" i="69"/>
  <c r="U143" i="4"/>
  <c r="BM157" i="4"/>
  <c r="AH44" i="69"/>
  <c r="AS106" i="4"/>
  <c r="U126" i="4"/>
  <c r="AS119" i="4"/>
  <c r="AS121" i="4"/>
  <c r="AK138" i="4"/>
  <c r="AC137" i="4"/>
  <c r="AS111" i="4"/>
  <c r="BP113" i="4"/>
  <c r="BE139" i="4"/>
  <c r="BM113" i="4"/>
  <c r="BO127" i="4"/>
  <c r="BM103" i="4"/>
  <c r="BK139" i="4"/>
  <c r="BO113" i="4"/>
  <c r="BP127" i="4"/>
  <c r="BK157" i="4"/>
  <c r="AC44" i="69"/>
  <c r="AC28" i="69"/>
  <c r="AH25" i="69"/>
  <c r="AC132" i="4"/>
  <c r="AK109" i="4"/>
  <c r="U115" i="4"/>
  <c r="U108" i="4"/>
  <c r="BK154" i="4"/>
  <c r="BO148" i="4"/>
  <c r="U117" i="4"/>
  <c r="BE154" i="4"/>
  <c r="BM138" i="4"/>
  <c r="BM148" i="4"/>
  <c r="BM127" i="4"/>
  <c r="BM145" i="4"/>
  <c r="AH37" i="69"/>
  <c r="U124" i="4"/>
  <c r="AK145" i="4"/>
  <c r="AK131" i="4"/>
  <c r="AK112" i="4"/>
  <c r="U125" i="4"/>
  <c r="AC144" i="4"/>
  <c r="AC143" i="4"/>
  <c r="AK118" i="4"/>
  <c r="BO154" i="4"/>
  <c r="BP145" i="4"/>
  <c r="U114" i="4"/>
  <c r="AK129" i="4"/>
  <c r="AK139" i="4"/>
  <c r="AS134" i="4"/>
  <c r="AK106" i="4"/>
  <c r="AK126" i="4"/>
  <c r="AC126" i="4"/>
  <c r="AS113" i="4"/>
  <c r="AC112" i="4"/>
  <c r="AK119" i="4"/>
  <c r="U141" i="4"/>
  <c r="AC138" i="4"/>
  <c r="U104" i="4"/>
  <c r="AS100" i="4"/>
  <c r="AS133" i="4"/>
  <c r="U140" i="4"/>
  <c r="AS120" i="4"/>
  <c r="AC105" i="4"/>
  <c r="AC146" i="4"/>
  <c r="AS146" i="4"/>
  <c r="AC118" i="4"/>
  <c r="AC136" i="4"/>
  <c r="AS145" i="4"/>
  <c r="AS118" i="4"/>
  <c r="BE145" i="4"/>
  <c r="AK128" i="4"/>
  <c r="AK115" i="4"/>
  <c r="AS137" i="4"/>
  <c r="AC140" i="4"/>
  <c r="AK146" i="4"/>
  <c r="AK136" i="4"/>
  <c r="AS101" i="4"/>
  <c r="BK145" i="4"/>
  <c r="U128" i="4"/>
  <c r="AC129" i="4"/>
  <c r="U132" i="4"/>
  <c r="AC134" i="4"/>
  <c r="AK117" i="4"/>
  <c r="AC113" i="4"/>
  <c r="AS102" i="4"/>
  <c r="U102" i="4"/>
  <c r="AC119" i="4"/>
  <c r="U121" i="4"/>
  <c r="AK108" i="4"/>
  <c r="AS138" i="4"/>
  <c r="AS104" i="4"/>
  <c r="AC131" i="4"/>
  <c r="AK140" i="4"/>
  <c r="AS99" i="4"/>
  <c r="AC98" i="4"/>
  <c r="AD19" i="69" s="1"/>
  <c r="AC111" i="4"/>
  <c r="AC142" i="4"/>
  <c r="U127" i="4"/>
  <c r="AK144" i="4"/>
  <c r="AS132" i="4"/>
  <c r="AS115" i="4"/>
  <c r="AK113" i="4"/>
  <c r="AC123" i="4"/>
  <c r="AS141" i="4"/>
  <c r="AC108" i="4"/>
  <c r="U131" i="4"/>
  <c r="U120" i="4"/>
  <c r="AC99" i="4"/>
  <c r="U136" i="4"/>
  <c r="AC145" i="4"/>
  <c r="AS127" i="4"/>
  <c r="AC128" i="4"/>
  <c r="AS124" i="4"/>
  <c r="U106" i="4"/>
  <c r="AC115" i="4"/>
  <c r="AC117" i="4"/>
  <c r="U122" i="4"/>
  <c r="AK143" i="4"/>
  <c r="U113" i="4"/>
  <c r="AC102" i="4"/>
  <c r="U119" i="4"/>
  <c r="AK121" i="4"/>
  <c r="AK141" i="4"/>
  <c r="AS108" i="4"/>
  <c r="U137" i="4"/>
  <c r="AS136" i="4"/>
  <c r="AK103" i="4"/>
  <c r="U144" i="4"/>
  <c r="AS130" i="4"/>
  <c r="AS117" i="4"/>
  <c r="AK122" i="4"/>
  <c r="AC121" i="4"/>
  <c r="AK104" i="4"/>
  <c r="U133" i="4"/>
  <c r="AS103" i="4"/>
  <c r="AC130" i="4"/>
  <c r="AS98" i="4"/>
  <c r="AI19" i="69" s="1"/>
  <c r="AK101" i="4"/>
  <c r="AS128" i="4"/>
  <c r="U129" i="4"/>
  <c r="AC139" i="4"/>
  <c r="U134" i="4"/>
  <c r="AS122" i="4"/>
  <c r="U112" i="4"/>
  <c r="U138" i="4"/>
  <c r="AS131" i="4"/>
  <c r="AK137" i="4"/>
  <c r="AK133" i="4"/>
  <c r="U146" i="4"/>
  <c r="U142" i="4"/>
  <c r="U118" i="4"/>
  <c r="AC127" i="4"/>
  <c r="U98" i="4"/>
  <c r="S19" i="69" s="1"/>
  <c r="U101" i="4"/>
  <c r="AH17" i="69"/>
  <c r="AC43" i="69"/>
  <c r="BK97" i="4"/>
  <c r="BP104" i="4"/>
  <c r="BM97" i="4"/>
  <c r="BO97" i="4"/>
  <c r="BP133" i="4"/>
  <c r="BP97" i="4"/>
  <c r="BO117" i="4"/>
  <c r="BE158" i="4"/>
  <c r="AH31" i="69"/>
  <c r="BK108" i="4"/>
  <c r="BM109" i="4"/>
  <c r="BE124" i="4"/>
  <c r="BK106" i="4"/>
  <c r="AH62" i="69"/>
  <c r="BK124" i="4"/>
  <c r="BE122" i="4"/>
  <c r="BP106" i="4"/>
  <c r="BK141" i="4"/>
  <c r="BO137" i="4"/>
  <c r="BM135" i="4"/>
  <c r="AH32" i="69"/>
  <c r="BO124" i="4"/>
  <c r="BK122" i="4"/>
  <c r="BM106" i="4"/>
  <c r="BP141" i="4"/>
  <c r="BP137" i="4"/>
  <c r="BO135" i="4"/>
  <c r="AC32" i="69"/>
  <c r="BO122" i="4"/>
  <c r="BO141" i="4"/>
  <c r="BE137" i="4"/>
  <c r="BP135" i="4"/>
  <c r="AC68" i="69"/>
  <c r="BK135" i="4"/>
  <c r="AC47" i="69"/>
  <c r="AH68" i="69"/>
  <c r="AC41" i="69"/>
  <c r="AH47" i="69"/>
  <c r="AH41" i="69"/>
  <c r="BM96" i="4"/>
  <c r="BO96" i="4"/>
  <c r="BM115" i="4"/>
  <c r="BE99" i="4"/>
  <c r="BM101" i="4"/>
  <c r="BE96" i="4"/>
  <c r="BO160" i="4"/>
  <c r="AC25" i="69"/>
  <c r="AC22" i="69"/>
  <c r="AH22" i="69"/>
  <c r="BM120" i="4"/>
  <c r="BP96" i="4"/>
  <c r="BE121" i="4"/>
  <c r="BO158" i="4"/>
  <c r="BO159" i="4"/>
  <c r="BE108" i="4"/>
  <c r="BO149" i="4"/>
  <c r="BP126" i="4"/>
  <c r="AC53" i="69"/>
  <c r="AC46" i="69"/>
  <c r="BE107" i="4"/>
  <c r="BK158" i="4"/>
  <c r="BE104" i="4"/>
  <c r="BM152" i="4"/>
  <c r="BM108" i="4"/>
  <c r="BM149" i="4"/>
  <c r="BE126" i="4"/>
  <c r="BO109" i="4"/>
  <c r="AH40" i="69"/>
  <c r="AH46" i="69"/>
  <c r="BK107" i="4"/>
  <c r="BP158" i="4"/>
  <c r="BP117" i="4"/>
  <c r="BM136" i="4"/>
  <c r="BK104" i="4"/>
  <c r="BO108" i="4"/>
  <c r="BK149" i="4"/>
  <c r="BK133" i="4"/>
  <c r="BE109" i="4"/>
  <c r="BE117" i="4"/>
  <c r="BM159" i="4"/>
  <c r="BO99" i="4"/>
  <c r="BE136" i="4"/>
  <c r="BM104" i="4"/>
  <c r="BE149" i="4"/>
  <c r="BO133" i="4"/>
  <c r="BK109" i="4"/>
  <c r="AH20" i="69"/>
  <c r="AC17" i="69"/>
  <c r="AC31" i="69"/>
  <c r="AH58" i="69"/>
  <c r="BM117" i="4"/>
  <c r="BK159" i="4"/>
  <c r="BM99" i="4"/>
  <c r="BO126" i="4"/>
  <c r="BE133" i="4"/>
  <c r="BP159" i="4"/>
  <c r="BP99" i="4"/>
  <c r="BP152" i="4"/>
  <c r="BK126" i="4"/>
  <c r="BE146" i="4"/>
  <c r="BK146" i="4"/>
  <c r="AC42" i="69"/>
  <c r="AC64" i="69"/>
  <c r="AC55" i="69"/>
  <c r="AH65" i="69"/>
  <c r="BE105" i="4"/>
  <c r="BM146" i="4"/>
  <c r="AH42" i="69"/>
  <c r="AH64" i="69"/>
  <c r="AH55" i="69"/>
  <c r="AH69" i="69"/>
  <c r="AC65" i="69"/>
  <c r="BK105" i="4"/>
  <c r="AC66" i="69"/>
  <c r="BM105" i="4"/>
  <c r="AC69" i="69"/>
  <c r="AH66" i="69"/>
  <c r="BO105" i="4"/>
  <c r="AC49" i="69"/>
  <c r="AC39" i="69"/>
  <c r="BM160" i="4"/>
  <c r="BK121" i="4"/>
  <c r="BK101" i="4"/>
  <c r="BK155" i="4"/>
  <c r="BM121" i="4"/>
  <c r="BO118" i="4"/>
  <c r="BP101" i="4"/>
  <c r="BE112" i="4"/>
  <c r="BK118" i="4"/>
  <c r="BO101" i="4"/>
  <c r="BM151" i="4"/>
  <c r="BO120" i="4"/>
  <c r="BP115" i="4"/>
  <c r="BK112" i="4"/>
  <c r="BO138" i="4"/>
  <c r="BM118" i="4"/>
  <c r="BK151" i="4"/>
  <c r="AC59" i="69"/>
  <c r="BE120" i="4"/>
  <c r="BE115" i="4"/>
  <c r="BP112" i="4"/>
  <c r="BK160" i="4"/>
  <c r="BP138" i="4"/>
  <c r="BP118" i="4"/>
  <c r="BE155" i="4"/>
  <c r="BP151" i="4"/>
  <c r="AH59" i="69"/>
  <c r="BK120" i="4"/>
  <c r="BK115" i="4"/>
  <c r="BM112" i="4"/>
  <c r="BP160" i="4"/>
  <c r="BE138" i="4"/>
  <c r="BO121" i="4"/>
  <c r="BP155" i="4"/>
  <c r="BE151" i="4"/>
  <c r="BK129" i="4"/>
  <c r="BM150" i="4"/>
  <c r="BM129" i="4"/>
  <c r="BO150" i="4"/>
  <c r="BM123" i="4"/>
  <c r="BK150" i="4"/>
  <c r="BP123" i="4"/>
  <c r="BM116" i="4"/>
  <c r="BK116" i="4"/>
  <c r="BP150" i="4"/>
  <c r="BE123" i="4"/>
  <c r="BP116" i="4"/>
  <c r="BK123" i="4"/>
  <c r="AH70" i="69"/>
  <c r="AJ70" i="69" s="1"/>
  <c r="BE116" i="4"/>
  <c r="BO129" i="4"/>
  <c r="AH35" i="69"/>
  <c r="AH45" i="69"/>
  <c r="BQ53" i="70"/>
  <c r="BQ28" i="70"/>
  <c r="BH28" i="70"/>
  <c r="AJ25" i="70"/>
  <c r="BQ26" i="70"/>
  <c r="AR40" i="70"/>
  <c r="BA16" i="70"/>
  <c r="BI33" i="70"/>
  <c r="AZ67" i="70"/>
  <c r="BQ33" i="70"/>
  <c r="AI45" i="70"/>
  <c r="AR63" i="70"/>
  <c r="BR59" i="70"/>
  <c r="BR23" i="70"/>
  <c r="BH59" i="70"/>
  <c r="BI25" i="70"/>
  <c r="AR64" i="70"/>
  <c r="BA20" i="70"/>
  <c r="AR27" i="70"/>
  <c r="AR47" i="70"/>
  <c r="AZ64" i="70"/>
  <c r="AI44" i="70"/>
  <c r="BH34" i="70"/>
  <c r="AS20" i="70"/>
  <c r="BA21" i="70"/>
  <c r="AS49" i="70"/>
  <c r="BI21" i="70"/>
  <c r="BI66" i="70"/>
  <c r="AZ61" i="70"/>
  <c r="AS17" i="70"/>
  <c r="AR42" i="70"/>
  <c r="BQ46" i="70"/>
  <c r="AS30" i="70"/>
  <c r="AZ20" i="70"/>
  <c r="AR50" i="70"/>
  <c r="AS46" i="70"/>
  <c r="BH22" i="70"/>
  <c r="AI32" i="70"/>
  <c r="BR61" i="70"/>
  <c r="BR30" i="70"/>
  <c r="BH27" i="70"/>
  <c r="AR41" i="70"/>
  <c r="BH18" i="70"/>
  <c r="BH49" i="70"/>
  <c r="AS25" i="70"/>
  <c r="AZ57" i="70"/>
  <c r="AJ32" i="70"/>
  <c r="AR21" i="70"/>
  <c r="AS27" i="70"/>
  <c r="AI40" i="70"/>
  <c r="BQ45" i="70"/>
  <c r="AS47" i="70"/>
  <c r="AI47" i="70"/>
  <c r="BA38" i="70"/>
  <c r="BI17" i="70"/>
  <c r="AZ19" i="70"/>
  <c r="AS23" i="70"/>
  <c r="AJ46" i="70"/>
  <c r="BA37" i="70"/>
  <c r="BA48" i="70"/>
  <c r="BA58" i="70"/>
  <c r="BI29" i="70"/>
  <c r="BI63" i="70"/>
  <c r="BH40" i="70"/>
  <c r="BI65" i="70"/>
  <c r="AI17" i="70"/>
  <c r="AJ39" i="70"/>
  <c r="BH29" i="70"/>
  <c r="AJ36" i="70"/>
  <c r="AZ33" i="70"/>
  <c r="BR37" i="70"/>
  <c r="AI36" i="70"/>
  <c r="AJ58" i="70"/>
  <c r="BI53" i="70"/>
  <c r="AS62" i="70"/>
  <c r="BI26" i="70"/>
  <c r="AJ18" i="70"/>
  <c r="BQ47" i="70"/>
  <c r="AZ25" i="70"/>
  <c r="AR19" i="70"/>
  <c r="BH51" i="70"/>
  <c r="AZ17" i="70"/>
  <c r="AR43" i="70"/>
  <c r="BA32" i="70"/>
  <c r="BI58" i="70"/>
  <c r="AR23" i="70"/>
  <c r="AI65" i="70"/>
  <c r="AZ30" i="70"/>
  <c r="AS44" i="70"/>
  <c r="AI34" i="70"/>
  <c r="BQ58" i="70"/>
  <c r="AS31" i="70"/>
  <c r="BR18" i="70"/>
  <c r="AS34" i="70"/>
  <c r="AR48" i="70"/>
  <c r="BI30" i="70"/>
  <c r="AI18" i="70"/>
  <c r="BR66" i="70"/>
  <c r="BQ27" i="70"/>
  <c r="BA23" i="70"/>
  <c r="BH42" i="70"/>
  <c r="BI52" i="70"/>
  <c r="AJ60" i="70"/>
  <c r="BH54" i="70"/>
  <c r="BQ67" i="70"/>
  <c r="AI35" i="70"/>
  <c r="BA27" i="70"/>
  <c r="BI38" i="70"/>
  <c r="AR17" i="70"/>
  <c r="AJ29" i="70"/>
  <c r="BH16" i="70"/>
  <c r="BR16" i="70"/>
  <c r="BQ16" i="70"/>
  <c r="AJ20" i="70"/>
  <c r="BA33" i="70"/>
  <c r="BR54" i="70"/>
  <c r="AJ38" i="70"/>
  <c r="BI18" i="70"/>
  <c r="BR43" i="70"/>
  <c r="AR51" i="70"/>
  <c r="AJ65" i="70"/>
  <c r="BH50" i="70"/>
  <c r="AS42" i="70"/>
  <c r="BA64" i="70"/>
  <c r="BQ23" i="70"/>
  <c r="AS55" i="70"/>
  <c r="AJ63" i="70"/>
  <c r="AR16" i="70"/>
  <c r="AI63" i="70"/>
  <c r="AR55" i="70"/>
  <c r="AR34" i="70"/>
  <c r="AZ49" i="70"/>
  <c r="AJ37" i="70"/>
  <c r="BA25" i="70"/>
  <c r="AZ32" i="70"/>
  <c r="AR35" i="70"/>
  <c r="AI41" i="70"/>
  <c r="BI61" i="70"/>
  <c r="AJ34" i="70"/>
  <c r="BI23" i="70"/>
  <c r="BI41" i="70"/>
  <c r="BA47" i="70"/>
  <c r="AZ41" i="70"/>
  <c r="BA65" i="70"/>
  <c r="BR24" i="70"/>
  <c r="AZ38" i="70"/>
  <c r="BI32" i="70"/>
  <c r="AR37" i="70"/>
  <c r="BI16" i="70"/>
  <c r="BA67" i="70"/>
  <c r="AJ61" i="70"/>
  <c r="BI24" i="70"/>
  <c r="AJ55" i="70"/>
  <c r="BQ22" i="70"/>
  <c r="AZ40" i="70"/>
  <c r="BR51" i="70"/>
  <c r="AR33" i="70"/>
  <c r="AZ21" i="70"/>
  <c r="AJ66" i="70"/>
  <c r="AZ48" i="70"/>
  <c r="AJ42" i="70"/>
  <c r="BA17" i="70"/>
  <c r="AS60" i="70"/>
  <c r="BI51" i="70"/>
  <c r="BA40" i="70"/>
  <c r="AI29" i="70"/>
  <c r="BQ59" i="70"/>
  <c r="AZ39" i="70"/>
  <c r="AS26" i="70"/>
  <c r="AJ48" i="70"/>
  <c r="BA52" i="70"/>
  <c r="BA19" i="70"/>
  <c r="AR20" i="70"/>
  <c r="AI33" i="70"/>
  <c r="AR57" i="70"/>
  <c r="AS33" i="70"/>
  <c r="BH26" i="70"/>
  <c r="AR54" i="70"/>
  <c r="AR60" i="70"/>
  <c r="BA43" i="70"/>
  <c r="AJ22" i="70"/>
  <c r="AI30" i="70"/>
  <c r="BH55" i="70"/>
  <c r="AJ67" i="70"/>
  <c r="AI39" i="70"/>
  <c r="AJ19" i="70"/>
  <c r="AR38" i="70"/>
  <c r="AJ40" i="70"/>
  <c r="BH44" i="70"/>
  <c r="AJ28" i="70"/>
  <c r="AZ44" i="70"/>
  <c r="BA59" i="70"/>
  <c r="AR22" i="70"/>
  <c r="AZ46" i="70"/>
  <c r="BI31" i="70"/>
  <c r="AR66" i="70"/>
  <c r="AI26" i="70"/>
  <c r="BQ41" i="70"/>
  <c r="BQ36" i="70"/>
  <c r="BR42" i="70"/>
  <c r="BR53" i="70"/>
  <c r="AZ55" i="70"/>
  <c r="BI22" i="70"/>
  <c r="AZ16" i="70"/>
  <c r="AI67" i="70"/>
  <c r="AZ27" i="70"/>
  <c r="BI37" i="70"/>
  <c r="AS21" i="70"/>
  <c r="AR44" i="70"/>
  <c r="AI64" i="70"/>
  <c r="AS59" i="70"/>
  <c r="AJ31" i="70"/>
  <c r="BQ21" i="70"/>
  <c r="AI21" i="70"/>
  <c r="BA41" i="70"/>
  <c r="AJ35" i="70"/>
  <c r="AS63" i="70"/>
  <c r="BQ50" i="70"/>
  <c r="AS22" i="70"/>
  <c r="BR31" i="70"/>
  <c r="AJ50" i="70"/>
  <c r="BQ31" i="70"/>
  <c r="BH45" i="70"/>
  <c r="BQ19" i="70"/>
  <c r="BQ66" i="70"/>
  <c r="BI43" i="70"/>
  <c r="AR62" i="70"/>
  <c r="AZ47" i="70"/>
  <c r="BI47" i="70"/>
  <c r="AJ62" i="70"/>
  <c r="BI67" i="70"/>
  <c r="BR55" i="70"/>
  <c r="AJ43" i="70"/>
  <c r="AI19" i="70"/>
  <c r="BQ56" i="70"/>
  <c r="BR41" i="70"/>
  <c r="BA50" i="70"/>
  <c r="BQ48" i="70"/>
  <c r="AI25" i="70"/>
  <c r="BQ18" i="70"/>
  <c r="AR59" i="70"/>
  <c r="AI38" i="70"/>
  <c r="BI27" i="70"/>
  <c r="BH47" i="70"/>
  <c r="AS37" i="70"/>
  <c r="AJ23" i="70"/>
  <c r="BQ55" i="70"/>
  <c r="BA24" i="70"/>
  <c r="AZ43" i="70"/>
  <c r="AZ34" i="70"/>
  <c r="AR18" i="70"/>
  <c r="AZ58" i="70"/>
  <c r="AJ44" i="70"/>
  <c r="AJ45" i="70"/>
  <c r="AI57" i="70"/>
  <c r="BA57" i="70"/>
  <c r="BA49" i="70"/>
  <c r="BH60" i="70"/>
  <c r="AI42" i="70"/>
  <c r="BH65" i="70"/>
  <c r="AS18" i="70"/>
  <c r="AS41" i="70"/>
  <c r="AZ23" i="70"/>
  <c r="BH39" i="70"/>
  <c r="BR52" i="70"/>
  <c r="AR65" i="70"/>
  <c r="AZ36" i="70"/>
  <c r="BQ54" i="70"/>
  <c r="AJ54" i="70"/>
  <c r="AZ53" i="70"/>
  <c r="BI46" i="70"/>
  <c r="BR19" i="70"/>
  <c r="BQ49" i="70"/>
  <c r="BQ20" i="70"/>
  <c r="BQ38" i="70"/>
  <c r="BR36" i="70"/>
  <c r="AZ45" i="70"/>
  <c r="BH36" i="70"/>
  <c r="BA31" i="70"/>
  <c r="AS48" i="70"/>
  <c r="BI55" i="70"/>
  <c r="BH25" i="70"/>
  <c r="AI51" i="70"/>
  <c r="BH31" i="70"/>
  <c r="AJ26" i="70"/>
  <c r="BA35" i="70"/>
  <c r="BA53" i="70"/>
  <c r="BH64" i="70"/>
  <c r="AI23" i="70"/>
  <c r="AS40" i="70"/>
  <c r="AZ18" i="70"/>
  <c r="BR44" i="70"/>
  <c r="BH66" i="70"/>
  <c r="AR56" i="70"/>
  <c r="AJ56" i="70"/>
  <c r="BI42" i="70"/>
  <c r="BR62" i="70"/>
  <c r="BH41" i="70"/>
  <c r="BH21" i="70"/>
  <c r="AS19" i="70"/>
  <c r="AJ33" i="70"/>
  <c r="BR34" i="70"/>
  <c r="AS16" i="70"/>
  <c r="BQ30" i="70"/>
  <c r="AI61" i="70"/>
  <c r="AR45" i="70"/>
  <c r="BQ61" i="70"/>
  <c r="BI56" i="70"/>
  <c r="BR39" i="70"/>
  <c r="BR38" i="70"/>
  <c r="AS45" i="70"/>
  <c r="BA46" i="70"/>
  <c r="AZ31" i="70"/>
  <c r="BI62" i="70"/>
  <c r="BH17" i="70"/>
  <c r="BA29" i="70"/>
  <c r="BQ62" i="70"/>
  <c r="AI66" i="70"/>
  <c r="BR47" i="70"/>
  <c r="BR40" i="70"/>
  <c r="BQ17" i="70"/>
  <c r="BQ51" i="70"/>
  <c r="AS39" i="70"/>
  <c r="AR39" i="70"/>
  <c r="AR31" i="70"/>
  <c r="BQ44" i="70"/>
  <c r="BA36" i="70"/>
  <c r="AI59" i="70"/>
  <c r="BQ42" i="70"/>
  <c r="BA61" i="70"/>
  <c r="BH53" i="70"/>
  <c r="BA18" i="70"/>
  <c r="BH19" i="70"/>
  <c r="AZ24" i="70"/>
  <c r="BA26" i="70"/>
  <c r="AZ63" i="70"/>
  <c r="AI48" i="70"/>
  <c r="BH38" i="70"/>
  <c r="BR27" i="70"/>
  <c r="AJ59" i="70"/>
  <c r="AR67" i="70"/>
  <c r="BR35" i="70"/>
  <c r="BH20" i="70"/>
  <c r="BQ25" i="70"/>
  <c r="AR49" i="70"/>
  <c r="BR21" i="70"/>
  <c r="BQ35" i="70"/>
  <c r="BQ57" i="70"/>
  <c r="AS36" i="70"/>
  <c r="AS64" i="70"/>
  <c r="BR33" i="70"/>
  <c r="BI34" i="70"/>
  <c r="BQ40" i="70"/>
  <c r="AJ41" i="70"/>
  <c r="AJ21" i="70"/>
  <c r="BQ39" i="70"/>
  <c r="AS43" i="70"/>
  <c r="BA39" i="70"/>
  <c r="AS66" i="70"/>
  <c r="AS65" i="70"/>
  <c r="AS32" i="70"/>
  <c r="AS58" i="70"/>
  <c r="BI45" i="70"/>
  <c r="AZ42" i="70"/>
  <c r="AJ53" i="70"/>
  <c r="AR36" i="70"/>
  <c r="BR25" i="70"/>
  <c r="BR65" i="70"/>
  <c r="AZ28" i="70"/>
  <c r="BR58" i="70"/>
  <c r="AJ57" i="70"/>
  <c r="BR45" i="70"/>
  <c r="AJ52" i="70"/>
  <c r="BH57" i="70"/>
  <c r="AI43" i="70"/>
  <c r="BI50" i="70"/>
  <c r="BI49" i="70"/>
  <c r="BH24" i="70"/>
  <c r="BR22" i="70"/>
  <c r="BR46" i="70"/>
  <c r="AR28" i="70"/>
  <c r="BA54" i="70"/>
  <c r="AJ51" i="70"/>
  <c r="AS24" i="70"/>
  <c r="BH52" i="70"/>
  <c r="AI31" i="70"/>
  <c r="AI53" i="70"/>
  <c r="AI49" i="70"/>
  <c r="AJ17" i="70"/>
  <c r="AZ51" i="70"/>
  <c r="BR56" i="70"/>
  <c r="BI35" i="70"/>
  <c r="AI62" i="70"/>
  <c r="BR60" i="70"/>
  <c r="AR26" i="70"/>
  <c r="BA22" i="70"/>
  <c r="BQ60" i="70"/>
  <c r="AZ54" i="70"/>
  <c r="AZ29" i="70"/>
  <c r="AZ22" i="70"/>
  <c r="AZ37" i="70"/>
  <c r="AI56" i="70"/>
  <c r="BH67" i="70"/>
  <c r="BR49" i="70"/>
  <c r="BA30" i="70"/>
  <c r="BH62" i="70"/>
  <c r="BQ63" i="70"/>
  <c r="BH48" i="70"/>
  <c r="AR46" i="70"/>
  <c r="AJ30" i="70"/>
  <c r="BR17" i="70"/>
  <c r="AS38" i="70"/>
  <c r="AS50" i="70"/>
  <c r="BA42" i="70"/>
  <c r="AR29" i="70"/>
  <c r="BQ37" i="70"/>
  <c r="AI50" i="70"/>
  <c r="AS57" i="70"/>
  <c r="AR58" i="70"/>
  <c r="BA62" i="70"/>
  <c r="AI54" i="70"/>
  <c r="AJ64" i="70"/>
  <c r="BA34" i="70"/>
  <c r="AZ26" i="70"/>
  <c r="BA28" i="70"/>
  <c r="BH23" i="70"/>
  <c r="BR50" i="70"/>
  <c r="AR30" i="70"/>
  <c r="BA45" i="70"/>
  <c r="BR32" i="70"/>
  <c r="AZ62" i="70"/>
  <c r="BR67" i="70"/>
  <c r="AZ60" i="70"/>
  <c r="BI60" i="70"/>
  <c r="BR29" i="70"/>
  <c r="BR48" i="70"/>
  <c r="AZ65" i="70"/>
  <c r="AZ52" i="70"/>
  <c r="BH33" i="70"/>
  <c r="BH35" i="70"/>
  <c r="AI20" i="70"/>
  <c r="AS53" i="70"/>
  <c r="BH46" i="70"/>
  <c r="BQ32" i="70"/>
  <c r="AS56" i="70"/>
  <c r="BH32" i="70"/>
  <c r="AS54" i="70"/>
  <c r="BQ29" i="70"/>
  <c r="AS52" i="70"/>
  <c r="BA55" i="70"/>
  <c r="BI54" i="70"/>
  <c r="BA60" i="70"/>
  <c r="AS51" i="70"/>
  <c r="BH30" i="70"/>
  <c r="BI28" i="70"/>
  <c r="AR32" i="70"/>
  <c r="AS28" i="70"/>
  <c r="BI40" i="70"/>
  <c r="BR26" i="70"/>
  <c r="BR20" i="70"/>
  <c r="BA44" i="70"/>
  <c r="AI37" i="70"/>
  <c r="BQ64" i="70"/>
  <c r="BI39" i="70"/>
  <c r="BI19" i="70"/>
  <c r="AI46" i="70"/>
  <c r="BI20" i="70"/>
  <c r="AR53" i="70"/>
  <c r="AZ35" i="70"/>
  <c r="BI36" i="70"/>
  <c r="BQ34" i="70"/>
  <c r="BH63" i="70"/>
  <c r="BI48" i="70"/>
  <c r="BA51" i="70"/>
  <c r="BQ43" i="70"/>
  <c r="BH58" i="70"/>
  <c r="AS61" i="70"/>
  <c r="BR28" i="70"/>
  <c r="BH61" i="70"/>
  <c r="BH43" i="70"/>
  <c r="BR64" i="70"/>
  <c r="BQ52" i="70"/>
  <c r="AI28" i="70"/>
  <c r="BA66" i="70"/>
  <c r="BI59" i="70"/>
  <c r="AR24" i="70"/>
  <c r="BH56" i="70"/>
  <c r="AJ24" i="70"/>
  <c r="AI60" i="70"/>
  <c r="BQ24" i="70"/>
  <c r="AI52" i="70"/>
  <c r="AS67" i="70"/>
  <c r="BH37" i="70"/>
  <c r="BA56" i="70"/>
  <c r="AR61" i="70"/>
  <c r="AZ59" i="70"/>
  <c r="AJ49" i="70"/>
  <c r="AZ50" i="70"/>
  <c r="BR63" i="70"/>
  <c r="BI57" i="70"/>
  <c r="AZ66" i="70"/>
  <c r="AI24" i="70"/>
  <c r="AJ47" i="70"/>
  <c r="AZ56" i="70"/>
  <c r="AI58" i="70"/>
  <c r="AR52" i="70"/>
  <c r="BA63" i="70"/>
  <c r="BI44" i="70"/>
  <c r="BI64" i="70"/>
  <c r="AS29" i="70"/>
  <c r="BQ65" i="70"/>
  <c r="AR25" i="70"/>
  <c r="AS35" i="70"/>
  <c r="BR57" i="70"/>
  <c r="AI22" i="70"/>
  <c r="AI55" i="70"/>
  <c r="H21" i="203"/>
  <c r="H21" i="204" s="1"/>
  <c r="J59" i="203"/>
  <c r="H37" i="203"/>
  <c r="H29" i="203"/>
  <c r="H49" i="203"/>
  <c r="J30" i="203"/>
  <c r="H17" i="203"/>
  <c r="H19" i="203"/>
  <c r="H56" i="203"/>
  <c r="J10" i="203"/>
  <c r="H20" i="203"/>
  <c r="J32" i="203"/>
  <c r="H15" i="203"/>
  <c r="H45" i="203"/>
  <c r="H43" i="203"/>
  <c r="H54" i="203"/>
  <c r="H42" i="203"/>
  <c r="H55" i="203"/>
  <c r="H16" i="203"/>
  <c r="H50" i="203"/>
  <c r="H31" i="203"/>
  <c r="H41" i="203"/>
  <c r="H11" i="203"/>
  <c r="H58" i="203"/>
  <c r="H39" i="203"/>
  <c r="H47" i="203"/>
  <c r="H46" i="203"/>
  <c r="H53" i="203"/>
  <c r="H38" i="203"/>
  <c r="H40" i="203"/>
  <c r="H44" i="203"/>
  <c r="H57" i="203"/>
  <c r="H28" i="203"/>
  <c r="H33" i="203"/>
  <c r="J34" i="203"/>
  <c r="H35" i="203"/>
  <c r="H13" i="203"/>
  <c r="J9" i="203"/>
  <c r="H52" i="203"/>
  <c r="J12" i="203"/>
  <c r="J51" i="203"/>
  <c r="H18" i="203"/>
  <c r="H14" i="203"/>
  <c r="H48" i="203"/>
  <c r="J36" i="203"/>
  <c r="J36" i="204" l="1"/>
  <c r="H48" i="204"/>
  <c r="H14" i="204"/>
  <c r="H18" i="204"/>
  <c r="J51" i="204"/>
  <c r="J12" i="204"/>
  <c r="H52" i="204"/>
  <c r="J9" i="204"/>
  <c r="H13" i="204"/>
  <c r="H35" i="204"/>
  <c r="J34" i="204"/>
  <c r="H33" i="204"/>
  <c r="H28" i="204"/>
  <c r="H57" i="204"/>
  <c r="H44" i="204"/>
  <c r="H40" i="204"/>
  <c r="H38" i="204"/>
  <c r="H53" i="204"/>
  <c r="H46" i="204"/>
  <c r="H47" i="204"/>
  <c r="H39" i="204"/>
  <c r="H58" i="204"/>
  <c r="H11" i="204"/>
  <c r="H41" i="204"/>
  <c r="H31" i="204"/>
  <c r="H50" i="204"/>
  <c r="H16" i="204"/>
  <c r="H55" i="204"/>
  <c r="H42" i="204"/>
  <c r="H54" i="204"/>
  <c r="H43" i="204"/>
  <c r="H45" i="204"/>
  <c r="H15" i="204"/>
  <c r="J32" i="204"/>
  <c r="H20" i="204"/>
  <c r="J10" i="204"/>
  <c r="AS9" i="204" s="1"/>
  <c r="H56" i="204"/>
  <c r="H19" i="204"/>
  <c r="H17" i="204"/>
  <c r="J30" i="204"/>
  <c r="H49" i="204"/>
  <c r="H29" i="204"/>
  <c r="H37" i="204"/>
  <c r="J59" i="204"/>
  <c r="J27" i="203"/>
  <c r="J27" i="204" s="1"/>
  <c r="H27" i="204"/>
  <c r="O28" i="204"/>
  <c r="O27" i="204" s="1"/>
  <c r="O26" i="204" s="1"/>
  <c r="O25" i="204" s="1"/>
  <c r="O24" i="204" s="1"/>
  <c r="O23" i="204" s="1"/>
  <c r="O22" i="204" s="1"/>
  <c r="O21" i="204" s="1"/>
  <c r="J23" i="203"/>
  <c r="J23" i="204" s="1"/>
  <c r="H23" i="204"/>
  <c r="A2789" i="242"/>
  <c r="B2790" i="242"/>
  <c r="A917" i="242"/>
  <c r="B918" i="242"/>
  <c r="AK35" i="88"/>
  <c r="AK25" i="88"/>
  <c r="AK22" i="88"/>
  <c r="AK23" i="88"/>
  <c r="AK40" i="88"/>
  <c r="N37" i="203"/>
  <c r="O35" i="203"/>
  <c r="P36" i="203"/>
  <c r="N35" i="203"/>
  <c r="P37" i="203"/>
  <c r="O36" i="203"/>
  <c r="O37" i="203"/>
  <c r="N36" i="203"/>
  <c r="P60" i="203"/>
  <c r="N60" i="203"/>
  <c r="N11" i="203"/>
  <c r="N13" i="203"/>
  <c r="N12" i="203"/>
  <c r="P58" i="203"/>
  <c r="O58" i="203"/>
  <c r="P59" i="203"/>
  <c r="O59" i="203"/>
  <c r="N59" i="203"/>
  <c r="O60" i="203"/>
  <c r="P13" i="203"/>
  <c r="O13" i="203"/>
  <c r="O11" i="203"/>
  <c r="P11" i="203"/>
  <c r="P12" i="203"/>
  <c r="O33" i="203"/>
  <c r="O9" i="203"/>
  <c r="N10" i="203"/>
  <c r="P10" i="203"/>
  <c r="P9" i="203"/>
  <c r="N9" i="203"/>
  <c r="N33" i="203"/>
  <c r="P32" i="203"/>
  <c r="O32" i="203"/>
  <c r="P33" i="203"/>
  <c r="AN28" i="69"/>
  <c r="AD13" i="88" s="1"/>
  <c r="AK13" i="88"/>
  <c r="AN47" i="69"/>
  <c r="AK27" i="88"/>
  <c r="AN26" i="69"/>
  <c r="AD11" i="88" s="1"/>
  <c r="AK11" i="88"/>
  <c r="AN39" i="69"/>
  <c r="AK18" i="88"/>
  <c r="AN40" i="69"/>
  <c r="AK19" i="88"/>
  <c r="AN41" i="69"/>
  <c r="AK20" i="88"/>
  <c r="AN42" i="69"/>
  <c r="AK21" i="88"/>
  <c r="AN48" i="69"/>
  <c r="AK30" i="88"/>
  <c r="O31" i="203"/>
  <c r="O30" i="203" s="1"/>
  <c r="O29" i="203" s="1"/>
  <c r="O28" i="203" s="1"/>
  <c r="O27" i="203" s="1"/>
  <c r="O26" i="203" s="1"/>
  <c r="O25" i="203" s="1"/>
  <c r="O24" i="203" s="1"/>
  <c r="O23" i="203" s="1"/>
  <c r="O22" i="203" s="1"/>
  <c r="O21" i="203" s="1"/>
  <c r="AK59" i="204"/>
  <c r="T59" i="204"/>
  <c r="AD59" i="204"/>
  <c r="BL59" i="204"/>
  <c r="AW59" i="204"/>
  <c r="AF59" i="204"/>
  <c r="BS59" i="204"/>
  <c r="W59" i="204"/>
  <c r="AL59" i="204"/>
  <c r="X59" i="204"/>
  <c r="Y59" i="204"/>
  <c r="BH59" i="204"/>
  <c r="AH59" i="204"/>
  <c r="BN59" i="204"/>
  <c r="BY59" i="204"/>
  <c r="BO59" i="204"/>
  <c r="BE59" i="204"/>
  <c r="BZ59" i="204"/>
  <c r="BX59" i="204"/>
  <c r="AY59" i="204"/>
  <c r="AM59" i="204"/>
  <c r="AP59" i="204"/>
  <c r="BT59" i="204"/>
  <c r="AZ59" i="204"/>
  <c r="BQ59" i="204"/>
  <c r="AA59" i="204"/>
  <c r="AU59" i="204"/>
  <c r="AO59" i="204"/>
  <c r="AE59" i="204"/>
  <c r="BU59" i="204"/>
  <c r="AN59" i="204"/>
  <c r="U59" i="204"/>
  <c r="AQ59" i="204"/>
  <c r="AC59" i="204"/>
  <c r="BB59" i="204"/>
  <c r="V59" i="204"/>
  <c r="BV59" i="204"/>
  <c r="AI59" i="204"/>
  <c r="AJ59" i="204"/>
  <c r="BM59" i="204"/>
  <c r="BK59" i="204"/>
  <c r="BG59" i="204"/>
  <c r="AV59" i="204"/>
  <c r="R59" i="204"/>
  <c r="S59" i="204"/>
  <c r="AS59" i="204"/>
  <c r="BJ59" i="204"/>
  <c r="AR59" i="204"/>
  <c r="CA59" i="204"/>
  <c r="BP59" i="204"/>
  <c r="AT59" i="204"/>
  <c r="AX59" i="204"/>
  <c r="BF59" i="204"/>
  <c r="BA59" i="204"/>
  <c r="BW59" i="204"/>
  <c r="AB59" i="204"/>
  <c r="BR59" i="204"/>
  <c r="AG59" i="204"/>
  <c r="Z59" i="204"/>
  <c r="BD59" i="204"/>
  <c r="BI59" i="204"/>
  <c r="AK15" i="70"/>
  <c r="AK13" i="70"/>
  <c r="AK14" i="70"/>
  <c r="AK27" i="70"/>
  <c r="AK16" i="70"/>
  <c r="AN50" i="69"/>
  <c r="AN49" i="69"/>
  <c r="AN46" i="69"/>
  <c r="AN44" i="69"/>
  <c r="AN43" i="69"/>
  <c r="BJ65" i="70"/>
  <c r="Y69" i="69" s="1"/>
  <c r="BS65" i="70"/>
  <c r="AI69" i="69" s="1"/>
  <c r="AJ69" i="69" s="1"/>
  <c r="AK65" i="70"/>
  <c r="BB65" i="70"/>
  <c r="AD69" i="69" s="1"/>
  <c r="AE69" i="69" s="1"/>
  <c r="AT65" i="70"/>
  <c r="S69" i="69" s="1"/>
  <c r="AN24" i="69"/>
  <c r="AD9" i="88" s="1"/>
  <c r="AN30" i="69"/>
  <c r="AD15" i="88" s="1"/>
  <c r="AN31" i="69"/>
  <c r="AD16" i="88" s="1"/>
  <c r="AN23" i="69"/>
  <c r="AD8" i="88" s="1"/>
  <c r="AJ17" i="69"/>
  <c r="AK17" i="70"/>
  <c r="AF6" i="88" s="1"/>
  <c r="BJ33" i="70"/>
  <c r="AK55" i="70"/>
  <c r="AT38" i="70"/>
  <c r="BB29" i="70"/>
  <c r="AD33" i="69" s="1"/>
  <c r="AE33" i="69" s="1"/>
  <c r="BJ28" i="70"/>
  <c r="Y32" i="69" s="1"/>
  <c r="BJ38" i="70"/>
  <c r="AK25" i="70"/>
  <c r="AF14" i="88" s="1"/>
  <c r="BJ35" i="70"/>
  <c r="AK23" i="70"/>
  <c r="AK26" i="70"/>
  <c r="AK24" i="70"/>
  <c r="BJ40" i="70"/>
  <c r="AK44" i="70"/>
  <c r="AT51" i="70"/>
  <c r="AT27" i="70"/>
  <c r="S31" i="69" s="1"/>
  <c r="AK30" i="70"/>
  <c r="AT23" i="70"/>
  <c r="AG12" i="88" s="1"/>
  <c r="BB62" i="70"/>
  <c r="AD66" i="69" s="1"/>
  <c r="AE66" i="69" s="1"/>
  <c r="BJ31" i="70"/>
  <c r="Y35" i="69" s="1"/>
  <c r="BJ27" i="70"/>
  <c r="Y31" i="69" s="1"/>
  <c r="BS54" i="70"/>
  <c r="AK46" i="70"/>
  <c r="BS29" i="70"/>
  <c r="AI33" i="69" s="1"/>
  <c r="AJ33" i="69" s="1"/>
  <c r="AT22" i="70"/>
  <c r="AG11" i="88" s="1"/>
  <c r="AT47" i="70"/>
  <c r="BJ50" i="70"/>
  <c r="AK48" i="70"/>
  <c r="AT16" i="70"/>
  <c r="AG5" i="88" s="1"/>
  <c r="AT59" i="70"/>
  <c r="BB22" i="70"/>
  <c r="AI11" i="88" s="1"/>
  <c r="AK50" i="70"/>
  <c r="AT45" i="70"/>
  <c r="AK53" i="70"/>
  <c r="AK37" i="70"/>
  <c r="AT42" i="70"/>
  <c r="AK42" i="70"/>
  <c r="AK36" i="70"/>
  <c r="AT29" i="70"/>
  <c r="S33" i="69" s="1"/>
  <c r="AK54" i="70"/>
  <c r="AT58" i="70"/>
  <c r="AK58" i="70"/>
  <c r="BJ56" i="70"/>
  <c r="BS21" i="70"/>
  <c r="AJ10" i="88" s="1"/>
  <c r="AT43" i="70"/>
  <c r="BS17" i="70"/>
  <c r="AJ6" i="88" s="1"/>
  <c r="BB33" i="70"/>
  <c r="BJ42" i="70"/>
  <c r="AK28" i="70"/>
  <c r="BB19" i="70"/>
  <c r="AI8" i="88" s="1"/>
  <c r="BS28" i="70"/>
  <c r="AI32" i="69" s="1"/>
  <c r="AJ32" i="69" s="1"/>
  <c r="AK29" i="70"/>
  <c r="AT35" i="70"/>
  <c r="AT19" i="70"/>
  <c r="AG8" i="88" s="1"/>
  <c r="BB46" i="70"/>
  <c r="AK40" i="70"/>
  <c r="AK52" i="70"/>
  <c r="BJ47" i="70"/>
  <c r="BB51" i="70"/>
  <c r="AK39" i="70"/>
  <c r="BB37" i="70"/>
  <c r="AT41" i="70"/>
  <c r="AT30" i="70"/>
  <c r="S34" i="69" s="1"/>
  <c r="AK34" i="70"/>
  <c r="BS23" i="70"/>
  <c r="AJ12" i="88" s="1"/>
  <c r="BB61" i="70"/>
  <c r="AD65" i="69" s="1"/>
  <c r="AE65" i="69" s="1"/>
  <c r="BB52" i="70"/>
  <c r="BJ30" i="70"/>
  <c r="Y34" i="69" s="1"/>
  <c r="AK61" i="70"/>
  <c r="AT63" i="70"/>
  <c r="S67" i="69" s="1"/>
  <c r="AT25" i="70"/>
  <c r="AT49" i="70"/>
  <c r="AT28" i="70"/>
  <c r="S32" i="69" s="1"/>
  <c r="AT36" i="70"/>
  <c r="AT26" i="70"/>
  <c r="S30" i="69" s="1"/>
  <c r="BJ55" i="70"/>
  <c r="BB36" i="70"/>
  <c r="BJ43" i="70"/>
  <c r="AK35" i="70"/>
  <c r="AK57" i="70"/>
  <c r="AT17" i="70"/>
  <c r="AG6" i="88" s="1"/>
  <c r="AK20" i="70"/>
  <c r="BB32" i="70"/>
  <c r="AK43" i="70"/>
  <c r="AK31" i="70"/>
  <c r="AT52" i="70"/>
  <c r="BJ29" i="70"/>
  <c r="Y33" i="69" s="1"/>
  <c r="AT60" i="70"/>
  <c r="BB53" i="70"/>
  <c r="BS25" i="70"/>
  <c r="BS31" i="70"/>
  <c r="AI35" i="69" s="1"/>
  <c r="AJ35" i="69" s="1"/>
  <c r="AK18" i="70"/>
  <c r="AF7" i="88" s="1"/>
  <c r="BB20" i="70"/>
  <c r="AI9" i="88" s="1"/>
  <c r="AK51" i="70"/>
  <c r="AT50" i="70"/>
  <c r="AK49" i="70"/>
  <c r="BJ32" i="70"/>
  <c r="AK21" i="70"/>
  <c r="AT56" i="70"/>
  <c r="AK45" i="70"/>
  <c r="AT33" i="70"/>
  <c r="BJ49" i="70"/>
  <c r="AT32" i="70"/>
  <c r="BJ64" i="70"/>
  <c r="Y68" i="69" s="1"/>
  <c r="AK62" i="70"/>
  <c r="AT31" i="70"/>
  <c r="S35" i="69" s="1"/>
  <c r="AT34" i="70"/>
  <c r="AT18" i="70"/>
  <c r="AG7" i="88" s="1"/>
  <c r="BS41" i="70"/>
  <c r="AK60" i="70"/>
  <c r="AT55" i="70"/>
  <c r="AK33" i="70"/>
  <c r="AK63" i="70"/>
  <c r="BS16" i="70"/>
  <c r="AJ5" i="88" s="1"/>
  <c r="AK47" i="70"/>
  <c r="BS45" i="70"/>
  <c r="AT21" i="70"/>
  <c r="AG10" i="88" s="1"/>
  <c r="AT64" i="70"/>
  <c r="S68" i="69" s="1"/>
  <c r="BB34" i="70"/>
  <c r="AI19" i="88" s="1"/>
  <c r="BS59" i="70"/>
  <c r="BS30" i="70"/>
  <c r="AI34" i="69" s="1"/>
  <c r="AJ34" i="69" s="1"/>
  <c r="AT61" i="70"/>
  <c r="S65" i="69" s="1"/>
  <c r="AT37" i="70"/>
  <c r="BS57" i="70"/>
  <c r="AT46" i="70"/>
  <c r="BS32" i="70"/>
  <c r="BB58" i="70"/>
  <c r="AT62" i="70"/>
  <c r="S66" i="69" s="1"/>
  <c r="AT20" i="70"/>
  <c r="AG9" i="88" s="1"/>
  <c r="AT44" i="70"/>
  <c r="BS33" i="70"/>
  <c r="BS18" i="70"/>
  <c r="AJ7" i="88" s="1"/>
  <c r="AK19" i="70"/>
  <c r="AK41" i="70"/>
  <c r="AK22" i="70"/>
  <c r="AT48" i="70"/>
  <c r="AK38" i="70"/>
  <c r="BS48" i="70"/>
  <c r="AK32" i="70"/>
  <c r="AT57" i="70"/>
  <c r="BB31" i="70"/>
  <c r="AD35" i="69" s="1"/>
  <c r="AE35" i="69" s="1"/>
  <c r="AT24" i="70"/>
  <c r="AG13" i="88" s="1"/>
  <c r="AK59" i="70"/>
  <c r="AT54" i="70"/>
  <c r="BJ24" i="70"/>
  <c r="AH13" i="88" s="1"/>
  <c r="AT40" i="70"/>
  <c r="AK56" i="70"/>
  <c r="AF41" i="88" s="1"/>
  <c r="AK64" i="70"/>
  <c r="BB60" i="70"/>
  <c r="AT53" i="70"/>
  <c r="BB30" i="70"/>
  <c r="AD34" i="69" s="1"/>
  <c r="AE34" i="69" s="1"/>
  <c r="BJ63" i="70"/>
  <c r="Y67" i="69" s="1"/>
  <c r="BB26" i="70"/>
  <c r="AD30" i="69" s="1"/>
  <c r="AE30" i="69" s="1"/>
  <c r="BB28" i="70"/>
  <c r="AD32" i="69" s="1"/>
  <c r="AE32" i="69" s="1"/>
  <c r="BJ44" i="70"/>
  <c r="BJ39" i="70"/>
  <c r="AT39" i="70"/>
  <c r="BB57" i="70"/>
  <c r="BJ46" i="70"/>
  <c r="BB27" i="70"/>
  <c r="AD31" i="69" s="1"/>
  <c r="AE31" i="69" s="1"/>
  <c r="BB49" i="70"/>
  <c r="BS58" i="70"/>
  <c r="BB38" i="70"/>
  <c r="BJ58" i="70"/>
  <c r="BJ37" i="70"/>
  <c r="BB54" i="70"/>
  <c r="BS26" i="70"/>
  <c r="AI30" i="69" s="1"/>
  <c r="AJ30" i="69" s="1"/>
  <c r="BS61" i="70"/>
  <c r="AI65" i="69" s="1"/>
  <c r="AJ65" i="69" s="1"/>
  <c r="BB39" i="70"/>
  <c r="BJ62" i="70"/>
  <c r="Y66" i="69" s="1"/>
  <c r="BJ52" i="70"/>
  <c r="BS49" i="70"/>
  <c r="BB50" i="70"/>
  <c r="BS20" i="70"/>
  <c r="AJ9" i="88" s="1"/>
  <c r="BS24" i="70"/>
  <c r="AJ13" i="88" s="1"/>
  <c r="BJ23" i="70"/>
  <c r="AH12" i="88" s="1"/>
  <c r="BJ34" i="70"/>
  <c r="BB23" i="70"/>
  <c r="AI12" i="88" s="1"/>
  <c r="BS51" i="70"/>
  <c r="BS52" i="70"/>
  <c r="BS27" i="70"/>
  <c r="AI31" i="69" s="1"/>
  <c r="AJ31" i="69" s="1"/>
  <c r="BB56" i="70"/>
  <c r="BJ57" i="70"/>
  <c r="BB64" i="70"/>
  <c r="AD68" i="69" s="1"/>
  <c r="AE68" i="69" s="1"/>
  <c r="BB40" i="70"/>
  <c r="BJ26" i="70"/>
  <c r="Y30" i="69" s="1"/>
  <c r="BJ59" i="70"/>
  <c r="BJ60" i="70"/>
  <c r="BB25" i="70"/>
  <c r="BJ17" i="70"/>
  <c r="AH6" i="88" s="1"/>
  <c r="BB18" i="70"/>
  <c r="AI7" i="88" s="1"/>
  <c r="BB48" i="70"/>
  <c r="BJ21" i="70"/>
  <c r="AH10" i="88" s="1"/>
  <c r="BJ45" i="70"/>
  <c r="BB42" i="70"/>
  <c r="BJ51" i="70"/>
  <c r="BS19" i="70"/>
  <c r="AJ8" i="88" s="1"/>
  <c r="BS36" i="70"/>
  <c r="BJ18" i="70"/>
  <c r="AH7" i="88" s="1"/>
  <c r="BS39" i="70"/>
  <c r="BJ41" i="70"/>
  <c r="BB24" i="70"/>
  <c r="AI13" i="88" s="1"/>
  <c r="BS35" i="70"/>
  <c r="BS50" i="70"/>
  <c r="BS38" i="70"/>
  <c r="BJ61" i="70"/>
  <c r="Y65" i="69" s="1"/>
  <c r="BS53" i="70"/>
  <c r="BS22" i="70"/>
  <c r="AJ11" i="88" s="1"/>
  <c r="BB55" i="70"/>
  <c r="BS64" i="70"/>
  <c r="AI68" i="69" s="1"/>
  <c r="AJ68" i="69" s="1"/>
  <c r="BJ54" i="70"/>
  <c r="BS40" i="70"/>
  <c r="BJ53" i="70"/>
  <c r="BS63" i="70"/>
  <c r="AI67" i="69" s="1"/>
  <c r="AJ67" i="69" s="1"/>
  <c r="BB41" i="70"/>
  <c r="BJ25" i="70"/>
  <c r="BJ16" i="70"/>
  <c r="AH5" i="88" s="1"/>
  <c r="BS47" i="70"/>
  <c r="BS43" i="70"/>
  <c r="BB44" i="70"/>
  <c r="BS55" i="70"/>
  <c r="BB17" i="70"/>
  <c r="AI6" i="88" s="1"/>
  <c r="BS62" i="70"/>
  <c r="AI66" i="69" s="1"/>
  <c r="AJ66" i="69" s="1"/>
  <c r="BB16" i="70"/>
  <c r="AI5" i="88" s="1"/>
  <c r="BS42" i="70"/>
  <c r="BS44" i="70"/>
  <c r="BS56" i="70"/>
  <c r="BS60" i="70"/>
  <c r="BJ19" i="70"/>
  <c r="AH8" i="88" s="1"/>
  <c r="BS37" i="70"/>
  <c r="BB43" i="70"/>
  <c r="AI28" i="88" s="1"/>
  <c r="BB35" i="70"/>
  <c r="BB63" i="70"/>
  <c r="AD67" i="69" s="1"/>
  <c r="AE67" i="69" s="1"/>
  <c r="BB47" i="70"/>
  <c r="BB45" i="70"/>
  <c r="BS34" i="70"/>
  <c r="BB59" i="70"/>
  <c r="BJ48" i="70"/>
  <c r="AH33" i="88" s="1"/>
  <c r="BS46" i="70"/>
  <c r="BB21" i="70"/>
  <c r="AI10" i="88" s="1"/>
  <c r="BJ20" i="70"/>
  <c r="AH9" i="88" s="1"/>
  <c r="BJ22" i="70"/>
  <c r="AH11" i="88" s="1"/>
  <c r="BJ36" i="70"/>
  <c r="AE17" i="69"/>
  <c r="AJ18" i="69"/>
  <c r="AE19" i="69"/>
  <c r="AJ19" i="69"/>
  <c r="E3" i="43"/>
  <c r="J21" i="203"/>
  <c r="J28" i="203"/>
  <c r="J13" i="203"/>
  <c r="J15" i="203"/>
  <c r="J11" i="203"/>
  <c r="J57" i="203"/>
  <c r="J31" i="203"/>
  <c r="J47" i="203"/>
  <c r="J37" i="203"/>
  <c r="J53" i="203"/>
  <c r="J42" i="203"/>
  <c r="J41" i="203"/>
  <c r="J29" i="203"/>
  <c r="J33" i="203"/>
  <c r="J20" i="203"/>
  <c r="J50" i="203"/>
  <c r="J44" i="203"/>
  <c r="J46" i="203"/>
  <c r="J55" i="203"/>
  <c r="J43" i="203"/>
  <c r="J56" i="203"/>
  <c r="J45" i="203"/>
  <c r="J39" i="203"/>
  <c r="J52" i="203"/>
  <c r="J35" i="203"/>
  <c r="J49" i="203"/>
  <c r="J40" i="203"/>
  <c r="J14" i="203"/>
  <c r="J58" i="203"/>
  <c r="J48" i="203"/>
  <c r="J18" i="203"/>
  <c r="J38" i="203"/>
  <c r="J19" i="203"/>
  <c r="J16" i="203"/>
  <c r="J54" i="203"/>
  <c r="J17" i="203"/>
  <c r="J17" i="204" l="1"/>
  <c r="J54" i="204"/>
  <c r="J16" i="204"/>
  <c r="J19" i="204"/>
  <c r="J38" i="204"/>
  <c r="J18" i="204"/>
  <c r="J48" i="204"/>
  <c r="J58" i="204"/>
  <c r="J14" i="204"/>
  <c r="J40" i="204"/>
  <c r="J49" i="204"/>
  <c r="J35" i="204"/>
  <c r="BZ34" i="204" s="1"/>
  <c r="J52" i="204"/>
  <c r="J39" i="204"/>
  <c r="J45" i="204"/>
  <c r="J56" i="204"/>
  <c r="J43" i="204"/>
  <c r="J55" i="204"/>
  <c r="J46" i="204"/>
  <c r="J44" i="204"/>
  <c r="J50" i="204"/>
  <c r="J20" i="204"/>
  <c r="J33" i="204"/>
  <c r="BF34" i="204" s="1"/>
  <c r="J29" i="204"/>
  <c r="J41" i="204"/>
  <c r="J42" i="204"/>
  <c r="J53" i="204"/>
  <c r="J37" i="204"/>
  <c r="J47" i="204"/>
  <c r="J31" i="204"/>
  <c r="J57" i="204"/>
  <c r="J11" i="204"/>
  <c r="J15" i="204"/>
  <c r="J13" i="204"/>
  <c r="J28" i="204"/>
  <c r="P28" i="204" s="1"/>
  <c r="P27" i="204" s="1"/>
  <c r="P26" i="204" s="1"/>
  <c r="P25" i="204" s="1"/>
  <c r="P24" i="204" s="1"/>
  <c r="P23" i="204" s="1"/>
  <c r="P22" i="204" s="1"/>
  <c r="P21" i="204" s="1"/>
  <c r="AZ10" i="204"/>
  <c r="AC10" i="204"/>
  <c r="R10" i="204"/>
  <c r="AL10" i="204"/>
  <c r="AL9" i="204"/>
  <c r="N21" i="203"/>
  <c r="N22" i="203" s="1"/>
  <c r="N23" i="203" s="1"/>
  <c r="N24" i="203" s="1"/>
  <c r="J21" i="204"/>
  <c r="BI9" i="204"/>
  <c r="AR9" i="204"/>
  <c r="BE9" i="204"/>
  <c r="AP9" i="204"/>
  <c r="AK9" i="204"/>
  <c r="AY9" i="204"/>
  <c r="BS9" i="204"/>
  <c r="AE9" i="204"/>
  <c r="AJ9" i="204"/>
  <c r="BO9" i="204"/>
  <c r="AG9" i="204"/>
  <c r="BY9" i="204"/>
  <c r="AO9" i="204"/>
  <c r="BX9" i="204"/>
  <c r="BZ9" i="204"/>
  <c r="BT9" i="204"/>
  <c r="BF9" i="204"/>
  <c r="X9" i="204"/>
  <c r="AV9" i="204"/>
  <c r="BG9" i="204"/>
  <c r="AM9" i="204"/>
  <c r="AB9" i="204"/>
  <c r="BJ9" i="204"/>
  <c r="BQ9" i="204"/>
  <c r="AZ9" i="204"/>
  <c r="BW9" i="204"/>
  <c r="BM9" i="204"/>
  <c r="AF9" i="204"/>
  <c r="S9" i="204"/>
  <c r="BP9" i="204"/>
  <c r="Y9" i="204"/>
  <c r="AH9" i="204"/>
  <c r="BR9" i="204"/>
  <c r="BV9" i="204"/>
  <c r="BD9" i="204"/>
  <c r="BU9" i="204"/>
  <c r="AI9" i="204"/>
  <c r="BB9" i="204"/>
  <c r="BA9" i="204"/>
  <c r="U9" i="204"/>
  <c r="BC9" i="204"/>
  <c r="W9" i="204"/>
  <c r="CA9" i="204"/>
  <c r="AD9" i="204"/>
  <c r="AU9" i="204"/>
  <c r="BH9" i="204"/>
  <c r="V9" i="204"/>
  <c r="AO10" i="204"/>
  <c r="AH10" i="204"/>
  <c r="V10" i="204"/>
  <c r="AA10" i="204"/>
  <c r="AV10" i="204"/>
  <c r="AT9" i="204"/>
  <c r="BC10" i="204"/>
  <c r="BQ10" i="204"/>
  <c r="U10" i="204"/>
  <c r="AG10" i="204"/>
  <c r="AQ9" i="204"/>
  <c r="AQ10" i="204"/>
  <c r="BM10" i="204"/>
  <c r="AU10" i="204"/>
  <c r="BG10" i="204"/>
  <c r="BF10" i="204"/>
  <c r="AM10" i="204"/>
  <c r="AW9" i="204"/>
  <c r="AY10" i="204"/>
  <c r="BT10" i="204"/>
  <c r="W10" i="204"/>
  <c r="BS10" i="204"/>
  <c r="BB10" i="204"/>
  <c r="Z9" i="204"/>
  <c r="BE10" i="204"/>
  <c r="Y10" i="204"/>
  <c r="AR10" i="204"/>
  <c r="AF10" i="204"/>
  <c r="AP10" i="204"/>
  <c r="BK9" i="204"/>
  <c r="AN9" i="204"/>
  <c r="BA10" i="204"/>
  <c r="BO10" i="204"/>
  <c r="BU10" i="204"/>
  <c r="BZ10" i="204"/>
  <c r="BH10" i="204"/>
  <c r="AA9" i="204"/>
  <c r="BR10" i="204"/>
  <c r="CA10" i="204"/>
  <c r="AD10" i="204"/>
  <c r="BL9" i="204"/>
  <c r="AX10" i="204"/>
  <c r="BW10" i="204"/>
  <c r="BV10" i="204"/>
  <c r="BP10" i="204"/>
  <c r="AS10" i="204"/>
  <c r="AJ10" i="204"/>
  <c r="AI10" i="204"/>
  <c r="BY10" i="204"/>
  <c r="AC9" i="204"/>
  <c r="BN10" i="204"/>
  <c r="BL10" i="204"/>
  <c r="BN9" i="204"/>
  <c r="AT10" i="204"/>
  <c r="BD10" i="204"/>
  <c r="AB10" i="204"/>
  <c r="AN10" i="204"/>
  <c r="X10" i="204"/>
  <c r="AK10" i="204"/>
  <c r="BX10" i="204"/>
  <c r="AW10" i="204"/>
  <c r="BK10" i="204"/>
  <c r="BJ10" i="204"/>
  <c r="BI10" i="204"/>
  <c r="Z10" i="204"/>
  <c r="AX9" i="204"/>
  <c r="AE10" i="204"/>
  <c r="AX12" i="204"/>
  <c r="R12" i="204"/>
  <c r="AU12" i="204"/>
  <c r="T12" i="204"/>
  <c r="BD12" i="204"/>
  <c r="BN12" i="204"/>
  <c r="AC12" i="204"/>
  <c r="CA12" i="204"/>
  <c r="BI12" i="204"/>
  <c r="AP12" i="204"/>
  <c r="S12" i="204"/>
  <c r="AH12" i="204"/>
  <c r="BK12" i="204"/>
  <c r="AJ12" i="204"/>
  <c r="BX12" i="204"/>
  <c r="BF12" i="204"/>
  <c r="AM12" i="204"/>
  <c r="BR34" i="204"/>
  <c r="AF34" i="204"/>
  <c r="AQ34" i="204"/>
  <c r="AK34" i="204"/>
  <c r="BJ34" i="204"/>
  <c r="U34" i="204"/>
  <c r="BP34" i="204"/>
  <c r="AI35" i="88"/>
  <c r="AH19" i="88"/>
  <c r="AJ19" i="88"/>
  <c r="AI20" i="88"/>
  <c r="AG20" i="88"/>
  <c r="AG18" i="88"/>
  <c r="A918" i="242"/>
  <c r="B919" i="242"/>
  <c r="B2791" i="242"/>
  <c r="A2790" i="242"/>
  <c r="AH18" i="88"/>
  <c r="AJ20" i="88"/>
  <c r="AJ18" i="88"/>
  <c r="AG19" i="88"/>
  <c r="AI18" i="88"/>
  <c r="AH20" i="88"/>
  <c r="AH43" i="88"/>
  <c r="AG42" i="88"/>
  <c r="AF42" i="88"/>
  <c r="AI25" i="88"/>
  <c r="AJ27" i="88"/>
  <c r="AH26" i="88"/>
  <c r="AG28" i="88"/>
  <c r="AI34" i="88"/>
  <c r="AH30" i="88"/>
  <c r="R51" i="203"/>
  <c r="S51" i="203"/>
  <c r="AV51" i="203"/>
  <c r="W51" i="203"/>
  <c r="X51" i="203"/>
  <c r="AL51" i="203"/>
  <c r="AF51" i="203"/>
  <c r="AX51" i="203"/>
  <c r="Y51" i="203"/>
  <c r="AQ51" i="203"/>
  <c r="AP51" i="203"/>
  <c r="AI51" i="203"/>
  <c r="AU51" i="203"/>
  <c r="AE51" i="203"/>
  <c r="AM51" i="203"/>
  <c r="AT51" i="203"/>
  <c r="U51" i="203"/>
  <c r="AW51" i="203"/>
  <c r="Z51" i="203"/>
  <c r="AD51" i="203"/>
  <c r="AO51" i="203"/>
  <c r="V51" i="203"/>
  <c r="AK51" i="203"/>
  <c r="AA51" i="203"/>
  <c r="AN51" i="203"/>
  <c r="AJ51" i="203"/>
  <c r="AS51" i="203"/>
  <c r="AH51" i="203"/>
  <c r="AB51" i="203"/>
  <c r="AG51" i="203"/>
  <c r="AC51" i="203"/>
  <c r="AR51" i="203"/>
  <c r="T51" i="203"/>
  <c r="Y17" i="203"/>
  <c r="X17" i="203"/>
  <c r="R17" i="203"/>
  <c r="W17" i="203"/>
  <c r="T17" i="203"/>
  <c r="S17" i="203"/>
  <c r="U17" i="203"/>
  <c r="V17" i="203"/>
  <c r="AJ34" i="203"/>
  <c r="AF34" i="203"/>
  <c r="AL34" i="203"/>
  <c r="AE34" i="203"/>
  <c r="AC34" i="203"/>
  <c r="AA34" i="203"/>
  <c r="T34" i="203"/>
  <c r="R34" i="203"/>
  <c r="V34" i="203"/>
  <c r="AN34" i="203"/>
  <c r="AD34" i="203"/>
  <c r="W34" i="203"/>
  <c r="AB34" i="203"/>
  <c r="Z34" i="203"/>
  <c r="AK34" i="203"/>
  <c r="X34" i="203"/>
  <c r="AH34" i="203"/>
  <c r="AG34" i="203"/>
  <c r="AO34" i="203"/>
  <c r="AP34" i="203"/>
  <c r="AI34" i="203"/>
  <c r="Y34" i="203"/>
  <c r="AQ34" i="203"/>
  <c r="U34" i="203"/>
  <c r="S34" i="203"/>
  <c r="AM34" i="203"/>
  <c r="R37" i="203"/>
  <c r="AL37" i="203"/>
  <c r="Y37" i="203"/>
  <c r="AF37" i="203"/>
  <c r="AT37" i="203"/>
  <c r="AF11" i="88"/>
  <c r="AM37" i="203"/>
  <c r="AJ37" i="203"/>
  <c r="AF10" i="88"/>
  <c r="AK37" i="203"/>
  <c r="AF8" i="88"/>
  <c r="U37" i="203"/>
  <c r="AF13" i="88"/>
  <c r="AI37" i="203"/>
  <c r="AR37" i="203"/>
  <c r="W37" i="203"/>
  <c r="X37" i="203"/>
  <c r="AF9" i="88"/>
  <c r="AF12" i="88"/>
  <c r="AQ37" i="203"/>
  <c r="S37" i="203"/>
  <c r="AF5" i="88"/>
  <c r="T37" i="203"/>
  <c r="AF18" i="88"/>
  <c r="AF19" i="88"/>
  <c r="AF25" i="88"/>
  <c r="AF35" i="88"/>
  <c r="AF20" i="88"/>
  <c r="AF23" i="88"/>
  <c r="P31" i="203"/>
  <c r="P30" i="203" s="1"/>
  <c r="P29" i="203" s="1"/>
  <c r="P28" i="203" s="1"/>
  <c r="P27" i="203" s="1"/>
  <c r="P26" i="203" s="1"/>
  <c r="P25" i="203" s="1"/>
  <c r="P24" i="203" s="1"/>
  <c r="P23" i="203" s="1"/>
  <c r="AG37" i="203"/>
  <c r="AS37" i="203"/>
  <c r="AN37" i="203"/>
  <c r="AE37" i="203"/>
  <c r="V37" i="203"/>
  <c r="AP37" i="203"/>
  <c r="AH37" i="203"/>
  <c r="AD37" i="203"/>
  <c r="Z37" i="203"/>
  <c r="AI29" i="88"/>
  <c r="AH36" i="88"/>
  <c r="AG33" i="88"/>
  <c r="AJ42" i="88"/>
  <c r="AF30" i="88"/>
  <c r="AG23" i="88"/>
  <c r="AB37" i="203"/>
  <c r="AA37" i="203"/>
  <c r="AO37" i="203"/>
  <c r="AC37" i="203"/>
  <c r="BS32" i="203"/>
  <c r="BZ55" i="203"/>
  <c r="AU55" i="203"/>
  <c r="AQ55" i="203"/>
  <c r="AJ55" i="203"/>
  <c r="AB55" i="203"/>
  <c r="V55" i="203"/>
  <c r="AQ54" i="203"/>
  <c r="AE54" i="203"/>
  <c r="AU54" i="203"/>
  <c r="BX54" i="203"/>
  <c r="BR54" i="203"/>
  <c r="AY55" i="203"/>
  <c r="AE55" i="203"/>
  <c r="BQ55" i="203"/>
  <c r="AY54" i="203"/>
  <c r="AC55" i="203"/>
  <c r="Z54" i="203"/>
  <c r="BT55" i="203"/>
  <c r="AL55" i="203"/>
  <c r="BV55" i="203"/>
  <c r="BH55" i="203"/>
  <c r="BO55" i="203"/>
  <c r="AH54" i="203"/>
  <c r="AS54" i="203"/>
  <c r="BY54" i="203"/>
  <c r="BV54" i="203"/>
  <c r="BG54" i="203"/>
  <c r="BG55" i="203"/>
  <c r="AI55" i="203"/>
  <c r="AA54" i="203"/>
  <c r="BC55" i="203"/>
  <c r="AF55" i="203"/>
  <c r="AN54" i="203"/>
  <c r="BW54" i="203"/>
  <c r="R55" i="203"/>
  <c r="V54" i="203"/>
  <c r="T55" i="203"/>
  <c r="AO55" i="203"/>
  <c r="AM55" i="203"/>
  <c r="BW55" i="203"/>
  <c r="AN55" i="203"/>
  <c r="AZ54" i="203"/>
  <c r="R54" i="203"/>
  <c r="BB54" i="203"/>
  <c r="CA54" i="203"/>
  <c r="BQ54" i="203"/>
  <c r="BR55" i="203"/>
  <c r="AW55" i="203"/>
  <c r="AO54" i="203"/>
  <c r="X54" i="203"/>
  <c r="AM54" i="203"/>
  <c r="BI54" i="203"/>
  <c r="BK54" i="203"/>
  <c r="AK55" i="203"/>
  <c r="BM55" i="203"/>
  <c r="AC54" i="203"/>
  <c r="BE54" i="203"/>
  <c r="BF55" i="203"/>
  <c r="BI55" i="203"/>
  <c r="AH55" i="203"/>
  <c r="AS55" i="203"/>
  <c r="BL55" i="203"/>
  <c r="BH54" i="203"/>
  <c r="AR54" i="203"/>
  <c r="BC54" i="203"/>
  <c r="BZ54" i="203"/>
  <c r="AP54" i="203"/>
  <c r="BD54" i="203"/>
  <c r="BA54" i="203"/>
  <c r="BU54" i="203"/>
  <c r="BJ54" i="203"/>
  <c r="AX55" i="203"/>
  <c r="BK55" i="203"/>
  <c r="AX54" i="203"/>
  <c r="BS54" i="203"/>
  <c r="BB55" i="203"/>
  <c r="BP54" i="203"/>
  <c r="AA55" i="203"/>
  <c r="BJ55" i="203"/>
  <c r="AV55" i="203"/>
  <c r="W55" i="203"/>
  <c r="AR55" i="203"/>
  <c r="AB54" i="203"/>
  <c r="AD54" i="203"/>
  <c r="BN54" i="203"/>
  <c r="BF54" i="203"/>
  <c r="AW54" i="203"/>
  <c r="Y55" i="203"/>
  <c r="AG55" i="203"/>
  <c r="AD55" i="203"/>
  <c r="AT54" i="203"/>
  <c r="W54" i="203"/>
  <c r="BA55" i="203"/>
  <c r="BE55" i="203"/>
  <c r="BN55" i="203"/>
  <c r="AG54" i="203"/>
  <c r="AF54" i="203"/>
  <c r="BM54" i="203"/>
  <c r="AI54" i="203"/>
  <c r="Y54" i="203"/>
  <c r="BU55" i="203"/>
  <c r="BL54" i="203"/>
  <c r="BP55" i="203"/>
  <c r="AP55" i="203"/>
  <c r="Z55" i="203"/>
  <c r="BX55" i="203"/>
  <c r="AT55" i="203"/>
  <c r="BD55" i="203"/>
  <c r="AV54" i="203"/>
  <c r="AK54" i="203"/>
  <c r="T54" i="203"/>
  <c r="U54" i="203"/>
  <c r="AL54" i="203"/>
  <c r="BS55" i="203"/>
  <c r="CA55" i="203"/>
  <c r="BO54" i="203"/>
  <c r="S54" i="203"/>
  <c r="AJ54" i="203"/>
  <c r="S55" i="203"/>
  <c r="U55" i="203"/>
  <c r="X55" i="203"/>
  <c r="BT54" i="203"/>
  <c r="BY55" i="203"/>
  <c r="AF56" i="203"/>
  <c r="BE56" i="203"/>
  <c r="BO56" i="203"/>
  <c r="X56" i="203"/>
  <c r="AN57" i="203"/>
  <c r="AU57" i="203"/>
  <c r="AV57" i="203"/>
  <c r="AG57" i="203"/>
  <c r="BB56" i="203"/>
  <c r="AL57" i="203"/>
  <c r="W56" i="203"/>
  <c r="BS56" i="203"/>
  <c r="AL56" i="203"/>
  <c r="Z56" i="203"/>
  <c r="AN56" i="203"/>
  <c r="AD57" i="203"/>
  <c r="AJ57" i="203"/>
  <c r="Y57" i="203"/>
  <c r="AO56" i="203"/>
  <c r="AI56" i="203"/>
  <c r="AC56" i="203"/>
  <c r="V56" i="203"/>
  <c r="BR56" i="203"/>
  <c r="AP57" i="203"/>
  <c r="BI56" i="203"/>
  <c r="BN56" i="203"/>
  <c r="AO57" i="203"/>
  <c r="AD56" i="203"/>
  <c r="AV56" i="203"/>
  <c r="Y56" i="203"/>
  <c r="R56" i="203"/>
  <c r="BP56" i="203"/>
  <c r="AH56" i="203"/>
  <c r="AM57" i="203"/>
  <c r="AQ57" i="203"/>
  <c r="V57" i="203"/>
  <c r="AB57" i="203"/>
  <c r="AG56" i="203"/>
  <c r="T56" i="203"/>
  <c r="AC57" i="203"/>
  <c r="BC56" i="203"/>
  <c r="CA56" i="203"/>
  <c r="AQ56" i="203"/>
  <c r="BJ56" i="203"/>
  <c r="BQ56" i="203"/>
  <c r="U57" i="203"/>
  <c r="AK57" i="203"/>
  <c r="AY57" i="203"/>
  <c r="AH57" i="203"/>
  <c r="AB56" i="203"/>
  <c r="BV56" i="203"/>
  <c r="AA56" i="203"/>
  <c r="AR57" i="203"/>
  <c r="AM56" i="203"/>
  <c r="AE57" i="203"/>
  <c r="BY56" i="203"/>
  <c r="AP56" i="203"/>
  <c r="AR56" i="203"/>
  <c r="BL56" i="203"/>
  <c r="BX56" i="203"/>
  <c r="AF57" i="203"/>
  <c r="AS57" i="203"/>
  <c r="AI57" i="203"/>
  <c r="AE56" i="203"/>
  <c r="AX56" i="203"/>
  <c r="AA57" i="203"/>
  <c r="BW56" i="203"/>
  <c r="AT57" i="203"/>
  <c r="AK56" i="203"/>
  <c r="S56" i="203"/>
  <c r="BT56" i="203"/>
  <c r="AU56" i="203"/>
  <c r="S57" i="203"/>
  <c r="BD56" i="203"/>
  <c r="AW56" i="203"/>
  <c r="BH56" i="203"/>
  <c r="AT56" i="203"/>
  <c r="AJ56" i="203"/>
  <c r="BZ56" i="203"/>
  <c r="AW57" i="203"/>
  <c r="X57" i="203"/>
  <c r="Z57" i="203"/>
  <c r="BM56" i="203"/>
  <c r="U56" i="203"/>
  <c r="BU56" i="203"/>
  <c r="T57" i="203"/>
  <c r="AX57" i="203"/>
  <c r="BF56" i="203"/>
  <c r="BK56" i="203"/>
  <c r="BG56" i="203"/>
  <c r="AS56" i="203"/>
  <c r="W57" i="203"/>
  <c r="R57" i="203"/>
  <c r="AY56" i="203"/>
  <c r="BA32" i="203"/>
  <c r="X32" i="203"/>
  <c r="AM32" i="203"/>
  <c r="BW32" i="203"/>
  <c r="AJ32" i="203"/>
  <c r="AL32" i="203"/>
  <c r="AA32" i="203"/>
  <c r="AI23" i="88"/>
  <c r="AI43" i="88"/>
  <c r="BB32" i="203"/>
  <c r="AJ24" i="88"/>
  <c r="AF32" i="88"/>
  <c r="AI37" i="88"/>
  <c r="AJ21" i="88"/>
  <c r="AH28" i="88"/>
  <c r="AJ38" i="88"/>
  <c r="AI27" i="88"/>
  <c r="AG40" i="88"/>
  <c r="AG36" i="88"/>
  <c r="AJ32" i="88"/>
  <c r="AG25" i="88"/>
  <c r="AF45" i="88"/>
  <c r="AF29" i="88"/>
  <c r="BP32" i="203"/>
  <c r="BL32" i="203"/>
  <c r="AZ32" i="203"/>
  <c r="BY32" i="203"/>
  <c r="BE32" i="203"/>
  <c r="AC32" i="203"/>
  <c r="AO32" i="203"/>
  <c r="BN32" i="203"/>
  <c r="BI32" i="203"/>
  <c r="BQ32" i="203"/>
  <c r="BK32" i="203"/>
  <c r="AX32" i="203"/>
  <c r="AT32" i="203"/>
  <c r="AU32" i="203"/>
  <c r="Y32" i="203"/>
  <c r="BJ32" i="203"/>
  <c r="S32" i="203"/>
  <c r="BF32" i="203"/>
  <c r="AS32" i="203"/>
  <c r="AF32" i="203"/>
  <c r="BZ32" i="203"/>
  <c r="W32" i="203"/>
  <c r="U32" i="203"/>
  <c r="BT32" i="203"/>
  <c r="BR32" i="203"/>
  <c r="AV32" i="203"/>
  <c r="AW32" i="203"/>
  <c r="V32" i="203"/>
  <c r="BV32" i="203"/>
  <c r="AG32" i="203"/>
  <c r="BU32" i="203"/>
  <c r="AD32" i="203"/>
  <c r="AP32" i="203"/>
  <c r="BC43" i="203"/>
  <c r="BS43" i="203"/>
  <c r="BI43" i="203"/>
  <c r="BV43" i="203"/>
  <c r="AL43" i="203"/>
  <c r="AT43" i="203"/>
  <c r="AY43" i="203"/>
  <c r="V43" i="203"/>
  <c r="AH43" i="203"/>
  <c r="X43" i="203"/>
  <c r="T43" i="203"/>
  <c r="BF43" i="203"/>
  <c r="BH43" i="203"/>
  <c r="BT43" i="203"/>
  <c r="BO43" i="203"/>
  <c r="S43" i="203"/>
  <c r="CA43" i="203"/>
  <c r="AP43" i="203"/>
  <c r="AB43" i="203"/>
  <c r="AW43" i="203"/>
  <c r="BP43" i="203"/>
  <c r="AG43" i="203"/>
  <c r="AQ43" i="203"/>
  <c r="AO43" i="203"/>
  <c r="BM43" i="203"/>
  <c r="Z43" i="203"/>
  <c r="BY43" i="203"/>
  <c r="BQ43" i="203"/>
  <c r="BE43" i="203"/>
  <c r="Y43" i="203"/>
  <c r="AN43" i="203"/>
  <c r="W43" i="203"/>
  <c r="AA43" i="203"/>
  <c r="BL43" i="203"/>
  <c r="AK43" i="203"/>
  <c r="BX43" i="203"/>
  <c r="AS43" i="203"/>
  <c r="BA43" i="203"/>
  <c r="AC43" i="203"/>
  <c r="AJ43" i="203"/>
  <c r="BK43" i="203"/>
  <c r="AU43" i="203"/>
  <c r="BR43" i="203"/>
  <c r="U43" i="203"/>
  <c r="BJ43" i="203"/>
  <c r="R43" i="203"/>
  <c r="AM43" i="203"/>
  <c r="AE43" i="203"/>
  <c r="AF43" i="203"/>
  <c r="AD43" i="203"/>
  <c r="AR43" i="203"/>
  <c r="BU43" i="203"/>
  <c r="AI43" i="203"/>
  <c r="AV43" i="203"/>
  <c r="AZ43" i="203"/>
  <c r="BG43" i="203"/>
  <c r="BZ43" i="203"/>
  <c r="BN43" i="203"/>
  <c r="BW43" i="203"/>
  <c r="BB43" i="203"/>
  <c r="AX43" i="203"/>
  <c r="BD43" i="203"/>
  <c r="AP17" i="203"/>
  <c r="AQ17" i="203"/>
  <c r="W18" i="203"/>
  <c r="BH17" i="203"/>
  <c r="CA17" i="203"/>
  <c r="AD17" i="203"/>
  <c r="AY17" i="203"/>
  <c r="R18" i="203"/>
  <c r="AZ17" i="203"/>
  <c r="BS17" i="203"/>
  <c r="BF17" i="203"/>
  <c r="AG17" i="203"/>
  <c r="BN17" i="203"/>
  <c r="X18" i="203"/>
  <c r="BC17" i="203"/>
  <c r="BE17" i="203"/>
  <c r="AB17" i="203"/>
  <c r="BY17" i="203"/>
  <c r="BQ17" i="203"/>
  <c r="U18" i="203"/>
  <c r="AC17" i="203"/>
  <c r="AS17" i="203"/>
  <c r="BT17" i="203"/>
  <c r="AR17" i="203"/>
  <c r="BZ17" i="203"/>
  <c r="BO17" i="203"/>
  <c r="BU17" i="203"/>
  <c r="AA17" i="203"/>
  <c r="AJ17" i="203"/>
  <c r="T18" i="203"/>
  <c r="BP17" i="203"/>
  <c r="BI17" i="203"/>
  <c r="BJ17" i="203"/>
  <c r="BM17" i="203"/>
  <c r="BL17" i="203"/>
  <c r="BB17" i="203"/>
  <c r="BW17" i="203"/>
  <c r="AK17" i="203"/>
  <c r="AL17" i="203"/>
  <c r="AN17" i="203"/>
  <c r="S18" i="203"/>
  <c r="AH17" i="203"/>
  <c r="BG17" i="203"/>
  <c r="BA17" i="203"/>
  <c r="Y18" i="203"/>
  <c r="AF17" i="203"/>
  <c r="AX17" i="203"/>
  <c r="BD17" i="203"/>
  <c r="AT17" i="203"/>
  <c r="BV17" i="203"/>
  <c r="AW17" i="203"/>
  <c r="AV17" i="203"/>
  <c r="AO17" i="203"/>
  <c r="AE17" i="203"/>
  <c r="AM17" i="203"/>
  <c r="AI17" i="203"/>
  <c r="BX17" i="203"/>
  <c r="BK17" i="203"/>
  <c r="AU17" i="203"/>
  <c r="V18" i="203"/>
  <c r="BR17" i="203"/>
  <c r="Z18" i="203"/>
  <c r="BX44" i="203"/>
  <c r="BT44" i="203"/>
  <c r="W44" i="203"/>
  <c r="V44" i="203"/>
  <c r="S44" i="203"/>
  <c r="AN45" i="203"/>
  <c r="Y45" i="203"/>
  <c r="S45" i="203"/>
  <c r="AU44" i="203"/>
  <c r="BI44" i="203"/>
  <c r="BH44" i="203"/>
  <c r="AS44" i="203"/>
  <c r="BE44" i="203"/>
  <c r="X44" i="203"/>
  <c r="AO45" i="203"/>
  <c r="AQ45" i="203"/>
  <c r="X45" i="203"/>
  <c r="AZ44" i="203"/>
  <c r="AW44" i="203"/>
  <c r="AV44" i="203"/>
  <c r="AY44" i="203"/>
  <c r="BY44" i="203"/>
  <c r="U44" i="203"/>
  <c r="R45" i="203"/>
  <c r="AV45" i="203"/>
  <c r="AQ44" i="203"/>
  <c r="BL44" i="203"/>
  <c r="BP44" i="203"/>
  <c r="AF44" i="203"/>
  <c r="BD44" i="203"/>
  <c r="AC45" i="203"/>
  <c r="Z45" i="203"/>
  <c r="BN44" i="203"/>
  <c r="BM44" i="203"/>
  <c r="BO44" i="203"/>
  <c r="BC44" i="203"/>
  <c r="AO44" i="203"/>
  <c r="AM45" i="203"/>
  <c r="AI44" i="203"/>
  <c r="AR44" i="203"/>
  <c r="BU44" i="203"/>
  <c r="BS44" i="203"/>
  <c r="BW44" i="203"/>
  <c r="AP45" i="203"/>
  <c r="AB45" i="203"/>
  <c r="T45" i="203"/>
  <c r="BZ44" i="203"/>
  <c r="AK45" i="203"/>
  <c r="AG45" i="203"/>
  <c r="AW45" i="203"/>
  <c r="BF44" i="203"/>
  <c r="BA44" i="203"/>
  <c r="AB44" i="203"/>
  <c r="AX44" i="203"/>
  <c r="AM44" i="203"/>
  <c r="AE45" i="203"/>
  <c r="U45" i="203"/>
  <c r="AT45" i="203"/>
  <c r="AH45" i="203"/>
  <c r="AD44" i="203"/>
  <c r="AK44" i="203"/>
  <c r="AN44" i="203"/>
  <c r="AA45" i="203"/>
  <c r="AD45" i="203"/>
  <c r="BG44" i="203"/>
  <c r="BK44" i="203"/>
  <c r="BJ44" i="203"/>
  <c r="AP44" i="203"/>
  <c r="AE44" i="203"/>
  <c r="AJ45" i="203"/>
  <c r="AR45" i="203"/>
  <c r="AU45" i="203"/>
  <c r="AH44" i="203"/>
  <c r="AT44" i="203"/>
  <c r="BB44" i="203"/>
  <c r="BR44" i="203"/>
  <c r="AS45" i="203"/>
  <c r="BQ44" i="203"/>
  <c r="AA44" i="203"/>
  <c r="AL44" i="203"/>
  <c r="CA44" i="203"/>
  <c r="AC44" i="203"/>
  <c r="AI45" i="203"/>
  <c r="W45" i="203"/>
  <c r="AF45" i="203"/>
  <c r="AG44" i="203"/>
  <c r="Y44" i="203"/>
  <c r="Z44" i="203"/>
  <c r="R44" i="203"/>
  <c r="AJ44" i="203"/>
  <c r="AL45" i="203"/>
  <c r="T44" i="203"/>
  <c r="V45" i="203"/>
  <c r="BV44" i="203"/>
  <c r="U48" i="203"/>
  <c r="AN48" i="203"/>
  <c r="AC48" i="203"/>
  <c r="Z48" i="203"/>
  <c r="AK48" i="203"/>
  <c r="AG48" i="203"/>
  <c r="AS48" i="203"/>
  <c r="AO48" i="203"/>
  <c r="AI48" i="203"/>
  <c r="W48" i="203"/>
  <c r="AA48" i="203"/>
  <c r="AH48" i="203"/>
  <c r="AM48" i="203"/>
  <c r="AV48" i="203"/>
  <c r="AL48" i="203"/>
  <c r="X48" i="203"/>
  <c r="T48" i="203"/>
  <c r="AQ48" i="203"/>
  <c r="S48" i="203"/>
  <c r="AB48" i="203"/>
  <c r="AP48" i="203"/>
  <c r="AD48" i="203"/>
  <c r="R48" i="203"/>
  <c r="AX48" i="203"/>
  <c r="AJ48" i="203"/>
  <c r="V48" i="203"/>
  <c r="AF48" i="203"/>
  <c r="AU48" i="203"/>
  <c r="Y48" i="203"/>
  <c r="AR48" i="203"/>
  <c r="AT48" i="203"/>
  <c r="AW48" i="203"/>
  <c r="AE48" i="203"/>
  <c r="BH52" i="203"/>
  <c r="AE52" i="203"/>
  <c r="AP52" i="203"/>
  <c r="R52" i="203"/>
  <c r="BS52" i="203"/>
  <c r="BZ51" i="203"/>
  <c r="BD51" i="203"/>
  <c r="AK53" i="203"/>
  <c r="U53" i="203"/>
  <c r="AH53" i="203"/>
  <c r="AE53" i="203"/>
  <c r="AU53" i="203"/>
  <c r="AA53" i="203"/>
  <c r="AH52" i="203"/>
  <c r="AU52" i="203"/>
  <c r="AQ52" i="203"/>
  <c r="S52" i="203"/>
  <c r="AI52" i="203"/>
  <c r="BC51" i="203"/>
  <c r="BP51" i="203"/>
  <c r="BF51" i="203"/>
  <c r="BS51" i="203"/>
  <c r="Y53" i="203"/>
  <c r="T53" i="203"/>
  <c r="BN53" i="203"/>
  <c r="BF53" i="203"/>
  <c r="BK53" i="203"/>
  <c r="BS53" i="203"/>
  <c r="BJ53" i="203"/>
  <c r="BI52" i="203"/>
  <c r="BW52" i="203"/>
  <c r="T52" i="203"/>
  <c r="AG52" i="203"/>
  <c r="BK52" i="203"/>
  <c r="BY51" i="203"/>
  <c r="BL51" i="203"/>
  <c r="BG51" i="203"/>
  <c r="BQ51" i="203"/>
  <c r="AO53" i="203"/>
  <c r="AP53" i="203"/>
  <c r="Z53" i="203"/>
  <c r="BU53" i="203"/>
  <c r="BB53" i="203"/>
  <c r="BL52" i="203"/>
  <c r="AR52" i="203"/>
  <c r="AC52" i="203"/>
  <c r="BR52" i="203"/>
  <c r="Y52" i="203"/>
  <c r="AL52" i="203"/>
  <c r="BH51" i="203"/>
  <c r="BO51" i="203"/>
  <c r="AR53" i="203"/>
  <c r="AF53" i="203"/>
  <c r="AV53" i="203"/>
  <c r="AB53" i="203"/>
  <c r="AN53" i="203"/>
  <c r="X52" i="203"/>
  <c r="AF52" i="203"/>
  <c r="AA52" i="203"/>
  <c r="BP52" i="203"/>
  <c r="BA53" i="203"/>
  <c r="BF52" i="203"/>
  <c r="BU52" i="203"/>
  <c r="AY52" i="203"/>
  <c r="AN52" i="203"/>
  <c r="BN52" i="203"/>
  <c r="BU51" i="203"/>
  <c r="BT51" i="203"/>
  <c r="BR51" i="203"/>
  <c r="BY53" i="203"/>
  <c r="AC53" i="203"/>
  <c r="BX53" i="203"/>
  <c r="BR53" i="203"/>
  <c r="AX53" i="203"/>
  <c r="BN51" i="203"/>
  <c r="X53" i="203"/>
  <c r="BG52" i="203"/>
  <c r="S53" i="203"/>
  <c r="AG53" i="203"/>
  <c r="BX52" i="203"/>
  <c r="Z52" i="203"/>
  <c r="BK51" i="203"/>
  <c r="AQ53" i="203"/>
  <c r="BV51" i="203"/>
  <c r="W53" i="203"/>
  <c r="BY52" i="203"/>
  <c r="AJ52" i="203"/>
  <c r="BA52" i="203"/>
  <c r="AD52" i="203"/>
  <c r="AK52" i="203"/>
  <c r="CA51" i="203"/>
  <c r="AZ53" i="203"/>
  <c r="BW53" i="203"/>
  <c r="BV53" i="203"/>
  <c r="AY53" i="203"/>
  <c r="AM53" i="203"/>
  <c r="BQ52" i="203"/>
  <c r="BJ51" i="203"/>
  <c r="BT53" i="203"/>
  <c r="BJ52" i="203"/>
  <c r="V53" i="203"/>
  <c r="V52" i="203"/>
  <c r="AZ51" i="203"/>
  <c r="BL53" i="203"/>
  <c r="BI53" i="203"/>
  <c r="BE53" i="203"/>
  <c r="BM52" i="203"/>
  <c r="BB51" i="203"/>
  <c r="AB52" i="203"/>
  <c r="AX52" i="203"/>
  <c r="BE52" i="203"/>
  <c r="AO52" i="203"/>
  <c r="AW52" i="203"/>
  <c r="BM51" i="203"/>
  <c r="CA53" i="203"/>
  <c r="AD53" i="203"/>
  <c r="BC53" i="203"/>
  <c r="AW53" i="203"/>
  <c r="BQ53" i="203"/>
  <c r="CA52" i="203"/>
  <c r="BA51" i="203"/>
  <c r="BM53" i="203"/>
  <c r="BG53" i="203"/>
  <c r="AZ52" i="203"/>
  <c r="BO53" i="203"/>
  <c r="AV52" i="203"/>
  <c r="BP53" i="203"/>
  <c r="BV52" i="203"/>
  <c r="R53" i="203"/>
  <c r="BZ52" i="203"/>
  <c r="AM52" i="203"/>
  <c r="BT52" i="203"/>
  <c r="U52" i="203"/>
  <c r="BD52" i="203"/>
  <c r="BE51" i="203"/>
  <c r="AT53" i="203"/>
  <c r="BZ53" i="203"/>
  <c r="AL53" i="203"/>
  <c r="BD53" i="203"/>
  <c r="BH53" i="203"/>
  <c r="AT52" i="203"/>
  <c r="AS52" i="203"/>
  <c r="BC52" i="203"/>
  <c r="AJ53" i="203"/>
  <c r="W52" i="203"/>
  <c r="BO52" i="203"/>
  <c r="BX51" i="203"/>
  <c r="AI53" i="203"/>
  <c r="BB52" i="203"/>
  <c r="BI51" i="203"/>
  <c r="BW51" i="203"/>
  <c r="AS53" i="203"/>
  <c r="AU37" i="203"/>
  <c r="AI30" i="88"/>
  <c r="AH39" i="88"/>
  <c r="AH41" i="88"/>
  <c r="AH23" i="88"/>
  <c r="AG31" i="88"/>
  <c r="AI38" i="88"/>
  <c r="AI21" i="88"/>
  <c r="AH25" i="88"/>
  <c r="AJ22" i="88"/>
  <c r="AJ37" i="88"/>
  <c r="AG39" i="88"/>
  <c r="AH21" i="88"/>
  <c r="AH35" i="88"/>
  <c r="AG37" i="88"/>
  <c r="AH29" i="88"/>
  <c r="AF44" i="88"/>
  <c r="AJ34" i="88"/>
  <c r="AJ28" i="88"/>
  <c r="AJ29" i="88"/>
  <c r="AI39" i="88"/>
  <c r="AG29" i="88"/>
  <c r="AF36" i="88"/>
  <c r="AH32" i="88"/>
  <c r="AF38" i="88"/>
  <c r="AJ39" i="88"/>
  <c r="BS46" i="203"/>
  <c r="AK46" i="203"/>
  <c r="BT46" i="203"/>
  <c r="AZ46" i="203"/>
  <c r="BQ46" i="203"/>
  <c r="BS47" i="203"/>
  <c r="Y47" i="203"/>
  <c r="AT47" i="203"/>
  <c r="AV47" i="203"/>
  <c r="BU47" i="203"/>
  <c r="AR47" i="203"/>
  <c r="BC45" i="203"/>
  <c r="BG45" i="203"/>
  <c r="BU45" i="203"/>
  <c r="BF47" i="203"/>
  <c r="BE47" i="203"/>
  <c r="Y46" i="203"/>
  <c r="AF47" i="203"/>
  <c r="AY47" i="203"/>
  <c r="BL45" i="203"/>
  <c r="BY46" i="203"/>
  <c r="BN47" i="203"/>
  <c r="BA46" i="203"/>
  <c r="AJ46" i="203"/>
  <c r="AB46" i="203"/>
  <c r="AQ46" i="203"/>
  <c r="AG46" i="203"/>
  <c r="BX47" i="203"/>
  <c r="BV47" i="203"/>
  <c r="AP47" i="203"/>
  <c r="BA47" i="203"/>
  <c r="AE47" i="203"/>
  <c r="AZ45" i="203"/>
  <c r="BH47" i="203"/>
  <c r="BW45" i="203"/>
  <c r="W46" i="203"/>
  <c r="AO46" i="203"/>
  <c r="T47" i="203"/>
  <c r="BV45" i="203"/>
  <c r="BK47" i="203"/>
  <c r="BH46" i="203"/>
  <c r="BN46" i="203"/>
  <c r="BO47" i="203"/>
  <c r="AL46" i="203"/>
  <c r="X46" i="203"/>
  <c r="T46" i="203"/>
  <c r="S46" i="203"/>
  <c r="AA46" i="203"/>
  <c r="AN47" i="203"/>
  <c r="Z47" i="203"/>
  <c r="AD47" i="203"/>
  <c r="AG47" i="203"/>
  <c r="X47" i="203"/>
  <c r="BM45" i="203"/>
  <c r="BZ45" i="203"/>
  <c r="R46" i="203"/>
  <c r="BQ47" i="203"/>
  <c r="BI45" i="203"/>
  <c r="BC46" i="203"/>
  <c r="AA47" i="203"/>
  <c r="BE45" i="203"/>
  <c r="AU46" i="203"/>
  <c r="BC47" i="203"/>
  <c r="CA45" i="203"/>
  <c r="AN46" i="203"/>
  <c r="BT45" i="203"/>
  <c r="AF46" i="203"/>
  <c r="AM47" i="203"/>
  <c r="BI46" i="203"/>
  <c r="AR46" i="203"/>
  <c r="U46" i="203"/>
  <c r="BM46" i="203"/>
  <c r="AP46" i="203"/>
  <c r="S47" i="203"/>
  <c r="AZ47" i="203"/>
  <c r="AL47" i="203"/>
  <c r="U47" i="203"/>
  <c r="AW47" i="203"/>
  <c r="BX45" i="203"/>
  <c r="BK45" i="203"/>
  <c r="BJ45" i="203"/>
  <c r="BR46" i="203"/>
  <c r="BP46" i="203"/>
  <c r="BW46" i="203"/>
  <c r="BP47" i="203"/>
  <c r="V46" i="203"/>
  <c r="BO46" i="203"/>
  <c r="BD47" i="203"/>
  <c r="BX46" i="203"/>
  <c r="AT46" i="203"/>
  <c r="AQ47" i="203"/>
  <c r="AI47" i="203"/>
  <c r="AV46" i="203"/>
  <c r="BV46" i="203"/>
  <c r="AS46" i="203"/>
  <c r="AC46" i="203"/>
  <c r="AE46" i="203"/>
  <c r="BL47" i="203"/>
  <c r="BJ47" i="203"/>
  <c r="CA47" i="203"/>
  <c r="AU47" i="203"/>
  <c r="V47" i="203"/>
  <c r="BY45" i="203"/>
  <c r="BO45" i="203"/>
  <c r="BB45" i="203"/>
  <c r="BZ46" i="203"/>
  <c r="BG47" i="203"/>
  <c r="BI47" i="203"/>
  <c r="BU46" i="203"/>
  <c r="BZ47" i="203"/>
  <c r="AY45" i="203"/>
  <c r="BK46" i="203"/>
  <c r="Z46" i="203"/>
  <c r="AD46" i="203"/>
  <c r="AW46" i="203"/>
  <c r="AM46" i="203"/>
  <c r="BM47" i="203"/>
  <c r="AK47" i="203"/>
  <c r="R47" i="203"/>
  <c r="AJ47" i="203"/>
  <c r="AC47" i="203"/>
  <c r="BB47" i="203"/>
  <c r="BA45" i="203"/>
  <c r="BD45" i="203"/>
  <c r="AH46" i="203"/>
  <c r="AB47" i="203"/>
  <c r="BR45" i="203"/>
  <c r="AX47" i="203"/>
  <c r="BL46" i="203"/>
  <c r="BJ46" i="203"/>
  <c r="AH47" i="203"/>
  <c r="BN45" i="203"/>
  <c r="CA46" i="203"/>
  <c r="BW47" i="203"/>
  <c r="BB46" i="203"/>
  <c r="AI46" i="203"/>
  <c r="BT47" i="203"/>
  <c r="AY46" i="203"/>
  <c r="W47" i="203"/>
  <c r="BF46" i="203"/>
  <c r="AS47" i="203"/>
  <c r="BQ45" i="203"/>
  <c r="BS45" i="203"/>
  <c r="BD46" i="203"/>
  <c r="BR47" i="203"/>
  <c r="BE46" i="203"/>
  <c r="BH45" i="203"/>
  <c r="BP45" i="203"/>
  <c r="BF45" i="203"/>
  <c r="BY47" i="203"/>
  <c r="BG46" i="203"/>
  <c r="AO47" i="203"/>
  <c r="AE13" i="203"/>
  <c r="BC13" i="203"/>
  <c r="CA13" i="203"/>
  <c r="W13" i="203"/>
  <c r="BD13" i="203"/>
  <c r="AQ13" i="203"/>
  <c r="BK13" i="203"/>
  <c r="AI13" i="203"/>
  <c r="AR13" i="203"/>
  <c r="S13" i="203"/>
  <c r="BB13" i="203"/>
  <c r="Y13" i="203"/>
  <c r="AW13" i="203"/>
  <c r="BQ13" i="203"/>
  <c r="AY13" i="203"/>
  <c r="BU13" i="203"/>
  <c r="BF13" i="203"/>
  <c r="AA13" i="203"/>
  <c r="BV13" i="203"/>
  <c r="AL13" i="203"/>
  <c r="AG13" i="203"/>
  <c r="U13" i="203"/>
  <c r="BS13" i="203"/>
  <c r="AC13" i="203"/>
  <c r="BN13" i="203"/>
  <c r="BI13" i="203"/>
  <c r="AF13" i="203"/>
  <c r="BX13" i="203"/>
  <c r="AV13" i="203"/>
  <c r="AU13" i="203"/>
  <c r="AK13" i="203"/>
  <c r="AH13" i="203"/>
  <c r="AX13" i="203"/>
  <c r="BT13" i="203"/>
  <c r="BH13" i="203"/>
  <c r="BL13" i="203"/>
  <c r="BY13" i="203"/>
  <c r="AB13" i="203"/>
  <c r="AT13" i="203"/>
  <c r="AP13" i="203"/>
  <c r="X13" i="203"/>
  <c r="R13" i="203"/>
  <c r="AZ13" i="203"/>
  <c r="AN13" i="203"/>
  <c r="BP13" i="203"/>
  <c r="AO13" i="203"/>
  <c r="BE13" i="203"/>
  <c r="BZ13" i="203"/>
  <c r="Z13" i="203"/>
  <c r="AS13" i="203"/>
  <c r="AM13" i="203"/>
  <c r="BW13" i="203"/>
  <c r="BG13" i="203"/>
  <c r="BM13" i="203"/>
  <c r="BA13" i="203"/>
  <c r="T13" i="203"/>
  <c r="AJ13" i="203"/>
  <c r="AD13" i="203"/>
  <c r="BR13" i="203"/>
  <c r="BO13" i="203"/>
  <c r="BJ13" i="203"/>
  <c r="AH11" i="203"/>
  <c r="AS11" i="203"/>
  <c r="BH11" i="203"/>
  <c r="AA11" i="203"/>
  <c r="R11" i="203"/>
  <c r="S12" i="203"/>
  <c r="BU12" i="203"/>
  <c r="BT12" i="203"/>
  <c r="BR12" i="203"/>
  <c r="AC12" i="203"/>
  <c r="AX11" i="203"/>
  <c r="BQ12" i="203"/>
  <c r="X12" i="203"/>
  <c r="BA11" i="203"/>
  <c r="AT11" i="203"/>
  <c r="AK11" i="203"/>
  <c r="BF11" i="203"/>
  <c r="AZ12" i="203"/>
  <c r="BD12" i="203"/>
  <c r="BN11" i="203"/>
  <c r="BY11" i="203"/>
  <c r="AN11" i="203"/>
  <c r="AB11" i="203"/>
  <c r="BM11" i="203"/>
  <c r="AI11" i="203"/>
  <c r="BC11" i="203"/>
  <c r="BS11" i="203"/>
  <c r="AM11" i="203"/>
  <c r="Z11" i="203"/>
  <c r="AK12" i="203"/>
  <c r="BZ12" i="203"/>
  <c r="AM12" i="203"/>
  <c r="BE12" i="203"/>
  <c r="AG12" i="203"/>
  <c r="BB11" i="203"/>
  <c r="BL11" i="203"/>
  <c r="AC11" i="203"/>
  <c r="BX12" i="203"/>
  <c r="Y12" i="203"/>
  <c r="BO11" i="203"/>
  <c r="BX11" i="203"/>
  <c r="AO11" i="203"/>
  <c r="BZ11" i="203"/>
  <c r="V11" i="203"/>
  <c r="AE12" i="203"/>
  <c r="BS12" i="203"/>
  <c r="AX12" i="203"/>
  <c r="BW12" i="203"/>
  <c r="CA12" i="203"/>
  <c r="BH12" i="203"/>
  <c r="CA11" i="203"/>
  <c r="BK12" i="203"/>
  <c r="AT12" i="203"/>
  <c r="AW11" i="203"/>
  <c r="BV12" i="203"/>
  <c r="AR11" i="203"/>
  <c r="BG11" i="203"/>
  <c r="AG11" i="203"/>
  <c r="BD11" i="203"/>
  <c r="W11" i="203"/>
  <c r="AJ12" i="203"/>
  <c r="W12" i="203"/>
  <c r="BI12" i="203"/>
  <c r="AU12" i="203"/>
  <c r="BM12" i="203"/>
  <c r="AA12" i="203"/>
  <c r="BR11" i="203"/>
  <c r="BV11" i="203"/>
  <c r="AQ11" i="203"/>
  <c r="BT11" i="203"/>
  <c r="X11" i="203"/>
  <c r="BK11" i="203"/>
  <c r="R12" i="203"/>
  <c r="Z12" i="203"/>
  <c r="AB12" i="203"/>
  <c r="AQ12" i="203"/>
  <c r="V12" i="203"/>
  <c r="AU11" i="203"/>
  <c r="BY12" i="203"/>
  <c r="BJ12" i="203"/>
  <c r="AZ11" i="203"/>
  <c r="BC12" i="203"/>
  <c r="T12" i="203"/>
  <c r="AE11" i="203"/>
  <c r="S11" i="203"/>
  <c r="BI11" i="203"/>
  <c r="BJ11" i="203"/>
  <c r="AJ11" i="203"/>
  <c r="AF12" i="203"/>
  <c r="BP12" i="203"/>
  <c r="BO12" i="203"/>
  <c r="AN12" i="203"/>
  <c r="BB12" i="203"/>
  <c r="BG12" i="203"/>
  <c r="AP12" i="203"/>
  <c r="AO12" i="203"/>
  <c r="BE11" i="203"/>
  <c r="AV11" i="203"/>
  <c r="BP11" i="203"/>
  <c r="BL12" i="203"/>
  <c r="AI12" i="203"/>
  <c r="Y11" i="203"/>
  <c r="AH12" i="203"/>
  <c r="BU11" i="203"/>
  <c r="U11" i="203"/>
  <c r="AV12" i="203"/>
  <c r="AY11" i="203"/>
  <c r="BQ11" i="203"/>
  <c r="BA12" i="203"/>
  <c r="AS12" i="203"/>
  <c r="AD11" i="203"/>
  <c r="BN12" i="203"/>
  <c r="AF11" i="203"/>
  <c r="AY12" i="203"/>
  <c r="AL11" i="203"/>
  <c r="AD12" i="203"/>
  <c r="BW11" i="203"/>
  <c r="AR12" i="203"/>
  <c r="AL12" i="203"/>
  <c r="AW12" i="203"/>
  <c r="AP11" i="203"/>
  <c r="BF12" i="203"/>
  <c r="AD38" i="203"/>
  <c r="W38" i="203"/>
  <c r="BT37" i="203"/>
  <c r="BF37" i="203"/>
  <c r="BU37" i="203"/>
  <c r="U38" i="203"/>
  <c r="AO38" i="203"/>
  <c r="BL37" i="203"/>
  <c r="BW37" i="203"/>
  <c r="BE37" i="203"/>
  <c r="AY37" i="203"/>
  <c r="T38" i="203"/>
  <c r="BX37" i="203"/>
  <c r="R38" i="203"/>
  <c r="AT38" i="203"/>
  <c r="AG38" i="203"/>
  <c r="AH38" i="203"/>
  <c r="BV37" i="203"/>
  <c r="BM37" i="203"/>
  <c r="BN37" i="203"/>
  <c r="BK37" i="203"/>
  <c r="AU38" i="203"/>
  <c r="S38" i="203"/>
  <c r="Z38" i="203"/>
  <c r="BO37" i="203"/>
  <c r="AS38" i="203"/>
  <c r="V38" i="203"/>
  <c r="AE38" i="203"/>
  <c r="AX37" i="203"/>
  <c r="BR37" i="203"/>
  <c r="AL38" i="203"/>
  <c r="BS37" i="203"/>
  <c r="BJ37" i="203"/>
  <c r="AM38" i="203"/>
  <c r="AP38" i="203"/>
  <c r="AN38" i="203"/>
  <c r="AK38" i="203"/>
  <c r="Y38" i="203"/>
  <c r="BZ37" i="203"/>
  <c r="CA37" i="203"/>
  <c r="BP37" i="203"/>
  <c r="AF38" i="203"/>
  <c r="BY37" i="203"/>
  <c r="AI38" i="203"/>
  <c r="AB38" i="203"/>
  <c r="X38" i="203"/>
  <c r="AW37" i="203"/>
  <c r="BC37" i="203"/>
  <c r="BQ37" i="203"/>
  <c r="AR38" i="203"/>
  <c r="AZ37" i="203"/>
  <c r="AA38" i="203"/>
  <c r="AQ38" i="203"/>
  <c r="BA37" i="203"/>
  <c r="BB37" i="203"/>
  <c r="BG37" i="203"/>
  <c r="BH37" i="203"/>
  <c r="AC38" i="203"/>
  <c r="BD37" i="203"/>
  <c r="AJ38" i="203"/>
  <c r="BI37" i="203"/>
  <c r="V14" i="203"/>
  <c r="U14" i="203"/>
  <c r="S14" i="203"/>
  <c r="T14" i="203"/>
  <c r="R14" i="203"/>
  <c r="BE48" i="203"/>
  <c r="BF48" i="203"/>
  <c r="BV48" i="203"/>
  <c r="BX50" i="203"/>
  <c r="AG50" i="203"/>
  <c r="BS50" i="203"/>
  <c r="BF50" i="203"/>
  <c r="AU50" i="203"/>
  <c r="U49" i="203"/>
  <c r="AY49" i="203"/>
  <c r="AI49" i="203"/>
  <c r="AB49" i="203"/>
  <c r="AL49" i="203"/>
  <c r="AX49" i="203"/>
  <c r="V49" i="203"/>
  <c r="BR49" i="203"/>
  <c r="BS48" i="203"/>
  <c r="AJ49" i="203"/>
  <c r="BT48" i="203"/>
  <c r="AK49" i="203"/>
  <c r="BJ50" i="203"/>
  <c r="BM48" i="203"/>
  <c r="BQ48" i="203"/>
  <c r="BJ48" i="203"/>
  <c r="BY48" i="203"/>
  <c r="BC50" i="203"/>
  <c r="BL50" i="203"/>
  <c r="AO50" i="203"/>
  <c r="AL50" i="203"/>
  <c r="AK50" i="203"/>
  <c r="R49" i="203"/>
  <c r="AG49" i="203"/>
  <c r="CA49" i="203"/>
  <c r="AD49" i="203"/>
  <c r="T49" i="203"/>
  <c r="AW50" i="203"/>
  <c r="BZ50" i="203"/>
  <c r="X49" i="203"/>
  <c r="BW49" i="203"/>
  <c r="BX48" i="203"/>
  <c r="AF50" i="203"/>
  <c r="BT49" i="203"/>
  <c r="AM49" i="203"/>
  <c r="X50" i="203"/>
  <c r="AD50" i="203"/>
  <c r="BO48" i="203"/>
  <c r="BH48" i="203"/>
  <c r="R50" i="203"/>
  <c r="AB50" i="203"/>
  <c r="BN48" i="203"/>
  <c r="BC48" i="203"/>
  <c r="BA48" i="203"/>
  <c r="BG48" i="203"/>
  <c r="Y50" i="203"/>
  <c r="BN50" i="203"/>
  <c r="BW50" i="203"/>
  <c r="AS50" i="203"/>
  <c r="BY50" i="203"/>
  <c r="BP49" i="203"/>
  <c r="BV49" i="203"/>
  <c r="BO49" i="203"/>
  <c r="BX49" i="203"/>
  <c r="AF49" i="203"/>
  <c r="BQ50" i="203"/>
  <c r="AA50" i="203"/>
  <c r="AP50" i="203"/>
  <c r="BY49" i="203"/>
  <c r="AX50" i="203"/>
  <c r="BI50" i="203"/>
  <c r="AA49" i="203"/>
  <c r="BE49" i="203"/>
  <c r="BU48" i="203"/>
  <c r="BH50" i="203"/>
  <c r="BB48" i="203"/>
  <c r="CA48" i="203"/>
  <c r="BP48" i="203"/>
  <c r="BM50" i="203"/>
  <c r="Z50" i="203"/>
  <c r="CA50" i="203"/>
  <c r="BO50" i="203"/>
  <c r="BK50" i="203"/>
  <c r="BT50" i="203"/>
  <c r="AO49" i="203"/>
  <c r="AP49" i="203"/>
  <c r="AZ49" i="203"/>
  <c r="AW49" i="203"/>
  <c r="AR49" i="203"/>
  <c r="BI48" i="203"/>
  <c r="BU50" i="203"/>
  <c r="BH49" i="203"/>
  <c r="AC49" i="203"/>
  <c r="AE50" i="203"/>
  <c r="BD48" i="203"/>
  <c r="BW48" i="203"/>
  <c r="BA50" i="203"/>
  <c r="S50" i="203"/>
  <c r="AJ50" i="203"/>
  <c r="BP50" i="203"/>
  <c r="AN50" i="203"/>
  <c r="W50" i="203"/>
  <c r="AU49" i="203"/>
  <c r="BU49" i="203"/>
  <c r="BZ49" i="203"/>
  <c r="BL49" i="203"/>
  <c r="BS49" i="203"/>
  <c r="BV50" i="203"/>
  <c r="BJ49" i="203"/>
  <c r="BN49" i="203"/>
  <c r="BB50" i="203"/>
  <c r="BG50" i="203"/>
  <c r="AN49" i="203"/>
  <c r="AH50" i="203"/>
  <c r="AR50" i="203"/>
  <c r="T50" i="203"/>
  <c r="BR48" i="203"/>
  <c r="AZ48" i="203"/>
  <c r="AV50" i="203"/>
  <c r="BD50" i="203"/>
  <c r="BE50" i="203"/>
  <c r="AZ50" i="203"/>
  <c r="AM50" i="203"/>
  <c r="AE49" i="203"/>
  <c r="BI49" i="203"/>
  <c r="AQ49" i="203"/>
  <c r="BC49" i="203"/>
  <c r="AH49" i="203"/>
  <c r="S49" i="203"/>
  <c r="V50" i="203"/>
  <c r="BZ48" i="203"/>
  <c r="AT49" i="203"/>
  <c r="BK48" i="203"/>
  <c r="BA49" i="203"/>
  <c r="AV49" i="203"/>
  <c r="BF49" i="203"/>
  <c r="BL48" i="203"/>
  <c r="AT50" i="203"/>
  <c r="AY48" i="203"/>
  <c r="W49" i="203"/>
  <c r="Y49" i="203"/>
  <c r="BR50" i="203"/>
  <c r="BD49" i="203"/>
  <c r="BB49" i="203"/>
  <c r="BM49" i="203"/>
  <c r="Z49" i="203"/>
  <c r="AC50" i="203"/>
  <c r="AQ50" i="203"/>
  <c r="BG49" i="203"/>
  <c r="AI50" i="203"/>
  <c r="AS49" i="203"/>
  <c r="BQ49" i="203"/>
  <c r="U50" i="203"/>
  <c r="BK49" i="203"/>
  <c r="BR10" i="203"/>
  <c r="BQ10" i="203"/>
  <c r="CA10" i="203"/>
  <c r="BJ10" i="203"/>
  <c r="BU10" i="203"/>
  <c r="BG10" i="203"/>
  <c r="BP10" i="203"/>
  <c r="AZ57" i="203"/>
  <c r="AR34" i="203"/>
  <c r="AJ40" i="88"/>
  <c r="AG43" i="88"/>
  <c r="AH42" i="88"/>
  <c r="AH37" i="88"/>
  <c r="AH31" i="88"/>
  <c r="AG22" i="88"/>
  <c r="AG41" i="88"/>
  <c r="AF40" i="88"/>
  <c r="BY10" i="203"/>
  <c r="T10" i="203"/>
  <c r="AY10" i="203"/>
  <c r="AF33" i="88"/>
  <c r="AI41" i="88"/>
  <c r="AG21" i="88"/>
  <c r="AF21" i="88"/>
  <c r="AJ23" i="88"/>
  <c r="AW10" i="203"/>
  <c r="AI10" i="203"/>
  <c r="AG10" i="203"/>
  <c r="AH40" i="88"/>
  <c r="AF39" i="88"/>
  <c r="AI42" i="88"/>
  <c r="BO10" i="203"/>
  <c r="AO10" i="203"/>
  <c r="AA10" i="203"/>
  <c r="AG24" i="88"/>
  <c r="AI22" i="88"/>
  <c r="AJ35" i="88"/>
  <c r="AI33" i="88"/>
  <c r="AH24" i="88"/>
  <c r="AJ44" i="88"/>
  <c r="AF34" i="88"/>
  <c r="AF28" i="88"/>
  <c r="AG34" i="88"/>
  <c r="AF24" i="88"/>
  <c r="AH27" i="88"/>
  <c r="AG27" i="88"/>
  <c r="AS10" i="203"/>
  <c r="X10" i="203"/>
  <c r="AB10" i="203"/>
  <c r="AJ30" i="88"/>
  <c r="AI40" i="88"/>
  <c r="AF26" i="88"/>
  <c r="AG26" i="88"/>
  <c r="AG32" i="88"/>
  <c r="AI24" i="88"/>
  <c r="AJ26" i="88"/>
  <c r="AF27" i="88"/>
  <c r="AJ31" i="88"/>
  <c r="AJ41" i="88"/>
  <c r="AI26" i="88"/>
  <c r="AJ36" i="88"/>
  <c r="AG35" i="88"/>
  <c r="AI36" i="88"/>
  <c r="AF22" i="88"/>
  <c r="AF31" i="88"/>
  <c r="BT10" i="203"/>
  <c r="V10" i="203"/>
  <c r="AU10" i="203"/>
  <c r="AI44" i="88"/>
  <c r="AH38" i="88"/>
  <c r="AH22" i="88"/>
  <c r="AF37" i="88"/>
  <c r="AG30" i="88"/>
  <c r="AZ10" i="203"/>
  <c r="BS10" i="203"/>
  <c r="BN10" i="203"/>
  <c r="AV10" i="203"/>
  <c r="AC10" i="203"/>
  <c r="Z10" i="203"/>
  <c r="BC10" i="203"/>
  <c r="AP10" i="203"/>
  <c r="AJ25" i="88"/>
  <c r="AH44" i="88"/>
  <c r="AI31" i="88"/>
  <c r="AI32" i="88"/>
  <c r="AJ43" i="88"/>
  <c r="AG38" i="88"/>
  <c r="AJ33" i="88"/>
  <c r="AH34" i="88"/>
  <c r="AF43" i="88"/>
  <c r="AG44" i="88"/>
  <c r="U10" i="203"/>
  <c r="AX10" i="203"/>
  <c r="AD10" i="203"/>
  <c r="AJ10" i="203"/>
  <c r="BB10" i="203"/>
  <c r="BQ9" i="203"/>
  <c r="AN10" i="203"/>
  <c r="W10" i="203"/>
  <c r="AK10" i="203"/>
  <c r="BW10" i="203"/>
  <c r="AE10" i="203"/>
  <c r="AR10" i="203"/>
  <c r="BZ10" i="203"/>
  <c r="AF10" i="203"/>
  <c r="BH10" i="203"/>
  <c r="BK10" i="203"/>
  <c r="BA10" i="203"/>
  <c r="BM10" i="203"/>
  <c r="U9" i="203"/>
  <c r="BV10" i="203"/>
  <c r="AH10" i="203"/>
  <c r="AT10" i="203"/>
  <c r="R10" i="203"/>
  <c r="AL10" i="203"/>
  <c r="BD10" i="203"/>
  <c r="AQ10" i="203"/>
  <c r="AM10" i="203"/>
  <c r="Y10" i="203"/>
  <c r="BF10" i="203"/>
  <c r="BX10" i="203"/>
  <c r="BE10" i="203"/>
  <c r="BL10" i="203"/>
  <c r="BI10" i="203"/>
  <c r="CA9" i="203"/>
  <c r="R33" i="203"/>
  <c r="BB9" i="203"/>
  <c r="BJ9" i="203"/>
  <c r="AB9" i="203"/>
  <c r="BY9" i="203"/>
  <c r="Z9" i="203"/>
  <c r="BI9" i="203"/>
  <c r="X9" i="203"/>
  <c r="AG9" i="203"/>
  <c r="BT9" i="203"/>
  <c r="AO9" i="203"/>
  <c r="AK9" i="203"/>
  <c r="AP9" i="203"/>
  <c r="AX9" i="203"/>
  <c r="BZ9" i="203"/>
  <c r="AS9" i="203"/>
  <c r="BU9" i="203"/>
  <c r="BF9" i="203"/>
  <c r="BL9" i="203"/>
  <c r="BK9" i="203"/>
  <c r="BO9" i="203"/>
  <c r="BX9" i="203"/>
  <c r="BW9" i="203"/>
  <c r="AT9" i="203"/>
  <c r="AU9" i="203"/>
  <c r="AW9" i="203"/>
  <c r="AN9" i="203"/>
  <c r="BR9" i="203"/>
  <c r="AV9" i="203"/>
  <c r="AH9" i="203"/>
  <c r="BD9" i="203"/>
  <c r="AA9" i="203"/>
  <c r="W9" i="203"/>
  <c r="BN9" i="203"/>
  <c r="AC9" i="203"/>
  <c r="AY9" i="203"/>
  <c r="AE9" i="203"/>
  <c r="T9" i="203"/>
  <c r="BC9" i="203"/>
  <c r="AX33" i="203"/>
  <c r="BE9" i="203"/>
  <c r="AF9" i="203"/>
  <c r="BH9" i="203"/>
  <c r="Y9" i="203"/>
  <c r="AZ9" i="203"/>
  <c r="AQ9" i="203"/>
  <c r="BS9" i="203"/>
  <c r="AL9" i="203"/>
  <c r="AM9" i="203"/>
  <c r="BA9" i="203"/>
  <c r="BM9" i="203"/>
  <c r="AR9" i="203"/>
  <c r="BP9" i="203"/>
  <c r="BG9" i="203"/>
  <c r="BV9" i="203"/>
  <c r="V9" i="203"/>
  <c r="AI9" i="203"/>
  <c r="S9" i="203"/>
  <c r="AD9" i="203"/>
  <c r="AJ9" i="203"/>
  <c r="AP16" i="203"/>
  <c r="BO16" i="203"/>
  <c r="AE16" i="203"/>
  <c r="AC16" i="203"/>
  <c r="AV16" i="203"/>
  <c r="BJ15" i="203"/>
  <c r="Z15" i="203"/>
  <c r="BM15" i="203"/>
  <c r="AL15" i="203"/>
  <c r="BF15" i="203"/>
  <c r="AE14" i="203"/>
  <c r="BF14" i="203"/>
  <c r="BA14" i="203"/>
  <c r="BI14" i="203"/>
  <c r="BY14" i="203"/>
  <c r="AI16" i="203"/>
  <c r="AB16" i="203"/>
  <c r="AP14" i="203"/>
  <c r="AO16" i="203"/>
  <c r="AB14" i="203"/>
  <c r="AK16" i="203"/>
  <c r="AY16" i="203"/>
  <c r="CA16" i="203"/>
  <c r="BH16" i="203"/>
  <c r="AR16" i="203"/>
  <c r="BQ15" i="203"/>
  <c r="T15" i="203"/>
  <c r="AX15" i="203"/>
  <c r="AH15" i="203"/>
  <c r="AT15" i="203"/>
  <c r="BV14" i="203"/>
  <c r="BC14" i="203"/>
  <c r="BE14" i="203"/>
  <c r="AV14" i="203"/>
  <c r="BZ14" i="203"/>
  <c r="W16" i="203"/>
  <c r="AD16" i="203"/>
  <c r="AK15" i="203"/>
  <c r="AW15" i="203"/>
  <c r="BH15" i="203"/>
  <c r="AN15" i="203"/>
  <c r="BO14" i="203"/>
  <c r="AZ14" i="203"/>
  <c r="BQ16" i="203"/>
  <c r="BR16" i="203"/>
  <c r="BV16" i="203"/>
  <c r="AI15" i="203"/>
  <c r="BY15" i="203"/>
  <c r="BT14" i="203"/>
  <c r="AQ16" i="203"/>
  <c r="AZ16" i="203"/>
  <c r="BN16" i="203"/>
  <c r="S16" i="203"/>
  <c r="BL16" i="203"/>
  <c r="BZ15" i="203"/>
  <c r="U15" i="203"/>
  <c r="BV15" i="203"/>
  <c r="S15" i="203"/>
  <c r="BG15" i="203"/>
  <c r="BA15" i="203"/>
  <c r="AT14" i="203"/>
  <c r="AN14" i="203"/>
  <c r="AA14" i="203"/>
  <c r="AI14" i="203"/>
  <c r="AF14" i="203"/>
  <c r="AA16" i="203"/>
  <c r="AM15" i="203"/>
  <c r="AX14" i="203"/>
  <c r="BK14" i="203"/>
  <c r="X16" i="203"/>
  <c r="BT15" i="203"/>
  <c r="AS15" i="203"/>
  <c r="V15" i="203"/>
  <c r="BH14" i="203"/>
  <c r="AM14" i="203"/>
  <c r="AN16" i="203"/>
  <c r="BB16" i="203"/>
  <c r="BY16" i="203"/>
  <c r="V16" i="203"/>
  <c r="AL16" i="203"/>
  <c r="R15" i="203"/>
  <c r="BU15" i="203"/>
  <c r="AB15" i="203"/>
  <c r="BK15" i="203"/>
  <c r="AP15" i="203"/>
  <c r="AK14" i="203"/>
  <c r="BL14" i="203"/>
  <c r="X14" i="203"/>
  <c r="BS14" i="203"/>
  <c r="BM14" i="203"/>
  <c r="BX14" i="203"/>
  <c r="BD16" i="203"/>
  <c r="AJ16" i="203"/>
  <c r="BG16" i="203"/>
  <c r="BZ16" i="203"/>
  <c r="R16" i="203"/>
  <c r="BX16" i="203"/>
  <c r="AJ15" i="203"/>
  <c r="BN15" i="203"/>
  <c r="BR15" i="203"/>
  <c r="BX15" i="203"/>
  <c r="W15" i="203"/>
  <c r="AL14" i="203"/>
  <c r="BU14" i="203"/>
  <c r="AJ14" i="203"/>
  <c r="AQ14" i="203"/>
  <c r="AC14" i="203"/>
  <c r="AH16" i="203"/>
  <c r="AT16" i="203"/>
  <c r="AS16" i="203"/>
  <c r="AF16" i="203"/>
  <c r="BS16" i="203"/>
  <c r="BL15" i="203"/>
  <c r="AA15" i="203"/>
  <c r="AG15" i="203"/>
  <c r="BE15" i="203"/>
  <c r="BC15" i="203"/>
  <c r="AD14" i="203"/>
  <c r="AR14" i="203"/>
  <c r="BB14" i="203"/>
  <c r="BR14" i="203"/>
  <c r="BA16" i="203"/>
  <c r="BP16" i="203"/>
  <c r="AU15" i="203"/>
  <c r="Y15" i="203"/>
  <c r="AH14" i="203"/>
  <c r="AO14" i="203"/>
  <c r="AV15" i="203"/>
  <c r="BM16" i="203"/>
  <c r="BB15" i="203"/>
  <c r="BJ16" i="203"/>
  <c r="BN14" i="203"/>
  <c r="AF15" i="203"/>
  <c r="BQ14" i="203"/>
  <c r="BE16" i="203"/>
  <c r="BW15" i="203"/>
  <c r="BU16" i="203"/>
  <c r="AW16" i="203"/>
  <c r="BI15" i="203"/>
  <c r="BJ14" i="203"/>
  <c r="BF16" i="203"/>
  <c r="BW16" i="203"/>
  <c r="AY15" i="203"/>
  <c r="AM16" i="203"/>
  <c r="T16" i="203"/>
  <c r="AX16" i="203"/>
  <c r="AW14" i="203"/>
  <c r="BC16" i="203"/>
  <c r="AG14" i="203"/>
  <c r="BP15" i="203"/>
  <c r="BP14" i="203"/>
  <c r="AG16" i="203"/>
  <c r="BO15" i="203"/>
  <c r="AU14" i="203"/>
  <c r="AO15" i="203"/>
  <c r="BS15" i="203"/>
  <c r="BW14" i="203"/>
  <c r="Z14" i="203"/>
  <c r="Z16" i="203"/>
  <c r="AD15" i="203"/>
  <c r="CA14" i="203"/>
  <c r="U16" i="203"/>
  <c r="AS14" i="203"/>
  <c r="Y14" i="203"/>
  <c r="BI16" i="203"/>
  <c r="CA15" i="203"/>
  <c r="AQ15" i="203"/>
  <c r="AY14" i="203"/>
  <c r="AU16" i="203"/>
  <c r="AZ15" i="203"/>
  <c r="BT16" i="203"/>
  <c r="BK16" i="203"/>
  <c r="AE15" i="203"/>
  <c r="AR15" i="203"/>
  <c r="BG14" i="203"/>
  <c r="AC15" i="203"/>
  <c r="BD15" i="203"/>
  <c r="BD14" i="203"/>
  <c r="BH35" i="203"/>
  <c r="AR35" i="203"/>
  <c r="AX35" i="203"/>
  <c r="BK35" i="203"/>
  <c r="AI35" i="203"/>
  <c r="AV34" i="203"/>
  <c r="BP34" i="203"/>
  <c r="BH34" i="203"/>
  <c r="BJ36" i="203"/>
  <c r="BT36" i="203"/>
  <c r="AO36" i="203"/>
  <c r="BV36" i="203"/>
  <c r="AZ36" i="203"/>
  <c r="BL34" i="203"/>
  <c r="BA36" i="203"/>
  <c r="AW34" i="203"/>
  <c r="BE34" i="203"/>
  <c r="AB35" i="203"/>
  <c r="AC35" i="203"/>
  <c r="BL35" i="203"/>
  <c r="AH35" i="203"/>
  <c r="BM35" i="203"/>
  <c r="BX34" i="203"/>
  <c r="BD34" i="203"/>
  <c r="BO34" i="203"/>
  <c r="BM34" i="203"/>
  <c r="BK36" i="203"/>
  <c r="AQ36" i="203"/>
  <c r="AA36" i="203"/>
  <c r="AB36" i="203"/>
  <c r="BO36" i="203"/>
  <c r="AZ35" i="203"/>
  <c r="AF35" i="203"/>
  <c r="AS35" i="203"/>
  <c r="BI35" i="203"/>
  <c r="BB34" i="203"/>
  <c r="AV36" i="203"/>
  <c r="BT35" i="203"/>
  <c r="AW35" i="203"/>
  <c r="BB35" i="203"/>
  <c r="AN35" i="203"/>
  <c r="AH36" i="203"/>
  <c r="Z36" i="203"/>
  <c r="AS36" i="203"/>
  <c r="BI36" i="203"/>
  <c r="BO35" i="203"/>
  <c r="X35" i="203"/>
  <c r="AM35" i="203"/>
  <c r="AV35" i="203"/>
  <c r="BW35" i="203"/>
  <c r="AP35" i="203"/>
  <c r="BA34" i="203"/>
  <c r="BN34" i="203"/>
  <c r="BY36" i="203"/>
  <c r="BM36" i="203"/>
  <c r="AD36" i="203"/>
  <c r="BD36" i="203"/>
  <c r="BG36" i="203"/>
  <c r="BD35" i="203"/>
  <c r="CA36" i="203"/>
  <c r="BW36" i="203"/>
  <c r="V36" i="203"/>
  <c r="BG35" i="203"/>
  <c r="BQ36" i="203"/>
  <c r="BV35" i="203"/>
  <c r="V35" i="203"/>
  <c r="U35" i="203"/>
  <c r="AA35" i="203"/>
  <c r="BA35" i="203"/>
  <c r="BG34" i="203"/>
  <c r="BW34" i="203"/>
  <c r="BS34" i="203"/>
  <c r="AG36" i="203"/>
  <c r="AX36" i="203"/>
  <c r="S36" i="203"/>
  <c r="AR36" i="203"/>
  <c r="AK36" i="203"/>
  <c r="BR35" i="203"/>
  <c r="BP35" i="203"/>
  <c r="BN35" i="203"/>
  <c r="S35" i="203"/>
  <c r="BJ35" i="203"/>
  <c r="BU35" i="203"/>
  <c r="BV34" i="203"/>
  <c r="AU34" i="203"/>
  <c r="BH36" i="203"/>
  <c r="BE36" i="203"/>
  <c r="AN36" i="203"/>
  <c r="AT36" i="203"/>
  <c r="BN36" i="203"/>
  <c r="W36" i="203"/>
  <c r="BF35" i="203"/>
  <c r="BX35" i="203"/>
  <c r="BE35" i="203"/>
  <c r="BC35" i="203"/>
  <c r="AG35" i="203"/>
  <c r="AY34" i="203"/>
  <c r="BZ34" i="203"/>
  <c r="AE36" i="203"/>
  <c r="BP36" i="203"/>
  <c r="AJ36" i="203"/>
  <c r="BZ36" i="203"/>
  <c r="BR36" i="203"/>
  <c r="AK35" i="203"/>
  <c r="W35" i="203"/>
  <c r="CA35" i="203"/>
  <c r="BR34" i="203"/>
  <c r="BL36" i="203"/>
  <c r="AJ35" i="203"/>
  <c r="AO35" i="203"/>
  <c r="CA34" i="203"/>
  <c r="BY35" i="203"/>
  <c r="BC34" i="203"/>
  <c r="Y35" i="203"/>
  <c r="BS35" i="203"/>
  <c r="T35" i="203"/>
  <c r="BY34" i="203"/>
  <c r="BK34" i="203"/>
  <c r="U36" i="203"/>
  <c r="AE35" i="203"/>
  <c r="BX36" i="203"/>
  <c r="AC36" i="203"/>
  <c r="BJ34" i="203"/>
  <c r="AW36" i="203"/>
  <c r="Z35" i="203"/>
  <c r="BB36" i="203"/>
  <c r="BQ35" i="203"/>
  <c r="BQ34" i="203"/>
  <c r="BS36" i="203"/>
  <c r="AD35" i="203"/>
  <c r="AQ35" i="203"/>
  <c r="AY36" i="203"/>
  <c r="BU34" i="203"/>
  <c r="Y36" i="203"/>
  <c r="R36" i="203"/>
  <c r="AL35" i="203"/>
  <c r="BF34" i="203"/>
  <c r="AX34" i="203"/>
  <c r="AY35" i="203"/>
  <c r="AM36" i="203"/>
  <c r="BT34" i="203"/>
  <c r="BI34" i="203"/>
  <c r="AP36" i="203"/>
  <c r="T36" i="203"/>
  <c r="BU36" i="203"/>
  <c r="R35" i="203"/>
  <c r="AI36" i="203"/>
  <c r="AZ34" i="203"/>
  <c r="BZ35" i="203"/>
  <c r="AL36" i="203"/>
  <c r="X36" i="203"/>
  <c r="BF36" i="203"/>
  <c r="BC36" i="203"/>
  <c r="AF36" i="203"/>
  <c r="AX38" i="203"/>
  <c r="BB38" i="203"/>
  <c r="BF38" i="203"/>
  <c r="BV38" i="203"/>
  <c r="AZ38" i="203"/>
  <c r="AH39" i="203"/>
  <c r="AT39" i="203"/>
  <c r="U39" i="203"/>
  <c r="BZ38" i="203"/>
  <c r="AM39" i="203"/>
  <c r="AG39" i="203"/>
  <c r="AF39" i="203"/>
  <c r="BG38" i="203"/>
  <c r="AR39" i="203"/>
  <c r="Y39" i="203"/>
  <c r="X39" i="203"/>
  <c r="BX38" i="203"/>
  <c r="BA38" i="203"/>
  <c r="AQ39" i="203"/>
  <c r="BQ38" i="203"/>
  <c r="BL38" i="203"/>
  <c r="R39" i="203"/>
  <c r="AU39" i="203"/>
  <c r="AE39" i="203"/>
  <c r="AW38" i="203"/>
  <c r="BK38" i="203"/>
  <c r="Z39" i="203"/>
  <c r="AP39" i="203"/>
  <c r="BP38" i="203"/>
  <c r="BW38" i="203"/>
  <c r="BT38" i="203"/>
  <c r="AV39" i="203"/>
  <c r="AA39" i="203"/>
  <c r="AO39" i="203"/>
  <c r="BU38" i="203"/>
  <c r="BY38" i="203"/>
  <c r="AB39" i="203"/>
  <c r="V39" i="203"/>
  <c r="AN39" i="203"/>
  <c r="BJ38" i="203"/>
  <c r="BO38" i="203"/>
  <c r="BI38" i="203"/>
  <c r="AY38" i="203"/>
  <c r="AL39" i="203"/>
  <c r="AK39" i="203"/>
  <c r="T39" i="203"/>
  <c r="BN38" i="203"/>
  <c r="S39" i="203"/>
  <c r="W39" i="203"/>
  <c r="CA38" i="203"/>
  <c r="BC38" i="203"/>
  <c r="BH38" i="203"/>
  <c r="BM38" i="203"/>
  <c r="BD38" i="203"/>
  <c r="BR38" i="203"/>
  <c r="AC39" i="203"/>
  <c r="AI39" i="203"/>
  <c r="BS38" i="203"/>
  <c r="AJ39" i="203"/>
  <c r="AS39" i="203"/>
  <c r="AD39" i="203"/>
  <c r="BE38" i="203"/>
  <c r="BI33" i="203"/>
  <c r="BG32" i="203"/>
  <c r="AK32" i="203"/>
  <c r="AY32" i="203"/>
  <c r="BO32" i="203"/>
  <c r="AI32" i="203"/>
  <c r="AH32" i="203"/>
  <c r="BM32" i="203"/>
  <c r="Z32" i="203"/>
  <c r="R32" i="203"/>
  <c r="BC32" i="203"/>
  <c r="Z33" i="203"/>
  <c r="BN33" i="203"/>
  <c r="AB32" i="203"/>
  <c r="CA32" i="203"/>
  <c r="BD32" i="203"/>
  <c r="AE32" i="203"/>
  <c r="AN32" i="203"/>
  <c r="BB33" i="203"/>
  <c r="BH32" i="203"/>
  <c r="T32" i="203"/>
  <c r="BX32" i="203"/>
  <c r="BP33" i="203"/>
  <c r="BR33" i="203"/>
  <c r="AA33" i="203"/>
  <c r="AL33" i="203"/>
  <c r="AJ33" i="203"/>
  <c r="AU33" i="203"/>
  <c r="BV33" i="203"/>
  <c r="AD33" i="203"/>
  <c r="BU33" i="203"/>
  <c r="T33" i="203"/>
  <c r="BW33" i="203"/>
  <c r="U33" i="203"/>
  <c r="AK33" i="203"/>
  <c r="AV33" i="203"/>
  <c r="BH33" i="203"/>
  <c r="BQ33" i="203"/>
  <c r="BJ33" i="203"/>
  <c r="W33" i="203"/>
  <c r="AN33" i="203"/>
  <c r="AE33" i="203"/>
  <c r="AT33" i="203"/>
  <c r="AM33" i="203"/>
  <c r="BK33" i="203"/>
  <c r="BO33" i="203"/>
  <c r="BD33" i="203"/>
  <c r="BE33" i="203"/>
  <c r="S33" i="203"/>
  <c r="AY33" i="203"/>
  <c r="BS33" i="203"/>
  <c r="BZ33" i="203"/>
  <c r="AC33" i="203"/>
  <c r="AP33" i="203"/>
  <c r="BT33" i="203"/>
  <c r="BX33" i="203"/>
  <c r="BP57" i="203"/>
  <c r="CA57" i="203"/>
  <c r="BF57" i="203"/>
  <c r="BH57" i="203"/>
  <c r="BW59" i="203"/>
  <c r="AH59" i="203"/>
  <c r="S59" i="203"/>
  <c r="BH59" i="203"/>
  <c r="AM59" i="203"/>
  <c r="W59" i="203"/>
  <c r="V59" i="203"/>
  <c r="AF59" i="203"/>
  <c r="AK58" i="203"/>
  <c r="BD58" i="203"/>
  <c r="AX58" i="203"/>
  <c r="BH58" i="203"/>
  <c r="BM58" i="203"/>
  <c r="V58" i="203"/>
  <c r="AW58" i="203"/>
  <c r="BN57" i="203"/>
  <c r="BJ57" i="203"/>
  <c r="BQ57" i="203"/>
  <c r="BT57" i="203"/>
  <c r="T59" i="203"/>
  <c r="AB59" i="203"/>
  <c r="CA59" i="203"/>
  <c r="AV59" i="203"/>
  <c r="AY59" i="203"/>
  <c r="BQ59" i="203"/>
  <c r="BS59" i="203"/>
  <c r="AA59" i="203"/>
  <c r="AO58" i="203"/>
  <c r="AP58" i="203"/>
  <c r="AA58" i="203"/>
  <c r="BJ58" i="203"/>
  <c r="Z58" i="203"/>
  <c r="BV58" i="203"/>
  <c r="BL58" i="203"/>
  <c r="BX57" i="203"/>
  <c r="BG57" i="203"/>
  <c r="BZ57" i="203"/>
  <c r="BK57" i="203"/>
  <c r="AZ59" i="203"/>
  <c r="AN59" i="203"/>
  <c r="BJ59" i="203"/>
  <c r="BE59" i="203"/>
  <c r="BR59" i="203"/>
  <c r="BD59" i="203"/>
  <c r="AR59" i="203"/>
  <c r="AC59" i="203"/>
  <c r="BM59" i="203"/>
  <c r="BB59" i="203"/>
  <c r="R59" i="203"/>
  <c r="BV59" i="203"/>
  <c r="BZ59" i="203"/>
  <c r="BG59" i="203"/>
  <c r="BO59" i="203"/>
  <c r="BF58" i="203"/>
  <c r="AU58" i="203"/>
  <c r="AE58" i="203"/>
  <c r="BQ58" i="203"/>
  <c r="CA58" i="203"/>
  <c r="BU58" i="203"/>
  <c r="AF58" i="203"/>
  <c r="AR58" i="203"/>
  <c r="BI57" i="203"/>
  <c r="BR57" i="203"/>
  <c r="BO57" i="203"/>
  <c r="BE57" i="203"/>
  <c r="BL57" i="203"/>
  <c r="BX59" i="203"/>
  <c r="AQ59" i="203"/>
  <c r="AW59" i="203"/>
  <c r="BY59" i="203"/>
  <c r="AU59" i="203"/>
  <c r="AP59" i="203"/>
  <c r="BL59" i="203"/>
  <c r="BV57" i="203"/>
  <c r="BD57" i="203"/>
  <c r="BU57" i="203"/>
  <c r="BK59" i="203"/>
  <c r="BU59" i="203"/>
  <c r="AG59" i="203"/>
  <c r="AL59" i="203"/>
  <c r="AT59" i="203"/>
  <c r="BF59" i="203"/>
  <c r="AE59" i="203"/>
  <c r="BE58" i="203"/>
  <c r="AQ58" i="203"/>
  <c r="AD58" i="203"/>
  <c r="AC58" i="203"/>
  <c r="BG58" i="203"/>
  <c r="Y58" i="203"/>
  <c r="U58" i="203"/>
  <c r="BC57" i="203"/>
  <c r="BS57" i="203"/>
  <c r="AS59" i="203"/>
  <c r="Z59" i="203"/>
  <c r="BA58" i="203"/>
  <c r="BX58" i="203"/>
  <c r="BZ58" i="203"/>
  <c r="BO58" i="203"/>
  <c r="BM57" i="203"/>
  <c r="AJ59" i="203"/>
  <c r="BW58" i="203"/>
  <c r="AJ58" i="203"/>
  <c r="AO59" i="203"/>
  <c r="X59" i="203"/>
  <c r="R58" i="203"/>
  <c r="T58" i="203"/>
  <c r="AY58" i="203"/>
  <c r="AV58" i="203"/>
  <c r="U59" i="203"/>
  <c r="AG58" i="203"/>
  <c r="BI59" i="203"/>
  <c r="Y59" i="203"/>
  <c r="BR58" i="203"/>
  <c r="AZ58" i="203"/>
  <c r="AH58" i="203"/>
  <c r="BY58" i="203"/>
  <c r="BY57" i="203"/>
  <c r="AI59" i="203"/>
  <c r="BT59" i="203"/>
  <c r="AT58" i="203"/>
  <c r="X58" i="203"/>
  <c r="BT58" i="203"/>
  <c r="BI58" i="203"/>
  <c r="BN59" i="203"/>
  <c r="AL58" i="203"/>
  <c r="BW57" i="203"/>
  <c r="AK59" i="203"/>
  <c r="BA59" i="203"/>
  <c r="BP59" i="203"/>
  <c r="AD59" i="203"/>
  <c r="BN58" i="203"/>
  <c r="S58" i="203"/>
  <c r="AB58" i="203"/>
  <c r="BP58" i="203"/>
  <c r="AX59" i="203"/>
  <c r="AM58" i="203"/>
  <c r="AN58" i="203"/>
  <c r="AS58" i="203"/>
  <c r="BK58" i="203"/>
  <c r="BS58" i="203"/>
  <c r="W58" i="203"/>
  <c r="AI58" i="203"/>
  <c r="BM42" i="203"/>
  <c r="BS42" i="203"/>
  <c r="X42" i="203"/>
  <c r="BA42" i="203"/>
  <c r="Z42" i="203"/>
  <c r="BR42" i="203"/>
  <c r="Y42" i="203"/>
  <c r="AR42" i="203"/>
  <c r="T42" i="203"/>
  <c r="AA42" i="203"/>
  <c r="U42" i="203"/>
  <c r="BK42" i="203"/>
  <c r="AJ42" i="203"/>
  <c r="AL42" i="203"/>
  <c r="BZ42" i="203"/>
  <c r="CA42" i="203"/>
  <c r="AQ42" i="203"/>
  <c r="AI42" i="203"/>
  <c r="BI42" i="203"/>
  <c r="AG42" i="203"/>
  <c r="V42" i="203"/>
  <c r="BJ42" i="203"/>
  <c r="AT42" i="203"/>
  <c r="AD42" i="203"/>
  <c r="BP42" i="203"/>
  <c r="R42" i="203"/>
  <c r="S42" i="203"/>
  <c r="AH42" i="203"/>
  <c r="BH42" i="203"/>
  <c r="W42" i="203"/>
  <c r="BX42" i="203"/>
  <c r="BW42" i="203"/>
  <c r="AV42" i="203"/>
  <c r="AO42" i="203"/>
  <c r="BG42" i="203"/>
  <c r="AZ42" i="203"/>
  <c r="BE42" i="203"/>
  <c r="AP42" i="203"/>
  <c r="BU42" i="203"/>
  <c r="AM42" i="203"/>
  <c r="BY42" i="203"/>
  <c r="BV42" i="203"/>
  <c r="BT42" i="203"/>
  <c r="BO42" i="203"/>
  <c r="AX42" i="203"/>
  <c r="AN42" i="203"/>
  <c r="AY42" i="203"/>
  <c r="BF42" i="203"/>
  <c r="BD42" i="203"/>
  <c r="BB42" i="203"/>
  <c r="AW42" i="203"/>
  <c r="BL42" i="203"/>
  <c r="AK42" i="203"/>
  <c r="AE42" i="203"/>
  <c r="AC42" i="203"/>
  <c r="AS42" i="203"/>
  <c r="BN42" i="203"/>
  <c r="AF42" i="203"/>
  <c r="AU42" i="203"/>
  <c r="BQ42" i="203"/>
  <c r="AB42" i="203"/>
  <c r="BC42" i="203"/>
  <c r="R20" i="203"/>
  <c r="AM20" i="203"/>
  <c r="Y20" i="203"/>
  <c r="AS20" i="203"/>
  <c r="BM20" i="203"/>
  <c r="AT20" i="203"/>
  <c r="BA20" i="203"/>
  <c r="BY20" i="203"/>
  <c r="BR19" i="203"/>
  <c r="AI19" i="203"/>
  <c r="BC19" i="203"/>
  <c r="AD19" i="203"/>
  <c r="AC19" i="203"/>
  <c r="AR19" i="203"/>
  <c r="BN19" i="203"/>
  <c r="AB18" i="203"/>
  <c r="BF18" i="203"/>
  <c r="AG18" i="203"/>
  <c r="AC18" i="203"/>
  <c r="BQ18" i="203"/>
  <c r="AP18" i="203"/>
  <c r="AA20" i="203"/>
  <c r="BD20" i="203"/>
  <c r="W20" i="203"/>
  <c r="AR20" i="203"/>
  <c r="AJ20" i="203"/>
  <c r="BB20" i="203"/>
  <c r="BH20" i="203"/>
  <c r="BQ20" i="203"/>
  <c r="R19" i="203"/>
  <c r="BB19" i="203"/>
  <c r="AM19" i="203"/>
  <c r="BT19" i="203"/>
  <c r="BD19" i="203"/>
  <c r="BU19" i="203"/>
  <c r="BX19" i="203"/>
  <c r="AO18" i="203"/>
  <c r="BK18" i="203"/>
  <c r="BM18" i="203"/>
  <c r="AV18" i="203"/>
  <c r="AL18" i="203"/>
  <c r="BL20" i="203"/>
  <c r="AF20" i="203"/>
  <c r="AI20" i="203"/>
  <c r="BI20" i="203"/>
  <c r="BX20" i="203"/>
  <c r="BC20" i="203"/>
  <c r="AW20" i="203"/>
  <c r="AU19" i="203"/>
  <c r="BW19" i="203"/>
  <c r="V19" i="203"/>
  <c r="AX19" i="203"/>
  <c r="Z19" i="203"/>
  <c r="BP19" i="203"/>
  <c r="AE19" i="203"/>
  <c r="AG19" i="203"/>
  <c r="CA18" i="203"/>
  <c r="BR18" i="203"/>
  <c r="AK18" i="203"/>
  <c r="BW18" i="203"/>
  <c r="BB18" i="203"/>
  <c r="AJ18" i="203"/>
  <c r="BE18" i="203"/>
  <c r="AG20" i="203"/>
  <c r="BF20" i="203"/>
  <c r="BO20" i="203"/>
  <c r="BS20" i="203"/>
  <c r="BK20" i="203"/>
  <c r="BR20" i="203"/>
  <c r="AK20" i="203"/>
  <c r="AP19" i="203"/>
  <c r="AV19" i="203"/>
  <c r="AQ19" i="203"/>
  <c r="AH19" i="203"/>
  <c r="AY19" i="203"/>
  <c r="BH19" i="203"/>
  <c r="BS19" i="203"/>
  <c r="BQ19" i="203"/>
  <c r="AU18" i="203"/>
  <c r="BG18" i="203"/>
  <c r="BY18" i="203"/>
  <c r="BV18" i="203"/>
  <c r="AN18" i="203"/>
  <c r="AZ18" i="203"/>
  <c r="AW18" i="203"/>
  <c r="AP20" i="203"/>
  <c r="AV20" i="203"/>
  <c r="Z20" i="203"/>
  <c r="BE20" i="203"/>
  <c r="BU20" i="203"/>
  <c r="AQ20" i="203"/>
  <c r="X20" i="203"/>
  <c r="U19" i="203"/>
  <c r="AK19" i="203"/>
  <c r="AJ19" i="203"/>
  <c r="X19" i="203"/>
  <c r="BA19" i="203"/>
  <c r="AS19" i="203"/>
  <c r="BI19" i="203"/>
  <c r="AT19" i="203"/>
  <c r="AT18" i="203"/>
  <c r="BI18" i="203"/>
  <c r="BU18" i="203"/>
  <c r="BX18" i="203"/>
  <c r="BS18" i="203"/>
  <c r="BC18" i="203"/>
  <c r="BT20" i="203"/>
  <c r="BN20" i="203"/>
  <c r="AL20" i="203"/>
  <c r="BJ20" i="203"/>
  <c r="S20" i="203"/>
  <c r="BV20" i="203"/>
  <c r="AZ20" i="203"/>
  <c r="BG20" i="203"/>
  <c r="AN19" i="203"/>
  <c r="BJ19" i="203"/>
  <c r="BY19" i="203"/>
  <c r="BZ19" i="203"/>
  <c r="BM19" i="203"/>
  <c r="CA19" i="203"/>
  <c r="AO19" i="203"/>
  <c r="BG19" i="203"/>
  <c r="BH18" i="203"/>
  <c r="AI18" i="203"/>
  <c r="AF18" i="203"/>
  <c r="BT18" i="203"/>
  <c r="BA18" i="203"/>
  <c r="BP20" i="203"/>
  <c r="AH20" i="203"/>
  <c r="AW19" i="203"/>
  <c r="BV19" i="203"/>
  <c r="BP18" i="203"/>
  <c r="V20" i="203"/>
  <c r="W19" i="203"/>
  <c r="AA19" i="203"/>
  <c r="AM18" i="203"/>
  <c r="T20" i="203"/>
  <c r="CA20" i="203"/>
  <c r="BE19" i="203"/>
  <c r="AX18" i="203"/>
  <c r="AY20" i="203"/>
  <c r="BD18" i="203"/>
  <c r="BL18" i="203"/>
  <c r="AE20" i="203"/>
  <c r="AO20" i="203"/>
  <c r="AL19" i="203"/>
  <c r="S19" i="203"/>
  <c r="BZ18" i="203"/>
  <c r="AY18" i="203"/>
  <c r="AU20" i="203"/>
  <c r="AN20" i="203"/>
  <c r="BF19" i="203"/>
  <c r="AZ19" i="203"/>
  <c r="BN18" i="203"/>
  <c r="BJ18" i="203"/>
  <c r="BZ20" i="203"/>
  <c r="BO19" i="203"/>
  <c r="AF19" i="203"/>
  <c r="AS18" i="203"/>
  <c r="AX20" i="203"/>
  <c r="AB20" i="203"/>
  <c r="T19" i="203"/>
  <c r="AR18" i="203"/>
  <c r="AE18" i="203"/>
  <c r="BW20" i="203"/>
  <c r="U20" i="203"/>
  <c r="BL19" i="203"/>
  <c r="BK19" i="203"/>
  <c r="AQ18" i="203"/>
  <c r="AH18" i="203"/>
  <c r="BO18" i="203"/>
  <c r="Y19" i="203"/>
  <c r="AD18" i="203"/>
  <c r="AI33" i="203"/>
  <c r="BF33" i="203"/>
  <c r="BC33" i="203"/>
  <c r="X33" i="203"/>
  <c r="AH33" i="203"/>
  <c r="BM33" i="203"/>
  <c r="AF33" i="203"/>
  <c r="AZ33" i="203"/>
  <c r="BY33" i="203"/>
  <c r="CA33" i="203"/>
  <c r="AO33" i="203"/>
  <c r="AQ33" i="203"/>
  <c r="AB33" i="203"/>
  <c r="BL33" i="203"/>
  <c r="AW33" i="203"/>
  <c r="Y33" i="203"/>
  <c r="BG33" i="203"/>
  <c r="AG33" i="203"/>
  <c r="V33" i="203"/>
  <c r="BA33" i="203"/>
  <c r="AD41" i="203"/>
  <c r="AS41" i="203"/>
  <c r="AF41" i="203"/>
  <c r="BF41" i="203"/>
  <c r="AV41" i="203"/>
  <c r="AB41" i="203"/>
  <c r="BA41" i="203"/>
  <c r="BJ41" i="203"/>
  <c r="BM39" i="203"/>
  <c r="BA39" i="203"/>
  <c r="AZ39" i="203"/>
  <c r="BP39" i="203"/>
  <c r="BG39" i="203"/>
  <c r="AX40" i="203"/>
  <c r="CA40" i="203"/>
  <c r="AU40" i="203"/>
  <c r="AK40" i="203"/>
  <c r="AO40" i="203"/>
  <c r="BH40" i="203"/>
  <c r="BR40" i="203"/>
  <c r="AI40" i="203"/>
  <c r="BP41" i="203"/>
  <c r="BY41" i="203"/>
  <c r="W41" i="203"/>
  <c r="AK41" i="203"/>
  <c r="T41" i="203"/>
  <c r="BB41" i="203"/>
  <c r="BM41" i="203"/>
  <c r="BN41" i="203"/>
  <c r="BC39" i="203"/>
  <c r="BD39" i="203"/>
  <c r="BI39" i="203"/>
  <c r="BU39" i="203"/>
  <c r="AF40" i="203"/>
  <c r="X40" i="203"/>
  <c r="BF40" i="203"/>
  <c r="BL40" i="203"/>
  <c r="BG40" i="203"/>
  <c r="BN40" i="203"/>
  <c r="AY40" i="203"/>
  <c r="BE40" i="203"/>
  <c r="BW41" i="203"/>
  <c r="AA41" i="203"/>
  <c r="BO41" i="203"/>
  <c r="AC41" i="203"/>
  <c r="BD41" i="203"/>
  <c r="AR41" i="203"/>
  <c r="CA41" i="203"/>
  <c r="AP41" i="203"/>
  <c r="BX39" i="203"/>
  <c r="BQ39" i="203"/>
  <c r="BR39" i="203"/>
  <c r="BF39" i="203"/>
  <c r="Z40" i="203"/>
  <c r="BD40" i="203"/>
  <c r="AR40" i="203"/>
  <c r="BU40" i="203"/>
  <c r="BO40" i="203"/>
  <c r="BV40" i="203"/>
  <c r="AL40" i="203"/>
  <c r="AB40" i="203"/>
  <c r="AH41" i="203"/>
  <c r="AU41" i="203"/>
  <c r="AM41" i="203"/>
  <c r="BV41" i="203"/>
  <c r="BZ41" i="203"/>
  <c r="AX41" i="203"/>
  <c r="AZ41" i="203"/>
  <c r="BH39" i="203"/>
  <c r="BW39" i="203"/>
  <c r="BV39" i="203"/>
  <c r="R40" i="203"/>
  <c r="BQ40" i="203"/>
  <c r="AC40" i="203"/>
  <c r="BX40" i="203"/>
  <c r="AT40" i="203"/>
  <c r="V40" i="203"/>
  <c r="BJ40" i="203"/>
  <c r="AM40" i="203"/>
  <c r="BI41" i="203"/>
  <c r="AE41" i="203"/>
  <c r="AN41" i="203"/>
  <c r="BE41" i="203"/>
  <c r="V41" i="203"/>
  <c r="AY41" i="203"/>
  <c r="BU41" i="203"/>
  <c r="BB39" i="203"/>
  <c r="AY39" i="203"/>
  <c r="AX39" i="203"/>
  <c r="AD40" i="203"/>
  <c r="Y40" i="203"/>
  <c r="AN40" i="203"/>
  <c r="U40" i="203"/>
  <c r="BT40" i="203"/>
  <c r="AA40" i="203"/>
  <c r="BS40" i="203"/>
  <c r="AJ40" i="203"/>
  <c r="AT41" i="203"/>
  <c r="BH41" i="203"/>
  <c r="BT41" i="203"/>
  <c r="BS41" i="203"/>
  <c r="Z41" i="203"/>
  <c r="BR41" i="203"/>
  <c r="AQ41" i="203"/>
  <c r="AW39" i="203"/>
  <c r="BN39" i="203"/>
  <c r="BL39" i="203"/>
  <c r="AZ40" i="203"/>
  <c r="BC40" i="203"/>
  <c r="AG40" i="203"/>
  <c r="AV40" i="203"/>
  <c r="AE40" i="203"/>
  <c r="BP40" i="203"/>
  <c r="AJ41" i="203"/>
  <c r="AO41" i="203"/>
  <c r="R41" i="203"/>
  <c r="BX41" i="203"/>
  <c r="BG41" i="203"/>
  <c r="Y41" i="203"/>
  <c r="X41" i="203"/>
  <c r="AG41" i="203"/>
  <c r="BZ39" i="203"/>
  <c r="BE39" i="203"/>
  <c r="BT39" i="203"/>
  <c r="BB40" i="203"/>
  <c r="BA40" i="203"/>
  <c r="S40" i="203"/>
  <c r="BI40" i="203"/>
  <c r="AH40" i="203"/>
  <c r="AS40" i="203"/>
  <c r="BZ40" i="203"/>
  <c r="BQ41" i="203"/>
  <c r="AI41" i="203"/>
  <c r="U41" i="203"/>
  <c r="BL41" i="203"/>
  <c r="BC41" i="203"/>
  <c r="S41" i="203"/>
  <c r="AL41" i="203"/>
  <c r="BK41" i="203"/>
  <c r="CA39" i="203"/>
  <c r="BK39" i="203"/>
  <c r="BS39" i="203"/>
  <c r="BO39" i="203"/>
  <c r="BJ39" i="203"/>
  <c r="BY39" i="203"/>
  <c r="AP40" i="203"/>
  <c r="BK40" i="203"/>
  <c r="W40" i="203"/>
  <c r="AQ40" i="203"/>
  <c r="BM40" i="203"/>
  <c r="BY40" i="203"/>
  <c r="BW40" i="203"/>
  <c r="T40" i="203"/>
  <c r="S29" i="69"/>
  <c r="AG14" i="88"/>
  <c r="AD64" i="69"/>
  <c r="AE64" i="69" s="1"/>
  <c r="AI45" i="88"/>
  <c r="AI29" i="69"/>
  <c r="AJ29" i="69" s="1"/>
  <c r="AJ14" i="88"/>
  <c r="AD29" i="69"/>
  <c r="AE29" i="69" s="1"/>
  <c r="AI14" i="88"/>
  <c r="Y64" i="69"/>
  <c r="AH45" i="88"/>
  <c r="AI64" i="69"/>
  <c r="AJ64" i="69" s="1"/>
  <c r="AJ45" i="88"/>
  <c r="Y29" i="69"/>
  <c r="AH14" i="88"/>
  <c r="S64" i="69"/>
  <c r="AG45" i="88"/>
  <c r="N25" i="203"/>
  <c r="AD28" i="69"/>
  <c r="AE28" i="69" s="1"/>
  <c r="AD27" i="69"/>
  <c r="AE27" i="69" s="1"/>
  <c r="AD43" i="69"/>
  <c r="AE43" i="69" s="1"/>
  <c r="AD53" i="69"/>
  <c r="AE53" i="69" s="1"/>
  <c r="AD36" i="69"/>
  <c r="AE36" i="69" s="1"/>
  <c r="AD56" i="69"/>
  <c r="AE56" i="69" s="1"/>
  <c r="AD55" i="69"/>
  <c r="AE55" i="69" s="1"/>
  <c r="AD44" i="69"/>
  <c r="AE44" i="69" s="1"/>
  <c r="AD25" i="69"/>
  <c r="AE25" i="69" s="1"/>
  <c r="AD39" i="69"/>
  <c r="AE39" i="69" s="1"/>
  <c r="AD52" i="69"/>
  <c r="AE52" i="69" s="1"/>
  <c r="AD23" i="69"/>
  <c r="AD51" i="69"/>
  <c r="AE51" i="69" s="1"/>
  <c r="AD45" i="69"/>
  <c r="AE45" i="69" s="1"/>
  <c r="AD22" i="69"/>
  <c r="AD62" i="69"/>
  <c r="AE62" i="69" s="1"/>
  <c r="AD38" i="69"/>
  <c r="AE38" i="69" s="1"/>
  <c r="AD57" i="69"/>
  <c r="AE57" i="69" s="1"/>
  <c r="AD21" i="69"/>
  <c r="AD60" i="69"/>
  <c r="AE60" i="69" s="1"/>
  <c r="AD58" i="69"/>
  <c r="AE58" i="69" s="1"/>
  <c r="AD61" i="69"/>
  <c r="AE61" i="69" s="1"/>
  <c r="AD63" i="69"/>
  <c r="AE63" i="69" s="1"/>
  <c r="AD54" i="69"/>
  <c r="AE54" i="69" s="1"/>
  <c r="AD50" i="69"/>
  <c r="AE50" i="69" s="1"/>
  <c r="AD37" i="69"/>
  <c r="AE37" i="69" s="1"/>
  <c r="AD26" i="69"/>
  <c r="AE26" i="69" s="1"/>
  <c r="AD47" i="69"/>
  <c r="AE47" i="69" s="1"/>
  <c r="AD48" i="69"/>
  <c r="AE48" i="69" s="1"/>
  <c r="AD59" i="69"/>
  <c r="AE59" i="69" s="1"/>
  <c r="AD49" i="69"/>
  <c r="AE49" i="69" s="1"/>
  <c r="AD46" i="69"/>
  <c r="AE46" i="69" s="1"/>
  <c r="AD42" i="69"/>
  <c r="AE42" i="69" s="1"/>
  <c r="AD24" i="69"/>
  <c r="AE24" i="69" s="1"/>
  <c r="AD40" i="69"/>
  <c r="AE40" i="69" s="1"/>
  <c r="AD41" i="69"/>
  <c r="AE41" i="69" s="1"/>
  <c r="AD20" i="69"/>
  <c r="S44" i="69"/>
  <c r="S48" i="69"/>
  <c r="S46" i="69"/>
  <c r="S42" i="69"/>
  <c r="S24" i="69"/>
  <c r="S58" i="69"/>
  <c r="S52" i="69"/>
  <c r="S40" i="69"/>
  <c r="S51" i="69"/>
  <c r="S27" i="69"/>
  <c r="S59" i="69"/>
  <c r="S36" i="69"/>
  <c r="S21" i="69"/>
  <c r="S62" i="69"/>
  <c r="S49" i="69"/>
  <c r="S26" i="69"/>
  <c r="S57" i="69"/>
  <c r="S28" i="69"/>
  <c r="S53" i="69"/>
  <c r="S43" i="69"/>
  <c r="S50" i="69"/>
  <c r="S25" i="69"/>
  <c r="S37" i="69"/>
  <c r="S54" i="69"/>
  <c r="S55" i="69"/>
  <c r="S61" i="69"/>
  <c r="S22" i="69"/>
  <c r="S56" i="69"/>
  <c r="S45" i="69"/>
  <c r="S23" i="69"/>
  <c r="S63" i="69"/>
  <c r="S41" i="69"/>
  <c r="S38" i="69"/>
  <c r="S60" i="69"/>
  <c r="S39" i="69"/>
  <c r="S47" i="69"/>
  <c r="S20" i="69"/>
  <c r="AI46" i="69"/>
  <c r="AI42" i="69"/>
  <c r="AI23" i="69"/>
  <c r="AI48" i="69"/>
  <c r="AI51" i="69"/>
  <c r="AI62" i="69"/>
  <c r="AI52" i="69"/>
  <c r="AJ52" i="69" s="1"/>
  <c r="AI20" i="69"/>
  <c r="AI25" i="69"/>
  <c r="AI26" i="69"/>
  <c r="AI43" i="69"/>
  <c r="AI63" i="69"/>
  <c r="AI40" i="69"/>
  <c r="AI24" i="69"/>
  <c r="AI36" i="69"/>
  <c r="AJ36" i="69" s="1"/>
  <c r="AI28" i="69"/>
  <c r="AI59" i="69"/>
  <c r="AI45" i="69"/>
  <c r="AI50" i="69"/>
  <c r="AI41" i="69"/>
  <c r="AI38" i="69"/>
  <c r="AI44" i="69"/>
  <c r="AI54" i="69"/>
  <c r="AJ54" i="69" s="1"/>
  <c r="AI56" i="69"/>
  <c r="AI53" i="69"/>
  <c r="AJ53" i="69" s="1"/>
  <c r="AI22" i="69"/>
  <c r="AI61" i="69"/>
  <c r="AI49" i="69"/>
  <c r="AI21" i="69"/>
  <c r="AI58" i="69"/>
  <c r="AI57" i="69"/>
  <c r="AI27" i="69"/>
  <c r="AI60" i="69"/>
  <c r="AJ60" i="69" s="1"/>
  <c r="AI47" i="69"/>
  <c r="AI39" i="69"/>
  <c r="AI55" i="69"/>
  <c r="AI37" i="69"/>
  <c r="Y49" i="69"/>
  <c r="Y59" i="69"/>
  <c r="Y26" i="69"/>
  <c r="Y24" i="69"/>
  <c r="Y45" i="69"/>
  <c r="Y25" i="69"/>
  <c r="Y38" i="69"/>
  <c r="Y28" i="69"/>
  <c r="Y36" i="69"/>
  <c r="Y60" i="69"/>
  <c r="Y54" i="69"/>
  <c r="Y27" i="69"/>
  <c r="Y51" i="69"/>
  <c r="Y37" i="69"/>
  <c r="Y22" i="69"/>
  <c r="Y61" i="69"/>
  <c r="Y50" i="69"/>
  <c r="Y39" i="69"/>
  <c r="Y52" i="69"/>
  <c r="Y21" i="69"/>
  <c r="Y53" i="69"/>
  <c r="Y46" i="69"/>
  <c r="Y23" i="69"/>
  <c r="Y57" i="69"/>
  <c r="Y41" i="69"/>
  <c r="Y42" i="69"/>
  <c r="Y55" i="69"/>
  <c r="Y62" i="69"/>
  <c r="Y43" i="69"/>
  <c r="Y47" i="69"/>
  <c r="Y40" i="69"/>
  <c r="Y58" i="69"/>
  <c r="Y63" i="69"/>
  <c r="Y56" i="69"/>
  <c r="Y48" i="69"/>
  <c r="Y44" i="69"/>
  <c r="Y20" i="69"/>
  <c r="BL34" i="204" l="1"/>
  <c r="BC34" i="204"/>
  <c r="AG34" i="204"/>
  <c r="BY13" i="204"/>
  <c r="BD13" i="204"/>
  <c r="AE13" i="204"/>
  <c r="AF13" i="204"/>
  <c r="U13" i="204"/>
  <c r="BL13" i="204"/>
  <c r="BJ13" i="204"/>
  <c r="BC13" i="204"/>
  <c r="AP13" i="204"/>
  <c r="BP13" i="204"/>
  <c r="AJ13" i="204"/>
  <c r="X13" i="204"/>
  <c r="AI13" i="204"/>
  <c r="AQ13" i="204"/>
  <c r="BM13" i="204"/>
  <c r="BN13" i="204"/>
  <c r="AD13" i="204"/>
  <c r="AS13" i="204"/>
  <c r="S13" i="204"/>
  <c r="AB13" i="204"/>
  <c r="BV13" i="204"/>
  <c r="BW13" i="204"/>
  <c r="BG13" i="204"/>
  <c r="AA13" i="204"/>
  <c r="BS13" i="204"/>
  <c r="AH13" i="204"/>
  <c r="BQ13" i="204"/>
  <c r="AU13" i="204"/>
  <c r="BE13" i="204"/>
  <c r="BR13" i="204"/>
  <c r="AC13" i="204"/>
  <c r="CA13" i="204"/>
  <c r="AN13" i="204"/>
  <c r="Y13" i="204"/>
  <c r="AZ13" i="204"/>
  <c r="BU13" i="204"/>
  <c r="BI13" i="204"/>
  <c r="AG13" i="204"/>
  <c r="BF13" i="204"/>
  <c r="BX13" i="204"/>
  <c r="BK13" i="204"/>
  <c r="T13" i="204"/>
  <c r="BH13" i="204"/>
  <c r="AT13" i="204"/>
  <c r="BO13" i="204"/>
  <c r="AY13" i="204"/>
  <c r="Z13" i="204"/>
  <c r="AX13" i="204"/>
  <c r="AL13" i="204"/>
  <c r="BB13" i="204"/>
  <c r="BT13" i="204"/>
  <c r="R13" i="204"/>
  <c r="BZ13" i="204"/>
  <c r="AM13" i="204"/>
  <c r="AV13" i="204"/>
  <c r="AO13" i="204"/>
  <c r="BA13" i="204"/>
  <c r="AW13" i="204"/>
  <c r="AR13" i="204"/>
  <c r="AK13" i="204"/>
  <c r="BD20" i="204"/>
  <c r="V20" i="204"/>
  <c r="AP20" i="204"/>
  <c r="BA20" i="204"/>
  <c r="BH20" i="204"/>
  <c r="AG20" i="204"/>
  <c r="BG20" i="204"/>
  <c r="BQ20" i="204"/>
  <c r="AS20" i="204"/>
  <c r="AH20" i="204"/>
  <c r="AW20" i="204"/>
  <c r="AA20" i="204"/>
  <c r="BM20" i="204"/>
  <c r="AZ20" i="204"/>
  <c r="BZ20" i="204"/>
  <c r="Y20" i="204"/>
  <c r="BW20" i="204"/>
  <c r="BI20" i="204"/>
  <c r="BS20" i="204"/>
  <c r="X20" i="204"/>
  <c r="BE20" i="204"/>
  <c r="AE20" i="204"/>
  <c r="AK20" i="204"/>
  <c r="AO20" i="204"/>
  <c r="BB20" i="204"/>
  <c r="W20" i="204"/>
  <c r="AL20" i="204"/>
  <c r="R20" i="204"/>
  <c r="BN20" i="204"/>
  <c r="U20" i="204"/>
  <c r="BC20" i="204"/>
  <c r="AX20" i="204"/>
  <c r="BL20" i="204"/>
  <c r="BK20" i="204"/>
  <c r="Z20" i="204"/>
  <c r="BT20" i="204"/>
  <c r="AV20" i="204"/>
  <c r="AQ20" i="204"/>
  <c r="BV20" i="204"/>
  <c r="BR20" i="204"/>
  <c r="S20" i="204"/>
  <c r="AN20" i="204"/>
  <c r="AY20" i="204"/>
  <c r="AU20" i="204"/>
  <c r="BO20" i="204"/>
  <c r="BF20" i="204"/>
  <c r="BX20" i="204"/>
  <c r="AT20" i="204"/>
  <c r="AB20" i="204"/>
  <c r="AI20" i="204"/>
  <c r="AJ20" i="204"/>
  <c r="BY20" i="204"/>
  <c r="AM20" i="204"/>
  <c r="BU20" i="204"/>
  <c r="AF20" i="204"/>
  <c r="T20" i="204"/>
  <c r="CA20" i="204"/>
  <c r="BP20" i="204"/>
  <c r="AR20" i="204"/>
  <c r="BJ20" i="204"/>
  <c r="AN34" i="204"/>
  <c r="BG34" i="204"/>
  <c r="BT12" i="204"/>
  <c r="BE12" i="204"/>
  <c r="AA12" i="204"/>
  <c r="AO15" i="204"/>
  <c r="AQ15" i="204"/>
  <c r="BO15" i="204"/>
  <c r="R15" i="204"/>
  <c r="AW15" i="204"/>
  <c r="BJ15" i="204"/>
  <c r="AR15" i="204"/>
  <c r="AM15" i="204"/>
  <c r="BY15" i="204"/>
  <c r="BZ15" i="204"/>
  <c r="BR15" i="204"/>
  <c r="AA15" i="204"/>
  <c r="BB15" i="204"/>
  <c r="AV15" i="204"/>
  <c r="AG15" i="204"/>
  <c r="BS15" i="204"/>
  <c r="BN15" i="204"/>
  <c r="AL15" i="204"/>
  <c r="AY15" i="204"/>
  <c r="W15" i="204"/>
  <c r="V15" i="204"/>
  <c r="AN15" i="204"/>
  <c r="BH15" i="204"/>
  <c r="BE15" i="204"/>
  <c r="AH15" i="204"/>
  <c r="AE15" i="204"/>
  <c r="AK15" i="204"/>
  <c r="CA15" i="204"/>
  <c r="BP15" i="204"/>
  <c r="AP15" i="204"/>
  <c r="AI15" i="204"/>
  <c r="AD15" i="204"/>
  <c r="AB15" i="204"/>
  <c r="S15" i="204"/>
  <c r="AC15" i="204"/>
  <c r="BC15" i="204"/>
  <c r="BQ15" i="204"/>
  <c r="BK15" i="204"/>
  <c r="Z15" i="204"/>
  <c r="BV15" i="204"/>
  <c r="BX15" i="204"/>
  <c r="BG15" i="204"/>
  <c r="BU15" i="204"/>
  <c r="BW15" i="204"/>
  <c r="AS15" i="204"/>
  <c r="AU15" i="204"/>
  <c r="AT15" i="204"/>
  <c r="AJ15" i="204"/>
  <c r="U15" i="204"/>
  <c r="AX15" i="204"/>
  <c r="BM15" i="204"/>
  <c r="BA15" i="204"/>
  <c r="BT15" i="204"/>
  <c r="AZ15" i="204"/>
  <c r="BI15" i="204"/>
  <c r="BF15" i="204"/>
  <c r="BD15" i="204"/>
  <c r="AF15" i="204"/>
  <c r="T15" i="204"/>
  <c r="BL15" i="204"/>
  <c r="AJ50" i="204"/>
  <c r="BH50" i="204"/>
  <c r="AZ50" i="204"/>
  <c r="BW50" i="204"/>
  <c r="AE50" i="204"/>
  <c r="AT50" i="204"/>
  <c r="W50" i="204"/>
  <c r="BG50" i="204"/>
  <c r="BC50" i="204"/>
  <c r="BR50" i="204"/>
  <c r="BS50" i="204"/>
  <c r="X50" i="204"/>
  <c r="Z50" i="204"/>
  <c r="BN50" i="204"/>
  <c r="AA50" i="204"/>
  <c r="AC50" i="204"/>
  <c r="BZ50" i="204"/>
  <c r="S50" i="204"/>
  <c r="AV50" i="204"/>
  <c r="V50" i="204"/>
  <c r="BK50" i="204"/>
  <c r="AR50" i="204"/>
  <c r="AD50" i="204"/>
  <c r="BF50" i="204"/>
  <c r="BB50" i="204"/>
  <c r="BM50" i="204"/>
  <c r="AH50" i="204"/>
  <c r="U50" i="204"/>
  <c r="AL50" i="204"/>
  <c r="AW50" i="204"/>
  <c r="AS50" i="204"/>
  <c r="T50" i="204"/>
  <c r="BA50" i="204"/>
  <c r="AM51" i="204"/>
  <c r="BD51" i="204"/>
  <c r="AJ51" i="204"/>
  <c r="AK51" i="204"/>
  <c r="AE51" i="204"/>
  <c r="BT50" i="204"/>
  <c r="AP50" i="204"/>
  <c r="AO50" i="204"/>
  <c r="AI51" i="204"/>
  <c r="AD51" i="204"/>
  <c r="U51" i="204"/>
  <c r="AH51" i="204"/>
  <c r="AP51" i="204"/>
  <c r="AM50" i="204"/>
  <c r="BV50" i="204"/>
  <c r="BI50" i="204"/>
  <c r="AG51" i="204"/>
  <c r="Y51" i="204"/>
  <c r="BH51" i="204"/>
  <c r="W51" i="204"/>
  <c r="BU51" i="204"/>
  <c r="BX50" i="204"/>
  <c r="BE50" i="204"/>
  <c r="AR51" i="204"/>
  <c r="BQ51" i="204"/>
  <c r="AF51" i="204"/>
  <c r="BL51" i="204"/>
  <c r="AX51" i="204"/>
  <c r="BY50" i="204"/>
  <c r="BQ50" i="204"/>
  <c r="BJ51" i="204"/>
  <c r="AA51" i="204"/>
  <c r="BR51" i="204"/>
  <c r="BC51" i="204"/>
  <c r="BS51" i="204"/>
  <c r="BP50" i="204"/>
  <c r="AQ50" i="204"/>
  <c r="AC51" i="204"/>
  <c r="BW51" i="204"/>
  <c r="T51" i="204"/>
  <c r="AO51" i="204"/>
  <c r="AZ51" i="204"/>
  <c r="AU50" i="204"/>
  <c r="BB51" i="204"/>
  <c r="Z51" i="204"/>
  <c r="AW51" i="204"/>
  <c r="V51" i="204"/>
  <c r="R50" i="204"/>
  <c r="AG50" i="204"/>
  <c r="AL51" i="204"/>
  <c r="AV51" i="204"/>
  <c r="BX51" i="204"/>
  <c r="BM51" i="204"/>
  <c r="AF50" i="204"/>
  <c r="BL50" i="204"/>
  <c r="BF51" i="204"/>
  <c r="AS51" i="204"/>
  <c r="AU51" i="204"/>
  <c r="BT51" i="204"/>
  <c r="CA50" i="204"/>
  <c r="AI50" i="204"/>
  <c r="R51" i="204"/>
  <c r="AT51" i="204"/>
  <c r="AN50" i="204"/>
  <c r="AX50" i="204"/>
  <c r="BD50" i="204"/>
  <c r="BG51" i="204"/>
  <c r="Y50" i="204"/>
  <c r="BO51" i="204"/>
  <c r="X51" i="204"/>
  <c r="AK50" i="204"/>
  <c r="BN51" i="204"/>
  <c r="BZ51" i="204"/>
  <c r="BA51" i="204"/>
  <c r="AB51" i="204"/>
  <c r="BY51" i="204"/>
  <c r="S51" i="204"/>
  <c r="BO50" i="204"/>
  <c r="BJ50" i="204"/>
  <c r="CA51" i="204"/>
  <c r="AB50" i="204"/>
  <c r="BE51" i="204"/>
  <c r="BI51" i="204"/>
  <c r="BU50" i="204"/>
  <c r="AQ51" i="204"/>
  <c r="AN51" i="204"/>
  <c r="BP51" i="204"/>
  <c r="BK51" i="204"/>
  <c r="BV51" i="204"/>
  <c r="AC34" i="204"/>
  <c r="BI34" i="204"/>
  <c r="Z34" i="204"/>
  <c r="AT12" i="204"/>
  <c r="X12" i="204"/>
  <c r="BS12" i="204"/>
  <c r="AZ12" i="204"/>
  <c r="AD12" i="204"/>
  <c r="BD11" i="204"/>
  <c r="BJ11" i="204"/>
  <c r="BF11" i="204"/>
  <c r="AT11" i="204"/>
  <c r="AS11" i="204"/>
  <c r="BP11" i="204"/>
  <c r="AR11" i="204"/>
  <c r="AP11" i="204"/>
  <c r="AH11" i="204"/>
  <c r="R11" i="204"/>
  <c r="AX11" i="204"/>
  <c r="AD11" i="204"/>
  <c r="W11" i="204"/>
  <c r="BO11" i="204"/>
  <c r="BN11" i="204"/>
  <c r="AL11" i="204"/>
  <c r="BZ11" i="204"/>
  <c r="BV11" i="204"/>
  <c r="BI11" i="204"/>
  <c r="AE11" i="204"/>
  <c r="BE11" i="204"/>
  <c r="BY11" i="204"/>
  <c r="AA11" i="204"/>
  <c r="V11" i="204"/>
  <c r="AC11" i="204"/>
  <c r="AY11" i="204"/>
  <c r="Z11" i="204"/>
  <c r="AW11" i="204"/>
  <c r="AM11" i="204"/>
  <c r="AU11" i="204"/>
  <c r="BU11" i="204"/>
  <c r="BS11" i="204"/>
  <c r="BA11" i="204"/>
  <c r="BC11" i="204"/>
  <c r="AQ11" i="204"/>
  <c r="BL11" i="204"/>
  <c r="AK11" i="204"/>
  <c r="AF11" i="204"/>
  <c r="AB11" i="204"/>
  <c r="AJ11" i="204"/>
  <c r="AV11" i="204"/>
  <c r="AN11" i="204"/>
  <c r="BK11" i="204"/>
  <c r="AO11" i="204"/>
  <c r="X11" i="204"/>
  <c r="BQ11" i="204"/>
  <c r="BR11" i="204"/>
  <c r="AZ11" i="204"/>
  <c r="AI11" i="204"/>
  <c r="AG11" i="204"/>
  <c r="BT11" i="204"/>
  <c r="S11" i="204"/>
  <c r="BH11" i="204"/>
  <c r="CA11" i="204"/>
  <c r="BB11" i="204"/>
  <c r="BW11" i="204"/>
  <c r="BC12" i="204"/>
  <c r="BG11" i="204"/>
  <c r="AL12" i="204"/>
  <c r="BX11" i="204"/>
  <c r="AB12" i="204"/>
  <c r="Y11" i="204"/>
  <c r="AR12" i="204"/>
  <c r="BM11" i="204"/>
  <c r="AP44" i="204"/>
  <c r="BY44" i="204"/>
  <c r="BW44" i="204"/>
  <c r="BU44" i="204"/>
  <c r="BM44" i="204"/>
  <c r="V44" i="204"/>
  <c r="AW44" i="204"/>
  <c r="BP44" i="204"/>
  <c r="BA44" i="204"/>
  <c r="BE44" i="204"/>
  <c r="AR44" i="204"/>
  <c r="BX44" i="204"/>
  <c r="BV44" i="204"/>
  <c r="AB44" i="204"/>
  <c r="BK44" i="204"/>
  <c r="AK44" i="204"/>
  <c r="BS44" i="204"/>
  <c r="AM44" i="204"/>
  <c r="AN44" i="204"/>
  <c r="AG44" i="204"/>
  <c r="AS44" i="204"/>
  <c r="X44" i="204"/>
  <c r="BB44" i="204"/>
  <c r="AT44" i="204"/>
  <c r="AZ44" i="204"/>
  <c r="AH44" i="204"/>
  <c r="AV44" i="204"/>
  <c r="AA44" i="204"/>
  <c r="BT44" i="204"/>
  <c r="AE44" i="204"/>
  <c r="BF44" i="204"/>
  <c r="BC44" i="204"/>
  <c r="U44" i="204"/>
  <c r="AO44" i="204"/>
  <c r="AL44" i="204"/>
  <c r="BG44" i="204"/>
  <c r="BQ44" i="204"/>
  <c r="R44" i="204"/>
  <c r="BR44" i="204"/>
  <c r="BO44" i="204"/>
  <c r="S44" i="204"/>
  <c r="AJ44" i="204"/>
  <c r="AC44" i="204"/>
  <c r="AQ44" i="204"/>
  <c r="Y44" i="204"/>
  <c r="AX44" i="204"/>
  <c r="CA44" i="204"/>
  <c r="Z44" i="204"/>
  <c r="AY44" i="204"/>
  <c r="AU44" i="204"/>
  <c r="BZ44" i="204"/>
  <c r="T44" i="204"/>
  <c r="AD44" i="204"/>
  <c r="BH44" i="204"/>
  <c r="BI44" i="204"/>
  <c r="BD44" i="204"/>
  <c r="BL44" i="204"/>
  <c r="AF44" i="204"/>
  <c r="W44" i="204"/>
  <c r="BN44" i="204"/>
  <c r="AI44" i="204"/>
  <c r="BJ44" i="204"/>
  <c r="Z58" i="204"/>
  <c r="BY58" i="204"/>
  <c r="BE58" i="204"/>
  <c r="BZ58" i="204"/>
  <c r="AW58" i="204"/>
  <c r="BT58" i="204"/>
  <c r="AS58" i="204"/>
  <c r="BJ58" i="204"/>
  <c r="S58" i="204"/>
  <c r="AH58" i="204"/>
  <c r="BU58" i="204"/>
  <c r="CA58" i="204"/>
  <c r="U58" i="204"/>
  <c r="AD58" i="204"/>
  <c r="AY58" i="204"/>
  <c r="BA58" i="204"/>
  <c r="AA58" i="204"/>
  <c r="AI58" i="204"/>
  <c r="BV58" i="204"/>
  <c r="AU58" i="204"/>
  <c r="BN58" i="204"/>
  <c r="AX58" i="204"/>
  <c r="AL58" i="204"/>
  <c r="AQ58" i="204"/>
  <c r="AJ58" i="204"/>
  <c r="T58" i="204"/>
  <c r="V58" i="204"/>
  <c r="Y58" i="204"/>
  <c r="AF58" i="204"/>
  <c r="AN58" i="204"/>
  <c r="BX58" i="204"/>
  <c r="AZ58" i="204"/>
  <c r="AE58" i="204"/>
  <c r="AG58" i="204"/>
  <c r="BL58" i="204"/>
  <c r="BI58" i="204"/>
  <c r="BO58" i="204"/>
  <c r="X58" i="204"/>
  <c r="BM58" i="204"/>
  <c r="AB58" i="204"/>
  <c r="BQ58" i="204"/>
  <c r="AO58" i="204"/>
  <c r="BS58" i="204"/>
  <c r="BK58" i="204"/>
  <c r="BH58" i="204"/>
  <c r="AR58" i="204"/>
  <c r="BF58" i="204"/>
  <c r="AV58" i="204"/>
  <c r="AK58" i="204"/>
  <c r="BG58" i="204"/>
  <c r="AC58" i="204"/>
  <c r="AT58" i="204"/>
  <c r="BR58" i="204"/>
  <c r="AM58" i="204"/>
  <c r="AP58" i="204"/>
  <c r="R58" i="204"/>
  <c r="BD58" i="204"/>
  <c r="W58" i="204"/>
  <c r="BW58" i="204"/>
  <c r="BP58" i="204"/>
  <c r="AW34" i="204"/>
  <c r="N21" i="204"/>
  <c r="N22" i="204" s="1"/>
  <c r="AN21" i="204"/>
  <c r="BZ21" i="204"/>
  <c r="AZ21" i="204"/>
  <c r="BP21" i="204"/>
  <c r="BI21" i="204"/>
  <c r="BK21" i="204"/>
  <c r="BF21" i="204"/>
  <c r="BY21" i="204"/>
  <c r="BR21" i="204"/>
  <c r="AW21" i="204"/>
  <c r="AU21" i="204"/>
  <c r="Y21" i="204"/>
  <c r="BB21" i="204"/>
  <c r="S21" i="204"/>
  <c r="AS21" i="204"/>
  <c r="BG21" i="204"/>
  <c r="AO21" i="204"/>
  <c r="Z21" i="204"/>
  <c r="BU21" i="204"/>
  <c r="BQ21" i="204"/>
  <c r="BN21" i="204"/>
  <c r="X21" i="204"/>
  <c r="V21" i="204"/>
  <c r="BL21" i="204"/>
  <c r="BO21" i="204"/>
  <c r="AT21" i="204"/>
  <c r="W21" i="204"/>
  <c r="BJ21" i="204"/>
  <c r="AR21" i="204"/>
  <c r="AX21" i="204"/>
  <c r="AY21" i="204"/>
  <c r="AQ21" i="204"/>
  <c r="BM21" i="204"/>
  <c r="BH21" i="204"/>
  <c r="BD21" i="204"/>
  <c r="BT21" i="204"/>
  <c r="CA21" i="204"/>
  <c r="U21" i="204"/>
  <c r="BC21" i="204"/>
  <c r="AP40" i="204"/>
  <c r="AK40" i="204"/>
  <c r="BY40" i="204"/>
  <c r="X40" i="204"/>
  <c r="V40" i="204"/>
  <c r="U40" i="204"/>
  <c r="BM40" i="204"/>
  <c r="BJ40" i="204"/>
  <c r="AZ40" i="204"/>
  <c r="AD40" i="204"/>
  <c r="BD40" i="204"/>
  <c r="W40" i="204"/>
  <c r="BV40" i="204"/>
  <c r="BZ40" i="204"/>
  <c r="BB40" i="204"/>
  <c r="BS40" i="204"/>
  <c r="AL40" i="204"/>
  <c r="AG40" i="204"/>
  <c r="AH40" i="204"/>
  <c r="BT40" i="204"/>
  <c r="Y40" i="204"/>
  <c r="AB40" i="204"/>
  <c r="BW40" i="204"/>
  <c r="BL40" i="204"/>
  <c r="AC40" i="204"/>
  <c r="T40" i="204"/>
  <c r="AA40" i="204"/>
  <c r="R40" i="204"/>
  <c r="AT40" i="204"/>
  <c r="BQ40" i="204"/>
  <c r="AM40" i="204"/>
  <c r="AR40" i="204"/>
  <c r="BU40" i="204"/>
  <c r="AQ40" i="204"/>
  <c r="BK40" i="204"/>
  <c r="BF40" i="204"/>
  <c r="AU40" i="204"/>
  <c r="AO40" i="204"/>
  <c r="AX40" i="204"/>
  <c r="BE40" i="204"/>
  <c r="BN40" i="204"/>
  <c r="CA40" i="204"/>
  <c r="BX40" i="204"/>
  <c r="AE40" i="204"/>
  <c r="AI40" i="204"/>
  <c r="BG40" i="204"/>
  <c r="Z40" i="204"/>
  <c r="AJ40" i="204"/>
  <c r="BR40" i="204"/>
  <c r="AN40" i="204"/>
  <c r="S40" i="204"/>
  <c r="BC40" i="204"/>
  <c r="BO40" i="204"/>
  <c r="BI40" i="204"/>
  <c r="BP40" i="204"/>
  <c r="BA40" i="204"/>
  <c r="AV40" i="204"/>
  <c r="AS40" i="204"/>
  <c r="BH40" i="204"/>
  <c r="AY40" i="204"/>
  <c r="AF40" i="204"/>
  <c r="AR34" i="204"/>
  <c r="BA34" i="204"/>
  <c r="BJ12" i="204"/>
  <c r="Z12" i="204"/>
  <c r="AM14" i="204"/>
  <c r="AF14" i="204"/>
  <c r="AH14" i="204"/>
  <c r="BL14" i="204"/>
  <c r="V14" i="204"/>
  <c r="AT14" i="204"/>
  <c r="BT14" i="204"/>
  <c r="BU14" i="204"/>
  <c r="AY14" i="204"/>
  <c r="AW14" i="204"/>
  <c r="BY14" i="204"/>
  <c r="BI14" i="204"/>
  <c r="AI14" i="204"/>
  <c r="BZ14" i="204"/>
  <c r="BC14" i="204"/>
  <c r="AN14" i="204"/>
  <c r="BF14" i="204"/>
  <c r="BR14" i="204"/>
  <c r="AA14" i="204"/>
  <c r="BX14" i="204"/>
  <c r="X14" i="204"/>
  <c r="BH14" i="204"/>
  <c r="BO14" i="204"/>
  <c r="BA14" i="204"/>
  <c r="S14" i="204"/>
  <c r="T14" i="204"/>
  <c r="BQ14" i="204"/>
  <c r="AQ14" i="204"/>
  <c r="AR14" i="204"/>
  <c r="BG14" i="204"/>
  <c r="BJ14" i="204"/>
  <c r="CA14" i="204"/>
  <c r="AD14" i="204"/>
  <c r="AX14" i="204"/>
  <c r="BW14" i="204"/>
  <c r="AB14" i="204"/>
  <c r="U14" i="204"/>
  <c r="BN14" i="204"/>
  <c r="BD14" i="204"/>
  <c r="R14" i="204"/>
  <c r="AU14" i="204"/>
  <c r="BP14" i="204"/>
  <c r="AV14" i="204"/>
  <c r="BB14" i="204"/>
  <c r="AO14" i="204"/>
  <c r="AJ14" i="204"/>
  <c r="AL14" i="204"/>
  <c r="BS14" i="204"/>
  <c r="AG14" i="204"/>
  <c r="AK14" i="204"/>
  <c r="AS14" i="204"/>
  <c r="BK14" i="204"/>
  <c r="Z14" i="204"/>
  <c r="AZ14" i="204"/>
  <c r="AC14" i="204"/>
  <c r="BV14" i="204"/>
  <c r="AP14" i="204"/>
  <c r="Y14" i="204"/>
  <c r="BE14" i="204"/>
  <c r="AE14" i="204"/>
  <c r="BM14" i="204"/>
  <c r="BQ34" i="204"/>
  <c r="AH34" i="204"/>
  <c r="BM34" i="204"/>
  <c r="AG12" i="204"/>
  <c r="BG12" i="204"/>
  <c r="BL12" i="204"/>
  <c r="BR12" i="204"/>
  <c r="AF57" i="204"/>
  <c r="BJ57" i="204"/>
  <c r="AV57" i="204"/>
  <c r="T57" i="204"/>
  <c r="BH57" i="204"/>
  <c r="AO57" i="204"/>
  <c r="X57" i="204"/>
  <c r="AN57" i="204"/>
  <c r="AM57" i="204"/>
  <c r="AT57" i="204"/>
  <c r="AZ57" i="204"/>
  <c r="V57" i="204"/>
  <c r="U57" i="204"/>
  <c r="Z57" i="204"/>
  <c r="BV57" i="204"/>
  <c r="AY57" i="204"/>
  <c r="BW57" i="204"/>
  <c r="AI57" i="204"/>
  <c r="BS57" i="204"/>
  <c r="BE57" i="204"/>
  <c r="BM57" i="204"/>
  <c r="BK57" i="204"/>
  <c r="BO57" i="204"/>
  <c r="BF57" i="204"/>
  <c r="S57" i="204"/>
  <c r="AC57" i="204"/>
  <c r="AA57" i="204"/>
  <c r="R57" i="204"/>
  <c r="Y57" i="204"/>
  <c r="BG57" i="204"/>
  <c r="BQ57" i="204"/>
  <c r="BX57" i="204"/>
  <c r="AW57" i="204"/>
  <c r="AG57" i="204"/>
  <c r="AR57" i="204"/>
  <c r="BD57" i="204"/>
  <c r="AH57" i="204"/>
  <c r="BL57" i="204"/>
  <c r="BT57" i="204"/>
  <c r="BP57" i="204"/>
  <c r="W57" i="204"/>
  <c r="AE57" i="204"/>
  <c r="CA57" i="204"/>
  <c r="BN57" i="204"/>
  <c r="AQ57" i="204"/>
  <c r="AB57" i="204"/>
  <c r="AJ57" i="204"/>
  <c r="BC57" i="204"/>
  <c r="BZ57" i="204"/>
  <c r="AD57" i="204"/>
  <c r="BR57" i="204"/>
  <c r="AP57" i="204"/>
  <c r="AL57" i="204"/>
  <c r="AX57" i="204"/>
  <c r="AK57" i="204"/>
  <c r="BI57" i="204"/>
  <c r="AS57" i="204"/>
  <c r="BU57" i="204"/>
  <c r="AU57" i="204"/>
  <c r="BY57" i="204"/>
  <c r="BQ46" i="204"/>
  <c r="AK46" i="204"/>
  <c r="BJ46" i="204"/>
  <c r="AE46" i="204"/>
  <c r="AM46" i="204"/>
  <c r="AG46" i="204"/>
  <c r="BO46" i="204"/>
  <c r="AJ46" i="204"/>
  <c r="BI46" i="204"/>
  <c r="BM46" i="204"/>
  <c r="BP46" i="204"/>
  <c r="R46" i="204"/>
  <c r="AI46" i="204"/>
  <c r="BX46" i="204"/>
  <c r="S46" i="204"/>
  <c r="AQ46" i="204"/>
  <c r="BA46" i="204"/>
  <c r="AS46" i="204"/>
  <c r="CA46" i="204"/>
  <c r="AN46" i="204"/>
  <c r="BZ46" i="204"/>
  <c r="AH46" i="204"/>
  <c r="AC46" i="204"/>
  <c r="BS46" i="204"/>
  <c r="BE46" i="204"/>
  <c r="BL46" i="204"/>
  <c r="AW46" i="204"/>
  <c r="AD46" i="204"/>
  <c r="BH46" i="204"/>
  <c r="BK46" i="204"/>
  <c r="BD46" i="204"/>
  <c r="BU46" i="204"/>
  <c r="BC46" i="204"/>
  <c r="BF46" i="204"/>
  <c r="BR46" i="204"/>
  <c r="BG46" i="204"/>
  <c r="U46" i="204"/>
  <c r="Z46" i="204"/>
  <c r="AF46" i="204"/>
  <c r="AY46" i="204"/>
  <c r="AZ46" i="204"/>
  <c r="BY46" i="204"/>
  <c r="BW46" i="204"/>
  <c r="BN46" i="204"/>
  <c r="AT46" i="204"/>
  <c r="T46" i="204"/>
  <c r="Y46" i="204"/>
  <c r="AB46" i="204"/>
  <c r="V46" i="204"/>
  <c r="AU46" i="204"/>
  <c r="AA46" i="204"/>
  <c r="BB46" i="204"/>
  <c r="AO46" i="204"/>
  <c r="BV46" i="204"/>
  <c r="BT46" i="204"/>
  <c r="AV46" i="204"/>
  <c r="W46" i="204"/>
  <c r="AP46" i="204"/>
  <c r="X46" i="204"/>
  <c r="AL46" i="204"/>
  <c r="AR46" i="204"/>
  <c r="AU48" i="204"/>
  <c r="W48" i="204"/>
  <c r="AL48" i="204"/>
  <c r="AV48" i="204"/>
  <c r="BF48" i="204"/>
  <c r="AZ48" i="204"/>
  <c r="BR48" i="204"/>
  <c r="AE48" i="204"/>
  <c r="BO48" i="204"/>
  <c r="AG48" i="204"/>
  <c r="AW48" i="204"/>
  <c r="BM48" i="204"/>
  <c r="AB48" i="204"/>
  <c r="AT48" i="204"/>
  <c r="BH48" i="204"/>
  <c r="AJ48" i="204"/>
  <c r="T48" i="204"/>
  <c r="AO48" i="204"/>
  <c r="AI48" i="204"/>
  <c r="AX48" i="204"/>
  <c r="BA48" i="204"/>
  <c r="BB48" i="204"/>
  <c r="BY48" i="204"/>
  <c r="AA48" i="204"/>
  <c r="CA48" i="204"/>
  <c r="BE48" i="204"/>
  <c r="AQ48" i="204"/>
  <c r="BD48" i="204"/>
  <c r="BV48" i="204"/>
  <c r="U48" i="204"/>
  <c r="BI48" i="204"/>
  <c r="BL48" i="204"/>
  <c r="AN48" i="204"/>
  <c r="X48" i="204"/>
  <c r="AH48" i="204"/>
  <c r="AD48" i="204"/>
  <c r="AC48" i="204"/>
  <c r="BW48" i="204"/>
  <c r="BU48" i="204"/>
  <c r="BQ48" i="204"/>
  <c r="AK48" i="204"/>
  <c r="V48" i="204"/>
  <c r="AR48" i="204"/>
  <c r="R48" i="204"/>
  <c r="BJ48" i="204"/>
  <c r="BK48" i="204"/>
  <c r="BZ48" i="204"/>
  <c r="S48" i="204"/>
  <c r="AM48" i="204"/>
  <c r="BN48" i="204"/>
  <c r="BG48" i="204"/>
  <c r="AS48" i="204"/>
  <c r="Z48" i="204"/>
  <c r="BX48" i="204"/>
  <c r="BP48" i="204"/>
  <c r="BS48" i="204"/>
  <c r="AY48" i="204"/>
  <c r="AP48" i="204"/>
  <c r="Y48" i="204"/>
  <c r="AF48" i="204"/>
  <c r="BT48" i="204"/>
  <c r="BC48" i="204"/>
  <c r="AJ34" i="204"/>
  <c r="R34" i="204"/>
  <c r="W12" i="204"/>
  <c r="BC18" i="204"/>
  <c r="AU18" i="204"/>
  <c r="BS18" i="204"/>
  <c r="BI18" i="204"/>
  <c r="BK18" i="204"/>
  <c r="AJ18" i="204"/>
  <c r="BA18" i="204"/>
  <c r="BP18" i="204"/>
  <c r="BD18" i="204"/>
  <c r="BM18" i="204"/>
  <c r="Z18" i="204"/>
  <c r="AZ18" i="204"/>
  <c r="AE18" i="204"/>
  <c r="BF18" i="204"/>
  <c r="AX18" i="204"/>
  <c r="AW18" i="204"/>
  <c r="BL18" i="204"/>
  <c r="BZ18" i="204"/>
  <c r="AS18" i="204"/>
  <c r="W18" i="204"/>
  <c r="BH18" i="204"/>
  <c r="BW18" i="204"/>
  <c r="BN18" i="204"/>
  <c r="BY18" i="204"/>
  <c r="BX18" i="204"/>
  <c r="BO18" i="204"/>
  <c r="AI18" i="204"/>
  <c r="U18" i="204"/>
  <c r="AF18" i="204"/>
  <c r="AT18" i="204"/>
  <c r="BB18" i="204"/>
  <c r="BE18" i="204"/>
  <c r="BT18" i="204"/>
  <c r="AO18" i="204"/>
  <c r="Y18" i="204"/>
  <c r="AN18" i="204"/>
  <c r="AQ18" i="204"/>
  <c r="AR18" i="204"/>
  <c r="AC18" i="204"/>
  <c r="AG18" i="204"/>
  <c r="BQ18" i="204"/>
  <c r="BG18" i="204"/>
  <c r="V18" i="204"/>
  <c r="R18" i="204"/>
  <c r="AV18" i="204"/>
  <c r="AB18" i="204"/>
  <c r="AK18" i="204"/>
  <c r="BR18" i="204"/>
  <c r="AY18" i="204"/>
  <c r="CA18" i="204"/>
  <c r="AL18" i="204"/>
  <c r="BJ18" i="204"/>
  <c r="AP18" i="204"/>
  <c r="T18" i="204"/>
  <c r="BV18" i="204"/>
  <c r="AM18" i="204"/>
  <c r="AH18" i="204"/>
  <c r="S18" i="204"/>
  <c r="X18" i="204"/>
  <c r="BU18" i="204"/>
  <c r="AD18" i="204"/>
  <c r="AA34" i="204"/>
  <c r="AK12" i="204"/>
  <c r="AT47" i="204"/>
  <c r="CA47" i="204"/>
  <c r="AH47" i="204"/>
  <c r="AU47" i="204"/>
  <c r="AF47" i="204"/>
  <c r="AG47" i="204"/>
  <c r="T47" i="204"/>
  <c r="AC47" i="204"/>
  <c r="AW47" i="204"/>
  <c r="BS47" i="204"/>
  <c r="BC47" i="204"/>
  <c r="AY47" i="204"/>
  <c r="BA47" i="204"/>
  <c r="BH47" i="204"/>
  <c r="AI47" i="204"/>
  <c r="AX47" i="204"/>
  <c r="BW47" i="204"/>
  <c r="BI47" i="204"/>
  <c r="BQ47" i="204"/>
  <c r="R47" i="204"/>
  <c r="BX47" i="204"/>
  <c r="AQ47" i="204"/>
  <c r="BB47" i="204"/>
  <c r="AA47" i="204"/>
  <c r="AB47" i="204"/>
  <c r="AE47" i="204"/>
  <c r="BD47" i="204"/>
  <c r="BO47" i="204"/>
  <c r="AO47" i="204"/>
  <c r="BJ47" i="204"/>
  <c r="BG47" i="204"/>
  <c r="AL47" i="204"/>
  <c r="Y47" i="204"/>
  <c r="AR47" i="204"/>
  <c r="AZ47" i="204"/>
  <c r="AN47" i="204"/>
  <c r="Z47" i="204"/>
  <c r="S47" i="204"/>
  <c r="X47" i="204"/>
  <c r="BZ47" i="204"/>
  <c r="AK47" i="204"/>
  <c r="BK47" i="204"/>
  <c r="BL47" i="204"/>
  <c r="U47" i="204"/>
  <c r="BR47" i="204"/>
  <c r="AD47" i="204"/>
  <c r="W47" i="204"/>
  <c r="AJ47" i="204"/>
  <c r="BV47" i="204"/>
  <c r="BM47" i="204"/>
  <c r="BP47" i="204"/>
  <c r="BY47" i="204"/>
  <c r="AS47" i="204"/>
  <c r="BU47" i="204"/>
  <c r="BT47" i="204"/>
  <c r="AM47" i="204"/>
  <c r="BN47" i="204"/>
  <c r="BE47" i="204"/>
  <c r="AP47" i="204"/>
  <c r="AV47" i="204"/>
  <c r="BF47" i="204"/>
  <c r="V47" i="204"/>
  <c r="CA34" i="204"/>
  <c r="V34" i="204"/>
  <c r="BU34" i="204"/>
  <c r="BH34" i="204"/>
  <c r="AY12" i="204"/>
  <c r="BH12" i="204"/>
  <c r="BU12" i="204"/>
  <c r="AV12" i="204"/>
  <c r="BC37" i="204"/>
  <c r="AD37" i="204"/>
  <c r="AY37" i="204"/>
  <c r="BZ37" i="204"/>
  <c r="BX37" i="204"/>
  <c r="AA37" i="204"/>
  <c r="Y37" i="204"/>
  <c r="BD37" i="204"/>
  <c r="X37" i="204"/>
  <c r="AB37" i="204"/>
  <c r="AG37" i="204"/>
  <c r="W37" i="204"/>
  <c r="S37" i="204"/>
  <c r="AR37" i="204"/>
  <c r="BE37" i="204"/>
  <c r="AQ37" i="204"/>
  <c r="AO37" i="204"/>
  <c r="AI37" i="204"/>
  <c r="BA37" i="204"/>
  <c r="BL37" i="204"/>
  <c r="AF37" i="204"/>
  <c r="BJ37" i="204"/>
  <c r="AE37" i="204"/>
  <c r="AK37" i="204"/>
  <c r="AZ37" i="204"/>
  <c r="BB37" i="204"/>
  <c r="V37" i="204"/>
  <c r="BT37" i="204"/>
  <c r="BI37" i="204"/>
  <c r="CA37" i="204"/>
  <c r="T37" i="204"/>
  <c r="AX37" i="204"/>
  <c r="BM37" i="204"/>
  <c r="BF37" i="204"/>
  <c r="AN37" i="204"/>
  <c r="BW37" i="204"/>
  <c r="BP37" i="204"/>
  <c r="R37" i="204"/>
  <c r="BV37" i="204"/>
  <c r="Z37" i="204"/>
  <c r="BK37" i="204"/>
  <c r="BR37" i="204"/>
  <c r="U37" i="204"/>
  <c r="AM37" i="204"/>
  <c r="AS37" i="204"/>
  <c r="AT37" i="204"/>
  <c r="AL37" i="204"/>
  <c r="BG37" i="204"/>
  <c r="BU37" i="204"/>
  <c r="BQ37" i="204"/>
  <c r="BN37" i="204"/>
  <c r="BY37" i="204"/>
  <c r="BO37" i="204"/>
  <c r="BH37" i="204"/>
  <c r="AH37" i="204"/>
  <c r="AW37" i="204"/>
  <c r="AU37" i="204"/>
  <c r="BS37" i="204"/>
  <c r="AC37" i="204"/>
  <c r="AP37" i="204"/>
  <c r="AJ37" i="204"/>
  <c r="BF56" i="204"/>
  <c r="AC56" i="204"/>
  <c r="BZ56" i="204"/>
  <c r="AS56" i="204"/>
  <c r="AM56" i="204"/>
  <c r="BQ56" i="204"/>
  <c r="CA56" i="204"/>
  <c r="AX56" i="204"/>
  <c r="BV56" i="204"/>
  <c r="AW56" i="204"/>
  <c r="BI56" i="204"/>
  <c r="BE56" i="204"/>
  <c r="AP56" i="204"/>
  <c r="V56" i="204"/>
  <c r="AY56" i="204"/>
  <c r="BM56" i="204"/>
  <c r="S56" i="204"/>
  <c r="BH56" i="204"/>
  <c r="AA56" i="204"/>
  <c r="BY56" i="204"/>
  <c r="X56" i="204"/>
  <c r="AB56" i="204"/>
  <c r="AI56" i="204"/>
  <c r="Y56" i="204"/>
  <c r="AR56" i="204"/>
  <c r="T56" i="204"/>
  <c r="AK56" i="204"/>
  <c r="BO56" i="204"/>
  <c r="BD56" i="204"/>
  <c r="BS56" i="204"/>
  <c r="AE56" i="204"/>
  <c r="BU56" i="204"/>
  <c r="BX56" i="204"/>
  <c r="AG56" i="204"/>
  <c r="AL56" i="204"/>
  <c r="AF56" i="204"/>
  <c r="BL56" i="204"/>
  <c r="BN56" i="204"/>
  <c r="BC56" i="204"/>
  <c r="BT56" i="204"/>
  <c r="AD56" i="204"/>
  <c r="AO56" i="204"/>
  <c r="AJ56" i="204"/>
  <c r="U56" i="204"/>
  <c r="Z56" i="204"/>
  <c r="AT56" i="204"/>
  <c r="AH56" i="204"/>
  <c r="BJ56" i="204"/>
  <c r="BR56" i="204"/>
  <c r="AN56" i="204"/>
  <c r="AQ56" i="204"/>
  <c r="BW56" i="204"/>
  <c r="BG56" i="204"/>
  <c r="AV56" i="204"/>
  <c r="R56" i="204"/>
  <c r="W56" i="204"/>
  <c r="BB56" i="204"/>
  <c r="BP56" i="204"/>
  <c r="BK56" i="204"/>
  <c r="AU56" i="204"/>
  <c r="BH19" i="204"/>
  <c r="W19" i="204"/>
  <c r="AV19" i="204"/>
  <c r="BF19" i="204"/>
  <c r="R19" i="204"/>
  <c r="AA19" i="204"/>
  <c r="Y19" i="204"/>
  <c r="AH19" i="204"/>
  <c r="BA19" i="204"/>
  <c r="AS19" i="204"/>
  <c r="X19" i="204"/>
  <c r="BS19" i="204"/>
  <c r="BB19" i="204"/>
  <c r="AI19" i="204"/>
  <c r="BJ19" i="204"/>
  <c r="AD19" i="204"/>
  <c r="AU19" i="204"/>
  <c r="BY19" i="204"/>
  <c r="BR19" i="204"/>
  <c r="AY19" i="204"/>
  <c r="AP19" i="204"/>
  <c r="BU19" i="204"/>
  <c r="AR19" i="204"/>
  <c r="CA19" i="204"/>
  <c r="BC19" i="204"/>
  <c r="BK19" i="204"/>
  <c r="BO19" i="204"/>
  <c r="BX19" i="204"/>
  <c r="BV19" i="204"/>
  <c r="AQ19" i="204"/>
  <c r="AK19" i="204"/>
  <c r="BM19" i="204"/>
  <c r="AX19" i="204"/>
  <c r="AT19" i="204"/>
  <c r="BG19" i="204"/>
  <c r="AL19" i="204"/>
  <c r="AG19" i="204"/>
  <c r="Z19" i="204"/>
  <c r="AO19" i="204"/>
  <c r="V19" i="204"/>
  <c r="BP19" i="204"/>
  <c r="U19" i="204"/>
  <c r="AZ19" i="204"/>
  <c r="BT19" i="204"/>
  <c r="BE19" i="204"/>
  <c r="BN19" i="204"/>
  <c r="AF19" i="204"/>
  <c r="BW19" i="204"/>
  <c r="BD19" i="204"/>
  <c r="BQ19" i="204"/>
  <c r="S19" i="204"/>
  <c r="AW19" i="204"/>
  <c r="AE19" i="204"/>
  <c r="AJ19" i="204"/>
  <c r="BI19" i="204"/>
  <c r="BL19" i="204"/>
  <c r="BZ19" i="204"/>
  <c r="T19" i="204"/>
  <c r="AN19" i="204"/>
  <c r="AM19" i="204"/>
  <c r="AI33" i="204"/>
  <c r="BQ33" i="204"/>
  <c r="AA33" i="204"/>
  <c r="V33" i="204"/>
  <c r="AO33" i="204"/>
  <c r="BE33" i="204"/>
  <c r="AQ33" i="204"/>
  <c r="BP33" i="204"/>
  <c r="AZ33" i="204"/>
  <c r="BA33" i="204"/>
  <c r="X33" i="204"/>
  <c r="BY33" i="204"/>
  <c r="BD33" i="204"/>
  <c r="BC33" i="204"/>
  <c r="AU33" i="204"/>
  <c r="AD33" i="204"/>
  <c r="BF33" i="204"/>
  <c r="BJ33" i="204"/>
  <c r="AC33" i="204"/>
  <c r="AY33" i="204"/>
  <c r="BR33" i="204"/>
  <c r="AV33" i="204"/>
  <c r="BM33" i="204"/>
  <c r="R33" i="204"/>
  <c r="AB33" i="204"/>
  <c r="BX33" i="204"/>
  <c r="BK33" i="204"/>
  <c r="BO33" i="204"/>
  <c r="BH33" i="204"/>
  <c r="BZ33" i="204"/>
  <c r="BB33" i="204"/>
  <c r="W33" i="204"/>
  <c r="BN33" i="204"/>
  <c r="AL33" i="204"/>
  <c r="BU33" i="204"/>
  <c r="AX33" i="204"/>
  <c r="U33" i="204"/>
  <c r="BS33" i="204"/>
  <c r="T33" i="204"/>
  <c r="Y33" i="204"/>
  <c r="BG33" i="204"/>
  <c r="BV33" i="204"/>
  <c r="Z33" i="204"/>
  <c r="BX34" i="204"/>
  <c r="AG33" i="204"/>
  <c r="AO34" i="204"/>
  <c r="BI33" i="204"/>
  <c r="BL33" i="204"/>
  <c r="BE34" i="204"/>
  <c r="BT33" i="204"/>
  <c r="AU34" i="204"/>
  <c r="W34" i="204"/>
  <c r="AW33" i="204"/>
  <c r="BV34" i="204"/>
  <c r="AN33" i="204"/>
  <c r="AL34" i="204"/>
  <c r="CA33" i="204"/>
  <c r="BW33" i="204"/>
  <c r="AP33" i="204"/>
  <c r="AH33" i="204"/>
  <c r="S33" i="204"/>
  <c r="AM33" i="204"/>
  <c r="BS34" i="204"/>
  <c r="AT33" i="204"/>
  <c r="X34" i="204"/>
  <c r="AE34" i="204"/>
  <c r="AX34" i="204"/>
  <c r="AE33" i="204"/>
  <c r="AJ33" i="204"/>
  <c r="AK33" i="204"/>
  <c r="AF33" i="204"/>
  <c r="S34" i="204"/>
  <c r="BB12" i="204"/>
  <c r="Y12" i="204"/>
  <c r="T32" i="204"/>
  <c r="BA32" i="204"/>
  <c r="U32" i="204"/>
  <c r="BS32" i="204"/>
  <c r="BY32" i="204"/>
  <c r="AV32" i="204"/>
  <c r="W32" i="204"/>
  <c r="BT32" i="204"/>
  <c r="BH32" i="204"/>
  <c r="BE32" i="204"/>
  <c r="BW32" i="204"/>
  <c r="AJ32" i="204"/>
  <c r="BK32" i="204"/>
  <c r="BO32" i="204"/>
  <c r="BL32" i="204"/>
  <c r="BG32" i="204"/>
  <c r="BP32" i="204"/>
  <c r="BF32" i="204"/>
  <c r="AY32" i="204"/>
  <c r="AM32" i="204"/>
  <c r="BB32" i="204"/>
  <c r="AE32" i="204"/>
  <c r="AD32" i="204"/>
  <c r="AX32" i="204"/>
  <c r="V32" i="204"/>
  <c r="AN32" i="204"/>
  <c r="CA32" i="204"/>
  <c r="BR32" i="204"/>
  <c r="AB32" i="204"/>
  <c r="X32" i="204"/>
  <c r="BC32" i="204"/>
  <c r="AO32" i="204"/>
  <c r="BJ32" i="204"/>
  <c r="AI32" i="204"/>
  <c r="AG32" i="204"/>
  <c r="BQ32" i="204"/>
  <c r="AL32" i="204"/>
  <c r="Z32" i="204"/>
  <c r="AC32" i="204"/>
  <c r="AU32" i="204"/>
  <c r="Y32" i="204"/>
  <c r="AH32" i="204"/>
  <c r="BU32" i="204"/>
  <c r="BN32" i="204"/>
  <c r="AT32" i="204"/>
  <c r="S32" i="204"/>
  <c r="AF32" i="204"/>
  <c r="BX32" i="204"/>
  <c r="AS32" i="204"/>
  <c r="AZ32" i="204"/>
  <c r="BV32" i="204"/>
  <c r="AP32" i="204"/>
  <c r="BZ32" i="204"/>
  <c r="AA32" i="204"/>
  <c r="BM32" i="204"/>
  <c r="BD32" i="204"/>
  <c r="AK32" i="204"/>
  <c r="AW32" i="204"/>
  <c r="R32" i="204"/>
  <c r="BI32" i="204"/>
  <c r="AF12" i="204"/>
  <c r="AW12" i="204"/>
  <c r="BA43" i="204"/>
  <c r="AO43" i="204"/>
  <c r="AC43" i="204"/>
  <c r="AK43" i="204"/>
  <c r="AF43" i="204"/>
  <c r="BK43" i="204"/>
  <c r="AN43" i="204"/>
  <c r="BJ43" i="204"/>
  <c r="AE43" i="204"/>
  <c r="AZ43" i="204"/>
  <c r="BX43" i="204"/>
  <c r="W43" i="204"/>
  <c r="BR43" i="204"/>
  <c r="BO43" i="204"/>
  <c r="BT43" i="204"/>
  <c r="BU43" i="204"/>
  <c r="BY43" i="204"/>
  <c r="BW43" i="204"/>
  <c r="BB43" i="204"/>
  <c r="AR43" i="204"/>
  <c r="AM43" i="204"/>
  <c r="AD43" i="204"/>
  <c r="V43" i="204"/>
  <c r="BM43" i="204"/>
  <c r="AS43" i="204"/>
  <c r="BQ43" i="204"/>
  <c r="BZ43" i="204"/>
  <c r="AP43" i="204"/>
  <c r="Z43" i="204"/>
  <c r="BS43" i="204"/>
  <c r="AL43" i="204"/>
  <c r="AA43" i="204"/>
  <c r="AY43" i="204"/>
  <c r="Y43" i="204"/>
  <c r="BL43" i="204"/>
  <c r="BH43" i="204"/>
  <c r="AG43" i="204"/>
  <c r="BG43" i="204"/>
  <c r="BD43" i="204"/>
  <c r="S43" i="204"/>
  <c r="AW43" i="204"/>
  <c r="AU43" i="204"/>
  <c r="AH43" i="204"/>
  <c r="U43" i="204"/>
  <c r="BC43" i="204"/>
  <c r="BV43" i="204"/>
  <c r="BF43" i="204"/>
  <c r="CA43" i="204"/>
  <c r="AJ43" i="204"/>
  <c r="AI43" i="204"/>
  <c r="X43" i="204"/>
  <c r="AX43" i="204"/>
  <c r="BP43" i="204"/>
  <c r="BN43" i="204"/>
  <c r="AV43" i="204"/>
  <c r="BI43" i="204"/>
  <c r="T43" i="204"/>
  <c r="AT43" i="204"/>
  <c r="R43" i="204"/>
  <c r="BE43" i="204"/>
  <c r="AB43" i="204"/>
  <c r="AQ43" i="204"/>
  <c r="BA23" i="203"/>
  <c r="BN34" i="204"/>
  <c r="AM34" i="204"/>
  <c r="AV34" i="204"/>
  <c r="T34" i="204"/>
  <c r="BW34" i="204"/>
  <c r="AI12" i="204"/>
  <c r="AN12" i="204"/>
  <c r="BZ12" i="204"/>
  <c r="BW12" i="204"/>
  <c r="AD53" i="204"/>
  <c r="AC53" i="204"/>
  <c r="BA53" i="204"/>
  <c r="AV53" i="204"/>
  <c r="S53" i="204"/>
  <c r="BX53" i="204"/>
  <c r="AA53" i="204"/>
  <c r="AL53" i="204"/>
  <c r="AS53" i="204"/>
  <c r="AM53" i="204"/>
  <c r="BY53" i="204"/>
  <c r="AI53" i="204"/>
  <c r="Z53" i="204"/>
  <c r="AJ53" i="204"/>
  <c r="AZ53" i="204"/>
  <c r="AU53" i="204"/>
  <c r="BT53" i="204"/>
  <c r="BR53" i="204"/>
  <c r="AO53" i="204"/>
  <c r="BO53" i="204"/>
  <c r="BQ53" i="204"/>
  <c r="BE53" i="204"/>
  <c r="AH53" i="204"/>
  <c r="BV53" i="204"/>
  <c r="U53" i="204"/>
  <c r="AY53" i="204"/>
  <c r="BG53" i="204"/>
  <c r="BB53" i="204"/>
  <c r="BW53" i="204"/>
  <c r="BU53" i="204"/>
  <c r="AP53" i="204"/>
  <c r="BZ53" i="204"/>
  <c r="BP53" i="204"/>
  <c r="AN53" i="204"/>
  <c r="BK53" i="204"/>
  <c r="Y53" i="204"/>
  <c r="R53" i="204"/>
  <c r="AT53" i="204"/>
  <c r="BM53" i="204"/>
  <c r="X53" i="204"/>
  <c r="AQ53" i="204"/>
  <c r="BN53" i="204"/>
  <c r="BL53" i="204"/>
  <c r="AW53" i="204"/>
  <c r="BH53" i="204"/>
  <c r="BC53" i="204"/>
  <c r="AG53" i="204"/>
  <c r="AK53" i="204"/>
  <c r="AR53" i="204"/>
  <c r="AF53" i="204"/>
  <c r="BJ53" i="204"/>
  <c r="BD53" i="204"/>
  <c r="T53" i="204"/>
  <c r="AX53" i="204"/>
  <c r="AB53" i="204"/>
  <c r="V53" i="204"/>
  <c r="AE53" i="204"/>
  <c r="CA53" i="204"/>
  <c r="BF53" i="204"/>
  <c r="BI53" i="204"/>
  <c r="BS53" i="204"/>
  <c r="W53" i="204"/>
  <c r="Z45" i="204"/>
  <c r="AH45" i="204"/>
  <c r="BH45" i="204"/>
  <c r="AF45" i="204"/>
  <c r="BP45" i="204"/>
  <c r="AI45" i="204"/>
  <c r="BS45" i="204"/>
  <c r="AZ45" i="204"/>
  <c r="BN45" i="204"/>
  <c r="AQ45" i="204"/>
  <c r="AV45" i="204"/>
  <c r="BU45" i="204"/>
  <c r="AS45" i="204"/>
  <c r="X45" i="204"/>
  <c r="AE45" i="204"/>
  <c r="BQ45" i="204"/>
  <c r="AL45" i="204"/>
  <c r="BC45" i="204"/>
  <c r="BK45" i="204"/>
  <c r="Y45" i="204"/>
  <c r="AC45" i="204"/>
  <c r="AP45" i="204"/>
  <c r="BY45" i="204"/>
  <c r="BD45" i="204"/>
  <c r="AA45" i="204"/>
  <c r="AM45" i="204"/>
  <c r="AG45" i="204"/>
  <c r="CA45" i="204"/>
  <c r="BO45" i="204"/>
  <c r="AR45" i="204"/>
  <c r="AT45" i="204"/>
  <c r="BR45" i="204"/>
  <c r="AO45" i="204"/>
  <c r="BJ45" i="204"/>
  <c r="BX45" i="204"/>
  <c r="S45" i="204"/>
  <c r="AD45" i="204"/>
  <c r="AU45" i="204"/>
  <c r="BE45" i="204"/>
  <c r="BA45" i="204"/>
  <c r="BI45" i="204"/>
  <c r="R45" i="204"/>
  <c r="AY45" i="204"/>
  <c r="BF45" i="204"/>
  <c r="BB45" i="204"/>
  <c r="AN45" i="204"/>
  <c r="BM45" i="204"/>
  <c r="BL45" i="204"/>
  <c r="T45" i="204"/>
  <c r="U45" i="204"/>
  <c r="BZ45" i="204"/>
  <c r="BW45" i="204"/>
  <c r="AK45" i="204"/>
  <c r="AW45" i="204"/>
  <c r="BT45" i="204"/>
  <c r="AJ45" i="204"/>
  <c r="BG45" i="204"/>
  <c r="BV45" i="204"/>
  <c r="AB45" i="204"/>
  <c r="V45" i="204"/>
  <c r="W45" i="204"/>
  <c r="AG16" i="204"/>
  <c r="AZ16" i="204"/>
  <c r="AV16" i="204"/>
  <c r="BJ16" i="204"/>
  <c r="V16" i="204"/>
  <c r="BB16" i="204"/>
  <c r="AK16" i="204"/>
  <c r="BD16" i="204"/>
  <c r="AB16" i="204"/>
  <c r="AN16" i="204"/>
  <c r="BA16" i="204"/>
  <c r="BM16" i="204"/>
  <c r="AO16" i="204"/>
  <c r="AL16" i="204"/>
  <c r="AQ16" i="204"/>
  <c r="BS16" i="204"/>
  <c r="BH16" i="204"/>
  <c r="AC16" i="204"/>
  <c r="U16" i="204"/>
  <c r="BC16" i="204"/>
  <c r="BU16" i="204"/>
  <c r="BT16" i="204"/>
  <c r="AP16" i="204"/>
  <c r="BV16" i="204"/>
  <c r="AM16" i="204"/>
  <c r="AU16" i="204"/>
  <c r="BF16" i="204"/>
  <c r="AX16" i="204"/>
  <c r="AY16" i="204"/>
  <c r="BG16" i="204"/>
  <c r="BX16" i="204"/>
  <c r="R16" i="204"/>
  <c r="BO16" i="204"/>
  <c r="AE16" i="204"/>
  <c r="AW16" i="204"/>
  <c r="AR16" i="204"/>
  <c r="AF16" i="204"/>
  <c r="AD16" i="204"/>
  <c r="BY16" i="204"/>
  <c r="BR16" i="204"/>
  <c r="BI16" i="204"/>
  <c r="BW16" i="204"/>
  <c r="AS16" i="204"/>
  <c r="AI16" i="204"/>
  <c r="BZ16" i="204"/>
  <c r="AT16" i="204"/>
  <c r="BK16" i="204"/>
  <c r="BL16" i="204"/>
  <c r="W16" i="204"/>
  <c r="AJ16" i="204"/>
  <c r="S16" i="204"/>
  <c r="AH16" i="204"/>
  <c r="X16" i="204"/>
  <c r="CA16" i="204"/>
  <c r="T16" i="204"/>
  <c r="BE16" i="204"/>
  <c r="BQ16" i="204"/>
  <c r="BN16" i="204"/>
  <c r="BP16" i="204"/>
  <c r="AA16" i="204"/>
  <c r="BE35" i="204"/>
  <c r="BJ35" i="204"/>
  <c r="AG35" i="204"/>
  <c r="AI35" i="204"/>
  <c r="W35" i="204"/>
  <c r="BL35" i="204"/>
  <c r="AM35" i="204"/>
  <c r="CA35" i="204"/>
  <c r="Y35" i="204"/>
  <c r="BP35" i="204"/>
  <c r="U35" i="204"/>
  <c r="Z35" i="204"/>
  <c r="AS35" i="204"/>
  <c r="BS35" i="204"/>
  <c r="BZ35" i="204"/>
  <c r="BC35" i="204"/>
  <c r="BO35" i="204"/>
  <c r="BN35" i="204"/>
  <c r="AY35" i="204"/>
  <c r="AR35" i="204"/>
  <c r="BK35" i="204"/>
  <c r="BI35" i="204"/>
  <c r="T35" i="204"/>
  <c r="BB35" i="204"/>
  <c r="AL35" i="204"/>
  <c r="X35" i="204"/>
  <c r="AD35" i="204"/>
  <c r="BW35" i="204"/>
  <c r="AV35" i="204"/>
  <c r="BQ35" i="204"/>
  <c r="BU35" i="204"/>
  <c r="AJ35" i="204"/>
  <c r="X36" i="204"/>
  <c r="V36" i="204"/>
  <c r="BB36" i="204"/>
  <c r="AD36" i="204"/>
  <c r="BV36" i="204"/>
  <c r="BM35" i="204"/>
  <c r="AP35" i="204"/>
  <c r="AO36" i="204"/>
  <c r="Y36" i="204"/>
  <c r="S36" i="204"/>
  <c r="BL36" i="204"/>
  <c r="CA36" i="204"/>
  <c r="BD35" i="204"/>
  <c r="S35" i="204"/>
  <c r="BC36" i="204"/>
  <c r="AR36" i="204"/>
  <c r="BA36" i="204"/>
  <c r="AB36" i="204"/>
  <c r="AN36" i="204"/>
  <c r="BY35" i="204"/>
  <c r="AF35" i="204"/>
  <c r="AO35" i="204"/>
  <c r="AV36" i="204"/>
  <c r="W36" i="204"/>
  <c r="AQ36" i="204"/>
  <c r="BJ36" i="204"/>
  <c r="AZ36" i="204"/>
  <c r="AA35" i="204"/>
  <c r="BR35" i="204"/>
  <c r="AW35" i="204"/>
  <c r="BT36" i="204"/>
  <c r="BQ36" i="204"/>
  <c r="AF36" i="204"/>
  <c r="AW36" i="204"/>
  <c r="BU36" i="204"/>
  <c r="BG35" i="204"/>
  <c r="V35" i="204"/>
  <c r="BX35" i="204"/>
  <c r="AK36" i="204"/>
  <c r="BM36" i="204"/>
  <c r="BZ36" i="204"/>
  <c r="AJ36" i="204"/>
  <c r="BX36" i="204"/>
  <c r="AH35" i="204"/>
  <c r="R36" i="204"/>
  <c r="BE36" i="204"/>
  <c r="T36" i="204"/>
  <c r="BT35" i="204"/>
  <c r="AL36" i="204"/>
  <c r="AK35" i="204"/>
  <c r="BD36" i="204"/>
  <c r="AE36" i="204"/>
  <c r="AA36" i="204"/>
  <c r="AH36" i="204"/>
  <c r="BH35" i="204"/>
  <c r="AP36" i="204"/>
  <c r="AI36" i="204"/>
  <c r="AY36" i="204"/>
  <c r="AB35" i="204"/>
  <c r="U36" i="204"/>
  <c r="BI36" i="204"/>
  <c r="BH36" i="204"/>
  <c r="BF35" i="204"/>
  <c r="AQ35" i="204"/>
  <c r="AC36" i="204"/>
  <c r="AG36" i="204"/>
  <c r="AN35" i="204"/>
  <c r="BK36" i="204"/>
  <c r="AE35" i="204"/>
  <c r="AX35" i="204"/>
  <c r="AT36" i="204"/>
  <c r="BN36" i="204"/>
  <c r="R35" i="204"/>
  <c r="BP36" i="204"/>
  <c r="Z36" i="204"/>
  <c r="AC35" i="204"/>
  <c r="BW36" i="204"/>
  <c r="AZ35" i="204"/>
  <c r="BO36" i="204"/>
  <c r="BS36" i="204"/>
  <c r="BA35" i="204"/>
  <c r="BG36" i="204"/>
  <c r="BF36" i="204"/>
  <c r="AM36" i="204"/>
  <c r="BY36" i="204"/>
  <c r="BR36" i="204"/>
  <c r="AX36" i="204"/>
  <c r="BV35" i="204"/>
  <c r="AS36" i="204"/>
  <c r="BT34" i="204"/>
  <c r="AD34" i="204"/>
  <c r="BP12" i="204"/>
  <c r="AB34" i="204"/>
  <c r="BY34" i="204"/>
  <c r="AO38" i="204"/>
  <c r="W38" i="204"/>
  <c r="X38" i="204"/>
  <c r="AI38" i="204"/>
  <c r="T38" i="204"/>
  <c r="AX38" i="204"/>
  <c r="BK38" i="204"/>
  <c r="AN38" i="204"/>
  <c r="BV38" i="204"/>
  <c r="AK38" i="204"/>
  <c r="AM38" i="204"/>
  <c r="AC38" i="204"/>
  <c r="BS38" i="204"/>
  <c r="AU38" i="204"/>
  <c r="AS38" i="204"/>
  <c r="BU38" i="204"/>
  <c r="AR38" i="204"/>
  <c r="BN38" i="204"/>
  <c r="BI38" i="204"/>
  <c r="AB38" i="204"/>
  <c r="CA38" i="204"/>
  <c r="BC38" i="204"/>
  <c r="Y38" i="204"/>
  <c r="AP38" i="204"/>
  <c r="BX38" i="204"/>
  <c r="AJ38" i="204"/>
  <c r="BR38" i="204"/>
  <c r="BE38" i="204"/>
  <c r="BO38" i="204"/>
  <c r="AZ38" i="204"/>
  <c r="S38" i="204"/>
  <c r="AT38" i="204"/>
  <c r="BP38" i="204"/>
  <c r="AH38" i="204"/>
  <c r="BM38" i="204"/>
  <c r="AW38" i="204"/>
  <c r="AE38" i="204"/>
  <c r="AL38" i="204"/>
  <c r="AG38" i="204"/>
  <c r="AY38" i="204"/>
  <c r="AA38" i="204"/>
  <c r="BH38" i="204"/>
  <c r="BZ38" i="204"/>
  <c r="R38" i="204"/>
  <c r="AQ38" i="204"/>
  <c r="BG38" i="204"/>
  <c r="BF38" i="204"/>
  <c r="U38" i="204"/>
  <c r="BQ38" i="204"/>
  <c r="BD38" i="204"/>
  <c r="BB38" i="204"/>
  <c r="AF38" i="204"/>
  <c r="BY38" i="204"/>
  <c r="AD38" i="204"/>
  <c r="BT38" i="204"/>
  <c r="BA38" i="204"/>
  <c r="Z38" i="204"/>
  <c r="BW38" i="204"/>
  <c r="V38" i="204"/>
  <c r="BL38" i="204"/>
  <c r="BJ38" i="204"/>
  <c r="Y34" i="204"/>
  <c r="AI34" i="204"/>
  <c r="AY34" i="204"/>
  <c r="BO12" i="204"/>
  <c r="AO12" i="204"/>
  <c r="BQ12" i="204"/>
  <c r="BY12" i="204"/>
  <c r="BO42" i="204"/>
  <c r="AE42" i="204"/>
  <c r="CA42" i="204"/>
  <c r="AA42" i="204"/>
  <c r="BU42" i="204"/>
  <c r="AG42" i="204"/>
  <c r="AZ42" i="204"/>
  <c r="AW42" i="204"/>
  <c r="AT42" i="204"/>
  <c r="AR42" i="204"/>
  <c r="BV42" i="204"/>
  <c r="W42" i="204"/>
  <c r="BE42" i="204"/>
  <c r="BT42" i="204"/>
  <c r="BQ42" i="204"/>
  <c r="AJ42" i="204"/>
  <c r="BK42" i="204"/>
  <c r="BM42" i="204"/>
  <c r="BW42" i="204"/>
  <c r="Y42" i="204"/>
  <c r="BJ42" i="204"/>
  <c r="BY42" i="204"/>
  <c r="AL42" i="204"/>
  <c r="R42" i="204"/>
  <c r="BP42" i="204"/>
  <c r="AY42" i="204"/>
  <c r="AX42" i="204"/>
  <c r="BI42" i="204"/>
  <c r="BZ42" i="204"/>
  <c r="X42" i="204"/>
  <c r="AH42" i="204"/>
  <c r="BL42" i="204"/>
  <c r="AQ42" i="204"/>
  <c r="BG42" i="204"/>
  <c r="AC42" i="204"/>
  <c r="AP42" i="204"/>
  <c r="BS42" i="204"/>
  <c r="T42" i="204"/>
  <c r="U42" i="204"/>
  <c r="AK42" i="204"/>
  <c r="AD42" i="204"/>
  <c r="BR42" i="204"/>
  <c r="BN42" i="204"/>
  <c r="AS42" i="204"/>
  <c r="BX42" i="204"/>
  <c r="S42" i="204"/>
  <c r="BB42" i="204"/>
  <c r="AM42" i="204"/>
  <c r="AU42" i="204"/>
  <c r="BA42" i="204"/>
  <c r="BH42" i="204"/>
  <c r="AB42" i="204"/>
  <c r="AO42" i="204"/>
  <c r="AF42" i="204"/>
  <c r="AN42" i="204"/>
  <c r="BF42" i="204"/>
  <c r="Z42" i="204"/>
  <c r="BD42" i="204"/>
  <c r="AV42" i="204"/>
  <c r="AI42" i="204"/>
  <c r="BC42" i="204"/>
  <c r="V42" i="204"/>
  <c r="AY39" i="204"/>
  <c r="AI39" i="204"/>
  <c r="BT39" i="204"/>
  <c r="V39" i="204"/>
  <c r="BL39" i="204"/>
  <c r="BB39" i="204"/>
  <c r="BC39" i="204"/>
  <c r="AT39" i="204"/>
  <c r="BY39" i="204"/>
  <c r="BO39" i="204"/>
  <c r="BJ39" i="204"/>
  <c r="AU39" i="204"/>
  <c r="T39" i="204"/>
  <c r="X39" i="204"/>
  <c r="AD39" i="204"/>
  <c r="BZ39" i="204"/>
  <c r="AP39" i="204"/>
  <c r="BS39" i="204"/>
  <c r="BA39" i="204"/>
  <c r="R39" i="204"/>
  <c r="Z39" i="204"/>
  <c r="AO39" i="204"/>
  <c r="AE39" i="204"/>
  <c r="AZ39" i="204"/>
  <c r="AF39" i="204"/>
  <c r="BV39" i="204"/>
  <c r="AC39" i="204"/>
  <c r="BN39" i="204"/>
  <c r="AA39" i="204"/>
  <c r="BU39" i="204"/>
  <c r="AL39" i="204"/>
  <c r="BG39" i="204"/>
  <c r="BW39" i="204"/>
  <c r="AB39" i="204"/>
  <c r="AR39" i="204"/>
  <c r="AJ39" i="204"/>
  <c r="CA39" i="204"/>
  <c r="AV39" i="204"/>
  <c r="U39" i="204"/>
  <c r="AK39" i="204"/>
  <c r="BM39" i="204"/>
  <c r="AH39" i="204"/>
  <c r="AQ39" i="204"/>
  <c r="S39" i="204"/>
  <c r="BX39" i="204"/>
  <c r="AW39" i="204"/>
  <c r="AX39" i="204"/>
  <c r="BF39" i="204"/>
  <c r="BE39" i="204"/>
  <c r="BP39" i="204"/>
  <c r="BI39" i="204"/>
  <c r="BH39" i="204"/>
  <c r="AM39" i="204"/>
  <c r="Y39" i="204"/>
  <c r="BK39" i="204"/>
  <c r="BQ39" i="204"/>
  <c r="W39" i="204"/>
  <c r="BR39" i="204"/>
  <c r="AG39" i="204"/>
  <c r="BD39" i="204"/>
  <c r="AN39" i="204"/>
  <c r="AS39" i="204"/>
  <c r="AK54" i="204"/>
  <c r="AA54" i="204"/>
  <c r="AY54" i="204"/>
  <c r="AG54" i="204"/>
  <c r="AN54" i="204"/>
  <c r="BD54" i="204"/>
  <c r="BG54" i="204"/>
  <c r="AW54" i="204"/>
  <c r="BC54" i="204"/>
  <c r="BE54" i="204"/>
  <c r="BT54" i="204"/>
  <c r="AH54" i="204"/>
  <c r="CA54" i="204"/>
  <c r="BP54" i="204"/>
  <c r="Z54" i="204"/>
  <c r="BQ54" i="204"/>
  <c r="AM54" i="204"/>
  <c r="AF54" i="204"/>
  <c r="AL54" i="204"/>
  <c r="BV54" i="204"/>
  <c r="BF54" i="204"/>
  <c r="BZ54" i="204"/>
  <c r="BL54" i="204"/>
  <c r="BX54" i="204"/>
  <c r="AV54" i="204"/>
  <c r="BU54" i="204"/>
  <c r="V54" i="204"/>
  <c r="AP54" i="204"/>
  <c r="BK54" i="204"/>
  <c r="BR54" i="204"/>
  <c r="BY54" i="204"/>
  <c r="BW54" i="204"/>
  <c r="AR54" i="204"/>
  <c r="AD54" i="204"/>
  <c r="T54" i="204"/>
  <c r="BS54" i="204"/>
  <c r="AZ54" i="204"/>
  <c r="AX54" i="204"/>
  <c r="AU54" i="204"/>
  <c r="BH54" i="204"/>
  <c r="X54" i="204"/>
  <c r="AB54" i="204"/>
  <c r="W54" i="204"/>
  <c r="BM54" i="204"/>
  <c r="AO54" i="204"/>
  <c r="AJ54" i="204"/>
  <c r="AC54" i="204"/>
  <c r="AQ54" i="204"/>
  <c r="BA54" i="204"/>
  <c r="AT54" i="204"/>
  <c r="AE54" i="204"/>
  <c r="S54" i="204"/>
  <c r="AI54" i="204"/>
  <c r="AS54" i="204"/>
  <c r="Y54" i="204"/>
  <c r="R54" i="204"/>
  <c r="U54" i="204"/>
  <c r="BN54" i="204"/>
  <c r="BI54" i="204"/>
  <c r="BB54" i="204"/>
  <c r="BO54" i="204"/>
  <c r="BJ54" i="204"/>
  <c r="AN49" i="204"/>
  <c r="BM49" i="204"/>
  <c r="AB49" i="204"/>
  <c r="AS49" i="204"/>
  <c r="BN49" i="204"/>
  <c r="BV49" i="204"/>
  <c r="BH49" i="204"/>
  <c r="AX49" i="204"/>
  <c r="BW49" i="204"/>
  <c r="S49" i="204"/>
  <c r="BT49" i="204"/>
  <c r="Z49" i="204"/>
  <c r="AP49" i="204"/>
  <c r="AI49" i="204"/>
  <c r="AE49" i="204"/>
  <c r="BB49" i="204"/>
  <c r="T49" i="204"/>
  <c r="AG49" i="204"/>
  <c r="BE49" i="204"/>
  <c r="AT49" i="204"/>
  <c r="R49" i="204"/>
  <c r="AF49" i="204"/>
  <c r="AD49" i="204"/>
  <c r="BG49" i="204"/>
  <c r="BX49" i="204"/>
  <c r="AA49" i="204"/>
  <c r="BP49" i="204"/>
  <c r="AK49" i="204"/>
  <c r="AC49" i="204"/>
  <c r="BU49" i="204"/>
  <c r="AL49" i="204"/>
  <c r="BS49" i="204"/>
  <c r="AZ49" i="204"/>
  <c r="BK49" i="204"/>
  <c r="AJ49" i="204"/>
  <c r="BC49" i="204"/>
  <c r="CA49" i="204"/>
  <c r="U49" i="204"/>
  <c r="BD49" i="204"/>
  <c r="AO49" i="204"/>
  <c r="AW49" i="204"/>
  <c r="X49" i="204"/>
  <c r="AU49" i="204"/>
  <c r="V49" i="204"/>
  <c r="AH49" i="204"/>
  <c r="BF49" i="204"/>
  <c r="BO49" i="204"/>
  <c r="AY49" i="204"/>
  <c r="BL49" i="204"/>
  <c r="W49" i="204"/>
  <c r="BZ49" i="204"/>
  <c r="BJ49" i="204"/>
  <c r="BY49" i="204"/>
  <c r="AR49" i="204"/>
  <c r="BQ49" i="204"/>
  <c r="Y49" i="204"/>
  <c r="BA49" i="204"/>
  <c r="BR49" i="204"/>
  <c r="AQ49" i="204"/>
  <c r="BI49" i="204"/>
  <c r="AM49" i="204"/>
  <c r="AV49" i="204"/>
  <c r="BA12" i="204"/>
  <c r="BF55" i="204"/>
  <c r="AJ55" i="204"/>
  <c r="BQ55" i="204"/>
  <c r="CA55" i="204"/>
  <c r="BB55" i="204"/>
  <c r="AI55" i="204"/>
  <c r="BH55" i="204"/>
  <c r="U55" i="204"/>
  <c r="BS55" i="204"/>
  <c r="AV55" i="204"/>
  <c r="AF55" i="204"/>
  <c r="R55" i="204"/>
  <c r="T55" i="204"/>
  <c r="AG55" i="204"/>
  <c r="BM55" i="204"/>
  <c r="X55" i="204"/>
  <c r="BV55" i="204"/>
  <c r="AK55" i="204"/>
  <c r="AR55" i="204"/>
  <c r="BL55" i="204"/>
  <c r="BJ55" i="204"/>
  <c r="BY55" i="204"/>
  <c r="BG55" i="204"/>
  <c r="BT55" i="204"/>
  <c r="AN55" i="204"/>
  <c r="AE55" i="204"/>
  <c r="AY55" i="204"/>
  <c r="AX55" i="204"/>
  <c r="BU55" i="204"/>
  <c r="AC55" i="204"/>
  <c r="AP55" i="204"/>
  <c r="V55" i="204"/>
  <c r="BX55" i="204"/>
  <c r="Z55" i="204"/>
  <c r="BN55" i="204"/>
  <c r="AB55" i="204"/>
  <c r="BO55" i="204"/>
  <c r="Y55" i="204"/>
  <c r="AA55" i="204"/>
  <c r="AH55" i="204"/>
  <c r="AQ55" i="204"/>
  <c r="BR55" i="204"/>
  <c r="AL55" i="204"/>
  <c r="S55" i="204"/>
  <c r="BZ55" i="204"/>
  <c r="AM55" i="204"/>
  <c r="AD55" i="204"/>
  <c r="W55" i="204"/>
  <c r="BP55" i="204"/>
  <c r="BD55" i="204"/>
  <c r="BW55" i="204"/>
  <c r="AU55" i="204"/>
  <c r="BK55" i="204"/>
  <c r="AW55" i="204"/>
  <c r="AS55" i="204"/>
  <c r="AO55" i="204"/>
  <c r="AT55" i="204"/>
  <c r="BI55" i="204"/>
  <c r="BC55" i="204"/>
  <c r="BE55" i="204"/>
  <c r="BA55" i="204"/>
  <c r="AP34" i="204"/>
  <c r="BD34" i="204"/>
  <c r="BB34" i="204"/>
  <c r="AZ34" i="204"/>
  <c r="BK34" i="204"/>
  <c r="BO34" i="204"/>
  <c r="BM12" i="204"/>
  <c r="BV12" i="204"/>
  <c r="AQ12" i="204"/>
  <c r="AE12" i="204"/>
  <c r="AS12" i="204"/>
  <c r="BC41" i="204"/>
  <c r="AA41" i="204"/>
  <c r="V41" i="204"/>
  <c r="BS41" i="204"/>
  <c r="AI41" i="204"/>
  <c r="S41" i="204"/>
  <c r="BV41" i="204"/>
  <c r="BO41" i="204"/>
  <c r="AD41" i="204"/>
  <c r="BX41" i="204"/>
  <c r="BZ41" i="204"/>
  <c r="BI41" i="204"/>
  <c r="AT41" i="204"/>
  <c r="BA41" i="204"/>
  <c r="AQ41" i="204"/>
  <c r="AF41" i="204"/>
  <c r="AU41" i="204"/>
  <c r="X41" i="204"/>
  <c r="BH41" i="204"/>
  <c r="AY41" i="204"/>
  <c r="AE41" i="204"/>
  <c r="AX41" i="204"/>
  <c r="AG41" i="204"/>
  <c r="AR41" i="204"/>
  <c r="BU41" i="204"/>
  <c r="AZ41" i="204"/>
  <c r="AB41" i="204"/>
  <c r="BB41" i="204"/>
  <c r="AH41" i="204"/>
  <c r="Y41" i="204"/>
  <c r="AV41" i="204"/>
  <c r="U41" i="204"/>
  <c r="BL41" i="204"/>
  <c r="AS41" i="204"/>
  <c r="W41" i="204"/>
  <c r="BW41" i="204"/>
  <c r="BE41" i="204"/>
  <c r="BF41" i="204"/>
  <c r="AC41" i="204"/>
  <c r="BG41" i="204"/>
  <c r="AO41" i="204"/>
  <c r="BQ41" i="204"/>
  <c r="BD41" i="204"/>
  <c r="AL41" i="204"/>
  <c r="BN41" i="204"/>
  <c r="CA41" i="204"/>
  <c r="BR41" i="204"/>
  <c r="AP41" i="204"/>
  <c r="BP41" i="204"/>
  <c r="R41" i="204"/>
  <c r="BJ41" i="204"/>
  <c r="T41" i="204"/>
  <c r="BM41" i="204"/>
  <c r="Z41" i="204"/>
  <c r="AK41" i="204"/>
  <c r="AJ41" i="204"/>
  <c r="BT41" i="204"/>
  <c r="BK41" i="204"/>
  <c r="BY41" i="204"/>
  <c r="AM41" i="204"/>
  <c r="AN41" i="204"/>
  <c r="AP52" i="204"/>
  <c r="BA52" i="204"/>
  <c r="AX52" i="204"/>
  <c r="BL52" i="204"/>
  <c r="BR52" i="204"/>
  <c r="T52" i="204"/>
  <c r="AI52" i="204"/>
  <c r="BE52" i="204"/>
  <c r="BU52" i="204"/>
  <c r="AD52" i="204"/>
  <c r="BO52" i="204"/>
  <c r="BI52" i="204"/>
  <c r="BN52" i="204"/>
  <c r="BV52" i="204"/>
  <c r="BS52" i="204"/>
  <c r="BB52" i="204"/>
  <c r="X52" i="204"/>
  <c r="AO52" i="204"/>
  <c r="AH52" i="204"/>
  <c r="Y52" i="204"/>
  <c r="BM52" i="204"/>
  <c r="W52" i="204"/>
  <c r="BK52" i="204"/>
  <c r="CA52" i="204"/>
  <c r="AQ52" i="204"/>
  <c r="AE52" i="204"/>
  <c r="V52" i="204"/>
  <c r="BP52" i="204"/>
  <c r="AU52" i="204"/>
  <c r="AK52" i="204"/>
  <c r="BG52" i="204"/>
  <c r="AL52" i="204"/>
  <c r="BZ52" i="204"/>
  <c r="AG52" i="204"/>
  <c r="AM52" i="204"/>
  <c r="AS52" i="204"/>
  <c r="BX52" i="204"/>
  <c r="AF52" i="204"/>
  <c r="BQ52" i="204"/>
  <c r="BH52" i="204"/>
  <c r="AB52" i="204"/>
  <c r="BD52" i="204"/>
  <c r="AJ52" i="204"/>
  <c r="AR52" i="204"/>
  <c r="BC52" i="204"/>
  <c r="BT52" i="204"/>
  <c r="BY52" i="204"/>
  <c r="AT52" i="204"/>
  <c r="BJ52" i="204"/>
  <c r="AV52" i="204"/>
  <c r="S52" i="204"/>
  <c r="AW52" i="204"/>
  <c r="AA52" i="204"/>
  <c r="Z52" i="204"/>
  <c r="AC52" i="204"/>
  <c r="AY52" i="204"/>
  <c r="R52" i="204"/>
  <c r="U52" i="204"/>
  <c r="BW52" i="204"/>
  <c r="AZ52" i="204"/>
  <c r="AN52" i="204"/>
  <c r="BF52" i="204"/>
  <c r="BA17" i="204"/>
  <c r="CA17" i="204"/>
  <c r="R17" i="204"/>
  <c r="S17" i="204"/>
  <c r="AW17" i="204"/>
  <c r="AF17" i="204"/>
  <c r="AU17" i="204"/>
  <c r="BJ17" i="204"/>
  <c r="BG17" i="204"/>
  <c r="BI17" i="204"/>
  <c r="AT17" i="204"/>
  <c r="AI17" i="204"/>
  <c r="AQ17" i="204"/>
  <c r="AR17" i="204"/>
  <c r="W17" i="204"/>
  <c r="AX17" i="204"/>
  <c r="AZ17" i="204"/>
  <c r="AB17" i="204"/>
  <c r="V17" i="204"/>
  <c r="BY17" i="204"/>
  <c r="U17" i="204"/>
  <c r="BS17" i="204"/>
  <c r="BT17" i="204"/>
  <c r="T17" i="204"/>
  <c r="AO17" i="204"/>
  <c r="AL17" i="204"/>
  <c r="BX17" i="204"/>
  <c r="Y17" i="204"/>
  <c r="BO17" i="204"/>
  <c r="AP17" i="204"/>
  <c r="BP17" i="204"/>
  <c r="BW17" i="204"/>
  <c r="AV17" i="204"/>
  <c r="BZ17" i="204"/>
  <c r="BV17" i="204"/>
  <c r="AG17" i="204"/>
  <c r="BN17" i="204"/>
  <c r="BB17" i="204"/>
  <c r="BE17" i="204"/>
  <c r="AC17" i="204"/>
  <c r="AE17" i="204"/>
  <c r="BU17" i="204"/>
  <c r="AS17" i="204"/>
  <c r="BF17" i="204"/>
  <c r="AA17" i="204"/>
  <c r="BH17" i="204"/>
  <c r="BC17" i="204"/>
  <c r="AD17" i="204"/>
  <c r="BM17" i="204"/>
  <c r="AH17" i="204"/>
  <c r="BD17" i="204"/>
  <c r="AM17" i="204"/>
  <c r="BK17" i="204"/>
  <c r="BQ17" i="204"/>
  <c r="BR17" i="204"/>
  <c r="AK17" i="204"/>
  <c r="AJ17" i="204"/>
  <c r="BL17" i="204"/>
  <c r="AY17" i="204"/>
  <c r="X17" i="204"/>
  <c r="AN17" i="204"/>
  <c r="B2792" i="242"/>
  <c r="A2791" i="242"/>
  <c r="B920" i="242"/>
  <c r="A919" i="242"/>
  <c r="X24" i="203"/>
  <c r="BJ24" i="203"/>
  <c r="BI23" i="203"/>
  <c r="Y24" i="203"/>
  <c r="BD24" i="203"/>
  <c r="AO24" i="203"/>
  <c r="BH23" i="203"/>
  <c r="AW24" i="203"/>
  <c r="BE24" i="203"/>
  <c r="BU23" i="203"/>
  <c r="BC24" i="203"/>
  <c r="BD23" i="203"/>
  <c r="AW23" i="203"/>
  <c r="Z23" i="203"/>
  <c r="AE24" i="203"/>
  <c r="AA23" i="203"/>
  <c r="BE23" i="203"/>
  <c r="AY23" i="203"/>
  <c r="AN24" i="203"/>
  <c r="BK23" i="203"/>
  <c r="BV23" i="203"/>
  <c r="BB23" i="203"/>
  <c r="R24" i="203"/>
  <c r="BB24" i="203"/>
  <c r="BI24" i="203"/>
  <c r="BX23" i="203"/>
  <c r="BU24" i="203"/>
  <c r="BL24" i="203"/>
  <c r="AD23" i="203"/>
  <c r="AP23" i="203"/>
  <c r="AN23" i="203"/>
  <c r="CA23" i="203"/>
  <c r="R23" i="203"/>
  <c r="AB24" i="203"/>
  <c r="S24" i="203"/>
  <c r="BQ24" i="203"/>
  <c r="AY24" i="203"/>
  <c r="T24" i="203"/>
  <c r="V23" i="203"/>
  <c r="BJ23" i="203"/>
  <c r="AP24" i="203"/>
  <c r="Z24" i="203"/>
  <c r="BG23" i="203"/>
  <c r="BN23" i="203"/>
  <c r="BW24" i="203"/>
  <c r="U23" i="203"/>
  <c r="AU24" i="203"/>
  <c r="AU23" i="203"/>
  <c r="X23" i="203"/>
  <c r="BL23" i="203"/>
  <c r="Y23" i="203"/>
  <c r="CA24" i="203"/>
  <c r="BN24" i="203"/>
  <c r="W24" i="203"/>
  <c r="AD24" i="203"/>
  <c r="AX23" i="203"/>
  <c r="AC23" i="203"/>
  <c r="AT23" i="203"/>
  <c r="AT24" i="203"/>
  <c r="AZ23" i="203"/>
  <c r="AX24" i="203"/>
  <c r="BY23" i="203"/>
  <c r="BW23" i="203"/>
  <c r="BR23" i="203"/>
  <c r="AO23" i="203"/>
  <c r="BT23" i="203"/>
  <c r="BK24" i="203"/>
  <c r="AS24" i="203"/>
  <c r="AR24" i="203"/>
  <c r="BV24" i="203"/>
  <c r="BF23" i="203"/>
  <c r="BZ23" i="203"/>
  <c r="BG24" i="203"/>
  <c r="AB23" i="203"/>
  <c r="BS23" i="203"/>
  <c r="BM23" i="203"/>
  <c r="BP23" i="203"/>
  <c r="AG24" i="203"/>
  <c r="BO24" i="203"/>
  <c r="AF24" i="203"/>
  <c r="BA24" i="203"/>
  <c r="BQ23" i="203"/>
  <c r="AS23" i="203"/>
  <c r="AQ23" i="203"/>
  <c r="V24" i="203"/>
  <c r="BX24" i="203"/>
  <c r="AR23" i="203"/>
  <c r="BC23" i="203"/>
  <c r="T23" i="203"/>
  <c r="AA24" i="203"/>
  <c r="BM24" i="203"/>
  <c r="BH24" i="203"/>
  <c r="AC24" i="203"/>
  <c r="BS24" i="203"/>
  <c r="BO23" i="203"/>
  <c r="BR24" i="203"/>
  <c r="BT24" i="203"/>
  <c r="S23" i="203"/>
  <c r="AV24" i="203"/>
  <c r="BY24" i="203"/>
  <c r="AV23" i="203"/>
  <c r="BZ24" i="203"/>
  <c r="P22" i="203"/>
  <c r="W23" i="203"/>
  <c r="AQ24" i="203"/>
  <c r="BF24" i="203"/>
  <c r="BP24" i="203"/>
  <c r="U24" i="203"/>
  <c r="AZ24" i="203"/>
  <c r="L54" i="203"/>
  <c r="AR62" i="69" s="1"/>
  <c r="L44" i="203"/>
  <c r="AR52" i="69" s="1"/>
  <c r="L43" i="203"/>
  <c r="AR51" i="69" s="1"/>
  <c r="L53" i="203"/>
  <c r="AR61" i="69" s="1"/>
  <c r="L52" i="203"/>
  <c r="AR60" i="69" s="1"/>
  <c r="L49" i="203"/>
  <c r="AR57" i="69" s="1"/>
  <c r="L47" i="203"/>
  <c r="AR55" i="69" s="1"/>
  <c r="L48" i="203"/>
  <c r="AR56" i="69" s="1"/>
  <c r="L42" i="203"/>
  <c r="AR50" i="69" s="1"/>
  <c r="L39" i="203"/>
  <c r="AR47" i="69" s="1"/>
  <c r="N26" i="203"/>
  <c r="V25" i="203"/>
  <c r="BW25" i="203"/>
  <c r="BS25" i="203"/>
  <c r="U25" i="203"/>
  <c r="AI25" i="203"/>
  <c r="AP25" i="203"/>
  <c r="BD25" i="203"/>
  <c r="BN25" i="203"/>
  <c r="BR25" i="203"/>
  <c r="BE25" i="203"/>
  <c r="AG25" i="203"/>
  <c r="BU25" i="203"/>
  <c r="AA25" i="203"/>
  <c r="T25" i="203"/>
  <c r="BG25" i="203"/>
  <c r="BA25" i="203"/>
  <c r="BQ25" i="203"/>
  <c r="AD25" i="203"/>
  <c r="AO25" i="203"/>
  <c r="S25" i="203"/>
  <c r="BL25" i="203"/>
  <c r="BB25" i="203"/>
  <c r="AH25" i="203"/>
  <c r="CA25" i="203"/>
  <c r="AX25" i="203"/>
  <c r="BV25" i="203"/>
  <c r="BM25" i="203"/>
  <c r="BJ25" i="203"/>
  <c r="AE25" i="203"/>
  <c r="BH25" i="203"/>
  <c r="AR25" i="203"/>
  <c r="BX25" i="203"/>
  <c r="W25" i="203"/>
  <c r="AS25" i="203"/>
  <c r="BP25" i="203"/>
  <c r="BT25" i="203"/>
  <c r="AT25" i="203"/>
  <c r="AB25" i="203"/>
  <c r="AV25" i="203"/>
  <c r="BC25" i="203"/>
  <c r="AW25" i="203"/>
  <c r="AN25" i="203"/>
  <c r="AF25" i="203"/>
  <c r="BK25" i="203"/>
  <c r="BF25" i="203"/>
  <c r="R25" i="203"/>
  <c r="AZ25" i="203"/>
  <c r="Z25" i="203"/>
  <c r="AY25" i="203"/>
  <c r="X25" i="203"/>
  <c r="BO25" i="203"/>
  <c r="BZ25" i="203"/>
  <c r="AU25" i="203"/>
  <c r="BY25" i="203"/>
  <c r="AQ25" i="203"/>
  <c r="Y25" i="203"/>
  <c r="AC25" i="203"/>
  <c r="BI25" i="203"/>
  <c r="AE21" i="69"/>
  <c r="AJ59" i="69"/>
  <c r="AJ46" i="69"/>
  <c r="AE22" i="69"/>
  <c r="AE23" i="69"/>
  <c r="AE20" i="69"/>
  <c r="AJ58" i="69"/>
  <c r="AJ62" i="69"/>
  <c r="AJ44" i="69"/>
  <c r="AJ26" i="69"/>
  <c r="AJ42" i="69"/>
  <c r="AJ47" i="69"/>
  <c r="AJ24" i="69"/>
  <c r="AJ37" i="69"/>
  <c r="AJ21" i="69"/>
  <c r="AJ38" i="69"/>
  <c r="AJ51" i="69"/>
  <c r="AJ49" i="69"/>
  <c r="AJ41" i="69"/>
  <c r="AJ63" i="69"/>
  <c r="AJ48" i="69"/>
  <c r="AJ39" i="69"/>
  <c r="AJ61" i="69"/>
  <c r="AJ50" i="69"/>
  <c r="AJ23" i="69"/>
  <c r="AJ22" i="69"/>
  <c r="AJ45" i="69"/>
  <c r="AJ25" i="69"/>
  <c r="AJ57" i="69"/>
  <c r="AJ43" i="69"/>
  <c r="AJ40" i="69"/>
  <c r="AJ55" i="69"/>
  <c r="AJ27" i="69"/>
  <c r="AJ28" i="69"/>
  <c r="AJ20" i="69"/>
  <c r="AJ56" i="69"/>
  <c r="E11" i="43"/>
  <c r="L39" i="204" l="1"/>
  <c r="AQ47" i="69" s="1"/>
  <c r="L48" i="204"/>
  <c r="AQ56" i="69" s="1"/>
  <c r="L53" i="204"/>
  <c r="AQ61" i="69" s="1"/>
  <c r="BS22" i="204"/>
  <c r="AV22" i="204"/>
  <c r="BP22" i="204"/>
  <c r="Z22" i="204"/>
  <c r="AR22" i="204"/>
  <c r="BM22" i="204"/>
  <c r="BD22" i="204"/>
  <c r="AQ22" i="204"/>
  <c r="BB22" i="204"/>
  <c r="BV22" i="204"/>
  <c r="AA22" i="204"/>
  <c r="BY22" i="204"/>
  <c r="U22" i="204"/>
  <c r="BK22" i="204"/>
  <c r="AN22" i="204"/>
  <c r="BU22" i="204"/>
  <c r="R22" i="204"/>
  <c r="AU22" i="204"/>
  <c r="BC22" i="204"/>
  <c r="V22" i="204"/>
  <c r="AY22" i="204"/>
  <c r="AC22" i="204"/>
  <c r="BG22" i="204"/>
  <c r="BW22" i="204"/>
  <c r="BN22" i="204"/>
  <c r="W22" i="204"/>
  <c r="BA22" i="204"/>
  <c r="BZ22" i="204"/>
  <c r="AX22" i="204"/>
  <c r="AO22" i="204"/>
  <c r="T22" i="204"/>
  <c r="BX22" i="204"/>
  <c r="AP22" i="204"/>
  <c r="BL22" i="204"/>
  <c r="AT22" i="204"/>
  <c r="AW22" i="204"/>
  <c r="BJ22" i="204"/>
  <c r="AD22" i="204"/>
  <c r="BH22" i="204"/>
  <c r="BT22" i="204"/>
  <c r="Y22" i="204"/>
  <c r="BF22" i="204"/>
  <c r="CA22" i="204"/>
  <c r="X22" i="204"/>
  <c r="AB22" i="204"/>
  <c r="BO22" i="204"/>
  <c r="AZ22" i="204"/>
  <c r="BI22" i="204"/>
  <c r="BQ22" i="204"/>
  <c r="AS22" i="204"/>
  <c r="BR22" i="204"/>
  <c r="S22" i="204"/>
  <c r="N23" i="204"/>
  <c r="BE22" i="204"/>
  <c r="L47" i="204"/>
  <c r="AQ55" i="69" s="1"/>
  <c r="L44" i="204"/>
  <c r="AQ52" i="69" s="1"/>
  <c r="L49" i="204"/>
  <c r="AQ57" i="69" s="1"/>
  <c r="L43" i="204"/>
  <c r="AQ51" i="69" s="1"/>
  <c r="T21" i="204"/>
  <c r="AA21" i="204"/>
  <c r="BE21" i="204"/>
  <c r="BV21" i="204"/>
  <c r="BA21" i="204"/>
  <c r="BX21" i="204"/>
  <c r="R21" i="204"/>
  <c r="AB21" i="204"/>
  <c r="AP21" i="204"/>
  <c r="L52" i="204"/>
  <c r="AQ60" i="69" s="1"/>
  <c r="L54" i="204"/>
  <c r="AQ62" i="69" s="1"/>
  <c r="L42" i="204"/>
  <c r="AQ50" i="69" s="1"/>
  <c r="AV21" i="204"/>
  <c r="AC21" i="204"/>
  <c r="BW21" i="204"/>
  <c r="BS21" i="204"/>
  <c r="A920" i="242"/>
  <c r="B921" i="242"/>
  <c r="A2792" i="242"/>
  <c r="B2793" i="242"/>
  <c r="AP22" i="203"/>
  <c r="P21" i="203"/>
  <c r="X22" i="203"/>
  <c r="BD22" i="203"/>
  <c r="AQ22" i="203"/>
  <c r="AN22" i="203"/>
  <c r="BO22" i="203"/>
  <c r="Y22" i="203"/>
  <c r="AS22" i="203"/>
  <c r="AD22" i="203"/>
  <c r="AT22" i="203"/>
  <c r="Z22" i="203"/>
  <c r="BZ22" i="203"/>
  <c r="BW22" i="203"/>
  <c r="AW22" i="203"/>
  <c r="T22" i="203"/>
  <c r="BE22" i="203"/>
  <c r="AU22" i="203"/>
  <c r="AY22" i="203"/>
  <c r="BC22" i="203"/>
  <c r="BP22" i="203"/>
  <c r="S22" i="203"/>
  <c r="BQ22" i="203"/>
  <c r="AC22" i="203"/>
  <c r="BH22" i="203"/>
  <c r="BA22" i="203"/>
  <c r="BM22" i="203"/>
  <c r="BU22" i="203"/>
  <c r="BV22" i="203"/>
  <c r="BK22" i="203"/>
  <c r="AB22" i="203"/>
  <c r="W22" i="203"/>
  <c r="AO22" i="203"/>
  <c r="AX22" i="203"/>
  <c r="BI22" i="203"/>
  <c r="V22" i="203"/>
  <c r="BT22" i="203"/>
  <c r="R22" i="203"/>
  <c r="BF22" i="203"/>
  <c r="AR22" i="203"/>
  <c r="BN22" i="203"/>
  <c r="BG22" i="203"/>
  <c r="BS22" i="203"/>
  <c r="BX22" i="203"/>
  <c r="BJ22" i="203"/>
  <c r="BR22" i="203"/>
  <c r="CA22" i="203"/>
  <c r="BY22" i="203"/>
  <c r="AZ22" i="203"/>
  <c r="BL22" i="203"/>
  <c r="BB22" i="203"/>
  <c r="AV22" i="203"/>
  <c r="AA22" i="203"/>
  <c r="U22" i="203"/>
  <c r="N27" i="203"/>
  <c r="AD26" i="203"/>
  <c r="BG26" i="203"/>
  <c r="BZ26" i="203"/>
  <c r="BX26" i="203"/>
  <c r="BP26" i="203"/>
  <c r="U26" i="203"/>
  <c r="BY26" i="203"/>
  <c r="BN26" i="203"/>
  <c r="BW26" i="203"/>
  <c r="BC26" i="203"/>
  <c r="R26" i="203"/>
  <c r="AH26" i="203"/>
  <c r="AI26" i="203"/>
  <c r="AX26" i="203"/>
  <c r="BO26" i="203"/>
  <c r="BV26" i="203"/>
  <c r="AA26" i="203"/>
  <c r="BF26" i="203"/>
  <c r="T26" i="203"/>
  <c r="BT26" i="203"/>
  <c r="Z26" i="203"/>
  <c r="W26" i="203"/>
  <c r="BE26" i="203"/>
  <c r="AB26" i="203"/>
  <c r="BD26" i="203"/>
  <c r="AQ26" i="203"/>
  <c r="AT26" i="203"/>
  <c r="BM26" i="203"/>
  <c r="BQ26" i="203"/>
  <c r="AO26" i="203"/>
  <c r="AY26" i="203"/>
  <c r="BL26" i="203"/>
  <c r="V26" i="203"/>
  <c r="AC26" i="203"/>
  <c r="BH26" i="203"/>
  <c r="AP26" i="203"/>
  <c r="BB26" i="203"/>
  <c r="BU26" i="203"/>
  <c r="BJ26" i="203"/>
  <c r="AS26" i="203"/>
  <c r="S26" i="203"/>
  <c r="AN26" i="203"/>
  <c r="AE26" i="203"/>
  <c r="AW26" i="203"/>
  <c r="AV26" i="203"/>
  <c r="AZ26" i="203"/>
  <c r="BK26" i="203"/>
  <c r="CA26" i="203"/>
  <c r="AJ26" i="203"/>
  <c r="X26" i="203"/>
  <c r="AR26" i="203"/>
  <c r="BA26" i="203"/>
  <c r="AF26" i="203"/>
  <c r="BS26" i="203"/>
  <c r="BR26" i="203"/>
  <c r="AU26" i="203"/>
  <c r="Y26" i="203"/>
  <c r="AG26" i="203"/>
  <c r="BI26" i="203"/>
  <c r="D11" i="43"/>
  <c r="AT23" i="204" l="1"/>
  <c r="BI23" i="204"/>
  <c r="BM23" i="204"/>
  <c r="BX23" i="204"/>
  <c r="BD23" i="204"/>
  <c r="V23" i="204"/>
  <c r="BH23" i="204"/>
  <c r="N24" i="204"/>
  <c r="BZ23" i="204"/>
  <c r="AX23" i="204"/>
  <c r="AO23" i="204"/>
  <c r="BQ23" i="204"/>
  <c r="BS23" i="204"/>
  <c r="BK23" i="204"/>
  <c r="CA23" i="204"/>
  <c r="T23" i="204"/>
  <c r="AC23" i="204"/>
  <c r="BR23" i="204"/>
  <c r="AW23" i="204"/>
  <c r="AY23" i="204"/>
  <c r="BN23" i="204"/>
  <c r="AB23" i="204"/>
  <c r="AU23" i="204"/>
  <c r="BT23" i="204"/>
  <c r="AA23" i="204"/>
  <c r="AD23" i="204"/>
  <c r="BE23" i="204"/>
  <c r="BA23" i="204"/>
  <c r="BC23" i="204"/>
  <c r="AV23" i="204"/>
  <c r="R23" i="204"/>
  <c r="AP23" i="204"/>
  <c r="AS23" i="204"/>
  <c r="BF23" i="204"/>
  <c r="AQ23" i="204"/>
  <c r="X23" i="204"/>
  <c r="BU23" i="204"/>
  <c r="U23" i="204"/>
  <c r="AN23" i="204"/>
  <c r="BL23" i="204"/>
  <c r="BB23" i="204"/>
  <c r="AR23" i="204"/>
  <c r="BO23" i="204"/>
  <c r="BG23" i="204"/>
  <c r="BW23" i="204"/>
  <c r="AZ23" i="204"/>
  <c r="W23" i="204"/>
  <c r="Z23" i="204"/>
  <c r="Y23" i="204"/>
  <c r="BY23" i="204"/>
  <c r="BV23" i="204"/>
  <c r="S23" i="204"/>
  <c r="BJ23" i="204"/>
  <c r="BP23" i="204"/>
  <c r="A2793" i="242"/>
  <c r="B2794" i="242"/>
  <c r="A921" i="242"/>
  <c r="B922" i="242"/>
  <c r="BM21" i="203"/>
  <c r="BY21" i="203"/>
  <c r="W21" i="203"/>
  <c r="AN21" i="203"/>
  <c r="BE21" i="203"/>
  <c r="Y21" i="203"/>
  <c r="BS21" i="203"/>
  <c r="AW21" i="203"/>
  <c r="AP21" i="203"/>
  <c r="BJ21" i="203"/>
  <c r="AZ21" i="203"/>
  <c r="BW21" i="203"/>
  <c r="BO21" i="203"/>
  <c r="BV21" i="203"/>
  <c r="AT21" i="203"/>
  <c r="AV21" i="203"/>
  <c r="BH21" i="203"/>
  <c r="BC21" i="203"/>
  <c r="BU21" i="203"/>
  <c r="BK21" i="203"/>
  <c r="BX21" i="203"/>
  <c r="BG21" i="203"/>
  <c r="BB21" i="203"/>
  <c r="R21" i="203"/>
  <c r="BF21" i="203"/>
  <c r="BA21" i="203"/>
  <c r="BP21" i="203"/>
  <c r="T21" i="203"/>
  <c r="AY21" i="203"/>
  <c r="CA21" i="203"/>
  <c r="BN21" i="203"/>
  <c r="AR21" i="203"/>
  <c r="Z21" i="203"/>
  <c r="AC21" i="203"/>
  <c r="U21" i="203"/>
  <c r="AQ21" i="203"/>
  <c r="BT21" i="203"/>
  <c r="AA21" i="203"/>
  <c r="BQ21" i="203"/>
  <c r="V21" i="203"/>
  <c r="S21" i="203"/>
  <c r="AS21" i="203"/>
  <c r="BD21" i="203"/>
  <c r="BL21" i="203"/>
  <c r="AX21" i="203"/>
  <c r="X21" i="203"/>
  <c r="AU21" i="203"/>
  <c r="BR21" i="203"/>
  <c r="AO21" i="203"/>
  <c r="AB21" i="203"/>
  <c r="BZ21" i="203"/>
  <c r="BI21" i="203"/>
  <c r="T100" i="43"/>
  <c r="U100" i="43" s="1"/>
  <c r="V100" i="43" s="1"/>
  <c r="T111" i="43"/>
  <c r="U111" i="43" s="1"/>
  <c r="V111" i="43" s="1"/>
  <c r="T112" i="43"/>
  <c r="U112" i="43" s="1"/>
  <c r="V112" i="43" s="1"/>
  <c r="T113" i="43"/>
  <c r="U113" i="43" s="1"/>
  <c r="V113" i="43" s="1"/>
  <c r="T108" i="43"/>
  <c r="U108" i="43" s="1"/>
  <c r="V108" i="43" s="1"/>
  <c r="T98" i="43"/>
  <c r="U98" i="43" s="1"/>
  <c r="V98" i="43" s="1"/>
  <c r="T94" i="43"/>
  <c r="U94" i="43" s="1"/>
  <c r="V94" i="43" s="1"/>
  <c r="T99" i="43"/>
  <c r="U99" i="43" s="1"/>
  <c r="V99" i="43" s="1"/>
  <c r="T104" i="43"/>
  <c r="U104" i="43" s="1"/>
  <c r="V104" i="43" s="1"/>
  <c r="T103" i="43"/>
  <c r="U103" i="43" s="1"/>
  <c r="V103" i="43" s="1"/>
  <c r="T95" i="43"/>
  <c r="U95" i="43" s="1"/>
  <c r="V95" i="43" s="1"/>
  <c r="T106" i="43"/>
  <c r="U106" i="43" s="1"/>
  <c r="V106" i="43" s="1"/>
  <c r="T101" i="43"/>
  <c r="U101" i="43" s="1"/>
  <c r="V101" i="43" s="1"/>
  <c r="T110" i="43"/>
  <c r="U110" i="43" s="1"/>
  <c r="V110" i="43" s="1"/>
  <c r="T109" i="43"/>
  <c r="U109" i="43" s="1"/>
  <c r="V109" i="43" s="1"/>
  <c r="T97" i="43"/>
  <c r="U97" i="43" s="1"/>
  <c r="V97" i="43" s="1"/>
  <c r="T102" i="43"/>
  <c r="U102" i="43" s="1"/>
  <c r="V102" i="43" s="1"/>
  <c r="T107" i="43"/>
  <c r="U107" i="43" s="1"/>
  <c r="V107" i="43" s="1"/>
  <c r="T105" i="43"/>
  <c r="U105" i="43" s="1"/>
  <c r="V105" i="43" s="1"/>
  <c r="T96" i="43"/>
  <c r="U96" i="43" s="1"/>
  <c r="V96" i="43" s="1"/>
  <c r="N28" i="203"/>
  <c r="AT27" i="203"/>
  <c r="BI27" i="203"/>
  <c r="AI27" i="203"/>
  <c r="BQ27" i="203"/>
  <c r="Y27" i="203"/>
  <c r="AD27" i="203"/>
  <c r="AB27" i="203"/>
  <c r="R27" i="203"/>
  <c r="AU27" i="203"/>
  <c r="AQ27" i="203"/>
  <c r="X27" i="203"/>
  <c r="BF27" i="203"/>
  <c r="Z27" i="203"/>
  <c r="AV27" i="203"/>
  <c r="BB27" i="203"/>
  <c r="BN27" i="203"/>
  <c r="AN27" i="203"/>
  <c r="BH27" i="203"/>
  <c r="T27" i="203"/>
  <c r="S27" i="203"/>
  <c r="AW27" i="203"/>
  <c r="BZ27" i="203"/>
  <c r="AK27" i="203"/>
  <c r="BY27" i="203"/>
  <c r="AG27" i="203"/>
  <c r="BS27" i="203"/>
  <c r="BK27" i="203"/>
  <c r="AS27" i="203"/>
  <c r="AX27" i="203"/>
  <c r="BT27" i="203"/>
  <c r="AC27" i="203"/>
  <c r="BA27" i="203"/>
  <c r="BP27" i="203"/>
  <c r="W27" i="203"/>
  <c r="AH27" i="203"/>
  <c r="AY27" i="203"/>
  <c r="AP27" i="203"/>
  <c r="BL27" i="203"/>
  <c r="AJ27" i="203"/>
  <c r="AF27" i="203"/>
  <c r="BR27" i="203"/>
  <c r="U27" i="203"/>
  <c r="BD27" i="203"/>
  <c r="BE27" i="203"/>
  <c r="BC27" i="203"/>
  <c r="BO27" i="203"/>
  <c r="BU27" i="203"/>
  <c r="AE27" i="203"/>
  <c r="AO27" i="203"/>
  <c r="BX27" i="203"/>
  <c r="AA27" i="203"/>
  <c r="AZ27" i="203"/>
  <c r="BG27" i="203"/>
  <c r="V27" i="203"/>
  <c r="BW27" i="203"/>
  <c r="BV27" i="203"/>
  <c r="BM27" i="203"/>
  <c r="AR27" i="203"/>
  <c r="BJ27" i="203"/>
  <c r="CA27" i="203"/>
  <c r="BD3" i="43"/>
  <c r="BC3" i="43"/>
  <c r="AU3" i="43"/>
  <c r="AM3" i="43"/>
  <c r="AD24" i="204" l="1"/>
  <c r="AZ24" i="204"/>
  <c r="BV24" i="204"/>
  <c r="BA24" i="204"/>
  <c r="AS24" i="204"/>
  <c r="R24" i="204"/>
  <c r="T24" i="204"/>
  <c r="BG24" i="204"/>
  <c r="AP24" i="204"/>
  <c r="BM24" i="204"/>
  <c r="BB24" i="204"/>
  <c r="BW24" i="204"/>
  <c r="AN24" i="204"/>
  <c r="AC24" i="204"/>
  <c r="AO24" i="204"/>
  <c r="AX24" i="204"/>
  <c r="BC24" i="204"/>
  <c r="BS24" i="204"/>
  <c r="BJ24" i="204"/>
  <c r="N25" i="204"/>
  <c r="Y24" i="204"/>
  <c r="BI24" i="204"/>
  <c r="AE24" i="204"/>
  <c r="X24" i="204"/>
  <c r="BF24" i="204"/>
  <c r="AU24" i="204"/>
  <c r="AW24" i="204"/>
  <c r="BQ24" i="204"/>
  <c r="CA24" i="204"/>
  <c r="AF24" i="204"/>
  <c r="AG24" i="204"/>
  <c r="AY24" i="204"/>
  <c r="AT24" i="204"/>
  <c r="BE24" i="204"/>
  <c r="AV24" i="204"/>
  <c r="AA24" i="204"/>
  <c r="BZ24" i="204"/>
  <c r="BD24" i="204"/>
  <c r="BK24" i="204"/>
  <c r="BP24" i="204"/>
  <c r="BU24" i="204"/>
  <c r="BR24" i="204"/>
  <c r="BN24" i="204"/>
  <c r="AB24" i="204"/>
  <c r="AQ24" i="204"/>
  <c r="BL24" i="204"/>
  <c r="BO24" i="204"/>
  <c r="U24" i="204"/>
  <c r="BX24" i="204"/>
  <c r="AR24" i="204"/>
  <c r="W24" i="204"/>
  <c r="BT24" i="204"/>
  <c r="BH24" i="204"/>
  <c r="BY24" i="204"/>
  <c r="S24" i="204"/>
  <c r="V24" i="204"/>
  <c r="Z24" i="204"/>
  <c r="B923" i="242"/>
  <c r="A922" i="242"/>
  <c r="A2794" i="242"/>
  <c r="B2795" i="242"/>
  <c r="N29" i="203"/>
  <c r="CA28" i="203"/>
  <c r="BS28" i="203"/>
  <c r="AG28" i="203"/>
  <c r="BH28" i="203"/>
  <c r="AL28" i="203"/>
  <c r="AQ28" i="203"/>
  <c r="AI28" i="203"/>
  <c r="AY28" i="203"/>
  <c r="AS28" i="203"/>
  <c r="AT28" i="203"/>
  <c r="BC28" i="203"/>
  <c r="AB28" i="203"/>
  <c r="BU28" i="203"/>
  <c r="BG28" i="203"/>
  <c r="BV28" i="203"/>
  <c r="BR28" i="203"/>
  <c r="BW28" i="203"/>
  <c r="BY28" i="203"/>
  <c r="BI28" i="203"/>
  <c r="BQ28" i="203"/>
  <c r="BJ28" i="203"/>
  <c r="AW28" i="203"/>
  <c r="X28" i="203"/>
  <c r="BD28" i="203"/>
  <c r="Z28" i="203"/>
  <c r="BN28" i="203"/>
  <c r="AU28" i="203"/>
  <c r="R28" i="203"/>
  <c r="BB28" i="203"/>
  <c r="Y28" i="203"/>
  <c r="AA28" i="203"/>
  <c r="AC28" i="203"/>
  <c r="U28" i="203"/>
  <c r="BO28" i="203"/>
  <c r="BZ28" i="203"/>
  <c r="BX28" i="203"/>
  <c r="BA28" i="203"/>
  <c r="AD28" i="203"/>
  <c r="AH28" i="203"/>
  <c r="BM28" i="203"/>
  <c r="AV28" i="203"/>
  <c r="AE28" i="203"/>
  <c r="AP28" i="203"/>
  <c r="AO28" i="203"/>
  <c r="BE28" i="203"/>
  <c r="V28" i="203"/>
  <c r="BT28" i="203"/>
  <c r="BP28" i="203"/>
  <c r="S28" i="203"/>
  <c r="BF28" i="203"/>
  <c r="BK28" i="203"/>
  <c r="AK28" i="203"/>
  <c r="BL28" i="203"/>
  <c r="AJ28" i="203"/>
  <c r="W28" i="203"/>
  <c r="AX28" i="203"/>
  <c r="AZ28" i="203"/>
  <c r="AR28" i="203"/>
  <c r="T28" i="203"/>
  <c r="AF28" i="203"/>
  <c r="J104" i="69"/>
  <c r="BG25" i="204" l="1"/>
  <c r="AS25" i="204"/>
  <c r="CA25" i="204"/>
  <c r="W25" i="204"/>
  <c r="AB25" i="204"/>
  <c r="AH25" i="204"/>
  <c r="V25" i="204"/>
  <c r="BS25" i="204"/>
  <c r="BH25" i="204"/>
  <c r="BW25" i="204"/>
  <c r="N26" i="204"/>
  <c r="AA25" i="204"/>
  <c r="AG25" i="204"/>
  <c r="BY25" i="204"/>
  <c r="AY25" i="204"/>
  <c r="AP25" i="204"/>
  <c r="AI25" i="204"/>
  <c r="AO25" i="204"/>
  <c r="BP25" i="204"/>
  <c r="T25" i="204"/>
  <c r="AD25" i="204"/>
  <c r="AF25" i="204"/>
  <c r="BQ25" i="204"/>
  <c r="AC25" i="204"/>
  <c r="BR25" i="204"/>
  <c r="AW25" i="204"/>
  <c r="BA25" i="204"/>
  <c r="AT25" i="204"/>
  <c r="AV25" i="204"/>
  <c r="BJ25" i="204"/>
  <c r="BX25" i="204"/>
  <c r="S25" i="204"/>
  <c r="BN25" i="204"/>
  <c r="BB25" i="204"/>
  <c r="X25" i="204"/>
  <c r="BE25" i="204"/>
  <c r="BL25" i="204"/>
  <c r="AQ25" i="204"/>
  <c r="BK25" i="204"/>
  <c r="AU25" i="204"/>
  <c r="BC25" i="204"/>
  <c r="Z25" i="204"/>
  <c r="BU25" i="204"/>
  <c r="BF25" i="204"/>
  <c r="AN25" i="204"/>
  <c r="AX25" i="204"/>
  <c r="Y25" i="204"/>
  <c r="AZ25" i="204"/>
  <c r="BO25" i="204"/>
  <c r="BI25" i="204"/>
  <c r="BZ25" i="204"/>
  <c r="AR25" i="204"/>
  <c r="BD25" i="204"/>
  <c r="U25" i="204"/>
  <c r="AE25" i="204"/>
  <c r="BM25" i="204"/>
  <c r="BV25" i="204"/>
  <c r="BT25" i="204"/>
  <c r="R25" i="204"/>
  <c r="B2796" i="242"/>
  <c r="A2795" i="242"/>
  <c r="A923" i="242"/>
  <c r="B924" i="242"/>
  <c r="N29" i="204"/>
  <c r="N30" i="204" s="1"/>
  <c r="N30" i="203"/>
  <c r="N31" i="203" s="1"/>
  <c r="U29" i="203"/>
  <c r="BW29" i="203"/>
  <c r="BT29" i="203"/>
  <c r="Z29" i="203"/>
  <c r="AU29" i="203"/>
  <c r="BQ29" i="203"/>
  <c r="AK29" i="203"/>
  <c r="BC29" i="203"/>
  <c r="BI29" i="203"/>
  <c r="V29" i="203"/>
  <c r="AB29" i="203"/>
  <c r="AY29" i="203"/>
  <c r="AH29" i="203"/>
  <c r="BE29" i="203"/>
  <c r="BS29" i="203"/>
  <c r="AP29" i="203"/>
  <c r="BH29" i="203"/>
  <c r="BF29" i="203"/>
  <c r="S29" i="203"/>
  <c r="AE29" i="203"/>
  <c r="BR29" i="203"/>
  <c r="AI29" i="203"/>
  <c r="BN29" i="203"/>
  <c r="Y29" i="203"/>
  <c r="AM29" i="203"/>
  <c r="AW29" i="203"/>
  <c r="BL29" i="203"/>
  <c r="AG29" i="203"/>
  <c r="W29" i="203"/>
  <c r="BX29" i="203"/>
  <c r="BA29" i="203"/>
  <c r="AV29" i="203"/>
  <c r="AD29" i="203"/>
  <c r="AL29" i="203"/>
  <c r="AA29" i="203"/>
  <c r="BD29" i="203"/>
  <c r="R29" i="203"/>
  <c r="AC29" i="203"/>
  <c r="BV29" i="203"/>
  <c r="BU29" i="203"/>
  <c r="AS29" i="203"/>
  <c r="X29" i="203"/>
  <c r="BB29" i="203"/>
  <c r="BZ29" i="203"/>
  <c r="BJ29" i="203"/>
  <c r="AJ29" i="203"/>
  <c r="T29" i="203"/>
  <c r="BG29" i="203"/>
  <c r="BM29" i="203"/>
  <c r="BY29" i="203"/>
  <c r="BO29" i="203"/>
  <c r="AQ29" i="203"/>
  <c r="AR29" i="203"/>
  <c r="BK29" i="203"/>
  <c r="AT29" i="203"/>
  <c r="AX29" i="203"/>
  <c r="AZ29" i="203"/>
  <c r="AF29" i="203"/>
  <c r="BP29" i="203"/>
  <c r="CA29" i="203"/>
  <c r="J112" i="43"/>
  <c r="J104" i="43"/>
  <c r="J127" i="69"/>
  <c r="J102" i="43"/>
  <c r="J126" i="69"/>
  <c r="J108" i="43"/>
  <c r="J103" i="43"/>
  <c r="L112" i="43"/>
  <c r="L107" i="43"/>
  <c r="K127" i="69"/>
  <c r="N127" i="69" s="1"/>
  <c r="K126" i="69"/>
  <c r="N126" i="69" s="1"/>
  <c r="L111" i="43"/>
  <c r="J101" i="43"/>
  <c r="L100" i="43"/>
  <c r="L113" i="43"/>
  <c r="L106" i="43"/>
  <c r="J109" i="43"/>
  <c r="J113" i="43"/>
  <c r="L101" i="43"/>
  <c r="L103" i="43"/>
  <c r="L104" i="43"/>
  <c r="J105" i="43"/>
  <c r="L109" i="43"/>
  <c r="L102" i="43"/>
  <c r="L99" i="43"/>
  <c r="L95" i="43"/>
  <c r="J94" i="43"/>
  <c r="J107" i="43"/>
  <c r="K100" i="69"/>
  <c r="J21" i="70" s="1"/>
  <c r="L105" i="43"/>
  <c r="J102" i="69"/>
  <c r="J110" i="43"/>
  <c r="K95" i="69"/>
  <c r="J16" i="70" s="1"/>
  <c r="L108" i="43"/>
  <c r="J100" i="43"/>
  <c r="J99" i="43"/>
  <c r="K111" i="69"/>
  <c r="N111" i="69" s="1"/>
  <c r="L110" i="43"/>
  <c r="J97" i="43"/>
  <c r="J108" i="69"/>
  <c r="J106" i="43"/>
  <c r="J98" i="43"/>
  <c r="J109" i="69"/>
  <c r="J94" i="69"/>
  <c r="L94" i="43"/>
  <c r="J103" i="69"/>
  <c r="J95" i="69"/>
  <c r="K110" i="69"/>
  <c r="N110" i="69" s="1"/>
  <c r="J112" i="69"/>
  <c r="K94" i="69"/>
  <c r="J15" i="70" s="1"/>
  <c r="L97" i="43"/>
  <c r="J96" i="43"/>
  <c r="K105" i="69"/>
  <c r="J26" i="70" s="1"/>
  <c r="J100" i="69"/>
  <c r="J95" i="43"/>
  <c r="K109" i="69"/>
  <c r="J30" i="70" s="1"/>
  <c r="K101" i="69"/>
  <c r="J22" i="70" s="1"/>
  <c r="K96" i="69"/>
  <c r="J17" i="70" s="1"/>
  <c r="K112" i="69"/>
  <c r="J97" i="69"/>
  <c r="K97" i="69"/>
  <c r="J96" i="69"/>
  <c r="K107" i="69"/>
  <c r="K104" i="69"/>
  <c r="K102" i="69"/>
  <c r="K108" i="69"/>
  <c r="J106" i="69"/>
  <c r="J101" i="69"/>
  <c r="J105" i="69"/>
  <c r="K98" i="69"/>
  <c r="K103" i="69"/>
  <c r="L96" i="43"/>
  <c r="K99" i="69"/>
  <c r="J98" i="69"/>
  <c r="J107" i="69"/>
  <c r="K106" i="69"/>
  <c r="J113" i="69"/>
  <c r="L98" i="43"/>
  <c r="J111" i="43"/>
  <c r="J99" i="69"/>
  <c r="J110" i="69"/>
  <c r="J111" i="69"/>
  <c r="K113" i="69"/>
  <c r="BC26" i="204" l="1"/>
  <c r="BH26" i="204"/>
  <c r="AH26" i="204"/>
  <c r="AN26" i="204"/>
  <c r="V26" i="204"/>
  <c r="BV26" i="204"/>
  <c r="BM26" i="204"/>
  <c r="BG26" i="204"/>
  <c r="BF26" i="204"/>
  <c r="X26" i="204"/>
  <c r="AD26" i="204"/>
  <c r="U26" i="204"/>
  <c r="BI26" i="204"/>
  <c r="BY26" i="204"/>
  <c r="BT26" i="204"/>
  <c r="BE26" i="204"/>
  <c r="BW26" i="204"/>
  <c r="AA26" i="204"/>
  <c r="AR26" i="204"/>
  <c r="R26" i="204"/>
  <c r="AS26" i="204"/>
  <c r="BX26" i="204"/>
  <c r="BA26" i="204"/>
  <c r="CA26" i="204"/>
  <c r="BN26" i="204"/>
  <c r="BD26" i="204"/>
  <c r="AY26" i="204"/>
  <c r="BS26" i="204"/>
  <c r="Y26" i="204"/>
  <c r="W26" i="204"/>
  <c r="BZ26" i="204"/>
  <c r="BP26" i="204"/>
  <c r="BU26" i="204"/>
  <c r="BO26" i="204"/>
  <c r="BQ26" i="204"/>
  <c r="AP26" i="204"/>
  <c r="AV26" i="204"/>
  <c r="AZ26" i="204"/>
  <c r="AW26" i="204"/>
  <c r="AG26" i="204"/>
  <c r="BL26" i="204"/>
  <c r="BJ26" i="204"/>
  <c r="N27" i="204"/>
  <c r="AX26" i="204"/>
  <c r="BB26" i="204"/>
  <c r="AU26" i="204"/>
  <c r="AQ26" i="204"/>
  <c r="AT26" i="204"/>
  <c r="AF26" i="204"/>
  <c r="AE26" i="204"/>
  <c r="AC26" i="204"/>
  <c r="AO26" i="204"/>
  <c r="AI26" i="204"/>
  <c r="AB26" i="204"/>
  <c r="S26" i="204"/>
  <c r="BK26" i="204"/>
  <c r="Z26" i="204"/>
  <c r="BR26" i="204"/>
  <c r="T26" i="204"/>
  <c r="AJ26" i="204"/>
  <c r="A924" i="242"/>
  <c r="B925" i="242"/>
  <c r="A2796" i="242"/>
  <c r="B2797" i="242"/>
  <c r="N31" i="204"/>
  <c r="BO30" i="204"/>
  <c r="BC30" i="204"/>
  <c r="W30" i="204"/>
  <c r="BU30" i="204"/>
  <c r="X30" i="204"/>
  <c r="BD30" i="204"/>
  <c r="AL30" i="204"/>
  <c r="AI30" i="204"/>
  <c r="AW30" i="204"/>
  <c r="Z30" i="204"/>
  <c r="Y30" i="204"/>
  <c r="BJ30" i="204"/>
  <c r="BK30" i="204"/>
  <c r="AH30" i="204"/>
  <c r="BP30" i="204"/>
  <c r="BV30" i="204"/>
  <c r="BL30" i="204"/>
  <c r="AM30" i="204"/>
  <c r="S30" i="204"/>
  <c r="BT30" i="204"/>
  <c r="AN30" i="204"/>
  <c r="AC30" i="204"/>
  <c r="AT30" i="204"/>
  <c r="AR30" i="204"/>
  <c r="BX30" i="204"/>
  <c r="AV30" i="204"/>
  <c r="AQ30" i="204"/>
  <c r="AX30" i="204"/>
  <c r="BZ30" i="204"/>
  <c r="AK30" i="204"/>
  <c r="AY30" i="204"/>
  <c r="AU30" i="204"/>
  <c r="V30" i="204"/>
  <c r="BM30" i="204"/>
  <c r="R30" i="204"/>
  <c r="BB30" i="204"/>
  <c r="BN30" i="204"/>
  <c r="BY30" i="204"/>
  <c r="AA30" i="204"/>
  <c r="AD30" i="204"/>
  <c r="BG30" i="204"/>
  <c r="T30" i="204"/>
  <c r="AS30" i="204"/>
  <c r="BF30" i="204"/>
  <c r="AJ30" i="204"/>
  <c r="AE30" i="204"/>
  <c r="U30" i="204"/>
  <c r="AF30" i="204"/>
  <c r="BA30" i="204"/>
  <c r="BE30" i="204"/>
  <c r="BW30" i="204"/>
  <c r="AZ30" i="204"/>
  <c r="CA30" i="204"/>
  <c r="AB30" i="204"/>
  <c r="BS30" i="204"/>
  <c r="AG30" i="204"/>
  <c r="BH30" i="204"/>
  <c r="BI30" i="204"/>
  <c r="BR30" i="204"/>
  <c r="BQ30" i="204"/>
  <c r="Y31" i="203"/>
  <c r="BJ31" i="203"/>
  <c r="AW31" i="203"/>
  <c r="Z31" i="203"/>
  <c r="BL31" i="203"/>
  <c r="BR31" i="203"/>
  <c r="AF31" i="203"/>
  <c r="V31" i="203"/>
  <c r="AK31" i="203"/>
  <c r="AA31" i="203"/>
  <c r="BV31" i="203"/>
  <c r="AB31" i="203"/>
  <c r="BH31" i="203"/>
  <c r="AV31" i="203"/>
  <c r="AZ31" i="203"/>
  <c r="BU31" i="203"/>
  <c r="BG31" i="203"/>
  <c r="BP31" i="203"/>
  <c r="AE31" i="203"/>
  <c r="AN31" i="203"/>
  <c r="AT31" i="203"/>
  <c r="BO31" i="203"/>
  <c r="AH31" i="203"/>
  <c r="AI31" i="203"/>
  <c r="AM31" i="203"/>
  <c r="AC31" i="203"/>
  <c r="BN31" i="203"/>
  <c r="AU31" i="203"/>
  <c r="T31" i="203"/>
  <c r="BB31" i="203"/>
  <c r="BA31" i="203"/>
  <c r="BS31" i="203"/>
  <c r="BW31" i="203"/>
  <c r="BQ31" i="203"/>
  <c r="W31" i="203"/>
  <c r="AX31" i="203"/>
  <c r="U31" i="203"/>
  <c r="BD31" i="203"/>
  <c r="BK31" i="203"/>
  <c r="BM31" i="203"/>
  <c r="AD31" i="203"/>
  <c r="AY31" i="203"/>
  <c r="AR31" i="203"/>
  <c r="BX31" i="203"/>
  <c r="BY31" i="203"/>
  <c r="BC31" i="203"/>
  <c r="CA31" i="203"/>
  <c r="AG31" i="203"/>
  <c r="AJ31" i="203"/>
  <c r="BE31" i="203"/>
  <c r="AO31" i="203"/>
  <c r="R31" i="203"/>
  <c r="S31" i="203"/>
  <c r="X31" i="203"/>
  <c r="AS31" i="203"/>
  <c r="BF31" i="203"/>
  <c r="BT31" i="203"/>
  <c r="AL31" i="203"/>
  <c r="BI31" i="203"/>
  <c r="BZ31" i="203"/>
  <c r="AU30" i="203"/>
  <c r="BK30" i="203"/>
  <c r="BX30" i="203"/>
  <c r="BV30" i="203"/>
  <c r="BQ30" i="203"/>
  <c r="AT30" i="203"/>
  <c r="BU30" i="203"/>
  <c r="Y30" i="203"/>
  <c r="AG30" i="203"/>
  <c r="X30" i="203"/>
  <c r="AL30" i="203"/>
  <c r="BJ30" i="203"/>
  <c r="AC30" i="203"/>
  <c r="BS30" i="203"/>
  <c r="AV30" i="203"/>
  <c r="AJ30" i="203"/>
  <c r="BI30" i="203"/>
  <c r="AM30" i="203"/>
  <c r="AI30" i="203"/>
  <c r="BO30" i="203"/>
  <c r="BP30" i="203"/>
  <c r="AN30" i="203"/>
  <c r="AX30" i="203"/>
  <c r="BN30" i="203"/>
  <c r="BM30" i="203"/>
  <c r="AH30" i="203"/>
  <c r="BD30" i="203"/>
  <c r="AD30" i="203"/>
  <c r="R30" i="203"/>
  <c r="BC30" i="203"/>
  <c r="BR30" i="203"/>
  <c r="AS30" i="203"/>
  <c r="T30" i="203"/>
  <c r="AY30" i="203"/>
  <c r="AE30" i="203"/>
  <c r="BZ30" i="203"/>
  <c r="BB30" i="203"/>
  <c r="U30" i="203"/>
  <c r="BH30" i="203"/>
  <c r="BE30" i="203"/>
  <c r="BL30" i="203"/>
  <c r="BG30" i="203"/>
  <c r="CA30" i="203"/>
  <c r="S30" i="203"/>
  <c r="BW30" i="203"/>
  <c r="BT30" i="203"/>
  <c r="AF30" i="203"/>
  <c r="AK30" i="203"/>
  <c r="AR30" i="203"/>
  <c r="AQ30" i="203"/>
  <c r="AA30" i="203"/>
  <c r="Z30" i="203"/>
  <c r="AW30" i="203"/>
  <c r="V30" i="203"/>
  <c r="BA30" i="203"/>
  <c r="BF30" i="203"/>
  <c r="AB30" i="203"/>
  <c r="BY30" i="203"/>
  <c r="AZ30" i="203"/>
  <c r="W30" i="203"/>
  <c r="T29" i="204"/>
  <c r="X29" i="204"/>
  <c r="BD29" i="204"/>
  <c r="BP29" i="204"/>
  <c r="BX29" i="204"/>
  <c r="Y29" i="204"/>
  <c r="U29" i="204"/>
  <c r="BM29" i="204"/>
  <c r="R29" i="204"/>
  <c r="BI29" i="204"/>
  <c r="V29" i="204"/>
  <c r="AK29" i="204"/>
  <c r="BK29" i="204"/>
  <c r="AP29" i="204"/>
  <c r="BH29" i="204"/>
  <c r="BC29" i="204"/>
  <c r="AQ29" i="204"/>
  <c r="AA29" i="204"/>
  <c r="BN29" i="204"/>
  <c r="BG29" i="204"/>
  <c r="AY29" i="204"/>
  <c r="BW29" i="204"/>
  <c r="Z29" i="204"/>
  <c r="BA29" i="204"/>
  <c r="AB29" i="204"/>
  <c r="BO29" i="204"/>
  <c r="AI29" i="204"/>
  <c r="BJ29" i="204"/>
  <c r="BQ29" i="204"/>
  <c r="AT29" i="204"/>
  <c r="AD29" i="204"/>
  <c r="BE29" i="204"/>
  <c r="AM29" i="204"/>
  <c r="BB29" i="204"/>
  <c r="AJ29" i="204"/>
  <c r="AL29" i="204"/>
  <c r="AR29" i="204"/>
  <c r="BT29" i="204"/>
  <c r="BF29" i="204"/>
  <c r="AV29" i="204"/>
  <c r="BZ29" i="204"/>
  <c r="BL29" i="204"/>
  <c r="S29" i="204"/>
  <c r="BS29" i="204"/>
  <c r="AZ29" i="204"/>
  <c r="BY29" i="204"/>
  <c r="BV29" i="204"/>
  <c r="AH29" i="204"/>
  <c r="AE29" i="204"/>
  <c r="AF29" i="204"/>
  <c r="AW29" i="204"/>
  <c r="AX29" i="204"/>
  <c r="AU29" i="204"/>
  <c r="BU29" i="204"/>
  <c r="CA29" i="204"/>
  <c r="AC29" i="204"/>
  <c r="BR29" i="204"/>
  <c r="AS29" i="204"/>
  <c r="W29" i="204"/>
  <c r="AG29" i="204"/>
  <c r="J136" i="43"/>
  <c r="L136" i="43"/>
  <c r="O110" i="69"/>
  <c r="O111" i="69"/>
  <c r="J32" i="70"/>
  <c r="N95" i="69"/>
  <c r="O95" i="69" s="1"/>
  <c r="N100" i="69"/>
  <c r="O100" i="69" s="1"/>
  <c r="N105" i="69"/>
  <c r="O105" i="69" s="1"/>
  <c r="J31" i="70"/>
  <c r="N94" i="69"/>
  <c r="O94" i="69" s="1"/>
  <c r="F25" i="69" s="1"/>
  <c r="N101" i="69"/>
  <c r="O101" i="69" s="1"/>
  <c r="N96" i="69"/>
  <c r="O96" i="69" s="1"/>
  <c r="N109" i="69"/>
  <c r="O109" i="69" s="1"/>
  <c r="J28" i="70"/>
  <c r="N107" i="69"/>
  <c r="O107" i="69" s="1"/>
  <c r="J20" i="70"/>
  <c r="N99" i="69"/>
  <c r="O99" i="69" s="1"/>
  <c r="J29" i="70"/>
  <c r="N108" i="69"/>
  <c r="O108" i="69" s="1"/>
  <c r="J19" i="70"/>
  <c r="N98" i="69"/>
  <c r="O98" i="69" s="1"/>
  <c r="J34" i="70"/>
  <c r="N113" i="69"/>
  <c r="O113" i="69" s="1"/>
  <c r="J23" i="70"/>
  <c r="N102" i="69"/>
  <c r="O102" i="69" s="1"/>
  <c r="J18" i="70"/>
  <c r="N97" i="69"/>
  <c r="O97" i="69" s="1"/>
  <c r="J27" i="70"/>
  <c r="N106" i="69"/>
  <c r="O106" i="69" s="1"/>
  <c r="J25" i="70"/>
  <c r="N104" i="69"/>
  <c r="O104" i="69" s="1"/>
  <c r="F35" i="69" s="1"/>
  <c r="J24" i="70"/>
  <c r="N103" i="69"/>
  <c r="O103" i="69" s="1"/>
  <c r="J33" i="70"/>
  <c r="N112" i="69"/>
  <c r="O112" i="69" s="1"/>
  <c r="F30" i="69" l="1"/>
  <c r="AJ27" i="204"/>
  <c r="AF27" i="204"/>
  <c r="AB27" i="204"/>
  <c r="R27" i="204"/>
  <c r="BJ27" i="204"/>
  <c r="AE27" i="204"/>
  <c r="BC27" i="204"/>
  <c r="BO27" i="204"/>
  <c r="BK27" i="204"/>
  <c r="AG27" i="204"/>
  <c r="BY27" i="204"/>
  <c r="N28" i="204"/>
  <c r="BR27" i="204"/>
  <c r="BQ27" i="204"/>
  <c r="AS27" i="204"/>
  <c r="T27" i="204"/>
  <c r="BB27" i="204"/>
  <c r="BF27" i="204"/>
  <c r="Y27" i="204"/>
  <c r="S27" i="204"/>
  <c r="AV27" i="204"/>
  <c r="AU27" i="204"/>
  <c r="AC27" i="204"/>
  <c r="BL27" i="204"/>
  <c r="BI27" i="204"/>
  <c r="BH27" i="204"/>
  <c r="AK27" i="204"/>
  <c r="U27" i="204"/>
  <c r="AW27" i="204"/>
  <c r="AN27" i="204"/>
  <c r="W27" i="204"/>
  <c r="AH27" i="204"/>
  <c r="V27" i="204"/>
  <c r="BT27" i="204"/>
  <c r="AZ27" i="204"/>
  <c r="BG27" i="204"/>
  <c r="AY27" i="204"/>
  <c r="BM27" i="204"/>
  <c r="BV27" i="204"/>
  <c r="AO27" i="204"/>
  <c r="BN27" i="204"/>
  <c r="BE27" i="204"/>
  <c r="BZ27" i="204"/>
  <c r="BA27" i="204"/>
  <c r="BD27" i="204"/>
  <c r="BX27" i="204"/>
  <c r="AQ27" i="204"/>
  <c r="BW27" i="204"/>
  <c r="AX27" i="204"/>
  <c r="AP27" i="204"/>
  <c r="AI27" i="204"/>
  <c r="BS27" i="204"/>
  <c r="Z27" i="204"/>
  <c r="BP27" i="204"/>
  <c r="CA27" i="204"/>
  <c r="AT27" i="204"/>
  <c r="AD27" i="204"/>
  <c r="BU27" i="204"/>
  <c r="AA27" i="204"/>
  <c r="AR27" i="204"/>
  <c r="X27" i="204"/>
  <c r="F33" i="69"/>
  <c r="F26" i="69"/>
  <c r="F28" i="69"/>
  <c r="F29" i="69"/>
  <c r="F27" i="69"/>
  <c r="F31" i="69"/>
  <c r="F32" i="69"/>
  <c r="F34" i="69"/>
  <c r="F36" i="69"/>
  <c r="A2797" i="242"/>
  <c r="B2798" i="242"/>
  <c r="A925" i="242"/>
  <c r="B926" i="242"/>
  <c r="F37" i="69"/>
  <c r="AV31" i="204"/>
  <c r="BW31" i="204"/>
  <c r="BX31" i="204"/>
  <c r="BE31" i="204"/>
  <c r="BU31" i="204"/>
  <c r="AJ31" i="204"/>
  <c r="AT31" i="204"/>
  <c r="AO31" i="204"/>
  <c r="CA31" i="204"/>
  <c r="BV31" i="204"/>
  <c r="BN31" i="204"/>
  <c r="AA31" i="204"/>
  <c r="AB31" i="204"/>
  <c r="AE31" i="204"/>
  <c r="BC31" i="204"/>
  <c r="AF31" i="204"/>
  <c r="BS31" i="204"/>
  <c r="AG31" i="204"/>
  <c r="AM31" i="204"/>
  <c r="BA31" i="204"/>
  <c r="AH31" i="204"/>
  <c r="AW31" i="204"/>
  <c r="BK31" i="204"/>
  <c r="BZ31" i="204"/>
  <c r="BY31" i="204"/>
  <c r="AZ31" i="204"/>
  <c r="AD31" i="204"/>
  <c r="U31" i="204"/>
  <c r="BM31" i="204"/>
  <c r="BF31" i="204"/>
  <c r="BP31" i="204"/>
  <c r="BL31" i="204"/>
  <c r="BT31" i="204"/>
  <c r="AR31" i="204"/>
  <c r="AL31" i="204"/>
  <c r="AU31" i="204"/>
  <c r="AX31" i="204"/>
  <c r="AS31" i="204"/>
  <c r="W31" i="204"/>
  <c r="AY31" i="204"/>
  <c r="AC31" i="204"/>
  <c r="Z31" i="204"/>
  <c r="BJ31" i="204"/>
  <c r="BR31" i="204"/>
  <c r="BO31" i="204"/>
  <c r="X31" i="204"/>
  <c r="BH31" i="204"/>
  <c r="AN31" i="204"/>
  <c r="BQ31" i="204"/>
  <c r="AI31" i="204"/>
  <c r="T31" i="204"/>
  <c r="Y31" i="204"/>
  <c r="BB31" i="204"/>
  <c r="S31" i="204"/>
  <c r="R31" i="204"/>
  <c r="BD31" i="204"/>
  <c r="AK31" i="204"/>
  <c r="BG31" i="204"/>
  <c r="V31" i="204"/>
  <c r="BI31" i="204"/>
  <c r="P136" i="43"/>
  <c r="L137" i="43"/>
  <c r="J137" i="43"/>
  <c r="J126" i="43"/>
  <c r="L126" i="43"/>
  <c r="J131" i="43"/>
  <c r="L131" i="43"/>
  <c r="K121" i="69"/>
  <c r="N121" i="69" s="1"/>
  <c r="J121" i="69"/>
  <c r="K116" i="69"/>
  <c r="J116" i="69"/>
  <c r="L116" i="43"/>
  <c r="J116" i="43"/>
  <c r="L121" i="43"/>
  <c r="J121" i="43"/>
  <c r="BS28" i="204" l="1"/>
  <c r="AB28" i="204"/>
  <c r="BG28" i="204"/>
  <c r="BM28" i="204"/>
  <c r="AC28" i="204"/>
  <c r="BU28" i="204"/>
  <c r="AT28" i="204"/>
  <c r="BJ28" i="204"/>
  <c r="BF28" i="204"/>
  <c r="BT28" i="204"/>
  <c r="BY28" i="204"/>
  <c r="BW28" i="204"/>
  <c r="BL28" i="204"/>
  <c r="AH28" i="204"/>
  <c r="U28" i="204"/>
  <c r="BQ28" i="204"/>
  <c r="BN28" i="204"/>
  <c r="AQ28" i="204"/>
  <c r="T28" i="204"/>
  <c r="AJ28" i="204"/>
  <c r="BD28" i="204"/>
  <c r="BB28" i="204"/>
  <c r="AL28" i="204"/>
  <c r="S28" i="204"/>
  <c r="AY28" i="204"/>
  <c r="BZ28" i="204"/>
  <c r="BH28" i="204"/>
  <c r="AE28" i="204"/>
  <c r="BR28" i="204"/>
  <c r="BE28" i="204"/>
  <c r="BK28" i="204"/>
  <c r="AO28" i="204"/>
  <c r="AF28" i="204"/>
  <c r="AW28" i="204"/>
  <c r="BP28" i="204"/>
  <c r="R28" i="204"/>
  <c r="AS28" i="204"/>
  <c r="X28" i="204"/>
  <c r="AP28" i="204"/>
  <c r="AK28" i="204"/>
  <c r="AU28" i="204"/>
  <c r="BC28" i="204"/>
  <c r="AD28" i="204"/>
  <c r="AZ28" i="204"/>
  <c r="V28" i="204"/>
  <c r="AR28" i="204"/>
  <c r="CA28" i="204"/>
  <c r="BA28" i="204"/>
  <c r="BX28" i="204"/>
  <c r="BI28" i="204"/>
  <c r="Y28" i="204"/>
  <c r="AG28" i="204"/>
  <c r="W28" i="204"/>
  <c r="BO28" i="204"/>
  <c r="AV28" i="204"/>
  <c r="AA28" i="204"/>
  <c r="BV28" i="204"/>
  <c r="AX28" i="204"/>
  <c r="Z28" i="204"/>
  <c r="AI28" i="204"/>
  <c r="B927" i="242"/>
  <c r="A926" i="242"/>
  <c r="A2798" i="242"/>
  <c r="B2799" i="242"/>
  <c r="P137" i="43"/>
  <c r="Q136" i="43"/>
  <c r="R136" i="43" s="1"/>
  <c r="P131" i="43"/>
  <c r="Q131" i="43" s="1"/>
  <c r="R131" i="43" s="1"/>
  <c r="P126" i="43"/>
  <c r="Q126" i="43" s="1"/>
  <c r="R126" i="43" s="1"/>
  <c r="J132" i="43"/>
  <c r="L132" i="43"/>
  <c r="L127" i="43"/>
  <c r="J127" i="43"/>
  <c r="K122" i="69"/>
  <c r="N122" i="69" s="1"/>
  <c r="J122" i="69"/>
  <c r="K117" i="69"/>
  <c r="N117" i="69" s="1"/>
  <c r="J117" i="69"/>
  <c r="L117" i="43"/>
  <c r="J117" i="43"/>
  <c r="L122" i="43"/>
  <c r="J122" i="43"/>
  <c r="A2799" i="242" l="1"/>
  <c r="B2800" i="242"/>
  <c r="B928" i="242"/>
  <c r="A927" i="242"/>
  <c r="W37" i="69"/>
  <c r="L68" i="69"/>
  <c r="Q137" i="43"/>
  <c r="R137" i="43" s="1"/>
  <c r="R138" i="43" s="1"/>
  <c r="P132" i="43"/>
  <c r="Q132" i="43" s="1"/>
  <c r="R132" i="43" s="1"/>
  <c r="R133" i="43" s="1"/>
  <c r="P127" i="43"/>
  <c r="Q127" i="43" s="1"/>
  <c r="R127" i="43" s="1"/>
  <c r="R128" i="43" s="1"/>
  <c r="A928" i="242" l="1"/>
  <c r="B929" i="242"/>
  <c r="A2800" i="242"/>
  <c r="B2801" i="242"/>
  <c r="G35" i="43"/>
  <c r="G31" i="43"/>
  <c r="G32" i="43"/>
  <c r="G33" i="43"/>
  <c r="G34" i="43"/>
  <c r="A2801" i="242" l="1"/>
  <c r="B2802" i="242"/>
  <c r="A929" i="242"/>
  <c r="B930" i="242"/>
  <c r="Q113" i="43"/>
  <c r="R113" i="43" s="1"/>
  <c r="AL8" i="43"/>
  <c r="BD8" i="43"/>
  <c r="AT8" i="43"/>
  <c r="BC8" i="43"/>
  <c r="B931" i="242" l="1"/>
  <c r="A930" i="242"/>
  <c r="B2803" i="242"/>
  <c r="A2802" i="242"/>
  <c r="BB8" i="43"/>
  <c r="B2804" i="242" l="1"/>
  <c r="A2803" i="242"/>
  <c r="B932" i="242"/>
  <c r="A931" i="242"/>
  <c r="Q110" i="43"/>
  <c r="R110" i="43" s="1"/>
  <c r="Q112" i="43"/>
  <c r="R112" i="43" s="1"/>
  <c r="Q109" i="43"/>
  <c r="R109" i="43" s="1"/>
  <c r="Q106" i="43"/>
  <c r="R106" i="43" s="1"/>
  <c r="Q107" i="43"/>
  <c r="R107" i="43" s="1"/>
  <c r="Q111" i="43"/>
  <c r="R111" i="43" s="1"/>
  <c r="Q108" i="43"/>
  <c r="R108" i="43" s="1"/>
  <c r="A932" i="242" l="1"/>
  <c r="B933" i="242"/>
  <c r="A2804" i="242"/>
  <c r="B2805" i="242"/>
  <c r="A2805" i="242" l="1"/>
  <c r="B2806" i="242"/>
  <c r="A933" i="242"/>
  <c r="B934" i="242"/>
  <c r="A934" i="242" l="1"/>
  <c r="B935" i="242"/>
  <c r="B2807" i="242"/>
  <c r="A2806" i="242"/>
  <c r="A2807" i="242" l="1"/>
  <c r="B2808" i="242"/>
  <c r="A935" i="242"/>
  <c r="B936" i="242"/>
  <c r="A936" i="242" l="1"/>
  <c r="B937" i="242"/>
  <c r="A2808" i="242"/>
  <c r="B2809" i="242"/>
  <c r="BN23" i="4" a="1"/>
  <c r="BN25" i="4" s="1"/>
  <c r="B74" i="43"/>
  <c r="A2809" i="242" l="1"/>
  <c r="B2810" i="242"/>
  <c r="A937" i="242"/>
  <c r="B938" i="242"/>
  <c r="F74" i="43"/>
  <c r="G74" i="43"/>
  <c r="BN61" i="4"/>
  <c r="BN66" i="4"/>
  <c r="BN35" i="4"/>
  <c r="BN44" i="4"/>
  <c r="BN51" i="4"/>
  <c r="BN64" i="4"/>
  <c r="BN69" i="4"/>
  <c r="BN39" i="4"/>
  <c r="BN23" i="4"/>
  <c r="BN63" i="4"/>
  <c r="BN31" i="4"/>
  <c r="BN81" i="4"/>
  <c r="BN29" i="4"/>
  <c r="BN42" i="4"/>
  <c r="BN76" i="4"/>
  <c r="BN67" i="4"/>
  <c r="BN82" i="4"/>
  <c r="BN34" i="4"/>
  <c r="BN53" i="4"/>
  <c r="BN30" i="4"/>
  <c r="BN36" i="4"/>
  <c r="BN60" i="4"/>
  <c r="BN40" i="4"/>
  <c r="BN59" i="4"/>
  <c r="BN85" i="4"/>
  <c r="BN28" i="4"/>
  <c r="BN83" i="4"/>
  <c r="BN46" i="4"/>
  <c r="BN48" i="4"/>
  <c r="BN65" i="4"/>
  <c r="BN79" i="4"/>
  <c r="BN26" i="4"/>
  <c r="BN45" i="4"/>
  <c r="BN50" i="4"/>
  <c r="BN74" i="4"/>
  <c r="BN41" i="4"/>
  <c r="BN62" i="4"/>
  <c r="BN32" i="4"/>
  <c r="BN78" i="4"/>
  <c r="BN68" i="4"/>
  <c r="BN72" i="4"/>
  <c r="BN56" i="4"/>
  <c r="BN58" i="4"/>
  <c r="BN86" i="4"/>
  <c r="BN49" i="4"/>
  <c r="BN52" i="4"/>
  <c r="BN27" i="4"/>
  <c r="BN73" i="4"/>
  <c r="BN87" i="4"/>
  <c r="BN80" i="4"/>
  <c r="BN47" i="4"/>
  <c r="BN71" i="4"/>
  <c r="BN84" i="4"/>
  <c r="BN88" i="4"/>
  <c r="BN33" i="4"/>
  <c r="BN75" i="4"/>
  <c r="BN77" i="4"/>
  <c r="BN24" i="4"/>
  <c r="AJ33" i="4"/>
  <c r="AK33" i="4" s="1"/>
  <c r="Q27" i="43" s="1"/>
  <c r="V27" i="43" s="1"/>
  <c r="BN55" i="4"/>
  <c r="BN38" i="4"/>
  <c r="BN37" i="4"/>
  <c r="BN57" i="4"/>
  <c r="BN54" i="4"/>
  <c r="BN70" i="4"/>
  <c r="BN43" i="4"/>
  <c r="U39" i="4"/>
  <c r="AE33" i="43" s="1"/>
  <c r="U64" i="4"/>
  <c r="AE58" i="43" s="1"/>
  <c r="U87" i="4"/>
  <c r="AE81" i="43" s="1"/>
  <c r="U67" i="4"/>
  <c r="AE61" i="43" s="1"/>
  <c r="U24" i="4"/>
  <c r="AE18" i="43" s="1"/>
  <c r="U78" i="4"/>
  <c r="AE72" i="43" s="1"/>
  <c r="U41" i="4"/>
  <c r="AE35" i="43" s="1"/>
  <c r="U74" i="4"/>
  <c r="AE68" i="43" s="1"/>
  <c r="U68" i="4"/>
  <c r="AE62" i="43" s="1"/>
  <c r="U29" i="4"/>
  <c r="AE23" i="43" s="1"/>
  <c r="U79" i="4"/>
  <c r="AE73" i="43" s="1"/>
  <c r="U32" i="4"/>
  <c r="AE26" i="43" s="1"/>
  <c r="U63" i="4"/>
  <c r="AE57" i="43" s="1"/>
  <c r="U26" i="4"/>
  <c r="AE20" i="43" s="1"/>
  <c r="U81" i="4"/>
  <c r="AE75" i="43" s="1"/>
  <c r="U27" i="4"/>
  <c r="AE21" i="43" s="1"/>
  <c r="U84" i="4"/>
  <c r="AE78" i="43" s="1"/>
  <c r="U60" i="4"/>
  <c r="AE54" i="43" s="1"/>
  <c r="U31" i="4"/>
  <c r="AE25" i="43" s="1"/>
  <c r="U86" i="4"/>
  <c r="AE80" i="43" s="1"/>
  <c r="U83" i="4"/>
  <c r="AE77" i="43" s="1"/>
  <c r="U36" i="4"/>
  <c r="AE30" i="43" s="1"/>
  <c r="U52" i="4"/>
  <c r="AE46" i="43" s="1"/>
  <c r="U65" i="4"/>
  <c r="AE59" i="43" s="1"/>
  <c r="U56" i="4"/>
  <c r="AE50" i="43" s="1"/>
  <c r="U28" i="4"/>
  <c r="AE22" i="43" s="1"/>
  <c r="U71" i="4"/>
  <c r="AE65" i="43" s="1"/>
  <c r="U76" i="4"/>
  <c r="AE70" i="43" s="1"/>
  <c r="U75" i="4"/>
  <c r="AE69" i="43" s="1"/>
  <c r="U37" i="4"/>
  <c r="AE31" i="43" s="1"/>
  <c r="U69" i="4"/>
  <c r="AE63" i="43" s="1"/>
  <c r="U70" i="4"/>
  <c r="AE64" i="43" s="1"/>
  <c r="U35" i="4"/>
  <c r="AE29" i="43" s="1"/>
  <c r="U38" i="4"/>
  <c r="AE32" i="43" s="1"/>
  <c r="U73" i="4"/>
  <c r="AE67" i="43" s="1"/>
  <c r="U33" i="4"/>
  <c r="AE27" i="43" s="1"/>
  <c r="U72" i="4"/>
  <c r="AE66" i="43" s="1"/>
  <c r="U58" i="4"/>
  <c r="AE52" i="43" s="1"/>
  <c r="U57" i="4"/>
  <c r="AE51" i="43" s="1"/>
  <c r="U77" i="4"/>
  <c r="AE71" i="43" s="1"/>
  <c r="U23" i="4"/>
  <c r="AE17" i="43" s="1"/>
  <c r="U54" i="4"/>
  <c r="AE48" i="43" s="1"/>
  <c r="U30" i="4"/>
  <c r="AE24" i="43" s="1"/>
  <c r="U61" i="4"/>
  <c r="AE55" i="43" s="1"/>
  <c r="U40" i="4"/>
  <c r="AE34" i="43" s="1"/>
  <c r="U55" i="4"/>
  <c r="AE49" i="43" s="1"/>
  <c r="U82" i="4"/>
  <c r="AE76" i="43" s="1"/>
  <c r="U53" i="4"/>
  <c r="AE47" i="43" s="1"/>
  <c r="U59" i="4"/>
  <c r="AE53" i="43" s="1"/>
  <c r="U85" i="4"/>
  <c r="AE79" i="43" s="1"/>
  <c r="U88" i="4"/>
  <c r="U25" i="4"/>
  <c r="AE19" i="43" s="1"/>
  <c r="U34" i="4"/>
  <c r="AE28" i="43" s="1"/>
  <c r="U62" i="4"/>
  <c r="AE56" i="43" s="1"/>
  <c r="U66" i="4"/>
  <c r="AE60" i="43" s="1"/>
  <c r="U80" i="4"/>
  <c r="AE74" i="43" s="1"/>
  <c r="B17" i="43"/>
  <c r="B40" i="43"/>
  <c r="B49" i="43"/>
  <c r="F49" i="43" s="1"/>
  <c r="B32" i="43"/>
  <c r="B28" i="43"/>
  <c r="G28" i="43" s="1"/>
  <c r="B23" i="43"/>
  <c r="B35" i="43"/>
  <c r="B61" i="43"/>
  <c r="B34" i="43"/>
  <c r="F34" i="43" s="1"/>
  <c r="B76" i="43"/>
  <c r="B52" i="43"/>
  <c r="B42" i="43"/>
  <c r="G42" i="43" s="1"/>
  <c r="B53" i="43"/>
  <c r="F53" i="43" s="1"/>
  <c r="B27" i="43"/>
  <c r="G27" i="43" s="1"/>
  <c r="B72" i="43"/>
  <c r="B59" i="43"/>
  <c r="B50" i="43"/>
  <c r="B21" i="43"/>
  <c r="B36" i="43"/>
  <c r="G36" i="43" s="1"/>
  <c r="B67" i="43"/>
  <c r="B51" i="43"/>
  <c r="B19" i="43"/>
  <c r="B56" i="43"/>
  <c r="B60" i="43"/>
  <c r="B39" i="43"/>
  <c r="G39" i="43" s="1"/>
  <c r="B22" i="43"/>
  <c r="B30" i="43"/>
  <c r="G30" i="43" s="1"/>
  <c r="B24" i="43"/>
  <c r="B45" i="43"/>
  <c r="G45" i="43" s="1"/>
  <c r="B54" i="43"/>
  <c r="B31" i="43"/>
  <c r="F31" i="43" s="1"/>
  <c r="B75" i="43"/>
  <c r="B33" i="43"/>
  <c r="B37" i="43"/>
  <c r="B48" i="43"/>
  <c r="B78" i="43"/>
  <c r="B55" i="43"/>
  <c r="B77" i="43"/>
  <c r="B47" i="43"/>
  <c r="B65" i="43"/>
  <c r="B26" i="43"/>
  <c r="G26" i="43" s="1"/>
  <c r="B63" i="43"/>
  <c r="B66" i="43"/>
  <c r="B29" i="43"/>
  <c r="G29" i="43" s="1"/>
  <c r="B69" i="43"/>
  <c r="B64" i="43"/>
  <c r="B71" i="43"/>
  <c r="B68" i="43"/>
  <c r="B18" i="43"/>
  <c r="B44" i="43"/>
  <c r="B46" i="43"/>
  <c r="G46" i="43" s="1"/>
  <c r="B62" i="43"/>
  <c r="B73" i="43"/>
  <c r="B41" i="43"/>
  <c r="B57" i="43"/>
  <c r="B38" i="43"/>
  <c r="B58" i="43"/>
  <c r="B20" i="43"/>
  <c r="B70" i="43"/>
  <c r="B25" i="43"/>
  <c r="G25" i="43" s="1"/>
  <c r="B43" i="43"/>
  <c r="B939" i="242" l="1"/>
  <c r="A938" i="242"/>
  <c r="B2811" i="242"/>
  <c r="A2810" i="242"/>
  <c r="F43" i="43"/>
  <c r="G43" i="43"/>
  <c r="F62" i="43"/>
  <c r="G62" i="43"/>
  <c r="F65" i="43"/>
  <c r="G65" i="43"/>
  <c r="F24" i="43"/>
  <c r="G24" i="43"/>
  <c r="F59" i="43"/>
  <c r="G59" i="43"/>
  <c r="F60" i="43"/>
  <c r="G60" i="43"/>
  <c r="F70" i="43"/>
  <c r="G70" i="43"/>
  <c r="F71" i="43"/>
  <c r="G71" i="43"/>
  <c r="F48" i="43"/>
  <c r="G48" i="43"/>
  <c r="F56" i="43"/>
  <c r="G56" i="43"/>
  <c r="F52" i="43"/>
  <c r="G52" i="43"/>
  <c r="F40" i="43"/>
  <c r="G40" i="43"/>
  <c r="F20" i="43"/>
  <c r="G20" i="43"/>
  <c r="F64" i="43"/>
  <c r="G64" i="43"/>
  <c r="F37" i="43"/>
  <c r="G37" i="43"/>
  <c r="F19" i="43"/>
  <c r="G19" i="43"/>
  <c r="F76" i="43"/>
  <c r="G76" i="43"/>
  <c r="F72" i="43"/>
  <c r="G72" i="43"/>
  <c r="F18" i="43"/>
  <c r="G18" i="43"/>
  <c r="F58" i="43"/>
  <c r="G58" i="43"/>
  <c r="F51" i="43"/>
  <c r="G51" i="43"/>
  <c r="G38" i="43"/>
  <c r="F75" i="43"/>
  <c r="G75" i="43"/>
  <c r="F67" i="43"/>
  <c r="G67" i="43"/>
  <c r="F61" i="43"/>
  <c r="G61" i="43"/>
  <c r="F69" i="43"/>
  <c r="G69" i="43"/>
  <c r="F57" i="43"/>
  <c r="G57" i="43"/>
  <c r="F66" i="43"/>
  <c r="G66" i="43"/>
  <c r="F55" i="43"/>
  <c r="G55" i="43"/>
  <c r="G41" i="43"/>
  <c r="F63" i="43"/>
  <c r="G63" i="43"/>
  <c r="F54" i="43"/>
  <c r="G54" i="43"/>
  <c r="F21" i="43"/>
  <c r="G21" i="43"/>
  <c r="F23" i="43"/>
  <c r="G23" i="43"/>
  <c r="F47" i="43"/>
  <c r="G47" i="43"/>
  <c r="G44" i="43"/>
  <c r="F22" i="43"/>
  <c r="G22" i="43"/>
  <c r="F68" i="43"/>
  <c r="G68" i="43"/>
  <c r="F73" i="43"/>
  <c r="G73" i="43"/>
  <c r="F50" i="43"/>
  <c r="G50" i="43"/>
  <c r="AJ26" i="4"/>
  <c r="AK26" i="4" s="1"/>
  <c r="Q20" i="43" s="1"/>
  <c r="V20" i="43" s="1"/>
  <c r="AJ46" i="4"/>
  <c r="AK46" i="4" s="1"/>
  <c r="AJ70" i="4"/>
  <c r="AK70" i="4" s="1"/>
  <c r="AJ30" i="4"/>
  <c r="AK30" i="4" s="1"/>
  <c r="Q24" i="43" s="1"/>
  <c r="V24" i="43" s="1"/>
  <c r="AJ28" i="4"/>
  <c r="AK28" i="4" s="1"/>
  <c r="Q22" i="43" s="1"/>
  <c r="V22" i="43" s="1"/>
  <c r="AJ73" i="4"/>
  <c r="AK73" i="4" s="1"/>
  <c r="AJ76" i="4"/>
  <c r="AK76" i="4" s="1"/>
  <c r="N56" i="4"/>
  <c r="O56" i="4" s="1"/>
  <c r="P56" i="4" s="1"/>
  <c r="AJ78" i="4"/>
  <c r="AK78" i="4" s="1"/>
  <c r="X41" i="4"/>
  <c r="AJ37" i="4"/>
  <c r="AK37" i="4" s="1"/>
  <c r="AJ80" i="4"/>
  <c r="AK80" i="4" s="1"/>
  <c r="AJ38" i="4"/>
  <c r="AK38" i="4" s="1"/>
  <c r="Q32" i="43" s="1"/>
  <c r="AJ54" i="4"/>
  <c r="AK54" i="4" s="1"/>
  <c r="AJ43" i="4"/>
  <c r="AK43" i="4" s="1"/>
  <c r="AF48" i="4"/>
  <c r="AG48" i="4" s="1"/>
  <c r="AH48" i="4" s="1"/>
  <c r="AF65" i="4"/>
  <c r="AG65" i="4" s="1"/>
  <c r="AH65" i="4" s="1"/>
  <c r="AJ82" i="4"/>
  <c r="AK82" i="4" s="1"/>
  <c r="AJ45" i="4"/>
  <c r="AK45" i="4" s="1"/>
  <c r="AF66" i="4"/>
  <c r="AG66" i="4" s="1"/>
  <c r="AH66" i="4" s="1"/>
  <c r="AF35" i="4"/>
  <c r="AG35" i="4" s="1"/>
  <c r="AH35" i="4" s="1"/>
  <c r="AJ83" i="4"/>
  <c r="AK83" i="4" s="1"/>
  <c r="AJ57" i="4"/>
  <c r="AK57" i="4" s="1"/>
  <c r="AF55" i="4"/>
  <c r="AG55" i="4" s="1"/>
  <c r="AH55" i="4" s="1"/>
  <c r="AF49" i="4"/>
  <c r="AG49" i="4" s="1"/>
  <c r="AH49" i="4" s="1"/>
  <c r="N62" i="4"/>
  <c r="O62" i="4" s="1"/>
  <c r="P62" i="4" s="1"/>
  <c r="AF47" i="4"/>
  <c r="AG47" i="4" s="1"/>
  <c r="AH47" i="4" s="1"/>
  <c r="AJ32" i="4"/>
  <c r="AK32" i="4" s="1"/>
  <c r="Q26" i="43" s="1"/>
  <c r="V26" i="43" s="1"/>
  <c r="AF51" i="4"/>
  <c r="AG51" i="4" s="1"/>
  <c r="AH51" i="4" s="1"/>
  <c r="AJ64" i="4"/>
  <c r="AK64" i="4" s="1"/>
  <c r="AJ23" i="4"/>
  <c r="AK23" i="4" s="1"/>
  <c r="Q17" i="43" s="1"/>
  <c r="V17" i="43" s="1"/>
  <c r="X77" i="4"/>
  <c r="AF39" i="4"/>
  <c r="AG39" i="4" s="1"/>
  <c r="AH39" i="4" s="1"/>
  <c r="AJ71" i="4"/>
  <c r="AK71" i="4" s="1"/>
  <c r="AJ58" i="4"/>
  <c r="AK58" i="4" s="1"/>
  <c r="AJ61" i="4"/>
  <c r="AK61" i="4" s="1"/>
  <c r="N25" i="4"/>
  <c r="O25" i="4" s="1"/>
  <c r="P25" i="4" s="1"/>
  <c r="AJ53" i="4"/>
  <c r="AK53" i="4" s="1"/>
  <c r="AJ72" i="4"/>
  <c r="AK72" i="4" s="1"/>
  <c r="AF63" i="4"/>
  <c r="AG63" i="4" s="1"/>
  <c r="AH63" i="4" s="1"/>
  <c r="AJ67" i="4"/>
  <c r="AK67" i="4" s="1"/>
  <c r="N85" i="4"/>
  <c r="X84" i="4"/>
  <c r="N33" i="4"/>
  <c r="O33" i="4" s="1"/>
  <c r="P33" i="4" s="1"/>
  <c r="AF33" i="4"/>
  <c r="AG33" i="4" s="1"/>
  <c r="AH33" i="4" s="1"/>
  <c r="X33" i="4"/>
  <c r="AA7" i="88"/>
  <c r="AA10" i="88"/>
  <c r="AA11" i="88"/>
  <c r="AA9" i="88"/>
  <c r="AA5" i="88"/>
  <c r="AA8" i="88"/>
  <c r="AA6" i="88"/>
  <c r="AA13" i="88"/>
  <c r="AA12" i="88"/>
  <c r="F9" i="69"/>
  <c r="Q31" i="43" l="1"/>
  <c r="V31" i="43" s="1"/>
  <c r="B2812" i="242"/>
  <c r="A2811" i="242"/>
  <c r="A939" i="242"/>
  <c r="B940" i="242"/>
  <c r="V32" i="43"/>
  <c r="AF76" i="4"/>
  <c r="AG76" i="4" s="1"/>
  <c r="AH76" i="4" s="1"/>
  <c r="N76" i="4"/>
  <c r="O76" i="4" s="1"/>
  <c r="P76" i="4" s="1"/>
  <c r="N26" i="4"/>
  <c r="O26" i="4" s="1"/>
  <c r="P26" i="4" s="1"/>
  <c r="X70" i="4"/>
  <c r="AF70" i="4"/>
  <c r="AG70" i="4" s="1"/>
  <c r="AH70" i="4" s="1"/>
  <c r="AF73" i="4"/>
  <c r="AG73" i="4" s="1"/>
  <c r="AH73" i="4" s="1"/>
  <c r="AF26" i="4"/>
  <c r="AG26" i="4" s="1"/>
  <c r="AH26" i="4" s="1"/>
  <c r="X46" i="4"/>
  <c r="X62" i="4"/>
  <c r="N46" i="4"/>
  <c r="O46" i="4" s="1"/>
  <c r="P46" i="4" s="1"/>
  <c r="X26" i="4"/>
  <c r="X72" i="4"/>
  <c r="N73" i="4"/>
  <c r="O73" i="4" s="1"/>
  <c r="P73" i="4" s="1"/>
  <c r="AF46" i="4"/>
  <c r="AG46" i="4" s="1"/>
  <c r="AH46" i="4" s="1"/>
  <c r="N70" i="4"/>
  <c r="O70" i="4" s="1"/>
  <c r="P70" i="4" s="1"/>
  <c r="X87" i="4"/>
  <c r="N28" i="4"/>
  <c r="O28" i="4" s="1"/>
  <c r="P28" i="4" s="1"/>
  <c r="X23" i="4"/>
  <c r="X73" i="4"/>
  <c r="X78" i="4"/>
  <c r="N78" i="4"/>
  <c r="O78" i="4" s="1"/>
  <c r="P78" i="4" s="1"/>
  <c r="AF30" i="4"/>
  <c r="AG30" i="4" s="1"/>
  <c r="AH30" i="4" s="1"/>
  <c r="N72" i="4"/>
  <c r="O72" i="4" s="1"/>
  <c r="P72" i="4" s="1"/>
  <c r="AF28" i="4"/>
  <c r="AG28" i="4" s="1"/>
  <c r="AH28" i="4" s="1"/>
  <c r="X28" i="4"/>
  <c r="AF61" i="4"/>
  <c r="AG61" i="4" s="1"/>
  <c r="AH61" i="4" s="1"/>
  <c r="X43" i="4"/>
  <c r="N54" i="4"/>
  <c r="O54" i="4" s="1"/>
  <c r="P54" i="4" s="1"/>
  <c r="N71" i="4"/>
  <c r="O71" i="4" s="1"/>
  <c r="P71" i="4" s="1"/>
  <c r="X54" i="4"/>
  <c r="AF54" i="4"/>
  <c r="AG54" i="4" s="1"/>
  <c r="AH54" i="4" s="1"/>
  <c r="X76" i="4"/>
  <c r="N87" i="4"/>
  <c r="O87" i="4" s="1"/>
  <c r="P87" i="4" s="1"/>
  <c r="N30" i="4"/>
  <c r="O30" i="4" s="1"/>
  <c r="P30" i="4" s="1"/>
  <c r="X30" i="4"/>
  <c r="X57" i="4"/>
  <c r="AF78" i="4"/>
  <c r="AG78" i="4" s="1"/>
  <c r="AH78" i="4" s="1"/>
  <c r="AF37" i="4"/>
  <c r="AG37" i="4" s="1"/>
  <c r="AH37" i="4" s="1"/>
  <c r="N32" i="4"/>
  <c r="O32" i="4" s="1"/>
  <c r="P32" i="4" s="1"/>
  <c r="X80" i="4"/>
  <c r="N80" i="4"/>
  <c r="O80" i="4" s="1"/>
  <c r="P80" i="4" s="1"/>
  <c r="N57" i="4"/>
  <c r="O57" i="4" s="1"/>
  <c r="P57" i="4" s="1"/>
  <c r="AF23" i="4"/>
  <c r="AG23" i="4" s="1"/>
  <c r="AH23" i="4" s="1"/>
  <c r="X67" i="4"/>
  <c r="N67" i="4"/>
  <c r="O67" i="4" s="1"/>
  <c r="P67" i="4" s="1"/>
  <c r="X61" i="4"/>
  <c r="AF71" i="4"/>
  <c r="AG71" i="4" s="1"/>
  <c r="AH71" i="4" s="1"/>
  <c r="X38" i="4"/>
  <c r="N53" i="4"/>
  <c r="O53" i="4" s="1"/>
  <c r="P53" i="4" s="1"/>
  <c r="AF57" i="4"/>
  <c r="AG57" i="4" s="1"/>
  <c r="AH57" i="4" s="1"/>
  <c r="N61" i="4"/>
  <c r="O61" i="4" s="1"/>
  <c r="P61" i="4" s="1"/>
  <c r="X53" i="4"/>
  <c r="N38" i="4"/>
  <c r="O38" i="4" s="1"/>
  <c r="P38" i="4" s="1"/>
  <c r="AF80" i="4"/>
  <c r="AG80" i="4" s="1"/>
  <c r="AH80" i="4" s="1"/>
  <c r="X64" i="4"/>
  <c r="N64" i="4"/>
  <c r="O64" i="4" s="1"/>
  <c r="P64" i="4" s="1"/>
  <c r="AF25" i="4"/>
  <c r="AG25" i="4" s="1"/>
  <c r="AH25" i="4" s="1"/>
  <c r="X45" i="4"/>
  <c r="AF67" i="4"/>
  <c r="AG67" i="4" s="1"/>
  <c r="AH67" i="4" s="1"/>
  <c r="X82" i="4"/>
  <c r="N82" i="4"/>
  <c r="O82" i="4" s="1"/>
  <c r="P82" i="4" s="1"/>
  <c r="AF45" i="4"/>
  <c r="AG45" i="4" s="1"/>
  <c r="AH45" i="4" s="1"/>
  <c r="AF82" i="4"/>
  <c r="AG82" i="4" s="1"/>
  <c r="AH82" i="4" s="1"/>
  <c r="AF64" i="4"/>
  <c r="AG64" i="4" s="1"/>
  <c r="AH64" i="4" s="1"/>
  <c r="X71" i="4"/>
  <c r="AF38" i="4"/>
  <c r="AG38" i="4" s="1"/>
  <c r="AH38" i="4" s="1"/>
  <c r="N45" i="4"/>
  <c r="O45" i="4" s="1"/>
  <c r="P45" i="4" s="1"/>
  <c r="X32" i="4"/>
  <c r="AF41" i="4"/>
  <c r="AG41" i="4" s="1"/>
  <c r="AH41" i="4" s="1"/>
  <c r="AJ52" i="4"/>
  <c r="AK52" i="4" s="1"/>
  <c r="AF52" i="4"/>
  <c r="AG52" i="4" s="1"/>
  <c r="AH52" i="4" s="1"/>
  <c r="AJ24" i="4"/>
  <c r="AK24" i="4" s="1"/>
  <c r="Q18" i="43" s="1"/>
  <c r="V18" i="43" s="1"/>
  <c r="X24" i="4"/>
  <c r="N24" i="4"/>
  <c r="O24" i="4" s="1"/>
  <c r="P24" i="4" s="1"/>
  <c r="AJ29" i="4"/>
  <c r="AK29" i="4" s="1"/>
  <c r="Q23" i="43" s="1"/>
  <c r="V23" i="43" s="1"/>
  <c r="X29" i="4"/>
  <c r="N29" i="4"/>
  <c r="O29" i="4" s="1"/>
  <c r="P29" i="4" s="1"/>
  <c r="AJ68" i="4"/>
  <c r="AK68" i="4" s="1"/>
  <c r="AF68" i="4"/>
  <c r="AG68" i="4" s="1"/>
  <c r="AH68" i="4" s="1"/>
  <c r="X68" i="4"/>
  <c r="N68" i="4"/>
  <c r="O68" i="4" s="1"/>
  <c r="P68" i="4" s="1"/>
  <c r="AJ79" i="4"/>
  <c r="AK79" i="4" s="1"/>
  <c r="X79" i="4"/>
  <c r="N79" i="4"/>
  <c r="O79" i="4" s="1"/>
  <c r="P79" i="4" s="1"/>
  <c r="X37" i="4"/>
  <c r="N37" i="4"/>
  <c r="O37" i="4" s="1"/>
  <c r="P37" i="4" s="1"/>
  <c r="AJ63" i="4"/>
  <c r="AK63" i="4" s="1"/>
  <c r="X63" i="4"/>
  <c r="AJ77" i="4"/>
  <c r="AK77" i="4" s="1"/>
  <c r="N77" i="4"/>
  <c r="O77" i="4" s="1"/>
  <c r="P77" i="4" s="1"/>
  <c r="AF77" i="4"/>
  <c r="AG77" i="4" s="1"/>
  <c r="AH77" i="4" s="1"/>
  <c r="AJ42" i="4"/>
  <c r="AK42" i="4" s="1"/>
  <c r="X42" i="4"/>
  <c r="N42" i="4"/>
  <c r="O42" i="4" s="1"/>
  <c r="P42" i="4" s="1"/>
  <c r="AF42" i="4"/>
  <c r="AG42" i="4" s="1"/>
  <c r="AH42" i="4" s="1"/>
  <c r="AJ65" i="4"/>
  <c r="AK65" i="4" s="1"/>
  <c r="N65" i="4"/>
  <c r="O65" i="4" s="1"/>
  <c r="P65" i="4" s="1"/>
  <c r="X65" i="4"/>
  <c r="AJ41" i="4"/>
  <c r="AK41" i="4" s="1"/>
  <c r="N41" i="4"/>
  <c r="O41" i="4" s="1"/>
  <c r="P41" i="4" s="1"/>
  <c r="AF72" i="4"/>
  <c r="AG72" i="4" s="1"/>
  <c r="AH72" i="4" s="1"/>
  <c r="N86" i="4"/>
  <c r="O86" i="4" s="1"/>
  <c r="P86" i="4" s="1"/>
  <c r="X86" i="4"/>
  <c r="AJ48" i="4"/>
  <c r="AK48" i="4" s="1"/>
  <c r="X48" i="4"/>
  <c r="AJ27" i="4"/>
  <c r="AK27" i="4" s="1"/>
  <c r="Q21" i="43" s="1"/>
  <c r="V21" i="43" s="1"/>
  <c r="AF27" i="4"/>
  <c r="AG27" i="4" s="1"/>
  <c r="AH27" i="4" s="1"/>
  <c r="X27" i="4"/>
  <c r="N27" i="4"/>
  <c r="O27" i="4" s="1"/>
  <c r="P27" i="4" s="1"/>
  <c r="AJ31" i="4"/>
  <c r="AK31" i="4" s="1"/>
  <c r="N31" i="4"/>
  <c r="O31" i="4" s="1"/>
  <c r="P31" i="4" s="1"/>
  <c r="X31" i="4"/>
  <c r="AJ47" i="4"/>
  <c r="AK47" i="4" s="1"/>
  <c r="N47" i="4"/>
  <c r="O47" i="4" s="1"/>
  <c r="P47" i="4" s="1"/>
  <c r="X47" i="4"/>
  <c r="X83" i="4"/>
  <c r="N83" i="4"/>
  <c r="O83" i="4" s="1"/>
  <c r="P83" i="4" s="1"/>
  <c r="AJ56" i="4"/>
  <c r="AK56" i="4" s="1"/>
  <c r="X56" i="4"/>
  <c r="X58" i="4"/>
  <c r="AF58" i="4"/>
  <c r="AG58" i="4" s="1"/>
  <c r="AH58" i="4" s="1"/>
  <c r="AJ44" i="4"/>
  <c r="AK44" i="4" s="1"/>
  <c r="AF44" i="4"/>
  <c r="AG44" i="4" s="1"/>
  <c r="AH44" i="4" s="1"/>
  <c r="X44" i="4"/>
  <c r="N44" i="4"/>
  <c r="O44" i="4" s="1"/>
  <c r="P44" i="4" s="1"/>
  <c r="AJ69" i="4"/>
  <c r="AK69" i="4" s="1"/>
  <c r="N69" i="4"/>
  <c r="O69" i="4" s="1"/>
  <c r="P69" i="4" s="1"/>
  <c r="X69" i="4"/>
  <c r="AJ62" i="4"/>
  <c r="AK62" i="4" s="1"/>
  <c r="AF62" i="4"/>
  <c r="AG62" i="4" s="1"/>
  <c r="AH62" i="4" s="1"/>
  <c r="AJ35" i="4"/>
  <c r="AK35" i="4" s="1"/>
  <c r="X35" i="4"/>
  <c r="N35" i="4"/>
  <c r="O35" i="4" s="1"/>
  <c r="P35" i="4" s="1"/>
  <c r="N52" i="4"/>
  <c r="O52" i="4" s="1"/>
  <c r="P52" i="4" s="1"/>
  <c r="AF83" i="4"/>
  <c r="AG83" i="4" s="1"/>
  <c r="AH83" i="4" s="1"/>
  <c r="N88" i="4"/>
  <c r="O88" i="4" s="1"/>
  <c r="P88" i="4" s="1"/>
  <c r="X88" i="4"/>
  <c r="AJ34" i="4"/>
  <c r="AK34" i="4" s="1"/>
  <c r="AF34" i="4"/>
  <c r="AG34" i="4" s="1"/>
  <c r="AH34" i="4" s="1"/>
  <c r="N34" i="4"/>
  <c r="O34" i="4" s="1"/>
  <c r="P34" i="4" s="1"/>
  <c r="X34" i="4"/>
  <c r="AJ49" i="4"/>
  <c r="AK49" i="4" s="1"/>
  <c r="N49" i="4"/>
  <c r="O49" i="4" s="1"/>
  <c r="P49" i="4" s="1"/>
  <c r="X49" i="4"/>
  <c r="AJ66" i="4"/>
  <c r="AK66" i="4" s="1"/>
  <c r="N66" i="4"/>
  <c r="O66" i="4" s="1"/>
  <c r="P66" i="4" s="1"/>
  <c r="X66" i="4"/>
  <c r="N23" i="4"/>
  <c r="O23" i="4" s="1"/>
  <c r="P23" i="4" s="1"/>
  <c r="AF56" i="4"/>
  <c r="AG56" i="4" s="1"/>
  <c r="AH56" i="4" s="1"/>
  <c r="AF43" i="4"/>
  <c r="AG43" i="4" s="1"/>
  <c r="AH43" i="4" s="1"/>
  <c r="AF53" i="4"/>
  <c r="AG53" i="4" s="1"/>
  <c r="AH53" i="4" s="1"/>
  <c r="N58" i="4"/>
  <c r="O58" i="4" s="1"/>
  <c r="P58" i="4" s="1"/>
  <c r="N84" i="4"/>
  <c r="O84" i="4" s="1"/>
  <c r="P84" i="4" s="1"/>
  <c r="O85" i="4"/>
  <c r="P85" i="4" s="1"/>
  <c r="AJ25" i="4"/>
  <c r="AK25" i="4" s="1"/>
  <c r="Q19" i="43" s="1"/>
  <c r="V19" i="43" s="1"/>
  <c r="X25" i="4"/>
  <c r="AJ39" i="4"/>
  <c r="AK39" i="4" s="1"/>
  <c r="N39" i="4"/>
  <c r="O39" i="4" s="1"/>
  <c r="P39" i="4" s="1"/>
  <c r="X39" i="4"/>
  <c r="AJ55" i="4"/>
  <c r="AK55" i="4" s="1"/>
  <c r="X55" i="4"/>
  <c r="N55" i="4"/>
  <c r="O55" i="4" s="1"/>
  <c r="P55" i="4" s="1"/>
  <c r="AF69" i="4"/>
  <c r="AG69" i="4" s="1"/>
  <c r="AH69" i="4" s="1"/>
  <c r="AF32" i="4"/>
  <c r="AG32" i="4" s="1"/>
  <c r="AH32" i="4" s="1"/>
  <c r="N48" i="4"/>
  <c r="O48" i="4" s="1"/>
  <c r="P48" i="4" s="1"/>
  <c r="AF31" i="4"/>
  <c r="AG31" i="4" s="1"/>
  <c r="AH31" i="4" s="1"/>
  <c r="N43" i="4"/>
  <c r="O43" i="4" s="1"/>
  <c r="P43" i="4" s="1"/>
  <c r="AF29" i="4"/>
  <c r="AG29" i="4" s="1"/>
  <c r="AH29" i="4" s="1"/>
  <c r="AF24" i="4"/>
  <c r="AG24" i="4" s="1"/>
  <c r="AH24" i="4" s="1"/>
  <c r="X52" i="4"/>
  <c r="X85" i="4"/>
  <c r="AF79" i="4"/>
  <c r="AG79" i="4" s="1"/>
  <c r="AH79" i="4" s="1"/>
  <c r="N63" i="4"/>
  <c r="O63" i="4" s="1"/>
  <c r="P63" i="4" s="1"/>
  <c r="AJ40" i="4"/>
  <c r="AK40" i="4" s="1"/>
  <c r="N40" i="4"/>
  <c r="O40" i="4" s="1"/>
  <c r="P40" i="4" s="1"/>
  <c r="X40" i="4"/>
  <c r="AJ51" i="4"/>
  <c r="AK51" i="4" s="1"/>
  <c r="N51" i="4"/>
  <c r="O51" i="4" s="1"/>
  <c r="P51" i="4" s="1"/>
  <c r="X51" i="4"/>
  <c r="AF40" i="4"/>
  <c r="AG40" i="4" s="1"/>
  <c r="AH40" i="4" s="1"/>
  <c r="X89" i="4"/>
  <c r="N89" i="4"/>
  <c r="O89" i="4"/>
  <c r="P89" i="4" s="1"/>
  <c r="AJ50" i="4"/>
  <c r="AK50" i="4" s="1"/>
  <c r="N50" i="4"/>
  <c r="O50" i="4" s="1"/>
  <c r="P50" i="4" s="1"/>
  <c r="X50" i="4"/>
  <c r="AF50" i="4"/>
  <c r="AG50" i="4" s="1"/>
  <c r="AH50" i="4" s="1"/>
  <c r="X91" i="4"/>
  <c r="O91" i="4"/>
  <c r="P91" i="4" s="1"/>
  <c r="N91" i="4"/>
  <c r="AJ60" i="4"/>
  <c r="AK60" i="4" s="1"/>
  <c r="X60" i="4"/>
  <c r="N60" i="4"/>
  <c r="O60" i="4" s="1"/>
  <c r="P60" i="4" s="1"/>
  <c r="AF60" i="4"/>
  <c r="AG60" i="4" s="1"/>
  <c r="AH60" i="4" s="1"/>
  <c r="AJ75" i="4"/>
  <c r="AK75" i="4" s="1"/>
  <c r="AF75" i="4"/>
  <c r="AG75" i="4" s="1"/>
  <c r="AH75" i="4" s="1"/>
  <c r="N75" i="4"/>
  <c r="O75" i="4" s="1"/>
  <c r="P75" i="4" s="1"/>
  <c r="X75" i="4"/>
  <c r="AJ59" i="4"/>
  <c r="AK59" i="4" s="1"/>
  <c r="AF59" i="4"/>
  <c r="AG59" i="4" s="1"/>
  <c r="AH59" i="4" s="1"/>
  <c r="N59" i="4"/>
  <c r="O59" i="4" s="1"/>
  <c r="P59" i="4" s="1"/>
  <c r="X59" i="4"/>
  <c r="AJ36" i="4"/>
  <c r="AK36" i="4" s="1"/>
  <c r="X36" i="4"/>
  <c r="AF36" i="4"/>
  <c r="AG36" i="4" s="1"/>
  <c r="AH36" i="4" s="1"/>
  <c r="N36" i="4"/>
  <c r="O36" i="4" s="1"/>
  <c r="P36" i="4" s="1"/>
  <c r="AJ81" i="4"/>
  <c r="AK81" i="4" s="1"/>
  <c r="N81" i="4"/>
  <c r="O81" i="4" s="1"/>
  <c r="P81" i="4" s="1"/>
  <c r="AF81" i="4"/>
  <c r="AG81" i="4" s="1"/>
  <c r="AH81" i="4" s="1"/>
  <c r="X81" i="4"/>
  <c r="AJ74" i="4"/>
  <c r="AK74" i="4" s="1"/>
  <c r="N74" i="4"/>
  <c r="O74" i="4" s="1"/>
  <c r="P74" i="4" s="1"/>
  <c r="X74" i="4"/>
  <c r="AF74" i="4"/>
  <c r="AG74" i="4" s="1"/>
  <c r="AH74" i="4" s="1"/>
  <c r="N90" i="4"/>
  <c r="O90" i="4"/>
  <c r="P90" i="4" s="1"/>
  <c r="X90" i="4"/>
  <c r="AA16" i="88"/>
  <c r="Z16" i="88"/>
  <c r="AB16" i="88"/>
  <c r="AC16" i="88"/>
  <c r="AA15" i="88"/>
  <c r="Z15" i="88"/>
  <c r="AB15" i="88"/>
  <c r="AC15" i="88"/>
  <c r="AB14" i="88"/>
  <c r="AC14" i="88"/>
  <c r="Z14" i="88"/>
  <c r="AA14" i="88"/>
  <c r="AC7" i="88"/>
  <c r="Z7" i="88"/>
  <c r="AB7" i="88"/>
  <c r="AB6" i="88"/>
  <c r="Z6" i="88"/>
  <c r="AC6" i="88"/>
  <c r="AC8" i="88"/>
  <c r="AB8" i="88"/>
  <c r="Z8" i="88"/>
  <c r="AC9" i="88"/>
  <c r="Z9" i="88"/>
  <c r="AB9" i="88"/>
  <c r="AB5" i="88"/>
  <c r="AC5" i="88"/>
  <c r="Z5" i="88"/>
  <c r="AC11" i="88"/>
  <c r="Z11" i="88"/>
  <c r="AB11" i="88"/>
  <c r="AC12" i="88"/>
  <c r="AB12" i="88"/>
  <c r="Z12" i="88"/>
  <c r="Z10" i="88"/>
  <c r="AB10" i="88"/>
  <c r="AC10" i="88"/>
  <c r="AB13" i="88"/>
  <c r="Z13" i="88"/>
  <c r="AC13" i="88"/>
  <c r="D121" i="4"/>
  <c r="E121" i="4" s="1"/>
  <c r="F121" i="4" s="1"/>
  <c r="I121" i="4" s="1"/>
  <c r="D103" i="4"/>
  <c r="E103" i="4" s="1"/>
  <c r="F103" i="4" s="1"/>
  <c r="I103" i="4" s="1"/>
  <c r="D145" i="4"/>
  <c r="E145" i="4" s="1"/>
  <c r="F145" i="4" s="1"/>
  <c r="I145" i="4" s="1"/>
  <c r="N66" i="69" s="1"/>
  <c r="D144" i="4"/>
  <c r="E144" i="4" s="1"/>
  <c r="F144" i="4" s="1"/>
  <c r="I144" i="4" s="1"/>
  <c r="D136" i="4"/>
  <c r="E136" i="4" s="1"/>
  <c r="F136" i="4" s="1"/>
  <c r="I136" i="4" s="1"/>
  <c r="N57" i="69" s="1"/>
  <c r="D128" i="4"/>
  <c r="E128" i="4" s="1"/>
  <c r="F128" i="4" s="1"/>
  <c r="I128" i="4" s="1"/>
  <c r="D120" i="4"/>
  <c r="E120" i="4" s="1"/>
  <c r="F120" i="4" s="1"/>
  <c r="I120" i="4" s="1"/>
  <c r="D112" i="4"/>
  <c r="E112" i="4" s="1"/>
  <c r="F112" i="4" s="1"/>
  <c r="I112" i="4" s="1"/>
  <c r="D96" i="4"/>
  <c r="E96" i="4" s="1"/>
  <c r="F96" i="4" s="1"/>
  <c r="H96" i="4"/>
  <c r="D143" i="4"/>
  <c r="E143" i="4" s="1"/>
  <c r="F143" i="4" s="1"/>
  <c r="I143" i="4" s="1"/>
  <c r="D135" i="4"/>
  <c r="E135" i="4" s="1"/>
  <c r="F135" i="4" s="1"/>
  <c r="I135" i="4" s="1"/>
  <c r="N56" i="69" s="1"/>
  <c r="D127" i="4"/>
  <c r="E127" i="4" s="1"/>
  <c r="F127" i="4" s="1"/>
  <c r="I127" i="4" s="1"/>
  <c r="D119" i="4"/>
  <c r="E119" i="4" s="1"/>
  <c r="F119" i="4" s="1"/>
  <c r="I119" i="4" s="1"/>
  <c r="D104" i="4"/>
  <c r="E104" i="4" s="1"/>
  <c r="F104" i="4" s="1"/>
  <c r="I104" i="4" s="1"/>
  <c r="D138" i="4"/>
  <c r="E138" i="4" s="1"/>
  <c r="F138" i="4" s="1"/>
  <c r="I138" i="4" s="1"/>
  <c r="D137" i="4"/>
  <c r="E137" i="4" s="1"/>
  <c r="F137" i="4" s="1"/>
  <c r="I137" i="4" s="1"/>
  <c r="D105" i="4"/>
  <c r="E105" i="4" s="1"/>
  <c r="F105" i="4" s="1"/>
  <c r="I105" i="4" s="1"/>
  <c r="D126" i="4"/>
  <c r="E126" i="4" s="1"/>
  <c r="F126" i="4" s="1"/>
  <c r="I126" i="4" s="1"/>
  <c r="D125" i="4"/>
  <c r="E125" i="4" s="1"/>
  <c r="F125" i="4" s="1"/>
  <c r="I125" i="4" s="1"/>
  <c r="D102" i="4"/>
  <c r="E102" i="4" s="1"/>
  <c r="F102" i="4" s="1"/>
  <c r="I102" i="4" s="1"/>
  <c r="D109" i="4"/>
  <c r="E109" i="4" s="1"/>
  <c r="F109" i="4" s="1"/>
  <c r="I109" i="4" s="1"/>
  <c r="D101" i="4"/>
  <c r="E101" i="4" s="1"/>
  <c r="F101" i="4" s="1"/>
  <c r="I101" i="4" s="1"/>
  <c r="N22" i="69" s="1"/>
  <c r="Y7" i="88" s="1"/>
  <c r="D149" i="4"/>
  <c r="E149" i="4" s="1"/>
  <c r="F149" i="4" s="1"/>
  <c r="I149" i="4" s="1"/>
  <c r="N70" i="69" s="1"/>
  <c r="D141" i="4"/>
  <c r="E141" i="4" s="1"/>
  <c r="F141" i="4" s="1"/>
  <c r="I141" i="4" s="1"/>
  <c r="N62" i="69" s="1"/>
  <c r="D133" i="4"/>
  <c r="E133" i="4" s="1"/>
  <c r="F133" i="4" s="1"/>
  <c r="I133" i="4" s="1"/>
  <c r="D111" i="4"/>
  <c r="E111" i="4" s="1"/>
  <c r="F111" i="4" s="1"/>
  <c r="I111" i="4" s="1"/>
  <c r="D150" i="4"/>
  <c r="E150" i="4" s="1"/>
  <c r="F150" i="4" s="1"/>
  <c r="I150" i="4" s="1"/>
  <c r="N71" i="69" s="1"/>
  <c r="D142" i="4"/>
  <c r="E142" i="4" s="1"/>
  <c r="F142" i="4" s="1"/>
  <c r="I142" i="4" s="1"/>
  <c r="D134" i="4"/>
  <c r="E134" i="4" s="1"/>
  <c r="F134" i="4" s="1"/>
  <c r="I134" i="4" s="1"/>
  <c r="D118" i="4"/>
  <c r="E118" i="4" s="1"/>
  <c r="F118" i="4" s="1"/>
  <c r="I118" i="4" s="1"/>
  <c r="D148" i="4"/>
  <c r="E148" i="4" s="1"/>
  <c r="F148" i="4" s="1"/>
  <c r="I148" i="4" s="1"/>
  <c r="N69" i="69" s="1"/>
  <c r="D117" i="4"/>
  <c r="E117" i="4" s="1"/>
  <c r="F117" i="4" s="1"/>
  <c r="I117" i="4" s="1"/>
  <c r="D132" i="4"/>
  <c r="E132" i="4" s="1"/>
  <c r="F132" i="4" s="1"/>
  <c r="I132" i="4" s="1"/>
  <c r="D124" i="4"/>
  <c r="E124" i="4" s="1"/>
  <c r="F124" i="4" s="1"/>
  <c r="I124" i="4" s="1"/>
  <c r="D116" i="4"/>
  <c r="E116" i="4" s="1"/>
  <c r="F116" i="4" s="1"/>
  <c r="I116" i="4" s="1"/>
  <c r="D108" i="4"/>
  <c r="E108" i="4" s="1"/>
  <c r="F108" i="4" s="1"/>
  <c r="I108" i="4" s="1"/>
  <c r="D100" i="4"/>
  <c r="E100" i="4" s="1"/>
  <c r="F100" i="4" s="1"/>
  <c r="I100" i="4" s="1"/>
  <c r="N21" i="69" s="1"/>
  <c r="Y6" i="88" s="1"/>
  <c r="D113" i="4"/>
  <c r="E113" i="4" s="1"/>
  <c r="F113" i="4" s="1"/>
  <c r="I113" i="4" s="1"/>
  <c r="D110" i="4"/>
  <c r="E110" i="4" s="1"/>
  <c r="F110" i="4" s="1"/>
  <c r="I110" i="4" s="1"/>
  <c r="D147" i="4"/>
  <c r="E147" i="4" s="1"/>
  <c r="F147" i="4" s="1"/>
  <c r="I147" i="4" s="1"/>
  <c r="N68" i="69" s="1"/>
  <c r="D140" i="4"/>
  <c r="E140" i="4" s="1"/>
  <c r="F140" i="4" s="1"/>
  <c r="I140" i="4" s="1"/>
  <c r="N61" i="69" s="1"/>
  <c r="D131" i="4"/>
  <c r="E131" i="4" s="1"/>
  <c r="F131" i="4" s="1"/>
  <c r="I131" i="4" s="1"/>
  <c r="N52" i="69" s="1"/>
  <c r="D123" i="4"/>
  <c r="E123" i="4" s="1"/>
  <c r="F123" i="4" s="1"/>
  <c r="I123" i="4" s="1"/>
  <c r="D115" i="4"/>
  <c r="E115" i="4" s="1"/>
  <c r="F115" i="4" s="1"/>
  <c r="I115" i="4" s="1"/>
  <c r="D107" i="4"/>
  <c r="E107" i="4" s="1"/>
  <c r="F107" i="4" s="1"/>
  <c r="I107" i="4" s="1"/>
  <c r="D99" i="4"/>
  <c r="E99" i="4" s="1"/>
  <c r="F99" i="4" s="1"/>
  <c r="I99" i="4" s="1"/>
  <c r="D129" i="4"/>
  <c r="E129" i="4" s="1"/>
  <c r="F129" i="4" s="1"/>
  <c r="I129" i="4" s="1"/>
  <c r="D97" i="4"/>
  <c r="E97" i="4" s="1"/>
  <c r="F97" i="4" s="1"/>
  <c r="I97" i="4" s="1"/>
  <c r="N18" i="69" s="1"/>
  <c r="D146" i="4"/>
  <c r="E146" i="4" s="1"/>
  <c r="F146" i="4" s="1"/>
  <c r="I146" i="4" s="1"/>
  <c r="N67" i="69" s="1"/>
  <c r="D139" i="4"/>
  <c r="E139" i="4" s="1"/>
  <c r="F139" i="4" s="1"/>
  <c r="I139" i="4" s="1"/>
  <c r="D130" i="4"/>
  <c r="E130" i="4" s="1"/>
  <c r="F130" i="4" s="1"/>
  <c r="I130" i="4" s="1"/>
  <c r="N51" i="69" s="1"/>
  <c r="D122" i="4"/>
  <c r="E122" i="4" s="1"/>
  <c r="F122" i="4" s="1"/>
  <c r="I122" i="4" s="1"/>
  <c r="D114" i="4"/>
  <c r="E114" i="4" s="1"/>
  <c r="F114" i="4" s="1"/>
  <c r="I114" i="4" s="1"/>
  <c r="D106" i="4"/>
  <c r="E106" i="4" s="1"/>
  <c r="F106" i="4" s="1"/>
  <c r="I106" i="4" s="1"/>
  <c r="D98" i="4"/>
  <c r="E98" i="4" s="1"/>
  <c r="F98" i="4" s="1"/>
  <c r="I98" i="4" s="1"/>
  <c r="N19" i="69" s="1"/>
  <c r="Q35" i="43" l="1"/>
  <c r="V35" i="43" s="1"/>
  <c r="Q33" i="43"/>
  <c r="V33" i="43" s="1"/>
  <c r="Q29" i="43"/>
  <c r="V29" i="43" s="1"/>
  <c r="Q30" i="43"/>
  <c r="V30" i="43"/>
  <c r="V34" i="43"/>
  <c r="Q34" i="43"/>
  <c r="A940" i="242"/>
  <c r="B941" i="242"/>
  <c r="A2812" i="242"/>
  <c r="B2813" i="242"/>
  <c r="Q25" i="43"/>
  <c r="V25" i="43" s="1"/>
  <c r="Q28" i="43"/>
  <c r="V28" i="43" s="1"/>
  <c r="N50" i="69"/>
  <c r="N65" i="69"/>
  <c r="N55" i="69"/>
  <c r="N47" i="69"/>
  <c r="N60" i="69"/>
  <c r="N46" i="69"/>
  <c r="N64" i="69"/>
  <c r="N54" i="69"/>
  <c r="N49" i="69"/>
  <c r="N59" i="69"/>
  <c r="N39" i="69"/>
  <c r="N43" i="69"/>
  <c r="N20" i="69"/>
  <c r="Y5" i="88" s="1"/>
  <c r="N63" i="69"/>
  <c r="N30" i="69"/>
  <c r="Y15" i="88" s="1"/>
  <c r="N41" i="69"/>
  <c r="N27" i="69"/>
  <c r="Y12" i="88" s="1"/>
  <c r="N29" i="69"/>
  <c r="Y14" i="88" s="1"/>
  <c r="N23" i="69"/>
  <c r="Y8" i="88" s="1"/>
  <c r="N44" i="69"/>
  <c r="N24" i="69"/>
  <c r="Y9" i="88" s="1"/>
  <c r="N37" i="69"/>
  <c r="N45" i="69"/>
  <c r="N40" i="69"/>
  <c r="N35" i="69"/>
  <c r="N53" i="69"/>
  <c r="N28" i="69"/>
  <c r="Y13" i="88" s="1"/>
  <c r="N34" i="69"/>
  <c r="N32" i="69"/>
  <c r="N48" i="69"/>
  <c r="N38" i="69"/>
  <c r="N26" i="69"/>
  <c r="Y11" i="88" s="1"/>
  <c r="N42" i="69"/>
  <c r="N25" i="69"/>
  <c r="Y10" i="88" s="1"/>
  <c r="N31" i="69"/>
  <c r="Y16" i="88" s="1"/>
  <c r="N36" i="69"/>
  <c r="N58" i="69"/>
  <c r="N33" i="69"/>
  <c r="I96" i="4"/>
  <c r="N17" i="69" s="1"/>
  <c r="BR23" i="4" a="1"/>
  <c r="BR23" i="4" s="1"/>
  <c r="BP23" i="4" a="1"/>
  <c r="BP82" i="4" s="1"/>
  <c r="BA4" i="43"/>
  <c r="BA2" i="43"/>
  <c r="AT3" i="43"/>
  <c r="AS4" i="43"/>
  <c r="AS2" i="43"/>
  <c r="A2813" i="242" l="1"/>
  <c r="B2814" i="242"/>
  <c r="A941" i="242"/>
  <c r="B942" i="242"/>
  <c r="P6" i="192"/>
  <c r="P6" i="193"/>
  <c r="AT83" i="43"/>
  <c r="AT84" i="43"/>
  <c r="AT82" i="43"/>
  <c r="AV82" i="43" s="1"/>
  <c r="BP30" i="4"/>
  <c r="BQ28" i="4"/>
  <c r="BQ29" i="4"/>
  <c r="BQ27" i="4"/>
  <c r="BQ26" i="4"/>
  <c r="BQ24" i="4"/>
  <c r="BR25" i="4"/>
  <c r="BS26" i="4"/>
  <c r="BQ31" i="4"/>
  <c r="BQ23" i="4"/>
  <c r="BQ33" i="4"/>
  <c r="BQ37" i="4"/>
  <c r="BS25" i="4"/>
  <c r="BQ39" i="4"/>
  <c r="BQ36" i="4"/>
  <c r="BQ32" i="4"/>
  <c r="BQ35" i="4"/>
  <c r="BQ41" i="4"/>
  <c r="BS24" i="4"/>
  <c r="BQ44" i="4"/>
  <c r="BR26" i="4"/>
  <c r="BR24" i="4"/>
  <c r="BP23" i="4"/>
  <c r="BP25" i="4"/>
  <c r="BP28" i="4"/>
  <c r="BP24" i="4"/>
  <c r="BP33" i="4"/>
  <c r="BP39" i="4"/>
  <c r="BP48" i="4"/>
  <c r="BP63" i="4"/>
  <c r="BP29" i="4"/>
  <c r="BP34" i="4"/>
  <c r="BQ40" i="4"/>
  <c r="BP49" i="4"/>
  <c r="BP41" i="4"/>
  <c r="BP52" i="4"/>
  <c r="BP42" i="4"/>
  <c r="BP53" i="4"/>
  <c r="BP37" i="4"/>
  <c r="BP43" i="4"/>
  <c r="BP57" i="4"/>
  <c r="BP32" i="4"/>
  <c r="BP38" i="4"/>
  <c r="BP61" i="4"/>
  <c r="BP44" i="4"/>
  <c r="BP62" i="4"/>
  <c r="BP50" i="4"/>
  <c r="BP31" i="4"/>
  <c r="BP35" i="4"/>
  <c r="BP45" i="4"/>
  <c r="BP54" i="4"/>
  <c r="BP27" i="4"/>
  <c r="BP36" i="4"/>
  <c r="BP40" i="4"/>
  <c r="BP46" i="4"/>
  <c r="BP55" i="4"/>
  <c r="BP47" i="4"/>
  <c r="BP56" i="4"/>
  <c r="BP26" i="4"/>
  <c r="BQ30" i="4"/>
  <c r="BQ34" i="4"/>
  <c r="BQ38" i="4"/>
  <c r="BQ42" i="4"/>
  <c r="BP51" i="4"/>
  <c r="BP59" i="4"/>
  <c r="BP67" i="4"/>
  <c r="BQ25" i="4"/>
  <c r="BQ45" i="4"/>
  <c r="BP64" i="4"/>
  <c r="BQ50" i="4"/>
  <c r="BP65" i="4"/>
  <c r="BQ46" i="4"/>
  <c r="BQ51" i="4"/>
  <c r="BP58" i="4"/>
  <c r="BP66" i="4"/>
  <c r="BQ43" i="4"/>
  <c r="BQ47" i="4"/>
  <c r="BP60" i="4"/>
  <c r="BP68" i="4"/>
  <c r="BP69" i="4"/>
  <c r="BP70" i="4"/>
  <c r="BQ48" i="4"/>
  <c r="BQ52" i="4"/>
  <c r="BQ60" i="4"/>
  <c r="BQ56" i="4"/>
  <c r="BQ49" i="4"/>
  <c r="BQ53" i="4"/>
  <c r="BQ57" i="4"/>
  <c r="BQ62" i="4"/>
  <c r="BQ55" i="4"/>
  <c r="BQ59" i="4"/>
  <c r="BQ64" i="4"/>
  <c r="BQ54" i="4"/>
  <c r="BQ58" i="4"/>
  <c r="BQ67" i="4"/>
  <c r="BQ70" i="4"/>
  <c r="BP73" i="4"/>
  <c r="BQ75" i="4"/>
  <c r="BP81" i="4"/>
  <c r="BP78" i="4"/>
  <c r="BP84" i="4"/>
  <c r="BQ65" i="4"/>
  <c r="BQ68" i="4"/>
  <c r="BP71" i="4"/>
  <c r="BQ73" i="4"/>
  <c r="BP76" i="4"/>
  <c r="BQ81" i="4"/>
  <c r="BQ63" i="4"/>
  <c r="BQ66" i="4"/>
  <c r="BQ74" i="4"/>
  <c r="BQ76" i="4"/>
  <c r="BP79" i="4"/>
  <c r="BQ82" i="4"/>
  <c r="BQ84" i="4"/>
  <c r="BQ61" i="4"/>
  <c r="BQ71" i="4"/>
  <c r="BQ79" i="4"/>
  <c r="BP75" i="4"/>
  <c r="BP77" i="4"/>
  <c r="BP83" i="4"/>
  <c r="BQ72" i="4"/>
  <c r="BQ78" i="4"/>
  <c r="BQ80" i="4"/>
  <c r="BQ83" i="4"/>
  <c r="BQ69" i="4"/>
  <c r="BP72" i="4"/>
  <c r="BP74" i="4"/>
  <c r="BP80" i="4"/>
  <c r="BS38" i="4"/>
  <c r="BS35" i="4"/>
  <c r="BS56" i="4"/>
  <c r="BS64" i="4"/>
  <c r="BS72" i="4"/>
  <c r="BS80" i="4"/>
  <c r="BS37" i="4"/>
  <c r="BS32" i="4"/>
  <c r="BS29" i="4"/>
  <c r="BS43" i="4"/>
  <c r="BS27" i="4"/>
  <c r="BS34" i="4"/>
  <c r="BS41" i="4"/>
  <c r="BS51" i="4"/>
  <c r="BS54" i="4"/>
  <c r="BS59" i="4"/>
  <c r="BS67" i="4"/>
  <c r="BS70" i="4"/>
  <c r="BS73" i="4"/>
  <c r="BS75" i="4"/>
  <c r="BS78" i="4"/>
  <c r="BS81" i="4"/>
  <c r="BS83" i="4"/>
  <c r="BS86" i="4"/>
  <c r="BS39" i="4"/>
  <c r="BS31" i="4"/>
  <c r="BS44" i="4"/>
  <c r="BS46" i="4"/>
  <c r="BS52" i="4"/>
  <c r="BS57" i="4"/>
  <c r="BS62" i="4"/>
  <c r="BS65" i="4"/>
  <c r="BS47" i="4"/>
  <c r="BS49" i="4"/>
  <c r="BS76" i="4"/>
  <c r="BS87" i="4"/>
  <c r="BS36" i="4"/>
  <c r="BS33" i="4"/>
  <c r="BS28" i="4"/>
  <c r="BS42" i="4"/>
  <c r="BS50" i="4"/>
  <c r="BS58" i="4"/>
  <c r="BS60" i="4"/>
  <c r="BS68" i="4"/>
  <c r="BS79" i="4"/>
  <c r="BS84" i="4"/>
  <c r="BS53" i="4"/>
  <c r="BS55" i="4"/>
  <c r="BS61" i="4"/>
  <c r="BS63" i="4"/>
  <c r="BS69" i="4"/>
  <c r="BS71" i="4"/>
  <c r="BS82" i="4"/>
  <c r="BS30" i="4"/>
  <c r="BS40" i="4"/>
  <c r="BS45" i="4"/>
  <c r="BS48" i="4"/>
  <c r="BS66" i="4"/>
  <c r="BS74" i="4"/>
  <c r="BS77" i="4"/>
  <c r="BS85" i="4"/>
  <c r="BR32" i="4"/>
  <c r="BR30" i="4"/>
  <c r="BR43" i="4"/>
  <c r="BR53" i="4"/>
  <c r="BR61" i="4"/>
  <c r="BR77" i="4"/>
  <c r="BR27" i="4"/>
  <c r="BR40" i="4"/>
  <c r="BR48" i="4"/>
  <c r="BR51" i="4"/>
  <c r="BR54" i="4"/>
  <c r="BR59" i="4"/>
  <c r="BR67" i="4"/>
  <c r="BR75" i="4"/>
  <c r="BR78" i="4"/>
  <c r="BR83" i="4"/>
  <c r="BR86" i="4"/>
  <c r="BR37" i="4"/>
  <c r="BR29" i="4"/>
  <c r="BR46" i="4"/>
  <c r="BR57" i="4"/>
  <c r="BR62" i="4"/>
  <c r="BR65" i="4"/>
  <c r="BR34" i="4"/>
  <c r="BR49" i="4"/>
  <c r="BR60" i="4"/>
  <c r="BR68" i="4"/>
  <c r="BR70" i="4"/>
  <c r="BR84" i="4"/>
  <c r="BR36" i="4"/>
  <c r="BR28" i="4"/>
  <c r="BR41" i="4"/>
  <c r="BR44" i="4"/>
  <c r="BR71" i="4"/>
  <c r="BR73" i="4"/>
  <c r="BR79" i="4"/>
  <c r="BR81" i="4"/>
  <c r="BR39" i="4"/>
  <c r="BR31" i="4"/>
  <c r="BR52" i="4"/>
  <c r="BR55" i="4"/>
  <c r="BR63" i="4"/>
  <c r="BR66" i="4"/>
  <c r="BR74" i="4"/>
  <c r="BR76" i="4"/>
  <c r="BR42" i="4"/>
  <c r="BR45" i="4"/>
  <c r="BR47" i="4"/>
  <c r="BR50" i="4"/>
  <c r="BR58" i="4"/>
  <c r="BR85" i="4"/>
  <c r="BR87" i="4"/>
  <c r="BR38" i="4"/>
  <c r="BR35" i="4"/>
  <c r="BR33" i="4"/>
  <c r="BR56" i="4"/>
  <c r="BR64" i="4"/>
  <c r="BR69" i="4"/>
  <c r="BR72" i="4"/>
  <c r="BR80" i="4"/>
  <c r="BR82" i="4"/>
  <c r="BQ77" i="4"/>
  <c r="BS23" i="4"/>
  <c r="AK4" i="43"/>
  <c r="AK2" i="43"/>
  <c r="J34" i="192"/>
  <c r="J8" i="193"/>
  <c r="J58" i="187"/>
  <c r="J7" i="193"/>
  <c r="J57" i="188"/>
  <c r="J55" i="190"/>
  <c r="J53" i="190"/>
  <c r="J10" i="188"/>
  <c r="J54" i="32"/>
  <c r="J51" i="190"/>
  <c r="J34" i="193"/>
  <c r="J33" i="192"/>
  <c r="J35" i="192"/>
  <c r="J16" i="193"/>
  <c r="J63" i="32"/>
  <c r="J56" i="187"/>
  <c r="J67" i="32"/>
  <c r="J58" i="191"/>
  <c r="J11" i="193"/>
  <c r="J20" i="193"/>
  <c r="J24" i="190"/>
  <c r="D37" i="193"/>
  <c r="D19" i="192"/>
  <c r="J40" i="188"/>
  <c r="D13" i="192"/>
  <c r="J6" i="189"/>
  <c r="J55" i="187"/>
  <c r="J19" i="189"/>
  <c r="D21" i="193"/>
  <c r="J66" i="193"/>
  <c r="D55" i="192"/>
  <c r="D33" i="192"/>
  <c r="J62" i="190"/>
  <c r="J38" i="190"/>
  <c r="D53" i="193"/>
  <c r="J67" i="193"/>
  <c r="D34" i="192"/>
  <c r="J8" i="187"/>
  <c r="J49" i="32"/>
  <c r="J39" i="193"/>
  <c r="J50" i="188"/>
  <c r="J53" i="191"/>
  <c r="J41" i="191"/>
  <c r="D10" i="193"/>
  <c r="D48" i="192"/>
  <c r="J27" i="187"/>
  <c r="J29" i="193"/>
  <c r="J11" i="188"/>
  <c r="J36" i="188"/>
  <c r="D61" i="192"/>
  <c r="J15" i="190"/>
  <c r="J58" i="193"/>
  <c r="J21" i="188"/>
  <c r="J60" i="32"/>
  <c r="D46" i="193"/>
  <c r="J60" i="192"/>
  <c r="J53" i="193"/>
  <c r="J57" i="193"/>
  <c r="J47" i="190"/>
  <c r="J56" i="188"/>
  <c r="J15" i="32"/>
  <c r="J21" i="187"/>
  <c r="J41" i="187"/>
  <c r="J36" i="187"/>
  <c r="J52" i="188"/>
  <c r="D22" i="193"/>
  <c r="J43" i="187"/>
  <c r="D38" i="192"/>
  <c r="J10" i="189"/>
  <c r="J49" i="193"/>
  <c r="J7" i="191"/>
  <c r="J10" i="187"/>
  <c r="J29" i="189"/>
  <c r="J14" i="191"/>
  <c r="J15" i="193"/>
  <c r="J30" i="190"/>
  <c r="J39" i="191"/>
  <c r="J21" i="190"/>
  <c r="J25" i="32"/>
  <c r="J49" i="191"/>
  <c r="J46" i="190"/>
  <c r="D41" i="193"/>
  <c r="J37" i="188"/>
  <c r="J49" i="189"/>
  <c r="J22" i="32"/>
  <c r="D12" i="193"/>
  <c r="J11" i="32"/>
  <c r="J50" i="190"/>
  <c r="J63" i="193"/>
  <c r="D30" i="193"/>
  <c r="J36" i="192"/>
  <c r="J42" i="32"/>
  <c r="J62" i="192"/>
  <c r="J27" i="188"/>
  <c r="D14" i="193"/>
  <c r="D42" i="192"/>
  <c r="J16" i="188"/>
  <c r="J53" i="192"/>
  <c r="J62" i="188"/>
  <c r="D60" i="193"/>
  <c r="J36" i="190"/>
  <c r="D39" i="193"/>
  <c r="D68" i="192"/>
  <c r="J18" i="188"/>
  <c r="J11" i="190"/>
  <c r="J24" i="189"/>
  <c r="J29" i="32"/>
  <c r="J55" i="193"/>
  <c r="J47" i="192"/>
  <c r="J57" i="32"/>
  <c r="J19" i="192"/>
  <c r="D15" i="192"/>
  <c r="J65" i="188"/>
  <c r="J45" i="191"/>
  <c r="D33" i="193"/>
  <c r="J65" i="189"/>
  <c r="D41" i="192"/>
  <c r="D20" i="193"/>
  <c r="J48" i="188"/>
  <c r="D38" i="193"/>
  <c r="J15" i="189"/>
  <c r="J50" i="193"/>
  <c r="J37" i="189"/>
  <c r="D56" i="192"/>
  <c r="D49" i="192"/>
  <c r="D26" i="193"/>
  <c r="J17" i="189"/>
  <c r="J40" i="190"/>
  <c r="D7" i="193"/>
  <c r="D27" i="192"/>
  <c r="D54" i="192"/>
  <c r="J59" i="32"/>
  <c r="D40" i="192"/>
  <c r="J60" i="187"/>
  <c r="D52" i="193"/>
  <c r="J62" i="189"/>
  <c r="D18" i="193"/>
  <c r="D58" i="193"/>
  <c r="J22" i="187"/>
  <c r="J26" i="190"/>
  <c r="J14" i="188"/>
  <c r="J44" i="193"/>
  <c r="J56" i="189"/>
  <c r="D17" i="193"/>
  <c r="J41" i="193"/>
  <c r="J13" i="189"/>
  <c r="J51" i="192"/>
  <c r="J7" i="190"/>
  <c r="J48" i="192"/>
  <c r="J35" i="190"/>
  <c r="D65" i="193"/>
  <c r="J38" i="191"/>
  <c r="D20" i="192"/>
  <c r="J56" i="32"/>
  <c r="J64" i="192"/>
  <c r="D7" i="192"/>
  <c r="J8" i="188"/>
  <c r="J29" i="190"/>
  <c r="J45" i="190"/>
  <c r="J39" i="188"/>
  <c r="J31" i="191"/>
  <c r="J22" i="193"/>
  <c r="J19" i="187"/>
  <c r="J47" i="187"/>
  <c r="J36" i="191"/>
  <c r="D45" i="193"/>
  <c r="D64" i="192"/>
  <c r="J30" i="193"/>
  <c r="J57" i="189"/>
  <c r="J26" i="191"/>
  <c r="J13" i="32"/>
  <c r="J31" i="32"/>
  <c r="J14" i="192"/>
  <c r="D22" i="192"/>
  <c r="J13" i="191"/>
  <c r="J60" i="191"/>
  <c r="J62" i="193"/>
  <c r="J24" i="32"/>
  <c r="J26" i="189"/>
  <c r="J28" i="192"/>
  <c r="D51" i="193"/>
  <c r="J25" i="190"/>
  <c r="D17" i="192"/>
  <c r="J50" i="191"/>
  <c r="J55" i="189"/>
  <c r="J12" i="191"/>
  <c r="J58" i="192"/>
  <c r="J55" i="192"/>
  <c r="J25" i="187"/>
  <c r="J25" i="193"/>
  <c r="D61" i="193"/>
  <c r="J20" i="188"/>
  <c r="J14" i="193"/>
  <c r="J22" i="190"/>
  <c r="J64" i="32"/>
  <c r="J17" i="188"/>
  <c r="J12" i="193"/>
  <c r="J58" i="32"/>
  <c r="D52" i="192"/>
  <c r="D36" i="192"/>
  <c r="J65" i="190"/>
  <c r="J28" i="190"/>
  <c r="J11" i="192"/>
  <c r="J51" i="191"/>
  <c r="J30" i="191"/>
  <c r="J6" i="190"/>
  <c r="J52" i="32"/>
  <c r="D55" i="193"/>
  <c r="J34" i="187"/>
  <c r="J61" i="187"/>
  <c r="J53" i="32"/>
  <c r="J67" i="187"/>
  <c r="D35" i="193"/>
  <c r="J62" i="191"/>
  <c r="J17" i="191"/>
  <c r="D64" i="193"/>
  <c r="D16" i="193"/>
  <c r="J57" i="187"/>
  <c r="J10" i="192"/>
  <c r="J38" i="32"/>
  <c r="D14" i="192"/>
  <c r="J54" i="189"/>
  <c r="D30" i="192"/>
  <c r="J13" i="190"/>
  <c r="D65" i="192"/>
  <c r="J35" i="189"/>
  <c r="J20" i="32"/>
  <c r="J48" i="190"/>
  <c r="J31" i="187"/>
  <c r="J35" i="191"/>
  <c r="J37" i="192"/>
  <c r="D35" i="192"/>
  <c r="J61" i="193"/>
  <c r="J17" i="192"/>
  <c r="J7" i="188"/>
  <c r="J56" i="192"/>
  <c r="D31" i="192"/>
  <c r="J10" i="32"/>
  <c r="D34" i="193"/>
  <c r="J66" i="32"/>
  <c r="J13" i="193"/>
  <c r="J19" i="191"/>
  <c r="J24" i="192"/>
  <c r="J18" i="32"/>
  <c r="J50" i="189"/>
  <c r="J9" i="188"/>
  <c r="J26" i="187"/>
  <c r="J65" i="187"/>
  <c r="J27" i="32"/>
  <c r="J47" i="188"/>
  <c r="D48" i="193"/>
  <c r="D63" i="193"/>
  <c r="J6" i="192"/>
  <c r="J25" i="192"/>
  <c r="J64" i="188"/>
  <c r="J40" i="32"/>
  <c r="J7" i="187"/>
  <c r="J33" i="191"/>
  <c r="J21" i="32"/>
  <c r="D32" i="192"/>
  <c r="D67" i="193"/>
  <c r="J14" i="32"/>
  <c r="J30" i="189"/>
  <c r="J40" i="192"/>
  <c r="D50" i="193"/>
  <c r="J65" i="193"/>
  <c r="J16" i="187"/>
  <c r="J43" i="191"/>
  <c r="J38" i="188"/>
  <c r="D42" i="193"/>
  <c r="J39" i="190"/>
  <c r="J56" i="193"/>
  <c r="D57" i="193"/>
  <c r="J26" i="193"/>
  <c r="J9" i="191"/>
  <c r="D23" i="192"/>
  <c r="J36" i="189"/>
  <c r="J15" i="188"/>
  <c r="J28" i="188"/>
  <c r="J12" i="32"/>
  <c r="D43" i="193"/>
  <c r="J45" i="192"/>
  <c r="J43" i="193"/>
  <c r="J47" i="193"/>
  <c r="J6" i="191"/>
  <c r="J31" i="192"/>
  <c r="J52" i="187"/>
  <c r="J38" i="187"/>
  <c r="J22" i="192"/>
  <c r="J6" i="188"/>
  <c r="J57" i="192"/>
  <c r="J9" i="193"/>
  <c r="J64" i="187"/>
  <c r="J46" i="188"/>
  <c r="J26" i="192"/>
  <c r="D9" i="193"/>
  <c r="D9" i="192"/>
  <c r="J55" i="32"/>
  <c r="J30" i="187"/>
  <c r="J49" i="187"/>
  <c r="J7" i="32"/>
  <c r="D58" i="192"/>
  <c r="J65" i="32"/>
  <c r="J43" i="190"/>
  <c r="D51" i="192"/>
  <c r="J14" i="190"/>
  <c r="J42" i="189"/>
  <c r="J43" i="192"/>
  <c r="J41" i="189"/>
  <c r="J40" i="193"/>
  <c r="J39" i="187"/>
  <c r="J32" i="191"/>
  <c r="J9" i="32"/>
  <c r="J62" i="187"/>
  <c r="J44" i="190"/>
  <c r="J10" i="190"/>
  <c r="J49" i="188"/>
  <c r="J22" i="188"/>
  <c r="D39" i="192"/>
  <c r="J46" i="193"/>
  <c r="D31" i="193"/>
  <c r="J44" i="192"/>
  <c r="D32" i="193"/>
  <c r="D27" i="193"/>
  <c r="J8" i="189"/>
  <c r="D28" i="192"/>
  <c r="J53" i="188"/>
  <c r="J21" i="192"/>
  <c r="J28" i="189"/>
  <c r="J44" i="189"/>
  <c r="J14" i="189"/>
  <c r="J18" i="187"/>
  <c r="J39" i="192"/>
  <c r="J33" i="188"/>
  <c r="J6" i="193"/>
  <c r="J43" i="32"/>
  <c r="J27" i="189"/>
  <c r="J25" i="191"/>
  <c r="J64" i="190"/>
  <c r="J29" i="187"/>
  <c r="D10" i="192"/>
  <c r="J24" i="191"/>
  <c r="D24" i="192"/>
  <c r="J60" i="193"/>
  <c r="D11" i="193"/>
  <c r="D44" i="193"/>
  <c r="J48" i="187"/>
  <c r="J46" i="191"/>
  <c r="J32" i="188"/>
  <c r="D47" i="193"/>
  <c r="D29" i="192"/>
  <c r="J47" i="189"/>
  <c r="J23" i="188"/>
  <c r="D26" i="192"/>
  <c r="J38" i="189"/>
  <c r="D59" i="192"/>
  <c r="J66" i="190"/>
  <c r="J12" i="189"/>
  <c r="J45" i="32"/>
  <c r="J16" i="189"/>
  <c r="D50" i="192"/>
  <c r="J37" i="191"/>
  <c r="J30" i="192"/>
  <c r="J36" i="193"/>
  <c r="J44" i="191"/>
  <c r="J58" i="189"/>
  <c r="J38" i="192"/>
  <c r="D54" i="193"/>
  <c r="J66" i="188"/>
  <c r="J11" i="187"/>
  <c r="J59" i="192"/>
  <c r="J7" i="192"/>
  <c r="J19" i="32"/>
  <c r="J61" i="188"/>
  <c r="D45" i="192"/>
  <c r="J49" i="190"/>
  <c r="D49" i="193"/>
  <c r="J8" i="192"/>
  <c r="J17" i="193"/>
  <c r="J54" i="193"/>
  <c r="J9" i="190"/>
  <c r="J61" i="189"/>
  <c r="J60" i="190"/>
  <c r="J41" i="190"/>
  <c r="J66" i="187"/>
  <c r="J51" i="32"/>
  <c r="J27" i="192"/>
  <c r="J67" i="191"/>
  <c r="J29" i="192"/>
  <c r="J43" i="189"/>
  <c r="J34" i="188"/>
  <c r="J48" i="32"/>
  <c r="J19" i="190"/>
  <c r="J65" i="191"/>
  <c r="J41" i="188"/>
  <c r="J55" i="188"/>
  <c r="J52" i="189"/>
  <c r="J54" i="192"/>
  <c r="D47" i="192"/>
  <c r="J52" i="192"/>
  <c r="J32" i="187"/>
  <c r="D18" i="192"/>
  <c r="J44" i="187"/>
  <c r="J44" i="32"/>
  <c r="D44" i="192"/>
  <c r="J50" i="192"/>
  <c r="J15" i="192"/>
  <c r="J60" i="189"/>
  <c r="J28" i="191"/>
  <c r="J27" i="191"/>
  <c r="J52" i="193"/>
  <c r="J28" i="32"/>
  <c r="J22" i="191"/>
  <c r="D12" i="192"/>
  <c r="D62" i="192"/>
  <c r="J37" i="187"/>
  <c r="J24" i="193"/>
  <c r="J35" i="32"/>
  <c r="J53" i="189"/>
  <c r="J33" i="187"/>
  <c r="D46" i="192"/>
  <c r="D57" i="192"/>
  <c r="J20" i="191"/>
  <c r="J32" i="32"/>
  <c r="D53" i="192"/>
  <c r="J25" i="188"/>
  <c r="J35" i="188"/>
  <c r="J14" i="187"/>
  <c r="J40" i="187"/>
  <c r="D59" i="193"/>
  <c r="J50" i="32"/>
  <c r="J66" i="189"/>
  <c r="J35" i="187"/>
  <c r="J42" i="188"/>
  <c r="J42" i="192"/>
  <c r="J51" i="189"/>
  <c r="J34" i="190"/>
  <c r="J30" i="32"/>
  <c r="J20" i="187"/>
  <c r="J39" i="189"/>
  <c r="J23" i="189"/>
  <c r="J31" i="188"/>
  <c r="J46" i="189"/>
  <c r="D62" i="193"/>
  <c r="D25" i="192"/>
  <c r="J59" i="188"/>
  <c r="J15" i="191"/>
  <c r="J48" i="191"/>
  <c r="J59" i="189"/>
  <c r="J31" i="193"/>
  <c r="J61" i="190"/>
  <c r="J63" i="190"/>
  <c r="J19" i="188"/>
  <c r="J10" i="191"/>
  <c r="J31" i="190"/>
  <c r="J45" i="188"/>
  <c r="J13" i="187"/>
  <c r="J51" i="188"/>
  <c r="J16" i="191"/>
  <c r="J27" i="193"/>
  <c r="J46" i="187"/>
  <c r="J52" i="190"/>
  <c r="J17" i="32"/>
  <c r="D19" i="193"/>
  <c r="D66" i="192"/>
  <c r="J66" i="192"/>
  <c r="J23" i="187"/>
  <c r="J49" i="192"/>
  <c r="J10" i="193"/>
  <c r="J63" i="191"/>
  <c r="J61" i="191"/>
  <c r="J40" i="191"/>
  <c r="J32" i="193"/>
  <c r="D13" i="193"/>
  <c r="J54" i="188"/>
  <c r="J31" i="189"/>
  <c r="J6" i="32"/>
  <c r="J34" i="191"/>
  <c r="J41" i="32"/>
  <c r="J45" i="187"/>
  <c r="J12" i="187"/>
  <c r="D11" i="192"/>
  <c r="J32" i="192"/>
  <c r="J53" i="187"/>
  <c r="J62" i="32"/>
  <c r="J48" i="189"/>
  <c r="J8" i="191"/>
  <c r="J34" i="189"/>
  <c r="J32" i="189"/>
  <c r="J63" i="188"/>
  <c r="J55" i="191"/>
  <c r="J47" i="32"/>
  <c r="J29" i="188"/>
  <c r="D43" i="192"/>
  <c r="J38" i="193"/>
  <c r="J64" i="189"/>
  <c r="J66" i="191"/>
  <c r="D68" i="193"/>
  <c r="D63" i="192"/>
  <c r="J51" i="193"/>
  <c r="J13" i="192"/>
  <c r="J11" i="189"/>
  <c r="J9" i="189"/>
  <c r="J16" i="192"/>
  <c r="J59" i="191"/>
  <c r="J45" i="189"/>
  <c r="J45" i="193"/>
  <c r="J9" i="187"/>
  <c r="J50" i="187"/>
  <c r="J23" i="190"/>
  <c r="J42" i="187"/>
  <c r="D21" i="192"/>
  <c r="J23" i="191"/>
  <c r="J6" i="187"/>
  <c r="J33" i="193"/>
  <c r="J11" i="191"/>
  <c r="J54" i="191"/>
  <c r="J23" i="32"/>
  <c r="J26" i="32"/>
  <c r="J26" i="188"/>
  <c r="J57" i="191"/>
  <c r="J37" i="190"/>
  <c r="J18" i="190"/>
  <c r="J37" i="193"/>
  <c r="J21" i="189"/>
  <c r="J65" i="192"/>
  <c r="J52" i="191"/>
  <c r="J20" i="190"/>
  <c r="J17" i="187"/>
  <c r="J64" i="191"/>
  <c r="J18" i="191"/>
  <c r="J42" i="190"/>
  <c r="J36" i="32"/>
  <c r="D60" i="192"/>
  <c r="J18" i="192"/>
  <c r="J33" i="32"/>
  <c r="J42" i="193"/>
  <c r="J51" i="187"/>
  <c r="J61" i="32"/>
  <c r="J47" i="191"/>
  <c r="D66" i="193"/>
  <c r="D40" i="193"/>
  <c r="J30" i="188"/>
  <c r="J17" i="190"/>
  <c r="J27" i="190"/>
  <c r="J25" i="189"/>
  <c r="J23" i="193"/>
  <c r="J22" i="189"/>
  <c r="J33" i="190"/>
  <c r="D67" i="192"/>
  <c r="J24" i="187"/>
  <c r="J57" i="190"/>
  <c r="J18" i="193"/>
  <c r="J54" i="187"/>
  <c r="J16" i="32"/>
  <c r="D28" i="193"/>
  <c r="J32" i="190"/>
  <c r="J34" i="32"/>
  <c r="J20" i="192"/>
  <c r="J12" i="192"/>
  <c r="J28" i="187"/>
  <c r="J23" i="192"/>
  <c r="J35" i="193"/>
  <c r="D8" i="192"/>
  <c r="J42" i="191"/>
  <c r="J59" i="187"/>
  <c r="J43" i="188"/>
  <c r="J46" i="192"/>
  <c r="J33" i="189"/>
  <c r="J18" i="189"/>
  <c r="D16" i="192"/>
  <c r="J56" i="191"/>
  <c r="J59" i="190"/>
  <c r="J28" i="193"/>
  <c r="J59" i="193"/>
  <c r="J56" i="190"/>
  <c r="J54" i="190"/>
  <c r="J39" i="32"/>
  <c r="D15" i="193"/>
  <c r="J67" i="192"/>
  <c r="J21" i="193"/>
  <c r="J24" i="188"/>
  <c r="J21" i="191"/>
  <c r="J19" i="193"/>
  <c r="J67" i="190"/>
  <c r="J7" i="189"/>
  <c r="J37" i="32"/>
  <c r="J8" i="190"/>
  <c r="J67" i="189"/>
  <c r="J64" i="193"/>
  <c r="J63" i="189"/>
  <c r="J15" i="187"/>
  <c r="J29" i="191"/>
  <c r="D36" i="193"/>
  <c r="J58" i="190"/>
  <c r="D25" i="193"/>
  <c r="J20" i="189"/>
  <c r="D37" i="192"/>
  <c r="D8" i="193"/>
  <c r="J8" i="32"/>
  <c r="J58" i="188"/>
  <c r="J13" i="188"/>
  <c r="J48" i="193"/>
  <c r="J67" i="188"/>
  <c r="J16" i="190"/>
  <c r="J41" i="192"/>
  <c r="J9" i="192"/>
  <c r="J44" i="188"/>
  <c r="J12" i="188"/>
  <c r="D29" i="193"/>
  <c r="J61" i="192"/>
  <c r="D23" i="193"/>
  <c r="J12" i="190"/>
  <c r="J46" i="32"/>
  <c r="J63" i="192"/>
  <c r="J40" i="189"/>
  <c r="J63" i="187"/>
  <c r="J60" i="188"/>
  <c r="D56" i="193"/>
  <c r="D24" i="193"/>
  <c r="K34" i="192"/>
  <c r="K30" i="32"/>
  <c r="K30" i="193"/>
  <c r="K18" i="188"/>
  <c r="K46" i="187"/>
  <c r="F53" i="192"/>
  <c r="K25" i="191"/>
  <c r="K17" i="193"/>
  <c r="F21" i="192"/>
  <c r="K9" i="191"/>
  <c r="K32" i="187"/>
  <c r="F28" i="192"/>
  <c r="K37" i="191"/>
  <c r="K31" i="189"/>
  <c r="K27" i="193"/>
  <c r="F46" i="192"/>
  <c r="K66" i="189"/>
  <c r="K58" i="32"/>
  <c r="K36" i="188"/>
  <c r="K43" i="190"/>
  <c r="K51" i="32"/>
  <c r="K11" i="189"/>
  <c r="K40" i="187"/>
  <c r="K34" i="188"/>
  <c r="K45" i="191"/>
  <c r="K48" i="188"/>
  <c r="K20" i="193"/>
  <c r="K6" i="193"/>
  <c r="K36" i="189"/>
  <c r="K59" i="189"/>
  <c r="K38" i="190"/>
  <c r="K52" i="189"/>
  <c r="K29" i="190"/>
  <c r="K60" i="187"/>
  <c r="F40" i="192"/>
  <c r="K61" i="193"/>
  <c r="K13" i="189"/>
  <c r="K9" i="188"/>
  <c r="K19" i="190"/>
  <c r="K31" i="190"/>
  <c r="K35" i="188"/>
  <c r="K67" i="187"/>
  <c r="K51" i="187"/>
  <c r="K50" i="190"/>
  <c r="K49" i="190"/>
  <c r="K54" i="192"/>
  <c r="F47" i="192"/>
  <c r="K35" i="187"/>
  <c r="K47" i="187"/>
  <c r="K50" i="187"/>
  <c r="K19" i="187"/>
  <c r="K55" i="189"/>
  <c r="K27" i="191"/>
  <c r="F48" i="192"/>
  <c r="K40" i="191"/>
  <c r="K48" i="191"/>
  <c r="F35" i="192"/>
  <c r="K56" i="187"/>
  <c r="K50" i="193"/>
  <c r="K34" i="190"/>
  <c r="K8" i="192"/>
  <c r="K46" i="192"/>
  <c r="K40" i="192"/>
  <c r="K44" i="193"/>
  <c r="K49" i="32"/>
  <c r="K59" i="190"/>
  <c r="K56" i="32"/>
  <c r="K21" i="193"/>
  <c r="K64" i="187"/>
  <c r="K25" i="32"/>
  <c r="K67" i="191"/>
  <c r="K17" i="32"/>
  <c r="K18" i="193"/>
  <c r="K39" i="32"/>
  <c r="K45" i="193"/>
  <c r="K15" i="189"/>
  <c r="K41" i="191"/>
  <c r="F41" i="192"/>
  <c r="K66" i="188"/>
  <c r="K42" i="32"/>
  <c r="F42" i="192"/>
  <c r="K57" i="191"/>
  <c r="K56" i="191"/>
  <c r="K60" i="32"/>
  <c r="K26" i="187"/>
  <c r="F50" i="192"/>
  <c r="K9" i="187"/>
  <c r="K39" i="192"/>
  <c r="B943" i="242" l="1"/>
  <c r="A942" i="242"/>
  <c r="B2815" i="242"/>
  <c r="A2814" i="242"/>
  <c r="F32" i="188"/>
  <c r="F16" i="188"/>
  <c r="F33" i="188"/>
  <c r="F32" i="190"/>
  <c r="F27" i="190"/>
  <c r="F17" i="190"/>
  <c r="F29" i="190"/>
  <c r="F23" i="32"/>
  <c r="F15" i="32"/>
  <c r="F44" i="189"/>
  <c r="F61" i="189"/>
  <c r="F39" i="189"/>
  <c r="F56" i="189"/>
  <c r="F66" i="189"/>
  <c r="F52" i="189"/>
  <c r="F69" i="189"/>
  <c r="F47" i="189"/>
  <c r="F64" i="189"/>
  <c r="F74" i="189"/>
  <c r="F60" i="189"/>
  <c r="F38" i="189"/>
  <c r="F55" i="189"/>
  <c r="F72" i="189"/>
  <c r="F43" i="189"/>
  <c r="F7" i="189"/>
  <c r="F46" i="189"/>
  <c r="F63" i="189"/>
  <c r="F73" i="189"/>
  <c r="F59" i="189"/>
  <c r="F45" i="189"/>
  <c r="F40" i="189"/>
  <c r="F35" i="189"/>
  <c r="F9" i="189"/>
  <c r="F53" i="189"/>
  <c r="F48" i="189"/>
  <c r="F6" i="189"/>
  <c r="K8" i="189" s="1"/>
  <c r="F68" i="189"/>
  <c r="F51" i="189"/>
  <c r="F41" i="189"/>
  <c r="F54" i="189"/>
  <c r="F71" i="189"/>
  <c r="F65" i="189"/>
  <c r="F37" i="189"/>
  <c r="F62" i="189"/>
  <c r="F57" i="189"/>
  <c r="F42" i="189"/>
  <c r="F67" i="189"/>
  <c r="F70" i="189"/>
  <c r="F50" i="189"/>
  <c r="F36" i="189"/>
  <c r="F49" i="189"/>
  <c r="F58" i="189"/>
  <c r="F8" i="189"/>
  <c r="F43" i="191"/>
  <c r="F56" i="191"/>
  <c r="F45" i="191"/>
  <c r="F54" i="191"/>
  <c r="F64" i="191"/>
  <c r="F41" i="191"/>
  <c r="F8" i="191"/>
  <c r="F51" i="191"/>
  <c r="F36" i="191"/>
  <c r="F53" i="191"/>
  <c r="F62" i="191"/>
  <c r="F50" i="191"/>
  <c r="F9" i="191"/>
  <c r="F59" i="191"/>
  <c r="F44" i="191"/>
  <c r="F61" i="191"/>
  <c r="F70" i="191"/>
  <c r="F57" i="191"/>
  <c r="F42" i="191"/>
  <c r="F67" i="191"/>
  <c r="F69" i="191"/>
  <c r="F58" i="191"/>
  <c r="F73" i="191"/>
  <c r="F49" i="191"/>
  <c r="F63" i="191"/>
  <c r="F35" i="191"/>
  <c r="F37" i="191"/>
  <c r="F71" i="191"/>
  <c r="F6" i="191"/>
  <c r="F52" i="191"/>
  <c r="F39" i="191"/>
  <c r="F34" i="191"/>
  <c r="F60" i="191"/>
  <c r="F47" i="191"/>
  <c r="F65" i="191"/>
  <c r="F7" i="191"/>
  <c r="F68" i="191"/>
  <c r="F48" i="191"/>
  <c r="F55" i="191"/>
  <c r="F72" i="191"/>
  <c r="F21" i="191"/>
  <c r="E33" i="190"/>
  <c r="F38" i="191"/>
  <c r="F66" i="191"/>
  <c r="F40" i="191"/>
  <c r="F46" i="191"/>
  <c r="F32" i="187"/>
  <c r="F6" i="187"/>
  <c r="F33" i="187"/>
  <c r="F7" i="187"/>
  <c r="F31" i="187"/>
  <c r="F8" i="187"/>
  <c r="F9" i="187"/>
  <c r="F30" i="187"/>
  <c r="F26" i="187"/>
  <c r="F25" i="187"/>
  <c r="F28" i="187"/>
  <c r="F29" i="187"/>
  <c r="F27" i="187"/>
  <c r="F35" i="193"/>
  <c r="F40" i="193"/>
  <c r="F53" i="193"/>
  <c r="F42" i="193"/>
  <c r="F21" i="193"/>
  <c r="F46" i="193"/>
  <c r="F50" i="193"/>
  <c r="F48" i="193"/>
  <c r="F41" i="193"/>
  <c r="F47" i="193"/>
  <c r="F28" i="193"/>
  <c r="P45" i="193"/>
  <c r="P55" i="193"/>
  <c r="P16" i="193"/>
  <c r="P28" i="193"/>
  <c r="P67" i="193"/>
  <c r="P51" i="193"/>
  <c r="P42" i="193"/>
  <c r="P35" i="193"/>
  <c r="P14" i="192"/>
  <c r="P20" i="192"/>
  <c r="P53" i="192"/>
  <c r="P55" i="192"/>
  <c r="P32" i="192"/>
  <c r="P45" i="192"/>
  <c r="P42" i="192"/>
  <c r="P48" i="192"/>
  <c r="M42" i="193"/>
  <c r="M49" i="193"/>
  <c r="Q4" i="193" a="1"/>
  <c r="M6" i="193"/>
  <c r="M19" i="193"/>
  <c r="M24" i="193"/>
  <c r="M18" i="193"/>
  <c r="M30" i="193"/>
  <c r="M44" i="193"/>
  <c r="M19" i="192"/>
  <c r="M35" i="192"/>
  <c r="M60" i="192"/>
  <c r="M40" i="192"/>
  <c r="M24" i="192"/>
  <c r="M53" i="192"/>
  <c r="M7" i="192"/>
  <c r="P65" i="193"/>
  <c r="P20" i="193"/>
  <c r="P9" i="193"/>
  <c r="P57" i="193"/>
  <c r="P39" i="193"/>
  <c r="P60" i="193"/>
  <c r="P8" i="193"/>
  <c r="P44" i="193"/>
  <c r="P63" i="192"/>
  <c r="P30" i="192"/>
  <c r="P31" i="192"/>
  <c r="P38" i="192"/>
  <c r="P9" i="192"/>
  <c r="P59" i="192"/>
  <c r="P60" i="192"/>
  <c r="P8" i="192"/>
  <c r="M64" i="193"/>
  <c r="M50" i="193"/>
  <c r="M27" i="193"/>
  <c r="M14" i="193"/>
  <c r="M40" i="193"/>
  <c r="M39" i="193"/>
  <c r="M12" i="193"/>
  <c r="M67" i="193"/>
  <c r="M14" i="192"/>
  <c r="M9" i="192"/>
  <c r="M52" i="192"/>
  <c r="M42" i="192"/>
  <c r="M51" i="192"/>
  <c r="M10" i="192"/>
  <c r="M37" i="192"/>
  <c r="P32" i="193"/>
  <c r="P58" i="193"/>
  <c r="P68" i="193"/>
  <c r="P49" i="193"/>
  <c r="P12" i="193"/>
  <c r="P27" i="193"/>
  <c r="P41" i="193"/>
  <c r="P66" i="193"/>
  <c r="P56" i="192"/>
  <c r="P64" i="192"/>
  <c r="P18" i="192"/>
  <c r="P46" i="192"/>
  <c r="P37" i="192"/>
  <c r="P21" i="192"/>
  <c r="P7" i="192"/>
  <c r="M63" i="193"/>
  <c r="M52" i="193"/>
  <c r="M57" i="193"/>
  <c r="M15" i="193"/>
  <c r="M10" i="193"/>
  <c r="M46" i="193"/>
  <c r="M38" i="193"/>
  <c r="M38" i="192"/>
  <c r="M64" i="192"/>
  <c r="M44" i="192"/>
  <c r="Q4" i="192" a="1"/>
  <c r="M6" i="192"/>
  <c r="M43" i="192"/>
  <c r="M28" i="192"/>
  <c r="M41" i="192"/>
  <c r="M65" i="192"/>
  <c r="P31" i="193"/>
  <c r="P19" i="193"/>
  <c r="P33" i="193"/>
  <c r="P56" i="193"/>
  <c r="P13" i="193"/>
  <c r="P22" i="193"/>
  <c r="P40" i="193"/>
  <c r="P15" i="193"/>
  <c r="P50" i="192"/>
  <c r="P41" i="192"/>
  <c r="P34" i="192"/>
  <c r="P19" i="192"/>
  <c r="P49" i="192"/>
  <c r="P12" i="192"/>
  <c r="P58" i="192"/>
  <c r="P23" i="192"/>
  <c r="M61" i="193"/>
  <c r="M51" i="193"/>
  <c r="M58" i="193"/>
  <c r="M65" i="193"/>
  <c r="M53" i="193"/>
  <c r="M32" i="193"/>
  <c r="M59" i="193"/>
  <c r="M47" i="192"/>
  <c r="M45" i="192"/>
  <c r="M20" i="192"/>
  <c r="M50" i="192"/>
  <c r="M26" i="192"/>
  <c r="M17" i="192"/>
  <c r="M18" i="192"/>
  <c r="M29" i="192"/>
  <c r="P18" i="193"/>
  <c r="P30" i="193"/>
  <c r="P26" i="193"/>
  <c r="P61" i="193"/>
  <c r="P14" i="193"/>
  <c r="P17" i="193"/>
  <c r="P62" i="193"/>
  <c r="P22" i="192"/>
  <c r="P57" i="192"/>
  <c r="P16" i="192"/>
  <c r="P44" i="192"/>
  <c r="P65" i="192"/>
  <c r="P13" i="192"/>
  <c r="P10" i="192"/>
  <c r="M9" i="193"/>
  <c r="M43" i="193"/>
  <c r="M45" i="193"/>
  <c r="M36" i="193"/>
  <c r="M66" i="193"/>
  <c r="M8" i="193"/>
  <c r="M48" i="193"/>
  <c r="M33" i="193"/>
  <c r="M15" i="192"/>
  <c r="M22" i="192"/>
  <c r="M30" i="192"/>
  <c r="M13" i="192"/>
  <c r="M36" i="192"/>
  <c r="M58" i="192"/>
  <c r="M12" i="192"/>
  <c r="M8" i="192"/>
  <c r="P7" i="193"/>
  <c r="P29" i="193"/>
  <c r="P59" i="193"/>
  <c r="P11" i="193"/>
  <c r="P48" i="193"/>
  <c r="P54" i="193"/>
  <c r="P24" i="193"/>
  <c r="P36" i="192"/>
  <c r="P51" i="192"/>
  <c r="P67" i="192"/>
  <c r="P15" i="192"/>
  <c r="P54" i="192"/>
  <c r="P43" i="192"/>
  <c r="P61" i="192"/>
  <c r="P35" i="192"/>
  <c r="M28" i="193"/>
  <c r="M13" i="193"/>
  <c r="M55" i="193"/>
  <c r="M35" i="193"/>
  <c r="M20" i="193"/>
  <c r="M7" i="193"/>
  <c r="M25" i="193"/>
  <c r="M34" i="193"/>
  <c r="M27" i="192"/>
  <c r="M23" i="192"/>
  <c r="M31" i="192"/>
  <c r="M56" i="192"/>
  <c r="M54" i="192"/>
  <c r="M39" i="192"/>
  <c r="M33" i="192"/>
  <c r="M34" i="192"/>
  <c r="P21" i="193"/>
  <c r="P38" i="193"/>
  <c r="P43" i="193"/>
  <c r="P47" i="193"/>
  <c r="P64" i="193"/>
  <c r="P52" i="193"/>
  <c r="P53" i="193"/>
  <c r="P25" i="193"/>
  <c r="P33" i="192"/>
  <c r="P39" i="192"/>
  <c r="P11" i="192"/>
  <c r="P26" i="192"/>
  <c r="P29" i="192"/>
  <c r="P52" i="192"/>
  <c r="P24" i="192"/>
  <c r="P66" i="192"/>
  <c r="M47" i="193"/>
  <c r="M16" i="193"/>
  <c r="M54" i="193"/>
  <c r="M31" i="193"/>
  <c r="M22" i="193"/>
  <c r="M60" i="193"/>
  <c r="M26" i="193"/>
  <c r="M11" i="193"/>
  <c r="M25" i="192"/>
  <c r="M48" i="192"/>
  <c r="M66" i="192"/>
  <c r="M16" i="192"/>
  <c r="M55" i="192"/>
  <c r="M62" i="192"/>
  <c r="M32" i="192"/>
  <c r="M59" i="192"/>
  <c r="P46" i="193"/>
  <c r="P37" i="193"/>
  <c r="P10" i="193"/>
  <c r="P23" i="193"/>
  <c r="P63" i="193"/>
  <c r="P50" i="193"/>
  <c r="P36" i="193"/>
  <c r="P34" i="193"/>
  <c r="P68" i="192"/>
  <c r="P25" i="192"/>
  <c r="P17" i="192"/>
  <c r="P40" i="192"/>
  <c r="P47" i="192"/>
  <c r="P62" i="192"/>
  <c r="P28" i="192"/>
  <c r="P27" i="192"/>
  <c r="M41" i="193"/>
  <c r="M37" i="193"/>
  <c r="M29" i="193"/>
  <c r="M56" i="193"/>
  <c r="M21" i="193"/>
  <c r="M17" i="193"/>
  <c r="M23" i="193"/>
  <c r="M62" i="193"/>
  <c r="M49" i="192"/>
  <c r="M11" i="192"/>
  <c r="M21" i="192"/>
  <c r="M61" i="192"/>
  <c r="M67" i="192"/>
  <c r="M63" i="192"/>
  <c r="M46" i="192"/>
  <c r="M57" i="192"/>
  <c r="C73" i="191"/>
  <c r="AV84" i="43"/>
  <c r="C73" i="190" s="1"/>
  <c r="C72" i="191"/>
  <c r="AV83" i="43"/>
  <c r="C72" i="190" s="1"/>
  <c r="M34" i="191"/>
  <c r="M51" i="191"/>
  <c r="M8" i="191"/>
  <c r="M13" i="191"/>
  <c r="M10" i="191"/>
  <c r="M29" i="191"/>
  <c r="M26" i="191"/>
  <c r="M42" i="191"/>
  <c r="M59" i="188"/>
  <c r="M56" i="188"/>
  <c r="M25" i="188"/>
  <c r="J70" i="188"/>
  <c r="M70" i="188"/>
  <c r="M61" i="188"/>
  <c r="M20" i="188"/>
  <c r="M42" i="188"/>
  <c r="M44" i="188"/>
  <c r="J69" i="189"/>
  <c r="M69" i="189"/>
  <c r="M13" i="189"/>
  <c r="M38" i="189"/>
  <c r="Q4" i="189" a="1"/>
  <c r="M6" i="189"/>
  <c r="M39" i="189"/>
  <c r="M21" i="189"/>
  <c r="M27" i="189"/>
  <c r="M11" i="189"/>
  <c r="M39" i="190"/>
  <c r="M48" i="190"/>
  <c r="J68" i="190"/>
  <c r="M68" i="190"/>
  <c r="M23" i="190"/>
  <c r="M32" i="190"/>
  <c r="M51" i="190"/>
  <c r="M19" i="190"/>
  <c r="M24" i="190"/>
  <c r="M32" i="187"/>
  <c r="M10" i="187"/>
  <c r="M30" i="187"/>
  <c r="M57" i="187"/>
  <c r="M55" i="187"/>
  <c r="M47" i="187"/>
  <c r="M28" i="187"/>
  <c r="M11" i="187"/>
  <c r="M46" i="32"/>
  <c r="M24" i="32"/>
  <c r="M45" i="32"/>
  <c r="M41" i="32"/>
  <c r="M43" i="32"/>
  <c r="M9" i="32"/>
  <c r="M52" i="32"/>
  <c r="M15" i="32"/>
  <c r="M7" i="191"/>
  <c r="M22" i="191"/>
  <c r="J70" i="191"/>
  <c r="M70" i="191"/>
  <c r="M64" i="191"/>
  <c r="M20" i="191"/>
  <c r="M52" i="191"/>
  <c r="M38" i="191"/>
  <c r="M57" i="191"/>
  <c r="M21" i="188"/>
  <c r="M49" i="188"/>
  <c r="M13" i="188"/>
  <c r="M47" i="188"/>
  <c r="M18" i="188"/>
  <c r="M65" i="188"/>
  <c r="M46" i="188"/>
  <c r="M36" i="188"/>
  <c r="M54" i="189"/>
  <c r="M63" i="189"/>
  <c r="M31" i="189"/>
  <c r="M30" i="189"/>
  <c r="M61" i="189"/>
  <c r="J68" i="189"/>
  <c r="M68" i="189"/>
  <c r="M45" i="189"/>
  <c r="M49" i="189"/>
  <c r="M50" i="190"/>
  <c r="M59" i="190"/>
  <c r="M65" i="190"/>
  <c r="J70" i="190"/>
  <c r="M70" i="190"/>
  <c r="M60" i="190"/>
  <c r="M44" i="190"/>
  <c r="J69" i="190"/>
  <c r="M69" i="190"/>
  <c r="M62" i="190"/>
  <c r="M14" i="187"/>
  <c r="M27" i="187"/>
  <c r="M44" i="187"/>
  <c r="M59" i="187"/>
  <c r="M7" i="187"/>
  <c r="M45" i="187"/>
  <c r="M64" i="187"/>
  <c r="M41" i="187"/>
  <c r="M47" i="32"/>
  <c r="M25" i="32"/>
  <c r="M33" i="32"/>
  <c r="M54" i="32"/>
  <c r="M44" i="32"/>
  <c r="M10" i="32"/>
  <c r="M57" i="32"/>
  <c r="M16" i="32"/>
  <c r="J69" i="191"/>
  <c r="M69" i="191"/>
  <c r="M25" i="191"/>
  <c r="M15" i="191"/>
  <c r="M24" i="191"/>
  <c r="M12" i="191"/>
  <c r="M44" i="191"/>
  <c r="M62" i="191"/>
  <c r="M60" i="191"/>
  <c r="M67" i="191"/>
  <c r="M22" i="188"/>
  <c r="M51" i="188"/>
  <c r="M48" i="188"/>
  <c r="M52" i="188"/>
  <c r="M53" i="188"/>
  <c r="M37" i="188"/>
  <c r="M14" i="188"/>
  <c r="M15" i="188"/>
  <c r="J70" i="189"/>
  <c r="M70" i="189"/>
  <c r="M64" i="189"/>
  <c r="M36" i="189"/>
  <c r="M51" i="189"/>
  <c r="M40" i="189"/>
  <c r="M50" i="189"/>
  <c r="M53" i="189"/>
  <c r="M14" i="189"/>
  <c r="M49" i="190"/>
  <c r="M57" i="190"/>
  <c r="M37" i="190"/>
  <c r="M10" i="190"/>
  <c r="M54" i="190"/>
  <c r="M43" i="190"/>
  <c r="M27" i="190"/>
  <c r="M45" i="190"/>
  <c r="M20" i="187"/>
  <c r="M35" i="187"/>
  <c r="M56" i="187"/>
  <c r="M21" i="187"/>
  <c r="M15" i="187"/>
  <c r="M46" i="187"/>
  <c r="M39" i="187"/>
  <c r="M63" i="187"/>
  <c r="M56" i="32"/>
  <c r="M26" i="32"/>
  <c r="M39" i="32"/>
  <c r="M49" i="32"/>
  <c r="M50" i="32"/>
  <c r="M11" i="32"/>
  <c r="M61" i="32"/>
  <c r="M17" i="32"/>
  <c r="M49" i="191"/>
  <c r="M53" i="191"/>
  <c r="M40" i="191"/>
  <c r="M55" i="191"/>
  <c r="M36" i="191"/>
  <c r="M48" i="191"/>
  <c r="M17" i="191"/>
  <c r="M66" i="191"/>
  <c r="M62" i="188"/>
  <c r="M17" i="188"/>
  <c r="M39" i="188"/>
  <c r="M29" i="188"/>
  <c r="M63" i="188"/>
  <c r="M55" i="188"/>
  <c r="M32" i="188"/>
  <c r="M34" i="188"/>
  <c r="J69" i="188"/>
  <c r="M69" i="188"/>
  <c r="M55" i="189"/>
  <c r="M34" i="189"/>
  <c r="M59" i="189"/>
  <c r="M32" i="189"/>
  <c r="M37" i="189"/>
  <c r="M47" i="189"/>
  <c r="M7" i="189"/>
  <c r="M52" i="189"/>
  <c r="M8" i="190"/>
  <c r="M55" i="190"/>
  <c r="M34" i="190"/>
  <c r="M11" i="190"/>
  <c r="M12" i="190"/>
  <c r="M21" i="190"/>
  <c r="M16" i="190"/>
  <c r="M26" i="190"/>
  <c r="M50" i="187"/>
  <c r="M65" i="187"/>
  <c r="M26" i="187"/>
  <c r="M22" i="187"/>
  <c r="M51" i="187"/>
  <c r="M19" i="187"/>
  <c r="M43" i="187"/>
  <c r="M58" i="187"/>
  <c r="M60" i="32"/>
  <c r="M27" i="32"/>
  <c r="M51" i="32"/>
  <c r="M53" i="32"/>
  <c r="M55" i="32"/>
  <c r="M12" i="32"/>
  <c r="J70" i="32"/>
  <c r="M70" i="32"/>
  <c r="M18" i="32"/>
  <c r="M27" i="191"/>
  <c r="M21" i="191"/>
  <c r="M46" i="191"/>
  <c r="M63" i="191"/>
  <c r="M9" i="191"/>
  <c r="M59" i="191"/>
  <c r="M31" i="191"/>
  <c r="M33" i="191"/>
  <c r="M41" i="188"/>
  <c r="M7" i="188"/>
  <c r="J68" i="188"/>
  <c r="M68" i="188"/>
  <c r="M57" i="188"/>
  <c r="M30" i="188"/>
  <c r="M35" i="188"/>
  <c r="M12" i="188"/>
  <c r="M11" i="188"/>
  <c r="M57" i="189"/>
  <c r="M56" i="189"/>
  <c r="M25" i="189"/>
  <c r="M65" i="189"/>
  <c r="M19" i="189"/>
  <c r="M44" i="189"/>
  <c r="M48" i="189"/>
  <c r="M58" i="189"/>
  <c r="M35" i="189"/>
  <c r="M35" i="190"/>
  <c r="M61" i="190"/>
  <c r="M14" i="190"/>
  <c r="M13" i="190"/>
  <c r="M22" i="190"/>
  <c r="M31" i="190"/>
  <c r="M29" i="190"/>
  <c r="M47" i="190"/>
  <c r="M17" i="187"/>
  <c r="M38" i="187"/>
  <c r="M18" i="187"/>
  <c r="M66" i="187"/>
  <c r="M16" i="187"/>
  <c r="M34" i="187"/>
  <c r="M48" i="187"/>
  <c r="M40" i="187"/>
  <c r="M63" i="32"/>
  <c r="M28" i="32"/>
  <c r="M40" i="32"/>
  <c r="M62" i="32"/>
  <c r="M64" i="32"/>
  <c r="M13" i="32"/>
  <c r="M65" i="32"/>
  <c r="M19" i="32"/>
  <c r="M35" i="191"/>
  <c r="M37" i="191"/>
  <c r="M54" i="191"/>
  <c r="M28" i="191"/>
  <c r="M61" i="191"/>
  <c r="M50" i="191"/>
  <c r="M32" i="191"/>
  <c r="Q4" i="191" a="1"/>
  <c r="M6" i="191"/>
  <c r="M38" i="188"/>
  <c r="M10" i="188"/>
  <c r="M16" i="188"/>
  <c r="M43" i="188"/>
  <c r="M64" i="188"/>
  <c r="M60" i="188"/>
  <c r="M66" i="188"/>
  <c r="M40" i="188"/>
  <c r="M43" i="189"/>
  <c r="M67" i="189"/>
  <c r="M22" i="189"/>
  <c r="M10" i="189"/>
  <c r="M26" i="189"/>
  <c r="M28" i="189"/>
  <c r="M66" i="189"/>
  <c r="M33" i="189"/>
  <c r="M66" i="190"/>
  <c r="M15" i="190"/>
  <c r="M63" i="190"/>
  <c r="M28" i="190"/>
  <c r="M17" i="190"/>
  <c r="M25" i="190"/>
  <c r="M33" i="190"/>
  <c r="M30" i="190"/>
  <c r="M56" i="190"/>
  <c r="M13" i="187"/>
  <c r="M52" i="187"/>
  <c r="M36" i="187"/>
  <c r="J68" i="187"/>
  <c r="M68" i="187"/>
  <c r="M53" i="187"/>
  <c r="M37" i="187"/>
  <c r="M61" i="187"/>
  <c r="M25" i="187"/>
  <c r="M67" i="32"/>
  <c r="M29" i="32"/>
  <c r="M58" i="32"/>
  <c r="M59" i="32"/>
  <c r="M14" i="32"/>
  <c r="M38" i="32"/>
  <c r="M66" i="32"/>
  <c r="M20" i="32"/>
  <c r="M47" i="191"/>
  <c r="M45" i="191"/>
  <c r="M65" i="191"/>
  <c r="M23" i="191"/>
  <c r="M58" i="191"/>
  <c r="M11" i="191"/>
  <c r="M41" i="191"/>
  <c r="M16" i="191"/>
  <c r="M54" i="188"/>
  <c r="M26" i="188"/>
  <c r="M28" i="188"/>
  <c r="M8" i="188"/>
  <c r="M58" i="188"/>
  <c r="Q4" i="188" a="1"/>
  <c r="M6" i="188"/>
  <c r="M50" i="188"/>
  <c r="M19" i="188"/>
  <c r="M17" i="189"/>
  <c r="M9" i="189"/>
  <c r="M8" i="189"/>
  <c r="M16" i="189"/>
  <c r="M12" i="189"/>
  <c r="M29" i="189"/>
  <c r="M62" i="189"/>
  <c r="M46" i="189"/>
  <c r="M18" i="190"/>
  <c r="Q4" i="190" a="1"/>
  <c r="M6" i="190"/>
  <c r="M42" i="190"/>
  <c r="M67" i="190"/>
  <c r="M7" i="190"/>
  <c r="M36" i="190"/>
  <c r="M38" i="190"/>
  <c r="M40" i="190"/>
  <c r="Q4" i="187" a="1"/>
  <c r="M6" i="187"/>
  <c r="M12" i="187"/>
  <c r="M67" i="187"/>
  <c r="M9" i="187"/>
  <c r="J70" i="187"/>
  <c r="M70" i="187"/>
  <c r="M54" i="187"/>
  <c r="M42" i="187"/>
  <c r="M60" i="187"/>
  <c r="J69" i="187"/>
  <c r="M69" i="187"/>
  <c r="M30" i="32"/>
  <c r="M32" i="32"/>
  <c r="M34" i="32"/>
  <c r="J68" i="32"/>
  <c r="M68" i="32"/>
  <c r="M7" i="32"/>
  <c r="M42" i="32"/>
  <c r="J69" i="32"/>
  <c r="M69" i="32"/>
  <c r="M21" i="32"/>
  <c r="J68" i="191"/>
  <c r="M68" i="191"/>
  <c r="M56" i="191"/>
  <c r="M39" i="191"/>
  <c r="M14" i="191"/>
  <c r="M43" i="191"/>
  <c r="M18" i="191"/>
  <c r="M19" i="191"/>
  <c r="M30" i="191"/>
  <c r="M23" i="188"/>
  <c r="M27" i="188"/>
  <c r="M67" i="188"/>
  <c r="M9" i="188"/>
  <c r="M31" i="188"/>
  <c r="M45" i="188"/>
  <c r="M24" i="188"/>
  <c r="M33" i="188"/>
  <c r="M60" i="189"/>
  <c r="M42" i="189"/>
  <c r="M15" i="189"/>
  <c r="M41" i="189"/>
  <c r="M24" i="189"/>
  <c r="M18" i="189"/>
  <c r="M23" i="189"/>
  <c r="M20" i="189"/>
  <c r="M64" i="190"/>
  <c r="M53" i="190"/>
  <c r="M58" i="190"/>
  <c r="M9" i="190"/>
  <c r="M52" i="190"/>
  <c r="M46" i="190"/>
  <c r="M20" i="190"/>
  <c r="M41" i="190"/>
  <c r="M29" i="187"/>
  <c r="M33" i="187"/>
  <c r="M49" i="187"/>
  <c r="M8" i="187"/>
  <c r="M23" i="187"/>
  <c r="M31" i="187"/>
  <c r="M24" i="187"/>
  <c r="M62" i="187"/>
  <c r="M31" i="32"/>
  <c r="M23" i="32"/>
  <c r="M37" i="32"/>
  <c r="M36" i="32"/>
  <c r="M35" i="32"/>
  <c r="M8" i="32"/>
  <c r="M48" i="32"/>
  <c r="M22" i="32"/>
  <c r="Q4" i="32" a="1"/>
  <c r="M6" i="32"/>
  <c r="AV32" i="4"/>
  <c r="AW32" i="4" s="1"/>
  <c r="AX32" i="4" s="1"/>
  <c r="AV77" i="4"/>
  <c r="AW77" i="4" s="1"/>
  <c r="AX77" i="4" s="1"/>
  <c r="AZ77" i="4"/>
  <c r="AV82" i="4"/>
  <c r="AW82" i="4" s="1"/>
  <c r="AX82" i="4" s="1"/>
  <c r="AZ82" i="4"/>
  <c r="AV29" i="4"/>
  <c r="AW29" i="4" s="1"/>
  <c r="AX29" i="4" s="1"/>
  <c r="AZ29" i="4"/>
  <c r="AV39" i="4"/>
  <c r="AW39" i="4" s="1"/>
  <c r="AX39" i="4" s="1"/>
  <c r="AZ39" i="4"/>
  <c r="AV76" i="4"/>
  <c r="AW76" i="4" s="1"/>
  <c r="AX76" i="4" s="1"/>
  <c r="AZ76" i="4"/>
  <c r="AV54" i="4"/>
  <c r="AW54" i="4" s="1"/>
  <c r="AX54" i="4" s="1"/>
  <c r="AZ54" i="4"/>
  <c r="AV78" i="4"/>
  <c r="AW78" i="4" s="1"/>
  <c r="AX78" i="4" s="1"/>
  <c r="AZ78" i="4"/>
  <c r="AV38" i="4"/>
  <c r="AW38" i="4" s="1"/>
  <c r="AX38" i="4" s="1"/>
  <c r="AZ38" i="4"/>
  <c r="AV70" i="4"/>
  <c r="AW70" i="4" s="1"/>
  <c r="AX70" i="4" s="1"/>
  <c r="AZ70" i="4"/>
  <c r="AV47" i="4"/>
  <c r="AW47" i="4" s="1"/>
  <c r="AX47" i="4" s="1"/>
  <c r="AZ47" i="4"/>
  <c r="AV83" i="4"/>
  <c r="AW83" i="4" s="1"/>
  <c r="AX83" i="4" s="1"/>
  <c r="AZ83" i="4"/>
  <c r="AV63" i="4"/>
  <c r="AW63" i="4" s="1"/>
  <c r="AX63" i="4" s="1"/>
  <c r="AZ63" i="4"/>
  <c r="AV44" i="4"/>
  <c r="AW44" i="4" s="1"/>
  <c r="AX44" i="4" s="1"/>
  <c r="AZ44" i="4"/>
  <c r="AV49" i="4"/>
  <c r="AW49" i="4" s="1"/>
  <c r="AX49" i="4" s="1"/>
  <c r="AZ49" i="4"/>
  <c r="AV64" i="4"/>
  <c r="AW64" i="4" s="1"/>
  <c r="AX64" i="4" s="1"/>
  <c r="AZ64" i="4"/>
  <c r="AV52" i="4"/>
  <c r="AW52" i="4" s="1"/>
  <c r="AX52" i="4" s="1"/>
  <c r="AZ52" i="4"/>
  <c r="AV66" i="4"/>
  <c r="AW66" i="4" s="1"/>
  <c r="AX66" i="4" s="1"/>
  <c r="AZ66" i="4"/>
  <c r="AV33" i="4"/>
  <c r="AW33" i="4" s="1"/>
  <c r="AX33" i="4" s="1"/>
  <c r="AZ33" i="4"/>
  <c r="AV56" i="4"/>
  <c r="AW56" i="4" s="1"/>
  <c r="AX56" i="4" s="1"/>
  <c r="AZ56" i="4"/>
  <c r="AV79" i="4"/>
  <c r="AW79" i="4" s="1"/>
  <c r="AX79" i="4" s="1"/>
  <c r="AZ79" i="4"/>
  <c r="AV34" i="4"/>
  <c r="AW34" i="4" s="1"/>
  <c r="AX34" i="4" s="1"/>
  <c r="AZ34" i="4"/>
  <c r="AV48" i="4"/>
  <c r="AW48" i="4" s="1"/>
  <c r="AX48" i="4" s="1"/>
  <c r="AZ48" i="4"/>
  <c r="AV23" i="4"/>
  <c r="AW23" i="4" s="1"/>
  <c r="AX23" i="4" s="1"/>
  <c r="AZ23" i="4"/>
  <c r="AV72" i="4"/>
  <c r="AW72" i="4" s="1"/>
  <c r="AX72" i="4" s="1"/>
  <c r="AZ72" i="4"/>
  <c r="AV84" i="4"/>
  <c r="AW84" i="4" s="1"/>
  <c r="AX84" i="4" s="1"/>
  <c r="AZ84" i="4"/>
  <c r="AV24" i="4"/>
  <c r="AW24" i="4" s="1"/>
  <c r="AX24" i="4" s="1"/>
  <c r="AZ24" i="4"/>
  <c r="BA24" i="4" s="1"/>
  <c r="CG14" i="202" s="1"/>
  <c r="AV71" i="4"/>
  <c r="AW71" i="4" s="1"/>
  <c r="AX71" i="4" s="1"/>
  <c r="AZ71" i="4"/>
  <c r="AV35" i="4"/>
  <c r="AW35" i="4" s="1"/>
  <c r="AX35" i="4" s="1"/>
  <c r="AZ35" i="4"/>
  <c r="AV41" i="4"/>
  <c r="AW41" i="4" s="1"/>
  <c r="AX41" i="4" s="1"/>
  <c r="AV58" i="4"/>
  <c r="AW58" i="4" s="1"/>
  <c r="AX58" i="4" s="1"/>
  <c r="AV73" i="4"/>
  <c r="AW73" i="4" s="1"/>
  <c r="AX73" i="4" s="1"/>
  <c r="AZ73" i="4"/>
  <c r="AV87" i="4"/>
  <c r="AW87" i="4" s="1"/>
  <c r="AX87" i="4" s="1"/>
  <c r="AZ87" i="4"/>
  <c r="AV25" i="4"/>
  <c r="AW25" i="4" s="1"/>
  <c r="AX25" i="4" s="1"/>
  <c r="AZ25" i="4"/>
  <c r="AV65" i="4"/>
  <c r="AW65" i="4" s="1"/>
  <c r="AX65" i="4" s="1"/>
  <c r="AZ65" i="4"/>
  <c r="AV37" i="4"/>
  <c r="AW37" i="4" s="1"/>
  <c r="AX37" i="4" s="1"/>
  <c r="AZ37" i="4"/>
  <c r="AV42" i="4"/>
  <c r="AW42" i="4" s="1"/>
  <c r="AX42" i="4" s="1"/>
  <c r="AZ42" i="4"/>
  <c r="AV50" i="4"/>
  <c r="AW50" i="4" s="1"/>
  <c r="AX50" i="4" s="1"/>
  <c r="AV59" i="4"/>
  <c r="AW59" i="4" s="1"/>
  <c r="AX59" i="4" s="1"/>
  <c r="AZ59" i="4"/>
  <c r="AV46" i="4"/>
  <c r="AW46" i="4" s="1"/>
  <c r="AX46" i="4" s="1"/>
  <c r="AZ46" i="4"/>
  <c r="AV69" i="4"/>
  <c r="AW69" i="4" s="1"/>
  <c r="AX69" i="4" s="1"/>
  <c r="AZ69" i="4"/>
  <c r="AV43" i="4"/>
  <c r="AW43" i="4" s="1"/>
  <c r="AX43" i="4" s="1"/>
  <c r="AZ43" i="4"/>
  <c r="AV28" i="4"/>
  <c r="AW28" i="4" s="1"/>
  <c r="AX28" i="4" s="1"/>
  <c r="AZ28" i="4"/>
  <c r="AV85" i="4"/>
  <c r="AW85" i="4" s="1"/>
  <c r="AX85" i="4" s="1"/>
  <c r="AZ85" i="4"/>
  <c r="AV36" i="4"/>
  <c r="AW36" i="4" s="1"/>
  <c r="AX36" i="4" s="1"/>
  <c r="AZ36" i="4"/>
  <c r="AV55" i="4"/>
  <c r="AW55" i="4" s="1"/>
  <c r="AX55" i="4" s="1"/>
  <c r="AV86" i="4"/>
  <c r="AW86" i="4" s="1"/>
  <c r="AX86" i="4" s="1"/>
  <c r="AZ86" i="4"/>
  <c r="AV31" i="4"/>
  <c r="AW31" i="4" s="1"/>
  <c r="AX31" i="4" s="1"/>
  <c r="AZ31" i="4"/>
  <c r="AV40" i="4"/>
  <c r="AW40" i="4" s="1"/>
  <c r="AX40" i="4" s="1"/>
  <c r="AZ40" i="4"/>
  <c r="AV57" i="4"/>
  <c r="AW57" i="4" s="1"/>
  <c r="AX57" i="4" s="1"/>
  <c r="AZ57" i="4"/>
  <c r="AV74" i="4"/>
  <c r="AW74" i="4" s="1"/>
  <c r="AX74" i="4" s="1"/>
  <c r="AZ74" i="4"/>
  <c r="AV80" i="4"/>
  <c r="AW80" i="4" s="1"/>
  <c r="AX80" i="4" s="1"/>
  <c r="AZ80" i="4"/>
  <c r="AV26" i="4"/>
  <c r="AW26" i="4" s="1"/>
  <c r="AX26" i="4" s="1"/>
  <c r="AZ26" i="4"/>
  <c r="AV67" i="4"/>
  <c r="AW67" i="4" s="1"/>
  <c r="AX67" i="4" s="1"/>
  <c r="AZ67" i="4"/>
  <c r="AV60" i="4"/>
  <c r="AW60" i="4" s="1"/>
  <c r="AX60" i="4" s="1"/>
  <c r="AZ60" i="4"/>
  <c r="AV51" i="4"/>
  <c r="AW51" i="4" s="1"/>
  <c r="AX51" i="4" s="1"/>
  <c r="AZ51" i="4"/>
  <c r="AV61" i="4"/>
  <c r="AW61" i="4" s="1"/>
  <c r="AX61" i="4" s="1"/>
  <c r="AZ61" i="4"/>
  <c r="AV75" i="4"/>
  <c r="AW75" i="4" s="1"/>
  <c r="AX75" i="4" s="1"/>
  <c r="AZ75" i="4"/>
  <c r="AV81" i="4"/>
  <c r="AW81" i="4" s="1"/>
  <c r="AX81" i="4" s="1"/>
  <c r="AZ81" i="4"/>
  <c r="AV27" i="4"/>
  <c r="AW27" i="4" s="1"/>
  <c r="AX27" i="4" s="1"/>
  <c r="AZ27" i="4"/>
  <c r="AV62" i="4"/>
  <c r="AW62" i="4" s="1"/>
  <c r="AX62" i="4" s="1"/>
  <c r="AV68" i="4"/>
  <c r="AW68" i="4" s="1"/>
  <c r="AX68" i="4" s="1"/>
  <c r="AZ68" i="4"/>
  <c r="AV45" i="4"/>
  <c r="AW45" i="4" s="1"/>
  <c r="AX45" i="4" s="1"/>
  <c r="AZ45" i="4"/>
  <c r="AV53" i="4"/>
  <c r="AW53" i="4" s="1"/>
  <c r="AX53" i="4" s="1"/>
  <c r="AZ53" i="4"/>
  <c r="AV30" i="4"/>
  <c r="AW30" i="4" s="1"/>
  <c r="AX30" i="4" s="1"/>
  <c r="AZ30" i="4"/>
  <c r="AN82" i="4"/>
  <c r="AO82" i="4" s="1"/>
  <c r="AR82" i="4"/>
  <c r="AN71" i="4"/>
  <c r="AO71" i="4" s="1"/>
  <c r="AR71" i="4"/>
  <c r="AN61" i="4"/>
  <c r="AO61" i="4" s="1"/>
  <c r="AR61" i="4"/>
  <c r="AN81" i="4"/>
  <c r="AO81" i="4" s="1"/>
  <c r="AR81" i="4"/>
  <c r="AN75" i="4"/>
  <c r="AO75" i="4" s="1"/>
  <c r="AR75" i="4"/>
  <c r="AN76" i="4"/>
  <c r="AO76" i="4" s="1"/>
  <c r="AR76" i="4"/>
  <c r="AN78" i="4"/>
  <c r="AO78" i="4" s="1"/>
  <c r="AR78" i="4"/>
  <c r="AN42" i="4"/>
  <c r="AO42" i="4" s="1"/>
  <c r="AR42" i="4"/>
  <c r="AN53" i="4"/>
  <c r="AO53" i="4" s="1"/>
  <c r="AR53" i="4"/>
  <c r="AN59" i="4"/>
  <c r="AO59" i="4" s="1"/>
  <c r="AR59" i="4"/>
  <c r="AN66" i="4"/>
  <c r="AO66" i="4" s="1"/>
  <c r="AR66" i="4"/>
  <c r="AN83" i="4"/>
  <c r="AO83" i="4" s="1"/>
  <c r="AR83" i="4"/>
  <c r="AN25" i="4"/>
  <c r="AO25" i="4" s="1"/>
  <c r="AR25" i="4"/>
  <c r="AN31" i="4"/>
  <c r="AO31" i="4" s="1"/>
  <c r="AR31" i="4"/>
  <c r="AN73" i="4"/>
  <c r="AO73" i="4" s="1"/>
  <c r="AR73" i="4"/>
  <c r="AN45" i="4"/>
  <c r="AO45" i="4" s="1"/>
  <c r="AR45" i="4"/>
  <c r="AN38" i="4"/>
  <c r="AO38" i="4" s="1"/>
  <c r="AR38" i="4"/>
  <c r="AN62" i="4"/>
  <c r="AO62" i="4" s="1"/>
  <c r="AR62" i="4"/>
  <c r="AN69" i="4"/>
  <c r="AO69" i="4" s="1"/>
  <c r="AR69" i="4"/>
  <c r="AN24" i="4"/>
  <c r="AO24" i="4" s="1"/>
  <c r="AR24" i="4"/>
  <c r="AN28" i="4"/>
  <c r="AO28" i="4" s="1"/>
  <c r="AR28" i="4"/>
  <c r="AN26" i="4"/>
  <c r="AO26" i="4" s="1"/>
  <c r="AR26" i="4"/>
  <c r="AN32" i="4"/>
  <c r="AO32" i="4" s="1"/>
  <c r="AR32" i="4"/>
  <c r="AN74" i="4"/>
  <c r="AO74" i="4" s="1"/>
  <c r="AR74" i="4"/>
  <c r="AN47" i="4"/>
  <c r="AO47" i="4" s="1"/>
  <c r="AR47" i="4"/>
  <c r="AN52" i="4"/>
  <c r="AO52" i="4" s="1"/>
  <c r="AR52" i="4"/>
  <c r="AN70" i="4"/>
  <c r="AO70" i="4" s="1"/>
  <c r="AR70" i="4"/>
  <c r="AN23" i="4"/>
  <c r="AO23" i="4" s="1"/>
  <c r="AP23" i="4" s="1"/>
  <c r="AR23" i="4"/>
  <c r="AN54" i="4"/>
  <c r="AO54" i="4" s="1"/>
  <c r="AR54" i="4"/>
  <c r="AN67" i="4"/>
  <c r="AO67" i="4" s="1"/>
  <c r="AR67" i="4"/>
  <c r="AN36" i="4"/>
  <c r="AO36" i="4" s="1"/>
  <c r="AR36" i="4"/>
  <c r="AN27" i="4"/>
  <c r="AO27" i="4" s="1"/>
  <c r="AR27" i="4"/>
  <c r="AN33" i="4"/>
  <c r="AO33" i="4" s="1"/>
  <c r="AR33" i="4"/>
  <c r="AN77" i="4"/>
  <c r="AO77" i="4" s="1"/>
  <c r="AR77" i="4"/>
  <c r="AN48" i="4"/>
  <c r="AO48" i="4" s="1"/>
  <c r="AR48" i="4"/>
  <c r="AN55" i="4"/>
  <c r="AO55" i="4" s="1"/>
  <c r="AR55" i="4"/>
  <c r="AN84" i="4"/>
  <c r="AO84" i="4" s="1"/>
  <c r="AR84" i="4"/>
  <c r="AN44" i="4"/>
  <c r="AO44" i="4" s="1"/>
  <c r="AR44" i="4"/>
  <c r="AN29" i="4"/>
  <c r="AO29" i="4" s="1"/>
  <c r="AR29" i="4"/>
  <c r="AN34" i="4"/>
  <c r="AO34" i="4" s="1"/>
  <c r="AR34" i="4"/>
  <c r="AN39" i="4"/>
  <c r="AO39" i="4" s="1"/>
  <c r="AR39" i="4"/>
  <c r="AN49" i="4"/>
  <c r="AO49" i="4" s="1"/>
  <c r="AR49" i="4"/>
  <c r="AN56" i="4"/>
  <c r="AO56" i="4" s="1"/>
  <c r="AR56" i="4"/>
  <c r="AN63" i="4"/>
  <c r="AO63" i="4" s="1"/>
  <c r="AR63" i="4"/>
  <c r="AN43" i="4"/>
  <c r="AO43" i="4" s="1"/>
  <c r="AR43" i="4"/>
  <c r="AN79" i="4"/>
  <c r="AO79" i="4" s="1"/>
  <c r="AR79" i="4"/>
  <c r="AN46" i="4"/>
  <c r="AO46" i="4" s="1"/>
  <c r="AR46" i="4"/>
  <c r="AN60" i="4"/>
  <c r="AO60" i="4" s="1"/>
  <c r="AR60" i="4"/>
  <c r="AN35" i="4"/>
  <c r="AO35" i="4" s="1"/>
  <c r="AR35" i="4"/>
  <c r="AN40" i="4"/>
  <c r="AO40" i="4" s="1"/>
  <c r="AR40" i="4"/>
  <c r="AN50" i="4"/>
  <c r="AO50" i="4" s="1"/>
  <c r="AR50" i="4"/>
  <c r="AN57" i="4"/>
  <c r="AO57" i="4" s="1"/>
  <c r="AR57" i="4"/>
  <c r="AN64" i="4"/>
  <c r="AO64" i="4" s="1"/>
  <c r="AR64" i="4"/>
  <c r="AN30" i="4"/>
  <c r="AO30" i="4" s="1"/>
  <c r="AR30" i="4"/>
  <c r="AN80" i="4"/>
  <c r="AO80" i="4" s="1"/>
  <c r="AR80" i="4"/>
  <c r="AN72" i="4"/>
  <c r="AO72" i="4" s="1"/>
  <c r="AR72" i="4"/>
  <c r="AN68" i="4"/>
  <c r="AO68" i="4" s="1"/>
  <c r="AR68" i="4"/>
  <c r="AN37" i="4"/>
  <c r="AO37" i="4" s="1"/>
  <c r="AR37" i="4"/>
  <c r="AN41" i="4"/>
  <c r="AO41" i="4" s="1"/>
  <c r="AR41" i="4"/>
  <c r="AN51" i="4"/>
  <c r="AO51" i="4" s="1"/>
  <c r="AR51" i="4"/>
  <c r="AN58" i="4"/>
  <c r="AO58" i="4" s="1"/>
  <c r="AR58" i="4"/>
  <c r="AN65" i="4"/>
  <c r="AO65" i="4" s="1"/>
  <c r="AR65" i="4"/>
  <c r="AB4" i="43"/>
  <c r="AB2" i="43"/>
  <c r="T4" i="43"/>
  <c r="T2" i="43"/>
  <c r="L4" i="43"/>
  <c r="L2" i="43"/>
  <c r="BB3" i="43"/>
  <c r="AL3" i="43"/>
  <c r="AE3" i="43"/>
  <c r="AC8" i="43" s="1"/>
  <c r="AC3" i="43"/>
  <c r="V3" i="43"/>
  <c r="U8" i="43" s="1"/>
  <c r="Q3" i="43"/>
  <c r="P32" i="43" s="1"/>
  <c r="R32" i="43" s="1"/>
  <c r="O3" i="43"/>
  <c r="D3" i="43"/>
  <c r="K59" i="187"/>
  <c r="K7" i="193"/>
  <c r="K16" i="192"/>
  <c r="K43" i="189"/>
  <c r="K44" i="190"/>
  <c r="K9" i="32"/>
  <c r="K61" i="192"/>
  <c r="K45" i="192"/>
  <c r="K8" i="193"/>
  <c r="K49" i="188"/>
  <c r="K40" i="190"/>
  <c r="K14" i="32"/>
  <c r="K21" i="192"/>
  <c r="K66" i="32"/>
  <c r="K19" i="191"/>
  <c r="K48" i="190"/>
  <c r="F17" i="192"/>
  <c r="K30" i="188"/>
  <c r="K50" i="189"/>
  <c r="K17" i="190"/>
  <c r="K59" i="193"/>
  <c r="K57" i="188"/>
  <c r="K22" i="191"/>
  <c r="K67" i="190"/>
  <c r="K54" i="189"/>
  <c r="F16" i="192"/>
  <c r="K69" i="32"/>
  <c r="K33" i="190"/>
  <c r="K56" i="193"/>
  <c r="K8" i="191"/>
  <c r="K27" i="188"/>
  <c r="K18" i="187"/>
  <c r="K53" i="189"/>
  <c r="F37" i="192"/>
  <c r="K61" i="187"/>
  <c r="K58" i="193"/>
  <c r="K57" i="190"/>
  <c r="K27" i="192"/>
  <c r="K43" i="187"/>
  <c r="K7" i="189"/>
  <c r="K23" i="188"/>
  <c r="K55" i="193"/>
  <c r="K17" i="191"/>
  <c r="K42" i="191"/>
  <c r="K60" i="190"/>
  <c r="K18" i="190"/>
  <c r="K52" i="32"/>
  <c r="K13" i="193"/>
  <c r="K24" i="191"/>
  <c r="K65" i="187"/>
  <c r="K65" i="190"/>
  <c r="K51" i="191"/>
  <c r="K16" i="191"/>
  <c r="F25" i="192"/>
  <c r="K6" i="32"/>
  <c r="K16" i="187"/>
  <c r="K42" i="192"/>
  <c r="K10" i="32"/>
  <c r="K51" i="189"/>
  <c r="K60" i="189"/>
  <c r="K41" i="190"/>
  <c r="F65" i="192"/>
  <c r="K28" i="32"/>
  <c r="K39" i="188"/>
  <c r="K9" i="193"/>
  <c r="K46" i="191"/>
  <c r="K32" i="188"/>
  <c r="K43" i="191"/>
  <c r="K40" i="188"/>
  <c r="K33" i="189"/>
  <c r="K59" i="191"/>
  <c r="K57" i="193"/>
  <c r="K55" i="191"/>
  <c r="K14" i="188"/>
  <c r="K7" i="187"/>
  <c r="F55" i="192"/>
  <c r="F54" i="192"/>
  <c r="K15" i="190"/>
  <c r="K61" i="189"/>
  <c r="K53" i="190"/>
  <c r="F67" i="192"/>
  <c r="K31" i="187"/>
  <c r="K66" i="190"/>
  <c r="K11" i="190"/>
  <c r="K54" i="187"/>
  <c r="K26" i="32"/>
  <c r="K48" i="193"/>
  <c r="K29" i="191"/>
  <c r="K53" i="187"/>
  <c r="K69" i="190"/>
  <c r="K64" i="189"/>
  <c r="F26" i="192"/>
  <c r="K18" i="191"/>
  <c r="K54" i="193"/>
  <c r="K66" i="193"/>
  <c r="K41" i="189"/>
  <c r="K6" i="187"/>
  <c r="K31" i="32"/>
  <c r="K58" i="187"/>
  <c r="K63" i="191"/>
  <c r="K41" i="187"/>
  <c r="K50" i="32"/>
  <c r="K16" i="189"/>
  <c r="K70" i="187"/>
  <c r="K41" i="32"/>
  <c r="F19" i="192"/>
  <c r="K37" i="187"/>
  <c r="F23" i="192"/>
  <c r="K63" i="187"/>
  <c r="K64" i="193"/>
  <c r="K14" i="187"/>
  <c r="K41" i="193"/>
  <c r="K34" i="32"/>
  <c r="K43" i="188"/>
  <c r="K56" i="189"/>
  <c r="K28" i="189"/>
  <c r="K18" i="189"/>
  <c r="K58" i="192"/>
  <c r="K57" i="32"/>
  <c r="F22" i="192"/>
  <c r="K20" i="187"/>
  <c r="K29" i="188"/>
  <c r="K44" i="188"/>
  <c r="K51" i="192"/>
  <c r="K21" i="188"/>
  <c r="K42" i="193"/>
  <c r="K59" i="188"/>
  <c r="F7" i="192"/>
  <c r="K29" i="189"/>
  <c r="K17" i="188"/>
  <c r="K35" i="193"/>
  <c r="K15" i="191"/>
  <c r="K57" i="189"/>
  <c r="K28" i="188"/>
  <c r="K10" i="187"/>
  <c r="K11" i="191"/>
  <c r="K63" i="32"/>
  <c r="K59" i="32"/>
  <c r="F9" i="192"/>
  <c r="K19" i="188"/>
  <c r="K38" i="193"/>
  <c r="K69" i="187"/>
  <c r="K48" i="189"/>
  <c r="K20" i="192"/>
  <c r="K24" i="32"/>
  <c r="F8" i="192"/>
  <c r="K21" i="191"/>
  <c r="K37" i="189"/>
  <c r="K43" i="32"/>
  <c r="F34" i="192"/>
  <c r="K31" i="188"/>
  <c r="K37" i="192"/>
  <c r="K35" i="189"/>
  <c r="K65" i="32"/>
  <c r="K9" i="190"/>
  <c r="K13" i="191"/>
  <c r="K26" i="191"/>
  <c r="K55" i="192"/>
  <c r="F61" i="192"/>
  <c r="K36" i="187"/>
  <c r="K62" i="192"/>
  <c r="K30" i="192"/>
  <c r="K7" i="190"/>
  <c r="K43" i="193"/>
  <c r="K31" i="193"/>
  <c r="F57" i="192"/>
  <c r="K50" i="192"/>
  <c r="K26" i="190"/>
  <c r="K12" i="188"/>
  <c r="K11" i="32"/>
  <c r="K11" i="193"/>
  <c r="K17" i="189"/>
  <c r="K44" i="189"/>
  <c r="K44" i="32"/>
  <c r="F14" i="192"/>
  <c r="F11" i="192"/>
  <c r="K8" i="187"/>
  <c r="K63" i="189"/>
  <c r="K38" i="192"/>
  <c r="K26" i="193"/>
  <c r="K64" i="190"/>
  <c r="F27" i="192"/>
  <c r="K16" i="32"/>
  <c r="K12" i="189"/>
  <c r="K36" i="192"/>
  <c r="K7" i="32"/>
  <c r="K9" i="192"/>
  <c r="K42" i="189"/>
  <c r="K28" i="190"/>
  <c r="K7" i="191"/>
  <c r="K27" i="189"/>
  <c r="K59" i="192"/>
  <c r="K14" i="191"/>
  <c r="K48" i="192"/>
  <c r="F60" i="192"/>
  <c r="K8" i="190"/>
  <c r="K23" i="192"/>
  <c r="K20" i="189"/>
  <c r="K53" i="188"/>
  <c r="K6" i="188"/>
  <c r="F33" i="192"/>
  <c r="K21" i="32"/>
  <c r="K61" i="191"/>
  <c r="K32" i="189"/>
  <c r="K68" i="191"/>
  <c r="K54" i="190"/>
  <c r="K21" i="187"/>
  <c r="F51" i="192"/>
  <c r="K68" i="189"/>
  <c r="K46" i="188"/>
  <c r="K6" i="190"/>
  <c r="K8" i="188"/>
  <c r="K32" i="193"/>
  <c r="K39" i="187"/>
  <c r="K27" i="190"/>
  <c r="K58" i="189"/>
  <c r="K33" i="187"/>
  <c r="K68" i="188"/>
  <c r="K14" i="193"/>
  <c r="K29" i="192"/>
  <c r="K62" i="188"/>
  <c r="F39" i="192"/>
  <c r="K49" i="189"/>
  <c r="K52" i="188"/>
  <c r="K9" i="189"/>
  <c r="K25" i="193"/>
  <c r="K19" i="192"/>
  <c r="K56" i="188"/>
  <c r="K45" i="188"/>
  <c r="K10" i="188"/>
  <c r="K19" i="193"/>
  <c r="K69" i="188"/>
  <c r="K70" i="189"/>
  <c r="K41" i="192"/>
  <c r="K12" i="190"/>
  <c r="K12" i="187"/>
  <c r="K13" i="187"/>
  <c r="K33" i="32"/>
  <c r="K37" i="188"/>
  <c r="K45" i="32"/>
  <c r="K49" i="193"/>
  <c r="K12" i="191"/>
  <c r="K66" i="187"/>
  <c r="K26" i="192"/>
  <c r="K22" i="193"/>
  <c r="K54" i="32"/>
  <c r="F52" i="192"/>
  <c r="F68" i="192"/>
  <c r="K24" i="190"/>
  <c r="K32" i="32"/>
  <c r="K22" i="188"/>
  <c r="K67" i="192"/>
  <c r="K52" i="192"/>
  <c r="K46" i="193"/>
  <c r="K7" i="188"/>
  <c r="K66" i="191"/>
  <c r="F13" i="192"/>
  <c r="F29" i="192"/>
  <c r="F15" i="192"/>
  <c r="K58" i="188"/>
  <c r="K12" i="193"/>
  <c r="K14" i="192"/>
  <c r="K17" i="192"/>
  <c r="K55" i="32"/>
  <c r="K39" i="191"/>
  <c r="K17" i="187"/>
  <c r="K47" i="190"/>
  <c r="K10" i="193"/>
  <c r="K53" i="192"/>
  <c r="K46" i="189"/>
  <c r="K20" i="188"/>
  <c r="K21" i="189"/>
  <c r="K47" i="192"/>
  <c r="K27" i="32"/>
  <c r="K14" i="189"/>
  <c r="F20" i="192"/>
  <c r="K68" i="32"/>
  <c r="K34" i="189"/>
  <c r="K35" i="192"/>
  <c r="K39" i="193"/>
  <c r="K54" i="191"/>
  <c r="K61" i="32"/>
  <c r="K45" i="187"/>
  <c r="K67" i="193"/>
  <c r="K27" i="187"/>
  <c r="F56" i="192"/>
  <c r="K62" i="32"/>
  <c r="K32" i="190"/>
  <c r="K32" i="191"/>
  <c r="K21" i="190"/>
  <c r="K24" i="192"/>
  <c r="K42" i="187"/>
  <c r="K68" i="187"/>
  <c r="F45" i="192"/>
  <c r="K20" i="191"/>
  <c r="F44" i="192"/>
  <c r="K56" i="190"/>
  <c r="K64" i="32"/>
  <c r="K15" i="192"/>
  <c r="K47" i="32"/>
  <c r="K69" i="189"/>
  <c r="K12" i="192"/>
  <c r="K69" i="191"/>
  <c r="K22" i="192"/>
  <c r="K22" i="187"/>
  <c r="F30" i="192"/>
  <c r="K38" i="191"/>
  <c r="K29" i="187"/>
  <c r="K52" i="187"/>
  <c r="K24" i="187"/>
  <c r="K46" i="32"/>
  <c r="K44" i="191"/>
  <c r="K22" i="189"/>
  <c r="K62" i="189"/>
  <c r="K65" i="189"/>
  <c r="F43" i="192"/>
  <c r="K24" i="188"/>
  <c r="K6" i="189"/>
  <c r="K10" i="189"/>
  <c r="K63" i="193"/>
  <c r="F10" i="192"/>
  <c r="F32" i="192"/>
  <c r="K30" i="189"/>
  <c r="K57" i="192"/>
  <c r="K30" i="190"/>
  <c r="K13" i="190"/>
  <c r="K52" i="191"/>
  <c r="K19" i="32"/>
  <c r="K37" i="190"/>
  <c r="K20" i="190"/>
  <c r="K22" i="190"/>
  <c r="K25" i="187"/>
  <c r="K51" i="188"/>
  <c r="K62" i="191"/>
  <c r="K15" i="193"/>
  <c r="K65" i="193"/>
  <c r="K30" i="187"/>
  <c r="K13" i="188"/>
  <c r="K65" i="192"/>
  <c r="F18" i="192"/>
  <c r="K62" i="193"/>
  <c r="K32" i="192"/>
  <c r="K28" i="191"/>
  <c r="K37" i="193"/>
  <c r="K10" i="190"/>
  <c r="K25" i="189"/>
  <c r="K42" i="190"/>
  <c r="K41" i="188"/>
  <c r="K70" i="191"/>
  <c r="K63" i="192"/>
  <c r="K7" i="192"/>
  <c r="K31" i="191"/>
  <c r="K19" i="189"/>
  <c r="K51" i="193"/>
  <c r="K61" i="188"/>
  <c r="K64" i="188"/>
  <c r="K28" i="193"/>
  <c r="K26" i="189"/>
  <c r="F64" i="192"/>
  <c r="K38" i="187"/>
  <c r="K39" i="190"/>
  <c r="K68" i="190"/>
  <c r="K70" i="188"/>
  <c r="K44" i="192"/>
  <c r="K67" i="188"/>
  <c r="K13" i="32"/>
  <c r="K16" i="193"/>
  <c r="K43" i="192"/>
  <c r="K38" i="188"/>
  <c r="K18" i="192"/>
  <c r="K44" i="187"/>
  <c r="K33" i="193"/>
  <c r="K36" i="32"/>
  <c r="K49" i="191"/>
  <c r="K11" i="192"/>
  <c r="K47" i="191"/>
  <c r="K22" i="32"/>
  <c r="K61" i="190"/>
  <c r="K11" i="187"/>
  <c r="K58" i="191"/>
  <c r="K34" i="187"/>
  <c r="K52" i="190"/>
  <c r="K55" i="190"/>
  <c r="K48" i="187"/>
  <c r="K29" i="193"/>
  <c r="F24" i="192"/>
  <c r="K23" i="190"/>
  <c r="K24" i="189"/>
  <c r="K40" i="32"/>
  <c r="K46" i="190"/>
  <c r="K47" i="189"/>
  <c r="F49" i="192"/>
  <c r="K20" i="32"/>
  <c r="K60" i="188"/>
  <c r="K45" i="189"/>
  <c r="K65" i="191"/>
  <c r="K28" i="187"/>
  <c r="K70" i="32"/>
  <c r="K12" i="32"/>
  <c r="F58" i="192"/>
  <c r="K33" i="192"/>
  <c r="K30" i="191"/>
  <c r="K42" i="188"/>
  <c r="K47" i="188"/>
  <c r="K36" i="191"/>
  <c r="K36" i="190"/>
  <c r="K40" i="189"/>
  <c r="K25" i="188"/>
  <c r="F31" i="192"/>
  <c r="K15" i="188"/>
  <c r="K63" i="188"/>
  <c r="K55" i="188"/>
  <c r="K38" i="32"/>
  <c r="K35" i="190"/>
  <c r="K15" i="187"/>
  <c r="K11" i="188"/>
  <c r="K37" i="32"/>
  <c r="K50" i="188"/>
  <c r="K53" i="191"/>
  <c r="K13" i="192"/>
  <c r="K34" i="193"/>
  <c r="K23" i="189"/>
  <c r="K65" i="188"/>
  <c r="K28" i="192"/>
  <c r="K25" i="190"/>
  <c r="K39" i="189"/>
  <c r="K53" i="193"/>
  <c r="K16" i="188"/>
  <c r="K63" i="190"/>
  <c r="K60" i="192"/>
  <c r="F36" i="192"/>
  <c r="K67" i="189"/>
  <c r="K48" i="32"/>
  <c r="K34" i="191"/>
  <c r="K53" i="32"/>
  <c r="K62" i="187"/>
  <c r="K49" i="192"/>
  <c r="K67" i="32"/>
  <c r="K70" i="190"/>
  <c r="K6" i="192"/>
  <c r="K52" i="193"/>
  <c r="K66" i="192"/>
  <c r="K64" i="191"/>
  <c r="F59" i="192"/>
  <c r="K26" i="188"/>
  <c r="K6" i="191"/>
  <c r="K23" i="187"/>
  <c r="K38" i="189"/>
  <c r="K35" i="191"/>
  <c r="K54" i="188"/>
  <c r="K23" i="191"/>
  <c r="K16" i="190"/>
  <c r="K55" i="187"/>
  <c r="F62" i="192"/>
  <c r="K57" i="187"/>
  <c r="K49" i="187"/>
  <c r="K58" i="190"/>
  <c r="K33" i="188"/>
  <c r="K14" i="190"/>
  <c r="F12" i="192"/>
  <c r="K29" i="32"/>
  <c r="K31" i="192"/>
  <c r="F63" i="192"/>
  <c r="K23" i="32"/>
  <c r="K51" i="190"/>
  <c r="K45" i="190"/>
  <c r="K62" i="190"/>
  <c r="K24" i="193"/>
  <c r="K35" i="32"/>
  <c r="K40" i="193"/>
  <c r="K25" i="192"/>
  <c r="K47" i="193"/>
  <c r="K60" i="191"/>
  <c r="K8" i="32"/>
  <c r="F66" i="192"/>
  <c r="K15" i="32"/>
  <c r="K10" i="191"/>
  <c r="K10" i="192"/>
  <c r="K18" i="32"/>
  <c r="K36" i="193"/>
  <c r="K33" i="191"/>
  <c r="F38" i="192"/>
  <c r="K64" i="192"/>
  <c r="K23" i="193"/>
  <c r="K60" i="193"/>
  <c r="K50" i="191"/>
  <c r="K56" i="192"/>
  <c r="O39" i="43" l="1"/>
  <c r="Q39" i="43" s="1"/>
  <c r="O36" i="43"/>
  <c r="B2816" i="242"/>
  <c r="A2815" i="242"/>
  <c r="B944" i="242"/>
  <c r="A943" i="242"/>
  <c r="F20" i="190"/>
  <c r="F20" i="191" s="1"/>
  <c r="F29" i="193"/>
  <c r="F37" i="193"/>
  <c r="F63" i="193"/>
  <c r="F28" i="190"/>
  <c r="F11" i="193"/>
  <c r="F25" i="188"/>
  <c r="F12" i="193"/>
  <c r="F20" i="32"/>
  <c r="F62" i="193"/>
  <c r="F30" i="188"/>
  <c r="F33" i="190"/>
  <c r="F33" i="191" s="1"/>
  <c r="F24" i="190"/>
  <c r="F26" i="193"/>
  <c r="F56" i="193"/>
  <c r="F67" i="193"/>
  <c r="F65" i="193"/>
  <c r="F18" i="193"/>
  <c r="F10" i="32"/>
  <c r="E13" i="32" s="1"/>
  <c r="E13" i="187" s="1"/>
  <c r="F45" i="193"/>
  <c r="F22" i="32"/>
  <c r="F16" i="190"/>
  <c r="E28" i="190" s="1"/>
  <c r="F23" i="188"/>
  <c r="F25" i="193"/>
  <c r="F19" i="32"/>
  <c r="F11" i="188"/>
  <c r="E17" i="188" s="1"/>
  <c r="F15" i="190"/>
  <c r="F15" i="191" s="1"/>
  <c r="F24" i="32"/>
  <c r="F9" i="193"/>
  <c r="F12" i="32"/>
  <c r="F12" i="187" s="1"/>
  <c r="F18" i="32"/>
  <c r="F17" i="32"/>
  <c r="F13" i="188"/>
  <c r="E19" i="188" s="1"/>
  <c r="F58" i="193"/>
  <c r="F12" i="188"/>
  <c r="F12" i="189" s="1"/>
  <c r="F57" i="193"/>
  <c r="F39" i="193"/>
  <c r="F10" i="188"/>
  <c r="F10" i="189" s="1"/>
  <c r="F33" i="193"/>
  <c r="F19" i="188"/>
  <c r="F52" i="193"/>
  <c r="F64" i="193"/>
  <c r="F7" i="193"/>
  <c r="F21" i="188"/>
  <c r="F24" i="193"/>
  <c r="F10" i="190"/>
  <c r="E22" i="190" s="1"/>
  <c r="F14" i="190"/>
  <c r="F14" i="191" s="1"/>
  <c r="F19" i="190"/>
  <c r="F19" i="191" s="1"/>
  <c r="F66" i="193"/>
  <c r="F15" i="188"/>
  <c r="F15" i="189" s="1"/>
  <c r="F20" i="188"/>
  <c r="F16" i="32"/>
  <c r="F55" i="193"/>
  <c r="F13" i="190"/>
  <c r="F13" i="191" s="1"/>
  <c r="F14" i="32"/>
  <c r="F59" i="193"/>
  <c r="F12" i="190"/>
  <c r="E24" i="190" s="1"/>
  <c r="F14" i="193"/>
  <c r="F44" i="193"/>
  <c r="F28" i="188"/>
  <c r="F23" i="190"/>
  <c r="F30" i="193"/>
  <c r="F11" i="190"/>
  <c r="F11" i="191" s="1"/>
  <c r="F29" i="188"/>
  <c r="F10" i="193"/>
  <c r="F18" i="190"/>
  <c r="E30" i="190" s="1"/>
  <c r="F31" i="188"/>
  <c r="F54" i="193"/>
  <c r="F34" i="193"/>
  <c r="F17" i="188"/>
  <c r="F15" i="193"/>
  <c r="F13" i="32"/>
  <c r="F26" i="190"/>
  <c r="F16" i="193"/>
  <c r="F31" i="190"/>
  <c r="F38" i="193"/>
  <c r="F24" i="188"/>
  <c r="F49" i="193"/>
  <c r="F25" i="190"/>
  <c r="F17" i="193"/>
  <c r="F51" i="193"/>
  <c r="F20" i="193"/>
  <c r="F23" i="193"/>
  <c r="F61" i="193"/>
  <c r="F27" i="193"/>
  <c r="F11" i="32"/>
  <c r="F11" i="187" s="1"/>
  <c r="F60" i="193"/>
  <c r="F36" i="193"/>
  <c r="F22" i="193"/>
  <c r="F18" i="188"/>
  <c r="F22" i="188"/>
  <c r="F30" i="190"/>
  <c r="F43" i="193"/>
  <c r="F8" i="193"/>
  <c r="F26" i="188"/>
  <c r="F19" i="193"/>
  <c r="F22" i="190"/>
  <c r="F32" i="193"/>
  <c r="Q5" i="192" a="1"/>
  <c r="BX5" i="192" s="1"/>
  <c r="F68" i="193"/>
  <c r="Q5" i="193" a="1"/>
  <c r="BC5" i="193" s="1"/>
  <c r="F14" i="188"/>
  <c r="F14" i="189" s="1"/>
  <c r="F13" i="193"/>
  <c r="F31" i="193"/>
  <c r="F27" i="188"/>
  <c r="C7" i="193"/>
  <c r="AL80" i="43"/>
  <c r="AL81" i="43"/>
  <c r="P18" i="43"/>
  <c r="P26" i="43"/>
  <c r="P34" i="43"/>
  <c r="P28" i="43"/>
  <c r="P21" i="43"/>
  <c r="P29" i="43"/>
  <c r="P22" i="43"/>
  <c r="P30" i="43"/>
  <c r="P17" i="43"/>
  <c r="P23" i="43"/>
  <c r="P31" i="43"/>
  <c r="P25" i="43"/>
  <c r="P33" i="43"/>
  <c r="P19" i="43"/>
  <c r="P27" i="43"/>
  <c r="P35" i="43"/>
  <c r="P20" i="43"/>
  <c r="P36" i="43"/>
  <c r="P24" i="43"/>
  <c r="O37" i="43"/>
  <c r="Q37" i="43" s="1"/>
  <c r="O45" i="43"/>
  <c r="Q45" i="43" s="1"/>
  <c r="O53" i="43"/>
  <c r="Q53" i="43" s="1"/>
  <c r="O61" i="43"/>
  <c r="Q61" i="43" s="1"/>
  <c r="O69" i="43"/>
  <c r="Q69" i="43" s="1"/>
  <c r="O47" i="43"/>
  <c r="Q47" i="43" s="1"/>
  <c r="O63" i="43"/>
  <c r="Q63" i="43" s="1"/>
  <c r="O48" i="43"/>
  <c r="Q48" i="43" s="1"/>
  <c r="O64" i="43"/>
  <c r="Q64" i="43" s="1"/>
  <c r="O41" i="43"/>
  <c r="Q41" i="43" s="1"/>
  <c r="O65" i="43"/>
  <c r="Q65" i="43" s="1"/>
  <c r="O42" i="43"/>
  <c r="Q42" i="43" s="1"/>
  <c r="O58" i="43"/>
  <c r="Q58" i="43" s="1"/>
  <c r="O74" i="43"/>
  <c r="Q74" i="43" s="1"/>
  <c r="O51" i="43"/>
  <c r="Q51" i="43" s="1"/>
  <c r="O67" i="43"/>
  <c r="Q67" i="43" s="1"/>
  <c r="O52" i="43"/>
  <c r="Q52" i="43" s="1"/>
  <c r="O76" i="43"/>
  <c r="Q76" i="43" s="1"/>
  <c r="O38" i="43"/>
  <c r="Q38" i="43" s="1"/>
  <c r="O46" i="43"/>
  <c r="Q46" i="43" s="1"/>
  <c r="O54" i="43"/>
  <c r="Q54" i="43" s="1"/>
  <c r="O62" i="43"/>
  <c r="Q62" i="43" s="1"/>
  <c r="O70" i="43"/>
  <c r="Q70" i="43" s="1"/>
  <c r="O55" i="43"/>
  <c r="Q55" i="43" s="1"/>
  <c r="O71" i="43"/>
  <c r="Q71" i="43" s="1"/>
  <c r="O40" i="43"/>
  <c r="Q40" i="43" s="1"/>
  <c r="O56" i="43"/>
  <c r="Q56" i="43" s="1"/>
  <c r="O72" i="43"/>
  <c r="Q72" i="43" s="1"/>
  <c r="O49" i="43"/>
  <c r="Q49" i="43" s="1"/>
  <c r="O57" i="43"/>
  <c r="Q57" i="43" s="1"/>
  <c r="O73" i="43"/>
  <c r="Q73" i="43" s="1"/>
  <c r="O50" i="43"/>
  <c r="Q50" i="43" s="1"/>
  <c r="O66" i="43"/>
  <c r="Q66" i="43" s="1"/>
  <c r="O43" i="43"/>
  <c r="Q43" i="43" s="1"/>
  <c r="O59" i="43"/>
  <c r="Q59" i="43" s="1"/>
  <c r="O75" i="43"/>
  <c r="Q75" i="43" s="1"/>
  <c r="O44" i="43"/>
  <c r="Q44" i="43" s="1"/>
  <c r="O60" i="43"/>
  <c r="Q60" i="43" s="1"/>
  <c r="O68" i="43"/>
  <c r="Q68" i="43" s="1"/>
  <c r="E33" i="191"/>
  <c r="E32" i="190"/>
  <c r="F17" i="191"/>
  <c r="E29" i="190"/>
  <c r="O8" i="43"/>
  <c r="BQ4" i="193"/>
  <c r="BP4" i="193"/>
  <c r="BR4" i="193"/>
  <c r="AU4" i="193"/>
  <c r="X4" i="193"/>
  <c r="AF4" i="193"/>
  <c r="BG4" i="193"/>
  <c r="BT4" i="193"/>
  <c r="AL4" i="193"/>
  <c r="AA4" i="193"/>
  <c r="BI4" i="193"/>
  <c r="BH4" i="193"/>
  <c r="BF4" i="193"/>
  <c r="AI4" i="193"/>
  <c r="BW4" i="193"/>
  <c r="Q4" i="193"/>
  <c r="AM4" i="193"/>
  <c r="AX4" i="193"/>
  <c r="BA4" i="193"/>
  <c r="AZ4" i="193"/>
  <c r="AV4" i="193"/>
  <c r="Y4" i="193"/>
  <c r="BM4" i="193"/>
  <c r="BL4" i="193"/>
  <c r="BU4" i="193"/>
  <c r="AD4" i="193"/>
  <c r="AR4" i="193"/>
  <c r="BC4" i="193"/>
  <c r="W4" i="193"/>
  <c r="AY4" i="193"/>
  <c r="AS4" i="193"/>
  <c r="BZ4" i="193"/>
  <c r="AK4" i="193"/>
  <c r="AJ4" i="193"/>
  <c r="Z4" i="193"/>
  <c r="BN4" i="193"/>
  <c r="AQ4" i="193"/>
  <c r="BK4" i="193"/>
  <c r="AE4" i="193"/>
  <c r="S4" i="193"/>
  <c r="AC4" i="193"/>
  <c r="AB4" i="193"/>
  <c r="CA4" i="193"/>
  <c r="BD4" i="193"/>
  <c r="AG4" i="193"/>
  <c r="AO4" i="193"/>
  <c r="BS4" i="193"/>
  <c r="BJ4" i="193"/>
  <c r="U4" i="193"/>
  <c r="T4" i="193"/>
  <c r="BO4" i="193"/>
  <c r="AT4" i="193"/>
  <c r="BV4" i="193"/>
  <c r="V4" i="193"/>
  <c r="AW4" i="193"/>
  <c r="AN4" i="193"/>
  <c r="BY4" i="193"/>
  <c r="BX4" i="193"/>
  <c r="CB4" i="193"/>
  <c r="BE4" i="193"/>
  <c r="AH4" i="193"/>
  <c r="BB4" i="193"/>
  <c r="CC4" i="193"/>
  <c r="AP4" i="193"/>
  <c r="R4" i="193"/>
  <c r="BU4" i="192"/>
  <c r="BW4" i="192"/>
  <c r="BX4" i="192"/>
  <c r="AN4" i="192"/>
  <c r="BK4" i="192"/>
  <c r="BY4" i="192"/>
  <c r="V4" i="192"/>
  <c r="BP4" i="192"/>
  <c r="CC4" i="192"/>
  <c r="AI4" i="192"/>
  <c r="BT4" i="192"/>
  <c r="AU4" i="192"/>
  <c r="AW4" i="192"/>
  <c r="BM4" i="192"/>
  <c r="AL4" i="192"/>
  <c r="R4" i="192"/>
  <c r="S4" i="192"/>
  <c r="Q4" i="192"/>
  <c r="AZ4" i="192"/>
  <c r="BV4" i="192"/>
  <c r="X4" i="192"/>
  <c r="AK4" i="192"/>
  <c r="AR4" i="192"/>
  <c r="Z4" i="192"/>
  <c r="AA4" i="192"/>
  <c r="AC4" i="192"/>
  <c r="BJ4" i="192"/>
  <c r="T4" i="192"/>
  <c r="AF4" i="192"/>
  <c r="BC4" i="192"/>
  <c r="BZ4" i="192"/>
  <c r="AH4" i="192"/>
  <c r="AM4" i="192"/>
  <c r="AB4" i="192"/>
  <c r="BR4" i="192"/>
  <c r="AT4" i="192"/>
  <c r="BD4" i="192"/>
  <c r="BH4" i="192"/>
  <c r="AP4" i="192"/>
  <c r="AQ4" i="192"/>
  <c r="U4" i="192"/>
  <c r="AX4" i="192"/>
  <c r="AY4" i="192"/>
  <c r="BI4" i="192"/>
  <c r="AE4" i="192"/>
  <c r="BL4" i="192"/>
  <c r="AJ4" i="192"/>
  <c r="Y4" i="192"/>
  <c r="BE4" i="192"/>
  <c r="BF4" i="192"/>
  <c r="BG4" i="192"/>
  <c r="BS4" i="192"/>
  <c r="AO4" i="192"/>
  <c r="CB4" i="192"/>
  <c r="BB4" i="192"/>
  <c r="AG4" i="192"/>
  <c r="CA4" i="192"/>
  <c r="BN4" i="192"/>
  <c r="BO4" i="192"/>
  <c r="AD4" i="192"/>
  <c r="BA4" i="192"/>
  <c r="W4" i="192"/>
  <c r="BQ4" i="192"/>
  <c r="AV4" i="192"/>
  <c r="AS4" i="192"/>
  <c r="C6" i="193"/>
  <c r="Q5" i="189" a="1"/>
  <c r="Q5" i="188" a="1"/>
  <c r="Q5" i="187" a="1"/>
  <c r="Q5" i="190" a="1"/>
  <c r="Q5" i="191" a="1"/>
  <c r="AI81" i="43"/>
  <c r="Z83" i="43"/>
  <c r="Z82" i="43"/>
  <c r="Z84" i="43"/>
  <c r="Z85" i="43"/>
  <c r="Z80" i="43"/>
  <c r="Z81" i="43"/>
  <c r="Z79" i="43"/>
  <c r="BK4" i="188"/>
  <c r="BD4" i="188"/>
  <c r="AW4" i="188"/>
  <c r="AJ4" i="188"/>
  <c r="AS4" i="188"/>
  <c r="AD4" i="188"/>
  <c r="V4" i="188"/>
  <c r="R4" i="188"/>
  <c r="AB4" i="188"/>
  <c r="BX4" i="188"/>
  <c r="T4" i="188"/>
  <c r="Z4" i="188"/>
  <c r="BC4" i="188"/>
  <c r="AT4" i="188"/>
  <c r="AL4" i="188"/>
  <c r="BN4" i="188"/>
  <c r="AI4" i="188"/>
  <c r="BR4" i="188"/>
  <c r="U4" i="188"/>
  <c r="CC4" i="188"/>
  <c r="Q4" i="188"/>
  <c r="AC4" i="188"/>
  <c r="S4" i="188"/>
  <c r="AQ4" i="188"/>
  <c r="AU4" i="188"/>
  <c r="AK4" i="188"/>
  <c r="AA4" i="188"/>
  <c r="AR4" i="188"/>
  <c r="Y4" i="188"/>
  <c r="AX4" i="188"/>
  <c r="AO4" i="188"/>
  <c r="BU4" i="188"/>
  <c r="AM4" i="188"/>
  <c r="X4" i="188"/>
  <c r="BZ4" i="188"/>
  <c r="BH4" i="188"/>
  <c r="BI4" i="188"/>
  <c r="AE4" i="188"/>
  <c r="BW4" i="188"/>
  <c r="W4" i="188"/>
  <c r="CB4" i="188"/>
  <c r="BP4" i="188"/>
  <c r="BY4" i="188"/>
  <c r="AH4" i="188"/>
  <c r="BJ4" i="188"/>
  <c r="BA4" i="188"/>
  <c r="AZ4" i="188"/>
  <c r="CA4" i="188"/>
  <c r="BV4" i="188"/>
  <c r="BQ4" i="188"/>
  <c r="BF4" i="188"/>
  <c r="BO4" i="188"/>
  <c r="BT4" i="188"/>
  <c r="AP4" i="188"/>
  <c r="AG4" i="188"/>
  <c r="AN4" i="188"/>
  <c r="BS4" i="188"/>
  <c r="BM4" i="188"/>
  <c r="BG4" i="188"/>
  <c r="AV4" i="188"/>
  <c r="BE4" i="188"/>
  <c r="AY4" i="188"/>
  <c r="BL4" i="188"/>
  <c r="AF4" i="188"/>
  <c r="BB4" i="188"/>
  <c r="U4" i="191"/>
  <c r="T4" i="191"/>
  <c r="S4" i="191"/>
  <c r="AX4" i="191"/>
  <c r="Q4" i="191"/>
  <c r="AH4" i="191"/>
  <c r="AE4" i="191"/>
  <c r="BN4" i="191"/>
  <c r="BY4" i="191"/>
  <c r="BX4" i="191"/>
  <c r="BW4" i="191"/>
  <c r="CA4" i="191"/>
  <c r="AM4" i="191"/>
  <c r="AD4" i="191"/>
  <c r="W4" i="191"/>
  <c r="BC4" i="191"/>
  <c r="AO4" i="191"/>
  <c r="BQ4" i="191"/>
  <c r="BP4" i="191"/>
  <c r="BO4" i="191"/>
  <c r="BM4" i="191"/>
  <c r="Y4" i="191"/>
  <c r="BV4" i="191"/>
  <c r="BT4" i="191"/>
  <c r="BS4" i="191"/>
  <c r="BI4" i="191"/>
  <c r="BH4" i="191"/>
  <c r="BG4" i="191"/>
  <c r="BB4" i="191"/>
  <c r="BK4" i="191"/>
  <c r="AW4" i="191"/>
  <c r="BF4" i="191"/>
  <c r="BE4" i="191"/>
  <c r="BA4" i="191"/>
  <c r="AZ4" i="191"/>
  <c r="AY4" i="191"/>
  <c r="AN4" i="191"/>
  <c r="AL4" i="191"/>
  <c r="X4" i="191"/>
  <c r="AU4" i="191"/>
  <c r="AT4" i="191"/>
  <c r="AS4" i="191"/>
  <c r="AR4" i="191"/>
  <c r="AQ4" i="191"/>
  <c r="Z4" i="191"/>
  <c r="AG4" i="191"/>
  <c r="BU4" i="191"/>
  <c r="V4" i="191"/>
  <c r="AF4" i="191"/>
  <c r="AK4" i="191"/>
  <c r="AJ4" i="191"/>
  <c r="AI4" i="191"/>
  <c r="BZ4" i="191"/>
  <c r="CC4" i="191"/>
  <c r="BJ4" i="191"/>
  <c r="BR4" i="191"/>
  <c r="R4" i="191"/>
  <c r="AC4" i="191"/>
  <c r="AB4" i="191"/>
  <c r="AA4" i="191"/>
  <c r="BL4" i="191"/>
  <c r="AP4" i="191"/>
  <c r="AV4" i="191"/>
  <c r="BD4" i="191"/>
  <c r="CB4" i="191"/>
  <c r="AI79" i="43"/>
  <c r="AY83" i="43"/>
  <c r="AY82" i="43"/>
  <c r="AY84" i="43"/>
  <c r="AY79" i="43"/>
  <c r="AY80" i="43"/>
  <c r="AY81" i="43"/>
  <c r="Y80" i="43"/>
  <c r="Y84" i="43"/>
  <c r="Y82" i="43"/>
  <c r="Y83" i="43"/>
  <c r="Y85" i="43"/>
  <c r="Y81" i="43"/>
  <c r="Y79" i="43"/>
  <c r="Z4" i="190"/>
  <c r="T4" i="190"/>
  <c r="BZ4" i="190"/>
  <c r="AN4" i="190"/>
  <c r="AS4" i="190"/>
  <c r="BB4" i="190"/>
  <c r="BJ4" i="190"/>
  <c r="BS4" i="190"/>
  <c r="R4" i="190"/>
  <c r="BU4" i="190"/>
  <c r="BO4" i="190"/>
  <c r="AA4" i="190"/>
  <c r="BH4" i="190"/>
  <c r="AJ4" i="190"/>
  <c r="AV4" i="190"/>
  <c r="AQ4" i="190"/>
  <c r="BV4" i="190"/>
  <c r="BW4" i="190"/>
  <c r="BL4" i="190"/>
  <c r="BA4" i="190"/>
  <c r="BQ4" i="190"/>
  <c r="BT4" i="190"/>
  <c r="V4" i="190"/>
  <c r="AF4" i="190"/>
  <c r="W4" i="190"/>
  <c r="BN4" i="190"/>
  <c r="BM4" i="190"/>
  <c r="BC4" i="190"/>
  <c r="AO4" i="190"/>
  <c r="AY4" i="190"/>
  <c r="BG4" i="190"/>
  <c r="CC4" i="190"/>
  <c r="BI4" i="190"/>
  <c r="BF4" i="190"/>
  <c r="BD4" i="190"/>
  <c r="AT4" i="190"/>
  <c r="AD4" i="190"/>
  <c r="AI4" i="190"/>
  <c r="X4" i="190"/>
  <c r="BP4" i="190"/>
  <c r="AE4" i="190"/>
  <c r="AX4" i="190"/>
  <c r="AU4" i="190"/>
  <c r="AK4" i="190"/>
  <c r="BY4" i="190"/>
  <c r="U4" i="190"/>
  <c r="BE4" i="190"/>
  <c r="AW4" i="190"/>
  <c r="BX4" i="190"/>
  <c r="AP4" i="190"/>
  <c r="AL4" i="190"/>
  <c r="AB4" i="190"/>
  <c r="BK4" i="190"/>
  <c r="CB4" i="190"/>
  <c r="AM4" i="190"/>
  <c r="AG4" i="190"/>
  <c r="AR4" i="190"/>
  <c r="AH4" i="190"/>
  <c r="AC4" i="190"/>
  <c r="S4" i="190"/>
  <c r="AZ4" i="190"/>
  <c r="CA4" i="190"/>
  <c r="BR4" i="190"/>
  <c r="Q4" i="190"/>
  <c r="Y4" i="190"/>
  <c r="BE4" i="189"/>
  <c r="BD4" i="189"/>
  <c r="AK4" i="189"/>
  <c r="AD4" i="189"/>
  <c r="AY4" i="189"/>
  <c r="BH4" i="189"/>
  <c r="BQ4" i="189"/>
  <c r="AE4" i="189"/>
  <c r="BS4" i="189"/>
  <c r="AV4" i="189"/>
  <c r="AW4" i="189"/>
  <c r="AU4" i="189"/>
  <c r="AB4" i="189"/>
  <c r="BY4" i="189"/>
  <c r="AM4" i="189"/>
  <c r="W4" i="189"/>
  <c r="BF4" i="189"/>
  <c r="R4" i="189"/>
  <c r="BL4" i="189"/>
  <c r="BT4" i="189"/>
  <c r="BP4" i="189"/>
  <c r="AO4" i="189"/>
  <c r="AL4" i="189"/>
  <c r="S4" i="189"/>
  <c r="BK4" i="189"/>
  <c r="Z4" i="189"/>
  <c r="AR4" i="189"/>
  <c r="AF4" i="189"/>
  <c r="CA4" i="189"/>
  <c r="AG4" i="189"/>
  <c r="AZ4" i="189"/>
  <c r="U4" i="189"/>
  <c r="BB4" i="189"/>
  <c r="AC4" i="189"/>
  <c r="Y4" i="189"/>
  <c r="T4" i="189"/>
  <c r="BZ4" i="189"/>
  <c r="AN4" i="189"/>
  <c r="BI4" i="189"/>
  <c r="AI4" i="189"/>
  <c r="CC4" i="189"/>
  <c r="Q4" i="189"/>
  <c r="BV4" i="189"/>
  <c r="BO4" i="189"/>
  <c r="AA4" i="189"/>
  <c r="AX4" i="189"/>
  <c r="BG4" i="189"/>
  <c r="BR4" i="189"/>
  <c r="AQ4" i="189"/>
  <c r="BU4" i="189"/>
  <c r="BW4" i="189"/>
  <c r="BC4" i="189"/>
  <c r="BA4" i="189"/>
  <c r="BX4" i="189"/>
  <c r="AJ4" i="189"/>
  <c r="AH4" i="189"/>
  <c r="AS4" i="189"/>
  <c r="BM4" i="189"/>
  <c r="BN4" i="189"/>
  <c r="AT4" i="189"/>
  <c r="AP4" i="189"/>
  <c r="BJ4" i="189"/>
  <c r="X4" i="189"/>
  <c r="CB4" i="189"/>
  <c r="V4" i="189"/>
  <c r="AI80" i="43"/>
  <c r="AO4" i="32"/>
  <c r="BP4" i="32"/>
  <c r="BT4" i="32"/>
  <c r="BZ4" i="32"/>
  <c r="AL4" i="32"/>
  <c r="BC4" i="32"/>
  <c r="BA4" i="32"/>
  <c r="AJ4" i="32"/>
  <c r="Z4" i="32"/>
  <c r="AT4" i="32"/>
  <c r="BW4" i="32"/>
  <c r="W4" i="32"/>
  <c r="AF4" i="32"/>
  <c r="BN4" i="32"/>
  <c r="BR4" i="32"/>
  <c r="Y4" i="32"/>
  <c r="AX4" i="32"/>
  <c r="BO4" i="32"/>
  <c r="BD4" i="32"/>
  <c r="BG4" i="32"/>
  <c r="U4" i="32"/>
  <c r="CB4" i="32"/>
  <c r="BY4" i="32"/>
  <c r="AS4" i="32"/>
  <c r="AU4" i="32"/>
  <c r="AN4" i="32"/>
  <c r="R4" i="32"/>
  <c r="AD4" i="32"/>
  <c r="AB4" i="32"/>
  <c r="AR4" i="32"/>
  <c r="BL4" i="32"/>
  <c r="CC4" i="32"/>
  <c r="BJ4" i="32"/>
  <c r="AZ4" i="32"/>
  <c r="AG4" i="32"/>
  <c r="BU4" i="32"/>
  <c r="AI4" i="32"/>
  <c r="AY4" i="32"/>
  <c r="T4" i="32"/>
  <c r="CA4" i="32"/>
  <c r="BQ4" i="32"/>
  <c r="AM4" i="32"/>
  <c r="Q4" i="32"/>
  <c r="V4" i="32"/>
  <c r="AP4" i="32"/>
  <c r="BS4" i="32"/>
  <c r="AA4" i="32"/>
  <c r="AK4" i="32"/>
  <c r="BX4" i="32"/>
  <c r="AQ4" i="32"/>
  <c r="BE4" i="32"/>
  <c r="AC4" i="32"/>
  <c r="AH4" i="32"/>
  <c r="BF4" i="32"/>
  <c r="AV4" i="32"/>
  <c r="AE4" i="32"/>
  <c r="BB4" i="32"/>
  <c r="BI4" i="32"/>
  <c r="BH4" i="32"/>
  <c r="BK4" i="32"/>
  <c r="BV4" i="32"/>
  <c r="BM4" i="32"/>
  <c r="AW4" i="32"/>
  <c r="X4" i="32"/>
  <c r="S4" i="32"/>
  <c r="CC4" i="187"/>
  <c r="Q4" i="187"/>
  <c r="BX4" i="187"/>
  <c r="AL4" i="187"/>
  <c r="S4" i="187"/>
  <c r="V4" i="187"/>
  <c r="AC4" i="187"/>
  <c r="CB4" i="187"/>
  <c r="X4" i="187"/>
  <c r="BU4" i="187"/>
  <c r="BZ4" i="187"/>
  <c r="BF4" i="187"/>
  <c r="T4" i="187"/>
  <c r="BJ4" i="187"/>
  <c r="BO4" i="187"/>
  <c r="BB4" i="187"/>
  <c r="BS4" i="187"/>
  <c r="AV4" i="187"/>
  <c r="BM4" i="187"/>
  <c r="BQ4" i="187"/>
  <c r="AM4" i="187"/>
  <c r="BV4" i="187"/>
  <c r="BY4" i="187"/>
  <c r="AJ4" i="187"/>
  <c r="CA4" i="187"/>
  <c r="BE4" i="187"/>
  <c r="BH4" i="187"/>
  <c r="U4" i="187"/>
  <c r="BL4" i="187"/>
  <c r="BP4" i="187"/>
  <c r="AD4" i="187"/>
  <c r="R4" i="187"/>
  <c r="BR4" i="187"/>
  <c r="AW4" i="187"/>
  <c r="AY4" i="187"/>
  <c r="BW4" i="187"/>
  <c r="BC4" i="187"/>
  <c r="BG4" i="187"/>
  <c r="AI4" i="187"/>
  <c r="AR4" i="187"/>
  <c r="BI4" i="187"/>
  <c r="AO4" i="187"/>
  <c r="AP4" i="187"/>
  <c r="BN4" i="187"/>
  <c r="AT4" i="187"/>
  <c r="AX4" i="187"/>
  <c r="BK4" i="187"/>
  <c r="BT4" i="187"/>
  <c r="AZ4" i="187"/>
  <c r="AG4" i="187"/>
  <c r="AF4" i="187"/>
  <c r="BD4" i="187"/>
  <c r="AK4" i="187"/>
  <c r="AN4" i="187"/>
  <c r="AA4" i="187"/>
  <c r="AS4" i="187"/>
  <c r="AQ4" i="187"/>
  <c r="Y4" i="187"/>
  <c r="W4" i="187"/>
  <c r="AU4" i="187"/>
  <c r="AB4" i="187"/>
  <c r="AE4" i="187"/>
  <c r="Z4" i="187"/>
  <c r="BA4" i="187"/>
  <c r="AH4" i="187"/>
  <c r="BA49" i="4"/>
  <c r="AZ58" i="4"/>
  <c r="BA58" i="4" s="1"/>
  <c r="AZ55" i="4"/>
  <c r="BA55" i="4" s="1"/>
  <c r="AZ50" i="4"/>
  <c r="BA50" i="4" s="1"/>
  <c r="AZ41" i="4"/>
  <c r="BA41" i="4" s="1"/>
  <c r="AZ62" i="4"/>
  <c r="BA62" i="4" s="1"/>
  <c r="AZ32" i="4"/>
  <c r="BA32" i="4" s="1"/>
  <c r="BA51" i="4"/>
  <c r="BA46" i="4"/>
  <c r="BA73" i="4"/>
  <c r="BA23" i="4"/>
  <c r="CG13" i="202" s="1"/>
  <c r="BA64" i="4"/>
  <c r="BA36" i="4"/>
  <c r="BA35" i="4"/>
  <c r="BA75" i="4"/>
  <c r="BA57" i="4"/>
  <c r="BA84" i="4"/>
  <c r="BA54" i="4"/>
  <c r="BA76" i="4"/>
  <c r="BA70" i="4"/>
  <c r="BA61" i="4"/>
  <c r="BA69" i="4"/>
  <c r="BA74" i="4"/>
  <c r="BA28" i="4"/>
  <c r="BA82" i="4"/>
  <c r="BA26" i="4"/>
  <c r="BA66" i="4"/>
  <c r="BA85" i="4"/>
  <c r="BA37" i="4"/>
  <c r="BA71" i="4"/>
  <c r="BA56" i="4"/>
  <c r="BA52" i="4"/>
  <c r="BA53" i="4"/>
  <c r="BA31" i="4"/>
  <c r="BA42" i="4"/>
  <c r="BA79" i="4"/>
  <c r="BA63" i="4"/>
  <c r="BA78" i="4"/>
  <c r="BA43" i="4"/>
  <c r="BA25" i="4"/>
  <c r="BA39" i="4"/>
  <c r="BA77" i="4"/>
  <c r="BA45" i="4"/>
  <c r="BA60" i="4"/>
  <c r="BA86" i="4"/>
  <c r="BA59" i="4"/>
  <c r="BA48" i="4"/>
  <c r="BA30" i="4"/>
  <c r="BA27" i="4"/>
  <c r="BA80" i="4"/>
  <c r="BA40" i="4"/>
  <c r="BA87" i="4"/>
  <c r="BA72" i="4"/>
  <c r="BA83" i="4"/>
  <c r="BA29" i="4"/>
  <c r="BA38" i="4"/>
  <c r="BA68" i="4"/>
  <c r="BA81" i="4"/>
  <c r="BA67" i="4"/>
  <c r="BA65" i="4"/>
  <c r="BA34" i="4"/>
  <c r="BA33" i="4"/>
  <c r="BA44" i="4"/>
  <c r="BA47" i="4"/>
  <c r="AS23" i="4"/>
  <c r="BC17" i="43" s="1"/>
  <c r="AP65" i="4"/>
  <c r="AP30" i="4"/>
  <c r="AP79" i="4"/>
  <c r="AP44" i="4"/>
  <c r="AP67" i="4"/>
  <c r="AP26" i="4"/>
  <c r="AP31" i="4"/>
  <c r="AP76" i="4"/>
  <c r="AP50" i="4"/>
  <c r="AP48" i="4"/>
  <c r="AP70" i="4"/>
  <c r="AP69" i="4"/>
  <c r="AP66" i="4"/>
  <c r="AP61" i="4"/>
  <c r="AP72" i="4"/>
  <c r="AP60" i="4"/>
  <c r="AP34" i="4"/>
  <c r="AP27" i="4"/>
  <c r="AP74" i="4"/>
  <c r="AP45" i="4"/>
  <c r="AP42" i="4"/>
  <c r="AP41" i="4"/>
  <c r="AP56" i="4"/>
  <c r="AP58" i="4"/>
  <c r="AP64" i="4"/>
  <c r="AP43" i="4"/>
  <c r="AP84" i="4"/>
  <c r="AP54" i="4"/>
  <c r="AP28" i="4"/>
  <c r="AP25" i="4"/>
  <c r="AP75" i="4"/>
  <c r="AP37" i="4"/>
  <c r="AP40" i="4"/>
  <c r="AP49" i="4"/>
  <c r="AP77" i="4"/>
  <c r="AP52" i="4"/>
  <c r="AP62" i="4"/>
  <c r="AP59" i="4"/>
  <c r="AP71" i="4"/>
  <c r="AP80" i="4"/>
  <c r="AP46" i="4"/>
  <c r="AP29" i="4"/>
  <c r="AP36" i="4"/>
  <c r="AP32" i="4"/>
  <c r="AP73" i="4"/>
  <c r="AP78" i="4"/>
  <c r="AP51" i="4"/>
  <c r="AP57" i="4"/>
  <c r="AP63" i="4"/>
  <c r="AP55" i="4"/>
  <c r="AP24" i="4"/>
  <c r="AP83" i="4"/>
  <c r="AP81" i="4"/>
  <c r="AP68" i="4"/>
  <c r="AP35" i="4"/>
  <c r="AP39" i="4"/>
  <c r="AP33" i="4"/>
  <c r="AP47" i="4"/>
  <c r="AP38" i="4"/>
  <c r="AP53" i="4"/>
  <c r="AP82" i="4"/>
  <c r="D8" i="43"/>
  <c r="AM41" i="43" l="1"/>
  <c r="CG37" i="202"/>
  <c r="AM81" i="43"/>
  <c r="CG77" i="202"/>
  <c r="AM19" i="43"/>
  <c r="CG15" i="202"/>
  <c r="AM79" i="43"/>
  <c r="CG75" i="202"/>
  <c r="AM51" i="43"/>
  <c r="CG47" i="202"/>
  <c r="AM44" i="43"/>
  <c r="CG40" i="202"/>
  <c r="AM38" i="43"/>
  <c r="CG34" i="202"/>
  <c r="AM34" i="43"/>
  <c r="CG30" i="202"/>
  <c r="AM37" i="43"/>
  <c r="CG33" i="202"/>
  <c r="AM60" i="43"/>
  <c r="CG56" i="202"/>
  <c r="AM69" i="43"/>
  <c r="CG65" i="202"/>
  <c r="AM49" i="43"/>
  <c r="CG45" i="202"/>
  <c r="AM78" i="43"/>
  <c r="CG74" i="202"/>
  <c r="AM28" i="43"/>
  <c r="CG24" i="202"/>
  <c r="AM57" i="43"/>
  <c r="CG53" i="202"/>
  <c r="AM76" i="43"/>
  <c r="CG72" i="202"/>
  <c r="AM43" i="43"/>
  <c r="CG39" i="202"/>
  <c r="AM22" i="43"/>
  <c r="CG18" i="202"/>
  <c r="AM31" i="43"/>
  <c r="CG27" i="202"/>
  <c r="AM27" i="43"/>
  <c r="CG23" i="202"/>
  <c r="AM72" i="43"/>
  <c r="CG68" i="202"/>
  <c r="AM52" i="43"/>
  <c r="CG48" i="202"/>
  <c r="AM36" i="43"/>
  <c r="CG32" i="202"/>
  <c r="AM63" i="43"/>
  <c r="CG59" i="202"/>
  <c r="AM62" i="43"/>
  <c r="CG58" i="202"/>
  <c r="AM80" i="43"/>
  <c r="CG76" i="202"/>
  <c r="AM47" i="43"/>
  <c r="CG43" i="202"/>
  <c r="AM55" i="43"/>
  <c r="CG51" i="202"/>
  <c r="AM40" i="43"/>
  <c r="CG36" i="202"/>
  <c r="AM66" i="43"/>
  <c r="CG62" i="202"/>
  <c r="AM35" i="43"/>
  <c r="CG31" i="202"/>
  <c r="AM59" i="43"/>
  <c r="CG55" i="202"/>
  <c r="AM24" i="43"/>
  <c r="CG20" i="202"/>
  <c r="AM58" i="43"/>
  <c r="CG54" i="202"/>
  <c r="AM68" i="43"/>
  <c r="CG64" i="202"/>
  <c r="AM25" i="43"/>
  <c r="CG21" i="202"/>
  <c r="AM32" i="43"/>
  <c r="CG28" i="202"/>
  <c r="AM54" i="43"/>
  <c r="CG50" i="202"/>
  <c r="AM46" i="43"/>
  <c r="CG42" i="202"/>
  <c r="AM64" i="43"/>
  <c r="CG60" i="202"/>
  <c r="AM45" i="43"/>
  <c r="CG41" i="202"/>
  <c r="AM33" i="43"/>
  <c r="CG29" i="202"/>
  <c r="AM74" i="43"/>
  <c r="CG70" i="202"/>
  <c r="AM20" i="43"/>
  <c r="CG16" i="202"/>
  <c r="AM73" i="43"/>
  <c r="CG69" i="202"/>
  <c r="AM61" i="43"/>
  <c r="CG57" i="202"/>
  <c r="AM75" i="43"/>
  <c r="CG71" i="202"/>
  <c r="AM53" i="43"/>
  <c r="CG49" i="202"/>
  <c r="AM67" i="43"/>
  <c r="CG63" i="202"/>
  <c r="AM23" i="43"/>
  <c r="CG19" i="202"/>
  <c r="AM39" i="43"/>
  <c r="CG35" i="202"/>
  <c r="AM50" i="43"/>
  <c r="CG46" i="202"/>
  <c r="AM70" i="43"/>
  <c r="CG66" i="202"/>
  <c r="AM26" i="43"/>
  <c r="CG22" i="202"/>
  <c r="Q36" i="43"/>
  <c r="V36" i="43" s="1"/>
  <c r="AM29" i="43"/>
  <c r="CG25" i="202"/>
  <c r="AM21" i="43"/>
  <c r="CG17" i="202"/>
  <c r="AM30" i="43"/>
  <c r="CG26" i="202"/>
  <c r="AM42" i="43"/>
  <c r="CG38" i="202"/>
  <c r="AM77" i="43"/>
  <c r="CG73" i="202"/>
  <c r="AM71" i="43"/>
  <c r="CG67" i="202"/>
  <c r="AM65" i="43"/>
  <c r="CG61" i="202"/>
  <c r="AM48" i="43"/>
  <c r="CG44" i="202"/>
  <c r="AM56" i="43"/>
  <c r="CG52" i="202"/>
  <c r="A944" i="242"/>
  <c r="B945" i="242"/>
  <c r="A2816" i="242"/>
  <c r="B2817" i="242"/>
  <c r="F10" i="187"/>
  <c r="F16" i="191"/>
  <c r="E18" i="188"/>
  <c r="E18" i="189" s="1"/>
  <c r="F12" i="191"/>
  <c r="F11" i="189"/>
  <c r="E16" i="188"/>
  <c r="E16" i="189" s="1"/>
  <c r="E15" i="32"/>
  <c r="E15" i="187" s="1"/>
  <c r="F13" i="189"/>
  <c r="BE5" i="193"/>
  <c r="BX5" i="193"/>
  <c r="CA5" i="193"/>
  <c r="E27" i="190"/>
  <c r="E27" i="191" s="1"/>
  <c r="AE5" i="193"/>
  <c r="BJ5" i="193"/>
  <c r="BW5" i="193"/>
  <c r="AM5" i="193"/>
  <c r="BS5" i="193"/>
  <c r="BV5" i="193"/>
  <c r="AU5" i="193"/>
  <c r="AY5" i="193"/>
  <c r="AJ5" i="193"/>
  <c r="BT5" i="193"/>
  <c r="BQ5" i="193"/>
  <c r="AV5" i="193"/>
  <c r="BZ5" i="193"/>
  <c r="AC5" i="193"/>
  <c r="AS5" i="193"/>
  <c r="Y5" i="193"/>
  <c r="X5" i="193"/>
  <c r="BU5" i="193"/>
  <c r="AZ5" i="193"/>
  <c r="Q5" i="193"/>
  <c r="AH5" i="193"/>
  <c r="AG5" i="193"/>
  <c r="BR5" i="193"/>
  <c r="U5" i="193"/>
  <c r="AI5" i="193"/>
  <c r="BD5" i="193"/>
  <c r="CC5" i="193"/>
  <c r="CB5" i="193"/>
  <c r="BA5" i="193"/>
  <c r="T5" i="193"/>
  <c r="AX5" i="192"/>
  <c r="T5" i="192"/>
  <c r="E20" i="188"/>
  <c r="E20" i="189" s="1"/>
  <c r="BP5" i="192"/>
  <c r="AO5" i="192"/>
  <c r="AW5" i="192"/>
  <c r="AD5" i="192"/>
  <c r="E26" i="190"/>
  <c r="E26" i="191" s="1"/>
  <c r="AR5" i="192"/>
  <c r="BB5" i="192"/>
  <c r="AL5" i="192"/>
  <c r="CC5" i="192"/>
  <c r="AH5" i="192"/>
  <c r="AG5" i="192"/>
  <c r="E21" i="188"/>
  <c r="E21" i="189" s="1"/>
  <c r="BM5" i="192"/>
  <c r="CA5" i="192"/>
  <c r="BN5" i="192"/>
  <c r="S5" i="192"/>
  <c r="Y5" i="192"/>
  <c r="AQ5" i="192"/>
  <c r="BU5" i="192"/>
  <c r="BO5" i="192"/>
  <c r="F18" i="191"/>
  <c r="R5" i="192"/>
  <c r="X5" i="192"/>
  <c r="U5" i="192"/>
  <c r="BD5" i="192"/>
  <c r="BR5" i="192"/>
  <c r="BI5" i="192"/>
  <c r="AI5" i="192"/>
  <c r="BF5" i="192"/>
  <c r="BG5" i="192"/>
  <c r="BE5" i="192"/>
  <c r="CB5" i="192"/>
  <c r="AJ5" i="192"/>
  <c r="BK5" i="192"/>
  <c r="BH5" i="192"/>
  <c r="AU5" i="192"/>
  <c r="F10" i="191"/>
  <c r="AK5" i="192"/>
  <c r="AA5" i="192"/>
  <c r="AN5" i="192"/>
  <c r="AY5" i="192"/>
  <c r="AC5" i="192"/>
  <c r="BZ5" i="192"/>
  <c r="E25" i="190"/>
  <c r="E25" i="191" s="1"/>
  <c r="E23" i="190"/>
  <c r="E23" i="191" s="1"/>
  <c r="AP5" i="192"/>
  <c r="Q5" i="192"/>
  <c r="BT5" i="192"/>
  <c r="AT5" i="192"/>
  <c r="BC5" i="192"/>
  <c r="BJ5" i="192"/>
  <c r="AB5" i="192"/>
  <c r="AV5" i="192"/>
  <c r="AZ5" i="192"/>
  <c r="BL5" i="192"/>
  <c r="BW5" i="192"/>
  <c r="E14" i="32"/>
  <c r="E14" i="187" s="1"/>
  <c r="BS5" i="192"/>
  <c r="BA5" i="192"/>
  <c r="W5" i="192"/>
  <c r="AM5" i="192"/>
  <c r="V5" i="192"/>
  <c r="BY5" i="192"/>
  <c r="AE5" i="192"/>
  <c r="AF5" i="192"/>
  <c r="Z5" i="192"/>
  <c r="BV5" i="192"/>
  <c r="BQ5" i="192"/>
  <c r="AS5" i="192"/>
  <c r="BB5" i="193"/>
  <c r="BM5" i="193"/>
  <c r="BY5" i="193"/>
  <c r="AB5" i="193"/>
  <c r="W5" i="193"/>
  <c r="BG5" i="193"/>
  <c r="R5" i="193"/>
  <c r="Z5" i="193"/>
  <c r="AW5" i="193"/>
  <c r="AT5" i="193"/>
  <c r="BN5" i="193"/>
  <c r="E31" i="190"/>
  <c r="E31" i="191" s="1"/>
  <c r="AR5" i="193"/>
  <c r="V5" i="193"/>
  <c r="BK5" i="193"/>
  <c r="BF5" i="193"/>
  <c r="S5" i="193"/>
  <c r="AA5" i="193"/>
  <c r="AN5" i="193"/>
  <c r="AX5" i="193"/>
  <c r="BH5" i="193"/>
  <c r="BP5" i="193"/>
  <c r="BO5" i="193"/>
  <c r="AO5" i="193"/>
  <c r="AP5" i="193"/>
  <c r="AK5" i="193"/>
  <c r="AF5" i="193"/>
  <c r="BI5" i="193"/>
  <c r="AL5" i="193"/>
  <c r="BL5" i="193"/>
  <c r="AQ5" i="193"/>
  <c r="AD5" i="193"/>
  <c r="AN81" i="43"/>
  <c r="F31" i="191"/>
  <c r="F29" i="191"/>
  <c r="E24" i="188"/>
  <c r="F18" i="189"/>
  <c r="F27" i="191"/>
  <c r="F26" i="191"/>
  <c r="F22" i="191"/>
  <c r="F28" i="191"/>
  <c r="E16" i="32"/>
  <c r="F13" i="187"/>
  <c r="E26" i="188"/>
  <c r="E26" i="189" s="1"/>
  <c r="F20" i="189"/>
  <c r="F19" i="189"/>
  <c r="E25" i="188"/>
  <c r="F16" i="189"/>
  <c r="E22" i="188"/>
  <c r="F32" i="191"/>
  <c r="E17" i="32"/>
  <c r="F14" i="187"/>
  <c r="F25" i="191"/>
  <c r="F30" i="191"/>
  <c r="F24" i="191"/>
  <c r="F23" i="191"/>
  <c r="F17" i="189"/>
  <c r="E23" i="188"/>
  <c r="E18" i="32"/>
  <c r="F15" i="187"/>
  <c r="E29" i="191"/>
  <c r="E22" i="191"/>
  <c r="E28" i="191"/>
  <c r="E19" i="189"/>
  <c r="E32" i="191"/>
  <c r="E30" i="191"/>
  <c r="E24" i="191"/>
  <c r="E17" i="189"/>
  <c r="P37" i="43"/>
  <c r="V37" i="43"/>
  <c r="P39" i="43"/>
  <c r="V39" i="43"/>
  <c r="P70" i="43"/>
  <c r="V70" i="43"/>
  <c r="P62" i="43"/>
  <c r="V62" i="43"/>
  <c r="P72" i="43"/>
  <c r="V72" i="43"/>
  <c r="P59" i="43"/>
  <c r="V59" i="43"/>
  <c r="P46" i="43"/>
  <c r="V46" i="43"/>
  <c r="P61" i="43"/>
  <c r="V61" i="43"/>
  <c r="P50" i="43"/>
  <c r="V50" i="43"/>
  <c r="P64" i="43"/>
  <c r="V64" i="43"/>
  <c r="P68" i="43"/>
  <c r="V68" i="43"/>
  <c r="P67" i="43"/>
  <c r="V67" i="43"/>
  <c r="P60" i="43"/>
  <c r="V60" i="43"/>
  <c r="P63" i="43"/>
  <c r="V63" i="43"/>
  <c r="P49" i="43"/>
  <c r="V49" i="43"/>
  <c r="P47" i="43"/>
  <c r="V47" i="43"/>
  <c r="P54" i="43"/>
  <c r="V54" i="43"/>
  <c r="P58" i="43"/>
  <c r="V58" i="43"/>
  <c r="P56" i="43"/>
  <c r="V56" i="43"/>
  <c r="P40" i="43"/>
  <c r="V40" i="43"/>
  <c r="P38" i="43"/>
  <c r="V38" i="43"/>
  <c r="P53" i="43"/>
  <c r="V53" i="43"/>
  <c r="AN80" i="43"/>
  <c r="P55" i="43"/>
  <c r="V55" i="43"/>
  <c r="P52" i="43"/>
  <c r="V52" i="43"/>
  <c r="P73" i="43"/>
  <c r="V73" i="43"/>
  <c r="P48" i="43"/>
  <c r="P57" i="43"/>
  <c r="V57" i="43"/>
  <c r="P51" i="43"/>
  <c r="V51" i="43"/>
  <c r="P44" i="43"/>
  <c r="V44" i="43"/>
  <c r="P74" i="43"/>
  <c r="V74" i="43"/>
  <c r="P75" i="43"/>
  <c r="V75" i="43"/>
  <c r="P69" i="43"/>
  <c r="V69" i="43"/>
  <c r="P42" i="43"/>
  <c r="V42" i="43"/>
  <c r="P43" i="43"/>
  <c r="V43" i="43"/>
  <c r="P65" i="43"/>
  <c r="V65" i="43"/>
  <c r="P66" i="43"/>
  <c r="V66" i="43"/>
  <c r="P71" i="43"/>
  <c r="V71" i="43"/>
  <c r="P76" i="43"/>
  <c r="V76" i="43"/>
  <c r="P41" i="43"/>
  <c r="V41" i="43"/>
  <c r="P45" i="43"/>
  <c r="F21" i="189"/>
  <c r="E27" i="188"/>
  <c r="CB5" i="190"/>
  <c r="BF5" i="190"/>
  <c r="T5" i="190"/>
  <c r="BP5" i="190"/>
  <c r="Q5" i="190"/>
  <c r="AI5" i="190"/>
  <c r="BE5" i="190"/>
  <c r="CC5" i="190"/>
  <c r="BV5" i="190"/>
  <c r="BL5" i="190"/>
  <c r="BU5" i="190"/>
  <c r="AU5" i="190"/>
  <c r="AK5" i="190"/>
  <c r="BY5" i="190"/>
  <c r="AN5" i="190"/>
  <c r="AR5" i="190"/>
  <c r="BC5" i="190"/>
  <c r="BX5" i="190"/>
  <c r="Z5" i="190"/>
  <c r="U5" i="190"/>
  <c r="AL5" i="190"/>
  <c r="BT5" i="190"/>
  <c r="V5" i="190"/>
  <c r="AM5" i="190"/>
  <c r="BH5" i="190"/>
  <c r="BO5" i="190"/>
  <c r="W5" i="190"/>
  <c r="AY5" i="190"/>
  <c r="CA5" i="190"/>
  <c r="BM5" i="190"/>
  <c r="BK5" i="190"/>
  <c r="AF5" i="190"/>
  <c r="AH5" i="190"/>
  <c r="AV5" i="190"/>
  <c r="AA5" i="190"/>
  <c r="BZ5" i="190"/>
  <c r="Y5" i="190"/>
  <c r="AS5" i="190"/>
  <c r="AE5" i="190"/>
  <c r="S5" i="190"/>
  <c r="AQ5" i="190"/>
  <c r="AW5" i="190"/>
  <c r="AZ5" i="190"/>
  <c r="BI5" i="190"/>
  <c r="BA5" i="190"/>
  <c r="BD5" i="190"/>
  <c r="BR5" i="190"/>
  <c r="BN5" i="190"/>
  <c r="BJ5" i="190"/>
  <c r="AB5" i="190"/>
  <c r="BG5" i="190"/>
  <c r="AJ5" i="190"/>
  <c r="BQ5" i="190"/>
  <c r="AG5" i="190"/>
  <c r="AC5" i="190"/>
  <c r="AP5" i="190"/>
  <c r="BB5" i="190"/>
  <c r="AD5" i="190"/>
  <c r="R5" i="190"/>
  <c r="AO5" i="190"/>
  <c r="X5" i="190"/>
  <c r="AT5" i="190"/>
  <c r="BW5" i="190"/>
  <c r="AX5" i="190"/>
  <c r="BS5" i="190"/>
  <c r="BW5" i="191"/>
  <c r="AO5" i="191"/>
  <c r="AJ5" i="191"/>
  <c r="AN5" i="191"/>
  <c r="AA5" i="191"/>
  <c r="Y5" i="191"/>
  <c r="BS5" i="191"/>
  <c r="BZ5" i="191"/>
  <c r="S5" i="191"/>
  <c r="AZ5" i="191"/>
  <c r="AT5" i="191"/>
  <c r="BL5" i="191"/>
  <c r="BN5" i="191"/>
  <c r="X5" i="191"/>
  <c r="AE5" i="191"/>
  <c r="BA5" i="191"/>
  <c r="AX5" i="191"/>
  <c r="BX5" i="191"/>
  <c r="T5" i="191"/>
  <c r="AH5" i="191"/>
  <c r="AV5" i="191"/>
  <c r="BC5" i="191"/>
  <c r="BU5" i="191"/>
  <c r="BI5" i="191"/>
  <c r="AD5" i="191"/>
  <c r="BM5" i="191"/>
  <c r="BT5" i="191"/>
  <c r="BB5" i="191"/>
  <c r="BJ5" i="191"/>
  <c r="AI5" i="191"/>
  <c r="CA5" i="191"/>
  <c r="BP5" i="191"/>
  <c r="AU5" i="191"/>
  <c r="AF5" i="191"/>
  <c r="W5" i="191"/>
  <c r="BE5" i="191"/>
  <c r="Q5" i="191"/>
  <c r="BQ5" i="191"/>
  <c r="AG5" i="191"/>
  <c r="BF5" i="191"/>
  <c r="CC5" i="191"/>
  <c r="BY5" i="191"/>
  <c r="BK5" i="191"/>
  <c r="AQ5" i="191"/>
  <c r="AC5" i="191"/>
  <c r="CB5" i="191"/>
  <c r="R5" i="191"/>
  <c r="BD5" i="191"/>
  <c r="AW5" i="191"/>
  <c r="AR5" i="191"/>
  <c r="BH5" i="191"/>
  <c r="AL5" i="191"/>
  <c r="AK5" i="191"/>
  <c r="AY5" i="191"/>
  <c r="V5" i="191"/>
  <c r="BR5" i="191"/>
  <c r="BO5" i="191"/>
  <c r="BV5" i="191"/>
  <c r="AS5" i="191"/>
  <c r="Z5" i="191"/>
  <c r="BG5" i="191"/>
  <c r="AB5" i="191"/>
  <c r="U5" i="191"/>
  <c r="AP5" i="191"/>
  <c r="AM5" i="191"/>
  <c r="W5" i="187"/>
  <c r="BM5" i="187"/>
  <c r="AA5" i="187"/>
  <c r="Z5" i="187"/>
  <c r="Y5" i="187"/>
  <c r="BV5" i="187"/>
  <c r="BQ5" i="187"/>
  <c r="V5" i="187"/>
  <c r="BS5" i="187"/>
  <c r="AB5" i="187"/>
  <c r="CB5" i="187"/>
  <c r="AK5" i="187"/>
  <c r="BK5" i="187"/>
  <c r="BU5" i="187"/>
  <c r="BR5" i="187"/>
  <c r="S5" i="187"/>
  <c r="AW5" i="187"/>
  <c r="BL5" i="187"/>
  <c r="BI5" i="187"/>
  <c r="BZ5" i="187"/>
  <c r="AN5" i="187"/>
  <c r="BA5" i="187"/>
  <c r="AL5" i="187"/>
  <c r="AD5" i="187"/>
  <c r="AR5" i="187"/>
  <c r="AC5" i="187"/>
  <c r="AO5" i="187"/>
  <c r="U5" i="187"/>
  <c r="AI5" i="187"/>
  <c r="T5" i="187"/>
  <c r="AF5" i="187"/>
  <c r="CA5" i="187"/>
  <c r="BX5" i="187"/>
  <c r="AT5" i="187"/>
  <c r="R5" i="187"/>
  <c r="Q5" i="187"/>
  <c r="BW5" i="187"/>
  <c r="BD5" i="187"/>
  <c r="AP5" i="187"/>
  <c r="BH5" i="187"/>
  <c r="BO5" i="187"/>
  <c r="CC5" i="187"/>
  <c r="BN5" i="187"/>
  <c r="BY5" i="187"/>
  <c r="BF5" i="187"/>
  <c r="BT5" i="187"/>
  <c r="BE5" i="187"/>
  <c r="BP5" i="187"/>
  <c r="BC5" i="187"/>
  <c r="BJ5" i="187"/>
  <c r="AV5" i="187"/>
  <c r="BG5" i="187"/>
  <c r="AU5" i="187"/>
  <c r="BB5" i="187"/>
  <c r="AZ5" i="187"/>
  <c r="AG5" i="187"/>
  <c r="AX5" i="187"/>
  <c r="AM5" i="187"/>
  <c r="AS5" i="187"/>
  <c r="AQ5" i="187"/>
  <c r="AY5" i="187"/>
  <c r="AE5" i="187"/>
  <c r="AJ5" i="187"/>
  <c r="AH5" i="187"/>
  <c r="X5" i="187"/>
  <c r="BY5" i="188"/>
  <c r="CC5" i="188"/>
  <c r="BX5" i="188"/>
  <c r="BC5" i="188"/>
  <c r="BL5" i="188"/>
  <c r="BP5" i="188"/>
  <c r="CB5" i="188"/>
  <c r="BS5" i="188"/>
  <c r="AW5" i="188"/>
  <c r="BK5" i="188"/>
  <c r="AG5" i="188"/>
  <c r="AP5" i="188"/>
  <c r="AM5" i="188"/>
  <c r="BB5" i="188"/>
  <c r="W5" i="188"/>
  <c r="AF5" i="188"/>
  <c r="R5" i="188"/>
  <c r="AR5" i="188"/>
  <c r="BJ5" i="188"/>
  <c r="AU5" i="188"/>
  <c r="AB5" i="188"/>
  <c r="AK5" i="188"/>
  <c r="X5" i="188"/>
  <c r="BU5" i="188"/>
  <c r="Y5" i="188"/>
  <c r="BZ5" i="188"/>
  <c r="Z5" i="188"/>
  <c r="T5" i="188"/>
  <c r="BH5" i="188"/>
  <c r="BR5" i="188"/>
  <c r="Q5" i="188"/>
  <c r="BV5" i="188"/>
  <c r="S5" i="188"/>
  <c r="BE5" i="188"/>
  <c r="BQ5" i="188"/>
  <c r="BT5" i="188"/>
  <c r="BN5" i="188"/>
  <c r="AQ5" i="188"/>
  <c r="AZ5" i="188"/>
  <c r="AV5" i="188"/>
  <c r="BG5" i="188"/>
  <c r="AX5" i="188"/>
  <c r="BI5" i="188"/>
  <c r="BD5" i="188"/>
  <c r="AA5" i="188"/>
  <c r="AD5" i="188"/>
  <c r="BA5" i="188"/>
  <c r="AT5" i="188"/>
  <c r="BO5" i="188"/>
  <c r="AJ5" i="188"/>
  <c r="AS5" i="188"/>
  <c r="AH5" i="188"/>
  <c r="V5" i="188"/>
  <c r="AN5" i="188"/>
  <c r="AI5" i="188"/>
  <c r="AO5" i="188"/>
  <c r="CA5" i="188"/>
  <c r="AC5" i="188"/>
  <c r="BW5" i="188"/>
  <c r="AY5" i="188"/>
  <c r="BF5" i="188"/>
  <c r="U5" i="188"/>
  <c r="BM5" i="188"/>
  <c r="AE5" i="188"/>
  <c r="AL5" i="188"/>
  <c r="AU5" i="189"/>
  <c r="BK5" i="189"/>
  <c r="BH5" i="189"/>
  <c r="CC5" i="189"/>
  <c r="AZ5" i="189"/>
  <c r="AP5" i="189"/>
  <c r="BU5" i="189"/>
  <c r="BM5" i="189"/>
  <c r="BX5" i="189"/>
  <c r="BS5" i="189"/>
  <c r="BN5" i="189"/>
  <c r="AR5" i="189"/>
  <c r="R5" i="189"/>
  <c r="BO5" i="189"/>
  <c r="BP5" i="189"/>
  <c r="BG5" i="189"/>
  <c r="BR5" i="189"/>
  <c r="BT5" i="189"/>
  <c r="AV5" i="189"/>
  <c r="AW5" i="189"/>
  <c r="T5" i="189"/>
  <c r="BA5" i="189"/>
  <c r="AA5" i="189"/>
  <c r="AJ5" i="189"/>
  <c r="CA5" i="189"/>
  <c r="AS5" i="189"/>
  <c r="BB5" i="189"/>
  <c r="W5" i="189"/>
  <c r="AY5" i="189"/>
  <c r="BQ5" i="189"/>
  <c r="CB5" i="189"/>
  <c r="Y5" i="189"/>
  <c r="AI5" i="189"/>
  <c r="AX5" i="189"/>
  <c r="BJ5" i="189"/>
  <c r="AD5" i="189"/>
  <c r="AK5" i="189"/>
  <c r="AT5" i="189"/>
  <c r="BY5" i="189"/>
  <c r="S5" i="189"/>
  <c r="BD5" i="189"/>
  <c r="BC5" i="189"/>
  <c r="AF5" i="189"/>
  <c r="BF5" i="189"/>
  <c r="AE5" i="189"/>
  <c r="BV5" i="189"/>
  <c r="BZ5" i="189"/>
  <c r="U5" i="189"/>
  <c r="AG5" i="189"/>
  <c r="BL5" i="189"/>
  <c r="AN5" i="189"/>
  <c r="AH5" i="189"/>
  <c r="BE5" i="189"/>
  <c r="AO5" i="189"/>
  <c r="AQ5" i="189"/>
  <c r="AB5" i="189"/>
  <c r="X5" i="189"/>
  <c r="Q5" i="189"/>
  <c r="Z5" i="189"/>
  <c r="AC5" i="189"/>
  <c r="AL5" i="189"/>
  <c r="V5" i="189"/>
  <c r="AM5" i="189"/>
  <c r="BW5" i="189"/>
  <c r="BI5" i="189"/>
  <c r="BO41" i="4"/>
  <c r="AS33" i="4"/>
  <c r="BC27" i="43" s="1"/>
  <c r="AS63" i="4"/>
  <c r="BC57" i="43" s="1"/>
  <c r="AS46" i="4"/>
  <c r="BC40" i="43" s="1"/>
  <c r="AS40" i="4"/>
  <c r="BC34" i="43" s="1"/>
  <c r="AS64" i="4"/>
  <c r="BC58" i="43" s="1"/>
  <c r="AS34" i="4"/>
  <c r="BC28" i="43" s="1"/>
  <c r="AS50" i="4"/>
  <c r="BC44" i="43" s="1"/>
  <c r="AS65" i="4"/>
  <c r="BC59" i="43" s="1"/>
  <c r="AS39" i="4"/>
  <c r="BC33" i="43" s="1"/>
  <c r="AS57" i="4"/>
  <c r="BC51" i="43" s="1"/>
  <c r="AS80" i="4"/>
  <c r="BC74" i="43" s="1"/>
  <c r="AS37" i="4"/>
  <c r="BC31" i="43" s="1"/>
  <c r="AS58" i="4"/>
  <c r="BC52" i="43" s="1"/>
  <c r="AS60" i="4"/>
  <c r="BC54" i="43" s="1"/>
  <c r="AS76" i="4"/>
  <c r="BC70" i="43" s="1"/>
  <c r="AS35" i="4"/>
  <c r="BC29" i="43" s="1"/>
  <c r="AS51" i="4"/>
  <c r="BC45" i="43" s="1"/>
  <c r="AS71" i="4"/>
  <c r="BC65" i="43" s="1"/>
  <c r="AS75" i="4"/>
  <c r="BC69" i="43" s="1"/>
  <c r="AS56" i="4"/>
  <c r="BC50" i="43" s="1"/>
  <c r="AS72" i="4"/>
  <c r="BC66" i="43" s="1"/>
  <c r="AS31" i="4"/>
  <c r="BC25" i="43" s="1"/>
  <c r="AS68" i="4"/>
  <c r="BC62" i="43" s="1"/>
  <c r="AS78" i="4"/>
  <c r="BC72" i="43" s="1"/>
  <c r="AS59" i="4"/>
  <c r="BC53" i="43" s="1"/>
  <c r="AS25" i="4"/>
  <c r="BC19" i="43" s="1"/>
  <c r="AS41" i="4"/>
  <c r="BC35" i="43" s="1"/>
  <c r="AS61" i="4"/>
  <c r="BC55" i="43" s="1"/>
  <c r="AS26" i="4"/>
  <c r="BC20" i="43" s="1"/>
  <c r="AS82" i="4"/>
  <c r="BC76" i="43" s="1"/>
  <c r="AS81" i="4"/>
  <c r="BC75" i="43" s="1"/>
  <c r="AS73" i="4"/>
  <c r="BC67" i="43" s="1"/>
  <c r="AS62" i="4"/>
  <c r="BC56" i="43" s="1"/>
  <c r="AS28" i="4"/>
  <c r="BC22" i="43" s="1"/>
  <c r="AS42" i="4"/>
  <c r="BC36" i="43" s="1"/>
  <c r="AS66" i="4"/>
  <c r="BC60" i="43" s="1"/>
  <c r="AS67" i="4"/>
  <c r="BC61" i="43" s="1"/>
  <c r="AS53" i="4"/>
  <c r="BC47" i="43" s="1"/>
  <c r="AS83" i="4"/>
  <c r="BC77" i="43" s="1"/>
  <c r="AS32" i="4"/>
  <c r="BC26" i="43" s="1"/>
  <c r="AS52" i="4"/>
  <c r="BC46" i="43" s="1"/>
  <c r="AS54" i="4"/>
  <c r="BC48" i="43" s="1"/>
  <c r="AS45" i="4"/>
  <c r="BC39" i="43" s="1"/>
  <c r="AS69" i="4"/>
  <c r="BC63" i="43" s="1"/>
  <c r="AS44" i="4"/>
  <c r="BC38" i="43" s="1"/>
  <c r="AS38" i="4"/>
  <c r="BC32" i="43" s="1"/>
  <c r="AS24" i="4"/>
  <c r="BC18" i="43" s="1"/>
  <c r="AS36" i="4"/>
  <c r="BC30" i="43" s="1"/>
  <c r="AS77" i="4"/>
  <c r="BC71" i="43" s="1"/>
  <c r="AS84" i="4"/>
  <c r="BC78" i="43" s="1"/>
  <c r="AS74" i="4"/>
  <c r="BC68" i="43" s="1"/>
  <c r="AS70" i="4"/>
  <c r="BC64" i="43" s="1"/>
  <c r="AS79" i="4"/>
  <c r="BC73" i="43" s="1"/>
  <c r="AS47" i="4"/>
  <c r="BC41" i="43" s="1"/>
  <c r="AS55" i="4"/>
  <c r="BC49" i="43" s="1"/>
  <c r="AS29" i="4"/>
  <c r="BC23" i="43" s="1"/>
  <c r="AS49" i="4"/>
  <c r="BC43" i="43" s="1"/>
  <c r="AS43" i="4"/>
  <c r="BC37" i="43" s="1"/>
  <c r="AS27" i="4"/>
  <c r="BC21" i="43" s="1"/>
  <c r="AS48" i="4"/>
  <c r="BC42" i="43" s="1"/>
  <c r="AS30" i="4"/>
  <c r="BC24" i="43" s="1"/>
  <c r="A2817" i="242" l="1"/>
  <c r="B2818" i="242"/>
  <c r="A945" i="242"/>
  <c r="B946" i="242"/>
  <c r="V48" i="43"/>
  <c r="V45" i="43"/>
  <c r="F25" i="189"/>
  <c r="E31" i="188"/>
  <c r="E31" i="189" s="1"/>
  <c r="F26" i="189"/>
  <c r="E32" i="188"/>
  <c r="E32" i="189" s="1"/>
  <c r="E21" i="32"/>
  <c r="F18" i="187"/>
  <c r="E28" i="188"/>
  <c r="F22" i="189"/>
  <c r="E30" i="188"/>
  <c r="F24" i="189"/>
  <c r="E20" i="32"/>
  <c r="F17" i="187"/>
  <c r="E29" i="188"/>
  <c r="F23" i="189"/>
  <c r="E19" i="32"/>
  <c r="F16" i="187"/>
  <c r="E18" i="187"/>
  <c r="E22" i="189"/>
  <c r="E25" i="189"/>
  <c r="E24" i="189"/>
  <c r="E17" i="187"/>
  <c r="E23" i="189"/>
  <c r="E16" i="187"/>
  <c r="F27" i="189"/>
  <c r="E33" i="188"/>
  <c r="E27" i="189"/>
  <c r="BO88" i="4"/>
  <c r="BO50" i="4"/>
  <c r="BO28" i="4"/>
  <c r="BO35" i="4"/>
  <c r="BO23" i="4"/>
  <c r="BO60" i="4"/>
  <c r="BO79" i="4"/>
  <c r="BO36" i="4"/>
  <c r="BO77" i="4"/>
  <c r="BO34" i="4"/>
  <c r="BO70" i="4"/>
  <c r="BO87" i="4"/>
  <c r="BO72" i="4"/>
  <c r="BO39" i="4"/>
  <c r="BO54" i="4"/>
  <c r="BO62" i="4"/>
  <c r="BO56" i="4"/>
  <c r="BO47" i="4"/>
  <c r="BO42" i="4"/>
  <c r="BO63" i="4"/>
  <c r="BO48" i="4"/>
  <c r="BO73" i="4"/>
  <c r="BO27" i="4"/>
  <c r="BO68" i="4"/>
  <c r="BO66" i="4"/>
  <c r="BO40" i="4"/>
  <c r="BO52" i="4"/>
  <c r="BO81" i="4"/>
  <c r="BO65" i="4"/>
  <c r="BO49" i="4"/>
  <c r="BO32" i="4"/>
  <c r="BO24" i="4"/>
  <c r="BO61" i="4"/>
  <c r="BO33" i="4"/>
  <c r="BO67" i="4"/>
  <c r="BO83" i="4"/>
  <c r="BO85" i="4"/>
  <c r="BO57" i="4"/>
  <c r="BO82" i="4"/>
  <c r="BO44" i="4"/>
  <c r="BO71" i="4"/>
  <c r="BO31" i="4"/>
  <c r="BO38" i="4"/>
  <c r="BO45" i="4"/>
  <c r="BO55" i="4"/>
  <c r="BO75" i="4"/>
  <c r="BO69" i="4"/>
  <c r="BO43" i="4"/>
  <c r="BO78" i="4"/>
  <c r="BO30" i="4"/>
  <c r="BO76" i="4"/>
  <c r="BO74" i="4"/>
  <c r="BO26" i="4"/>
  <c r="BO53" i="4"/>
  <c r="BO64" i="4"/>
  <c r="BO29" i="4"/>
  <c r="BO51" i="4"/>
  <c r="BO25" i="4"/>
  <c r="BO86" i="4"/>
  <c r="BO59" i="4"/>
  <c r="BO37" i="4"/>
  <c r="BO46" i="4"/>
  <c r="BO58" i="4"/>
  <c r="BO84" i="4"/>
  <c r="BO80" i="4"/>
  <c r="M71" i="69"/>
  <c r="O71" i="69" s="1"/>
  <c r="M68" i="69"/>
  <c r="O68" i="69" s="1"/>
  <c r="M69" i="69"/>
  <c r="O69" i="69" s="1"/>
  <c r="X37" i="69"/>
  <c r="Z37" i="69" s="1"/>
  <c r="R35" i="69"/>
  <c r="T35" i="69" s="1"/>
  <c r="M35" i="69"/>
  <c r="O35" i="69" s="1"/>
  <c r="R36" i="69"/>
  <c r="T36" i="69" s="1"/>
  <c r="R34" i="69"/>
  <c r="T34" i="69" s="1"/>
  <c r="M34" i="69"/>
  <c r="O34" i="69" s="1"/>
  <c r="R38" i="69"/>
  <c r="T38" i="69" s="1"/>
  <c r="X38" i="69"/>
  <c r="Z38" i="69" s="1"/>
  <c r="R37" i="69"/>
  <c r="T37" i="69" s="1"/>
  <c r="X63" i="69"/>
  <c r="Z63" i="69" s="1"/>
  <c r="R63" i="69"/>
  <c r="T63" i="69" s="1"/>
  <c r="R48" i="69"/>
  <c r="T48" i="69" s="1"/>
  <c r="X48" i="69"/>
  <c r="Z48" i="69" s="1"/>
  <c r="R25" i="69"/>
  <c r="T25" i="69" s="1"/>
  <c r="M25" i="69"/>
  <c r="O25" i="69" s="1"/>
  <c r="X43" i="69"/>
  <c r="Z43" i="69" s="1"/>
  <c r="R43" i="69"/>
  <c r="T43" i="69" s="1"/>
  <c r="R44" i="69"/>
  <c r="T44" i="69" s="1"/>
  <c r="X44" i="69"/>
  <c r="Z44" i="69" s="1"/>
  <c r="R66" i="69"/>
  <c r="T66" i="69" s="1"/>
  <c r="X66" i="69"/>
  <c r="Z66" i="69" s="1"/>
  <c r="X46" i="69"/>
  <c r="Z46" i="69" s="1"/>
  <c r="R46" i="69"/>
  <c r="T46" i="69" s="1"/>
  <c r="X53" i="69"/>
  <c r="Z53" i="69" s="1"/>
  <c r="R53" i="69"/>
  <c r="T53" i="69" s="1"/>
  <c r="X71" i="69"/>
  <c r="Z71" i="69" s="1"/>
  <c r="R71" i="69"/>
  <c r="T71" i="69" s="1"/>
  <c r="X56" i="69"/>
  <c r="Z56" i="69" s="1"/>
  <c r="R56" i="69"/>
  <c r="T56" i="69" s="1"/>
  <c r="M33" i="69"/>
  <c r="O33" i="69" s="1"/>
  <c r="R33" i="69"/>
  <c r="T33" i="69" s="1"/>
  <c r="R51" i="69"/>
  <c r="T51" i="69" s="1"/>
  <c r="X51" i="69"/>
  <c r="Z51" i="69" s="1"/>
  <c r="R52" i="69"/>
  <c r="T52" i="69" s="1"/>
  <c r="X52" i="69"/>
  <c r="Z52" i="69" s="1"/>
  <c r="M29" i="69"/>
  <c r="O29" i="69" s="1"/>
  <c r="R29" i="69"/>
  <c r="T29" i="69" s="1"/>
  <c r="R54" i="69"/>
  <c r="T54" i="69" s="1"/>
  <c r="X54" i="69"/>
  <c r="Z54" i="69" s="1"/>
  <c r="R64" i="69"/>
  <c r="T64" i="69" s="1"/>
  <c r="X64" i="69"/>
  <c r="Z64" i="69" s="1"/>
  <c r="R41" i="69"/>
  <c r="T41" i="69" s="1"/>
  <c r="X41" i="69"/>
  <c r="Z41" i="69" s="1"/>
  <c r="X59" i="69"/>
  <c r="Z59" i="69" s="1"/>
  <c r="R59" i="69"/>
  <c r="T59" i="69" s="1"/>
  <c r="X60" i="69"/>
  <c r="Z60" i="69" s="1"/>
  <c r="R60" i="69"/>
  <c r="T60" i="69" s="1"/>
  <c r="X45" i="69"/>
  <c r="Z45" i="69" s="1"/>
  <c r="R45" i="69"/>
  <c r="T45" i="69" s="1"/>
  <c r="R62" i="69"/>
  <c r="T62" i="69" s="1"/>
  <c r="X62" i="69"/>
  <c r="Z62" i="69" s="1"/>
  <c r="R23" i="69"/>
  <c r="T23" i="69" s="1"/>
  <c r="M23" i="69"/>
  <c r="O23" i="69" s="1"/>
  <c r="X42" i="69"/>
  <c r="Z42" i="69" s="1"/>
  <c r="R42" i="69"/>
  <c r="T42" i="69" s="1"/>
  <c r="X49" i="69"/>
  <c r="Z49" i="69" s="1"/>
  <c r="R49" i="69"/>
  <c r="T49" i="69" s="1"/>
  <c r="X67" i="69"/>
  <c r="Z67" i="69" s="1"/>
  <c r="R67" i="69"/>
  <c r="T67" i="69" s="1"/>
  <c r="X68" i="69"/>
  <c r="Z68" i="69" s="1"/>
  <c r="R68" i="69"/>
  <c r="T68" i="69" s="1"/>
  <c r="R61" i="69"/>
  <c r="T61" i="69" s="1"/>
  <c r="X61" i="69"/>
  <c r="Z61" i="69" s="1"/>
  <c r="R70" i="69"/>
  <c r="T70" i="69" s="1"/>
  <c r="M70" i="69"/>
  <c r="O70" i="69" s="1"/>
  <c r="X70" i="69"/>
  <c r="Z70" i="69" s="1"/>
  <c r="R31" i="69"/>
  <c r="T31" i="69" s="1"/>
  <c r="M31" i="69"/>
  <c r="O31" i="69" s="1"/>
  <c r="R57" i="69"/>
  <c r="T57" i="69" s="1"/>
  <c r="X57" i="69"/>
  <c r="Z57" i="69" s="1"/>
  <c r="R69" i="69"/>
  <c r="T69" i="69" s="1"/>
  <c r="X69" i="69"/>
  <c r="Z69" i="69" s="1"/>
  <c r="R39" i="69"/>
  <c r="T39" i="69" s="1"/>
  <c r="X39" i="69"/>
  <c r="Z39" i="69" s="1"/>
  <c r="R24" i="69"/>
  <c r="T24" i="69" s="1"/>
  <c r="M24" i="69"/>
  <c r="O24" i="69" s="1"/>
  <c r="M18" i="69"/>
  <c r="O18" i="69" s="1"/>
  <c r="R18" i="69"/>
  <c r="T18" i="69" s="1"/>
  <c r="X65" i="69"/>
  <c r="Z65" i="69" s="1"/>
  <c r="R65" i="69"/>
  <c r="T65" i="69" s="1"/>
  <c r="R19" i="69"/>
  <c r="T19" i="69" s="1"/>
  <c r="M19" i="69"/>
  <c r="O19" i="69" s="1"/>
  <c r="R20" i="69"/>
  <c r="T20" i="69" s="1"/>
  <c r="M20" i="69"/>
  <c r="O20" i="69" s="1"/>
  <c r="R26" i="69"/>
  <c r="T26" i="69" s="1"/>
  <c r="M26" i="69"/>
  <c r="O26" i="69" s="1"/>
  <c r="M22" i="69"/>
  <c r="O22" i="69" s="1"/>
  <c r="R22" i="69"/>
  <c r="T22" i="69" s="1"/>
  <c r="X50" i="69"/>
  <c r="Z50" i="69" s="1"/>
  <c r="R50" i="69"/>
  <c r="T50" i="69" s="1"/>
  <c r="R47" i="69"/>
  <c r="T47" i="69" s="1"/>
  <c r="X47" i="69"/>
  <c r="Z47" i="69" s="1"/>
  <c r="R32" i="69"/>
  <c r="T32" i="69" s="1"/>
  <c r="M32" i="69"/>
  <c r="O32" i="69" s="1"/>
  <c r="X58" i="69"/>
  <c r="Z58" i="69" s="1"/>
  <c r="R58" i="69"/>
  <c r="T58" i="69" s="1"/>
  <c r="R27" i="69"/>
  <c r="T27" i="69" s="1"/>
  <c r="M27" i="69"/>
  <c r="O27" i="69" s="1"/>
  <c r="R28" i="69"/>
  <c r="T28" i="69" s="1"/>
  <c r="M28" i="69"/>
  <c r="O28" i="69" s="1"/>
  <c r="R30" i="69"/>
  <c r="T30" i="69" s="1"/>
  <c r="M30" i="69"/>
  <c r="O30" i="69" s="1"/>
  <c r="R21" i="69"/>
  <c r="T21" i="69" s="1"/>
  <c r="M21" i="69"/>
  <c r="O21" i="69" s="1"/>
  <c r="X55" i="69"/>
  <c r="Z55" i="69" s="1"/>
  <c r="R55" i="69"/>
  <c r="T55" i="69" s="1"/>
  <c r="X40" i="69"/>
  <c r="Z40" i="69" s="1"/>
  <c r="R40" i="69"/>
  <c r="T40" i="69" s="1"/>
  <c r="M17" i="69"/>
  <c r="O17" i="69" s="1"/>
  <c r="R17" i="69"/>
  <c r="T17" i="69" s="1"/>
  <c r="F21" i="32"/>
  <c r="A946" i="242" l="1"/>
  <c r="B947" i="242"/>
  <c r="B2819" i="242"/>
  <c r="A2818" i="242"/>
  <c r="F28" i="189"/>
  <c r="E24" i="32"/>
  <c r="F21" i="187"/>
  <c r="E22" i="32"/>
  <c r="F19" i="187"/>
  <c r="F29" i="189"/>
  <c r="F32" i="189"/>
  <c r="E23" i="32"/>
  <c r="F20" i="187"/>
  <c r="F31" i="189"/>
  <c r="F30" i="189"/>
  <c r="E28" i="189"/>
  <c r="E21" i="187"/>
  <c r="E19" i="187"/>
  <c r="E29" i="189"/>
  <c r="E20" i="187"/>
  <c r="E30" i="189"/>
  <c r="F33" i="189"/>
  <c r="E34" i="188"/>
  <c r="E33" i="189"/>
  <c r="L15" i="43"/>
  <c r="Q15" i="69"/>
  <c r="F34" i="188"/>
  <c r="B2820" i="242" l="1"/>
  <c r="A2819" i="242"/>
  <c r="B948" i="242"/>
  <c r="A947" i="242"/>
  <c r="F23" i="187"/>
  <c r="F22" i="187"/>
  <c r="F24" i="187"/>
  <c r="E23" i="187"/>
  <c r="E22" i="187"/>
  <c r="E24" i="187"/>
  <c r="F34" i="189"/>
  <c r="E34" i="189"/>
  <c r="A948" i="242" l="1"/>
  <c r="B949" i="242"/>
  <c r="A2820" i="242"/>
  <c r="B2821" i="242"/>
  <c r="A949" i="242" l="1"/>
  <c r="B950" i="242"/>
  <c r="A2821" i="242"/>
  <c r="B2822" i="242"/>
  <c r="D47" i="32"/>
  <c r="D42" i="32"/>
  <c r="D65" i="32"/>
  <c r="D58" i="32"/>
  <c r="D54" i="32"/>
  <c r="D69" i="32"/>
  <c r="D61" i="32"/>
  <c r="D68" i="32"/>
  <c r="D40" i="32"/>
  <c r="D48" i="32"/>
  <c r="D45" i="32"/>
  <c r="D38" i="32"/>
  <c r="D36" i="32"/>
  <c r="D49" i="32"/>
  <c r="D56" i="32"/>
  <c r="D60" i="32"/>
  <c r="D57" i="32"/>
  <c r="D52" i="32"/>
  <c r="D43" i="32"/>
  <c r="D66" i="32"/>
  <c r="D41" i="32"/>
  <c r="D55" i="32"/>
  <c r="D67" i="32"/>
  <c r="D35" i="32"/>
  <c r="D51" i="32"/>
  <c r="D37" i="32"/>
  <c r="D59" i="32"/>
  <c r="D53" i="32"/>
  <c r="D64" i="32"/>
  <c r="D63" i="32"/>
  <c r="D44" i="32"/>
  <c r="D39" i="32"/>
  <c r="D50" i="32"/>
  <c r="D62" i="32"/>
  <c r="D34" i="32"/>
  <c r="D46" i="32"/>
  <c r="F34" i="32"/>
  <c r="F59" i="32"/>
  <c r="F57" i="32"/>
  <c r="F65" i="32"/>
  <c r="B2823" i="242" l="1"/>
  <c r="A2822" i="242"/>
  <c r="A950" i="242"/>
  <c r="B951" i="242"/>
  <c r="F65" i="187"/>
  <c r="F59" i="187"/>
  <c r="F34" i="187"/>
  <c r="F57" i="187"/>
  <c r="D70" i="32"/>
  <c r="F40" i="32"/>
  <c r="F41" i="32"/>
  <c r="F37" i="32"/>
  <c r="F44" i="32"/>
  <c r="F47" i="32"/>
  <c r="F51" i="32"/>
  <c r="F50" i="32"/>
  <c r="F38" i="32"/>
  <c r="F67" i="32"/>
  <c r="F58" i="32"/>
  <c r="F64" i="32"/>
  <c r="F69" i="32"/>
  <c r="F39" i="32"/>
  <c r="F60" i="32"/>
  <c r="F43" i="32"/>
  <c r="F68" i="32"/>
  <c r="F52" i="32"/>
  <c r="F49" i="32"/>
  <c r="F63" i="32"/>
  <c r="F56" i="32"/>
  <c r="F42" i="32"/>
  <c r="F46" i="32"/>
  <c r="F35" i="32"/>
  <c r="F48" i="32"/>
  <c r="F54" i="32"/>
  <c r="F66" i="32"/>
  <c r="F53" i="32"/>
  <c r="F55" i="32"/>
  <c r="F61" i="32"/>
  <c r="F45" i="32"/>
  <c r="F36" i="32"/>
  <c r="F62" i="32"/>
  <c r="B952" i="242" l="1"/>
  <c r="A951" i="242"/>
  <c r="A2823" i="242"/>
  <c r="B2824" i="242"/>
  <c r="F49" i="187"/>
  <c r="F58" i="187"/>
  <c r="F63" i="187"/>
  <c r="F42" i="187"/>
  <c r="F35" i="187"/>
  <c r="F40" i="187"/>
  <c r="F61" i="187"/>
  <c r="F45" i="187"/>
  <c r="F56" i="187"/>
  <c r="F64" i="187"/>
  <c r="F66" i="187"/>
  <c r="F67" i="187"/>
  <c r="F52" i="187"/>
  <c r="F37" i="187"/>
  <c r="F62" i="187"/>
  <c r="F51" i="187"/>
  <c r="F68" i="187"/>
  <c r="F47" i="187"/>
  <c r="F36" i="187"/>
  <c r="F43" i="187"/>
  <c r="F60" i="187"/>
  <c r="F54" i="187"/>
  <c r="F38" i="187"/>
  <c r="F55" i="187"/>
  <c r="F48" i="187"/>
  <c r="F44" i="187"/>
  <c r="F50" i="187"/>
  <c r="F69" i="187"/>
  <c r="F41" i="187"/>
  <c r="F46" i="187"/>
  <c r="F53" i="187"/>
  <c r="F39" i="187"/>
  <c r="F70" i="32"/>
  <c r="A2824" i="242" l="1"/>
  <c r="B2825" i="242"/>
  <c r="A952" i="242"/>
  <c r="B953" i="242"/>
  <c r="F70" i="187"/>
  <c r="A953" i="242" l="1"/>
  <c r="B954" i="242"/>
  <c r="A2825" i="242"/>
  <c r="B2826" i="242"/>
  <c r="B2827" i="242" l="1"/>
  <c r="A2826" i="242"/>
  <c r="B955" i="242"/>
  <c r="A954" i="242"/>
  <c r="A955" i="242" l="1"/>
  <c r="B956" i="242"/>
  <c r="B2828" i="242"/>
  <c r="A2827" i="242"/>
  <c r="A2828" i="242" l="1"/>
  <c r="B2829" i="242"/>
  <c r="A956" i="242"/>
  <c r="B957" i="242"/>
  <c r="A2829" i="242" l="1"/>
  <c r="B2830" i="242"/>
  <c r="A957" i="242"/>
  <c r="B958" i="242"/>
  <c r="B2831" i="242" l="1"/>
  <c r="A2830" i="242"/>
  <c r="B959" i="242"/>
  <c r="A958" i="242"/>
  <c r="B960" i="242" l="1"/>
  <c r="A959" i="242"/>
  <c r="A2831" i="242"/>
  <c r="B2832" i="242"/>
  <c r="A2832" i="242" l="1"/>
  <c r="B2833" i="242"/>
  <c r="A960" i="242"/>
  <c r="B961" i="242"/>
  <c r="A961" i="242" l="1"/>
  <c r="B962" i="242"/>
  <c r="A2833" i="242"/>
  <c r="B2834" i="242"/>
  <c r="B963" i="242" l="1"/>
  <c r="A962" i="242"/>
  <c r="B2835" i="242"/>
  <c r="A2834" i="242"/>
  <c r="B2836" i="242" l="1"/>
  <c r="A2835" i="242"/>
  <c r="B964" i="242"/>
  <c r="A963" i="242"/>
  <c r="A964" i="242" l="1"/>
  <c r="B965" i="242"/>
  <c r="A2836" i="242"/>
  <c r="B2837" i="242"/>
  <c r="A2837" i="242" l="1"/>
  <c r="B2838" i="242"/>
  <c r="A965" i="242"/>
  <c r="B966" i="242"/>
  <c r="A966" i="242" l="1"/>
  <c r="B967" i="242"/>
  <c r="B2839" i="242"/>
  <c r="A2838" i="242"/>
  <c r="A2839" i="242" l="1"/>
  <c r="B2840" i="242"/>
  <c r="B968" i="242"/>
  <c r="A967" i="242"/>
  <c r="A968" i="242" l="1"/>
  <c r="B969" i="242"/>
  <c r="A2840" i="242"/>
  <c r="B2841" i="242"/>
  <c r="A969" i="242" l="1"/>
  <c r="B970" i="242"/>
  <c r="A2841" i="242"/>
  <c r="B2842" i="242"/>
  <c r="B971" i="242" l="1"/>
  <c r="A970" i="242"/>
  <c r="B2843" i="242"/>
  <c r="A2842" i="242"/>
  <c r="S15" i="69"/>
  <c r="B2844" i="242" l="1"/>
  <c r="A2843" i="242"/>
  <c r="A971" i="242"/>
  <c r="B972" i="242"/>
  <c r="R77" i="43"/>
  <c r="R36" i="43"/>
  <c r="R49" i="43"/>
  <c r="R27" i="43"/>
  <c r="R76" i="43"/>
  <c r="R34" i="43"/>
  <c r="R61" i="43"/>
  <c r="R42" i="43"/>
  <c r="R33" i="43"/>
  <c r="R23" i="43"/>
  <c r="R52" i="43"/>
  <c r="R63" i="43"/>
  <c r="R46" i="43"/>
  <c r="R64" i="43"/>
  <c r="R67" i="43"/>
  <c r="R22" i="43"/>
  <c r="R51" i="43"/>
  <c r="R74" i="43"/>
  <c r="R18" i="43"/>
  <c r="R19" i="43"/>
  <c r="R65" i="43"/>
  <c r="R60" i="43"/>
  <c r="R54" i="43"/>
  <c r="R53" i="43"/>
  <c r="R69" i="43"/>
  <c r="R73" i="43"/>
  <c r="R21" i="43"/>
  <c r="R55" i="43"/>
  <c r="R68" i="43"/>
  <c r="R50" i="43"/>
  <c r="R75" i="43"/>
  <c r="R29" i="43"/>
  <c r="R37" i="43"/>
  <c r="R57" i="43"/>
  <c r="R38" i="43"/>
  <c r="R17" i="43"/>
  <c r="R20" i="43"/>
  <c r="R31" i="43"/>
  <c r="R59" i="43"/>
  <c r="R47" i="43"/>
  <c r="R48" i="43"/>
  <c r="R66" i="43"/>
  <c r="R45" i="43"/>
  <c r="R25" i="43"/>
  <c r="R62" i="43"/>
  <c r="R43" i="43"/>
  <c r="R26" i="43"/>
  <c r="R71" i="43"/>
  <c r="R40" i="43"/>
  <c r="R39" i="43"/>
  <c r="R28" i="43"/>
  <c r="R56" i="43"/>
  <c r="R35" i="43"/>
  <c r="R24" i="43"/>
  <c r="R72" i="43"/>
  <c r="R30" i="43"/>
  <c r="R44" i="43"/>
  <c r="R41" i="43"/>
  <c r="R70" i="43"/>
  <c r="R58" i="43"/>
  <c r="A972" i="242" l="1"/>
  <c r="B973" i="242"/>
  <c r="A2844" i="242"/>
  <c r="B2845" i="242"/>
  <c r="Q15" i="43"/>
  <c r="Q94" i="43"/>
  <c r="R94" i="43" s="1"/>
  <c r="F25" i="43" s="1"/>
  <c r="A2845" i="242" l="1"/>
  <c r="B2846" i="242"/>
  <c r="A973" i="242"/>
  <c r="B974" i="242"/>
  <c r="AH13" i="54"/>
  <c r="AG8" i="54"/>
  <c r="AH6" i="54"/>
  <c r="AH16" i="54"/>
  <c r="AG9" i="54"/>
  <c r="AG11" i="54"/>
  <c r="AG13" i="54"/>
  <c r="AH11" i="54"/>
  <c r="AG14" i="54"/>
  <c r="AH5" i="54"/>
  <c r="AH7" i="54"/>
  <c r="AG6" i="54"/>
  <c r="AG10" i="54"/>
  <c r="AG15" i="54"/>
  <c r="AH8" i="54"/>
  <c r="AH9" i="54"/>
  <c r="AH14" i="54"/>
  <c r="AH15" i="54"/>
  <c r="AG12" i="54"/>
  <c r="AH10" i="54"/>
  <c r="AH12" i="54"/>
  <c r="AG16" i="54"/>
  <c r="AG7" i="54"/>
  <c r="AG5" i="54"/>
  <c r="B975" i="242" l="1"/>
  <c r="A974" i="242"/>
  <c r="B2847" i="242"/>
  <c r="A2846" i="242"/>
  <c r="Q104" i="43"/>
  <c r="R104" i="43" s="1"/>
  <c r="Q101" i="43"/>
  <c r="R101" i="43" s="1"/>
  <c r="Q103" i="43"/>
  <c r="R103" i="43" s="1"/>
  <c r="Q98" i="43"/>
  <c r="R98" i="43" s="1"/>
  <c r="F29" i="43" s="1"/>
  <c r="Q100" i="43"/>
  <c r="R100" i="43" s="1"/>
  <c r="Q99" i="43"/>
  <c r="R99" i="43" s="1"/>
  <c r="F30" i="43" s="1"/>
  <c r="Q95" i="43"/>
  <c r="R95" i="43" s="1"/>
  <c r="F26" i="43" s="1"/>
  <c r="Q102" i="43"/>
  <c r="R102" i="43" s="1"/>
  <c r="Q96" i="43"/>
  <c r="R96" i="43" s="1"/>
  <c r="F27" i="43" s="1"/>
  <c r="Q97" i="43"/>
  <c r="R97" i="43" s="1"/>
  <c r="F28" i="43" s="1"/>
  <c r="Q105" i="43"/>
  <c r="R105" i="43" s="1"/>
  <c r="F46" i="43" s="1"/>
  <c r="P121" i="43"/>
  <c r="Q121" i="43" s="1"/>
  <c r="F42" i="43" l="1"/>
  <c r="F41" i="43"/>
  <c r="F45" i="43"/>
  <c r="F44" i="43"/>
  <c r="F39" i="43"/>
  <c r="F38" i="43"/>
  <c r="B2848" i="242"/>
  <c r="A2847" i="242"/>
  <c r="B976" i="242"/>
  <c r="A975" i="242"/>
  <c r="F36" i="43"/>
  <c r="F35" i="43"/>
  <c r="F33" i="43"/>
  <c r="F32" i="43"/>
  <c r="F8" i="69"/>
  <c r="O121" i="69"/>
  <c r="R121" i="43"/>
  <c r="O126" i="69"/>
  <c r="O127" i="69"/>
  <c r="P116" i="43"/>
  <c r="A976" i="242" l="1"/>
  <c r="B977" i="242"/>
  <c r="A2848" i="242"/>
  <c r="B2849" i="242"/>
  <c r="F8" i="43"/>
  <c r="O128" i="69"/>
  <c r="Q116" i="43"/>
  <c r="R116" i="43" s="1"/>
  <c r="O122" i="69"/>
  <c r="O123" i="69" s="1"/>
  <c r="N116" i="69"/>
  <c r="O116" i="69" s="1"/>
  <c r="O117" i="69"/>
  <c r="P122" i="43"/>
  <c r="Q122" i="43" s="1"/>
  <c r="R122" i="43" s="1"/>
  <c r="R123" i="43" s="1"/>
  <c r="G53" i="43" s="1"/>
  <c r="P117" i="43"/>
  <c r="Q117" i="43" s="1"/>
  <c r="R117" i="43" s="1"/>
  <c r="A2849" i="242" l="1"/>
  <c r="B2850" i="242"/>
  <c r="A977" i="242"/>
  <c r="B978" i="242"/>
  <c r="R118" i="43"/>
  <c r="G49" i="43" s="1"/>
  <c r="G43" i="69"/>
  <c r="G49" i="69"/>
  <c r="G52" i="69"/>
  <c r="G42" i="69"/>
  <c r="G41" i="69"/>
  <c r="G51" i="69"/>
  <c r="G50" i="69"/>
  <c r="F9" i="43"/>
  <c r="O118" i="69"/>
  <c r="G40" i="69" s="1"/>
  <c r="B979" i="242" l="1"/>
  <c r="A978" i="242"/>
  <c r="B2851" i="242"/>
  <c r="A2850" i="242"/>
  <c r="G38" i="69"/>
  <c r="G37" i="69"/>
  <c r="Q91" i="43"/>
  <c r="G39" i="69"/>
  <c r="N91" i="69"/>
  <c r="A2851" i="242" l="1"/>
  <c r="B2852" i="242"/>
  <c r="B980" i="242"/>
  <c r="A979" i="242"/>
  <c r="G8" i="69"/>
  <c r="G8" i="43"/>
  <c r="A980" i="242" l="1"/>
  <c r="B981" i="242"/>
  <c r="A2852" i="242"/>
  <c r="B2853" i="242"/>
  <c r="A981" i="242" l="1"/>
  <c r="B982" i="242"/>
  <c r="A2853" i="242"/>
  <c r="B2854" i="242"/>
  <c r="A982" i="242" l="1"/>
  <c r="B983" i="242"/>
  <c r="B2855" i="242"/>
  <c r="A2854" i="242"/>
  <c r="A2855" i="242" l="1"/>
  <c r="B2856" i="242"/>
  <c r="B984" i="242"/>
  <c r="A983" i="242"/>
  <c r="A984" i="242" l="1"/>
  <c r="B985" i="242"/>
  <c r="A2856" i="242"/>
  <c r="B2857" i="242"/>
  <c r="A985" i="242" l="1"/>
  <c r="B986" i="242"/>
  <c r="A2857" i="242"/>
  <c r="B2858" i="242"/>
  <c r="B2859" i="242" l="1"/>
  <c r="A2858" i="242"/>
  <c r="B987" i="242"/>
  <c r="A986" i="242"/>
  <c r="A987" i="242" l="1"/>
  <c r="B988" i="242"/>
  <c r="B2860" i="242"/>
  <c r="A2859" i="242"/>
  <c r="A2860" i="242" l="1"/>
  <c r="B2861" i="242"/>
  <c r="A988" i="242"/>
  <c r="B989" i="242"/>
  <c r="A989" i="242" l="1"/>
  <c r="B990" i="242"/>
  <c r="A2861" i="242"/>
  <c r="B2862" i="242"/>
  <c r="B2863" i="242" l="1"/>
  <c r="A2862" i="242"/>
  <c r="B991" i="242"/>
  <c r="A990" i="242"/>
  <c r="B992" i="242" l="1"/>
  <c r="A991" i="242"/>
  <c r="A2863" i="242"/>
  <c r="B2864" i="242"/>
  <c r="A2864" i="242" l="1"/>
  <c r="B2865" i="242"/>
  <c r="A992" i="242"/>
  <c r="B993" i="242"/>
  <c r="A2865" i="242" l="1"/>
  <c r="B2866" i="242"/>
  <c r="A993" i="242"/>
  <c r="B994" i="242"/>
  <c r="B2867" i="242" l="1"/>
  <c r="A2866" i="242"/>
  <c r="B995" i="242"/>
  <c r="A994" i="242"/>
  <c r="B996" i="242" l="1"/>
  <c r="A995" i="242"/>
  <c r="A2867" i="242"/>
  <c r="B2868" i="242"/>
  <c r="A2868" i="242" l="1"/>
  <c r="B2869" i="242"/>
  <c r="A996" i="242"/>
  <c r="B997" i="242"/>
  <c r="A2869" i="242" l="1"/>
  <c r="B2870" i="242"/>
  <c r="A997" i="242"/>
  <c r="B998" i="242"/>
  <c r="B2871" i="242" l="1"/>
  <c r="A2870" i="242"/>
  <c r="A998" i="242"/>
  <c r="B999" i="242"/>
  <c r="A999" i="242" l="1"/>
  <c r="B1000" i="242"/>
  <c r="B2872" i="242"/>
  <c r="A2871" i="242"/>
  <c r="A2872" i="242" l="1"/>
  <c r="B2873" i="242"/>
  <c r="A1000" i="242"/>
  <c r="B1001" i="242"/>
  <c r="A1001" i="242" l="1"/>
  <c r="B1002" i="242"/>
  <c r="A2873" i="242"/>
  <c r="B2874" i="242"/>
  <c r="B1003" i="242" l="1"/>
  <c r="A1002" i="242"/>
  <c r="B2875" i="242"/>
  <c r="A2874" i="242"/>
  <c r="B2876" i="242" l="1"/>
  <c r="A2875" i="242"/>
  <c r="A1003" i="242"/>
  <c r="B1004" i="242"/>
  <c r="A1004" i="242" l="1"/>
  <c r="B1005" i="242"/>
  <c r="A2876" i="242"/>
  <c r="B2877" i="242"/>
  <c r="A2877" i="242" l="1"/>
  <c r="B2878" i="242"/>
  <c r="A1005" i="242"/>
  <c r="B1006" i="242"/>
  <c r="B1007" i="242" l="1"/>
  <c r="A1006" i="242"/>
  <c r="B2879" i="242"/>
  <c r="A2878" i="242"/>
  <c r="B2880" i="242" l="1"/>
  <c r="A2879" i="242"/>
  <c r="B1008" i="242"/>
  <c r="A1007" i="242"/>
  <c r="A1008" i="242" l="1"/>
  <c r="B1009" i="242"/>
  <c r="A2880" i="242"/>
  <c r="B2881" i="242"/>
  <c r="A1009" i="242" l="1"/>
  <c r="B1010" i="242"/>
  <c r="A2881" i="242"/>
  <c r="B2882" i="242"/>
  <c r="A2882" i="242" s="1"/>
  <c r="A1010" i="242" l="1"/>
  <c r="B1011" i="242"/>
  <c r="B1012" i="242" l="1"/>
  <c r="A1011" i="242"/>
  <c r="A1012" i="242" l="1"/>
  <c r="B1013" i="242"/>
  <c r="A1013" i="242" l="1"/>
  <c r="B1014" i="242"/>
  <c r="A1014" i="242" l="1"/>
  <c r="B1015" i="242"/>
  <c r="B1016" i="242" l="1"/>
  <c r="A1015" i="242"/>
  <c r="A1016" i="242" l="1"/>
  <c r="B1017" i="242"/>
  <c r="A1017" i="242" l="1"/>
  <c r="B1018" i="242"/>
  <c r="B1019" i="242" l="1"/>
  <c r="A1018" i="242"/>
  <c r="W36" i="69"/>
  <c r="X36" i="69" s="1"/>
  <c r="Z36" i="69" s="1"/>
  <c r="L67" i="69"/>
  <c r="M67" i="69" s="1"/>
  <c r="O67" i="69" s="1"/>
  <c r="B1020" i="242" l="1"/>
  <c r="A1019" i="242"/>
  <c r="A1020" i="242" l="1"/>
  <c r="B1021" i="242"/>
  <c r="A1021" i="242" l="1"/>
  <c r="B1022" i="242"/>
  <c r="B1023" i="242" l="1"/>
  <c r="A1022" i="242"/>
  <c r="B1024" i="242" l="1"/>
  <c r="A1023" i="242"/>
  <c r="A1024" i="242" l="1"/>
  <c r="B1025" i="242"/>
  <c r="A1025" i="242" l="1"/>
  <c r="B1026" i="242"/>
  <c r="B1027" i="242" l="1"/>
  <c r="A1026" i="242"/>
  <c r="B1028" i="242" l="1"/>
  <c r="A1027" i="242"/>
  <c r="A1028" i="242" l="1"/>
  <c r="B1029" i="242"/>
  <c r="B1030" i="242" l="1"/>
  <c r="A1029" i="242"/>
  <c r="B1031" i="242" l="1"/>
  <c r="A1030" i="242"/>
  <c r="B1032" i="242" l="1"/>
  <c r="A1031" i="242"/>
  <c r="A1032" i="242" l="1"/>
  <c r="B1033" i="242"/>
  <c r="A1033" i="242" l="1"/>
  <c r="B1034" i="242"/>
  <c r="B1035" i="242" l="1"/>
  <c r="A1034" i="242"/>
  <c r="B1036" i="242" l="1"/>
  <c r="A1035" i="242"/>
  <c r="B1037" i="242" l="1"/>
  <c r="A1036" i="242"/>
  <c r="A1037" i="242" l="1"/>
  <c r="B1038" i="242"/>
  <c r="B1039" i="242" l="1"/>
  <c r="A1038" i="242"/>
  <c r="A1039" i="242" l="1"/>
  <c r="B1040" i="242"/>
  <c r="B1041" i="242" l="1"/>
  <c r="A1040" i="242"/>
  <c r="B1042" i="242" l="1"/>
  <c r="A1041" i="242"/>
  <c r="A1042" i="242" l="1"/>
  <c r="B1043" i="242"/>
  <c r="B1044" i="242" l="1"/>
  <c r="A1043" i="242"/>
  <c r="B1045" i="242" l="1"/>
  <c r="A1044" i="242"/>
  <c r="B1046" i="242" l="1"/>
  <c r="A1045" i="242"/>
  <c r="B1047" i="242" l="1"/>
  <c r="A1046" i="242"/>
  <c r="A1047" i="242" l="1"/>
  <c r="B1048" i="242"/>
  <c r="B1049" i="242" l="1"/>
  <c r="A1048" i="242"/>
  <c r="B1050" i="242" l="1"/>
  <c r="A1049" i="242"/>
  <c r="B1051" i="242" l="1"/>
  <c r="A1050" i="242"/>
  <c r="B1052" i="242" l="1"/>
  <c r="A1051" i="242"/>
  <c r="B1053" i="242" l="1"/>
  <c r="A1052" i="242"/>
  <c r="B1054" i="242" l="1"/>
  <c r="A1053" i="242"/>
  <c r="A1054" i="242" l="1"/>
  <c r="B1055" i="242"/>
  <c r="A1055" i="242" l="1"/>
  <c r="B1056" i="242"/>
  <c r="B1057" i="242" l="1"/>
  <c r="A1056" i="242"/>
  <c r="A1057" i="242" l="1"/>
  <c r="B1058" i="242"/>
  <c r="A1058" i="242" l="1"/>
  <c r="B1059" i="242"/>
  <c r="A1059" i="242" l="1"/>
  <c r="B1060" i="242"/>
  <c r="B1061" i="242" l="1"/>
  <c r="A1060" i="242"/>
  <c r="B1062" i="242" l="1"/>
  <c r="A1061" i="242"/>
  <c r="B1063" i="242" l="1"/>
  <c r="A1062" i="242"/>
  <c r="A1063" i="242" l="1"/>
  <c r="B1064" i="242"/>
  <c r="B1065" i="242" l="1"/>
  <c r="A1064" i="242"/>
  <c r="B1066" i="242" l="1"/>
  <c r="A1065" i="242"/>
  <c r="B1067" i="242" l="1"/>
  <c r="A1066" i="242"/>
  <c r="B1068" i="242" l="1"/>
  <c r="A1067" i="242"/>
  <c r="B1069" i="242" l="1"/>
  <c r="A1068" i="242"/>
  <c r="B1070" i="242" l="1"/>
  <c r="A1069" i="242"/>
  <c r="A1070" i="242" l="1"/>
  <c r="B1071" i="242"/>
  <c r="A1071" i="242" l="1"/>
  <c r="B1072" i="242"/>
  <c r="B1073" i="242" l="1"/>
  <c r="A1072" i="242"/>
  <c r="A1073" i="242" l="1"/>
  <c r="B1074" i="242"/>
  <c r="A1074" i="242" l="1"/>
  <c r="B1075" i="242"/>
  <c r="A1075" i="242" l="1"/>
  <c r="B1076" i="242"/>
  <c r="B1077" i="242" l="1"/>
  <c r="A1076" i="242"/>
  <c r="B1078" i="242" l="1"/>
  <c r="A1077" i="242"/>
  <c r="B1079" i="242" l="1"/>
  <c r="A1078" i="242"/>
  <c r="A1079" i="242" l="1"/>
  <c r="B1080" i="242"/>
  <c r="B1081" i="242" l="1"/>
  <c r="A1080" i="242"/>
  <c r="B1082" i="242" l="1"/>
  <c r="A1081" i="242"/>
  <c r="A1082" i="242" l="1"/>
  <c r="B1083" i="242"/>
  <c r="B1084" i="242" l="1"/>
  <c r="A1083" i="242"/>
  <c r="B1085" i="242" l="1"/>
  <c r="A1084" i="242"/>
  <c r="B1086" i="242" l="1"/>
  <c r="A1085" i="242"/>
  <c r="B1087" i="242" l="1"/>
  <c r="A1086" i="242"/>
  <c r="A1087" i="242" l="1"/>
  <c r="B1088" i="242"/>
  <c r="B1089" i="242" l="1"/>
  <c r="A1088" i="242"/>
  <c r="B1090" i="242" l="1"/>
  <c r="A1089" i="242"/>
  <c r="U83" i="43"/>
  <c r="U84" i="43"/>
  <c r="U85" i="43"/>
  <c r="B1091" i="242" l="1"/>
  <c r="A1090" i="242"/>
  <c r="C73" i="189"/>
  <c r="W84" i="43"/>
  <c r="C73" i="188" s="1"/>
  <c r="C72" i="189"/>
  <c r="W83" i="43"/>
  <c r="C72" i="188" s="1"/>
  <c r="C74" i="189"/>
  <c r="W85" i="43"/>
  <c r="C74" i="188" s="1"/>
  <c r="A1091" i="242" l="1"/>
  <c r="B1092" i="242"/>
  <c r="B1093" i="242" l="1"/>
  <c r="A1092" i="242"/>
  <c r="B1094" i="242" l="1"/>
  <c r="A1093" i="242"/>
  <c r="B1095" i="242" l="1"/>
  <c r="A1094" i="242"/>
  <c r="B1096" i="242" l="1"/>
  <c r="A1095" i="242"/>
  <c r="B1097" i="242" l="1"/>
  <c r="A1096" i="242"/>
  <c r="A1097" i="242" l="1"/>
  <c r="B1098" i="242"/>
  <c r="A1098" i="242" l="1"/>
  <c r="B1099" i="242"/>
  <c r="B1100" i="242" l="1"/>
  <c r="A1099" i="242"/>
  <c r="B1101" i="242" l="1"/>
  <c r="A1100" i="242"/>
  <c r="A1101" i="242" l="1"/>
  <c r="B1102" i="242"/>
  <c r="B1103" i="242" l="1"/>
  <c r="A1102" i="242"/>
  <c r="B1104" i="242" l="1"/>
  <c r="A1103" i="242"/>
  <c r="B1105" i="242" l="1"/>
  <c r="A1104" i="242"/>
  <c r="A1105" i="242" l="1"/>
  <c r="B1106" i="242"/>
  <c r="B1107" i="242" l="1"/>
  <c r="A1106" i="242"/>
  <c r="A1107" i="242" l="1"/>
  <c r="B1108" i="242"/>
  <c r="B1109" i="242" l="1"/>
  <c r="A1108" i="242"/>
  <c r="A1109" i="242" l="1"/>
  <c r="B1110" i="242"/>
  <c r="B1111" i="242" l="1"/>
  <c r="A1110" i="242"/>
  <c r="A1111" i="242" l="1"/>
  <c r="B1112" i="242"/>
  <c r="B1113" i="242" l="1"/>
  <c r="A1112" i="242"/>
  <c r="A1113" i="242" l="1"/>
  <c r="B1114" i="242"/>
  <c r="B1115" i="242" l="1"/>
  <c r="A1114" i="242"/>
  <c r="B1116" i="242" l="1"/>
  <c r="A1115" i="242"/>
  <c r="U26" i="43"/>
  <c r="C15" i="189" s="1"/>
  <c r="U20" i="43"/>
  <c r="C9" i="189" s="1"/>
  <c r="B1117" i="242" l="1"/>
  <c r="A1116" i="242"/>
  <c r="A1117" i="242" l="1"/>
  <c r="B1118" i="242"/>
  <c r="A1118" i="242" l="1"/>
  <c r="B1119" i="242"/>
  <c r="A1119" i="242" l="1"/>
  <c r="B1120" i="242"/>
  <c r="B1121" i="242" l="1"/>
  <c r="A1120" i="242"/>
  <c r="A1121" i="242" l="1"/>
  <c r="B1122" i="242"/>
  <c r="B1123" i="242" l="1"/>
  <c r="A1122" i="242"/>
  <c r="B1124" i="242" l="1"/>
  <c r="A1123" i="242"/>
  <c r="B1125" i="242" l="1"/>
  <c r="A1124" i="242"/>
  <c r="A1125" i="242" l="1"/>
  <c r="B1126" i="242"/>
  <c r="B1127" i="242" l="1"/>
  <c r="A1126" i="242"/>
  <c r="A1127" i="242" l="1"/>
  <c r="B1128" i="242"/>
  <c r="B1129" i="242" l="1"/>
  <c r="A1128" i="242"/>
  <c r="A1129" i="242" l="1"/>
  <c r="B1130" i="242"/>
  <c r="B1131" i="242" l="1"/>
  <c r="A1130" i="242"/>
  <c r="A1131" i="242" l="1"/>
  <c r="B1132" i="242"/>
  <c r="B1133" i="242" l="1"/>
  <c r="A1132" i="242"/>
  <c r="A1133" i="242" l="1"/>
  <c r="B1134" i="242"/>
  <c r="A1134" i="242" l="1"/>
  <c r="B1135" i="242"/>
  <c r="B1136" i="242" l="1"/>
  <c r="A1135" i="242"/>
  <c r="B1137" i="242" l="1"/>
  <c r="A1136" i="242"/>
  <c r="A1137" i="242" l="1"/>
  <c r="B1138" i="242"/>
  <c r="A1138" i="242" l="1"/>
  <c r="B1139" i="242"/>
  <c r="U62" i="43"/>
  <c r="C51" i="189" s="1"/>
  <c r="U24" i="43"/>
  <c r="C13" i="189" s="1"/>
  <c r="U50" i="43"/>
  <c r="C39" i="189" s="1"/>
  <c r="U64" i="43"/>
  <c r="C53" i="189" s="1"/>
  <c r="U47" i="43"/>
  <c r="C36" i="189" s="1"/>
  <c r="U67" i="43"/>
  <c r="C56" i="189" s="1"/>
  <c r="U54" i="43"/>
  <c r="C43" i="189" s="1"/>
  <c r="U76" i="43"/>
  <c r="C65" i="189" s="1"/>
  <c r="U60" i="43"/>
  <c r="C49" i="189" s="1"/>
  <c r="U35" i="43"/>
  <c r="C24" i="189" s="1"/>
  <c r="U79" i="43"/>
  <c r="C68" i="189" s="1"/>
  <c r="U33" i="43"/>
  <c r="C22" i="189" s="1"/>
  <c r="U28" i="43"/>
  <c r="C17" i="189" s="1"/>
  <c r="U58" i="43"/>
  <c r="C47" i="189" s="1"/>
  <c r="U39" i="43"/>
  <c r="C28" i="189" s="1"/>
  <c r="U23" i="43"/>
  <c r="C12" i="189" s="1"/>
  <c r="U43" i="43"/>
  <c r="C32" i="189" s="1"/>
  <c r="U56" i="43"/>
  <c r="C45" i="189" s="1"/>
  <c r="U32" i="43"/>
  <c r="C21" i="189" s="1"/>
  <c r="U63" i="43"/>
  <c r="C52" i="189" s="1"/>
  <c r="U49" i="43"/>
  <c r="C38" i="189" s="1"/>
  <c r="U71" i="43"/>
  <c r="C60" i="189" s="1"/>
  <c r="U27" i="43"/>
  <c r="C16" i="189" s="1"/>
  <c r="U70" i="43"/>
  <c r="C59" i="189" s="1"/>
  <c r="U81" i="43"/>
  <c r="C70" i="189" s="1"/>
  <c r="U21" i="43"/>
  <c r="C10" i="189" s="1"/>
  <c r="U52" i="43"/>
  <c r="C41" i="189" s="1"/>
  <c r="U68" i="43"/>
  <c r="C57" i="189" s="1"/>
  <c r="U75" i="43"/>
  <c r="C64" i="189" s="1"/>
  <c r="U73" i="43"/>
  <c r="C62" i="189" s="1"/>
  <c r="U69" i="43"/>
  <c r="C58" i="189" s="1"/>
  <c r="U31" i="43"/>
  <c r="C20" i="189" s="1"/>
  <c r="U29" i="43"/>
  <c r="C18" i="189" s="1"/>
  <c r="U30" i="43"/>
  <c r="C19" i="189" s="1"/>
  <c r="U80" i="43"/>
  <c r="C69" i="189" s="1"/>
  <c r="U34" i="43"/>
  <c r="C23" i="189" s="1"/>
  <c r="U42" i="43"/>
  <c r="C31" i="189" s="1"/>
  <c r="U46" i="43"/>
  <c r="C35" i="189" s="1"/>
  <c r="U41" i="43"/>
  <c r="C30" i="189" s="1"/>
  <c r="U65" i="43"/>
  <c r="C54" i="189" s="1"/>
  <c r="W26" i="43"/>
  <c r="C15" i="188" s="1"/>
  <c r="U38" i="43"/>
  <c r="C27" i="189" s="1"/>
  <c r="U53" i="43"/>
  <c r="C42" i="189" s="1"/>
  <c r="U37" i="43"/>
  <c r="C26" i="189" s="1"/>
  <c r="U45" i="43"/>
  <c r="C34" i="189" s="1"/>
  <c r="U17" i="43"/>
  <c r="C6" i="189" s="1"/>
  <c r="U44" i="43"/>
  <c r="C33" i="189" s="1"/>
  <c r="U51" i="43"/>
  <c r="C40" i="189" s="1"/>
  <c r="U72" i="43"/>
  <c r="C61" i="189" s="1"/>
  <c r="U48" i="43"/>
  <c r="C37" i="189" s="1"/>
  <c r="U82" i="43"/>
  <c r="C71" i="189" s="1"/>
  <c r="U55" i="43"/>
  <c r="C44" i="189" s="1"/>
  <c r="U74" i="43"/>
  <c r="C63" i="189" s="1"/>
  <c r="U25" i="43"/>
  <c r="C14" i="189" s="1"/>
  <c r="U77" i="43"/>
  <c r="C66" i="189" s="1"/>
  <c r="U36" i="43"/>
  <c r="C25" i="189" s="1"/>
  <c r="U61" i="43"/>
  <c r="C50" i="189" s="1"/>
  <c r="U78" i="43"/>
  <c r="C67" i="189" s="1"/>
  <c r="U59" i="43"/>
  <c r="C48" i="189" s="1"/>
  <c r="W20" i="43"/>
  <c r="C9" i="188" s="1"/>
  <c r="U22" i="43"/>
  <c r="C11" i="189" s="1"/>
  <c r="U66" i="43"/>
  <c r="C55" i="189" s="1"/>
  <c r="U57" i="43"/>
  <c r="C46" i="189" s="1"/>
  <c r="U19" i="43"/>
  <c r="C8" i="189" s="1"/>
  <c r="U18" i="43"/>
  <c r="C7" i="189" s="1"/>
  <c r="U40" i="43"/>
  <c r="C29" i="189" s="1"/>
  <c r="AT18" i="43"/>
  <c r="C7" i="191" s="1"/>
  <c r="AT35" i="43"/>
  <c r="C24" i="191" s="1"/>
  <c r="AT19" i="43"/>
  <c r="C8" i="191" s="1"/>
  <c r="AT78" i="43"/>
  <c r="C67" i="191" s="1"/>
  <c r="AT79" i="43"/>
  <c r="C68" i="191" s="1"/>
  <c r="AT42" i="43"/>
  <c r="C31" i="191" s="1"/>
  <c r="AT20" i="43"/>
  <c r="C9" i="191" s="1"/>
  <c r="AT56" i="43"/>
  <c r="C45" i="191" s="1"/>
  <c r="AT44" i="43"/>
  <c r="C33" i="191" s="1"/>
  <c r="AT30" i="43"/>
  <c r="C19" i="191" s="1"/>
  <c r="AT63" i="43"/>
  <c r="C52" i="191" s="1"/>
  <c r="AT59" i="43"/>
  <c r="C48" i="191" s="1"/>
  <c r="AT55" i="43"/>
  <c r="C44" i="191" s="1"/>
  <c r="AT71" i="43"/>
  <c r="C60" i="191" s="1"/>
  <c r="AT29" i="43"/>
  <c r="C18" i="191" s="1"/>
  <c r="AT27" i="43"/>
  <c r="C16" i="191" s="1"/>
  <c r="AT31" i="43"/>
  <c r="C20" i="191" s="1"/>
  <c r="AT24" i="43"/>
  <c r="C13" i="191" s="1"/>
  <c r="AT73" i="43"/>
  <c r="C62" i="191" s="1"/>
  <c r="AT28" i="43"/>
  <c r="C17" i="191" s="1"/>
  <c r="AT76" i="43"/>
  <c r="C65" i="191" s="1"/>
  <c r="AT49" i="43"/>
  <c r="C38" i="191" s="1"/>
  <c r="AT33" i="43"/>
  <c r="C22" i="191" s="1"/>
  <c r="AT22" i="43"/>
  <c r="C11" i="191" s="1"/>
  <c r="AT26" i="43"/>
  <c r="C15" i="191" s="1"/>
  <c r="AT17" i="43"/>
  <c r="C6" i="191" s="1"/>
  <c r="AT40" i="43"/>
  <c r="C29" i="191" s="1"/>
  <c r="AT51" i="43"/>
  <c r="C40" i="191" s="1"/>
  <c r="AT58" i="43"/>
  <c r="C47" i="191" s="1"/>
  <c r="AT41" i="43"/>
  <c r="C30" i="191" s="1"/>
  <c r="AT68" i="43"/>
  <c r="C57" i="191" s="1"/>
  <c r="AT43" i="43"/>
  <c r="C32" i="191" s="1"/>
  <c r="AT38" i="43"/>
  <c r="C27" i="191" s="1"/>
  <c r="AT36" i="43"/>
  <c r="C25" i="191" s="1"/>
  <c r="AT60" i="43"/>
  <c r="C49" i="191" s="1"/>
  <c r="AT61" i="43"/>
  <c r="C50" i="191" s="1"/>
  <c r="AT77" i="43"/>
  <c r="C66" i="191" s="1"/>
  <c r="AT72" i="43"/>
  <c r="C61" i="191" s="1"/>
  <c r="AT45" i="43"/>
  <c r="C34" i="191" s="1"/>
  <c r="AT66" i="43"/>
  <c r="C55" i="191" s="1"/>
  <c r="AT54" i="43"/>
  <c r="C43" i="191" s="1"/>
  <c r="AT53" i="43"/>
  <c r="C42" i="191" s="1"/>
  <c r="AT23" i="43"/>
  <c r="C12" i="191" s="1"/>
  <c r="AT62" i="43"/>
  <c r="C51" i="191" s="1"/>
  <c r="AT39" i="43"/>
  <c r="C28" i="191" s="1"/>
  <c r="AT46" i="43"/>
  <c r="C35" i="191" s="1"/>
  <c r="AT80" i="43"/>
  <c r="C69" i="191" s="1"/>
  <c r="AT75" i="43"/>
  <c r="C64" i="191" s="1"/>
  <c r="C71" i="191"/>
  <c r="AT64" i="43"/>
  <c r="C53" i="191" s="1"/>
  <c r="AT25" i="43"/>
  <c r="C14" i="191" s="1"/>
  <c r="AT50" i="43"/>
  <c r="C39" i="191" s="1"/>
  <c r="AT37" i="43"/>
  <c r="C26" i="191" s="1"/>
  <c r="AT32" i="43"/>
  <c r="C21" i="191" s="1"/>
  <c r="AT81" i="43"/>
  <c r="C70" i="191" s="1"/>
  <c r="AT67" i="43"/>
  <c r="C56" i="191" s="1"/>
  <c r="AT21" i="43"/>
  <c r="C10" i="191" s="1"/>
  <c r="AT70" i="43"/>
  <c r="C59" i="191" s="1"/>
  <c r="AT34" i="43"/>
  <c r="C23" i="191" s="1"/>
  <c r="AT74" i="43"/>
  <c r="C63" i="191" s="1"/>
  <c r="AT69" i="43"/>
  <c r="C58" i="191" s="1"/>
  <c r="AT48" i="43"/>
  <c r="C37" i="191" s="1"/>
  <c r="AT52" i="43"/>
  <c r="C41" i="191" s="1"/>
  <c r="AT65" i="43"/>
  <c r="C54" i="191" s="1"/>
  <c r="AT57" i="43"/>
  <c r="C46" i="191" s="1"/>
  <c r="AT47" i="43"/>
  <c r="C36" i="191" s="1"/>
  <c r="A1139" i="242" l="1"/>
  <c r="B1140" i="242"/>
  <c r="AV62" i="43"/>
  <c r="AV61" i="43"/>
  <c r="AV51" i="43"/>
  <c r="AV59" i="43"/>
  <c r="AV78" i="43"/>
  <c r="W66" i="43"/>
  <c r="C55" i="188" s="1"/>
  <c r="W25" i="43"/>
  <c r="C14" i="188" s="1"/>
  <c r="W73" i="43"/>
  <c r="C62" i="188" s="1"/>
  <c r="W71" i="43"/>
  <c r="C60" i="188" s="1"/>
  <c r="W58" i="43"/>
  <c r="C47" i="188" s="1"/>
  <c r="W67" i="43"/>
  <c r="C56" i="188" s="1"/>
  <c r="AV60" i="43"/>
  <c r="W22" i="43"/>
  <c r="C11" i="188" s="1"/>
  <c r="W74" i="43"/>
  <c r="C63" i="188" s="1"/>
  <c r="W75" i="43"/>
  <c r="C64" i="188" s="1"/>
  <c r="W49" i="43"/>
  <c r="C38" i="188" s="1"/>
  <c r="AV47" i="43"/>
  <c r="AV64" i="43"/>
  <c r="AV53" i="43"/>
  <c r="W55" i="43"/>
  <c r="C44" i="188" s="1"/>
  <c r="W68" i="43"/>
  <c r="C57" i="188" s="1"/>
  <c r="W63" i="43"/>
  <c r="C52" i="188" s="1"/>
  <c r="AV54" i="43"/>
  <c r="W59" i="43"/>
  <c r="C48" i="188" s="1"/>
  <c r="W82" i="43"/>
  <c r="C71" i="188" s="1"/>
  <c r="W53" i="43"/>
  <c r="C42" i="188" s="1"/>
  <c r="W80" i="43"/>
  <c r="C69" i="188" s="1"/>
  <c r="W52" i="43"/>
  <c r="C41" i="188" s="1"/>
  <c r="W79" i="43"/>
  <c r="C68" i="188" s="1"/>
  <c r="W50" i="43"/>
  <c r="C39" i="188" s="1"/>
  <c r="AV67" i="43"/>
  <c r="AV66" i="43"/>
  <c r="AV56" i="43"/>
  <c r="W78" i="43"/>
  <c r="C67" i="188" s="1"/>
  <c r="W48" i="43"/>
  <c r="C37" i="188" s="1"/>
  <c r="W21" i="43"/>
  <c r="C10" i="188" s="1"/>
  <c r="W24" i="43"/>
  <c r="C13" i="188" s="1"/>
  <c r="AV57" i="43"/>
  <c r="AV81" i="43"/>
  <c r="AV80" i="43"/>
  <c r="AV68" i="43"/>
  <c r="W18" i="43"/>
  <c r="C7" i="188" s="1"/>
  <c r="W61" i="43"/>
  <c r="C50" i="188" s="1"/>
  <c r="W72" i="43"/>
  <c r="C61" i="188" s="1"/>
  <c r="W81" i="43"/>
  <c r="C70" i="188" s="1"/>
  <c r="W60" i="43"/>
  <c r="C49" i="188" s="1"/>
  <c r="W62" i="43"/>
  <c r="C51" i="188" s="1"/>
  <c r="AV65" i="43"/>
  <c r="AV48" i="43"/>
  <c r="AV49" i="43"/>
  <c r="W19" i="43"/>
  <c r="C8" i="188" s="1"/>
  <c r="W65" i="43"/>
  <c r="C54" i="188" s="1"/>
  <c r="W70" i="43"/>
  <c r="C59" i="188" s="1"/>
  <c r="W23" i="43"/>
  <c r="C12" i="188" s="1"/>
  <c r="W76" i="43"/>
  <c r="C65" i="188" s="1"/>
  <c r="AV52" i="43"/>
  <c r="AV69" i="43"/>
  <c r="AV58" i="43"/>
  <c r="AV79" i="43"/>
  <c r="W57" i="43"/>
  <c r="C46" i="188" s="1"/>
  <c r="W77" i="43"/>
  <c r="C66" i="188" s="1"/>
  <c r="W69" i="43"/>
  <c r="C58" i="188" s="1"/>
  <c r="W54" i="43"/>
  <c r="C43" i="188" s="1"/>
  <c r="AV63" i="43"/>
  <c r="AV55" i="43"/>
  <c r="W35" i="43"/>
  <c r="C24" i="188" s="1"/>
  <c r="W45" i="43"/>
  <c r="C34" i="188" s="1"/>
  <c r="W29" i="43"/>
  <c r="C18" i="188" s="1"/>
  <c r="W37" i="43"/>
  <c r="C26" i="188" s="1"/>
  <c r="W40" i="43"/>
  <c r="C29" i="188" s="1"/>
  <c r="W38" i="43"/>
  <c r="C27" i="188" s="1"/>
  <c r="W64" i="43"/>
  <c r="C53" i="188" s="1"/>
  <c r="AV37" i="43"/>
  <c r="AV41" i="43"/>
  <c r="AV42" i="43"/>
  <c r="W41" i="43"/>
  <c r="C30" i="188" s="1"/>
  <c r="W39" i="43"/>
  <c r="C28" i="188" s="1"/>
  <c r="AV38" i="43"/>
  <c r="AV28" i="43"/>
  <c r="W43" i="43"/>
  <c r="C32" i="188" s="1"/>
  <c r="AV50" i="43"/>
  <c r="W46" i="43"/>
  <c r="C35" i="188" s="1"/>
  <c r="W32" i="43"/>
  <c r="C21" i="188" s="1"/>
  <c r="AV44" i="43"/>
  <c r="AV45" i="43"/>
  <c r="W28" i="43"/>
  <c r="C17" i="188" s="1"/>
  <c r="AV46" i="43"/>
  <c r="AV39" i="43"/>
  <c r="W56" i="43"/>
  <c r="C45" i="188" s="1"/>
  <c r="AV43" i="43"/>
  <c r="W47" i="43"/>
  <c r="C36" i="188" s="1"/>
  <c r="AV40" i="43"/>
  <c r="W51" i="43"/>
  <c r="C40" i="188" s="1"/>
  <c r="W34" i="43"/>
  <c r="C23" i="188" s="1"/>
  <c r="W33" i="43"/>
  <c r="C22" i="188" s="1"/>
  <c r="W31" i="43"/>
  <c r="C20" i="188" s="1"/>
  <c r="W44" i="43"/>
  <c r="C33" i="188" s="1"/>
  <c r="W27" i="43"/>
  <c r="C16" i="188" s="1"/>
  <c r="W30" i="43"/>
  <c r="C19" i="188" s="1"/>
  <c r="W36" i="43"/>
  <c r="C25" i="188" s="1"/>
  <c r="W42" i="43"/>
  <c r="C31" i="188" s="1"/>
  <c r="T15" i="43"/>
  <c r="W17" i="43"/>
  <c r="C6" i="188" s="1"/>
  <c r="B1141" i="242" l="1"/>
  <c r="A1140" i="242"/>
  <c r="C71" i="190"/>
  <c r="C32" i="190"/>
  <c r="C41" i="190"/>
  <c r="C31" i="190"/>
  <c r="C70" i="190"/>
  <c r="C44" i="190"/>
  <c r="C37" i="190"/>
  <c r="C46" i="190"/>
  <c r="C55" i="190"/>
  <c r="C40" i="190"/>
  <c r="C36" i="190"/>
  <c r="C52" i="190"/>
  <c r="C29" i="190"/>
  <c r="C38" i="190"/>
  <c r="C45" i="190"/>
  <c r="C30" i="190"/>
  <c r="C39" i="190"/>
  <c r="C28" i="190"/>
  <c r="C35" i="190"/>
  <c r="C17" i="190"/>
  <c r="C54" i="190"/>
  <c r="C57" i="190"/>
  <c r="C56" i="190"/>
  <c r="C42" i="190"/>
  <c r="C50" i="190"/>
  <c r="C27" i="190"/>
  <c r="C47" i="190"/>
  <c r="C43" i="190"/>
  <c r="C33" i="190"/>
  <c r="C58" i="190"/>
  <c r="C48" i="190"/>
  <c r="C26" i="190"/>
  <c r="C68" i="190"/>
  <c r="C34" i="190"/>
  <c r="C69" i="190"/>
  <c r="C53" i="190"/>
  <c r="C49" i="190"/>
  <c r="C67" i="190"/>
  <c r="C51" i="190"/>
  <c r="V15" i="43"/>
  <c r="A1141" i="242" l="1"/>
  <c r="B1142" i="242"/>
  <c r="A1142" i="242" l="1"/>
  <c r="B1143" i="242"/>
  <c r="B1144" i="242" l="1"/>
  <c r="A1143" i="242"/>
  <c r="B1145" i="242" l="1"/>
  <c r="A1144" i="242"/>
  <c r="A1145" i="242" l="1"/>
  <c r="B1146" i="242"/>
  <c r="A1146" i="242" l="1"/>
  <c r="B1147" i="242"/>
  <c r="B1148" i="242" l="1"/>
  <c r="A1147" i="242"/>
  <c r="B1149" i="242" l="1"/>
  <c r="A1148" i="242"/>
  <c r="A1149" i="242" l="1"/>
  <c r="B1150" i="242"/>
  <c r="B1151" i="242" l="1"/>
  <c r="A1150" i="242"/>
  <c r="B1152" i="242" l="1"/>
  <c r="A1151" i="242"/>
  <c r="B1153" i="242" l="1"/>
  <c r="A1152" i="242"/>
  <c r="A1153" i="242" l="1"/>
  <c r="B1154" i="242"/>
  <c r="B1155" i="242" l="1"/>
  <c r="A1154" i="242"/>
  <c r="B1156" i="242" l="1"/>
  <c r="A1155" i="242"/>
  <c r="B1157" i="242" l="1"/>
  <c r="A1156" i="242"/>
  <c r="A1157" i="242" l="1"/>
  <c r="B1158" i="242"/>
  <c r="B1159" i="242" l="1"/>
  <c r="A1158" i="242"/>
  <c r="A1159" i="242" l="1"/>
  <c r="B1160" i="242"/>
  <c r="B1161" i="242" l="1"/>
  <c r="A1160" i="242"/>
  <c r="A1161" i="242" l="1"/>
  <c r="B1162" i="242"/>
  <c r="B1163" i="242" l="1"/>
  <c r="A1162" i="242"/>
  <c r="B1164" i="242" l="1"/>
  <c r="A1163" i="242"/>
  <c r="B1165" i="242" l="1"/>
  <c r="A1164" i="242"/>
  <c r="A1165" i="242" l="1"/>
  <c r="B1166" i="242"/>
  <c r="A1166" i="242" l="1"/>
  <c r="B1167" i="242"/>
  <c r="B1168" i="242" l="1"/>
  <c r="A1167" i="242"/>
  <c r="D9" i="43"/>
  <c r="AL9" i="43"/>
  <c r="AL19" i="43"/>
  <c r="C8" i="193" s="1"/>
  <c r="AL20" i="43"/>
  <c r="C9" i="193" s="1"/>
  <c r="AL22" i="43"/>
  <c r="C11" i="193" s="1"/>
  <c r="AL21" i="43"/>
  <c r="C10" i="193" s="1"/>
  <c r="AL56" i="43"/>
  <c r="C45" i="193" s="1"/>
  <c r="AL41" i="43"/>
  <c r="C30" i="193" s="1"/>
  <c r="AL70" i="43"/>
  <c r="C59" i="193" s="1"/>
  <c r="AL49" i="43"/>
  <c r="C38" i="193" s="1"/>
  <c r="AL64" i="43"/>
  <c r="C53" i="193" s="1"/>
  <c r="AL72" i="43"/>
  <c r="C61" i="193" s="1"/>
  <c r="AL66" i="43"/>
  <c r="C55" i="193" s="1"/>
  <c r="AL50" i="43"/>
  <c r="C39" i="193" s="1"/>
  <c r="AL76" i="43"/>
  <c r="C65" i="193" s="1"/>
  <c r="AL74" i="43"/>
  <c r="C63" i="193" s="1"/>
  <c r="AL33" i="43"/>
  <c r="C22" i="193" s="1"/>
  <c r="AL27" i="43"/>
  <c r="C16" i="193" s="1"/>
  <c r="AL52" i="43"/>
  <c r="C41" i="193" s="1"/>
  <c r="AL39" i="43"/>
  <c r="C28" i="193" s="1"/>
  <c r="AL38" i="43"/>
  <c r="C27" i="193" s="1"/>
  <c r="AL28" i="43"/>
  <c r="C17" i="193" s="1"/>
  <c r="AL34" i="43"/>
  <c r="C23" i="193" s="1"/>
  <c r="AL24" i="43"/>
  <c r="C13" i="193" s="1"/>
  <c r="AL63" i="43"/>
  <c r="C52" i="193" s="1"/>
  <c r="AL30" i="43"/>
  <c r="C19" i="193" s="1"/>
  <c r="AL48" i="43"/>
  <c r="C37" i="193" s="1"/>
  <c r="AL46" i="43"/>
  <c r="C35" i="193" s="1"/>
  <c r="AL45" i="43"/>
  <c r="C34" i="193" s="1"/>
  <c r="AL61" i="43"/>
  <c r="C50" i="193" s="1"/>
  <c r="AL53" i="43"/>
  <c r="C42" i="193" s="1"/>
  <c r="AL43" i="43"/>
  <c r="C32" i="193" s="1"/>
  <c r="AL68" i="43"/>
  <c r="C57" i="193" s="1"/>
  <c r="AL40" i="43"/>
  <c r="C29" i="193" s="1"/>
  <c r="AL29" i="43"/>
  <c r="C18" i="193" s="1"/>
  <c r="AL75" i="43"/>
  <c r="C64" i="193" s="1"/>
  <c r="AL73" i="43"/>
  <c r="C62" i="193" s="1"/>
  <c r="AL62" i="43"/>
  <c r="C51" i="193" s="1"/>
  <c r="AL47" i="43"/>
  <c r="C36" i="193" s="1"/>
  <c r="AL55" i="43"/>
  <c r="C44" i="193" s="1"/>
  <c r="AL67" i="43"/>
  <c r="C56" i="193" s="1"/>
  <c r="AL59" i="43"/>
  <c r="C48" i="193" s="1"/>
  <c r="AL54" i="43"/>
  <c r="C43" i="193" s="1"/>
  <c r="AL65" i="43"/>
  <c r="C54" i="193" s="1"/>
  <c r="AL51" i="43"/>
  <c r="C40" i="193" s="1"/>
  <c r="AL42" i="43"/>
  <c r="C31" i="193" s="1"/>
  <c r="AL32" i="43"/>
  <c r="C21" i="193" s="1"/>
  <c r="AL69" i="43"/>
  <c r="C58" i="193" s="1"/>
  <c r="AL44" i="43"/>
  <c r="C33" i="193" s="1"/>
  <c r="AL71" i="43"/>
  <c r="C60" i="193" s="1"/>
  <c r="AL60" i="43"/>
  <c r="C49" i="193" s="1"/>
  <c r="AL57" i="43"/>
  <c r="C46" i="193" s="1"/>
  <c r="AL25" i="43"/>
  <c r="C14" i="193" s="1"/>
  <c r="AL58" i="43"/>
  <c r="C47" i="193" s="1"/>
  <c r="AL26" i="43"/>
  <c r="C15" i="193" s="1"/>
  <c r="AL31" i="43"/>
  <c r="C20" i="193" s="1"/>
  <c r="AL23" i="43"/>
  <c r="C12" i="193" s="1"/>
  <c r="AL79" i="43"/>
  <c r="C68" i="193" s="1"/>
  <c r="AL77" i="43"/>
  <c r="C66" i="193" s="1"/>
  <c r="AL78" i="43"/>
  <c r="C67" i="193" s="1"/>
  <c r="AV22" i="43"/>
  <c r="AV19" i="43"/>
  <c r="AV20" i="43"/>
  <c r="AT9" i="43"/>
  <c r="AV21" i="43"/>
  <c r="AV23" i="43"/>
  <c r="AV25" i="43"/>
  <c r="AV24" i="43"/>
  <c r="AV26" i="43"/>
  <c r="AV27" i="43"/>
  <c r="B1169" i="242" l="1"/>
  <c r="A1169" i="242" s="1"/>
  <c r="A1168" i="242"/>
  <c r="C13" i="190"/>
  <c r="C14" i="190"/>
  <c r="C10" i="190"/>
  <c r="C12" i="190"/>
  <c r="C8" i="190"/>
  <c r="C9" i="190"/>
  <c r="C16" i="190"/>
  <c r="C15" i="190"/>
  <c r="C11" i="190"/>
  <c r="AN67" i="43"/>
  <c r="AN45" i="43"/>
  <c r="AN33" i="43"/>
  <c r="AN56" i="43"/>
  <c r="AN57" i="43"/>
  <c r="AN55" i="43"/>
  <c r="AN46" i="43"/>
  <c r="AN74" i="43"/>
  <c r="AN21" i="43"/>
  <c r="AN76" i="43"/>
  <c r="AN62" i="43"/>
  <c r="AN78" i="43"/>
  <c r="AN66" i="43"/>
  <c r="AN29" i="43"/>
  <c r="AN23" i="43"/>
  <c r="AN42" i="43"/>
  <c r="AN40" i="43"/>
  <c r="AN28" i="43"/>
  <c r="AN64" i="43"/>
  <c r="AN47" i="43"/>
  <c r="AN50" i="43"/>
  <c r="AN75" i="43"/>
  <c r="AN79" i="43"/>
  <c r="AN31" i="43"/>
  <c r="AN51" i="43"/>
  <c r="AN68" i="43"/>
  <c r="AN38" i="43"/>
  <c r="AN22" i="43"/>
  <c r="AN30" i="43"/>
  <c r="AN44" i="43"/>
  <c r="AN19" i="43"/>
  <c r="AN24" i="43"/>
  <c r="AN32" i="43"/>
  <c r="AN26" i="43"/>
  <c r="AN65" i="43"/>
  <c r="AN43" i="43"/>
  <c r="AN39" i="43"/>
  <c r="AN49" i="43"/>
  <c r="AN48" i="43"/>
  <c r="AN71" i="43"/>
  <c r="AN20" i="43"/>
  <c r="AN63" i="43"/>
  <c r="AN69" i="43"/>
  <c r="AN34" i="43"/>
  <c r="AN58" i="43"/>
  <c r="AN54" i="43"/>
  <c r="AN53" i="43"/>
  <c r="AN52" i="43"/>
  <c r="AN70" i="43"/>
  <c r="AN60" i="43"/>
  <c r="AN73" i="43"/>
  <c r="AN77" i="43"/>
  <c r="AN72" i="43"/>
  <c r="AN25" i="43"/>
  <c r="AN59" i="43"/>
  <c r="AN61" i="43"/>
  <c r="AN27" i="43"/>
  <c r="AN41" i="43"/>
  <c r="C40" i="192" l="1"/>
  <c r="C54" i="192"/>
  <c r="C15" i="192"/>
  <c r="C29" i="192"/>
  <c r="C10" i="192"/>
  <c r="C56" i="192"/>
  <c r="C36" i="192"/>
  <c r="C52" i="192"/>
  <c r="C63" i="192"/>
  <c r="C27" i="192"/>
  <c r="C49" i="192"/>
  <c r="C53" i="192"/>
  <c r="C9" i="192"/>
  <c r="C65" i="192"/>
  <c r="C41" i="192"/>
  <c r="C20" i="192"/>
  <c r="C42" i="192"/>
  <c r="C31" i="192"/>
  <c r="C14" i="192"/>
  <c r="C43" i="192"/>
  <c r="C38" i="192"/>
  <c r="C33" i="192"/>
  <c r="C64" i="192"/>
  <c r="C12" i="192"/>
  <c r="C35" i="192"/>
  <c r="C62" i="192"/>
  <c r="C45" i="192"/>
  <c r="C57" i="192"/>
  <c r="C22" i="192"/>
  <c r="C16" i="192"/>
  <c r="C34" i="192"/>
  <c r="C60" i="192"/>
  <c r="C37" i="192"/>
  <c r="C8" i="192"/>
  <c r="C61" i="192"/>
  <c r="C47" i="192"/>
  <c r="C28" i="192"/>
  <c r="C19" i="192"/>
  <c r="C39" i="192"/>
  <c r="C18" i="192"/>
  <c r="C44" i="192"/>
  <c r="C58" i="192"/>
  <c r="C67" i="192"/>
  <c r="C30" i="192"/>
  <c r="C51" i="192"/>
  <c r="C59" i="192"/>
  <c r="C21" i="192"/>
  <c r="C17" i="192"/>
  <c r="C50" i="192"/>
  <c r="C13" i="192"/>
  <c r="C48" i="192"/>
  <c r="C68" i="192"/>
  <c r="C66" i="192"/>
  <c r="C23" i="192"/>
  <c r="C32" i="192"/>
  <c r="C11" i="192"/>
  <c r="C55" i="192"/>
  <c r="C46" i="192"/>
  <c r="AV77" i="43" l="1"/>
  <c r="U9" i="43"/>
  <c r="AV72" i="43"/>
  <c r="AV74" i="43"/>
  <c r="AC9" i="43"/>
  <c r="AV76" i="43"/>
  <c r="AV75" i="43"/>
  <c r="AV73" i="43"/>
  <c r="AV71" i="43"/>
  <c r="AV70" i="43"/>
  <c r="O9" i="43"/>
  <c r="C65" i="190" l="1"/>
  <c r="C63" i="190"/>
  <c r="C61" i="190"/>
  <c r="C59" i="190"/>
  <c r="C60" i="190"/>
  <c r="C66" i="190"/>
  <c r="C62" i="190"/>
  <c r="C64" i="190"/>
  <c r="AG15" i="69"/>
  <c r="AB15" i="69"/>
  <c r="AD15" i="69"/>
  <c r="AI15" i="69" l="1"/>
  <c r="BB56" i="43" l="1"/>
  <c r="BB17" i="43"/>
  <c r="BB39" i="43"/>
  <c r="BB48" i="43"/>
  <c r="BB53" i="43"/>
  <c r="BB58" i="43"/>
  <c r="BB45" i="43"/>
  <c r="BB55" i="43"/>
  <c r="BB47" i="43"/>
  <c r="BB54" i="43"/>
  <c r="BB42" i="43"/>
  <c r="BB20" i="43"/>
  <c r="BB38" i="43"/>
  <c r="BB22" i="43"/>
  <c r="BB19" i="43"/>
  <c r="BB31" i="43"/>
  <c r="BB59" i="43"/>
  <c r="BB26" i="43"/>
  <c r="BB40" i="43"/>
  <c r="BB50" i="43"/>
  <c r="BB36" i="43"/>
  <c r="BB37" i="43"/>
  <c r="BB27" i="43"/>
  <c r="BB29" i="43"/>
  <c r="BB44" i="43"/>
  <c r="BB23" i="43"/>
  <c r="BC9" i="43"/>
  <c r="BB30" i="43"/>
  <c r="BB60" i="43"/>
  <c r="BD9" i="43"/>
  <c r="BB24" i="43"/>
  <c r="BB35" i="43"/>
  <c r="BB28" i="43"/>
  <c r="BB32" i="43"/>
  <c r="BB43" i="43"/>
  <c r="BB52" i="43"/>
  <c r="BB49" i="43"/>
  <c r="BB21" i="43"/>
  <c r="BB34" i="43"/>
  <c r="BB51" i="43"/>
  <c r="BB46" i="43"/>
  <c r="BB25" i="43"/>
  <c r="BB57" i="43"/>
  <c r="BB18" i="43"/>
  <c r="BB33" i="43"/>
  <c r="BB41" i="43"/>
  <c r="BD25" i="43" l="1"/>
  <c r="BD21" i="43"/>
  <c r="BD24" i="43"/>
  <c r="BD23" i="43"/>
  <c r="BD50" i="43"/>
  <c r="BD45" i="43"/>
  <c r="BD41" i="43"/>
  <c r="BD49" i="43"/>
  <c r="BD40" i="43"/>
  <c r="BD38" i="43"/>
  <c r="BD58" i="43"/>
  <c r="BD46" i="43"/>
  <c r="BD52" i="43"/>
  <c r="BD60" i="43"/>
  <c r="BD44" i="43"/>
  <c r="BD26" i="43"/>
  <c r="BD20" i="43"/>
  <c r="BD53" i="43"/>
  <c r="BD33" i="43"/>
  <c r="BD51" i="43"/>
  <c r="BD43" i="43"/>
  <c r="BD30" i="43"/>
  <c r="BD29" i="43"/>
  <c r="BD59" i="43"/>
  <c r="BD42" i="43"/>
  <c r="BD48" i="43"/>
  <c r="BD32" i="43"/>
  <c r="BD27" i="43"/>
  <c r="BD31" i="43"/>
  <c r="BD54" i="43"/>
  <c r="BD39" i="43"/>
  <c r="BD34" i="43"/>
  <c r="BD28" i="43"/>
  <c r="BD17" i="43"/>
  <c r="BD18" i="43"/>
  <c r="BD37" i="43"/>
  <c r="BD19" i="43"/>
  <c r="BD47" i="43"/>
  <c r="BD56" i="43"/>
  <c r="BD57" i="43"/>
  <c r="BD35" i="43"/>
  <c r="BD36" i="43"/>
  <c r="BD22" i="43"/>
  <c r="BD55" i="43"/>
  <c r="BB9" i="43"/>
  <c r="BB61" i="43" l="1"/>
  <c r="BB62" i="43"/>
  <c r="BD61" i="43" l="1"/>
  <c r="BD62" i="43"/>
  <c r="BB63" i="43" l="1"/>
  <c r="BD63" i="43" l="1"/>
  <c r="BB64" i="43"/>
  <c r="BD64" i="43" l="1"/>
  <c r="BB65" i="43"/>
  <c r="BD65" i="43" l="1"/>
  <c r="BB66" i="43"/>
  <c r="BB67" i="43"/>
  <c r="BD67" i="43" l="1"/>
  <c r="BD66" i="43"/>
  <c r="BB68" i="43"/>
  <c r="BD68" i="43" l="1"/>
  <c r="BB69" i="43" l="1"/>
  <c r="BD69" i="43" l="1"/>
  <c r="AV36" i="43" l="1"/>
  <c r="C25" i="190" l="1"/>
  <c r="AV35" i="43"/>
  <c r="AV31" i="43"/>
  <c r="AV33" i="43"/>
  <c r="AV30" i="43"/>
  <c r="AV32" i="43"/>
  <c r="AV34" i="43"/>
  <c r="AL35" i="43"/>
  <c r="C24" i="193" s="1"/>
  <c r="AV18" i="43"/>
  <c r="AL37" i="43"/>
  <c r="C26" i="193" s="1"/>
  <c r="AL36" i="43"/>
  <c r="C25" i="193" s="1"/>
  <c r="BB71" i="43"/>
  <c r="BB75" i="43"/>
  <c r="BB70" i="43"/>
  <c r="BB73" i="43"/>
  <c r="BB72" i="43"/>
  <c r="AM25" i="69"/>
  <c r="C17" i="204" s="1"/>
  <c r="AM18" i="69"/>
  <c r="C10" i="204" s="1"/>
  <c r="BB74" i="43"/>
  <c r="AM46" i="69"/>
  <c r="C38" i="204" s="1"/>
  <c r="AM34" i="69"/>
  <c r="C26" i="204" s="1"/>
  <c r="AM50" i="69"/>
  <c r="C42" i="204" s="1"/>
  <c r="R9" i="69"/>
  <c r="AM40" i="69"/>
  <c r="C32" i="204" s="1"/>
  <c r="AM31" i="69"/>
  <c r="C23" i="204" s="1"/>
  <c r="AM33" i="69"/>
  <c r="C25" i="204" s="1"/>
  <c r="BB77" i="43"/>
  <c r="AM29" i="69"/>
  <c r="C21" i="204" s="1"/>
  <c r="L9" i="69"/>
  <c r="AM37" i="69"/>
  <c r="C29" i="204" s="1"/>
  <c r="AM17" i="69"/>
  <c r="C9" i="204" s="1"/>
  <c r="AM19" i="69"/>
  <c r="C11" i="204" s="1"/>
  <c r="AH9" i="69"/>
  <c r="AM44" i="69"/>
  <c r="C36" i="204" s="1"/>
  <c r="AM47" i="69"/>
  <c r="C39" i="204" s="1"/>
  <c r="AM27" i="69"/>
  <c r="C19" i="204" s="1"/>
  <c r="BB76" i="43"/>
  <c r="AM30" i="69"/>
  <c r="C22" i="204" s="1"/>
  <c r="AM22" i="69"/>
  <c r="C14" i="204" s="1"/>
  <c r="AC9" i="69"/>
  <c r="AM54" i="69"/>
  <c r="C46" i="204" s="1"/>
  <c r="AM53" i="69"/>
  <c r="C45" i="204" s="1"/>
  <c r="AN9" i="69"/>
  <c r="AM9" i="69" s="1"/>
  <c r="AV29" i="43"/>
  <c r="AM21" i="69"/>
  <c r="C13" i="204" s="1"/>
  <c r="D9" i="69"/>
  <c r="AM20" i="69"/>
  <c r="C12" i="204" s="1"/>
  <c r="AM39" i="69"/>
  <c r="C31" i="204" s="1"/>
  <c r="AM35" i="69"/>
  <c r="C27" i="204" s="1"/>
  <c r="AM42" i="69"/>
  <c r="C34" i="204" s="1"/>
  <c r="AM23" i="69"/>
  <c r="C15" i="204" s="1"/>
  <c r="AM51" i="69"/>
  <c r="C43" i="204" s="1"/>
  <c r="AM41" i="69"/>
  <c r="C33" i="204" s="1"/>
  <c r="AM28" i="69"/>
  <c r="C20" i="204" s="1"/>
  <c r="W9" i="69"/>
  <c r="AM26" i="69"/>
  <c r="C18" i="204" s="1"/>
  <c r="AM32" i="69"/>
  <c r="C24" i="204" s="1"/>
  <c r="AM48" i="69"/>
  <c r="C40" i="204" s="1"/>
  <c r="AM49" i="69"/>
  <c r="C41" i="204" s="1"/>
  <c r="AM38" i="69"/>
  <c r="C30" i="204" s="1"/>
  <c r="BB78" i="43"/>
  <c r="AM52" i="69"/>
  <c r="C44" i="204" s="1"/>
  <c r="AM24" i="69"/>
  <c r="C16" i="204" s="1"/>
  <c r="AM43" i="69"/>
  <c r="C35" i="204" s="1"/>
  <c r="AM45" i="69"/>
  <c r="C37" i="204" s="1"/>
  <c r="AM36" i="69"/>
  <c r="C28" i="204" s="1"/>
  <c r="R6" i="204" l="1" a="1"/>
  <c r="C23" i="190"/>
  <c r="C21" i="190"/>
  <c r="C19" i="190"/>
  <c r="C18" i="190"/>
  <c r="C22" i="190"/>
  <c r="C20" i="190"/>
  <c r="C24" i="190"/>
  <c r="C7" i="190"/>
  <c r="AO32" i="69"/>
  <c r="C24" i="203" s="1"/>
  <c r="AN18" i="43"/>
  <c r="AO26" i="69"/>
  <c r="C18" i="203" s="1"/>
  <c r="AO19" i="69"/>
  <c r="C11" i="203" s="1"/>
  <c r="AO46" i="69"/>
  <c r="C38" i="203" s="1"/>
  <c r="AV17" i="43"/>
  <c r="AS15" i="43"/>
  <c r="AO17" i="69"/>
  <c r="C9" i="203" s="1"/>
  <c r="AL15" i="69"/>
  <c r="BD74" i="43"/>
  <c r="AO36" i="69"/>
  <c r="C28" i="203" s="1"/>
  <c r="AO18" i="69"/>
  <c r="C10" i="203" s="1"/>
  <c r="AO29" i="69"/>
  <c r="C21" i="203" s="1"/>
  <c r="AO22" i="69"/>
  <c r="C14" i="203" s="1"/>
  <c r="AO52" i="69"/>
  <c r="C44" i="203" s="1"/>
  <c r="AO42" i="69"/>
  <c r="C34" i="203" s="1"/>
  <c r="AO30" i="69"/>
  <c r="C22" i="203" s="1"/>
  <c r="AO33" i="69"/>
  <c r="C25" i="203" s="1"/>
  <c r="BD70" i="43"/>
  <c r="BA15" i="43"/>
  <c r="AO37" i="69"/>
  <c r="C29" i="203" s="1"/>
  <c r="AO54" i="69"/>
  <c r="C46" i="203" s="1"/>
  <c r="AO51" i="69"/>
  <c r="C43" i="203" s="1"/>
  <c r="AO24" i="69"/>
  <c r="C16" i="203" s="1"/>
  <c r="BD78" i="43"/>
  <c r="AO35" i="69"/>
  <c r="C27" i="203" s="1"/>
  <c r="BD76" i="43"/>
  <c r="AO31" i="69"/>
  <c r="C23" i="203" s="1"/>
  <c r="BD75" i="43"/>
  <c r="AO28" i="69"/>
  <c r="C20" i="203" s="1"/>
  <c r="AO45" i="69"/>
  <c r="C37" i="203" s="1"/>
  <c r="AN17" i="43"/>
  <c r="AK15" i="43"/>
  <c r="AO38" i="69"/>
  <c r="C30" i="203" s="1"/>
  <c r="AO39" i="69"/>
  <c r="C31" i="203" s="1"/>
  <c r="AO27" i="69"/>
  <c r="C19" i="203" s="1"/>
  <c r="AO40" i="69"/>
  <c r="BD71" i="43"/>
  <c r="AO34" i="69"/>
  <c r="C26" i="203" s="1"/>
  <c r="AN35" i="43"/>
  <c r="AO25" i="69"/>
  <c r="C17" i="203" s="1"/>
  <c r="AO23" i="69"/>
  <c r="C15" i="203" s="1"/>
  <c r="AO49" i="69"/>
  <c r="AO20" i="69"/>
  <c r="C12" i="203" s="1"/>
  <c r="AO47" i="69"/>
  <c r="C39" i="203" s="1"/>
  <c r="AN36" i="43"/>
  <c r="AO21" i="69"/>
  <c r="C13" i="203" s="1"/>
  <c r="AO53" i="69"/>
  <c r="C45" i="203" s="1"/>
  <c r="AO41" i="69"/>
  <c r="C33" i="203" s="1"/>
  <c r="AO43" i="69"/>
  <c r="C35" i="203" s="1"/>
  <c r="BD72" i="43"/>
  <c r="BD77" i="43"/>
  <c r="BD73" i="43"/>
  <c r="AO48" i="69"/>
  <c r="C40" i="203" s="1"/>
  <c r="AO44" i="69"/>
  <c r="C36" i="203" s="1"/>
  <c r="AO50" i="69"/>
  <c r="AN37" i="43"/>
  <c r="C41" i="203" l="1"/>
  <c r="C32" i="203"/>
  <c r="C42" i="203"/>
  <c r="AR6" i="204"/>
  <c r="AK6" i="204"/>
  <c r="AK21" i="204" s="1"/>
  <c r="Z6" i="204"/>
  <c r="BA6" i="204"/>
  <c r="BF6" i="204"/>
  <c r="AY6" i="204"/>
  <c r="AW6" i="204"/>
  <c r="AU6" i="204"/>
  <c r="AJ6" i="204"/>
  <c r="AJ21" i="204" s="1"/>
  <c r="AA6" i="204"/>
  <c r="AA18" i="204" s="1"/>
  <c r="L18" i="204" s="1"/>
  <c r="AQ26" i="69" s="1"/>
  <c r="BQ6" i="204"/>
  <c r="AO6" i="204"/>
  <c r="AN6" i="204"/>
  <c r="AL6" i="204"/>
  <c r="AL21" i="204" s="1"/>
  <c r="AG6" i="204"/>
  <c r="AG21" i="204" s="1"/>
  <c r="AC6" i="204"/>
  <c r="AB6" i="204"/>
  <c r="AB19" i="204" s="1"/>
  <c r="R6" i="204"/>
  <c r="R9" i="204" s="1"/>
  <c r="BE6" i="204"/>
  <c r="AD6" i="204"/>
  <c r="X6" i="204"/>
  <c r="X15" i="204" s="1"/>
  <c r="V6" i="204"/>
  <c r="CA6" i="204"/>
  <c r="T6" i="204"/>
  <c r="T11" i="204" s="1"/>
  <c r="BT6" i="204"/>
  <c r="AQ6" i="204"/>
  <c r="BW6" i="204"/>
  <c r="BS6" i="204"/>
  <c r="BO6" i="204"/>
  <c r="BJ6" i="204"/>
  <c r="BX6" i="204"/>
  <c r="BU6" i="204"/>
  <c r="BK6" i="204"/>
  <c r="AF6" i="204"/>
  <c r="AF21" i="204" s="1"/>
  <c r="BG6" i="204"/>
  <c r="BD6" i="204"/>
  <c r="AX6" i="204"/>
  <c r="AV6" i="204"/>
  <c r="BP6" i="204"/>
  <c r="BL6" i="204"/>
  <c r="BB6" i="204"/>
  <c r="U6" i="204"/>
  <c r="AP6" i="204"/>
  <c r="AM6" i="204"/>
  <c r="AM21" i="204" s="1"/>
  <c r="AH6" i="204"/>
  <c r="AH21" i="204" s="1"/>
  <c r="AE6" i="204"/>
  <c r="AE21" i="204" s="1"/>
  <c r="BH6" i="204"/>
  <c r="BC6" i="204"/>
  <c r="AS6" i="204"/>
  <c r="BZ6" i="204"/>
  <c r="Y6" i="204"/>
  <c r="W6" i="204"/>
  <c r="S6" i="204"/>
  <c r="S10" i="204" s="1"/>
  <c r="BY6" i="204"/>
  <c r="AZ6" i="204"/>
  <c r="AT6" i="204"/>
  <c r="AI6" i="204"/>
  <c r="AI21" i="204" s="1"/>
  <c r="BN6" i="204"/>
  <c r="BV6" i="204"/>
  <c r="BR6" i="204"/>
  <c r="BM6" i="204"/>
  <c r="BI6" i="204"/>
  <c r="AN15" i="69"/>
  <c r="C24" i="192"/>
  <c r="C26" i="192"/>
  <c r="C6" i="192"/>
  <c r="C25" i="192"/>
  <c r="C7" i="192"/>
  <c r="C6" i="190"/>
  <c r="AU15" i="43"/>
  <c r="BC15" i="43"/>
  <c r="AM15" i="43"/>
  <c r="AT35" i="204" l="1"/>
  <c r="AT34" i="204"/>
  <c r="AW41" i="204"/>
  <c r="L41" i="204" s="1"/>
  <c r="AQ49" i="69" s="1"/>
  <c r="AW40" i="204"/>
  <c r="L40" i="204" s="1"/>
  <c r="AQ48" i="69" s="1"/>
  <c r="AY51" i="204"/>
  <c r="L51" i="204" s="1"/>
  <c r="AQ59" i="69" s="1"/>
  <c r="AY50" i="204"/>
  <c r="L50" i="204" s="1"/>
  <c r="AQ58" i="69" s="1"/>
  <c r="AS34" i="204"/>
  <c r="L34" i="204" s="1"/>
  <c r="AQ42" i="69" s="1"/>
  <c r="AS33" i="204"/>
  <c r="AX46" i="204"/>
  <c r="L46" i="204" s="1"/>
  <c r="AQ54" i="69" s="1"/>
  <c r="AX45" i="204"/>
  <c r="L45" i="204" s="1"/>
  <c r="AQ53" i="69" s="1"/>
  <c r="AN29" i="204"/>
  <c r="AN28" i="204"/>
  <c r="R6" i="203" a="1"/>
  <c r="BO6" i="203" s="1"/>
  <c r="BC59" i="204"/>
  <c r="L59" i="204" s="1"/>
  <c r="AQ67" i="69" s="1"/>
  <c r="BC58" i="204"/>
  <c r="T9" i="204"/>
  <c r="L9" i="204" s="1"/>
  <c r="AQ17" i="69" s="1"/>
  <c r="T10" i="204"/>
  <c r="L10" i="204" s="1"/>
  <c r="AQ18" i="69" s="1"/>
  <c r="AC19" i="204"/>
  <c r="L19" i="204" s="1"/>
  <c r="AQ27" i="69" s="1"/>
  <c r="AC20" i="204"/>
  <c r="AU36" i="204"/>
  <c r="L36" i="204" s="1"/>
  <c r="AQ44" i="69" s="1"/>
  <c r="AU35" i="204"/>
  <c r="L35" i="204" s="1"/>
  <c r="AQ43" i="69" s="1"/>
  <c r="AE22" i="204"/>
  <c r="AE23" i="204"/>
  <c r="V12" i="204"/>
  <c r="V13" i="204"/>
  <c r="AM22" i="204"/>
  <c r="AM23" i="204"/>
  <c r="AM24" i="204"/>
  <c r="AM25" i="204"/>
  <c r="AM26" i="204"/>
  <c r="AM27" i="204"/>
  <c r="AM28" i="204"/>
  <c r="L28" i="204" s="1"/>
  <c r="AQ36" i="69" s="1"/>
  <c r="AD20" i="204"/>
  <c r="AD21" i="204"/>
  <c r="L21" i="204" s="1"/>
  <c r="AQ29" i="69" s="1"/>
  <c r="BA56" i="204"/>
  <c r="BA57" i="204"/>
  <c r="AZ55" i="204"/>
  <c r="L55" i="204" s="1"/>
  <c r="AQ63" i="69" s="1"/>
  <c r="AZ56" i="204"/>
  <c r="W14" i="204"/>
  <c r="L14" i="204" s="1"/>
  <c r="AQ22" i="69" s="1"/>
  <c r="W13" i="204"/>
  <c r="AO29" i="204"/>
  <c r="L29" i="204" s="1"/>
  <c r="AQ37" i="69" s="1"/>
  <c r="AO30" i="204"/>
  <c r="Y16" i="204"/>
  <c r="Y15" i="204"/>
  <c r="L15" i="204" s="1"/>
  <c r="AQ23" i="69" s="1"/>
  <c r="AP30" i="204"/>
  <c r="AP31" i="204"/>
  <c r="Z17" i="204"/>
  <c r="L17" i="204" s="1"/>
  <c r="AQ25" i="69" s="1"/>
  <c r="Z16" i="204"/>
  <c r="AG22" i="204"/>
  <c r="AG23" i="204"/>
  <c r="AV38" i="204"/>
  <c r="L38" i="204" s="1"/>
  <c r="AQ46" i="69" s="1"/>
  <c r="AV37" i="204"/>
  <c r="L37" i="204" s="1"/>
  <c r="AQ45" i="69" s="1"/>
  <c r="AL22" i="204"/>
  <c r="AL23" i="204"/>
  <c r="AL24" i="204"/>
  <c r="AL25" i="204"/>
  <c r="AL26" i="204"/>
  <c r="AL27" i="204"/>
  <c r="AH22" i="204"/>
  <c r="AH23" i="204"/>
  <c r="AH24" i="204"/>
  <c r="U12" i="204"/>
  <c r="U11" i="204"/>
  <c r="L11" i="204" s="1"/>
  <c r="AQ19" i="69" s="1"/>
  <c r="AF22" i="204"/>
  <c r="AF23" i="204"/>
  <c r="AQ32" i="204"/>
  <c r="AQ31" i="204"/>
  <c r="AK22" i="204"/>
  <c r="AK23" i="204"/>
  <c r="AK24" i="204"/>
  <c r="AK25" i="204"/>
  <c r="AK26" i="204"/>
  <c r="AI22" i="204"/>
  <c r="AI23" i="204"/>
  <c r="AI24" i="204"/>
  <c r="BB58" i="204"/>
  <c r="BB57" i="204"/>
  <c r="AJ22" i="204"/>
  <c r="AJ23" i="204"/>
  <c r="AJ24" i="204"/>
  <c r="AJ25" i="204"/>
  <c r="AR33" i="204"/>
  <c r="AR32" i="204"/>
  <c r="C71" i="193"/>
  <c r="C76" i="191"/>
  <c r="L33" i="204" l="1"/>
  <c r="AQ41" i="69" s="1"/>
  <c r="AZ6" i="203"/>
  <c r="AE6" i="203"/>
  <c r="T6" i="203"/>
  <c r="T11" i="203" s="1"/>
  <c r="L11" i="203" s="1"/>
  <c r="AR19" i="69" s="1"/>
  <c r="AX6" i="203"/>
  <c r="BD6" i="203"/>
  <c r="AQ6" i="203"/>
  <c r="BS6" i="203"/>
  <c r="BE6" i="203"/>
  <c r="X6" i="203"/>
  <c r="X15" i="203" s="1"/>
  <c r="L15" i="203" s="1"/>
  <c r="AR23" i="69" s="1"/>
  <c r="AP6" i="203"/>
  <c r="AC6" i="203"/>
  <c r="AC20" i="203" s="1"/>
  <c r="AI6" i="203"/>
  <c r="BV6" i="203"/>
  <c r="BY6" i="203"/>
  <c r="AD6" i="203"/>
  <c r="BB6" i="203"/>
  <c r="AY6" i="203"/>
  <c r="BQ6" i="203"/>
  <c r="AH6" i="203"/>
  <c r="BA6" i="203"/>
  <c r="Z6" i="203"/>
  <c r="Z17" i="203" s="1"/>
  <c r="L17" i="203" s="1"/>
  <c r="AR25" i="69" s="1"/>
  <c r="BF6" i="203"/>
  <c r="BU6" i="203"/>
  <c r="AJ6" i="203"/>
  <c r="AK6" i="203"/>
  <c r="CA6" i="203"/>
  <c r="BH6" i="203"/>
  <c r="AF6" i="203"/>
  <c r="BK6" i="203"/>
  <c r="AG6" i="203"/>
  <c r="BL6" i="203"/>
  <c r="BT6" i="203"/>
  <c r="BJ6" i="203"/>
  <c r="BG6" i="203"/>
  <c r="BM6" i="203"/>
  <c r="BI6" i="203"/>
  <c r="BC6" i="203"/>
  <c r="AB6" i="203"/>
  <c r="AB19" i="203" s="1"/>
  <c r="L19" i="203" s="1"/>
  <c r="AR27" i="69" s="1"/>
  <c r="BR6" i="203"/>
  <c r="BZ6" i="203"/>
  <c r="AM6" i="203"/>
  <c r="AL6" i="203"/>
  <c r="AA6" i="203"/>
  <c r="AA18" i="203" s="1"/>
  <c r="L18" i="203" s="1"/>
  <c r="AR26" i="69" s="1"/>
  <c r="AW6" i="203"/>
  <c r="BW6" i="203"/>
  <c r="AN6" i="203"/>
  <c r="BP6" i="203"/>
  <c r="R6" i="203"/>
  <c r="R9" i="203" s="1"/>
  <c r="L9" i="203" s="1"/>
  <c r="AR17" i="69" s="1"/>
  <c r="Y6" i="203"/>
  <c r="Y16" i="203" s="1"/>
  <c r="L16" i="203" s="1"/>
  <c r="AR24" i="69" s="1"/>
  <c r="BX6" i="203"/>
  <c r="AU6" i="203"/>
  <c r="AV6" i="203"/>
  <c r="BN6" i="203"/>
  <c r="AO6" i="203"/>
  <c r="U6" i="203"/>
  <c r="U12" i="203" s="1"/>
  <c r="L12" i="203" s="1"/>
  <c r="AR20" i="69" s="1"/>
  <c r="AT6" i="203"/>
  <c r="W6" i="203"/>
  <c r="W14" i="203" s="1"/>
  <c r="L14" i="203" s="1"/>
  <c r="AR22" i="69" s="1"/>
  <c r="AS6" i="203"/>
  <c r="S6" i="203"/>
  <c r="S10" i="203" s="1"/>
  <c r="L10" i="203" s="1"/>
  <c r="AR18" i="69" s="1"/>
  <c r="AR6" i="203"/>
  <c r="V6" i="203"/>
  <c r="V13" i="203" s="1"/>
  <c r="L13" i="203" s="1"/>
  <c r="AR21" i="69" s="1"/>
  <c r="L58" i="204"/>
  <c r="AQ66" i="69" s="1"/>
  <c r="L27" i="204"/>
  <c r="AQ35" i="69" s="1"/>
  <c r="L26" i="204"/>
  <c r="AQ34" i="69" s="1"/>
  <c r="L30" i="204"/>
  <c r="AQ38" i="69" s="1"/>
  <c r="L12" i="204"/>
  <c r="AQ20" i="69" s="1"/>
  <c r="L31" i="204"/>
  <c r="AQ39" i="69" s="1"/>
  <c r="L25" i="204"/>
  <c r="AQ33" i="69" s="1"/>
  <c r="L32" i="204"/>
  <c r="AQ40" i="69" s="1"/>
  <c r="L20" i="204"/>
  <c r="AQ28" i="69" s="1"/>
  <c r="L13" i="204"/>
  <c r="AQ21" i="69" s="1"/>
  <c r="L24" i="204"/>
  <c r="AQ32" i="69" s="1"/>
  <c r="L56" i="204"/>
  <c r="AQ64" i="69" s="1"/>
  <c r="L23" i="204"/>
  <c r="AQ31" i="69" s="1"/>
  <c r="L22" i="204"/>
  <c r="AQ30" i="69" s="1"/>
  <c r="L16" i="204"/>
  <c r="AQ24" i="69" s="1"/>
  <c r="L57" i="204"/>
  <c r="AQ65" i="69" s="1"/>
  <c r="D69" i="69"/>
  <c r="D57" i="69"/>
  <c r="D70" i="69"/>
  <c r="D51" i="69"/>
  <c r="D71" i="69"/>
  <c r="D55" i="69"/>
  <c r="D50" i="69"/>
  <c r="D47" i="69"/>
  <c r="D60" i="69"/>
  <c r="D53" i="69"/>
  <c r="D49" i="69"/>
  <c r="D59" i="69"/>
  <c r="D45" i="69"/>
  <c r="D63" i="69"/>
  <c r="D67" i="69"/>
  <c r="D18" i="69"/>
  <c r="D44" i="69"/>
  <c r="D25" i="69"/>
  <c r="D28" i="69"/>
  <c r="D19" i="69"/>
  <c r="D26" i="69"/>
  <c r="D22" i="69"/>
  <c r="D23" i="69"/>
  <c r="D20" i="69"/>
  <c r="D21" i="69"/>
  <c r="D27" i="69"/>
  <c r="D24" i="69"/>
  <c r="BA57" i="203" l="1"/>
  <c r="BA56" i="203"/>
  <c r="AR33" i="203"/>
  <c r="AR32" i="203"/>
  <c r="AJ24" i="203"/>
  <c r="AJ21" i="203"/>
  <c r="AI23" i="203"/>
  <c r="AI21" i="203"/>
  <c r="AS34" i="203"/>
  <c r="AS33" i="203"/>
  <c r="AN29" i="203"/>
  <c r="AN28" i="203"/>
  <c r="AP31" i="203"/>
  <c r="AP30" i="203"/>
  <c r="AO30" i="203"/>
  <c r="AO29" i="203"/>
  <c r="AL23" i="203"/>
  <c r="AL21" i="203"/>
  <c r="AQ32" i="203"/>
  <c r="AQ31" i="203"/>
  <c r="AM24" i="203"/>
  <c r="AM21" i="203"/>
  <c r="AY51" i="203"/>
  <c r="L51" i="203" s="1"/>
  <c r="AR59" i="69" s="1"/>
  <c r="AY50" i="203"/>
  <c r="L50" i="203" s="1"/>
  <c r="AR58" i="69" s="1"/>
  <c r="AV38" i="203"/>
  <c r="L38" i="203" s="1"/>
  <c r="AR46" i="69" s="1"/>
  <c r="AV37" i="203"/>
  <c r="L37" i="203" s="1"/>
  <c r="AR45" i="69" s="1"/>
  <c r="AF23" i="203"/>
  <c r="AF21" i="203"/>
  <c r="BB58" i="203"/>
  <c r="BB57" i="203"/>
  <c r="AX46" i="203"/>
  <c r="L46" i="203" s="1"/>
  <c r="AR54" i="69" s="1"/>
  <c r="AX45" i="203"/>
  <c r="L45" i="203" s="1"/>
  <c r="AR53" i="69" s="1"/>
  <c r="AG23" i="203"/>
  <c r="AG21" i="203"/>
  <c r="AU36" i="203"/>
  <c r="L36" i="203" s="1"/>
  <c r="AR44" i="69" s="1"/>
  <c r="AU35" i="203"/>
  <c r="AD21" i="203"/>
  <c r="AD20" i="203"/>
  <c r="L20" i="203" s="1"/>
  <c r="AR28" i="69" s="1"/>
  <c r="AW41" i="203"/>
  <c r="L41" i="203" s="1"/>
  <c r="AR49" i="69" s="1"/>
  <c r="AW40" i="203"/>
  <c r="L40" i="203" s="1"/>
  <c r="AR48" i="69" s="1"/>
  <c r="AE22" i="203"/>
  <c r="AE21" i="203"/>
  <c r="AT35" i="203"/>
  <c r="AT34" i="203"/>
  <c r="AH24" i="203"/>
  <c r="AH21" i="203"/>
  <c r="BC59" i="203"/>
  <c r="L59" i="203" s="1"/>
  <c r="AR67" i="69" s="1"/>
  <c r="BC58" i="203"/>
  <c r="AK24" i="203"/>
  <c r="AK21" i="203"/>
  <c r="AZ56" i="203"/>
  <c r="AZ55" i="203"/>
  <c r="L55" i="203" s="1"/>
  <c r="AR63" i="69" s="1"/>
  <c r="AK22" i="203"/>
  <c r="AE23" i="203"/>
  <c r="AF22" i="203"/>
  <c r="AK25" i="203"/>
  <c r="AM26" i="203"/>
  <c r="AM22" i="203"/>
  <c r="AM25" i="203"/>
  <c r="AM28" i="203"/>
  <c r="L28" i="203" s="1"/>
  <c r="AR36" i="69" s="1"/>
  <c r="AM27" i="203"/>
  <c r="AG22" i="203"/>
  <c r="AH22" i="203"/>
  <c r="AH23" i="203"/>
  <c r="AL27" i="203"/>
  <c r="AL26" i="203"/>
  <c r="AL22" i="203"/>
  <c r="AL24" i="203"/>
  <c r="AL25" i="203"/>
  <c r="AK26" i="203"/>
  <c r="AI22" i="203"/>
  <c r="AK23" i="203"/>
  <c r="AI24" i="203"/>
  <c r="AJ22" i="203"/>
  <c r="AM23" i="203"/>
  <c r="AJ25" i="203"/>
  <c r="AJ23" i="203"/>
  <c r="D61" i="69"/>
  <c r="D56" i="69"/>
  <c r="D52" i="69"/>
  <c r="D68" i="69"/>
  <c r="D62" i="69"/>
  <c r="D46" i="69"/>
  <c r="D36" i="69"/>
  <c r="D54" i="69"/>
  <c r="D17" i="69"/>
  <c r="D58" i="69"/>
  <c r="D48" i="69"/>
  <c r="D43" i="69"/>
  <c r="D39" i="69"/>
  <c r="D66" i="69"/>
  <c r="D35" i="69"/>
  <c r="D32" i="69"/>
  <c r="D33" i="69"/>
  <c r="D34" i="69"/>
  <c r="L56" i="203" l="1"/>
  <c r="AR64" i="69" s="1"/>
  <c r="L29" i="203"/>
  <c r="AR37" i="69" s="1"/>
  <c r="L30" i="203"/>
  <c r="AR38" i="69" s="1"/>
  <c r="L34" i="203"/>
  <c r="AR42" i="69" s="1"/>
  <c r="L32" i="203"/>
  <c r="AR40" i="69" s="1"/>
  <c r="L35" i="203"/>
  <c r="AR43" i="69" s="1"/>
  <c r="L58" i="203"/>
  <c r="AR66" i="69" s="1"/>
  <c r="AR70" i="69"/>
  <c r="E70" i="69" s="1"/>
  <c r="AR71" i="69"/>
  <c r="E71" i="69" s="1"/>
  <c r="AR68" i="69"/>
  <c r="E68" i="69" s="1"/>
  <c r="AR69" i="69"/>
  <c r="E69" i="69" s="1"/>
  <c r="L33" i="203"/>
  <c r="AR41" i="69" s="1"/>
  <c r="L21" i="203"/>
  <c r="AR29" i="69" s="1"/>
  <c r="L31" i="203"/>
  <c r="AR39" i="69" s="1"/>
  <c r="L57" i="203"/>
  <c r="AR65" i="69" s="1"/>
  <c r="L27" i="203"/>
  <c r="AR35" i="69" s="1"/>
  <c r="L26" i="203"/>
  <c r="AR34" i="69" s="1"/>
  <c r="L22" i="203"/>
  <c r="AR30" i="69" s="1"/>
  <c r="L24" i="203"/>
  <c r="AR32" i="69" s="1"/>
  <c r="L23" i="203"/>
  <c r="AR31" i="69" s="1"/>
  <c r="L25" i="203"/>
  <c r="AR33" i="69" s="1"/>
  <c r="D31" i="69"/>
  <c r="D42" i="69"/>
  <c r="D38" i="69"/>
  <c r="E67" i="69"/>
  <c r="D40" i="69"/>
  <c r="D64" i="69"/>
  <c r="D65" i="69"/>
  <c r="D30" i="69"/>
  <c r="D37" i="69"/>
  <c r="D29" i="69"/>
  <c r="D41" i="69"/>
  <c r="BJ23" i="4" a="1"/>
  <c r="AP15" i="69" l="1"/>
  <c r="A15" i="69"/>
  <c r="BJ59" i="4"/>
  <c r="BK59" i="4" s="1"/>
  <c r="BJ81" i="4"/>
  <c r="BK81" i="4" s="1"/>
  <c r="BJ25" i="4"/>
  <c r="BK25" i="4" s="1"/>
  <c r="BJ47" i="4"/>
  <c r="BK47" i="4" s="1"/>
  <c r="BJ77" i="4"/>
  <c r="BK77" i="4" s="1"/>
  <c r="BJ84" i="4"/>
  <c r="BK84" i="4" s="1"/>
  <c r="BJ28" i="4"/>
  <c r="BK28" i="4" s="1"/>
  <c r="BJ36" i="4"/>
  <c r="BK36" i="4" s="1"/>
  <c r="BJ44" i="4"/>
  <c r="BK44" i="4" s="1"/>
  <c r="BJ53" i="4"/>
  <c r="BK53" i="4" s="1"/>
  <c r="BJ67" i="4"/>
  <c r="BK67" i="4" s="1"/>
  <c r="BJ55" i="4"/>
  <c r="BK55" i="4" s="1"/>
  <c r="BJ86" i="4"/>
  <c r="BK86" i="4" s="1"/>
  <c r="BJ30" i="4"/>
  <c r="BK30" i="4" s="1"/>
  <c r="BJ46" i="4"/>
  <c r="BK46" i="4" s="1"/>
  <c r="BJ63" i="4"/>
  <c r="BK63" i="4" s="1"/>
  <c r="BJ79" i="4"/>
  <c r="BK79" i="4" s="1"/>
  <c r="BJ52" i="4"/>
  <c r="BK52" i="4" s="1"/>
  <c r="BJ74" i="4"/>
  <c r="BK74" i="4" s="1"/>
  <c r="BJ89" i="4"/>
  <c r="BK89" i="4" s="1"/>
  <c r="BJ40" i="4"/>
  <c r="BK40" i="4" s="1"/>
  <c r="BJ78" i="4"/>
  <c r="BK78" i="4" s="1"/>
  <c r="BJ85" i="4"/>
  <c r="BK85" i="4" s="1"/>
  <c r="BJ29" i="4"/>
  <c r="BK29" i="4" s="1"/>
  <c r="BJ37" i="4"/>
  <c r="BK37" i="4" s="1"/>
  <c r="BJ45" i="4"/>
  <c r="BK45" i="4" s="1"/>
  <c r="BJ33" i="4"/>
  <c r="BK33" i="4" s="1"/>
  <c r="BJ38" i="4"/>
  <c r="BK38" i="4" s="1"/>
  <c r="BJ48" i="4"/>
  <c r="BK48" i="4" s="1"/>
  <c r="BJ71" i="4"/>
  <c r="BK71" i="4" s="1"/>
  <c r="BJ23" i="4"/>
  <c r="BK23" i="4" s="1"/>
  <c r="BJ54" i="4"/>
  <c r="BK54" i="4" s="1"/>
  <c r="BJ60" i="4"/>
  <c r="BK60" i="4" s="1"/>
  <c r="BJ82" i="4"/>
  <c r="BK82" i="4" s="1"/>
  <c r="BJ26" i="4"/>
  <c r="BK26" i="4" s="1"/>
  <c r="BJ87" i="4"/>
  <c r="BK87" i="4" s="1"/>
  <c r="BJ31" i="4"/>
  <c r="BK31" i="4" s="1"/>
  <c r="BJ61" i="4"/>
  <c r="BK61" i="4" s="1"/>
  <c r="BJ75" i="4"/>
  <c r="BK75" i="4" s="1"/>
  <c r="BJ90" i="4"/>
  <c r="BK90" i="4" s="1"/>
  <c r="BJ41" i="4"/>
  <c r="BK41" i="4" s="1"/>
  <c r="BJ56" i="4"/>
  <c r="BK56" i="4" s="1"/>
  <c r="BJ64" i="4"/>
  <c r="BK64" i="4" s="1"/>
  <c r="BJ72" i="4"/>
  <c r="BK72" i="4" s="1"/>
  <c r="BJ80" i="4"/>
  <c r="BK80" i="4" s="1"/>
  <c r="BJ24" i="4"/>
  <c r="BK24" i="4" s="1"/>
  <c r="BJ62" i="4"/>
  <c r="BK62" i="4" s="1"/>
  <c r="BJ68" i="4"/>
  <c r="BK68" i="4" s="1"/>
  <c r="BJ34" i="4"/>
  <c r="BK34" i="4" s="1"/>
  <c r="BJ49" i="4"/>
  <c r="BK49" i="4" s="1"/>
  <c r="BJ57" i="4"/>
  <c r="BK57" i="4" s="1"/>
  <c r="BJ65" i="4"/>
  <c r="BK65" i="4" s="1"/>
  <c r="BJ73" i="4"/>
  <c r="BK73" i="4" s="1"/>
  <c r="BJ88" i="4"/>
  <c r="BK88" i="4" s="1"/>
  <c r="BJ39" i="4"/>
  <c r="BK39" i="4" s="1"/>
  <c r="BJ69" i="4"/>
  <c r="BK69" i="4" s="1"/>
  <c r="BJ83" i="4"/>
  <c r="BK83" i="4" s="1"/>
  <c r="BJ27" i="4"/>
  <c r="BK27" i="4" s="1"/>
  <c r="BJ42" i="4"/>
  <c r="BK42" i="4" s="1"/>
  <c r="BJ50" i="4"/>
  <c r="BK50" i="4" s="1"/>
  <c r="BJ58" i="4"/>
  <c r="BK58" i="4" s="1"/>
  <c r="BJ66" i="4"/>
  <c r="BK66" i="4" s="1"/>
  <c r="BJ32" i="4"/>
  <c r="BK32" i="4" s="1"/>
  <c r="BJ70" i="4"/>
  <c r="BK70" i="4" s="1"/>
  <c r="BJ76" i="4"/>
  <c r="BK76" i="4" s="1"/>
  <c r="BJ91" i="4"/>
  <c r="BK91" i="4" s="1"/>
  <c r="BJ35" i="4"/>
  <c r="BK35" i="4" s="1"/>
  <c r="BJ43" i="4"/>
  <c r="BK43" i="4" s="1"/>
  <c r="BJ51" i="4"/>
  <c r="BK51" i="4" s="1"/>
  <c r="AC69" i="43" l="1"/>
  <c r="AD69" i="43" s="1"/>
  <c r="C58" i="187" s="1"/>
  <c r="AC24" i="43"/>
  <c r="AD24" i="43" s="1"/>
  <c r="C13" i="187" s="1"/>
  <c r="AC80" i="43"/>
  <c r="AD80" i="43" s="1"/>
  <c r="C69" i="187" s="1"/>
  <c r="AC77" i="43"/>
  <c r="AD77" i="43" s="1"/>
  <c r="C66" i="187" s="1"/>
  <c r="AC23" i="43"/>
  <c r="AD23" i="43" s="1"/>
  <c r="C12" i="187" s="1"/>
  <c r="AC76" i="43"/>
  <c r="AD76" i="43" s="1"/>
  <c r="C65" i="187" s="1"/>
  <c r="AC40" i="43"/>
  <c r="AD40" i="43" s="1"/>
  <c r="C29" i="187" s="1"/>
  <c r="AC31" i="43"/>
  <c r="AC42" i="43"/>
  <c r="AC38" i="43"/>
  <c r="AD38" i="43" s="1"/>
  <c r="C27" i="187" s="1"/>
  <c r="AC17" i="43"/>
  <c r="AC44" i="43"/>
  <c r="AD44" i="43" s="1"/>
  <c r="C33" i="187" s="1"/>
  <c r="AC22" i="43"/>
  <c r="AD22" i="43" s="1"/>
  <c r="C11" i="187" s="1"/>
  <c r="AC39" i="43"/>
  <c r="AC36" i="43"/>
  <c r="AC37" i="43"/>
  <c r="AD37" i="43" s="1"/>
  <c r="C26" i="187" s="1"/>
  <c r="AC50" i="43"/>
  <c r="AD50" i="43" s="1"/>
  <c r="C39" i="187" s="1"/>
  <c r="AC21" i="43"/>
  <c r="AD21" i="43" s="1"/>
  <c r="C10" i="187" s="1"/>
  <c r="AC53" i="43"/>
  <c r="AD53" i="43" s="1"/>
  <c r="C42" i="187" s="1"/>
  <c r="AC56" i="43"/>
  <c r="AD56" i="43" s="1"/>
  <c r="C45" i="187" s="1"/>
  <c r="AC47" i="43"/>
  <c r="AD47" i="43" s="1"/>
  <c r="C36" i="187" s="1"/>
  <c r="AC75" i="43"/>
  <c r="AD75" i="43" s="1"/>
  <c r="C64" i="187" s="1"/>
  <c r="AC54" i="43"/>
  <c r="AD54" i="43" s="1"/>
  <c r="C43" i="187" s="1"/>
  <c r="AC63" i="43"/>
  <c r="AD63" i="43" s="1"/>
  <c r="C52" i="187" s="1"/>
  <c r="AC46" i="43"/>
  <c r="AD46" i="43" s="1"/>
  <c r="C35" i="187" s="1"/>
  <c r="AC60" i="43"/>
  <c r="AD60" i="43" s="1"/>
  <c r="C49" i="187" s="1"/>
  <c r="AC18" i="43"/>
  <c r="AD18" i="43" s="1"/>
  <c r="C7" i="187" s="1"/>
  <c r="AC20" i="43"/>
  <c r="AD20" i="43" s="1"/>
  <c r="C9" i="187" s="1"/>
  <c r="AC45" i="43"/>
  <c r="AD45" i="43" s="1"/>
  <c r="C34" i="187" s="1"/>
  <c r="AC28" i="43"/>
  <c r="AC78" i="43"/>
  <c r="AD78" i="43" s="1"/>
  <c r="C67" i="187" s="1"/>
  <c r="AC62" i="43"/>
  <c r="AD62" i="43" s="1"/>
  <c r="C51" i="187" s="1"/>
  <c r="AC67" i="43"/>
  <c r="AD67" i="43" s="1"/>
  <c r="C56" i="187" s="1"/>
  <c r="AC48" i="43"/>
  <c r="AD48" i="43" s="1"/>
  <c r="C37" i="187" s="1"/>
  <c r="AC35" i="43"/>
  <c r="AD35" i="43" s="1"/>
  <c r="C24" i="187" s="1"/>
  <c r="AC70" i="43"/>
  <c r="AD70" i="43" s="1"/>
  <c r="C59" i="187" s="1"/>
  <c r="AC71" i="43"/>
  <c r="AD71" i="43" s="1"/>
  <c r="C60" i="187" s="1"/>
  <c r="AC55" i="43"/>
  <c r="AD55" i="43" s="1"/>
  <c r="C44" i="187" s="1"/>
  <c r="AC43" i="43"/>
  <c r="AD43" i="43" s="1"/>
  <c r="C32" i="187" s="1"/>
  <c r="AC19" i="43"/>
  <c r="AD19" i="43" s="1"/>
  <c r="C8" i="187" s="1"/>
  <c r="AC41" i="43"/>
  <c r="AD41" i="43" s="1"/>
  <c r="C30" i="187" s="1"/>
  <c r="AC57" i="43"/>
  <c r="AD57" i="43" s="1"/>
  <c r="C46" i="187" s="1"/>
  <c r="AC81" i="43"/>
  <c r="AD81" i="43" s="1"/>
  <c r="C70" i="187" s="1"/>
  <c r="AC72" i="43"/>
  <c r="AD72" i="43" s="1"/>
  <c r="C61" i="187" s="1"/>
  <c r="AC34" i="43"/>
  <c r="AD34" i="43" s="1"/>
  <c r="C23" i="187" s="1"/>
  <c r="AC51" i="43"/>
  <c r="AD51" i="43" s="1"/>
  <c r="C40" i="187" s="1"/>
  <c r="AC79" i="43"/>
  <c r="AD79" i="43" s="1"/>
  <c r="C68" i="187" s="1"/>
  <c r="AC73" i="43"/>
  <c r="AD73" i="43" s="1"/>
  <c r="C62" i="187" s="1"/>
  <c r="AC66" i="43"/>
  <c r="AD66" i="43" s="1"/>
  <c r="C55" i="187" s="1"/>
  <c r="AC27" i="43"/>
  <c r="AD27" i="43" s="1"/>
  <c r="C16" i="187" s="1"/>
  <c r="AC30" i="43"/>
  <c r="AD30" i="43" s="1"/>
  <c r="C19" i="187" s="1"/>
  <c r="AC25" i="43"/>
  <c r="AC64" i="43"/>
  <c r="AD64" i="43" s="1"/>
  <c r="C53" i="187" s="1"/>
  <c r="AC58" i="43"/>
  <c r="AD58" i="43" s="1"/>
  <c r="C47" i="187" s="1"/>
  <c r="AC65" i="43"/>
  <c r="AD65" i="43" s="1"/>
  <c r="C54" i="187" s="1"/>
  <c r="AC52" i="43"/>
  <c r="AD52" i="43" s="1"/>
  <c r="C41" i="187" s="1"/>
  <c r="AC74" i="43"/>
  <c r="AD74" i="43" s="1"/>
  <c r="C63" i="187" s="1"/>
  <c r="AC29" i="43"/>
  <c r="AD29" i="43" s="1"/>
  <c r="C18" i="187" s="1"/>
  <c r="AC49" i="43"/>
  <c r="AD49" i="43" s="1"/>
  <c r="C38" i="187" s="1"/>
  <c r="AC32" i="43"/>
  <c r="AD32" i="43" s="1"/>
  <c r="C21" i="187" s="1"/>
  <c r="AC61" i="43"/>
  <c r="AD61" i="43" s="1"/>
  <c r="C50" i="187" s="1"/>
  <c r="AC68" i="43"/>
  <c r="AD68" i="43" s="1"/>
  <c r="C57" i="187" s="1"/>
  <c r="AC33" i="43"/>
  <c r="AD33" i="43" s="1"/>
  <c r="C22" i="187" s="1"/>
  <c r="AC26" i="43"/>
  <c r="AD26" i="43" s="1"/>
  <c r="C15" i="187" s="1"/>
  <c r="AC59" i="43"/>
  <c r="AD59" i="43" s="1"/>
  <c r="C48" i="187" s="1"/>
  <c r="W20" i="69"/>
  <c r="X20" i="69" s="1"/>
  <c r="Z20" i="69" s="1"/>
  <c r="E20" i="69" s="1"/>
  <c r="W31" i="69"/>
  <c r="X31" i="69" s="1"/>
  <c r="Z31" i="69" s="1"/>
  <c r="E31" i="69" s="1"/>
  <c r="L48" i="69"/>
  <c r="M48" i="69" s="1"/>
  <c r="O48" i="69" s="1"/>
  <c r="E48" i="69" s="1"/>
  <c r="L65" i="69"/>
  <c r="M65" i="69" s="1"/>
  <c r="O65" i="69" s="1"/>
  <c r="E65" i="69" s="1"/>
  <c r="W35" i="69"/>
  <c r="X35" i="69" s="1"/>
  <c r="Z35" i="69" s="1"/>
  <c r="E35" i="69" s="1"/>
  <c r="W22" i="69"/>
  <c r="X22" i="69" s="1"/>
  <c r="Z22" i="69" s="1"/>
  <c r="E22" i="69" s="1"/>
  <c r="W19" i="69"/>
  <c r="X19" i="69" s="1"/>
  <c r="Z19" i="69" s="1"/>
  <c r="E19" i="69" s="1"/>
  <c r="W27" i="69"/>
  <c r="X27" i="69" s="1"/>
  <c r="Z27" i="69" s="1"/>
  <c r="E27" i="69" s="1"/>
  <c r="W30" i="69"/>
  <c r="X30" i="69" s="1"/>
  <c r="Z30" i="69" s="1"/>
  <c r="E30" i="69" s="1"/>
  <c r="L59" i="69"/>
  <c r="M59" i="69" s="1"/>
  <c r="O59" i="69" s="1"/>
  <c r="E59" i="69" s="1"/>
  <c r="L36" i="69"/>
  <c r="L55" i="69"/>
  <c r="M55" i="69" s="1"/>
  <c r="O55" i="69" s="1"/>
  <c r="E55" i="69" s="1"/>
  <c r="W32" i="69"/>
  <c r="X32" i="69" s="1"/>
  <c r="Z32" i="69" s="1"/>
  <c r="E32" i="69" s="1"/>
  <c r="W34" i="69"/>
  <c r="X34" i="69" s="1"/>
  <c r="Z34" i="69" s="1"/>
  <c r="E34" i="69" s="1"/>
  <c r="L57" i="69"/>
  <c r="M57" i="69" s="1"/>
  <c r="O57" i="69" s="1"/>
  <c r="E57" i="69" s="1"/>
  <c r="L42" i="69"/>
  <c r="M42" i="69" s="1"/>
  <c r="O42" i="69" s="1"/>
  <c r="E42" i="69" s="1"/>
  <c r="L56" i="69"/>
  <c r="M56" i="69" s="1"/>
  <c r="O56" i="69" s="1"/>
  <c r="E56" i="69" s="1"/>
  <c r="W26" i="69"/>
  <c r="X26" i="69" s="1"/>
  <c r="Z26" i="69" s="1"/>
  <c r="E26" i="69" s="1"/>
  <c r="W24" i="69"/>
  <c r="X24" i="69" s="1"/>
  <c r="Z24" i="69" s="1"/>
  <c r="E24" i="69" s="1"/>
  <c r="W18" i="69"/>
  <c r="X18" i="69" s="1"/>
  <c r="Z18" i="69" s="1"/>
  <c r="E18" i="69" s="1"/>
  <c r="L43" i="69"/>
  <c r="M43" i="69" s="1"/>
  <c r="O43" i="69" s="1"/>
  <c r="E43" i="69" s="1"/>
  <c r="L52" i="69"/>
  <c r="M52" i="69" s="1"/>
  <c r="O52" i="69" s="1"/>
  <c r="E52" i="69" s="1"/>
  <c r="L46" i="69"/>
  <c r="M46" i="69" s="1"/>
  <c r="O46" i="69" s="1"/>
  <c r="E46" i="69" s="1"/>
  <c r="L44" i="69"/>
  <c r="M44" i="69" s="1"/>
  <c r="O44" i="69" s="1"/>
  <c r="E44" i="69" s="1"/>
  <c r="L40" i="69"/>
  <c r="M40" i="69" s="1"/>
  <c r="O40" i="69" s="1"/>
  <c r="E40" i="69" s="1"/>
  <c r="L58" i="69"/>
  <c r="M58" i="69" s="1"/>
  <c r="O58" i="69" s="1"/>
  <c r="E58" i="69" s="1"/>
  <c r="L54" i="69"/>
  <c r="M54" i="69" s="1"/>
  <c r="O54" i="69" s="1"/>
  <c r="E54" i="69" s="1"/>
  <c r="W21" i="69"/>
  <c r="X21" i="69" s="1"/>
  <c r="Z21" i="69" s="1"/>
  <c r="E21" i="69" s="1"/>
  <c r="W23" i="69"/>
  <c r="X23" i="69" s="1"/>
  <c r="Z23" i="69" s="1"/>
  <c r="E23" i="69" s="1"/>
  <c r="L49" i="69"/>
  <c r="M49" i="69" s="1"/>
  <c r="O49" i="69" s="1"/>
  <c r="E49" i="69" s="1"/>
  <c r="W28" i="69"/>
  <c r="X28" i="69" s="1"/>
  <c r="Z28" i="69" s="1"/>
  <c r="E28" i="69" s="1"/>
  <c r="L60" i="69"/>
  <c r="M60" i="69" s="1"/>
  <c r="O60" i="69" s="1"/>
  <c r="E60" i="69" s="1"/>
  <c r="W17" i="69"/>
  <c r="W25" i="69"/>
  <c r="X25" i="69" s="1"/>
  <c r="Z25" i="69" s="1"/>
  <c r="E25" i="69" s="1"/>
  <c r="L39" i="69"/>
  <c r="M39" i="69" s="1"/>
  <c r="O39" i="69" s="1"/>
  <c r="E39" i="69" s="1"/>
  <c r="L51" i="69"/>
  <c r="M51" i="69" s="1"/>
  <c r="O51" i="69" s="1"/>
  <c r="E51" i="69" s="1"/>
  <c r="L45" i="69"/>
  <c r="M45" i="69" s="1"/>
  <c r="O45" i="69" s="1"/>
  <c r="E45" i="69" s="1"/>
  <c r="L53" i="69"/>
  <c r="M53" i="69" s="1"/>
  <c r="O53" i="69" s="1"/>
  <c r="E53" i="69" s="1"/>
  <c r="L63" i="69"/>
  <c r="M63" i="69" s="1"/>
  <c r="O63" i="69" s="1"/>
  <c r="E63" i="69" s="1"/>
  <c r="W33" i="69"/>
  <c r="X33" i="69" s="1"/>
  <c r="Z33" i="69" s="1"/>
  <c r="E33" i="69" s="1"/>
  <c r="L41" i="69"/>
  <c r="M41" i="69" s="1"/>
  <c r="O41" i="69" s="1"/>
  <c r="E41" i="69" s="1"/>
  <c r="W29" i="69"/>
  <c r="X29" i="69" s="1"/>
  <c r="Z29" i="69" s="1"/>
  <c r="E29" i="69" s="1"/>
  <c r="L50" i="69"/>
  <c r="M50" i="69" s="1"/>
  <c r="O50" i="69" s="1"/>
  <c r="E50" i="69" s="1"/>
  <c r="L47" i="69"/>
  <c r="M47" i="69" s="1"/>
  <c r="O47" i="69" s="1"/>
  <c r="E47" i="69" s="1"/>
  <c r="L62" i="69"/>
  <c r="M62" i="69" s="1"/>
  <c r="O62" i="69" s="1"/>
  <c r="E62" i="69" s="1"/>
  <c r="L38" i="69"/>
  <c r="M38" i="69" s="1"/>
  <c r="O38" i="69" s="1"/>
  <c r="E38" i="69" s="1"/>
  <c r="L64" i="69"/>
  <c r="M64" i="69" s="1"/>
  <c r="O64" i="69" s="1"/>
  <c r="E64" i="69" s="1"/>
  <c r="L66" i="69"/>
  <c r="M66" i="69" s="1"/>
  <c r="O66" i="69" s="1"/>
  <c r="E66" i="69" s="1"/>
  <c r="L61" i="69"/>
  <c r="M61" i="69" s="1"/>
  <c r="O61" i="69" s="1"/>
  <c r="E61" i="69" s="1"/>
  <c r="L37" i="69"/>
  <c r="M37" i="69" s="1"/>
  <c r="O37" i="69" s="1"/>
  <c r="E37" i="69" s="1"/>
  <c r="AD42" i="43" l="1"/>
  <c r="C31" i="187" s="1"/>
  <c r="AD28" i="43"/>
  <c r="C17" i="187" s="1"/>
  <c r="AD31" i="43"/>
  <c r="C20" i="187" s="1"/>
  <c r="AD25" i="43"/>
  <c r="C14" i="187" s="1"/>
  <c r="AD36" i="43"/>
  <c r="C25" i="187" s="1"/>
  <c r="AD39" i="43"/>
  <c r="C28" i="187" s="1"/>
  <c r="AF59" i="43"/>
  <c r="AF81" i="43"/>
  <c r="AF75" i="43"/>
  <c r="AF74" i="43"/>
  <c r="AF66" i="43"/>
  <c r="AF57" i="43"/>
  <c r="AF48" i="43"/>
  <c r="AF20" i="43"/>
  <c r="AF67" i="43"/>
  <c r="AF56" i="43"/>
  <c r="AF22" i="43"/>
  <c r="AF76" i="43"/>
  <c r="AF68" i="43"/>
  <c r="AF65" i="43"/>
  <c r="AF73" i="43"/>
  <c r="AF19" i="43"/>
  <c r="AF62" i="43"/>
  <c r="AF18" i="43"/>
  <c r="C7" i="32" s="1"/>
  <c r="AF53" i="43"/>
  <c r="AF44" i="43"/>
  <c r="AF23" i="43"/>
  <c r="AF61" i="43"/>
  <c r="AF58" i="43"/>
  <c r="AF79" i="43"/>
  <c r="AF78" i="43"/>
  <c r="AF21" i="43"/>
  <c r="AF77" i="43"/>
  <c r="AF64" i="43"/>
  <c r="AF51" i="43"/>
  <c r="AF55" i="43"/>
  <c r="AF46" i="43"/>
  <c r="AF50" i="43"/>
  <c r="AF80" i="43"/>
  <c r="AF71" i="43"/>
  <c r="AF63" i="43"/>
  <c r="AF49" i="43"/>
  <c r="AF72" i="43"/>
  <c r="AF70" i="43"/>
  <c r="AF45" i="43"/>
  <c r="AF54" i="43"/>
  <c r="AF69" i="43"/>
  <c r="AF27" i="43"/>
  <c r="P8" i="43"/>
  <c r="P9" i="43"/>
  <c r="AF33" i="43"/>
  <c r="AF41" i="43"/>
  <c r="AF38" i="43"/>
  <c r="AF43" i="43"/>
  <c r="X17" i="69"/>
  <c r="X8" i="69"/>
  <c r="X9" i="69"/>
  <c r="AF26" i="43"/>
  <c r="AF47" i="43"/>
  <c r="M8" i="69"/>
  <c r="M36" i="69"/>
  <c r="M9" i="69"/>
  <c r="AF30" i="43"/>
  <c r="AF32" i="43"/>
  <c r="AF60" i="43"/>
  <c r="AF40" i="43"/>
  <c r="AF37" i="43"/>
  <c r="AF35" i="43"/>
  <c r="AF52" i="43"/>
  <c r="AF34" i="43"/>
  <c r="AF24" i="43"/>
  <c r="AF29" i="43"/>
  <c r="AD8" i="43"/>
  <c r="AD17" i="43"/>
  <c r="C6" i="187" s="1"/>
  <c r="AD9" i="43"/>
  <c r="AF39" i="43" l="1"/>
  <c r="C28" i="32" s="1"/>
  <c r="AF42" i="43"/>
  <c r="C31" i="32" s="1"/>
  <c r="AF28" i="43"/>
  <c r="C17" i="32" s="1"/>
  <c r="AF31" i="43"/>
  <c r="C20" i="32" s="1"/>
  <c r="AF25" i="43"/>
  <c r="C14" i="32" s="1"/>
  <c r="AF36" i="43"/>
  <c r="C25" i="32" s="1"/>
  <c r="C18" i="32"/>
  <c r="C19" i="32"/>
  <c r="C43" i="32"/>
  <c r="C38" i="32"/>
  <c r="C39" i="32"/>
  <c r="C53" i="32"/>
  <c r="C68" i="32"/>
  <c r="C33" i="32"/>
  <c r="C8" i="32"/>
  <c r="C65" i="32"/>
  <c r="C9" i="32"/>
  <c r="C63" i="32"/>
  <c r="C32" i="32"/>
  <c r="C26" i="32"/>
  <c r="C27" i="32"/>
  <c r="C34" i="32"/>
  <c r="C52" i="32"/>
  <c r="C35" i="32"/>
  <c r="C66" i="32"/>
  <c r="C47" i="32"/>
  <c r="C42" i="32"/>
  <c r="C62" i="32"/>
  <c r="C11" i="32"/>
  <c r="C37" i="32"/>
  <c r="C64" i="32"/>
  <c r="C16" i="32"/>
  <c r="C41" i="32"/>
  <c r="C36" i="32"/>
  <c r="C30" i="32"/>
  <c r="C59" i="32"/>
  <c r="C60" i="32"/>
  <c r="C44" i="32"/>
  <c r="C10" i="32"/>
  <c r="C50" i="32"/>
  <c r="C54" i="32"/>
  <c r="C45" i="32"/>
  <c r="C46" i="32"/>
  <c r="C70" i="32"/>
  <c r="C29" i="32"/>
  <c r="C24" i="32"/>
  <c r="C15" i="32"/>
  <c r="C13" i="32"/>
  <c r="C23" i="32"/>
  <c r="C21" i="32"/>
  <c r="C22" i="32"/>
  <c r="C58" i="32"/>
  <c r="C61" i="32"/>
  <c r="C69" i="32"/>
  <c r="C40" i="32"/>
  <c r="C67" i="32"/>
  <c r="C12" i="32"/>
  <c r="C51" i="32"/>
  <c r="C57" i="32"/>
  <c r="C56" i="32"/>
  <c r="C55" i="32"/>
  <c r="C48" i="32"/>
  <c r="C49" i="32"/>
  <c r="O36" i="69"/>
  <c r="K15" i="69"/>
  <c r="AF17" i="43"/>
  <c r="AB15" i="43"/>
  <c r="Z17" i="69"/>
  <c r="V15" i="69"/>
  <c r="C73" i="192" l="1"/>
  <c r="C76" i="190"/>
  <c r="C77" i="188"/>
  <c r="C6" i="32"/>
  <c r="C73" i="32" s="1"/>
  <c r="AE15" i="43"/>
  <c r="J15" i="43" s="1"/>
  <c r="N15" i="69"/>
  <c r="E36" i="69"/>
  <c r="Y15" i="69"/>
  <c r="E17" i="69"/>
  <c r="E15" i="69" l="1"/>
  <c r="C77" i="189"/>
  <c r="C73" i="187"/>
  <c r="Q5" i="32" l="1" a="1"/>
  <c r="AN5" i="32" l="1"/>
  <c r="BF5" i="32"/>
  <c r="BX5" i="32"/>
  <c r="Y5" i="32"/>
  <c r="CB5" i="32"/>
  <c r="BL5" i="32"/>
  <c r="BS5" i="32"/>
  <c r="BG5" i="32"/>
  <c r="BQ5" i="32"/>
  <c r="U5" i="32"/>
  <c r="X5" i="32"/>
  <c r="AS5" i="32"/>
  <c r="T5" i="32"/>
  <c r="BY5" i="32"/>
  <c r="AU5" i="32"/>
  <c r="AM5" i="32"/>
  <c r="BV5" i="32"/>
  <c r="AP5" i="32"/>
  <c r="BJ5" i="32"/>
  <c r="BC5" i="32"/>
  <c r="BE5" i="32"/>
  <c r="AO5" i="32"/>
  <c r="BO5" i="32"/>
  <c r="AW5" i="32"/>
  <c r="BU5" i="32"/>
  <c r="BB5" i="32"/>
  <c r="BW5" i="32"/>
  <c r="R5" i="32"/>
  <c r="AQ5" i="32"/>
  <c r="AR5" i="32"/>
  <c r="AL5" i="32"/>
  <c r="S5" i="32"/>
  <c r="AT5" i="32"/>
  <c r="BK5" i="32"/>
  <c r="BH5" i="32"/>
  <c r="AY5" i="32"/>
  <c r="BI5" i="32"/>
  <c r="BA5" i="32"/>
  <c r="AV5" i="32"/>
  <c r="BM5" i="32"/>
  <c r="V5" i="32"/>
  <c r="BP5" i="32"/>
  <c r="BR5" i="32"/>
  <c r="BT5" i="32"/>
  <c r="CC5" i="32"/>
  <c r="BN5" i="32"/>
  <c r="W5" i="32"/>
  <c r="AX5" i="32"/>
  <c r="Q5" i="32"/>
  <c r="BZ5" i="32"/>
  <c r="AZ5" i="32"/>
  <c r="BD5" i="32"/>
  <c r="CA5" i="32"/>
  <c r="AA5" i="32"/>
  <c r="AF5" i="32"/>
  <c r="AC5" i="32"/>
  <c r="Z5" i="32"/>
  <c r="AH5" i="32"/>
  <c r="AI5" i="32"/>
  <c r="AJ5" i="32"/>
  <c r="AK5" i="32"/>
  <c r="AE5" i="32"/>
  <c r="AB5" i="32"/>
  <c r="AD5" i="32"/>
  <c r="AG5" i="32"/>
  <c r="Q32" i="189" a="1"/>
  <c r="Q11" i="193" a="1"/>
  <c r="Q55" i="193" a="1"/>
  <c r="Q27" i="191" a="1"/>
  <c r="Q26" i="191" a="1"/>
  <c r="Q8" i="193" a="1"/>
  <c r="Q7" i="191" a="1"/>
  <c r="Q63" i="193" a="1"/>
  <c r="Q39" i="189" a="1"/>
  <c r="Q10" i="193" a="1"/>
  <c r="Q6" i="193" a="1"/>
  <c r="Q21" i="191" a="1"/>
  <c r="Q22" i="189" a="1"/>
  <c r="Q66" i="193" a="1"/>
  <c r="Q12" i="191" a="1"/>
  <c r="Q26" i="193" a="1"/>
  <c r="Q42" i="191" a="1"/>
  <c r="Q53" i="189" a="1"/>
  <c r="Q10" i="191" a="1"/>
  <c r="Q34" i="193" a="1"/>
  <c r="Q24" i="191" a="1"/>
  <c r="Q16" i="189" a="1"/>
  <c r="Q25" i="189" a="1"/>
  <c r="Q70" i="191" a="1"/>
  <c r="Q29" i="191" a="1"/>
  <c r="Q28" i="191" a="1"/>
  <c r="Q49" i="189" a="1"/>
  <c r="Q47" i="189" a="1"/>
  <c r="Q14" i="189" a="1"/>
  <c r="Q23" i="189" a="1"/>
  <c r="Q31" i="193" a="1"/>
  <c r="Q60" i="191" a="1"/>
  <c r="Q24" i="189" a="1"/>
  <c r="Q9" i="191" a="1"/>
  <c r="Q31" i="189" a="1"/>
  <c r="Q44" i="191" a="1"/>
  <c r="Q33" i="189" a="1"/>
  <c r="Q37" i="189" a="1"/>
  <c r="Q63" i="189" a="1"/>
  <c r="Q57" i="191" a="1"/>
  <c r="Q34" i="191" a="1"/>
  <c r="Q15" i="189" a="1"/>
  <c r="Q40" i="189" a="1"/>
  <c r="Q28" i="193" a="1"/>
  <c r="Q29" i="193" a="1"/>
  <c r="Q27" i="193" a="1"/>
  <c r="Q51" i="189" a="1"/>
  <c r="Q55" i="191" a="1"/>
  <c r="Q35" i="189" a="1"/>
  <c r="Q7" i="189" a="1"/>
  <c r="Q29" i="189" a="1"/>
  <c r="Q22" i="191" a="1"/>
  <c r="Q18" i="189" a="1"/>
  <c r="Q43" i="191" a="1"/>
  <c r="Q21" i="193" a="1"/>
  <c r="Q56" i="191" a="1"/>
  <c r="Q39" i="191" a="1"/>
  <c r="Q6" i="191" a="1"/>
  <c r="Q30" i="191" a="1"/>
  <c r="Q42" i="193" a="1"/>
  <c r="Q30" i="189" a="1"/>
  <c r="Q47" i="191" a="1"/>
  <c r="Q65" i="189" a="1"/>
  <c r="Q38" i="189" a="1"/>
  <c r="Q18" i="191" a="1"/>
  <c r="Q54" i="189" a="1"/>
  <c r="Q62" i="193" a="1"/>
  <c r="Q19" i="193" a="1"/>
  <c r="Q44" i="189" a="1"/>
  <c r="Q41" i="191" a="1"/>
  <c r="Q13" i="191" a="1"/>
  <c r="Q26" i="189" a="1"/>
  <c r="Q20" i="191" a="1"/>
  <c r="Q45" i="191" a="1"/>
  <c r="Q54" i="191" a="1"/>
  <c r="Q60" i="189" a="1"/>
  <c r="Q8" i="191" a="1"/>
  <c r="Q23" i="191" a="1"/>
  <c r="Q69" i="191" a="1"/>
  <c r="Q63" i="191" a="1"/>
  <c r="Q68" i="189" a="1"/>
  <c r="Q36" i="191" a="1"/>
  <c r="Q42" i="189" a="1"/>
  <c r="Q51" i="193" a="1"/>
  <c r="Q10" i="189" a="1"/>
  <c r="Q19" i="191" a="1"/>
  <c r="Q38" i="191" a="1"/>
  <c r="Q72" i="189" a="1"/>
  <c r="Q64" i="189" a="1"/>
  <c r="Q33" i="193" a="1"/>
  <c r="Q25" i="193" a="1"/>
  <c r="Q51" i="191" a="1"/>
  <c r="Q21" i="189" a="1"/>
  <c r="Q46" i="191" a="1"/>
  <c r="Q38" i="193" a="1"/>
  <c r="Q14" i="191" a="1"/>
  <c r="Q19" i="189" a="1"/>
  <c r="Q56" i="189" a="1"/>
  <c r="Q27" i="189" a="1"/>
  <c r="Q17" i="189" a="1"/>
  <c r="Q34" i="189" a="1"/>
  <c r="Q65" i="191" a="1"/>
  <c r="Q56" i="193" a="1"/>
  <c r="Q47" i="193" a="1"/>
  <c r="Q20" i="189" a="1"/>
  <c r="Q6" i="189" a="1"/>
  <c r="Q32" i="191" a="1"/>
  <c r="Q41" i="189" a="1"/>
  <c r="Q71" i="191" a="1"/>
  <c r="Q48" i="191" a="1"/>
  <c r="Q52" i="193" a="1"/>
  <c r="Q11" i="191" a="1"/>
  <c r="Q37" i="193" a="1"/>
  <c r="Q59" i="191" a="1"/>
  <c r="Q18" i="193" a="1"/>
  <c r="Q65" i="193" a="1"/>
  <c r="Q66" i="191" a="1"/>
  <c r="Q13" i="193" a="1"/>
  <c r="Q14" i="193" a="1"/>
  <c r="Q61" i="193" a="1"/>
  <c r="Q35" i="191" a="1"/>
  <c r="Q46" i="189" a="1"/>
  <c r="Q36" i="193" a="1"/>
  <c r="Q43" i="193" a="1"/>
  <c r="Q16" i="191" a="1"/>
  <c r="Q50" i="189" a="1"/>
  <c r="Q6" i="192" a="1"/>
  <c r="Q53" i="191" a="1"/>
  <c r="Q71" i="189" a="1"/>
  <c r="Q7" i="193" a="1"/>
  <c r="Q64" i="191" a="1"/>
  <c r="Q12" i="189" a="1"/>
  <c r="Q58" i="191" a="1"/>
  <c r="Q49" i="191" a="1"/>
  <c r="Q57" i="189" a="1"/>
  <c r="Q59" i="189" a="1"/>
  <c r="Q32" i="193" a="1"/>
  <c r="Q15" i="193" a="1"/>
  <c r="Q11" i="189" a="1"/>
  <c r="Q22" i="193" a="1"/>
  <c r="Q62" i="191" a="1"/>
  <c r="Q57" i="193" a="1"/>
  <c r="Q67" i="189" a="1"/>
  <c r="Q54" i="193" a="1"/>
  <c r="Q8" i="189" a="1"/>
  <c r="Q28" i="189" a="1"/>
  <c r="Q66" i="189" a="1"/>
  <c r="Q36" i="189" a="1"/>
  <c r="Q52" i="191" a="1"/>
  <c r="Q23" i="193" a="1"/>
  <c r="Q53" i="193" a="1"/>
  <c r="Q60" i="193" a="1"/>
  <c r="Q9" i="189" a="1"/>
  <c r="Q16" i="193" a="1"/>
  <c r="Q70" i="189" a="1"/>
  <c r="Q17" i="193" a="1"/>
  <c r="Q37" i="191" a="1"/>
  <c r="Q44" i="193" a="1"/>
  <c r="Q17" i="191" a="1"/>
  <c r="Q48" i="193" a="1"/>
  <c r="Q52" i="189" a="1"/>
  <c r="Q13" i="189" a="1"/>
  <c r="Q68" i="191" a="1"/>
  <c r="Q61" i="189" a="1"/>
  <c r="Q67" i="191" a="1"/>
  <c r="Q58" i="189" a="1"/>
  <c r="Q49" i="193" a="1"/>
  <c r="Q30" i="193" a="1"/>
  <c r="Q40" i="193" a="1"/>
  <c r="Q31" i="191" a="1"/>
  <c r="Q12" i="193" a="1"/>
  <c r="Q46" i="193" a="1"/>
  <c r="Q61" i="191" a="1"/>
  <c r="Q40" i="191" a="1"/>
  <c r="Q25" i="191" a="1"/>
  <c r="Q45" i="193" a="1"/>
  <c r="Q35" i="193" a="1"/>
  <c r="Q64" i="193" a="1"/>
  <c r="Q33" i="191" a="1"/>
  <c r="Q69" i="189" a="1"/>
  <c r="Q39" i="193" a="1"/>
  <c r="Q50" i="191" a="1"/>
  <c r="Q15" i="191" a="1"/>
  <c r="Q43" i="189" a="1"/>
  <c r="Q9" i="193" a="1"/>
  <c r="Q59" i="193" a="1"/>
  <c r="Q50" i="193" a="1"/>
  <c r="Q24" i="193" a="1"/>
  <c r="Q62" i="189" a="1"/>
  <c r="Q45" i="189" a="1"/>
  <c r="Q58" i="193" a="1"/>
  <c r="Q55" i="189" a="1"/>
  <c r="Q20" i="193" a="1"/>
  <c r="Q48" i="189" a="1"/>
  <c r="Q7" i="192" a="1"/>
  <c r="Q41" i="193" a="1"/>
  <c r="Q17" i="32" a="1"/>
  <c r="Q20" i="190" a="1"/>
  <c r="Q35" i="192" a="1"/>
  <c r="Q68" i="190" a="1"/>
  <c r="Q23" i="192" a="1"/>
  <c r="Q41" i="192" a="1"/>
  <c r="Q70" i="190" a="1"/>
  <c r="Q41" i="190" a="1"/>
  <c r="Q44" i="190" a="1"/>
  <c r="Q51" i="190" a="1"/>
  <c r="Q48" i="188" a="1"/>
  <c r="Q36" i="192" a="1"/>
  <c r="Q47" i="190" a="1"/>
  <c r="Q15" i="32" a="1"/>
  <c r="Q30" i="188" a="1"/>
  <c r="Q11" i="190" a="1"/>
  <c r="Q13" i="188" a="1"/>
  <c r="Q38" i="188" a="1"/>
  <c r="Q46" i="32" a="1"/>
  <c r="Q12" i="188" a="1"/>
  <c r="Q16" i="32" a="1"/>
  <c r="Q20" i="192" a="1"/>
  <c r="Q65" i="192" a="1"/>
  <c r="Q64" i="192" a="1"/>
  <c r="Q26" i="192" a="1"/>
  <c r="Q35" i="190" a="1"/>
  <c r="Q37" i="190" a="1"/>
  <c r="Q58" i="192" a="1"/>
  <c r="Q59" i="32" a="1"/>
  <c r="Q45" i="190" a="1"/>
  <c r="Q63" i="190" a="1"/>
  <c r="Q23" i="190" a="1"/>
  <c r="Q40" i="192" a="1"/>
  <c r="Q69" i="190" a="1"/>
  <c r="Q41" i="32" a="1"/>
  <c r="Q39" i="192" a="1"/>
  <c r="Q17" i="188" a="1"/>
  <c r="Q23" i="32" a="1"/>
  <c r="Q43" i="192" a="1"/>
  <c r="Q41" i="188" a="1"/>
  <c r="Q35" i="188" a="1"/>
  <c r="Q66" i="192" a="1"/>
  <c r="Q51" i="32" a="1"/>
  <c r="Q22" i="32" a="1"/>
  <c r="Q45" i="32" a="1"/>
  <c r="Q60" i="188" a="1"/>
  <c r="Q53" i="192" a="1"/>
  <c r="Q66" i="188" a="1"/>
  <c r="Q50" i="32" a="1"/>
  <c r="Q26" i="188" a="1"/>
  <c r="Q32" i="192" a="1"/>
  <c r="Q47" i="192" a="1"/>
  <c r="Q22" i="188" a="1"/>
  <c r="Q68" i="32" a="1"/>
  <c r="Q14" i="188" a="1"/>
  <c r="Q52" i="190" a="1"/>
  <c r="Q57" i="32" a="1"/>
  <c r="Q13" i="32" a="1"/>
  <c r="Q29" i="190" a="1"/>
  <c r="Q50" i="192" a="1"/>
  <c r="Q55" i="190" a="1"/>
  <c r="Q13" i="190" a="1"/>
  <c r="Q51" i="192" a="1"/>
  <c r="Q31" i="188" a="1"/>
  <c r="Q59" i="192" a="1"/>
  <c r="Q10" i="190" a="1"/>
  <c r="Q34" i="192" a="1"/>
  <c r="Q42" i="192" a="1"/>
  <c r="Q49" i="32" a="1"/>
  <c r="Q33" i="32" a="1"/>
  <c r="Q32" i="190" a="1"/>
  <c r="Q46" i="190" a="1"/>
  <c r="Q60" i="192" a="1"/>
  <c r="Q53" i="32" a="1"/>
  <c r="Q20" i="32" a="1"/>
  <c r="Q58" i="188" a="1"/>
  <c r="Q28" i="32" a="1"/>
  <c r="Q10" i="32" a="1"/>
  <c r="Q18" i="188" a="1"/>
  <c r="Q33" i="190" a="1"/>
  <c r="Q55" i="32" a="1"/>
  <c r="Q21" i="192" a="1"/>
  <c r="Q36" i="188" a="1"/>
  <c r="Q60" i="190" a="1"/>
  <c r="Q48" i="190" a="1"/>
  <c r="Q7" i="32" a="1"/>
  <c r="Q44" i="192" a="1"/>
  <c r="Q64" i="190" a="1"/>
  <c r="Q24" i="192" a="1"/>
  <c r="Q24" i="190" a="1"/>
  <c r="Q16" i="190" a="1"/>
  <c r="Q31" i="192" a="1"/>
  <c r="Q46" i="188" a="1"/>
  <c r="Q16" i="188" a="1"/>
  <c r="Q39" i="32" a="1"/>
  <c r="Q47" i="32" a="1"/>
  <c r="Q56" i="188" a="1"/>
  <c r="Q37" i="188" a="1"/>
  <c r="Q40" i="32" a="1"/>
  <c r="Q53" i="190" a="1"/>
  <c r="Q48" i="192" a="1"/>
  <c r="Q58" i="190" a="1"/>
  <c r="Q49" i="192" a="1"/>
  <c r="Q23" i="188" a="1"/>
  <c r="Q40" i="190" a="1"/>
  <c r="Q66" i="32" a="1"/>
  <c r="Q29" i="32" a="1"/>
  <c r="Q32" i="188" a="1"/>
  <c r="Q11" i="32" a="1"/>
  <c r="Q9" i="192" a="1"/>
  <c r="Q39" i="188" a="1"/>
  <c r="Q6" i="188" a="1"/>
  <c r="Q9" i="32" a="1"/>
  <c r="Q12" i="190" a="1"/>
  <c r="Q21" i="190" a="1"/>
  <c r="Q12" i="32" a="1"/>
  <c r="Q63" i="32" a="1"/>
  <c r="Q24" i="32" a="1"/>
  <c r="Q25" i="190" a="1"/>
  <c r="Q38" i="190" a="1"/>
  <c r="Q70" i="188" a="1"/>
  <c r="Q61" i="192" a="1"/>
  <c r="Q38" i="32" a="1"/>
  <c r="Q59" i="188" a="1"/>
  <c r="Q42" i="32" a="1"/>
  <c r="Q29" i="192" a="1"/>
  <c r="Q13" i="192" a="1"/>
  <c r="Q60" i="32" a="1"/>
  <c r="Q27" i="192" a="1"/>
  <c r="Q6" i="32" a="1"/>
  <c r="Q61" i="32" a="1"/>
  <c r="Q43" i="188" a="1"/>
  <c r="Q52" i="188" a="1"/>
  <c r="Q44" i="188" a="1"/>
  <c r="Q54" i="32" a="1"/>
  <c r="Q19" i="188" a="1"/>
  <c r="Q71" i="188" a="1"/>
  <c r="Q37" i="32" a="1"/>
  <c r="Q26" i="32" a="1"/>
  <c r="Q28" i="192" a="1"/>
  <c r="Q61" i="188" a="1"/>
  <c r="Q18" i="32" a="1"/>
  <c r="Q65" i="188" a="1"/>
  <c r="Q64" i="32" a="1"/>
  <c r="Q21" i="188" a="1"/>
  <c r="Q32" i="32" a="1"/>
  <c r="Q27" i="190" a="1"/>
  <c r="Q20" i="188" a="1"/>
  <c r="Q45" i="192" a="1"/>
  <c r="Q27" i="188" a="1"/>
  <c r="Q7" i="188" a="1"/>
  <c r="Q40" i="188" a="1"/>
  <c r="Q54" i="190" a="1"/>
  <c r="Q49" i="190" a="1"/>
  <c r="Q34" i="188" a="1"/>
  <c r="Q62" i="190" a="1"/>
  <c r="Q31" i="190" a="1"/>
  <c r="Q56" i="190" a="1"/>
  <c r="Q43" i="32" a="1"/>
  <c r="Q6" i="190" a="1"/>
  <c r="Q46" i="192" a="1"/>
  <c r="Q25" i="188" a="1"/>
  <c r="Q9" i="188" a="1"/>
  <c r="Q67" i="32" a="1"/>
  <c r="Q34" i="32" a="1"/>
  <c r="Q12" i="192" a="1"/>
  <c r="Q62" i="188" a="1"/>
  <c r="Q34" i="190" a="1"/>
  <c r="Q11" i="188" a="1"/>
  <c r="Q30" i="192" a="1"/>
  <c r="Q22" i="192" a="1"/>
  <c r="Q68" i="188" a="1"/>
  <c r="Q19" i="192" a="1"/>
  <c r="Q25" i="32" a="1"/>
  <c r="Q35" i="32" a="1"/>
  <c r="Q26" i="190" a="1"/>
  <c r="Q57" i="190" a="1"/>
  <c r="Q59" i="190" a="1"/>
  <c r="Q8" i="190" a="1"/>
  <c r="Q21" i="32" a="1"/>
  <c r="Q50" i="188" a="1"/>
  <c r="Q15" i="192" a="1"/>
  <c r="Q8" i="188" a="1"/>
  <c r="Q36" i="190" a="1"/>
  <c r="Q47" i="188" a="1"/>
  <c r="Q28" i="188" a="1"/>
  <c r="Q30" i="32" a="1"/>
  <c r="Q27" i="32" a="1"/>
  <c r="Q65" i="190" a="1"/>
  <c r="Q56" i="32" a="1"/>
  <c r="Q56" i="192" a="1"/>
  <c r="Q9" i="190" a="1"/>
  <c r="Q63" i="192" a="1"/>
  <c r="Q10" i="192" a="1"/>
  <c r="Q65" i="32" a="1"/>
  <c r="Q15" i="188" a="1"/>
  <c r="Q72" i="188" a="1"/>
  <c r="Q8" i="32" a="1"/>
  <c r="Q15" i="190" a="1"/>
  <c r="Q16" i="192" a="1"/>
  <c r="Q49" i="188" a="1"/>
  <c r="Q19" i="32" a="1"/>
  <c r="Q53" i="188" a="1"/>
  <c r="Q66" i="190" a="1"/>
  <c r="Q7" i="190" a="1"/>
  <c r="Q43" i="190" a="1"/>
  <c r="Q22" i="190" a="1"/>
  <c r="Q33" i="192" a="1"/>
  <c r="Q14" i="32" a="1"/>
  <c r="Q42" i="188" a="1"/>
  <c r="Q14" i="190" a="1"/>
  <c r="Q25" i="192" a="1"/>
  <c r="Q29" i="188" a="1"/>
  <c r="Q63" i="188" a="1"/>
  <c r="Q28" i="190" a="1"/>
  <c r="Q64" i="188" a="1"/>
  <c r="Q14" i="192" a="1"/>
  <c r="Q58" i="32" a="1"/>
  <c r="Q51" i="188" a="1"/>
  <c r="Q19" i="190" a="1"/>
  <c r="Q30" i="190" a="1"/>
  <c r="Q31" i="32" a="1"/>
  <c r="Q62" i="192" a="1"/>
  <c r="Q18" i="190" a="1"/>
  <c r="Q52" i="32" a="1"/>
  <c r="Q45" i="188" a="1"/>
  <c r="Q61" i="190" a="1"/>
  <c r="Q10" i="188" a="1"/>
  <c r="Q36" i="32" a="1"/>
  <c r="Q17" i="192" a="1"/>
  <c r="Q38" i="192" a="1"/>
  <c r="Q11" i="192" a="1"/>
  <c r="Q50" i="190" a="1"/>
  <c r="Q55" i="192" a="1"/>
  <c r="Q39" i="190" a="1"/>
  <c r="Q54" i="192" a="1"/>
  <c r="Q24" i="188" a="1"/>
  <c r="Q71" i="190" a="1"/>
  <c r="Q54" i="188" a="1"/>
  <c r="Q17" i="190" a="1"/>
  <c r="Q8" i="192" a="1"/>
  <c r="Q57" i="188" a="1"/>
  <c r="Q55" i="188" a="1"/>
  <c r="Q18" i="192" a="1"/>
  <c r="Q67" i="190" a="1"/>
  <c r="Q42" i="190" a="1"/>
  <c r="Q33" i="188" a="1"/>
  <c r="Q52" i="192" a="1"/>
  <c r="Q67" i="188" a="1"/>
  <c r="Q57" i="192" a="1"/>
  <c r="Q62" i="32" a="1"/>
  <c r="Q37" i="192" a="1"/>
  <c r="Q44" i="32" a="1"/>
  <c r="Q48" i="32" a="1"/>
  <c r="X7" i="192" l="1"/>
  <c r="AD7" i="192"/>
  <c r="BU7" i="192"/>
  <c r="BF7" i="192"/>
  <c r="AY7" i="192"/>
  <c r="AZ7" i="192"/>
  <c r="AS7" i="192"/>
  <c r="AM7" i="192"/>
  <c r="BJ7" i="192"/>
  <c r="R7" i="192"/>
  <c r="BQ7" i="192"/>
  <c r="AO7" i="192"/>
  <c r="T7" i="192"/>
  <c r="BS7" i="192"/>
  <c r="BL7" i="192"/>
  <c r="AB7" i="192"/>
  <c r="CA7" i="192"/>
  <c r="AP7" i="192"/>
  <c r="AC7" i="192"/>
  <c r="V7" i="192"/>
  <c r="BM7" i="192"/>
  <c r="AQ7" i="192"/>
  <c r="AT7" i="192"/>
  <c r="AF7" i="192"/>
  <c r="Q7" i="192"/>
  <c r="CC7" i="192"/>
  <c r="BN7" i="192"/>
  <c r="BG7" i="192"/>
  <c r="BH7" i="192"/>
  <c r="BA7" i="192"/>
  <c r="AU7" i="192"/>
  <c r="BW7" i="192"/>
  <c r="BK7" i="192"/>
  <c r="Z7" i="192"/>
  <c r="BY7" i="192"/>
  <c r="AW7" i="192"/>
  <c r="AA7" i="192"/>
  <c r="BB7" i="192"/>
  <c r="BT7" i="192"/>
  <c r="AI7" i="192"/>
  <c r="W7" i="192"/>
  <c r="CB7" i="192"/>
  <c r="AX7" i="192"/>
  <c r="AK7" i="192"/>
  <c r="AN7" i="192"/>
  <c r="Y7" i="192"/>
  <c r="AL7" i="192"/>
  <c r="BV7" i="192"/>
  <c r="BO7" i="192"/>
  <c r="BP7" i="192"/>
  <c r="BI7" i="192"/>
  <c r="BC7" i="192"/>
  <c r="AV7" i="192"/>
  <c r="BR7" i="192"/>
  <c r="BX7" i="192"/>
  <c r="S7" i="192"/>
  <c r="BZ7" i="192"/>
  <c r="AH7" i="192"/>
  <c r="U7" i="192"/>
  <c r="BE7" i="192"/>
  <c r="AJ7" i="192"/>
  <c r="AG7" i="192"/>
  <c r="AR7" i="192"/>
  <c r="BD7" i="192"/>
  <c r="AE7" i="192"/>
  <c r="X32" i="188"/>
  <c r="BS32" i="188"/>
  <c r="BE32" i="188"/>
  <c r="AP32" i="188"/>
  <c r="BZ32" i="188"/>
  <c r="AO32" i="188"/>
  <c r="BI32" i="188"/>
  <c r="AY32" i="188"/>
  <c r="BC32" i="188"/>
  <c r="U32" i="188"/>
  <c r="S32" i="188"/>
  <c r="Z32" i="188"/>
  <c r="BV32" i="188"/>
  <c r="BF32" i="188"/>
  <c r="AN32" i="188"/>
  <c r="AJ32" i="188"/>
  <c r="BK32" i="188"/>
  <c r="AM32" i="188"/>
  <c r="BT32" i="188"/>
  <c r="AA32" i="188"/>
  <c r="R32" i="188"/>
  <c r="AD32" i="188"/>
  <c r="W32" i="188"/>
  <c r="BO32" i="188"/>
  <c r="BW32" i="188"/>
  <c r="AZ32" i="188"/>
  <c r="BD32" i="188"/>
  <c r="BY32" i="188"/>
  <c r="BQ32" i="188"/>
  <c r="T32" i="188"/>
  <c r="BH32" i="188"/>
  <c r="AW32" i="188"/>
  <c r="AI32" i="188"/>
  <c r="AK32" i="188"/>
  <c r="AE32" i="188"/>
  <c r="AT32" i="188"/>
  <c r="BP32" i="188"/>
  <c r="BL32" i="188"/>
  <c r="AG32" i="188"/>
  <c r="AX32" i="188"/>
  <c r="BX32" i="188"/>
  <c r="BJ32" i="188"/>
  <c r="BM32" i="188"/>
  <c r="AV32" i="188"/>
  <c r="Q32" i="188"/>
  <c r="AC32" i="188"/>
  <c r="AH32" i="188"/>
  <c r="BG32" i="188"/>
  <c r="AF32" i="188"/>
  <c r="CA32" i="188"/>
  <c r="BN32" i="188"/>
  <c r="AB32" i="188"/>
  <c r="CC32" i="188"/>
  <c r="Y32" i="188"/>
  <c r="AQ32" i="188"/>
  <c r="BB32" i="188"/>
  <c r="BR32" i="188"/>
  <c r="V32" i="188"/>
  <c r="AS32" i="188"/>
  <c r="CB32" i="188"/>
  <c r="AR32" i="188"/>
  <c r="AU32" i="188"/>
  <c r="AL32" i="188"/>
  <c r="BA32" i="188"/>
  <c r="BU32" i="188"/>
  <c r="BX40" i="193"/>
  <c r="BP40" i="193"/>
  <c r="BH40" i="193"/>
  <c r="AZ40" i="193"/>
  <c r="AR40" i="193"/>
  <c r="AJ40" i="193"/>
  <c r="AB40" i="193"/>
  <c r="T40" i="193"/>
  <c r="BV40" i="193"/>
  <c r="BM40" i="193"/>
  <c r="BD40" i="193"/>
  <c r="AU40" i="193"/>
  <c r="AL40" i="193"/>
  <c r="AC40" i="193"/>
  <c r="S40" i="193"/>
  <c r="CA40" i="193"/>
  <c r="BQ40" i="193"/>
  <c r="BF40" i="193"/>
  <c r="AV40" i="193"/>
  <c r="AK40" i="193"/>
  <c r="Z40" i="193"/>
  <c r="BW40" i="193"/>
  <c r="BL40" i="193"/>
  <c r="BB40" i="193"/>
  <c r="AQ40" i="193"/>
  <c r="AG40" i="193"/>
  <c r="W40" i="193"/>
  <c r="BS40" i="193"/>
  <c r="BE40" i="193"/>
  <c r="AP40" i="193"/>
  <c r="AD40" i="193"/>
  <c r="BR40" i="193"/>
  <c r="BC40" i="193"/>
  <c r="AO40" i="193"/>
  <c r="AA40" i="193"/>
  <c r="CC40" i="193"/>
  <c r="BO40" i="193"/>
  <c r="BA40" i="193"/>
  <c r="AN40" i="193"/>
  <c r="Y40" i="193"/>
  <c r="BY40" i="193"/>
  <c r="AY40" i="193"/>
  <c r="AF40" i="193"/>
  <c r="BU40" i="193"/>
  <c r="AX40" i="193"/>
  <c r="AE40" i="193"/>
  <c r="BT40" i="193"/>
  <c r="AW40" i="193"/>
  <c r="X40" i="193"/>
  <c r="BN40" i="193"/>
  <c r="AT40" i="193"/>
  <c r="V40" i="193"/>
  <c r="BJ40" i="193"/>
  <c r="R40" i="193"/>
  <c r="BI40" i="193"/>
  <c r="Q40" i="193"/>
  <c r="BG40" i="193"/>
  <c r="AS40" i="193"/>
  <c r="AM40" i="193"/>
  <c r="CB40" i="193"/>
  <c r="AI40" i="193"/>
  <c r="AH40" i="193"/>
  <c r="BZ40" i="193"/>
  <c r="U40" i="193"/>
  <c r="BK40" i="193"/>
  <c r="BW63" i="193"/>
  <c r="BO63" i="193"/>
  <c r="BG63" i="193"/>
  <c r="AY63" i="193"/>
  <c r="AQ63" i="193"/>
  <c r="AI63" i="193"/>
  <c r="AA63" i="193"/>
  <c r="S63" i="193"/>
  <c r="BX63" i="193"/>
  <c r="BN63" i="193"/>
  <c r="BE63" i="193"/>
  <c r="AV63" i="193"/>
  <c r="AM63" i="193"/>
  <c r="AD63" i="193"/>
  <c r="U63" i="193"/>
  <c r="BV63" i="193"/>
  <c r="BM63" i="193"/>
  <c r="BD63" i="193"/>
  <c r="AU63" i="193"/>
  <c r="AL63" i="193"/>
  <c r="AC63" i="193"/>
  <c r="T63" i="193"/>
  <c r="BU63" i="193"/>
  <c r="BL63" i="193"/>
  <c r="BC63" i="193"/>
  <c r="AT63" i="193"/>
  <c r="AK63" i="193"/>
  <c r="AB63" i="193"/>
  <c r="R63" i="193"/>
  <c r="CC63" i="193"/>
  <c r="BQ63" i="193"/>
  <c r="BA63" i="193"/>
  <c r="AN63" i="193"/>
  <c r="X63" i="193"/>
  <c r="CB63" i="193"/>
  <c r="BP63" i="193"/>
  <c r="AZ63" i="193"/>
  <c r="AJ63" i="193"/>
  <c r="W63" i="193"/>
  <c r="BT63" i="193"/>
  <c r="BB63" i="193"/>
  <c r="AG63" i="193"/>
  <c r="BS63" i="193"/>
  <c r="AX63" i="193"/>
  <c r="AF63" i="193"/>
  <c r="BI63" i="193"/>
  <c r="AH63" i="193"/>
  <c r="BH63" i="193"/>
  <c r="AE63" i="193"/>
  <c r="CA63" i="193"/>
  <c r="BF63" i="193"/>
  <c r="Z63" i="193"/>
  <c r="BZ63" i="193"/>
  <c r="AW63" i="193"/>
  <c r="Y63" i="193"/>
  <c r="BY63" i="193"/>
  <c r="AS63" i="193"/>
  <c r="V63" i="193"/>
  <c r="BR63" i="193"/>
  <c r="AR63" i="193"/>
  <c r="Q63" i="193"/>
  <c r="BK63" i="193"/>
  <c r="AP63" i="193"/>
  <c r="BJ63" i="193"/>
  <c r="AO63" i="193"/>
  <c r="CB9" i="193"/>
  <c r="BT9" i="193"/>
  <c r="BL9" i="193"/>
  <c r="BD9" i="193"/>
  <c r="AV9" i="193"/>
  <c r="AN9" i="193"/>
  <c r="AF9" i="193"/>
  <c r="X9" i="193"/>
  <c r="BZ9" i="193"/>
  <c r="BQ9" i="193"/>
  <c r="BH9" i="193"/>
  <c r="AY9" i="193"/>
  <c r="AP9" i="193"/>
  <c r="AG9" i="193"/>
  <c r="W9" i="193"/>
  <c r="BY9" i="193"/>
  <c r="BP9" i="193"/>
  <c r="BG9" i="193"/>
  <c r="AX9" i="193"/>
  <c r="AO9" i="193"/>
  <c r="AE9" i="193"/>
  <c r="V9" i="193"/>
  <c r="CC9" i="193"/>
  <c r="BO9" i="193"/>
  <c r="BC9" i="193"/>
  <c r="AR9" i="193"/>
  <c r="AD9" i="193"/>
  <c r="S9" i="193"/>
  <c r="BM9" i="193"/>
  <c r="BA9" i="193"/>
  <c r="AM9" i="193"/>
  <c r="AB9" i="193"/>
  <c r="Q9" i="193"/>
  <c r="CA9" i="193"/>
  <c r="BN9" i="193"/>
  <c r="BB9" i="193"/>
  <c r="AQ9" i="193"/>
  <c r="AC9" i="193"/>
  <c r="R9" i="193"/>
  <c r="BX9" i="193"/>
  <c r="BW9" i="193"/>
  <c r="BK9" i="193"/>
  <c r="AZ9" i="193"/>
  <c r="AL9" i="193"/>
  <c r="AA9" i="193"/>
  <c r="BF9" i="193"/>
  <c r="AI9" i="193"/>
  <c r="BS9" i="193"/>
  <c r="U9" i="193"/>
  <c r="AK9" i="193"/>
  <c r="BE9" i="193"/>
  <c r="AH9" i="193"/>
  <c r="AT9" i="193"/>
  <c r="BV9" i="193"/>
  <c r="AW9" i="193"/>
  <c r="Z9" i="193"/>
  <c r="BJ9" i="193"/>
  <c r="BU9" i="193"/>
  <c r="AU9" i="193"/>
  <c r="Y9" i="193"/>
  <c r="AS9" i="193"/>
  <c r="BR9" i="193"/>
  <c r="T9" i="193"/>
  <c r="BI9" i="193"/>
  <c r="AJ9" i="193"/>
  <c r="CB42" i="193"/>
  <c r="BT42" i="193"/>
  <c r="BL42" i="193"/>
  <c r="BD42" i="193"/>
  <c r="AV42" i="193"/>
  <c r="AN42" i="193"/>
  <c r="AF42" i="193"/>
  <c r="X42" i="193"/>
  <c r="BU42" i="193"/>
  <c r="BK42" i="193"/>
  <c r="BB42" i="193"/>
  <c r="AS42" i="193"/>
  <c r="AJ42" i="193"/>
  <c r="AA42" i="193"/>
  <c r="R42" i="193"/>
  <c r="BY42" i="193"/>
  <c r="BO42" i="193"/>
  <c r="BE42" i="193"/>
  <c r="AT42" i="193"/>
  <c r="AI42" i="193"/>
  <c r="Y42" i="193"/>
  <c r="BX42" i="193"/>
  <c r="BN42" i="193"/>
  <c r="BC42" i="193"/>
  <c r="AR42" i="193"/>
  <c r="AH42" i="193"/>
  <c r="BV42" i="193"/>
  <c r="BJ42" i="193"/>
  <c r="AZ42" i="193"/>
  <c r="AP42" i="193"/>
  <c r="AE42" i="193"/>
  <c r="U42" i="193"/>
  <c r="BP42" i="193"/>
  <c r="AX42" i="193"/>
  <c r="AG42" i="193"/>
  <c r="S42" i="193"/>
  <c r="CC42" i="193"/>
  <c r="BM42" i="193"/>
  <c r="AW42" i="193"/>
  <c r="AD42" i="193"/>
  <c r="Q42" i="193"/>
  <c r="CA42" i="193"/>
  <c r="BI42" i="193"/>
  <c r="AU42" i="193"/>
  <c r="AC42" i="193"/>
  <c r="BQ42" i="193"/>
  <c r="AM42" i="193"/>
  <c r="BH42" i="193"/>
  <c r="AL42" i="193"/>
  <c r="BG42" i="193"/>
  <c r="AK42" i="193"/>
  <c r="BF42" i="193"/>
  <c r="AB42" i="193"/>
  <c r="AQ42" i="193"/>
  <c r="AO42" i="193"/>
  <c r="BZ42" i="193"/>
  <c r="Z42" i="193"/>
  <c r="BW42" i="193"/>
  <c r="W42" i="193"/>
  <c r="BS42" i="193"/>
  <c r="V42" i="193"/>
  <c r="BR42" i="193"/>
  <c r="T42" i="193"/>
  <c r="AY42" i="193"/>
  <c r="BA42" i="193"/>
  <c r="BW38" i="193"/>
  <c r="BO38" i="193"/>
  <c r="BG38" i="193"/>
  <c r="AY38" i="193"/>
  <c r="AQ38" i="193"/>
  <c r="AI38" i="193"/>
  <c r="AA38" i="193"/>
  <c r="S38" i="193"/>
  <c r="BZ38" i="193"/>
  <c r="BQ38" i="193"/>
  <c r="BH38" i="193"/>
  <c r="AX38" i="193"/>
  <c r="AO38" i="193"/>
  <c r="AF38" i="193"/>
  <c r="W38" i="193"/>
  <c r="BV38" i="193"/>
  <c r="BM38" i="193"/>
  <c r="BD38" i="193"/>
  <c r="AU38" i="193"/>
  <c r="AL38" i="193"/>
  <c r="BU38" i="193"/>
  <c r="BJ38" i="193"/>
  <c r="AW38" i="193"/>
  <c r="AK38" i="193"/>
  <c r="Z38" i="193"/>
  <c r="BT38" i="193"/>
  <c r="BI38" i="193"/>
  <c r="AV38" i="193"/>
  <c r="AJ38" i="193"/>
  <c r="Y38" i="193"/>
  <c r="BS38" i="193"/>
  <c r="BF38" i="193"/>
  <c r="AT38" i="193"/>
  <c r="AH38" i="193"/>
  <c r="X38" i="193"/>
  <c r="CB38" i="193"/>
  <c r="BK38" i="193"/>
  <c r="AP38" i="193"/>
  <c r="V38" i="193"/>
  <c r="CA38" i="193"/>
  <c r="BE38" i="193"/>
  <c r="AN38" i="193"/>
  <c r="U38" i="193"/>
  <c r="BY38" i="193"/>
  <c r="BC38" i="193"/>
  <c r="AM38" i="193"/>
  <c r="T38" i="193"/>
  <c r="BX38" i="193"/>
  <c r="BB38" i="193"/>
  <c r="AG38" i="193"/>
  <c r="R38" i="193"/>
  <c r="AZ38" i="193"/>
  <c r="AS38" i="193"/>
  <c r="CC38" i="193"/>
  <c r="AR38" i="193"/>
  <c r="BR38" i="193"/>
  <c r="AE38" i="193"/>
  <c r="BP38" i="193"/>
  <c r="AD38" i="193"/>
  <c r="BN38" i="193"/>
  <c r="AC38" i="193"/>
  <c r="BL38" i="193"/>
  <c r="BA38" i="193"/>
  <c r="AB38" i="193"/>
  <c r="Q38" i="193"/>
  <c r="CC35" i="193"/>
  <c r="BU35" i="193"/>
  <c r="BM35" i="193"/>
  <c r="BE35" i="193"/>
  <c r="AW35" i="193"/>
  <c r="AO35" i="193"/>
  <c r="AG35" i="193"/>
  <c r="Y35" i="193"/>
  <c r="Q35" i="193"/>
  <c r="CB35" i="193"/>
  <c r="BS35" i="193"/>
  <c r="BJ35" i="193"/>
  <c r="BA35" i="193"/>
  <c r="AR35" i="193"/>
  <c r="AI35" i="193"/>
  <c r="Z35" i="193"/>
  <c r="BR35" i="193"/>
  <c r="BH35" i="193"/>
  <c r="AX35" i="193"/>
  <c r="AM35" i="193"/>
  <c r="AC35" i="193"/>
  <c r="S35" i="193"/>
  <c r="CA35" i="193"/>
  <c r="BQ35" i="193"/>
  <c r="BG35" i="193"/>
  <c r="AV35" i="193"/>
  <c r="AL35" i="193"/>
  <c r="AB35" i="193"/>
  <c r="R35" i="193"/>
  <c r="BZ35" i="193"/>
  <c r="BP35" i="193"/>
  <c r="BF35" i="193"/>
  <c r="AU35" i="193"/>
  <c r="AK35" i="193"/>
  <c r="AA35" i="193"/>
  <c r="BY35" i="193"/>
  <c r="BK35" i="193"/>
  <c r="AS35" i="193"/>
  <c r="AD35" i="193"/>
  <c r="BX35" i="193"/>
  <c r="BI35" i="193"/>
  <c r="AQ35" i="193"/>
  <c r="X35" i="193"/>
  <c r="BW35" i="193"/>
  <c r="BD35" i="193"/>
  <c r="AP35" i="193"/>
  <c r="W35" i="193"/>
  <c r="BV35" i="193"/>
  <c r="BC35" i="193"/>
  <c r="AN35" i="193"/>
  <c r="V35" i="193"/>
  <c r="BT35" i="193"/>
  <c r="AJ35" i="193"/>
  <c r="BO35" i="193"/>
  <c r="AH35" i="193"/>
  <c r="BN35" i="193"/>
  <c r="AF35" i="193"/>
  <c r="BL35" i="193"/>
  <c r="AE35" i="193"/>
  <c r="BB35" i="193"/>
  <c r="U35" i="193"/>
  <c r="AZ35" i="193"/>
  <c r="T35" i="193"/>
  <c r="AY35" i="193"/>
  <c r="AT35" i="193"/>
  <c r="BW22" i="193"/>
  <c r="BO22" i="193"/>
  <c r="BG22" i="193"/>
  <c r="AY22" i="193"/>
  <c r="AQ22" i="193"/>
  <c r="AI22" i="193"/>
  <c r="AA22" i="193"/>
  <c r="S22" i="193"/>
  <c r="BU22" i="193"/>
  <c r="BL22" i="193"/>
  <c r="BC22" i="193"/>
  <c r="AT22" i="193"/>
  <c r="AK22" i="193"/>
  <c r="AB22" i="193"/>
  <c r="R22" i="193"/>
  <c r="BV22" i="193"/>
  <c r="BK22" i="193"/>
  <c r="BA22" i="193"/>
  <c r="AP22" i="193"/>
  <c r="AF22" i="193"/>
  <c r="V22" i="193"/>
  <c r="BT22" i="193"/>
  <c r="BJ22" i="193"/>
  <c r="AZ22" i="193"/>
  <c r="AO22" i="193"/>
  <c r="AE22" i="193"/>
  <c r="U22" i="193"/>
  <c r="CC22" i="193"/>
  <c r="BS22" i="193"/>
  <c r="BI22" i="193"/>
  <c r="AX22" i="193"/>
  <c r="AN22" i="193"/>
  <c r="AD22" i="193"/>
  <c r="T22" i="193"/>
  <c r="BR22" i="193"/>
  <c r="BD22" i="193"/>
  <c r="AL22" i="193"/>
  <c r="W22" i="193"/>
  <c r="BQ22" i="193"/>
  <c r="BB22" i="193"/>
  <c r="AJ22" i="193"/>
  <c r="Q22" i="193"/>
  <c r="BP22" i="193"/>
  <c r="AW22" i="193"/>
  <c r="AH22" i="193"/>
  <c r="CB22" i="193"/>
  <c r="BN22" i="193"/>
  <c r="AV22" i="193"/>
  <c r="AG22" i="193"/>
  <c r="BZ22" i="193"/>
  <c r="BH22" i="193"/>
  <c r="AS22" i="193"/>
  <c r="Z22" i="193"/>
  <c r="CA22" i="193"/>
  <c r="AM22" i="193"/>
  <c r="AU22" i="193"/>
  <c r="BY22" i="193"/>
  <c r="AC22" i="193"/>
  <c r="BF22" i="193"/>
  <c r="BX22" i="193"/>
  <c r="Y22" i="193"/>
  <c r="BM22" i="193"/>
  <c r="X22" i="193"/>
  <c r="BE22" i="193"/>
  <c r="AR22" i="193"/>
  <c r="CA28" i="193"/>
  <c r="BS28" i="193"/>
  <c r="BK28" i="193"/>
  <c r="BC28" i="193"/>
  <c r="AU28" i="193"/>
  <c r="AM28" i="193"/>
  <c r="AE28" i="193"/>
  <c r="W28" i="193"/>
  <c r="BY28" i="193"/>
  <c r="BP28" i="193"/>
  <c r="BG28" i="193"/>
  <c r="AX28" i="193"/>
  <c r="AO28" i="193"/>
  <c r="AF28" i="193"/>
  <c r="V28" i="193"/>
  <c r="CB28" i="193"/>
  <c r="BQ28" i="193"/>
  <c r="BF28" i="193"/>
  <c r="AV28" i="193"/>
  <c r="AK28" i="193"/>
  <c r="AA28" i="193"/>
  <c r="Q28" i="193"/>
  <c r="BZ28" i="193"/>
  <c r="BO28" i="193"/>
  <c r="BE28" i="193"/>
  <c r="AT28" i="193"/>
  <c r="AJ28" i="193"/>
  <c r="Z28" i="193"/>
  <c r="BX28" i="193"/>
  <c r="BL28" i="193"/>
  <c r="AY28" i="193"/>
  <c r="AI28" i="193"/>
  <c r="U28" i="193"/>
  <c r="BW28" i="193"/>
  <c r="BJ28" i="193"/>
  <c r="AW28" i="193"/>
  <c r="AH28" i="193"/>
  <c r="T28" i="193"/>
  <c r="BV28" i="193"/>
  <c r="BI28" i="193"/>
  <c r="AS28" i="193"/>
  <c r="AG28" i="193"/>
  <c r="S28" i="193"/>
  <c r="BU28" i="193"/>
  <c r="BH28" i="193"/>
  <c r="AR28" i="193"/>
  <c r="AD28" i="193"/>
  <c r="R28" i="193"/>
  <c r="BB28" i="193"/>
  <c r="AB28" i="193"/>
  <c r="BA28" i="193"/>
  <c r="Y28" i="193"/>
  <c r="CC28" i="193"/>
  <c r="AZ28" i="193"/>
  <c r="X28" i="193"/>
  <c r="BT28" i="193"/>
  <c r="AQ28" i="193"/>
  <c r="BR28" i="193"/>
  <c r="AP28" i="193"/>
  <c r="BN28" i="193"/>
  <c r="AN28" i="193"/>
  <c r="AL28" i="193"/>
  <c r="BM28" i="193"/>
  <c r="BD28" i="193"/>
  <c r="AC28" i="193"/>
  <c r="BX44" i="193"/>
  <c r="BP44" i="193"/>
  <c r="BH44" i="193"/>
  <c r="AZ44" i="193"/>
  <c r="AR44" i="193"/>
  <c r="AJ44" i="193"/>
  <c r="AB44" i="193"/>
  <c r="T44" i="193"/>
  <c r="CA44" i="193"/>
  <c r="BR44" i="193"/>
  <c r="BI44" i="193"/>
  <c r="AY44" i="193"/>
  <c r="AP44" i="193"/>
  <c r="AG44" i="193"/>
  <c r="X44" i="193"/>
  <c r="BZ44" i="193"/>
  <c r="BQ44" i="193"/>
  <c r="BG44" i="193"/>
  <c r="AX44" i="193"/>
  <c r="AO44" i="193"/>
  <c r="AF44" i="193"/>
  <c r="W44" i="193"/>
  <c r="BU44" i="193"/>
  <c r="BJ44" i="193"/>
  <c r="AV44" i="193"/>
  <c r="AK44" i="193"/>
  <c r="Y44" i="193"/>
  <c r="BT44" i="193"/>
  <c r="BF44" i="193"/>
  <c r="AU44" i="193"/>
  <c r="AI44" i="193"/>
  <c r="V44" i="193"/>
  <c r="CC44" i="193"/>
  <c r="BO44" i="193"/>
  <c r="BD44" i="193"/>
  <c r="AS44" i="193"/>
  <c r="AE44" i="193"/>
  <c r="S44" i="193"/>
  <c r="BV44" i="193"/>
  <c r="BB44" i="193"/>
  <c r="AH44" i="193"/>
  <c r="BS44" i="193"/>
  <c r="BA44" i="193"/>
  <c r="AD44" i="193"/>
  <c r="BN44" i="193"/>
  <c r="AW44" i="193"/>
  <c r="AC44" i="193"/>
  <c r="CB44" i="193"/>
  <c r="AT44" i="193"/>
  <c r="R44" i="193"/>
  <c r="BY44" i="193"/>
  <c r="AQ44" i="193"/>
  <c r="Q44" i="193"/>
  <c r="BW44" i="193"/>
  <c r="AN44" i="193"/>
  <c r="BM44" i="193"/>
  <c r="AM44" i="193"/>
  <c r="AL44" i="193"/>
  <c r="AA44" i="193"/>
  <c r="Z44" i="193"/>
  <c r="U44" i="193"/>
  <c r="BL44" i="193"/>
  <c r="BK44" i="193"/>
  <c r="BC44" i="193"/>
  <c r="BE44" i="193"/>
  <c r="BX51" i="193"/>
  <c r="BP51" i="193"/>
  <c r="BH51" i="193"/>
  <c r="AZ51" i="193"/>
  <c r="AR51" i="193"/>
  <c r="AJ51" i="193"/>
  <c r="AB51" i="193"/>
  <c r="T51" i="193"/>
  <c r="BW51" i="193"/>
  <c r="BO51" i="193"/>
  <c r="BG51" i="193"/>
  <c r="AY51" i="193"/>
  <c r="AQ51" i="193"/>
  <c r="AI51" i="193"/>
  <c r="AA51" i="193"/>
  <c r="S51" i="193"/>
  <c r="BY51" i="193"/>
  <c r="BM51" i="193"/>
  <c r="BC51" i="193"/>
  <c r="AS51" i="193"/>
  <c r="AG51" i="193"/>
  <c r="W51" i="193"/>
  <c r="BV51" i="193"/>
  <c r="BL51" i="193"/>
  <c r="BB51" i="193"/>
  <c r="AP51" i="193"/>
  <c r="AF51" i="193"/>
  <c r="V51" i="193"/>
  <c r="CC51" i="193"/>
  <c r="BQ51" i="193"/>
  <c r="BA51" i="193"/>
  <c r="AM51" i="193"/>
  <c r="Y51" i="193"/>
  <c r="BT51" i="193"/>
  <c r="BF51" i="193"/>
  <c r="AT51" i="193"/>
  <c r="AD51" i="193"/>
  <c r="BK51" i="193"/>
  <c r="AU51" i="193"/>
  <c r="Z51" i="193"/>
  <c r="CB51" i="193"/>
  <c r="BJ51" i="193"/>
  <c r="AO51" i="193"/>
  <c r="X51" i="193"/>
  <c r="CA51" i="193"/>
  <c r="BD51" i="193"/>
  <c r="AE51" i="193"/>
  <c r="BZ51" i="193"/>
  <c r="AX51" i="193"/>
  <c r="AC51" i="193"/>
  <c r="BU51" i="193"/>
  <c r="AW51" i="193"/>
  <c r="U51" i="193"/>
  <c r="BS51" i="193"/>
  <c r="AV51" i="193"/>
  <c r="R51" i="193"/>
  <c r="AH51" i="193"/>
  <c r="BR51" i="193"/>
  <c r="Q51" i="193"/>
  <c r="BN51" i="193"/>
  <c r="BE51" i="193"/>
  <c r="AN51" i="193"/>
  <c r="AL51" i="193"/>
  <c r="AK51" i="193"/>
  <c r="BI51" i="193"/>
  <c r="BZ50" i="193"/>
  <c r="BR50" i="193"/>
  <c r="BJ50" i="193"/>
  <c r="BB50" i="193"/>
  <c r="AT50" i="193"/>
  <c r="AL50" i="193"/>
  <c r="AD50" i="193"/>
  <c r="V50" i="193"/>
  <c r="BY50" i="193"/>
  <c r="BQ50" i="193"/>
  <c r="BI50" i="193"/>
  <c r="BA50" i="193"/>
  <c r="AS50" i="193"/>
  <c r="AK50" i="193"/>
  <c r="AC50" i="193"/>
  <c r="U50" i="193"/>
  <c r="BX50" i="193"/>
  <c r="BN50" i="193"/>
  <c r="BD50" i="193"/>
  <c r="AR50" i="193"/>
  <c r="AH50" i="193"/>
  <c r="X50" i="193"/>
  <c r="BW50" i="193"/>
  <c r="BM50" i="193"/>
  <c r="BU50" i="193"/>
  <c r="BG50" i="193"/>
  <c r="AV50" i="193"/>
  <c r="AI50" i="193"/>
  <c r="W50" i="193"/>
  <c r="CB50" i="193"/>
  <c r="BL50" i="193"/>
  <c r="AY50" i="193"/>
  <c r="AN50" i="193"/>
  <c r="AA50" i="193"/>
  <c r="BP50" i="193"/>
  <c r="AX50" i="193"/>
  <c r="AG50" i="193"/>
  <c r="R50" i="193"/>
  <c r="BO50" i="193"/>
  <c r="AW50" i="193"/>
  <c r="AF50" i="193"/>
  <c r="Q50" i="193"/>
  <c r="BF50" i="193"/>
  <c r="AM50" i="193"/>
  <c r="CC50" i="193"/>
  <c r="BE50" i="193"/>
  <c r="AJ50" i="193"/>
  <c r="CA50" i="193"/>
  <c r="BV50" i="193"/>
  <c r="AZ50" i="193"/>
  <c r="AB50" i="193"/>
  <c r="BH50" i="193"/>
  <c r="Y50" i="193"/>
  <c r="BC50" i="193"/>
  <c r="T50" i="193"/>
  <c r="AU50" i="193"/>
  <c r="S50" i="193"/>
  <c r="BK50" i="193"/>
  <c r="AQ50" i="193"/>
  <c r="AP50" i="193"/>
  <c r="AO50" i="193"/>
  <c r="BT50" i="193"/>
  <c r="BS50" i="193"/>
  <c r="AE50" i="193"/>
  <c r="Z50" i="193"/>
  <c r="BY66" i="193"/>
  <c r="BQ66" i="193"/>
  <c r="BI66" i="193"/>
  <c r="BA66" i="193"/>
  <c r="AS66" i="193"/>
  <c r="AK66" i="193"/>
  <c r="AC66" i="193"/>
  <c r="U66" i="193"/>
  <c r="BU66" i="193"/>
  <c r="BL66" i="193"/>
  <c r="BC66" i="193"/>
  <c r="AT66" i="193"/>
  <c r="AJ66" i="193"/>
  <c r="AA66" i="193"/>
  <c r="R66" i="193"/>
  <c r="CC66" i="193"/>
  <c r="BT66" i="193"/>
  <c r="BK66" i="193"/>
  <c r="BB66" i="193"/>
  <c r="AR66" i="193"/>
  <c r="AI66" i="193"/>
  <c r="Z66" i="193"/>
  <c r="Q66" i="193"/>
  <c r="CB66" i="193"/>
  <c r="BS66" i="193"/>
  <c r="BJ66" i="193"/>
  <c r="AZ66" i="193"/>
  <c r="AQ66" i="193"/>
  <c r="AH66" i="193"/>
  <c r="Y66" i="193"/>
  <c r="CA66" i="193"/>
  <c r="BN66" i="193"/>
  <c r="AX66" i="193"/>
  <c r="AL66" i="193"/>
  <c r="V66" i="193"/>
  <c r="BZ66" i="193"/>
  <c r="BM66" i="193"/>
  <c r="AW66" i="193"/>
  <c r="AG66" i="193"/>
  <c r="T66" i="193"/>
  <c r="BO66" i="193"/>
  <c r="AU66" i="193"/>
  <c r="AB66" i="193"/>
  <c r="BH66" i="193"/>
  <c r="AP66" i="193"/>
  <c r="X66" i="193"/>
  <c r="BV66" i="193"/>
  <c r="AV66" i="193"/>
  <c r="S66" i="193"/>
  <c r="BR66" i="193"/>
  <c r="AO66" i="193"/>
  <c r="BP66" i="193"/>
  <c r="AN66" i="193"/>
  <c r="BG66" i="193"/>
  <c r="AM66" i="193"/>
  <c r="BF66" i="193"/>
  <c r="AF66" i="193"/>
  <c r="BE66" i="193"/>
  <c r="AE66" i="193"/>
  <c r="BX66" i="193"/>
  <c r="BD66" i="193"/>
  <c r="AD66" i="193"/>
  <c r="BW66" i="193"/>
  <c r="AY66" i="193"/>
  <c r="W66" i="193"/>
  <c r="BY55" i="193"/>
  <c r="BQ55" i="193"/>
  <c r="BI55" i="193"/>
  <c r="BA55" i="193"/>
  <c r="AS55" i="193"/>
  <c r="AK55" i="193"/>
  <c r="AC55" i="193"/>
  <c r="U55" i="193"/>
  <c r="BV55" i="193"/>
  <c r="BM55" i="193"/>
  <c r="BD55" i="193"/>
  <c r="AU55" i="193"/>
  <c r="AL55" i="193"/>
  <c r="AB55" i="193"/>
  <c r="S55" i="193"/>
  <c r="BU55" i="193"/>
  <c r="BL55" i="193"/>
  <c r="BC55" i="193"/>
  <c r="AT55" i="193"/>
  <c r="AJ55" i="193"/>
  <c r="AA55" i="193"/>
  <c r="R55" i="193"/>
  <c r="BX55" i="193"/>
  <c r="BK55" i="193"/>
  <c r="AY55" i="193"/>
  <c r="AN55" i="193"/>
  <c r="Z55" i="193"/>
  <c r="BW55" i="193"/>
  <c r="BJ55" i="193"/>
  <c r="AX55" i="193"/>
  <c r="AM55" i="193"/>
  <c r="Y55" i="193"/>
  <c r="BP55" i="193"/>
  <c r="AZ55" i="193"/>
  <c r="AH55" i="193"/>
  <c r="T55" i="193"/>
  <c r="CC55" i="193"/>
  <c r="BO55" i="193"/>
  <c r="AW55" i="193"/>
  <c r="AG55" i="193"/>
  <c r="Q55" i="193"/>
  <c r="CB55" i="193"/>
  <c r="BN55" i="193"/>
  <c r="AV55" i="193"/>
  <c r="AF55" i="193"/>
  <c r="CA55" i="193"/>
  <c r="BH55" i="193"/>
  <c r="AR55" i="193"/>
  <c r="AE55" i="193"/>
  <c r="BZ55" i="193"/>
  <c r="BG55" i="193"/>
  <c r="AQ55" i="193"/>
  <c r="AD55" i="193"/>
  <c r="BT55" i="193"/>
  <c r="BF55" i="193"/>
  <c r="AP55" i="193"/>
  <c r="X55" i="193"/>
  <c r="W55" i="193"/>
  <c r="V55" i="193"/>
  <c r="BS55" i="193"/>
  <c r="BR55" i="193"/>
  <c r="BE55" i="193"/>
  <c r="BB55" i="193"/>
  <c r="AO55" i="193"/>
  <c r="AI55" i="193"/>
  <c r="CA58" i="193"/>
  <c r="BS58" i="193"/>
  <c r="BK58" i="193"/>
  <c r="BC58" i="193"/>
  <c r="AU58" i="193"/>
  <c r="AM58" i="193"/>
  <c r="AE58" i="193"/>
  <c r="W58" i="193"/>
  <c r="BZ58" i="193"/>
  <c r="BR58" i="193"/>
  <c r="BJ58" i="193"/>
  <c r="BB58" i="193"/>
  <c r="AT58" i="193"/>
  <c r="BX58" i="193"/>
  <c r="BN58" i="193"/>
  <c r="BD58" i="193"/>
  <c r="AR58" i="193"/>
  <c r="AI58" i="193"/>
  <c r="Z58" i="193"/>
  <c r="Q58" i="193"/>
  <c r="BW58" i="193"/>
  <c r="BM58" i="193"/>
  <c r="BA58" i="193"/>
  <c r="AQ58" i="193"/>
  <c r="AH58" i="193"/>
  <c r="Y58" i="193"/>
  <c r="CB58" i="193"/>
  <c r="BL58" i="193"/>
  <c r="AX58" i="193"/>
  <c r="AK58" i="193"/>
  <c r="X58" i="193"/>
  <c r="BY58" i="193"/>
  <c r="BI58" i="193"/>
  <c r="AW58" i="193"/>
  <c r="AJ58" i="193"/>
  <c r="V58" i="193"/>
  <c r="BU58" i="193"/>
  <c r="BE58" i="193"/>
  <c r="AL58" i="193"/>
  <c r="T58" i="193"/>
  <c r="BT58" i="193"/>
  <c r="AZ58" i="193"/>
  <c r="AG58" i="193"/>
  <c r="S58" i="193"/>
  <c r="BQ58" i="193"/>
  <c r="AY58" i="193"/>
  <c r="AF58" i="193"/>
  <c r="R58" i="193"/>
  <c r="BP58" i="193"/>
  <c r="AV58" i="193"/>
  <c r="AD58" i="193"/>
  <c r="BO58" i="193"/>
  <c r="AS58" i="193"/>
  <c r="AC58" i="193"/>
  <c r="BH58" i="193"/>
  <c r="AP58" i="193"/>
  <c r="AB58" i="193"/>
  <c r="AO58" i="193"/>
  <c r="AN58" i="193"/>
  <c r="CC58" i="193"/>
  <c r="BV58" i="193"/>
  <c r="BG58" i="193"/>
  <c r="AA58" i="193"/>
  <c r="U58" i="193"/>
  <c r="BF58" i="193"/>
  <c r="BY13" i="193"/>
  <c r="BQ13" i="193"/>
  <c r="BI13" i="193"/>
  <c r="BA13" i="193"/>
  <c r="AS13" i="193"/>
  <c r="AK13" i="193"/>
  <c r="AC13" i="193"/>
  <c r="U13" i="193"/>
  <c r="CC13" i="193"/>
  <c r="BT13" i="193"/>
  <c r="BK13" i="193"/>
  <c r="BB13" i="193"/>
  <c r="AR13" i="193"/>
  <c r="AI13" i="193"/>
  <c r="Z13" i="193"/>
  <c r="Q13" i="193"/>
  <c r="BU13" i="193"/>
  <c r="BJ13" i="193"/>
  <c r="AY13" i="193"/>
  <c r="AO13" i="193"/>
  <c r="AE13" i="193"/>
  <c r="T13" i="193"/>
  <c r="BS13" i="193"/>
  <c r="BH13" i="193"/>
  <c r="AX13" i="193"/>
  <c r="AN13" i="193"/>
  <c r="AD13" i="193"/>
  <c r="S13" i="193"/>
  <c r="CB13" i="193"/>
  <c r="BO13" i="193"/>
  <c r="BC13" i="193"/>
  <c r="AM13" i="193"/>
  <c r="Y13" i="193"/>
  <c r="AJ13" i="193"/>
  <c r="CA13" i="193"/>
  <c r="BN13" i="193"/>
  <c r="AZ13" i="193"/>
  <c r="AL13" i="193"/>
  <c r="X13" i="193"/>
  <c r="BZ13" i="193"/>
  <c r="BM13" i="193"/>
  <c r="AW13" i="193"/>
  <c r="W13" i="193"/>
  <c r="BX13" i="193"/>
  <c r="BL13" i="193"/>
  <c r="AV13" i="193"/>
  <c r="AH13" i="193"/>
  <c r="V13" i="193"/>
  <c r="BP13" i="193"/>
  <c r="AP13" i="193"/>
  <c r="BD13" i="193"/>
  <c r="AA13" i="193"/>
  <c r="AT13" i="193"/>
  <c r="BG13" i="193"/>
  <c r="AG13" i="193"/>
  <c r="BV13" i="193"/>
  <c r="BF13" i="193"/>
  <c r="AF13" i="193"/>
  <c r="BE13" i="193"/>
  <c r="AB13" i="193"/>
  <c r="BW13" i="193"/>
  <c r="AU13" i="193"/>
  <c r="R13" i="193"/>
  <c r="BR13" i="193"/>
  <c r="AQ13" i="193"/>
  <c r="BZ46" i="193"/>
  <c r="BR46" i="193"/>
  <c r="BJ46" i="193"/>
  <c r="BB46" i="193"/>
  <c r="AT46" i="193"/>
  <c r="AL46" i="193"/>
  <c r="AD46" i="193"/>
  <c r="V46" i="193"/>
  <c r="BY46" i="193"/>
  <c r="BQ46" i="193"/>
  <c r="BI46" i="193"/>
  <c r="BA46" i="193"/>
  <c r="AS46" i="193"/>
  <c r="AK46" i="193"/>
  <c r="AC46" i="193"/>
  <c r="U46" i="193"/>
  <c r="BW46" i="193"/>
  <c r="BM46" i="193"/>
  <c r="BC46" i="193"/>
  <c r="AQ46" i="193"/>
  <c r="AG46" i="193"/>
  <c r="W46" i="193"/>
  <c r="BX46" i="193"/>
  <c r="BL46" i="193"/>
  <c r="AY46" i="193"/>
  <c r="AN46" i="193"/>
  <c r="AA46" i="193"/>
  <c r="BV46" i="193"/>
  <c r="BK46" i="193"/>
  <c r="AX46" i="193"/>
  <c r="AM46" i="193"/>
  <c r="Z46" i="193"/>
  <c r="BP46" i="193"/>
  <c r="AZ46" i="193"/>
  <c r="AI46" i="193"/>
  <c r="S46" i="193"/>
  <c r="BO46" i="193"/>
  <c r="AW46" i="193"/>
  <c r="AH46" i="193"/>
  <c r="R46" i="193"/>
  <c r="CB46" i="193"/>
  <c r="BH46" i="193"/>
  <c r="AU46" i="193"/>
  <c r="AE46" i="193"/>
  <c r="BT46" i="193"/>
  <c r="AR46" i="193"/>
  <c r="T46" i="193"/>
  <c r="BS46" i="193"/>
  <c r="AP46" i="193"/>
  <c r="Q46" i="193"/>
  <c r="BN46" i="193"/>
  <c r="AO46" i="193"/>
  <c r="AV46" i="193"/>
  <c r="CC46" i="193"/>
  <c r="AJ46" i="193"/>
  <c r="CA46" i="193"/>
  <c r="AF46" i="193"/>
  <c r="BU46" i="193"/>
  <c r="AB46" i="193"/>
  <c r="Y46" i="193"/>
  <c r="X46" i="193"/>
  <c r="BG46" i="193"/>
  <c r="BF46" i="193"/>
  <c r="BE46" i="193"/>
  <c r="BD46" i="193"/>
  <c r="CB45" i="193"/>
  <c r="BT45" i="193"/>
  <c r="BL45" i="193"/>
  <c r="BD45" i="193"/>
  <c r="AV45" i="193"/>
  <c r="AN45" i="193"/>
  <c r="AF45" i="193"/>
  <c r="X45" i="193"/>
  <c r="CA45" i="193"/>
  <c r="BS45" i="193"/>
  <c r="BK45" i="193"/>
  <c r="BC45" i="193"/>
  <c r="AU45" i="193"/>
  <c r="AM45" i="193"/>
  <c r="AE45" i="193"/>
  <c r="W45" i="193"/>
  <c r="BW45" i="193"/>
  <c r="BM45" i="193"/>
  <c r="BA45" i="193"/>
  <c r="AQ45" i="193"/>
  <c r="AG45" i="193"/>
  <c r="U45" i="193"/>
  <c r="BY45" i="193"/>
  <c r="BN45" i="193"/>
  <c r="AZ45" i="193"/>
  <c r="AO45" i="193"/>
  <c r="AB45" i="193"/>
  <c r="Q45" i="193"/>
  <c r="BX45" i="193"/>
  <c r="BJ45" i="193"/>
  <c r="AY45" i="193"/>
  <c r="AL45" i="193"/>
  <c r="AA45" i="193"/>
  <c r="BZ45" i="193"/>
  <c r="BH45" i="193"/>
  <c r="AS45" i="193"/>
  <c r="AC45" i="193"/>
  <c r="BV45" i="193"/>
  <c r="BG45" i="193"/>
  <c r="AR45" i="193"/>
  <c r="Z45" i="193"/>
  <c r="BR45" i="193"/>
  <c r="BE45" i="193"/>
  <c r="AK45" i="193"/>
  <c r="V45" i="193"/>
  <c r="BQ45" i="193"/>
  <c r="AT45" i="193"/>
  <c r="S45" i="193"/>
  <c r="BP45" i="193"/>
  <c r="AP45" i="193"/>
  <c r="R45" i="193"/>
  <c r="BO45" i="193"/>
  <c r="AJ45" i="193"/>
  <c r="AW45" i="193"/>
  <c r="AI45" i="193"/>
  <c r="CC45" i="193"/>
  <c r="AH45" i="193"/>
  <c r="BU45" i="193"/>
  <c r="AD45" i="193"/>
  <c r="Y45" i="193"/>
  <c r="T45" i="193"/>
  <c r="BI45" i="193"/>
  <c r="BF45" i="193"/>
  <c r="BB45" i="193"/>
  <c r="AX45" i="193"/>
  <c r="BZ39" i="193"/>
  <c r="BR39" i="193"/>
  <c r="BJ39" i="193"/>
  <c r="BB39" i="193"/>
  <c r="BX39" i="193"/>
  <c r="BO39" i="193"/>
  <c r="BF39" i="193"/>
  <c r="AW39" i="193"/>
  <c r="AO39" i="193"/>
  <c r="AG39" i="193"/>
  <c r="Y39" i="193"/>
  <c r="Q39" i="193"/>
  <c r="CC39" i="193"/>
  <c r="BS39" i="193"/>
  <c r="BH39" i="193"/>
  <c r="AX39" i="193"/>
  <c r="AN39" i="193"/>
  <c r="AE39" i="193"/>
  <c r="V39" i="193"/>
  <c r="BY39" i="193"/>
  <c r="BN39" i="193"/>
  <c r="BD39" i="193"/>
  <c r="AT39" i="193"/>
  <c r="AK39" i="193"/>
  <c r="AB39" i="193"/>
  <c r="S39" i="193"/>
  <c r="BW39" i="193"/>
  <c r="BK39" i="193"/>
  <c r="AV39" i="193"/>
  <c r="AJ39" i="193"/>
  <c r="X39" i="193"/>
  <c r="BV39" i="193"/>
  <c r="BI39" i="193"/>
  <c r="AU39" i="193"/>
  <c r="AI39" i="193"/>
  <c r="W39" i="193"/>
  <c r="BU39" i="193"/>
  <c r="BG39" i="193"/>
  <c r="AS39" i="193"/>
  <c r="AH39" i="193"/>
  <c r="U39" i="193"/>
  <c r="BM39" i="193"/>
  <c r="AQ39" i="193"/>
  <c r="Z39" i="193"/>
  <c r="BL39" i="193"/>
  <c r="AP39" i="193"/>
  <c r="T39" i="193"/>
  <c r="BE39" i="193"/>
  <c r="AM39" i="193"/>
  <c r="R39" i="193"/>
  <c r="CB39" i="193"/>
  <c r="BC39" i="193"/>
  <c r="AL39" i="193"/>
  <c r="AZ39" i="193"/>
  <c r="AY39" i="193"/>
  <c r="AR39" i="193"/>
  <c r="CA39" i="193"/>
  <c r="AF39" i="193"/>
  <c r="BT39" i="193"/>
  <c r="AD39" i="193"/>
  <c r="BQ39" i="193"/>
  <c r="AC39" i="193"/>
  <c r="BA39" i="193"/>
  <c r="BP39" i="193"/>
  <c r="AA39" i="193"/>
  <c r="CA32" i="193"/>
  <c r="BS32" i="193"/>
  <c r="BK32" i="193"/>
  <c r="BC32" i="193"/>
  <c r="AU32" i="193"/>
  <c r="AM32" i="193"/>
  <c r="AE32" i="193"/>
  <c r="W32" i="193"/>
  <c r="BV32" i="193"/>
  <c r="BM32" i="193"/>
  <c r="BD32" i="193"/>
  <c r="AT32" i="193"/>
  <c r="AK32" i="193"/>
  <c r="AB32" i="193"/>
  <c r="S32" i="193"/>
  <c r="BU32" i="193"/>
  <c r="BJ32" i="193"/>
  <c r="AZ32" i="193"/>
  <c r="AP32" i="193"/>
  <c r="AF32" i="193"/>
  <c r="U32" i="193"/>
  <c r="BT32" i="193"/>
  <c r="BI32" i="193"/>
  <c r="AY32" i="193"/>
  <c r="AO32" i="193"/>
  <c r="AD32" i="193"/>
  <c r="T32" i="193"/>
  <c r="CC32" i="193"/>
  <c r="BP32" i="193"/>
  <c r="BB32" i="193"/>
  <c r="AN32" i="193"/>
  <c r="Z32" i="193"/>
  <c r="CB32" i="193"/>
  <c r="BO32" i="193"/>
  <c r="BA32" i="193"/>
  <c r="AL32" i="193"/>
  <c r="Y32" i="193"/>
  <c r="BZ32" i="193"/>
  <c r="BN32" i="193"/>
  <c r="AX32" i="193"/>
  <c r="AJ32" i="193"/>
  <c r="X32" i="193"/>
  <c r="BY32" i="193"/>
  <c r="BL32" i="193"/>
  <c r="AW32" i="193"/>
  <c r="AI32" i="193"/>
  <c r="V32" i="193"/>
  <c r="BE32" i="193"/>
  <c r="AA32" i="193"/>
  <c r="BX32" i="193"/>
  <c r="AV32" i="193"/>
  <c r="R32" i="193"/>
  <c r="BW32" i="193"/>
  <c r="AS32" i="193"/>
  <c r="Q32" i="193"/>
  <c r="BR32" i="193"/>
  <c r="AR32" i="193"/>
  <c r="BQ32" i="193"/>
  <c r="AQ32" i="193"/>
  <c r="BH32" i="193"/>
  <c r="AH32" i="193"/>
  <c r="BG32" i="193"/>
  <c r="AC32" i="193"/>
  <c r="BF32" i="193"/>
  <c r="AG32" i="193"/>
  <c r="BY29" i="193"/>
  <c r="BQ29" i="193"/>
  <c r="BI29" i="193"/>
  <c r="BA29" i="193"/>
  <c r="AS29" i="193"/>
  <c r="AK29" i="193"/>
  <c r="AC29" i="193"/>
  <c r="U29" i="193"/>
  <c r="BX29" i="193"/>
  <c r="BO29" i="193"/>
  <c r="BF29" i="193"/>
  <c r="AW29" i="193"/>
  <c r="AN29" i="193"/>
  <c r="AE29" i="193"/>
  <c r="V29" i="193"/>
  <c r="BZ29" i="193"/>
  <c r="BN29" i="193"/>
  <c r="BD29" i="193"/>
  <c r="AT29" i="193"/>
  <c r="AI29" i="193"/>
  <c r="Y29" i="193"/>
  <c r="BW29" i="193"/>
  <c r="BM29" i="193"/>
  <c r="BC29" i="193"/>
  <c r="AR29" i="193"/>
  <c r="AH29" i="193"/>
  <c r="X29" i="193"/>
  <c r="BT29" i="193"/>
  <c r="BG29" i="193"/>
  <c r="AQ29" i="193"/>
  <c r="AD29" i="193"/>
  <c r="Q29" i="193"/>
  <c r="BS29" i="193"/>
  <c r="BE29" i="193"/>
  <c r="AP29" i="193"/>
  <c r="AB29" i="193"/>
  <c r="BR29" i="193"/>
  <c r="BB29" i="193"/>
  <c r="AO29" i="193"/>
  <c r="AA29" i="193"/>
  <c r="CC29" i="193"/>
  <c r="BP29" i="193"/>
  <c r="AZ29" i="193"/>
  <c r="AM29" i="193"/>
  <c r="Z29" i="193"/>
  <c r="BJ29" i="193"/>
  <c r="AG29" i="193"/>
  <c r="BH29" i="193"/>
  <c r="AF29" i="193"/>
  <c r="CB29" i="193"/>
  <c r="AY29" i="193"/>
  <c r="W29" i="193"/>
  <c r="CA29" i="193"/>
  <c r="AX29" i="193"/>
  <c r="T29" i="193"/>
  <c r="BV29" i="193"/>
  <c r="AV29" i="193"/>
  <c r="S29" i="193"/>
  <c r="BU29" i="193"/>
  <c r="AU29" i="193"/>
  <c r="R29" i="193"/>
  <c r="BL29" i="193"/>
  <c r="AL29" i="193"/>
  <c r="BK29" i="193"/>
  <c r="AJ29" i="193"/>
  <c r="BV12" i="193"/>
  <c r="BN12" i="193"/>
  <c r="BF12" i="193"/>
  <c r="AX12" i="193"/>
  <c r="AP12" i="193"/>
  <c r="AH12" i="193"/>
  <c r="Z12" i="193"/>
  <c r="R12" i="193"/>
  <c r="BW12" i="193"/>
  <c r="BM12" i="193"/>
  <c r="BD12" i="193"/>
  <c r="AU12" i="193"/>
  <c r="AL12" i="193"/>
  <c r="AC12" i="193"/>
  <c r="T12" i="193"/>
  <c r="BU12" i="193"/>
  <c r="BL12" i="193"/>
  <c r="BC12" i="193"/>
  <c r="AT12" i="193"/>
  <c r="AK12" i="193"/>
  <c r="AB12" i="193"/>
  <c r="S12" i="193"/>
  <c r="BT12" i="193"/>
  <c r="BI12" i="193"/>
  <c r="AW12" i="193"/>
  <c r="AJ12" i="193"/>
  <c r="X12" i="193"/>
  <c r="CC12" i="193"/>
  <c r="BR12" i="193"/>
  <c r="BG12" i="193"/>
  <c r="AS12" i="193"/>
  <c r="AG12" i="193"/>
  <c r="V12" i="193"/>
  <c r="BS12" i="193"/>
  <c r="BH12" i="193"/>
  <c r="AV12" i="193"/>
  <c r="AI12" i="193"/>
  <c r="W12" i="193"/>
  <c r="CB12" i="193"/>
  <c r="BQ12" i="193"/>
  <c r="BE12" i="193"/>
  <c r="AR12" i="193"/>
  <c r="AF12" i="193"/>
  <c r="U12" i="193"/>
  <c r="BK12" i="193"/>
  <c r="AN12" i="193"/>
  <c r="BZ12" i="193"/>
  <c r="BY12" i="193"/>
  <c r="AZ12" i="193"/>
  <c r="AQ12" i="193"/>
  <c r="BJ12" i="193"/>
  <c r="AM12" i="193"/>
  <c r="AA12" i="193"/>
  <c r="BP12" i="193"/>
  <c r="Q12" i="193"/>
  <c r="CA12" i="193"/>
  <c r="BB12" i="193"/>
  <c r="AE12" i="193"/>
  <c r="BA12" i="193"/>
  <c r="AD12" i="193"/>
  <c r="BX12" i="193"/>
  <c r="AY12" i="193"/>
  <c r="Y12" i="193"/>
  <c r="BO12" i="193"/>
  <c r="AO12" i="193"/>
  <c r="BY17" i="193"/>
  <c r="BQ17" i="193"/>
  <c r="BI17" i="193"/>
  <c r="BA17" i="193"/>
  <c r="AS17" i="193"/>
  <c r="AK17" i="193"/>
  <c r="AC17" i="193"/>
  <c r="U17" i="193"/>
  <c r="BZ17" i="193"/>
  <c r="BP17" i="193"/>
  <c r="BG17" i="193"/>
  <c r="AX17" i="193"/>
  <c r="AO17" i="193"/>
  <c r="AF17" i="193"/>
  <c r="W17" i="193"/>
  <c r="CB17" i="193"/>
  <c r="BR17" i="193"/>
  <c r="BF17" i="193"/>
  <c r="AV17" i="193"/>
  <c r="AL17" i="193"/>
  <c r="AA17" i="193"/>
  <c r="Q17" i="193"/>
  <c r="CA17" i="193"/>
  <c r="BO17" i="193"/>
  <c r="BE17" i="193"/>
  <c r="AU17" i="193"/>
  <c r="AJ17" i="193"/>
  <c r="Z17" i="193"/>
  <c r="BX17" i="193"/>
  <c r="BN17" i="193"/>
  <c r="BD17" i="193"/>
  <c r="AT17" i="193"/>
  <c r="AI17" i="193"/>
  <c r="Y17" i="193"/>
  <c r="BM17" i="193"/>
  <c r="AY17" i="193"/>
  <c r="AG17" i="193"/>
  <c r="R17" i="193"/>
  <c r="BL17" i="193"/>
  <c r="AW17" i="193"/>
  <c r="AE17" i="193"/>
  <c r="CC17" i="193"/>
  <c r="BK17" i="193"/>
  <c r="AR17" i="193"/>
  <c r="AD17" i="193"/>
  <c r="BW17" i="193"/>
  <c r="BJ17" i="193"/>
  <c r="AQ17" i="193"/>
  <c r="AB17" i="193"/>
  <c r="BU17" i="193"/>
  <c r="AN17" i="193"/>
  <c r="V17" i="193"/>
  <c r="AZ17" i="193"/>
  <c r="BT17" i="193"/>
  <c r="AM17" i="193"/>
  <c r="BC17" i="193"/>
  <c r="S17" i="193"/>
  <c r="BS17" i="193"/>
  <c r="AH17" i="193"/>
  <c r="BH17" i="193"/>
  <c r="X17" i="193"/>
  <c r="BB17" i="193"/>
  <c r="T17" i="193"/>
  <c r="BV17" i="193"/>
  <c r="AP17" i="193"/>
  <c r="BZ10" i="193"/>
  <c r="BR10" i="193"/>
  <c r="BJ10" i="193"/>
  <c r="BB10" i="193"/>
  <c r="AT10" i="193"/>
  <c r="AL10" i="193"/>
  <c r="AD10" i="193"/>
  <c r="V10" i="193"/>
  <c r="BY10" i="193"/>
  <c r="BP10" i="193"/>
  <c r="BG10" i="193"/>
  <c r="AX10" i="193"/>
  <c r="AO10" i="193"/>
  <c r="AF10" i="193"/>
  <c r="W10" i="193"/>
  <c r="BX10" i="193"/>
  <c r="BO10" i="193"/>
  <c r="BF10" i="193"/>
  <c r="AW10" i="193"/>
  <c r="AN10" i="193"/>
  <c r="AE10" i="193"/>
  <c r="U10" i="193"/>
  <c r="CA10" i="193"/>
  <c r="BM10" i="193"/>
  <c r="BA10" i="193"/>
  <c r="AP10" i="193"/>
  <c r="AB10" i="193"/>
  <c r="Q10" i="193"/>
  <c r="BV10" i="193"/>
  <c r="BK10" i="193"/>
  <c r="AY10" i="193"/>
  <c r="AK10" i="193"/>
  <c r="Z10" i="193"/>
  <c r="BW10" i="193"/>
  <c r="BL10" i="193"/>
  <c r="AZ10" i="193"/>
  <c r="AM10" i="193"/>
  <c r="AA10" i="193"/>
  <c r="BU10" i="193"/>
  <c r="BI10" i="193"/>
  <c r="AV10" i="193"/>
  <c r="AJ10" i="193"/>
  <c r="Y10" i="193"/>
  <c r="BT10" i="193"/>
  <c r="AU10" i="193"/>
  <c r="X10" i="193"/>
  <c r="BH10" i="193"/>
  <c r="BD10" i="193"/>
  <c r="AG10" i="193"/>
  <c r="BS10" i="193"/>
  <c r="AS10" i="193"/>
  <c r="T10" i="193"/>
  <c r="CC10" i="193"/>
  <c r="BQ10" i="193"/>
  <c r="AR10" i="193"/>
  <c r="S10" i="193"/>
  <c r="BN10" i="193"/>
  <c r="AQ10" i="193"/>
  <c r="R10" i="193"/>
  <c r="AI10" i="193"/>
  <c r="BE10" i="193"/>
  <c r="AH10" i="193"/>
  <c r="CB10" i="193"/>
  <c r="BC10" i="193"/>
  <c r="AC10" i="193"/>
  <c r="BY37" i="193"/>
  <c r="BQ37" i="193"/>
  <c r="BI37" i="193"/>
  <c r="BA37" i="193"/>
  <c r="AS37" i="193"/>
  <c r="AK37" i="193"/>
  <c r="AC37" i="193"/>
  <c r="U37" i="193"/>
  <c r="CA37" i="193"/>
  <c r="BR37" i="193"/>
  <c r="BH37" i="193"/>
  <c r="AY37" i="193"/>
  <c r="AP37" i="193"/>
  <c r="AG37" i="193"/>
  <c r="X37" i="193"/>
  <c r="CB37" i="193"/>
  <c r="BP37" i="193"/>
  <c r="BF37" i="193"/>
  <c r="AV37" i="193"/>
  <c r="AL37" i="193"/>
  <c r="AA37" i="193"/>
  <c r="Q37" i="193"/>
  <c r="BZ37" i="193"/>
  <c r="BO37" i="193"/>
  <c r="BE37" i="193"/>
  <c r="AU37" i="193"/>
  <c r="AJ37" i="193"/>
  <c r="Z37" i="193"/>
  <c r="BX37" i="193"/>
  <c r="BN37" i="193"/>
  <c r="BD37" i="193"/>
  <c r="AT37" i="193"/>
  <c r="AI37" i="193"/>
  <c r="Y37" i="193"/>
  <c r="BL37" i="193"/>
  <c r="AW37" i="193"/>
  <c r="AE37" i="193"/>
  <c r="CC37" i="193"/>
  <c r="BK37" i="193"/>
  <c r="AR37" i="193"/>
  <c r="AD37" i="193"/>
  <c r="BW37" i="193"/>
  <c r="BJ37" i="193"/>
  <c r="AQ37" i="193"/>
  <c r="AB37" i="193"/>
  <c r="BV37" i="193"/>
  <c r="BG37" i="193"/>
  <c r="AO37" i="193"/>
  <c r="W37" i="193"/>
  <c r="BB37" i="193"/>
  <c r="T37" i="193"/>
  <c r="AZ37" i="193"/>
  <c r="S37" i="193"/>
  <c r="AX37" i="193"/>
  <c r="R37" i="193"/>
  <c r="BU37" i="193"/>
  <c r="AN37" i="193"/>
  <c r="BT37" i="193"/>
  <c r="AM37" i="193"/>
  <c r="BS37" i="193"/>
  <c r="AH37" i="193"/>
  <c r="V37" i="193"/>
  <c r="BC37" i="193"/>
  <c r="BM37" i="193"/>
  <c r="AF37" i="193"/>
  <c r="CA54" i="193"/>
  <c r="BS54" i="193"/>
  <c r="BK54" i="193"/>
  <c r="BC54" i="193"/>
  <c r="AU54" i="193"/>
  <c r="AM54" i="193"/>
  <c r="AE54" i="193"/>
  <c r="W54" i="193"/>
  <c r="BW54" i="193"/>
  <c r="BN54" i="193"/>
  <c r="BE54" i="193"/>
  <c r="AV54" i="193"/>
  <c r="AL54" i="193"/>
  <c r="AC54" i="193"/>
  <c r="T54" i="193"/>
  <c r="BV54" i="193"/>
  <c r="BM54" i="193"/>
  <c r="BD54" i="193"/>
  <c r="AT54" i="193"/>
  <c r="AK54" i="193"/>
  <c r="AB54" i="193"/>
  <c r="S54" i="193"/>
  <c r="BY54" i="193"/>
  <c r="BL54" i="193"/>
  <c r="AZ54" i="193"/>
  <c r="AO54" i="193"/>
  <c r="AA54" i="193"/>
  <c r="BX54" i="193"/>
  <c r="BJ54" i="193"/>
  <c r="AY54" i="193"/>
  <c r="AN54" i="193"/>
  <c r="Z54" i="193"/>
  <c r="BZ54" i="193"/>
  <c r="BH54" i="193"/>
  <c r="AR54" i="193"/>
  <c r="AD54" i="193"/>
  <c r="BU54" i="193"/>
  <c r="BG54" i="193"/>
  <c r="AQ54" i="193"/>
  <c r="BP54" i="193"/>
  <c r="AX54" i="193"/>
  <c r="AH54" i="193"/>
  <c r="R54" i="193"/>
  <c r="BO54" i="193"/>
  <c r="AJ54" i="193"/>
  <c r="Q54" i="193"/>
  <c r="BI54" i="193"/>
  <c r="AI54" i="193"/>
  <c r="CB54" i="193"/>
  <c r="AS54" i="193"/>
  <c r="BT54" i="193"/>
  <c r="AP54" i="193"/>
  <c r="BR54" i="193"/>
  <c r="AG54" i="193"/>
  <c r="BQ54" i="193"/>
  <c r="AF54" i="193"/>
  <c r="BF54" i="193"/>
  <c r="BB54" i="193"/>
  <c r="BA54" i="193"/>
  <c r="CC54" i="193"/>
  <c r="AW54" i="193"/>
  <c r="Y54" i="193"/>
  <c r="X54" i="193"/>
  <c r="V54" i="193"/>
  <c r="U54" i="193"/>
  <c r="BW56" i="193"/>
  <c r="BO56" i="193"/>
  <c r="BG56" i="193"/>
  <c r="AY56" i="193"/>
  <c r="AQ56" i="193"/>
  <c r="AI56" i="193"/>
  <c r="AA56" i="193"/>
  <c r="S56" i="193"/>
  <c r="BU56" i="193"/>
  <c r="BL56" i="193"/>
  <c r="BC56" i="193"/>
  <c r="AT56" i="193"/>
  <c r="AK56" i="193"/>
  <c r="AB56" i="193"/>
  <c r="R56" i="193"/>
  <c r="CC56" i="193"/>
  <c r="BT56" i="193"/>
  <c r="BK56" i="193"/>
  <c r="BB56" i="193"/>
  <c r="AS56" i="193"/>
  <c r="AJ56" i="193"/>
  <c r="Z56" i="193"/>
  <c r="Q56" i="193"/>
  <c r="BX56" i="193"/>
  <c r="BJ56" i="193"/>
  <c r="AX56" i="193"/>
  <c r="AM56" i="193"/>
  <c r="Y56" i="193"/>
  <c r="BV56" i="193"/>
  <c r="BI56" i="193"/>
  <c r="AW56" i="193"/>
  <c r="AL56" i="193"/>
  <c r="X56" i="193"/>
  <c r="BY56" i="193"/>
  <c r="BF56" i="193"/>
  <c r="AP56" i="193"/>
  <c r="AC56" i="193"/>
  <c r="BS56" i="193"/>
  <c r="BE56" i="193"/>
  <c r="AO56" i="193"/>
  <c r="W56" i="193"/>
  <c r="BR56" i="193"/>
  <c r="BD56" i="193"/>
  <c r="AN56" i="193"/>
  <c r="V56" i="193"/>
  <c r="BQ56" i="193"/>
  <c r="BA56" i="193"/>
  <c r="AH56" i="193"/>
  <c r="U56" i="193"/>
  <c r="BP56" i="193"/>
  <c r="AZ56" i="193"/>
  <c r="AG56" i="193"/>
  <c r="T56" i="193"/>
  <c r="CB56" i="193"/>
  <c r="BN56" i="193"/>
  <c r="AV56" i="193"/>
  <c r="AF56" i="193"/>
  <c r="CA56" i="193"/>
  <c r="BZ56" i="193"/>
  <c r="BM56" i="193"/>
  <c r="BH56" i="193"/>
  <c r="AU56" i="193"/>
  <c r="AR56" i="193"/>
  <c r="AE56" i="193"/>
  <c r="AD56" i="193"/>
  <c r="CA65" i="193"/>
  <c r="BS65" i="193"/>
  <c r="BK65" i="193"/>
  <c r="BC65" i="193"/>
  <c r="AU65" i="193"/>
  <c r="AM65" i="193"/>
  <c r="AE65" i="193"/>
  <c r="W65" i="193"/>
  <c r="BV65" i="193"/>
  <c r="BM65" i="193"/>
  <c r="BD65" i="193"/>
  <c r="AT65" i="193"/>
  <c r="AK65" i="193"/>
  <c r="AB65" i="193"/>
  <c r="S65" i="193"/>
  <c r="BU65" i="193"/>
  <c r="BL65" i="193"/>
  <c r="BB65" i="193"/>
  <c r="AS65" i="193"/>
  <c r="AJ65" i="193"/>
  <c r="AA65" i="193"/>
  <c r="R65" i="193"/>
  <c r="CC65" i="193"/>
  <c r="BT65" i="193"/>
  <c r="BJ65" i="193"/>
  <c r="BA65" i="193"/>
  <c r="AR65" i="193"/>
  <c r="AI65" i="193"/>
  <c r="Z65" i="193"/>
  <c r="Q65" i="193"/>
  <c r="CB65" i="193"/>
  <c r="BO65" i="193"/>
  <c r="AY65" i="193"/>
  <c r="AL65" i="193"/>
  <c r="V65" i="193"/>
  <c r="BZ65" i="193"/>
  <c r="BN65" i="193"/>
  <c r="AX65" i="193"/>
  <c r="AH65" i="193"/>
  <c r="U65" i="193"/>
  <c r="BH65" i="193"/>
  <c r="AP65" i="193"/>
  <c r="X65" i="193"/>
  <c r="BY65" i="193"/>
  <c r="BG65" i="193"/>
  <c r="AO65" i="193"/>
  <c r="T65" i="193"/>
  <c r="BQ65" i="193"/>
  <c r="AQ65" i="193"/>
  <c r="BP65" i="193"/>
  <c r="AN65" i="193"/>
  <c r="BI65" i="193"/>
  <c r="AG65" i="193"/>
  <c r="BF65" i="193"/>
  <c r="AF65" i="193"/>
  <c r="BE65" i="193"/>
  <c r="AD65" i="193"/>
  <c r="BX65" i="193"/>
  <c r="AZ65" i="193"/>
  <c r="AC65" i="193"/>
  <c r="BW65" i="193"/>
  <c r="AW65" i="193"/>
  <c r="Y65" i="193"/>
  <c r="BR65" i="193"/>
  <c r="AV65" i="193"/>
  <c r="CC31" i="193"/>
  <c r="BU31" i="193"/>
  <c r="BM31" i="193"/>
  <c r="BE31" i="193"/>
  <c r="AW31" i="193"/>
  <c r="AO31" i="193"/>
  <c r="AG31" i="193"/>
  <c r="Y31" i="193"/>
  <c r="Q31" i="193"/>
  <c r="BW31" i="193"/>
  <c r="BN31" i="193"/>
  <c r="BD31" i="193"/>
  <c r="AU31" i="193"/>
  <c r="AL31" i="193"/>
  <c r="AC31" i="193"/>
  <c r="T31" i="193"/>
  <c r="BV31" i="193"/>
  <c r="BK31" i="193"/>
  <c r="BA31" i="193"/>
  <c r="AQ31" i="193"/>
  <c r="AF31" i="193"/>
  <c r="V31" i="193"/>
  <c r="BT31" i="193"/>
  <c r="BJ31" i="193"/>
  <c r="AZ31" i="193"/>
  <c r="AP31" i="193"/>
  <c r="AE31" i="193"/>
  <c r="U31" i="193"/>
  <c r="BS31" i="193"/>
  <c r="BG31" i="193"/>
  <c r="AS31" i="193"/>
  <c r="AD31" i="193"/>
  <c r="BR31" i="193"/>
  <c r="BF31" i="193"/>
  <c r="AR31" i="193"/>
  <c r="AB31" i="193"/>
  <c r="BQ31" i="193"/>
  <c r="BC31" i="193"/>
  <c r="AN31" i="193"/>
  <c r="AA31" i="193"/>
  <c r="CB31" i="193"/>
  <c r="BP31" i="193"/>
  <c r="BB31" i="193"/>
  <c r="AM31" i="193"/>
  <c r="Z31" i="193"/>
  <c r="BY31" i="193"/>
  <c r="AV31" i="193"/>
  <c r="S31" i="193"/>
  <c r="BX31" i="193"/>
  <c r="AT31" i="193"/>
  <c r="R31" i="193"/>
  <c r="BO31" i="193"/>
  <c r="AK31" i="193"/>
  <c r="BL31" i="193"/>
  <c r="AJ31" i="193"/>
  <c r="BI31" i="193"/>
  <c r="AI31" i="193"/>
  <c r="BH31" i="193"/>
  <c r="AH31" i="193"/>
  <c r="AY31" i="193"/>
  <c r="CA31" i="193"/>
  <c r="AX31" i="193"/>
  <c r="X31" i="193"/>
  <c r="W31" i="193"/>
  <c r="BZ31" i="193"/>
  <c r="BY33" i="193"/>
  <c r="BQ33" i="193"/>
  <c r="BI33" i="193"/>
  <c r="BA33" i="193"/>
  <c r="AS33" i="193"/>
  <c r="AK33" i="193"/>
  <c r="AC33" i="193"/>
  <c r="U33" i="193"/>
  <c r="BU33" i="193"/>
  <c r="BL33" i="193"/>
  <c r="BC33" i="193"/>
  <c r="AT33" i="193"/>
  <c r="AJ33" i="193"/>
  <c r="AA33" i="193"/>
  <c r="R33" i="193"/>
  <c r="BT33" i="193"/>
  <c r="BJ33" i="193"/>
  <c r="AY33" i="193"/>
  <c r="AO33" i="193"/>
  <c r="AE33" i="193"/>
  <c r="T33" i="193"/>
  <c r="CC33" i="193"/>
  <c r="BS33" i="193"/>
  <c r="BH33" i="193"/>
  <c r="AX33" i="193"/>
  <c r="AN33" i="193"/>
  <c r="AD33" i="193"/>
  <c r="S33" i="193"/>
  <c r="BZ33" i="193"/>
  <c r="BM33" i="193"/>
  <c r="AW33" i="193"/>
  <c r="AI33" i="193"/>
  <c r="W33" i="193"/>
  <c r="BX33" i="193"/>
  <c r="BK33" i="193"/>
  <c r="AV33" i="193"/>
  <c r="AH33" i="193"/>
  <c r="V33" i="193"/>
  <c r="BW33" i="193"/>
  <c r="BG33" i="193"/>
  <c r="AU33" i="193"/>
  <c r="AG33" i="193"/>
  <c r="Q33" i="193"/>
  <c r="BV33" i="193"/>
  <c r="BF33" i="193"/>
  <c r="AR33" i="193"/>
  <c r="AF33" i="193"/>
  <c r="BN33" i="193"/>
  <c r="AL33" i="193"/>
  <c r="BE33" i="193"/>
  <c r="AB33" i="193"/>
  <c r="BD33" i="193"/>
  <c r="Z33" i="193"/>
  <c r="CB33" i="193"/>
  <c r="BB33" i="193"/>
  <c r="Y33" i="193"/>
  <c r="CA33" i="193"/>
  <c r="AZ33" i="193"/>
  <c r="X33" i="193"/>
  <c r="BR33" i="193"/>
  <c r="AQ33" i="193"/>
  <c r="BO33" i="193"/>
  <c r="AM33" i="193"/>
  <c r="BP33" i="193"/>
  <c r="AP33" i="193"/>
  <c r="BY62" i="193"/>
  <c r="BQ62" i="193"/>
  <c r="BI62" i="193"/>
  <c r="BA62" i="193"/>
  <c r="AS62" i="193"/>
  <c r="AK62" i="193"/>
  <c r="AC62" i="193"/>
  <c r="U62" i="193"/>
  <c r="BX62" i="193"/>
  <c r="BO62" i="193"/>
  <c r="BF62" i="193"/>
  <c r="AW62" i="193"/>
  <c r="AN62" i="193"/>
  <c r="AE62" i="193"/>
  <c r="V62" i="193"/>
  <c r="BW62" i="193"/>
  <c r="BN62" i="193"/>
  <c r="BE62" i="193"/>
  <c r="AV62" i="193"/>
  <c r="AM62" i="193"/>
  <c r="AD62" i="193"/>
  <c r="T62" i="193"/>
  <c r="BV62" i="193"/>
  <c r="BM62" i="193"/>
  <c r="BD62" i="193"/>
  <c r="AU62" i="193"/>
  <c r="AL62" i="193"/>
  <c r="AB62" i="193"/>
  <c r="S62" i="193"/>
  <c r="BS62" i="193"/>
  <c r="BC62" i="193"/>
  <c r="AP62" i="193"/>
  <c r="Z62" i="193"/>
  <c r="BR62" i="193"/>
  <c r="BB62" i="193"/>
  <c r="AO62" i="193"/>
  <c r="Y62" i="193"/>
  <c r="BU62" i="193"/>
  <c r="AZ62" i="193"/>
  <c r="AH62" i="193"/>
  <c r="BT62" i="193"/>
  <c r="AY62" i="193"/>
  <c r="AG62" i="193"/>
  <c r="BJ62" i="193"/>
  <c r="AI62" i="193"/>
  <c r="CC62" i="193"/>
  <c r="BH62" i="193"/>
  <c r="AF62" i="193"/>
  <c r="CB62" i="193"/>
  <c r="BG62" i="193"/>
  <c r="AA62" i="193"/>
  <c r="CA62" i="193"/>
  <c r="AX62" i="193"/>
  <c r="X62" i="193"/>
  <c r="BZ62" i="193"/>
  <c r="AT62" i="193"/>
  <c r="W62" i="193"/>
  <c r="BP62" i="193"/>
  <c r="AR62" i="193"/>
  <c r="R62" i="193"/>
  <c r="BL62" i="193"/>
  <c r="AQ62" i="193"/>
  <c r="Q62" i="193"/>
  <c r="BK62" i="193"/>
  <c r="AJ62" i="193"/>
  <c r="BV8" i="193"/>
  <c r="BN8" i="193"/>
  <c r="BF8" i="193"/>
  <c r="AX8" i="193"/>
  <c r="AP8" i="193"/>
  <c r="AH8" i="193"/>
  <c r="Z8" i="193"/>
  <c r="R8" i="193"/>
  <c r="CA8" i="193"/>
  <c r="BR8" i="193"/>
  <c r="BI8" i="193"/>
  <c r="AZ8" i="193"/>
  <c r="AQ8" i="193"/>
  <c r="AG8" i="193"/>
  <c r="X8" i="193"/>
  <c r="BZ8" i="193"/>
  <c r="BQ8" i="193"/>
  <c r="BH8" i="193"/>
  <c r="AY8" i="193"/>
  <c r="AO8" i="193"/>
  <c r="AF8" i="193"/>
  <c r="W8" i="193"/>
  <c r="CC8" i="193"/>
  <c r="BP8" i="193"/>
  <c r="BD8" i="193"/>
  <c r="AS8" i="193"/>
  <c r="AE8" i="193"/>
  <c r="T8" i="193"/>
  <c r="BY8" i="193"/>
  <c r="BM8" i="193"/>
  <c r="BB8" i="193"/>
  <c r="AN8" i="193"/>
  <c r="AC8" i="193"/>
  <c r="Q8" i="193"/>
  <c r="CB8" i="193"/>
  <c r="BO8" i="193"/>
  <c r="BC8" i="193"/>
  <c r="AR8" i="193"/>
  <c r="AD8" i="193"/>
  <c r="S8" i="193"/>
  <c r="BX8" i="193"/>
  <c r="BL8" i="193"/>
  <c r="BA8" i="193"/>
  <c r="AM8" i="193"/>
  <c r="AB8" i="193"/>
  <c r="BJ8" i="193"/>
  <c r="AK8" i="193"/>
  <c r="BU8" i="193"/>
  <c r="Y8" i="193"/>
  <c r="BT8" i="193"/>
  <c r="BS8" i="193"/>
  <c r="AT8" i="193"/>
  <c r="U8" i="193"/>
  <c r="BG8" i="193"/>
  <c r="AJ8" i="193"/>
  <c r="AV8" i="193"/>
  <c r="AU8" i="193"/>
  <c r="BE8" i="193"/>
  <c r="AI8" i="193"/>
  <c r="BW8" i="193"/>
  <c r="AW8" i="193"/>
  <c r="AA8" i="193"/>
  <c r="V8" i="193"/>
  <c r="BK8" i="193"/>
  <c r="AL8" i="193"/>
  <c r="BW59" i="193"/>
  <c r="BO59" i="193"/>
  <c r="CA59" i="193"/>
  <c r="BR59" i="193"/>
  <c r="BI59" i="193"/>
  <c r="BA59" i="193"/>
  <c r="AS59" i="193"/>
  <c r="AK59" i="193"/>
  <c r="AC59" i="193"/>
  <c r="U59" i="193"/>
  <c r="BZ59" i="193"/>
  <c r="BQ59" i="193"/>
  <c r="BH59" i="193"/>
  <c r="AZ59" i="193"/>
  <c r="AR59" i="193"/>
  <c r="AJ59" i="193"/>
  <c r="AB59" i="193"/>
  <c r="T59" i="193"/>
  <c r="BY59" i="193"/>
  <c r="BP59" i="193"/>
  <c r="BG59" i="193"/>
  <c r="AY59" i="193"/>
  <c r="AQ59" i="193"/>
  <c r="AI59" i="193"/>
  <c r="AA59" i="193"/>
  <c r="S59" i="193"/>
  <c r="CB59" i="193"/>
  <c r="BL59" i="193"/>
  <c r="AX59" i="193"/>
  <c r="AM59" i="193"/>
  <c r="Y59" i="193"/>
  <c r="BX59" i="193"/>
  <c r="BK59" i="193"/>
  <c r="AW59" i="193"/>
  <c r="AL59" i="193"/>
  <c r="X59" i="193"/>
  <c r="BS59" i="193"/>
  <c r="BB59" i="193"/>
  <c r="AG59" i="193"/>
  <c r="Q59" i="193"/>
  <c r="BN59" i="193"/>
  <c r="AV59" i="193"/>
  <c r="AF59" i="193"/>
  <c r="BJ59" i="193"/>
  <c r="AO59" i="193"/>
  <c r="R59" i="193"/>
  <c r="BF59" i="193"/>
  <c r="AN59" i="193"/>
  <c r="BE59" i="193"/>
  <c r="AH59" i="193"/>
  <c r="CC59" i="193"/>
  <c r="BD59" i="193"/>
  <c r="AE59" i="193"/>
  <c r="BV59" i="193"/>
  <c r="BC59" i="193"/>
  <c r="AD59" i="193"/>
  <c r="BU59" i="193"/>
  <c r="AU59" i="193"/>
  <c r="Z59" i="193"/>
  <c r="AP59" i="193"/>
  <c r="W59" i="193"/>
  <c r="BT59" i="193"/>
  <c r="BM59" i="193"/>
  <c r="AT59" i="193"/>
  <c r="V59" i="193"/>
  <c r="CC23" i="193"/>
  <c r="BU23" i="193"/>
  <c r="BM23" i="193"/>
  <c r="BE23" i="193"/>
  <c r="AW23" i="193"/>
  <c r="AO23" i="193"/>
  <c r="AG23" i="193"/>
  <c r="Y23" i="193"/>
  <c r="Q23" i="193"/>
  <c r="BT23" i="193"/>
  <c r="BK23" i="193"/>
  <c r="BB23" i="193"/>
  <c r="AS23" i="193"/>
  <c r="AJ23" i="193"/>
  <c r="AA23" i="193"/>
  <c r="R23" i="193"/>
  <c r="BV23" i="193"/>
  <c r="BJ23" i="193"/>
  <c r="BX23" i="193"/>
  <c r="BL23" i="193"/>
  <c r="AZ23" i="193"/>
  <c r="AP23" i="193"/>
  <c r="AE23" i="193"/>
  <c r="U23" i="193"/>
  <c r="BW23" i="193"/>
  <c r="BI23" i="193"/>
  <c r="AY23" i="193"/>
  <c r="AN23" i="193"/>
  <c r="AD23" i="193"/>
  <c r="T23" i="193"/>
  <c r="BS23" i="193"/>
  <c r="BH23" i="193"/>
  <c r="AX23" i="193"/>
  <c r="AM23" i="193"/>
  <c r="AC23" i="193"/>
  <c r="S23" i="193"/>
  <c r="BO23" i="193"/>
  <c r="AU23" i="193"/>
  <c r="AF23" i="193"/>
  <c r="CB23" i="193"/>
  <c r="BN23" i="193"/>
  <c r="AT23" i="193"/>
  <c r="AB23" i="193"/>
  <c r="CA23" i="193"/>
  <c r="BG23" i="193"/>
  <c r="AR23" i="193"/>
  <c r="Z23" i="193"/>
  <c r="BZ23" i="193"/>
  <c r="BF23" i="193"/>
  <c r="AQ23" i="193"/>
  <c r="X23" i="193"/>
  <c r="BR23" i="193"/>
  <c r="BC23" i="193"/>
  <c r="AK23" i="193"/>
  <c r="V23" i="193"/>
  <c r="AV23" i="193"/>
  <c r="BQ23" i="193"/>
  <c r="W23" i="193"/>
  <c r="BD23" i="193"/>
  <c r="AL23" i="193"/>
  <c r="AI23" i="193"/>
  <c r="BY23" i="193"/>
  <c r="AH23" i="193"/>
  <c r="BP23" i="193"/>
  <c r="BA23" i="193"/>
  <c r="BW34" i="193"/>
  <c r="BO34" i="193"/>
  <c r="BG34" i="193"/>
  <c r="AY34" i="193"/>
  <c r="AQ34" i="193"/>
  <c r="AI34" i="193"/>
  <c r="AA34" i="193"/>
  <c r="S34" i="193"/>
  <c r="CC34" i="193"/>
  <c r="BT34" i="193"/>
  <c r="BK34" i="193"/>
  <c r="BB34" i="193"/>
  <c r="AS34" i="193"/>
  <c r="AJ34" i="193"/>
  <c r="Z34" i="193"/>
  <c r="Q34" i="193"/>
  <c r="BS34" i="193"/>
  <c r="BI34" i="193"/>
  <c r="AX34" i="193"/>
  <c r="AN34" i="193"/>
  <c r="AD34" i="193"/>
  <c r="T34" i="193"/>
  <c r="CB34" i="193"/>
  <c r="BR34" i="193"/>
  <c r="BH34" i="193"/>
  <c r="AW34" i="193"/>
  <c r="AM34" i="193"/>
  <c r="AC34" i="193"/>
  <c r="R34" i="193"/>
  <c r="CA34" i="193"/>
  <c r="BQ34" i="193"/>
  <c r="BF34" i="193"/>
  <c r="AV34" i="193"/>
  <c r="AL34" i="193"/>
  <c r="AB34" i="193"/>
  <c r="BP34" i="193"/>
  <c r="BA34" i="193"/>
  <c r="AH34" i="193"/>
  <c r="U34" i="193"/>
  <c r="BN34" i="193"/>
  <c r="AZ34" i="193"/>
  <c r="AG34" i="193"/>
  <c r="BM34" i="193"/>
  <c r="AU34" i="193"/>
  <c r="AF34" i="193"/>
  <c r="BZ34" i="193"/>
  <c r="BL34" i="193"/>
  <c r="AT34" i="193"/>
  <c r="AE34" i="193"/>
  <c r="BC34" i="193"/>
  <c r="V34" i="193"/>
  <c r="BY34" i="193"/>
  <c r="AR34" i="193"/>
  <c r="BX34" i="193"/>
  <c r="AP34" i="193"/>
  <c r="BV34" i="193"/>
  <c r="AO34" i="193"/>
  <c r="BU34" i="193"/>
  <c r="AK34" i="193"/>
  <c r="BJ34" i="193"/>
  <c r="Y34" i="193"/>
  <c r="X34" i="193"/>
  <c r="BE34" i="193"/>
  <c r="W34" i="193"/>
  <c r="BD34" i="193"/>
  <c r="CA61" i="193"/>
  <c r="BS61" i="193"/>
  <c r="BK61" i="193"/>
  <c r="BC61" i="193"/>
  <c r="AU61" i="193"/>
  <c r="AM61" i="193"/>
  <c r="AE61" i="193"/>
  <c r="W61" i="193"/>
  <c r="BY61" i="193"/>
  <c r="BP61" i="193"/>
  <c r="BG61" i="193"/>
  <c r="AX61" i="193"/>
  <c r="AO61" i="193"/>
  <c r="AF61" i="193"/>
  <c r="V61" i="193"/>
  <c r="BX61" i="193"/>
  <c r="BO61" i="193"/>
  <c r="BF61" i="193"/>
  <c r="AW61" i="193"/>
  <c r="AN61" i="193"/>
  <c r="AD61" i="193"/>
  <c r="U61" i="193"/>
  <c r="BW61" i="193"/>
  <c r="BN61" i="193"/>
  <c r="BE61" i="193"/>
  <c r="AV61" i="193"/>
  <c r="AL61" i="193"/>
  <c r="AC61" i="193"/>
  <c r="T61" i="193"/>
  <c r="BU61" i="193"/>
  <c r="BH61" i="193"/>
  <c r="AR61" i="193"/>
  <c r="AB61" i="193"/>
  <c r="BT61" i="193"/>
  <c r="BD61" i="193"/>
  <c r="AQ61" i="193"/>
  <c r="AA61" i="193"/>
  <c r="BV61" i="193"/>
  <c r="BA61" i="193"/>
  <c r="AI61" i="193"/>
  <c r="Q61" i="193"/>
  <c r="BR61" i="193"/>
  <c r="AZ61" i="193"/>
  <c r="AH61" i="193"/>
  <c r="BJ61" i="193"/>
  <c r="AJ61" i="193"/>
  <c r="BI61" i="193"/>
  <c r="AG61" i="193"/>
  <c r="CC61" i="193"/>
  <c r="BB61" i="193"/>
  <c r="Z61" i="193"/>
  <c r="CB61" i="193"/>
  <c r="AY61" i="193"/>
  <c r="Y61" i="193"/>
  <c r="BZ61" i="193"/>
  <c r="AT61" i="193"/>
  <c r="X61" i="193"/>
  <c r="BQ61" i="193"/>
  <c r="AS61" i="193"/>
  <c r="S61" i="193"/>
  <c r="BM61" i="193"/>
  <c r="AP61" i="193"/>
  <c r="R61" i="193"/>
  <c r="BL61" i="193"/>
  <c r="AK61" i="193"/>
  <c r="BV48" i="193"/>
  <c r="BN48" i="193"/>
  <c r="BF48" i="193"/>
  <c r="AX48" i="193"/>
  <c r="AP48" i="193"/>
  <c r="AH48" i="193"/>
  <c r="Z48" i="193"/>
  <c r="R48" i="193"/>
  <c r="CC48" i="193"/>
  <c r="BU48" i="193"/>
  <c r="BM48" i="193"/>
  <c r="BE48" i="193"/>
  <c r="AW48" i="193"/>
  <c r="AO48" i="193"/>
  <c r="AG48" i="193"/>
  <c r="Y48" i="193"/>
  <c r="Q48" i="193"/>
  <c r="BX48" i="193"/>
  <c r="BL48" i="193"/>
  <c r="BB48" i="193"/>
  <c r="AR48" i="193"/>
  <c r="AF48" i="193"/>
  <c r="V48" i="193"/>
  <c r="CB48" i="193"/>
  <c r="BQ48" i="193"/>
  <c r="BD48" i="193"/>
  <c r="AS48" i="193"/>
  <c r="AE48" i="193"/>
  <c r="T48" i="193"/>
  <c r="BR48" i="193"/>
  <c r="BC48" i="193"/>
  <c r="AN48" i="193"/>
  <c r="AB48" i="193"/>
  <c r="BP48" i="193"/>
  <c r="BA48" i="193"/>
  <c r="AM48" i="193"/>
  <c r="AA48" i="193"/>
  <c r="BT48" i="193"/>
  <c r="AZ48" i="193"/>
  <c r="AJ48" i="193"/>
  <c r="BS48" i="193"/>
  <c r="AY48" i="193"/>
  <c r="AI48" i="193"/>
  <c r="BK48" i="193"/>
  <c r="AU48" i="193"/>
  <c r="AC48" i="193"/>
  <c r="BH48" i="193"/>
  <c r="X48" i="193"/>
  <c r="CA48" i="193"/>
  <c r="BG48" i="193"/>
  <c r="W48" i="193"/>
  <c r="BZ48" i="193"/>
  <c r="AV48" i="193"/>
  <c r="U48" i="193"/>
  <c r="BO48" i="193"/>
  <c r="S48" i="193"/>
  <c r="BJ48" i="193"/>
  <c r="BI48" i="193"/>
  <c r="AT48" i="193"/>
  <c r="AL48" i="193"/>
  <c r="AK48" i="193"/>
  <c r="AD48" i="193"/>
  <c r="BY48" i="193"/>
  <c r="BW48" i="193"/>
  <c r="AQ48" i="193"/>
  <c r="BW52" i="193"/>
  <c r="BO52" i="193"/>
  <c r="BG52" i="193"/>
  <c r="BY52" i="193"/>
  <c r="BP52" i="193"/>
  <c r="BF52" i="193"/>
  <c r="AX52" i="193"/>
  <c r="AP52" i="193"/>
  <c r="AH52" i="193"/>
  <c r="Z52" i="193"/>
  <c r="R52" i="193"/>
  <c r="BX52" i="193"/>
  <c r="BN52" i="193"/>
  <c r="BE52" i="193"/>
  <c r="AW52" i="193"/>
  <c r="AO52" i="193"/>
  <c r="AG52" i="193"/>
  <c r="Y52" i="193"/>
  <c r="Q52" i="193"/>
  <c r="CB52" i="193"/>
  <c r="BQ52" i="193"/>
  <c r="BC52" i="193"/>
  <c r="AS52" i="193"/>
  <c r="AI52" i="193"/>
  <c r="W52" i="193"/>
  <c r="CA52" i="193"/>
  <c r="BM52" i="193"/>
  <c r="BB52" i="193"/>
  <c r="AR52" i="193"/>
  <c r="AF52" i="193"/>
  <c r="V52" i="193"/>
  <c r="CC52" i="193"/>
  <c r="BK52" i="193"/>
  <c r="AV52" i="193"/>
  <c r="AJ52" i="193"/>
  <c r="T52" i="193"/>
  <c r="BS52" i="193"/>
  <c r="BA52" i="193"/>
  <c r="AM52" i="193"/>
  <c r="AA52" i="193"/>
  <c r="BJ52" i="193"/>
  <c r="AQ52" i="193"/>
  <c r="X52" i="193"/>
  <c r="BI52" i="193"/>
  <c r="AN52" i="193"/>
  <c r="U52" i="193"/>
  <c r="BZ52" i="193"/>
  <c r="AZ52" i="193"/>
  <c r="AC52" i="193"/>
  <c r="BV52" i="193"/>
  <c r="AY52" i="193"/>
  <c r="AB52" i="193"/>
  <c r="BU52" i="193"/>
  <c r="AU52" i="193"/>
  <c r="S52" i="193"/>
  <c r="BT52" i="193"/>
  <c r="AT52" i="193"/>
  <c r="BD52" i="193"/>
  <c r="AL52" i="193"/>
  <c r="AK52" i="193"/>
  <c r="BL52" i="193"/>
  <c r="BH52" i="193"/>
  <c r="AE52" i="193"/>
  <c r="AD52" i="193"/>
  <c r="BR52" i="193"/>
  <c r="BZ43" i="193"/>
  <c r="BR43" i="193"/>
  <c r="BJ43" i="193"/>
  <c r="BB43" i="193"/>
  <c r="AT43" i="193"/>
  <c r="AL43" i="193"/>
  <c r="AD43" i="193"/>
  <c r="V43" i="193"/>
  <c r="CC43" i="193"/>
  <c r="BT43" i="193"/>
  <c r="BK43" i="193"/>
  <c r="BA43" i="193"/>
  <c r="AR43" i="193"/>
  <c r="AI43" i="193"/>
  <c r="Z43" i="193"/>
  <c r="Q43" i="193"/>
  <c r="BX43" i="193"/>
  <c r="BN43" i="193"/>
  <c r="BD43" i="193"/>
  <c r="AS43" i="193"/>
  <c r="AH43" i="193"/>
  <c r="X43" i="193"/>
  <c r="BW43" i="193"/>
  <c r="BM43" i="193"/>
  <c r="BC43" i="193"/>
  <c r="AQ43" i="193"/>
  <c r="AG43" i="193"/>
  <c r="W43" i="193"/>
  <c r="BU43" i="193"/>
  <c r="BI43" i="193"/>
  <c r="AY43" i="193"/>
  <c r="AO43" i="193"/>
  <c r="AE43" i="193"/>
  <c r="T43" i="193"/>
  <c r="BV43" i="193"/>
  <c r="BF43" i="193"/>
  <c r="AN43" i="193"/>
  <c r="Y43" i="193"/>
  <c r="BS43" i="193"/>
  <c r="BE43" i="193"/>
  <c r="AM43" i="193"/>
  <c r="U43" i="193"/>
  <c r="BQ43" i="193"/>
  <c r="AZ43" i="193"/>
  <c r="AK43" i="193"/>
  <c r="S43" i="193"/>
  <c r="BP43" i="193"/>
  <c r="AU43" i="193"/>
  <c r="BO43" i="193"/>
  <c r="AP43" i="193"/>
  <c r="BL43" i="193"/>
  <c r="AJ43" i="193"/>
  <c r="BH43" i="193"/>
  <c r="AF43" i="193"/>
  <c r="BY43" i="193"/>
  <c r="R43" i="193"/>
  <c r="BG43" i="193"/>
  <c r="AX43" i="193"/>
  <c r="AW43" i="193"/>
  <c r="AV43" i="193"/>
  <c r="AC43" i="193"/>
  <c r="CB43" i="193"/>
  <c r="CA43" i="193"/>
  <c r="AB43" i="193"/>
  <c r="AA43" i="193"/>
  <c r="BX47" i="193"/>
  <c r="BP47" i="193"/>
  <c r="BH47" i="193"/>
  <c r="AZ47" i="193"/>
  <c r="AR47" i="193"/>
  <c r="AJ47" i="193"/>
  <c r="AB47" i="193"/>
  <c r="T47" i="193"/>
  <c r="BW47" i="193"/>
  <c r="BO47" i="193"/>
  <c r="BG47" i="193"/>
  <c r="AY47" i="193"/>
  <c r="AQ47" i="193"/>
  <c r="AI47" i="193"/>
  <c r="AA47" i="193"/>
  <c r="S47" i="193"/>
  <c r="BV47" i="193"/>
  <c r="BL47" i="193"/>
  <c r="BB47" i="193"/>
  <c r="AP47" i="193"/>
  <c r="AF47" i="193"/>
  <c r="V47" i="193"/>
  <c r="BS47" i="193"/>
  <c r="BF47" i="193"/>
  <c r="BY47" i="193"/>
  <c r="BJ47" i="193"/>
  <c r="AV47" i="193"/>
  <c r="AK47" i="193"/>
  <c r="X47" i="193"/>
  <c r="BU47" i="193"/>
  <c r="BI47" i="193"/>
  <c r="AU47" i="193"/>
  <c r="AH47" i="193"/>
  <c r="W47" i="193"/>
  <c r="BT47" i="193"/>
  <c r="BC47" i="193"/>
  <c r="AM47" i="193"/>
  <c r="U47" i="193"/>
  <c r="BR47" i="193"/>
  <c r="BA47" i="193"/>
  <c r="AL47" i="193"/>
  <c r="R47" i="193"/>
  <c r="BN47" i="193"/>
  <c r="AW47" i="193"/>
  <c r="AE47" i="193"/>
  <c r="BZ47" i="193"/>
  <c r="AS47" i="193"/>
  <c r="Q47" i="193"/>
  <c r="BQ47" i="193"/>
  <c r="AO47" i="193"/>
  <c r="BM47" i="193"/>
  <c r="AN47" i="193"/>
  <c r="AX47" i="193"/>
  <c r="AT47" i="193"/>
  <c r="CC47" i="193"/>
  <c r="AG47" i="193"/>
  <c r="CB47" i="193"/>
  <c r="AD47" i="193"/>
  <c r="AC47" i="193"/>
  <c r="Z47" i="193"/>
  <c r="Y47" i="193"/>
  <c r="CA47" i="193"/>
  <c r="BK47" i="193"/>
  <c r="BE47" i="193"/>
  <c r="BD47" i="193"/>
  <c r="BX11" i="193"/>
  <c r="BP11" i="193"/>
  <c r="BH11" i="193"/>
  <c r="AZ11" i="193"/>
  <c r="AR11" i="193"/>
  <c r="AJ11" i="193"/>
  <c r="AB11" i="193"/>
  <c r="T11" i="193"/>
  <c r="BW11" i="193"/>
  <c r="BN11" i="193"/>
  <c r="BE11" i="193"/>
  <c r="AV11" i="193"/>
  <c r="AM11" i="193"/>
  <c r="AD11" i="193"/>
  <c r="U11" i="193"/>
  <c r="BV11" i="193"/>
  <c r="BM11" i="193"/>
  <c r="BD11" i="193"/>
  <c r="AU11" i="193"/>
  <c r="AL11" i="193"/>
  <c r="AC11" i="193"/>
  <c r="S11" i="193"/>
  <c r="BU11" i="193"/>
  <c r="BJ11" i="193"/>
  <c r="AX11" i="193"/>
  <c r="AK11" i="193"/>
  <c r="Y11" i="193"/>
  <c r="BG11" i="193"/>
  <c r="AT11" i="193"/>
  <c r="AH11" i="193"/>
  <c r="W11" i="193"/>
  <c r="BT11" i="193"/>
  <c r="BI11" i="193"/>
  <c r="AW11" i="193"/>
  <c r="AI11" i="193"/>
  <c r="X11" i="193"/>
  <c r="BS11" i="193"/>
  <c r="CC11" i="193"/>
  <c r="BR11" i="193"/>
  <c r="BF11" i="193"/>
  <c r="AS11" i="193"/>
  <c r="AG11" i="193"/>
  <c r="V11" i="193"/>
  <c r="BO11" i="193"/>
  <c r="AP11" i="193"/>
  <c r="Q11" i="193"/>
  <c r="CA11" i="193"/>
  <c r="AE11" i="193"/>
  <c r="BY11" i="193"/>
  <c r="Z11" i="193"/>
  <c r="BL11" i="193"/>
  <c r="AO11" i="193"/>
  <c r="BB11" i="193"/>
  <c r="AY11" i="193"/>
  <c r="BK11" i="193"/>
  <c r="AN11" i="193"/>
  <c r="CB11" i="193"/>
  <c r="BC11" i="193"/>
  <c r="AF11" i="193"/>
  <c r="BZ11" i="193"/>
  <c r="BA11" i="193"/>
  <c r="AA11" i="193"/>
  <c r="BQ11" i="193"/>
  <c r="AQ11" i="193"/>
  <c r="R11" i="193"/>
  <c r="CA16" i="193"/>
  <c r="BS16" i="193"/>
  <c r="BK16" i="193"/>
  <c r="BC16" i="193"/>
  <c r="AU16" i="193"/>
  <c r="AM16" i="193"/>
  <c r="AE16" i="193"/>
  <c r="W16" i="193"/>
  <c r="BZ16" i="193"/>
  <c r="BQ16" i="193"/>
  <c r="BH16" i="193"/>
  <c r="AY16" i="193"/>
  <c r="AP16" i="193"/>
  <c r="AG16" i="193"/>
  <c r="X16" i="193"/>
  <c r="CC16" i="193"/>
  <c r="BR16" i="193"/>
  <c r="BG16" i="193"/>
  <c r="AW16" i="193"/>
  <c r="AL16" i="193"/>
  <c r="AB16" i="193"/>
  <c r="R16" i="193"/>
  <c r="CB16" i="193"/>
  <c r="BP16" i="193"/>
  <c r="BF16" i="193"/>
  <c r="AV16" i="193"/>
  <c r="AK16" i="193"/>
  <c r="AA16" i="193"/>
  <c r="Q16" i="193"/>
  <c r="BY16" i="193"/>
  <c r="BE16" i="193"/>
  <c r="AT16" i="193"/>
  <c r="AJ16" i="193"/>
  <c r="Z16" i="193"/>
  <c r="BV16" i="193"/>
  <c r="BI16" i="193"/>
  <c r="AQ16" i="193"/>
  <c r="Y16" i="193"/>
  <c r="BU16" i="193"/>
  <c r="BD16" i="193"/>
  <c r="AO16" i="193"/>
  <c r="V16" i="193"/>
  <c r="BT16" i="193"/>
  <c r="BB16" i="193"/>
  <c r="AN16" i="193"/>
  <c r="U16" i="193"/>
  <c r="BO16" i="193"/>
  <c r="BA16" i="193"/>
  <c r="AI16" i="193"/>
  <c r="T16" i="193"/>
  <c r="AZ16" i="193"/>
  <c r="S16" i="193"/>
  <c r="BN16" i="193"/>
  <c r="BL16" i="193"/>
  <c r="AX16" i="193"/>
  <c r="AH16" i="193"/>
  <c r="AD16" i="193"/>
  <c r="BX16" i="193"/>
  <c r="AS16" i="193"/>
  <c r="BW16" i="193"/>
  <c r="AR16" i="193"/>
  <c r="BM16" i="193"/>
  <c r="AF16" i="193"/>
  <c r="BJ16" i="193"/>
  <c r="AC16" i="193"/>
  <c r="BW30" i="193"/>
  <c r="BO30" i="193"/>
  <c r="BG30" i="193"/>
  <c r="AY30" i="193"/>
  <c r="AQ30" i="193"/>
  <c r="AI30" i="193"/>
  <c r="AA30" i="193"/>
  <c r="S30" i="193"/>
  <c r="BX30" i="193"/>
  <c r="BN30" i="193"/>
  <c r="BE30" i="193"/>
  <c r="AV30" i="193"/>
  <c r="AM30" i="193"/>
  <c r="AD30" i="193"/>
  <c r="U30" i="193"/>
  <c r="BV30" i="193"/>
  <c r="BL30" i="193"/>
  <c r="BB30" i="193"/>
  <c r="AR30" i="193"/>
  <c r="AG30" i="193"/>
  <c r="W30" i="193"/>
  <c r="BU30" i="193"/>
  <c r="BK30" i="193"/>
  <c r="BA30" i="193"/>
  <c r="AP30" i="193"/>
  <c r="AF30" i="193"/>
  <c r="V30" i="193"/>
  <c r="CA30" i="193"/>
  <c r="BM30" i="193"/>
  <c r="AX30" i="193"/>
  <c r="AK30" i="193"/>
  <c r="X30" i="193"/>
  <c r="BZ30" i="193"/>
  <c r="BJ30" i="193"/>
  <c r="AW30" i="193"/>
  <c r="AJ30" i="193"/>
  <c r="T30" i="193"/>
  <c r="BY30" i="193"/>
  <c r="BI30" i="193"/>
  <c r="AU30" i="193"/>
  <c r="AH30" i="193"/>
  <c r="R30" i="193"/>
  <c r="BT30" i="193"/>
  <c r="BH30" i="193"/>
  <c r="AT30" i="193"/>
  <c r="AE30" i="193"/>
  <c r="Q30" i="193"/>
  <c r="BQ30" i="193"/>
  <c r="AN30" i="193"/>
  <c r="BP30" i="193"/>
  <c r="AL30" i="193"/>
  <c r="BF30" i="193"/>
  <c r="AC30" i="193"/>
  <c r="BD30" i="193"/>
  <c r="AB30" i="193"/>
  <c r="CC30" i="193"/>
  <c r="BC30" i="193"/>
  <c r="Z30" i="193"/>
  <c r="CB30" i="193"/>
  <c r="AZ30" i="193"/>
  <c r="Y30" i="193"/>
  <c r="AO30" i="193"/>
  <c r="BR30" i="193"/>
  <c r="BS30" i="193"/>
  <c r="AS30" i="193"/>
  <c r="CC27" i="193"/>
  <c r="BU27" i="193"/>
  <c r="BM27" i="193"/>
  <c r="BE27" i="193"/>
  <c r="AW27" i="193"/>
  <c r="AO27" i="193"/>
  <c r="AG27" i="193"/>
  <c r="Y27" i="193"/>
  <c r="Q27" i="193"/>
  <c r="BZ27" i="193"/>
  <c r="BQ27" i="193"/>
  <c r="BH27" i="193"/>
  <c r="AY27" i="193"/>
  <c r="AP27" i="193"/>
  <c r="AF27" i="193"/>
  <c r="W27" i="193"/>
  <c r="CB27" i="193"/>
  <c r="BR27" i="193"/>
  <c r="BG27" i="193"/>
  <c r="AV27" i="193"/>
  <c r="AL27" i="193"/>
  <c r="AB27" i="193"/>
  <c r="R27" i="193"/>
  <c r="CA27" i="193"/>
  <c r="BP27" i="193"/>
  <c r="BF27" i="193"/>
  <c r="BO27" i="193"/>
  <c r="BB27" i="193"/>
  <c r="AQ27" i="193"/>
  <c r="AD27" i="193"/>
  <c r="S27" i="193"/>
  <c r="BN27" i="193"/>
  <c r="BA27" i="193"/>
  <c r="AN27" i="193"/>
  <c r="AC27" i="193"/>
  <c r="BY27" i="193"/>
  <c r="BL27" i="193"/>
  <c r="AZ27" i="193"/>
  <c r="AM27" i="193"/>
  <c r="AA27" i="193"/>
  <c r="BX27" i="193"/>
  <c r="BK27" i="193"/>
  <c r="AX27" i="193"/>
  <c r="AK27" i="193"/>
  <c r="Z27" i="193"/>
  <c r="BV27" i="193"/>
  <c r="AT27" i="193"/>
  <c r="V27" i="193"/>
  <c r="BT27" i="193"/>
  <c r="AS27" i="193"/>
  <c r="U27" i="193"/>
  <c r="BS27" i="193"/>
  <c r="AR27" i="193"/>
  <c r="T27" i="193"/>
  <c r="BJ27" i="193"/>
  <c r="AJ27" i="193"/>
  <c r="BI27" i="193"/>
  <c r="AI27" i="193"/>
  <c r="BD27" i="193"/>
  <c r="AH27" i="193"/>
  <c r="BW27" i="193"/>
  <c r="X27" i="193"/>
  <c r="BC27" i="193"/>
  <c r="AU27" i="193"/>
  <c r="AE27" i="193"/>
  <c r="CC19" i="193"/>
  <c r="BU19" i="193"/>
  <c r="BM19" i="193"/>
  <c r="BE19" i="193"/>
  <c r="AW19" i="193"/>
  <c r="AO19" i="193"/>
  <c r="AG19" i="193"/>
  <c r="Y19" i="193"/>
  <c r="Q19" i="193"/>
  <c r="BX19" i="193"/>
  <c r="BO19" i="193"/>
  <c r="BF19" i="193"/>
  <c r="AV19" i="193"/>
  <c r="AM19" i="193"/>
  <c r="AD19" i="193"/>
  <c r="U19" i="193"/>
  <c r="BY19" i="193"/>
  <c r="BN19" i="193"/>
  <c r="BC19" i="193"/>
  <c r="AS19" i="193"/>
  <c r="AI19" i="193"/>
  <c r="X19" i="193"/>
  <c r="BW19" i="193"/>
  <c r="BL19" i="193"/>
  <c r="BB19" i="193"/>
  <c r="AR19" i="193"/>
  <c r="AH19" i="193"/>
  <c r="W19" i="193"/>
  <c r="BV19" i="193"/>
  <c r="BK19" i="193"/>
  <c r="BA19" i="193"/>
  <c r="AQ19" i="193"/>
  <c r="AF19" i="193"/>
  <c r="V19" i="193"/>
  <c r="BP19" i="193"/>
  <c r="AX19" i="193"/>
  <c r="AE19" i="193"/>
  <c r="CB19" i="193"/>
  <c r="BJ19" i="193"/>
  <c r="AU19" i="193"/>
  <c r="AC19" i="193"/>
  <c r="CA19" i="193"/>
  <c r="BI19" i="193"/>
  <c r="AT19" i="193"/>
  <c r="AB19" i="193"/>
  <c r="BZ19" i="193"/>
  <c r="BH19" i="193"/>
  <c r="AP19" i="193"/>
  <c r="AA19" i="193"/>
  <c r="AZ19" i="193"/>
  <c r="S19" i="193"/>
  <c r="AK19" i="193"/>
  <c r="AY19" i="193"/>
  <c r="R19" i="193"/>
  <c r="BR19" i="193"/>
  <c r="Z19" i="193"/>
  <c r="BT19" i="193"/>
  <c r="AN19" i="193"/>
  <c r="BS19" i="193"/>
  <c r="AL19" i="193"/>
  <c r="BQ19" i="193"/>
  <c r="AJ19" i="193"/>
  <c r="BG19" i="193"/>
  <c r="BD19" i="193"/>
  <c r="T19" i="193"/>
  <c r="CA36" i="193"/>
  <c r="BS36" i="193"/>
  <c r="BK36" i="193"/>
  <c r="BC36" i="193"/>
  <c r="AU36" i="193"/>
  <c r="AM36" i="193"/>
  <c r="AE36" i="193"/>
  <c r="W36" i="193"/>
  <c r="CB36" i="193"/>
  <c r="BR36" i="193"/>
  <c r="BI36" i="193"/>
  <c r="AZ36" i="193"/>
  <c r="AQ36" i="193"/>
  <c r="AH36" i="193"/>
  <c r="Y36" i="193"/>
  <c r="CC36" i="193"/>
  <c r="BQ36" i="193"/>
  <c r="BG36" i="193"/>
  <c r="AW36" i="193"/>
  <c r="AL36" i="193"/>
  <c r="AB36" i="193"/>
  <c r="R36" i="193"/>
  <c r="BZ36" i="193"/>
  <c r="BP36" i="193"/>
  <c r="BF36" i="193"/>
  <c r="AV36" i="193"/>
  <c r="AK36" i="193"/>
  <c r="AA36" i="193"/>
  <c r="Q36" i="193"/>
  <c r="BY36" i="193"/>
  <c r="BO36" i="193"/>
  <c r="BE36" i="193"/>
  <c r="AT36" i="193"/>
  <c r="AJ36" i="193"/>
  <c r="Z36" i="193"/>
  <c r="BU36" i="193"/>
  <c r="BB36" i="193"/>
  <c r="AN36" i="193"/>
  <c r="U36" i="193"/>
  <c r="BT36" i="193"/>
  <c r="BA36" i="193"/>
  <c r="AI36" i="193"/>
  <c r="T36" i="193"/>
  <c r="BN36" i="193"/>
  <c r="AY36" i="193"/>
  <c r="AG36" i="193"/>
  <c r="S36" i="193"/>
  <c r="BM36" i="193"/>
  <c r="AX36" i="193"/>
  <c r="AF36" i="193"/>
  <c r="BL36" i="193"/>
  <c r="AD36" i="193"/>
  <c r="BJ36" i="193"/>
  <c r="AC36" i="193"/>
  <c r="BH36" i="193"/>
  <c r="X36" i="193"/>
  <c r="BD36" i="193"/>
  <c r="V36" i="193"/>
  <c r="AS36" i="193"/>
  <c r="BX36" i="193"/>
  <c r="AR36" i="193"/>
  <c r="BW36" i="193"/>
  <c r="BV36" i="193"/>
  <c r="AP36" i="193"/>
  <c r="AO36" i="193"/>
  <c r="CB49" i="193"/>
  <c r="BT49" i="193"/>
  <c r="BL49" i="193"/>
  <c r="BD49" i="193"/>
  <c r="AV49" i="193"/>
  <c r="AN49" i="193"/>
  <c r="AF49" i="193"/>
  <c r="X49" i="193"/>
  <c r="CA49" i="193"/>
  <c r="BS49" i="193"/>
  <c r="BK49" i="193"/>
  <c r="BC49" i="193"/>
  <c r="AU49" i="193"/>
  <c r="AM49" i="193"/>
  <c r="AE49" i="193"/>
  <c r="W49" i="193"/>
  <c r="BX49" i="193"/>
  <c r="BN49" i="193"/>
  <c r="BB49" i="193"/>
  <c r="AR49" i="193"/>
  <c r="AH49" i="193"/>
  <c r="V49" i="193"/>
  <c r="BZ49" i="193"/>
  <c r="BO49" i="193"/>
  <c r="BA49" i="193"/>
  <c r="AP49" i="193"/>
  <c r="AC49" i="193"/>
  <c r="R49" i="193"/>
  <c r="BY49" i="193"/>
  <c r="BJ49" i="193"/>
  <c r="AX49" i="193"/>
  <c r="AJ49" i="193"/>
  <c r="U49" i="193"/>
  <c r="BW49" i="193"/>
  <c r="BI49" i="193"/>
  <c r="AW49" i="193"/>
  <c r="AI49" i="193"/>
  <c r="T49" i="193"/>
  <c r="BR49" i="193"/>
  <c r="AZ49" i="193"/>
  <c r="AG49" i="193"/>
  <c r="BQ49" i="193"/>
  <c r="AY49" i="193"/>
  <c r="AD49" i="193"/>
  <c r="BM49" i="193"/>
  <c r="AS49" i="193"/>
  <c r="AA49" i="193"/>
  <c r="BU49" i="193"/>
  <c r="AO49" i="193"/>
  <c r="BP49" i="193"/>
  <c r="AL49" i="193"/>
  <c r="BH49" i="193"/>
  <c r="AK49" i="193"/>
  <c r="AB49" i="193"/>
  <c r="CC49" i="193"/>
  <c r="Z49" i="193"/>
  <c r="BV49" i="193"/>
  <c r="Y49" i="193"/>
  <c r="BG49" i="193"/>
  <c r="S49" i="193"/>
  <c r="BE49" i="193"/>
  <c r="AT49" i="193"/>
  <c r="AQ49" i="193"/>
  <c r="Q49" i="193"/>
  <c r="BF49" i="193"/>
  <c r="BV41" i="193"/>
  <c r="BN41" i="193"/>
  <c r="BF41" i="193"/>
  <c r="AX41" i="193"/>
  <c r="AP41" i="193"/>
  <c r="AH41" i="193"/>
  <c r="Z41" i="193"/>
  <c r="R41" i="193"/>
  <c r="BU41" i="193"/>
  <c r="BL41" i="193"/>
  <c r="BC41" i="193"/>
  <c r="AT41" i="193"/>
  <c r="AK41" i="193"/>
  <c r="AB41" i="193"/>
  <c r="S41" i="193"/>
  <c r="BZ41" i="193"/>
  <c r="BP41" i="193"/>
  <c r="BE41" i="193"/>
  <c r="AU41" i="193"/>
  <c r="AJ41" i="193"/>
  <c r="Y41" i="193"/>
  <c r="BW41" i="193"/>
  <c r="BK41" i="193"/>
  <c r="BA41" i="193"/>
  <c r="AQ41" i="193"/>
  <c r="AF41" i="193"/>
  <c r="V41" i="193"/>
  <c r="CA41" i="193"/>
  <c r="BM41" i="193"/>
  <c r="AY41" i="193"/>
  <c r="AL41" i="193"/>
  <c r="W41" i="193"/>
  <c r="BY41" i="193"/>
  <c r="BJ41" i="193"/>
  <c r="AW41" i="193"/>
  <c r="AI41" i="193"/>
  <c r="U41" i="193"/>
  <c r="BX41" i="193"/>
  <c r="BI41" i="193"/>
  <c r="AV41" i="193"/>
  <c r="AG41" i="193"/>
  <c r="T41" i="193"/>
  <c r="BQ41" i="193"/>
  <c r="AR41" i="193"/>
  <c r="X41" i="193"/>
  <c r="BO41" i="193"/>
  <c r="AO41" i="193"/>
  <c r="Q41" i="193"/>
  <c r="BH41" i="193"/>
  <c r="AN41" i="193"/>
  <c r="CC41" i="193"/>
  <c r="BG41" i="193"/>
  <c r="AM41" i="193"/>
  <c r="BT41" i="193"/>
  <c r="AD41" i="193"/>
  <c r="BS41" i="193"/>
  <c r="AC41" i="193"/>
  <c r="BR41" i="193"/>
  <c r="AA41" i="193"/>
  <c r="BD41" i="193"/>
  <c r="BB41" i="193"/>
  <c r="AZ41" i="193"/>
  <c r="CB41" i="193"/>
  <c r="AS41" i="193"/>
  <c r="AE41" i="193"/>
  <c r="CC64" i="193"/>
  <c r="BU64" i="193"/>
  <c r="BM64" i="193"/>
  <c r="BE64" i="193"/>
  <c r="AW64" i="193"/>
  <c r="AO64" i="193"/>
  <c r="AG64" i="193"/>
  <c r="Y64" i="193"/>
  <c r="Q64" i="193"/>
  <c r="BW64" i="193"/>
  <c r="BN64" i="193"/>
  <c r="BD64" i="193"/>
  <c r="AU64" i="193"/>
  <c r="AL64" i="193"/>
  <c r="AC64" i="193"/>
  <c r="T64" i="193"/>
  <c r="BV64" i="193"/>
  <c r="BL64" i="193"/>
  <c r="BC64" i="193"/>
  <c r="AT64" i="193"/>
  <c r="AK64" i="193"/>
  <c r="AB64" i="193"/>
  <c r="S64" i="193"/>
  <c r="BT64" i="193"/>
  <c r="BK64" i="193"/>
  <c r="BB64" i="193"/>
  <c r="AS64" i="193"/>
  <c r="AJ64" i="193"/>
  <c r="AA64" i="193"/>
  <c r="R64" i="193"/>
  <c r="CB64" i="193"/>
  <c r="BP64" i="193"/>
  <c r="AZ64" i="193"/>
  <c r="AM64" i="193"/>
  <c r="W64" i="193"/>
  <c r="CA64" i="193"/>
  <c r="BO64" i="193"/>
  <c r="AY64" i="193"/>
  <c r="AI64" i="193"/>
  <c r="V64" i="193"/>
  <c r="BY64" i="193"/>
  <c r="BG64" i="193"/>
  <c r="AN64" i="193"/>
  <c r="BX64" i="193"/>
  <c r="BF64" i="193"/>
  <c r="AH64" i="193"/>
  <c r="BJ64" i="193"/>
  <c r="AP64" i="193"/>
  <c r="BI64" i="193"/>
  <c r="AF64" i="193"/>
  <c r="BH64" i="193"/>
  <c r="AE64" i="193"/>
  <c r="BA64" i="193"/>
  <c r="AD64" i="193"/>
  <c r="BZ64" i="193"/>
  <c r="AX64" i="193"/>
  <c r="Z64" i="193"/>
  <c r="BS64" i="193"/>
  <c r="AV64" i="193"/>
  <c r="X64" i="193"/>
  <c r="BR64" i="193"/>
  <c r="AR64" i="193"/>
  <c r="U64" i="193"/>
  <c r="BQ64" i="193"/>
  <c r="AQ64" i="193"/>
  <c r="CC53" i="193"/>
  <c r="BU53" i="193"/>
  <c r="BM53" i="193"/>
  <c r="BE53" i="193"/>
  <c r="AW53" i="193"/>
  <c r="AO53" i="193"/>
  <c r="AG53" i="193"/>
  <c r="Y53" i="193"/>
  <c r="Q53" i="193"/>
  <c r="BX53" i="193"/>
  <c r="BO53" i="193"/>
  <c r="BF53" i="193"/>
  <c r="AV53" i="193"/>
  <c r="AM53" i="193"/>
  <c r="AD53" i="193"/>
  <c r="U53" i="193"/>
  <c r="BW53" i="193"/>
  <c r="BN53" i="193"/>
  <c r="BD53" i="193"/>
  <c r="AU53" i="193"/>
  <c r="AL53" i="193"/>
  <c r="AC53" i="193"/>
  <c r="T53" i="193"/>
  <c r="BZ53" i="193"/>
  <c r="BL53" i="193"/>
  <c r="BA53" i="193"/>
  <c r="AP53" i="193"/>
  <c r="AB53" i="193"/>
  <c r="BY53" i="193"/>
  <c r="BK53" i="193"/>
  <c r="AZ53" i="193"/>
  <c r="AN53" i="193"/>
  <c r="AA53" i="193"/>
  <c r="BR53" i="193"/>
  <c r="BB53" i="193"/>
  <c r="AJ53" i="193"/>
  <c r="V53" i="193"/>
  <c r="BV53" i="193"/>
  <c r="BH53" i="193"/>
  <c r="AR53" i="193"/>
  <c r="Z53" i="193"/>
  <c r="BS53" i="193"/>
  <c r="AX53" i="193"/>
  <c r="AE53" i="193"/>
  <c r="BQ53" i="193"/>
  <c r="AT53" i="193"/>
  <c r="X53" i="193"/>
  <c r="BI53" i="193"/>
  <c r="AH53" i="193"/>
  <c r="BG53" i="193"/>
  <c r="AF53" i="193"/>
  <c r="BC53" i="193"/>
  <c r="W53" i="193"/>
  <c r="CB53" i="193"/>
  <c r="AY53" i="193"/>
  <c r="S53" i="193"/>
  <c r="AI53" i="193"/>
  <c r="CA53" i="193"/>
  <c r="R53" i="193"/>
  <c r="BT53" i="193"/>
  <c r="BP53" i="193"/>
  <c r="BJ53" i="193"/>
  <c r="AS53" i="193"/>
  <c r="AQ53" i="193"/>
  <c r="AK53" i="193"/>
  <c r="CA20" i="193"/>
  <c r="BS20" i="193"/>
  <c r="BK20" i="193"/>
  <c r="BC20" i="193"/>
  <c r="AU20" i="193"/>
  <c r="AM20" i="193"/>
  <c r="AE20" i="193"/>
  <c r="W20" i="193"/>
  <c r="BW20" i="193"/>
  <c r="BN20" i="193"/>
  <c r="BE20" i="193"/>
  <c r="AV20" i="193"/>
  <c r="AL20" i="193"/>
  <c r="AC20" i="193"/>
  <c r="T20" i="193"/>
  <c r="BX20" i="193"/>
  <c r="BM20" i="193"/>
  <c r="BB20" i="193"/>
  <c r="AR20" i="193"/>
  <c r="AH20" i="193"/>
  <c r="X20" i="193"/>
  <c r="BV20" i="193"/>
  <c r="BL20" i="193"/>
  <c r="BA20" i="193"/>
  <c r="AQ20" i="193"/>
  <c r="AG20" i="193"/>
  <c r="V20" i="193"/>
  <c r="BU20" i="193"/>
  <c r="BJ20" i="193"/>
  <c r="AZ20" i="193"/>
  <c r="AP20" i="193"/>
  <c r="AF20" i="193"/>
  <c r="U20" i="193"/>
  <c r="BT20" i="193"/>
  <c r="BF20" i="193"/>
  <c r="AN20" i="193"/>
  <c r="Y20" i="193"/>
  <c r="BR20" i="193"/>
  <c r="BD20" i="193"/>
  <c r="AK20" i="193"/>
  <c r="S20" i="193"/>
  <c r="BQ20" i="193"/>
  <c r="AY20" i="193"/>
  <c r="AJ20" i="193"/>
  <c r="R20" i="193"/>
  <c r="BP20" i="193"/>
  <c r="AX20" i="193"/>
  <c r="AI20" i="193"/>
  <c r="Q20" i="193"/>
  <c r="BZ20" i="193"/>
  <c r="AS20" i="193"/>
  <c r="BH20" i="193"/>
  <c r="AA20" i="193"/>
  <c r="CC20" i="193"/>
  <c r="BY20" i="193"/>
  <c r="AO20" i="193"/>
  <c r="AW20" i="193"/>
  <c r="BO20" i="193"/>
  <c r="AD20" i="193"/>
  <c r="BI20" i="193"/>
  <c r="AB20" i="193"/>
  <c r="BG20" i="193"/>
  <c r="Z20" i="193"/>
  <c r="CB20" i="193"/>
  <c r="AT20" i="193"/>
  <c r="CC57" i="193"/>
  <c r="BU57" i="193"/>
  <c r="BM57" i="193"/>
  <c r="BE57" i="193"/>
  <c r="AW57" i="193"/>
  <c r="AO57" i="193"/>
  <c r="AG57" i="193"/>
  <c r="Y57" i="193"/>
  <c r="Q57" i="193"/>
  <c r="BT57" i="193"/>
  <c r="BK57" i="193"/>
  <c r="BB57" i="193"/>
  <c r="AS57" i="193"/>
  <c r="AJ57" i="193"/>
  <c r="AA57" i="193"/>
  <c r="R57" i="193"/>
  <c r="CB57" i="193"/>
  <c r="BS57" i="193"/>
  <c r="BJ57" i="193"/>
  <c r="BA57" i="193"/>
  <c r="AR57" i="193"/>
  <c r="AI57" i="193"/>
  <c r="Z57" i="193"/>
  <c r="BW57" i="193"/>
  <c r="BI57" i="193"/>
  <c r="AX57" i="193"/>
  <c r="AL57" i="193"/>
  <c r="X57" i="193"/>
  <c r="BV57" i="193"/>
  <c r="BH57" i="193"/>
  <c r="AV57" i="193"/>
  <c r="AK57" i="193"/>
  <c r="W57" i="193"/>
  <c r="CA57" i="193"/>
  <c r="BN57" i="193"/>
  <c r="AU57" i="193"/>
  <c r="AE57" i="193"/>
  <c r="BZ57" i="193"/>
  <c r="BL57" i="193"/>
  <c r="AT57" i="193"/>
  <c r="AD57" i="193"/>
  <c r="BY57" i="193"/>
  <c r="BG57" i="193"/>
  <c r="AQ57" i="193"/>
  <c r="AC57" i="193"/>
  <c r="BX57" i="193"/>
  <c r="BF57" i="193"/>
  <c r="AP57" i="193"/>
  <c r="AB57" i="193"/>
  <c r="BR57" i="193"/>
  <c r="BD57" i="193"/>
  <c r="AN57" i="193"/>
  <c r="V57" i="193"/>
  <c r="BQ57" i="193"/>
  <c r="BC57" i="193"/>
  <c r="AM57" i="193"/>
  <c r="U57" i="193"/>
  <c r="BO57" i="193"/>
  <c r="AZ57" i="193"/>
  <c r="BP57" i="193"/>
  <c r="AY57" i="193"/>
  <c r="AH57" i="193"/>
  <c r="AF57" i="193"/>
  <c r="T57" i="193"/>
  <c r="S57" i="193"/>
  <c r="BW18" i="193"/>
  <c r="BO18" i="193"/>
  <c r="BG18" i="193"/>
  <c r="AY18" i="193"/>
  <c r="AQ18" i="193"/>
  <c r="AI18" i="193"/>
  <c r="AA18" i="193"/>
  <c r="S18" i="193"/>
  <c r="BY18" i="193"/>
  <c r="BP18" i="193"/>
  <c r="BF18" i="193"/>
  <c r="AW18" i="193"/>
  <c r="AN18" i="193"/>
  <c r="AE18" i="193"/>
  <c r="V18" i="193"/>
  <c r="CA18" i="193"/>
  <c r="BQ18" i="193"/>
  <c r="BE18" i="193"/>
  <c r="AU18" i="193"/>
  <c r="AK18" i="193"/>
  <c r="Z18" i="193"/>
  <c r="BZ18" i="193"/>
  <c r="BN18" i="193"/>
  <c r="BD18" i="193"/>
  <c r="AT18" i="193"/>
  <c r="AJ18" i="193"/>
  <c r="Y18" i="193"/>
  <c r="BX18" i="193"/>
  <c r="BM18" i="193"/>
  <c r="BC18" i="193"/>
  <c r="AS18" i="193"/>
  <c r="AH18" i="193"/>
  <c r="X18" i="193"/>
  <c r="BV18" i="193"/>
  <c r="BI18" i="193"/>
  <c r="AP18" i="193"/>
  <c r="AB18" i="193"/>
  <c r="BU18" i="193"/>
  <c r="BH18" i="193"/>
  <c r="AO18" i="193"/>
  <c r="W18" i="193"/>
  <c r="BT18" i="193"/>
  <c r="BB18" i="193"/>
  <c r="AM18" i="193"/>
  <c r="U18" i="193"/>
  <c r="BS18" i="193"/>
  <c r="BA18" i="193"/>
  <c r="AL18" i="193"/>
  <c r="T18" i="193"/>
  <c r="BL18" i="193"/>
  <c r="AF18" i="193"/>
  <c r="AX18" i="193"/>
  <c r="Q18" i="193"/>
  <c r="AR18" i="193"/>
  <c r="BK18" i="193"/>
  <c r="AD18" i="193"/>
  <c r="BJ18" i="193"/>
  <c r="AC18" i="193"/>
  <c r="CB18" i="193"/>
  <c r="AZ18" i="193"/>
  <c r="R18" i="193"/>
  <c r="CC18" i="193"/>
  <c r="AV18" i="193"/>
  <c r="BR18" i="193"/>
  <c r="AG18" i="193"/>
  <c r="CC15" i="193"/>
  <c r="BU15" i="193"/>
  <c r="BM15" i="193"/>
  <c r="BE15" i="193"/>
  <c r="AW15" i="193"/>
  <c r="AO15" i="193"/>
  <c r="AG15" i="193"/>
  <c r="Y15" i="193"/>
  <c r="Q15" i="193"/>
  <c r="CA15" i="193"/>
  <c r="BR15" i="193"/>
  <c r="BI15" i="193"/>
  <c r="AZ15" i="193"/>
  <c r="AQ15" i="193"/>
  <c r="AH15" i="193"/>
  <c r="X15" i="193"/>
  <c r="BS15" i="193"/>
  <c r="BH15" i="193"/>
  <c r="AX15" i="193"/>
  <c r="AM15" i="193"/>
  <c r="AC15" i="193"/>
  <c r="S15" i="193"/>
  <c r="CB15" i="193"/>
  <c r="BQ15" i="193"/>
  <c r="BG15" i="193"/>
  <c r="AV15" i="193"/>
  <c r="AL15" i="193"/>
  <c r="AB15" i="193"/>
  <c r="R15" i="193"/>
  <c r="BZ15" i="193"/>
  <c r="BP15" i="193"/>
  <c r="BF15" i="193"/>
  <c r="AU15" i="193"/>
  <c r="AK15" i="193"/>
  <c r="AA15" i="193"/>
  <c r="BN15" i="193"/>
  <c r="AY15" i="193"/>
  <c r="AF15" i="193"/>
  <c r="BL15" i="193"/>
  <c r="AT15" i="193"/>
  <c r="AE15" i="193"/>
  <c r="BY15" i="193"/>
  <c r="BK15" i="193"/>
  <c r="AS15" i="193"/>
  <c r="AD15" i="193"/>
  <c r="BX15" i="193"/>
  <c r="BJ15" i="193"/>
  <c r="AR15" i="193"/>
  <c r="Z15" i="193"/>
  <c r="BD15" i="193"/>
  <c r="W15" i="193"/>
  <c r="BW15" i="193"/>
  <c r="BT15" i="193"/>
  <c r="AJ15" i="193"/>
  <c r="BC15" i="193"/>
  <c r="V15" i="193"/>
  <c r="AP15" i="193"/>
  <c r="BB15" i="193"/>
  <c r="U15" i="193"/>
  <c r="BA15" i="193"/>
  <c r="T15" i="193"/>
  <c r="BV15" i="193"/>
  <c r="AN15" i="193"/>
  <c r="BO15" i="193"/>
  <c r="AI15" i="193"/>
  <c r="BW14" i="193"/>
  <c r="BO14" i="193"/>
  <c r="BG14" i="193"/>
  <c r="AY14" i="193"/>
  <c r="AQ14" i="193"/>
  <c r="AI14" i="193"/>
  <c r="AA14" i="193"/>
  <c r="S14" i="193"/>
  <c r="CB14" i="193"/>
  <c r="BS14" i="193"/>
  <c r="BJ14" i="193"/>
  <c r="BA14" i="193"/>
  <c r="AR14" i="193"/>
  <c r="AH14" i="193"/>
  <c r="Y14" i="193"/>
  <c r="BT14" i="193"/>
  <c r="BI14" i="193"/>
  <c r="AX14" i="193"/>
  <c r="AN14" i="193"/>
  <c r="AD14" i="193"/>
  <c r="T14" i="193"/>
  <c r="CC14" i="193"/>
  <c r="BR14" i="193"/>
  <c r="BH14" i="193"/>
  <c r="AW14" i="193"/>
  <c r="AM14" i="193"/>
  <c r="AC14" i="193"/>
  <c r="R14" i="193"/>
  <c r="BY14" i="193"/>
  <c r="BL14" i="193"/>
  <c r="AV14" i="193"/>
  <c r="AJ14" i="193"/>
  <c r="V14" i="193"/>
  <c r="BV14" i="193"/>
  <c r="BX14" i="193"/>
  <c r="BK14" i="193"/>
  <c r="AU14" i="193"/>
  <c r="AG14" i="193"/>
  <c r="U14" i="193"/>
  <c r="BF14" i="193"/>
  <c r="AT14" i="193"/>
  <c r="AF14" i="193"/>
  <c r="Q14" i="193"/>
  <c r="BU14" i="193"/>
  <c r="BE14" i="193"/>
  <c r="AS14" i="193"/>
  <c r="AE14" i="193"/>
  <c r="BZ14" i="193"/>
  <c r="AZ14" i="193"/>
  <c r="W14" i="193"/>
  <c r="AK14" i="193"/>
  <c r="BC14" i="193"/>
  <c r="Z14" i="193"/>
  <c r="BQ14" i="193"/>
  <c r="AP14" i="193"/>
  <c r="BM14" i="193"/>
  <c r="BP14" i="193"/>
  <c r="AO14" i="193"/>
  <c r="BN14" i="193"/>
  <c r="AL14" i="193"/>
  <c r="BD14" i="193"/>
  <c r="AB14" i="193"/>
  <c r="CA14" i="193"/>
  <c r="BB14" i="193"/>
  <c r="X14" i="193"/>
  <c r="BY21" i="193"/>
  <c r="BQ21" i="193"/>
  <c r="BI21" i="193"/>
  <c r="BA21" i="193"/>
  <c r="AS21" i="193"/>
  <c r="AK21" i="193"/>
  <c r="AC21" i="193"/>
  <c r="U21" i="193"/>
  <c r="BV21" i="193"/>
  <c r="BM21" i="193"/>
  <c r="BD21" i="193"/>
  <c r="AU21" i="193"/>
  <c r="AL21" i="193"/>
  <c r="AB21" i="193"/>
  <c r="S21" i="193"/>
  <c r="BW21" i="193"/>
  <c r="BL21" i="193"/>
  <c r="BB21" i="193"/>
  <c r="AQ21" i="193"/>
  <c r="AG21" i="193"/>
  <c r="W21" i="193"/>
  <c r="BU21" i="193"/>
  <c r="BK21" i="193"/>
  <c r="AZ21" i="193"/>
  <c r="AP21" i="193"/>
  <c r="AF21" i="193"/>
  <c r="V21" i="193"/>
  <c r="BT21" i="193"/>
  <c r="BJ21" i="193"/>
  <c r="AY21" i="193"/>
  <c r="AO21" i="193"/>
  <c r="AE21" i="193"/>
  <c r="T21" i="193"/>
  <c r="CB21" i="193"/>
  <c r="BN21" i="193"/>
  <c r="AV21" i="193"/>
  <c r="AD21" i="193"/>
  <c r="BZ21" i="193"/>
  <c r="CA21" i="193"/>
  <c r="BH21" i="193"/>
  <c r="AT21" i="193"/>
  <c r="AA21" i="193"/>
  <c r="BG21" i="193"/>
  <c r="AR21" i="193"/>
  <c r="Z21" i="193"/>
  <c r="BX21" i="193"/>
  <c r="BF21" i="193"/>
  <c r="AN21" i="193"/>
  <c r="Y21" i="193"/>
  <c r="BR21" i="193"/>
  <c r="BC21" i="193"/>
  <c r="BP21" i="193"/>
  <c r="AH21" i="193"/>
  <c r="AJ21" i="193"/>
  <c r="BO21" i="193"/>
  <c r="X21" i="193"/>
  <c r="AW21" i="193"/>
  <c r="CC21" i="193"/>
  <c r="BE21" i="193"/>
  <c r="R21" i="193"/>
  <c r="AX21" i="193"/>
  <c r="Q21" i="193"/>
  <c r="AM21" i="193"/>
  <c r="BS21" i="193"/>
  <c r="AI21" i="193"/>
  <c r="CC60" i="193"/>
  <c r="BU60" i="193"/>
  <c r="BM60" i="193"/>
  <c r="BE60" i="193"/>
  <c r="AW60" i="193"/>
  <c r="AO60" i="193"/>
  <c r="AG60" i="193"/>
  <c r="Y60" i="193"/>
  <c r="Q60" i="193"/>
  <c r="BZ60" i="193"/>
  <c r="BQ60" i="193"/>
  <c r="BH60" i="193"/>
  <c r="AY60" i="193"/>
  <c r="AP60" i="193"/>
  <c r="AF60" i="193"/>
  <c r="W60" i="193"/>
  <c r="BY60" i="193"/>
  <c r="BP60" i="193"/>
  <c r="BG60" i="193"/>
  <c r="AX60" i="193"/>
  <c r="AN60" i="193"/>
  <c r="AE60" i="193"/>
  <c r="V60" i="193"/>
  <c r="BX60" i="193"/>
  <c r="BO60" i="193"/>
  <c r="BF60" i="193"/>
  <c r="AV60" i="193"/>
  <c r="AM60" i="193"/>
  <c r="AD60" i="193"/>
  <c r="U60" i="193"/>
  <c r="BW60" i="193"/>
  <c r="BJ60" i="193"/>
  <c r="AT60" i="193"/>
  <c r="AH60" i="193"/>
  <c r="R60" i="193"/>
  <c r="BV60" i="193"/>
  <c r="BI60" i="193"/>
  <c r="AS60" i="193"/>
  <c r="AC60" i="193"/>
  <c r="BS60" i="193"/>
  <c r="BA60" i="193"/>
  <c r="AI60" i="193"/>
  <c r="BR60" i="193"/>
  <c r="AZ60" i="193"/>
  <c r="AB60" i="193"/>
  <c r="BK60" i="193"/>
  <c r="AK60" i="193"/>
  <c r="BD60" i="193"/>
  <c r="AJ60" i="193"/>
  <c r="BC60" i="193"/>
  <c r="AA60" i="193"/>
  <c r="CB60" i="193"/>
  <c r="BB60" i="193"/>
  <c r="Z60" i="193"/>
  <c r="CA60" i="193"/>
  <c r="AU60" i="193"/>
  <c r="X60" i="193"/>
  <c r="BT60" i="193"/>
  <c r="AR60" i="193"/>
  <c r="T60" i="193"/>
  <c r="BN60" i="193"/>
  <c r="BL60" i="193"/>
  <c r="AL60" i="193"/>
  <c r="AQ60" i="193"/>
  <c r="S60" i="193"/>
  <c r="CA24" i="193"/>
  <c r="BS24" i="193"/>
  <c r="BK24" i="193"/>
  <c r="BC24" i="193"/>
  <c r="AU24" i="193"/>
  <c r="AM24" i="193"/>
  <c r="AE24" i="193"/>
  <c r="W24" i="193"/>
  <c r="CC24" i="193"/>
  <c r="BT24" i="193"/>
  <c r="BJ24" i="193"/>
  <c r="BA24" i="193"/>
  <c r="AR24" i="193"/>
  <c r="AI24" i="193"/>
  <c r="Z24" i="193"/>
  <c r="Q24" i="193"/>
  <c r="BU24" i="193"/>
  <c r="BI24" i="193"/>
  <c r="AY24" i="193"/>
  <c r="AO24" i="193"/>
  <c r="AD24" i="193"/>
  <c r="T24" i="193"/>
  <c r="BV24" i="193"/>
  <c r="BH24" i="193"/>
  <c r="AW24" i="193"/>
  <c r="AK24" i="193"/>
  <c r="Y24" i="193"/>
  <c r="BR24" i="193"/>
  <c r="BG24" i="193"/>
  <c r="AV24" i="193"/>
  <c r="AJ24" i="193"/>
  <c r="X24" i="193"/>
  <c r="BQ24" i="193"/>
  <c r="BF24" i="193"/>
  <c r="AT24" i="193"/>
  <c r="AH24" i="193"/>
  <c r="V24" i="193"/>
  <c r="BN24" i="193"/>
  <c r="AS24" i="193"/>
  <c r="AB24" i="193"/>
  <c r="CB24" i="193"/>
  <c r="BM24" i="193"/>
  <c r="AQ24" i="193"/>
  <c r="AA24" i="193"/>
  <c r="BZ24" i="193"/>
  <c r="BL24" i="193"/>
  <c r="AP24" i="193"/>
  <c r="U24" i="193"/>
  <c r="BY24" i="193"/>
  <c r="BE24" i="193"/>
  <c r="AN24" i="193"/>
  <c r="S24" i="193"/>
  <c r="BW24" i="193"/>
  <c r="BB24" i="193"/>
  <c r="AG24" i="193"/>
  <c r="BP24" i="193"/>
  <c r="R24" i="193"/>
  <c r="AX24" i="193"/>
  <c r="BO24" i="193"/>
  <c r="AF24" i="193"/>
  <c r="BD24" i="193"/>
  <c r="AZ24" i="193"/>
  <c r="AL24" i="193"/>
  <c r="BX24" i="193"/>
  <c r="AC24" i="193"/>
  <c r="BX7" i="193"/>
  <c r="BP7" i="193"/>
  <c r="BH7" i="193"/>
  <c r="AZ7" i="193"/>
  <c r="AR7" i="193"/>
  <c r="AJ7" i="193"/>
  <c r="AB7" i="193"/>
  <c r="T7" i="193"/>
  <c r="CB7" i="193"/>
  <c r="BS7" i="193"/>
  <c r="BJ7" i="193"/>
  <c r="BA7" i="193"/>
  <c r="AQ7" i="193"/>
  <c r="AH7" i="193"/>
  <c r="Y7" i="193"/>
  <c r="CA7" i="193"/>
  <c r="BR7" i="193"/>
  <c r="BI7" i="193"/>
  <c r="AY7" i="193"/>
  <c r="AP7" i="193"/>
  <c r="AG7" i="193"/>
  <c r="X7" i="193"/>
  <c r="BQ7" i="193"/>
  <c r="BE7" i="193"/>
  <c r="AT7" i="193"/>
  <c r="AF7" i="193"/>
  <c r="U7" i="193"/>
  <c r="BZ7" i="193"/>
  <c r="BN7" i="193"/>
  <c r="BC7" i="193"/>
  <c r="AO7" i="193"/>
  <c r="AD7" i="193"/>
  <c r="R7" i="193"/>
  <c r="CC7" i="193"/>
  <c r="BO7" i="193"/>
  <c r="BD7" i="193"/>
  <c r="AS7" i="193"/>
  <c r="AE7" i="193"/>
  <c r="S7" i="193"/>
  <c r="BY7" i="193"/>
  <c r="BM7" i="193"/>
  <c r="BB7" i="193"/>
  <c r="AN7" i="193"/>
  <c r="AC7" i="193"/>
  <c r="Q7" i="193"/>
  <c r="BK7" i="193"/>
  <c r="AL7" i="193"/>
  <c r="AW7" i="193"/>
  <c r="BT7" i="193"/>
  <c r="V7" i="193"/>
  <c r="BL7" i="193"/>
  <c r="BG7" i="193"/>
  <c r="AK7" i="193"/>
  <c r="AX7" i="193"/>
  <c r="BV7" i="193"/>
  <c r="Z7" i="193"/>
  <c r="BF7" i="193"/>
  <c r="AI7" i="193"/>
  <c r="AU7" i="193"/>
  <c r="AM7" i="193"/>
  <c r="BW7" i="193"/>
  <c r="AA7" i="193"/>
  <c r="BU7" i="193"/>
  <c r="AV7" i="193"/>
  <c r="W7" i="193"/>
  <c r="BW26" i="193"/>
  <c r="BO26" i="193"/>
  <c r="BG26" i="193"/>
  <c r="AY26" i="193"/>
  <c r="AQ26" i="193"/>
  <c r="AI26" i="193"/>
  <c r="AA26" i="193"/>
  <c r="S26" i="193"/>
  <c r="CA26" i="193"/>
  <c r="BR26" i="193"/>
  <c r="BI26" i="193"/>
  <c r="AZ26" i="193"/>
  <c r="AP26" i="193"/>
  <c r="AG26" i="193"/>
  <c r="X26" i="193"/>
  <c r="CC26" i="193"/>
  <c r="BS26" i="193"/>
  <c r="BH26" i="193"/>
  <c r="AW26" i="193"/>
  <c r="AM26" i="193"/>
  <c r="AC26" i="193"/>
  <c r="R26" i="193"/>
  <c r="CB26" i="193"/>
  <c r="BP26" i="193"/>
  <c r="BD26" i="193"/>
  <c r="AS26" i="193"/>
  <c r="AF26" i="193"/>
  <c r="U26" i="193"/>
  <c r="BZ26" i="193"/>
  <c r="BN26" i="193"/>
  <c r="BC26" i="193"/>
  <c r="AR26" i="193"/>
  <c r="AE26" i="193"/>
  <c r="T26" i="193"/>
  <c r="BY26" i="193"/>
  <c r="BM26" i="193"/>
  <c r="BB26" i="193"/>
  <c r="AO26" i="193"/>
  <c r="AD26" i="193"/>
  <c r="Q26" i="193"/>
  <c r="BX26" i="193"/>
  <c r="BL26" i="193"/>
  <c r="BU26" i="193"/>
  <c r="AX26" i="193"/>
  <c r="AH26" i="193"/>
  <c r="BT26" i="193"/>
  <c r="AV26" i="193"/>
  <c r="AB26" i="193"/>
  <c r="BQ26" i="193"/>
  <c r="AU26" i="193"/>
  <c r="Z26" i="193"/>
  <c r="BK26" i="193"/>
  <c r="AT26" i="193"/>
  <c r="Y26" i="193"/>
  <c r="BF26" i="193"/>
  <c r="AL26" i="193"/>
  <c r="V26" i="193"/>
  <c r="BJ26" i="193"/>
  <c r="BE26" i="193"/>
  <c r="AK26" i="193"/>
  <c r="W26" i="193"/>
  <c r="BA26" i="193"/>
  <c r="AN26" i="193"/>
  <c r="AJ26" i="193"/>
  <c r="BV26" i="193"/>
  <c r="BY25" i="193"/>
  <c r="BQ25" i="193"/>
  <c r="BI25" i="193"/>
  <c r="BA25" i="193"/>
  <c r="AS25" i="193"/>
  <c r="AK25" i="193"/>
  <c r="AC25" i="193"/>
  <c r="U25" i="193"/>
  <c r="CB25" i="193"/>
  <c r="BS25" i="193"/>
  <c r="BJ25" i="193"/>
  <c r="AZ25" i="193"/>
  <c r="AQ25" i="193"/>
  <c r="AH25" i="193"/>
  <c r="Y25" i="193"/>
  <c r="BT25" i="193"/>
  <c r="BH25" i="193"/>
  <c r="AX25" i="193"/>
  <c r="AN25" i="193"/>
  <c r="AD25" i="193"/>
  <c r="S25" i="193"/>
  <c r="BR25" i="193"/>
  <c r="BF25" i="193"/>
  <c r="AU25" i="193"/>
  <c r="AI25" i="193"/>
  <c r="W25" i="193"/>
  <c r="CC25" i="193"/>
  <c r="BP25" i="193"/>
  <c r="BE25" i="193"/>
  <c r="AT25" i="193"/>
  <c r="AG25" i="193"/>
  <c r="V25" i="193"/>
  <c r="CA25" i="193"/>
  <c r="BO25" i="193"/>
  <c r="BD25" i="193"/>
  <c r="AR25" i="193"/>
  <c r="AF25" i="193"/>
  <c r="T25" i="193"/>
  <c r="BN25" i="193"/>
  <c r="AW25" i="193"/>
  <c r="AB25" i="193"/>
  <c r="BM25" i="193"/>
  <c r="AV25" i="193"/>
  <c r="AA25" i="193"/>
  <c r="BL25" i="193"/>
  <c r="AP25" i="193"/>
  <c r="Z25" i="193"/>
  <c r="BZ25" i="193"/>
  <c r="BK25" i="193"/>
  <c r="AO25" i="193"/>
  <c r="X25" i="193"/>
  <c r="BW25" i="193"/>
  <c r="BC25" i="193"/>
  <c r="AL25" i="193"/>
  <c r="Q25" i="193"/>
  <c r="AM25" i="193"/>
  <c r="BU25" i="193"/>
  <c r="AJ25" i="193"/>
  <c r="BB25" i="193"/>
  <c r="BX25" i="193"/>
  <c r="AE25" i="193"/>
  <c r="BV25" i="193"/>
  <c r="R25" i="193"/>
  <c r="BG25" i="193"/>
  <c r="AY25" i="193"/>
  <c r="BZ6" i="193"/>
  <c r="BR6" i="193"/>
  <c r="BJ6" i="193"/>
  <c r="BB6" i="193"/>
  <c r="AT6" i="193"/>
  <c r="AL6" i="193"/>
  <c r="AD6" i="193"/>
  <c r="V6" i="193"/>
  <c r="BU6" i="193"/>
  <c r="BL6" i="193"/>
  <c r="BC6" i="193"/>
  <c r="AS6" i="193"/>
  <c r="AJ6" i="193"/>
  <c r="AA6" i="193"/>
  <c r="R6" i="193"/>
  <c r="CC6" i="193"/>
  <c r="CC70" i="193" s="1"/>
  <c r="BT6" i="193"/>
  <c r="BK6" i="193"/>
  <c r="BA6" i="193"/>
  <c r="AR6" i="193"/>
  <c r="AI6" i="193"/>
  <c r="Z6" i="193"/>
  <c r="Q6" i="193"/>
  <c r="BS6" i="193"/>
  <c r="BG6" i="193"/>
  <c r="AV6" i="193"/>
  <c r="AH6" i="193"/>
  <c r="W6" i="193"/>
  <c r="CB6" i="193"/>
  <c r="CB70" i="193" s="1"/>
  <c r="BP6" i="193"/>
  <c r="BE6" i="193"/>
  <c r="AF6" i="193"/>
  <c r="T6" i="193"/>
  <c r="BQ6" i="193"/>
  <c r="BF6" i="193"/>
  <c r="AU6" i="193"/>
  <c r="AG6" i="193"/>
  <c r="U6" i="193"/>
  <c r="AQ6" i="193"/>
  <c r="CA6" i="193"/>
  <c r="CA70" i="193" s="1"/>
  <c r="BO6" i="193"/>
  <c r="BD6" i="193"/>
  <c r="AP6" i="193"/>
  <c r="AE6" i="193"/>
  <c r="S6" i="193"/>
  <c r="BM6" i="193"/>
  <c r="AN6" i="193"/>
  <c r="AY6" i="193"/>
  <c r="BV6" i="193"/>
  <c r="AW6" i="193"/>
  <c r="BN6" i="193"/>
  <c r="BI6" i="193"/>
  <c r="AM6" i="193"/>
  <c r="BX6" i="193"/>
  <c r="AB6" i="193"/>
  <c r="BH6" i="193"/>
  <c r="AK6" i="193"/>
  <c r="X6" i="193"/>
  <c r="AO6" i="193"/>
  <c r="BY6" i="193"/>
  <c r="AZ6" i="193"/>
  <c r="AC6" i="193"/>
  <c r="BW6" i="193"/>
  <c r="AX6" i="193"/>
  <c r="Y6" i="193"/>
  <c r="BX48" i="192"/>
  <c r="BP48" i="192"/>
  <c r="BH48" i="192"/>
  <c r="AZ48" i="192"/>
  <c r="AR48" i="192"/>
  <c r="AJ48" i="192"/>
  <c r="AB48" i="192"/>
  <c r="T48" i="192"/>
  <c r="BW48" i="192"/>
  <c r="BN48" i="192"/>
  <c r="BE48" i="192"/>
  <c r="AV48" i="192"/>
  <c r="AM48" i="192"/>
  <c r="AD48" i="192"/>
  <c r="U48" i="192"/>
  <c r="BV48" i="192"/>
  <c r="BM48" i="192"/>
  <c r="BD48" i="192"/>
  <c r="AU48" i="192"/>
  <c r="AL48" i="192"/>
  <c r="AC48" i="192"/>
  <c r="S48" i="192"/>
  <c r="CB48" i="192"/>
  <c r="BQ48" i="192"/>
  <c r="BC48" i="192"/>
  <c r="AQ48" i="192"/>
  <c r="AF48" i="192"/>
  <c r="R48" i="192"/>
  <c r="CA48" i="192"/>
  <c r="BO48" i="192"/>
  <c r="BB48" i="192"/>
  <c r="AP48" i="192"/>
  <c r="AE48" i="192"/>
  <c r="Q48" i="192"/>
  <c r="BZ48" i="192"/>
  <c r="BJ48" i="192"/>
  <c r="AT48" i="192"/>
  <c r="AA48" i="192"/>
  <c r="BY48" i="192"/>
  <c r="BI48" i="192"/>
  <c r="AS48" i="192"/>
  <c r="Z48" i="192"/>
  <c r="BR48" i="192"/>
  <c r="AW48" i="192"/>
  <c r="X48" i="192"/>
  <c r="BL48" i="192"/>
  <c r="AO48" i="192"/>
  <c r="W48" i="192"/>
  <c r="BK48" i="192"/>
  <c r="AN48" i="192"/>
  <c r="V48" i="192"/>
  <c r="BU48" i="192"/>
  <c r="AK48" i="192"/>
  <c r="BG48" i="192"/>
  <c r="AG48" i="192"/>
  <c r="BT48" i="192"/>
  <c r="AI48" i="192"/>
  <c r="BS48" i="192"/>
  <c r="AH48" i="192"/>
  <c r="CC48" i="192"/>
  <c r="BF48" i="192"/>
  <c r="BA48" i="192"/>
  <c r="AY48" i="192"/>
  <c r="AX48" i="192"/>
  <c r="Y48" i="192"/>
  <c r="CA56" i="192"/>
  <c r="BS56" i="192"/>
  <c r="BK56" i="192"/>
  <c r="BC56" i="192"/>
  <c r="AU56" i="192"/>
  <c r="AM56" i="192"/>
  <c r="AE56" i="192"/>
  <c r="W56" i="192"/>
  <c r="CC56" i="192"/>
  <c r="BT56" i="192"/>
  <c r="BJ56" i="192"/>
  <c r="BA56" i="192"/>
  <c r="AR56" i="192"/>
  <c r="AI56" i="192"/>
  <c r="Z56" i="192"/>
  <c r="Q56" i="192"/>
  <c r="BW56" i="192"/>
  <c r="BM56" i="192"/>
  <c r="BB56" i="192"/>
  <c r="AQ56" i="192"/>
  <c r="AG56" i="192"/>
  <c r="V56" i="192"/>
  <c r="BV56" i="192"/>
  <c r="BL56" i="192"/>
  <c r="AZ56" i="192"/>
  <c r="AP56" i="192"/>
  <c r="AF56" i="192"/>
  <c r="U56" i="192"/>
  <c r="BU56" i="192"/>
  <c r="BG56" i="192"/>
  <c r="AT56" i="192"/>
  <c r="AD56" i="192"/>
  <c r="R56" i="192"/>
  <c r="BR56" i="192"/>
  <c r="BF56" i="192"/>
  <c r="AS56" i="192"/>
  <c r="AC56" i="192"/>
  <c r="BQ56" i="192"/>
  <c r="BE56" i="192"/>
  <c r="AO56" i="192"/>
  <c r="AB56" i="192"/>
  <c r="BP56" i="192"/>
  <c r="BD56" i="192"/>
  <c r="AN56" i="192"/>
  <c r="AA56" i="192"/>
  <c r="BN56" i="192"/>
  <c r="AK56" i="192"/>
  <c r="BI56" i="192"/>
  <c r="AJ56" i="192"/>
  <c r="BZ56" i="192"/>
  <c r="AV56" i="192"/>
  <c r="BY56" i="192"/>
  <c r="AL56" i="192"/>
  <c r="BX56" i="192"/>
  <c r="AH56" i="192"/>
  <c r="CB56" i="192"/>
  <c r="T56" i="192"/>
  <c r="BO56" i="192"/>
  <c r="S56" i="192"/>
  <c r="AY56" i="192"/>
  <c r="BH56" i="192"/>
  <c r="Y56" i="192"/>
  <c r="X56" i="192"/>
  <c r="AX56" i="192"/>
  <c r="AW56" i="192"/>
  <c r="CC51" i="192"/>
  <c r="BU51" i="192"/>
  <c r="BM51" i="192"/>
  <c r="BE51" i="192"/>
  <c r="AW51" i="192"/>
  <c r="AO51" i="192"/>
  <c r="AG51" i="192"/>
  <c r="BX51" i="192"/>
  <c r="BO51" i="192"/>
  <c r="BF51" i="192"/>
  <c r="AV51" i="192"/>
  <c r="AM51" i="192"/>
  <c r="AD51" i="192"/>
  <c r="V51" i="192"/>
  <c r="CA51" i="192"/>
  <c r="BQ51" i="192"/>
  <c r="BG51" i="192"/>
  <c r="AU51" i="192"/>
  <c r="AK51" i="192"/>
  <c r="AA51" i="192"/>
  <c r="R51" i="192"/>
  <c r="BZ51" i="192"/>
  <c r="BP51" i="192"/>
  <c r="BD51" i="192"/>
  <c r="AT51" i="192"/>
  <c r="AJ51" i="192"/>
  <c r="Z51" i="192"/>
  <c r="Q51" i="192"/>
  <c r="BS51" i="192"/>
  <c r="BC51" i="192"/>
  <c r="AQ51" i="192"/>
  <c r="AC51" i="192"/>
  <c r="BR51" i="192"/>
  <c r="BB51" i="192"/>
  <c r="AP51" i="192"/>
  <c r="AB51" i="192"/>
  <c r="BV51" i="192"/>
  <c r="BA51" i="192"/>
  <c r="AI51" i="192"/>
  <c r="T51" i="192"/>
  <c r="BT51" i="192"/>
  <c r="AZ51" i="192"/>
  <c r="AH51" i="192"/>
  <c r="S51" i="192"/>
  <c r="BK51" i="192"/>
  <c r="AN51" i="192"/>
  <c r="BJ51" i="192"/>
  <c r="AL51" i="192"/>
  <c r="BI51" i="192"/>
  <c r="AF51" i="192"/>
  <c r="AY51" i="192"/>
  <c r="U51" i="192"/>
  <c r="AX51" i="192"/>
  <c r="CB51" i="192"/>
  <c r="AS51" i="192"/>
  <c r="BY51" i="192"/>
  <c r="AR51" i="192"/>
  <c r="BL51" i="192"/>
  <c r="BH51" i="192"/>
  <c r="AE51" i="192"/>
  <c r="Y51" i="192"/>
  <c r="X51" i="192"/>
  <c r="W51" i="192"/>
  <c r="BW51" i="192"/>
  <c r="BN51" i="192"/>
  <c r="BW58" i="192"/>
  <c r="BO58" i="192"/>
  <c r="BG58" i="192"/>
  <c r="AY58" i="192"/>
  <c r="AQ58" i="192"/>
  <c r="AI58" i="192"/>
  <c r="AA58" i="192"/>
  <c r="S58" i="192"/>
  <c r="CA58" i="192"/>
  <c r="BR58" i="192"/>
  <c r="BI58" i="192"/>
  <c r="AZ58" i="192"/>
  <c r="AP58" i="192"/>
  <c r="AG58" i="192"/>
  <c r="X58" i="192"/>
  <c r="BU58" i="192"/>
  <c r="BK58" i="192"/>
  <c r="BA58" i="192"/>
  <c r="AO58" i="192"/>
  <c r="AE58" i="192"/>
  <c r="U58" i="192"/>
  <c r="BT58" i="192"/>
  <c r="BJ58" i="192"/>
  <c r="AX58" i="192"/>
  <c r="AN58" i="192"/>
  <c r="AD58" i="192"/>
  <c r="T58" i="192"/>
  <c r="BZ58" i="192"/>
  <c r="BM58" i="192"/>
  <c r="AW58" i="192"/>
  <c r="AK58" i="192"/>
  <c r="W58" i="192"/>
  <c r="BY58" i="192"/>
  <c r="BL58" i="192"/>
  <c r="AV58" i="192"/>
  <c r="AJ58" i="192"/>
  <c r="V58" i="192"/>
  <c r="BX58" i="192"/>
  <c r="BH58" i="192"/>
  <c r="AU58" i="192"/>
  <c r="AH58" i="192"/>
  <c r="R58" i="192"/>
  <c r="BV58" i="192"/>
  <c r="BF58" i="192"/>
  <c r="AT58" i="192"/>
  <c r="AF58" i="192"/>
  <c r="Q58" i="192"/>
  <c r="CC58" i="192"/>
  <c r="BC58" i="192"/>
  <c r="Z58" i="192"/>
  <c r="CB58" i="192"/>
  <c r="BB58" i="192"/>
  <c r="Y58" i="192"/>
  <c r="BS58" i="192"/>
  <c r="AM58" i="192"/>
  <c r="BQ58" i="192"/>
  <c r="AL58" i="192"/>
  <c r="BP58" i="192"/>
  <c r="AC58" i="192"/>
  <c r="AS58" i="192"/>
  <c r="AR58" i="192"/>
  <c r="AB58" i="192"/>
  <c r="BN58" i="192"/>
  <c r="BE58" i="192"/>
  <c r="BD58" i="192"/>
  <c r="CC17" i="192"/>
  <c r="BU17" i="192"/>
  <c r="BM17" i="192"/>
  <c r="BE17" i="192"/>
  <c r="AW17" i="192"/>
  <c r="AO17" i="192"/>
  <c r="AG17" i="192"/>
  <c r="Y17" i="192"/>
  <c r="Q17" i="192"/>
  <c r="CA17" i="192"/>
  <c r="BR17" i="192"/>
  <c r="BI17" i="192"/>
  <c r="AZ17" i="192"/>
  <c r="AQ17" i="192"/>
  <c r="AH17" i="192"/>
  <c r="X17" i="192"/>
  <c r="CB17" i="192"/>
  <c r="BQ17" i="192"/>
  <c r="BG17" i="192"/>
  <c r="AV17" i="192"/>
  <c r="AL17" i="192"/>
  <c r="AB17" i="192"/>
  <c r="R17" i="192"/>
  <c r="BZ17" i="192"/>
  <c r="BP17" i="192"/>
  <c r="BF17" i="192"/>
  <c r="AU17" i="192"/>
  <c r="AK17" i="192"/>
  <c r="AA17" i="192"/>
  <c r="BS17" i="192"/>
  <c r="BC17" i="192"/>
  <c r="AP17" i="192"/>
  <c r="AC17" i="192"/>
  <c r="BA17" i="192"/>
  <c r="AM17" i="192"/>
  <c r="W17" i="192"/>
  <c r="BO17" i="192"/>
  <c r="BB17" i="192"/>
  <c r="AN17" i="192"/>
  <c r="Z17" i="192"/>
  <c r="BN17" i="192"/>
  <c r="BY17" i="192"/>
  <c r="BX17" i="192"/>
  <c r="BD17" i="192"/>
  <c r="AF17" i="192"/>
  <c r="BW17" i="192"/>
  <c r="AY17" i="192"/>
  <c r="AE17" i="192"/>
  <c r="BV17" i="192"/>
  <c r="AX17" i="192"/>
  <c r="AD17" i="192"/>
  <c r="BT17" i="192"/>
  <c r="AT17" i="192"/>
  <c r="V17" i="192"/>
  <c r="BL17" i="192"/>
  <c r="AS17" i="192"/>
  <c r="U17" i="192"/>
  <c r="BK17" i="192"/>
  <c r="AR17" i="192"/>
  <c r="T17" i="192"/>
  <c r="BH17" i="192"/>
  <c r="AI17" i="192"/>
  <c r="BJ17" i="192"/>
  <c r="AJ17" i="192"/>
  <c r="S17" i="192"/>
  <c r="CB26" i="192"/>
  <c r="BT26" i="192"/>
  <c r="BL26" i="192"/>
  <c r="BD26" i="192"/>
  <c r="AV26" i="192"/>
  <c r="AN26" i="192"/>
  <c r="AF26" i="192"/>
  <c r="X26" i="192"/>
  <c r="CA26" i="192"/>
  <c r="BR26" i="192"/>
  <c r="BI26" i="192"/>
  <c r="AZ26" i="192"/>
  <c r="AQ26" i="192"/>
  <c r="AH26" i="192"/>
  <c r="Y26" i="192"/>
  <c r="BY26" i="192"/>
  <c r="BO26" i="192"/>
  <c r="BE26" i="192"/>
  <c r="AT26" i="192"/>
  <c r="AJ26" i="192"/>
  <c r="Z26" i="192"/>
  <c r="BV26" i="192"/>
  <c r="BJ26" i="192"/>
  <c r="AX26" i="192"/>
  <c r="AL26" i="192"/>
  <c r="AA26" i="192"/>
  <c r="BU26" i="192"/>
  <c r="BH26" i="192"/>
  <c r="AW26" i="192"/>
  <c r="AK26" i="192"/>
  <c r="W26" i="192"/>
  <c r="BX26" i="192"/>
  <c r="BG26" i="192"/>
  <c r="AR26" i="192"/>
  <c r="AC26" i="192"/>
  <c r="BW26" i="192"/>
  <c r="BF26" i="192"/>
  <c r="AP26" i="192"/>
  <c r="AB26" i="192"/>
  <c r="BQ26" i="192"/>
  <c r="BB26" i="192"/>
  <c r="AM26" i="192"/>
  <c r="U26" i="192"/>
  <c r="BS26" i="192"/>
  <c r="BC26" i="192"/>
  <c r="AO26" i="192"/>
  <c r="V26" i="192"/>
  <c r="AY26" i="192"/>
  <c r="S26" i="192"/>
  <c r="CC26" i="192"/>
  <c r="AU26" i="192"/>
  <c r="R26" i="192"/>
  <c r="BZ26" i="192"/>
  <c r="AS26" i="192"/>
  <c r="Q26" i="192"/>
  <c r="BP26" i="192"/>
  <c r="AI26" i="192"/>
  <c r="BN26" i="192"/>
  <c r="AG26" i="192"/>
  <c r="BM26" i="192"/>
  <c r="AE26" i="192"/>
  <c r="BK26" i="192"/>
  <c r="AD26" i="192"/>
  <c r="BA26" i="192"/>
  <c r="T26" i="192"/>
  <c r="BX28" i="192"/>
  <c r="BP28" i="192"/>
  <c r="BH28" i="192"/>
  <c r="AZ28" i="192"/>
  <c r="AR28" i="192"/>
  <c r="AJ28" i="192"/>
  <c r="AB28" i="192"/>
  <c r="T28" i="192"/>
  <c r="BY28" i="192"/>
  <c r="BO28" i="192"/>
  <c r="BF28" i="192"/>
  <c r="AW28" i="192"/>
  <c r="AN28" i="192"/>
  <c r="AE28" i="192"/>
  <c r="V28" i="192"/>
  <c r="BV28" i="192"/>
  <c r="BL28" i="192"/>
  <c r="BB28" i="192"/>
  <c r="AQ28" i="192"/>
  <c r="AG28" i="192"/>
  <c r="W28" i="192"/>
  <c r="CA28" i="192"/>
  <c r="BN28" i="192"/>
  <c r="BC28" i="192"/>
  <c r="AP28" i="192"/>
  <c r="AD28" i="192"/>
  <c r="R28" i="192"/>
  <c r="BZ28" i="192"/>
  <c r="BM28" i="192"/>
  <c r="BA28" i="192"/>
  <c r="AO28" i="192"/>
  <c r="AC28" i="192"/>
  <c r="Q28" i="192"/>
  <c r="BR28" i="192"/>
  <c r="AY28" i="192"/>
  <c r="AK28" i="192"/>
  <c r="U28" i="192"/>
  <c r="BJ28" i="192"/>
  <c r="AF28" i="192"/>
  <c r="BQ28" i="192"/>
  <c r="AX28" i="192"/>
  <c r="AI28" i="192"/>
  <c r="S28" i="192"/>
  <c r="CC28" i="192"/>
  <c r="CB28" i="192"/>
  <c r="AU28" i="192"/>
  <c r="BK28" i="192"/>
  <c r="AV28" i="192"/>
  <c r="AH28" i="192"/>
  <c r="BE28" i="192"/>
  <c r="Y28" i="192"/>
  <c r="BD28" i="192"/>
  <c r="X28" i="192"/>
  <c r="BW28" i="192"/>
  <c r="AT28" i="192"/>
  <c r="BU28" i="192"/>
  <c r="AS28" i="192"/>
  <c r="BT28" i="192"/>
  <c r="AM28" i="192"/>
  <c r="BS28" i="192"/>
  <c r="AL28" i="192"/>
  <c r="BI28" i="192"/>
  <c r="AA28" i="192"/>
  <c r="BG28" i="192"/>
  <c r="Z28" i="192"/>
  <c r="BY19" i="192"/>
  <c r="BQ19" i="192"/>
  <c r="BI19" i="192"/>
  <c r="BA19" i="192"/>
  <c r="AS19" i="192"/>
  <c r="AK19" i="192"/>
  <c r="AC19" i="192"/>
  <c r="U19" i="192"/>
  <c r="BZ19" i="192"/>
  <c r="BP19" i="192"/>
  <c r="BG19" i="192"/>
  <c r="AX19" i="192"/>
  <c r="AO19" i="192"/>
  <c r="AF19" i="192"/>
  <c r="W19" i="192"/>
  <c r="CA19" i="192"/>
  <c r="BO19" i="192"/>
  <c r="BE19" i="192"/>
  <c r="AU19" i="192"/>
  <c r="AJ19" i="192"/>
  <c r="Z19" i="192"/>
  <c r="BX19" i="192"/>
  <c r="BN19" i="192"/>
  <c r="BD19" i="192"/>
  <c r="AT19" i="192"/>
  <c r="AI19" i="192"/>
  <c r="Y19" i="192"/>
  <c r="BV19" i="192"/>
  <c r="BJ19" i="192"/>
  <c r="AV19" i="192"/>
  <c r="AG19" i="192"/>
  <c r="S19" i="192"/>
  <c r="BT19" i="192"/>
  <c r="BF19" i="192"/>
  <c r="AQ19" i="192"/>
  <c r="AD19" i="192"/>
  <c r="Q19" i="192"/>
  <c r="AP19" i="192"/>
  <c r="BU19" i="192"/>
  <c r="BH19" i="192"/>
  <c r="AR19" i="192"/>
  <c r="AE19" i="192"/>
  <c r="R19" i="192"/>
  <c r="BS19" i="192"/>
  <c r="BC19" i="192"/>
  <c r="AB19" i="192"/>
  <c r="BM19" i="192"/>
  <c r="AM19" i="192"/>
  <c r="BL19" i="192"/>
  <c r="AL19" i="192"/>
  <c r="BK19" i="192"/>
  <c r="AH19" i="192"/>
  <c r="BB19" i="192"/>
  <c r="AA19" i="192"/>
  <c r="CC19" i="192"/>
  <c r="AZ19" i="192"/>
  <c r="X19" i="192"/>
  <c r="CB19" i="192"/>
  <c r="AY19" i="192"/>
  <c r="V19" i="192"/>
  <c r="BW19" i="192"/>
  <c r="AW19" i="192"/>
  <c r="BR19" i="192"/>
  <c r="AN19" i="192"/>
  <c r="T19" i="192"/>
  <c r="BV45" i="192"/>
  <c r="BN45" i="192"/>
  <c r="BF45" i="192"/>
  <c r="AX45" i="192"/>
  <c r="AP45" i="192"/>
  <c r="AH45" i="192"/>
  <c r="Z45" i="192"/>
  <c r="R45" i="192"/>
  <c r="CA45" i="192"/>
  <c r="BR45" i="192"/>
  <c r="BI45" i="192"/>
  <c r="AZ45" i="192"/>
  <c r="AQ45" i="192"/>
  <c r="AG45" i="192"/>
  <c r="X45" i="192"/>
  <c r="BZ45" i="192"/>
  <c r="BQ45" i="192"/>
  <c r="BH45" i="192"/>
  <c r="AY45" i="192"/>
  <c r="AO45" i="192"/>
  <c r="AF45" i="192"/>
  <c r="W45" i="192"/>
  <c r="BW45" i="192"/>
  <c r="BK45" i="192"/>
  <c r="AW45" i="192"/>
  <c r="AL45" i="192"/>
  <c r="AA45" i="192"/>
  <c r="BX45" i="192"/>
  <c r="BJ45" i="192"/>
  <c r="AU45" i="192"/>
  <c r="AI45" i="192"/>
  <c r="T45" i="192"/>
  <c r="BU45" i="192"/>
  <c r="BG45" i="192"/>
  <c r="AT45" i="192"/>
  <c r="AE45" i="192"/>
  <c r="S45" i="192"/>
  <c r="BT45" i="192"/>
  <c r="BC45" i="192"/>
  <c r="AK45" i="192"/>
  <c r="Q45" i="192"/>
  <c r="BS45" i="192"/>
  <c r="BB45" i="192"/>
  <c r="AJ45" i="192"/>
  <c r="BP45" i="192"/>
  <c r="BA45" i="192"/>
  <c r="AD45" i="192"/>
  <c r="BD45" i="192"/>
  <c r="Y45" i="192"/>
  <c r="CC45" i="192"/>
  <c r="AV45" i="192"/>
  <c r="V45" i="192"/>
  <c r="BY45" i="192"/>
  <c r="AR45" i="192"/>
  <c r="CB45" i="192"/>
  <c r="AS45" i="192"/>
  <c r="U45" i="192"/>
  <c r="BO45" i="192"/>
  <c r="BM45" i="192"/>
  <c r="BL45" i="192"/>
  <c r="BE45" i="192"/>
  <c r="AN45" i="192"/>
  <c r="AM45" i="192"/>
  <c r="AC45" i="192"/>
  <c r="AB45" i="192"/>
  <c r="CA10" i="192"/>
  <c r="BS10" i="192"/>
  <c r="BK10" i="192"/>
  <c r="BC10" i="192"/>
  <c r="AU10" i="192"/>
  <c r="AM10" i="192"/>
  <c r="AE10" i="192"/>
  <c r="W10" i="192"/>
  <c r="BX10" i="192"/>
  <c r="BO10" i="192"/>
  <c r="BF10" i="192"/>
  <c r="AW10" i="192"/>
  <c r="AN10" i="192"/>
  <c r="AD10" i="192"/>
  <c r="U10" i="192"/>
  <c r="BW10" i="192"/>
  <c r="BM10" i="192"/>
  <c r="BB10" i="192"/>
  <c r="AR10" i="192"/>
  <c r="AH10" i="192"/>
  <c r="X10" i="192"/>
  <c r="BV10" i="192"/>
  <c r="BL10" i="192"/>
  <c r="BA10" i="192"/>
  <c r="AQ10" i="192"/>
  <c r="AG10" i="192"/>
  <c r="V10" i="192"/>
  <c r="BY10" i="192"/>
  <c r="BI10" i="192"/>
  <c r="AV10" i="192"/>
  <c r="AI10" i="192"/>
  <c r="S10" i="192"/>
  <c r="BG10" i="192"/>
  <c r="AC10" i="192"/>
  <c r="BU10" i="192"/>
  <c r="BH10" i="192"/>
  <c r="AT10" i="192"/>
  <c r="AF10" i="192"/>
  <c r="R10" i="192"/>
  <c r="BT10" i="192"/>
  <c r="AS10" i="192"/>
  <c r="Q10" i="192"/>
  <c r="BR10" i="192"/>
  <c r="AY10" i="192"/>
  <c r="AA10" i="192"/>
  <c r="AX10" i="192"/>
  <c r="BQ10" i="192"/>
  <c r="Z10" i="192"/>
  <c r="BP10" i="192"/>
  <c r="AP10" i="192"/>
  <c r="Y10" i="192"/>
  <c r="BN10" i="192"/>
  <c r="AO10" i="192"/>
  <c r="T10" i="192"/>
  <c r="CC10" i="192"/>
  <c r="AK10" i="192"/>
  <c r="CB10" i="192"/>
  <c r="AJ10" i="192"/>
  <c r="BZ10" i="192"/>
  <c r="AB10" i="192"/>
  <c r="BE10" i="192"/>
  <c r="BD10" i="192"/>
  <c r="AZ10" i="192"/>
  <c r="AL10" i="192"/>
  <c r="BJ10" i="192"/>
  <c r="CA60" i="192"/>
  <c r="BS60" i="192"/>
  <c r="BK60" i="192"/>
  <c r="BC60" i="192"/>
  <c r="AU60" i="192"/>
  <c r="AM60" i="192"/>
  <c r="AE60" i="192"/>
  <c r="W60" i="192"/>
  <c r="BY60" i="192"/>
  <c r="BP60" i="192"/>
  <c r="BG60" i="192"/>
  <c r="AX60" i="192"/>
  <c r="AO60" i="192"/>
  <c r="AF60" i="192"/>
  <c r="V60" i="192"/>
  <c r="BX60" i="192"/>
  <c r="BO60" i="192"/>
  <c r="BF60" i="192"/>
  <c r="AW60" i="192"/>
  <c r="AN60" i="192"/>
  <c r="AD60" i="192"/>
  <c r="U60" i="192"/>
  <c r="CC60" i="192"/>
  <c r="BQ60" i="192"/>
  <c r="BD60" i="192"/>
  <c r="AR60" i="192"/>
  <c r="AG60" i="192"/>
  <c r="S60" i="192"/>
  <c r="CB60" i="192"/>
  <c r="BN60" i="192"/>
  <c r="BB60" i="192"/>
  <c r="AQ60" i="192"/>
  <c r="AC60" i="192"/>
  <c r="R60" i="192"/>
  <c r="BV60" i="192"/>
  <c r="BH60" i="192"/>
  <c r="AP60" i="192"/>
  <c r="Z60" i="192"/>
  <c r="BU60" i="192"/>
  <c r="BE60" i="192"/>
  <c r="AL60" i="192"/>
  <c r="Y60" i="192"/>
  <c r="BT60" i="192"/>
  <c r="BA60" i="192"/>
  <c r="AK60" i="192"/>
  <c r="X60" i="192"/>
  <c r="BR60" i="192"/>
  <c r="AZ60" i="192"/>
  <c r="AJ60" i="192"/>
  <c r="T60" i="192"/>
  <c r="BJ60" i="192"/>
  <c r="AB60" i="192"/>
  <c r="BI60" i="192"/>
  <c r="AA60" i="192"/>
  <c r="AY60" i="192"/>
  <c r="AV60" i="192"/>
  <c r="AT60" i="192"/>
  <c r="Q60" i="192"/>
  <c r="BZ60" i="192"/>
  <c r="BW60" i="192"/>
  <c r="BM60" i="192"/>
  <c r="BL60" i="192"/>
  <c r="AS60" i="192"/>
  <c r="AI60" i="192"/>
  <c r="AH60" i="192"/>
  <c r="BZ27" i="192"/>
  <c r="BR27" i="192"/>
  <c r="BJ27" i="192"/>
  <c r="BB27" i="192"/>
  <c r="AT27" i="192"/>
  <c r="AL27" i="192"/>
  <c r="AD27" i="192"/>
  <c r="V27" i="192"/>
  <c r="CA27" i="192"/>
  <c r="BQ27" i="192"/>
  <c r="BH27" i="192"/>
  <c r="AY27" i="192"/>
  <c r="AP27" i="192"/>
  <c r="AG27" i="192"/>
  <c r="X27" i="192"/>
  <c r="BX27" i="192"/>
  <c r="BN27" i="192"/>
  <c r="BD27" i="192"/>
  <c r="AS27" i="192"/>
  <c r="AI27" i="192"/>
  <c r="Y27" i="192"/>
  <c r="BT27" i="192"/>
  <c r="BG27" i="192"/>
  <c r="AV27" i="192"/>
  <c r="AJ27" i="192"/>
  <c r="W27" i="192"/>
  <c r="BS27" i="192"/>
  <c r="BF27" i="192"/>
  <c r="AU27" i="192"/>
  <c r="AH27" i="192"/>
  <c r="U27" i="192"/>
  <c r="CC27" i="192"/>
  <c r="BM27" i="192"/>
  <c r="AX27" i="192"/>
  <c r="AF27" i="192"/>
  <c r="R27" i="192"/>
  <c r="BW27" i="192"/>
  <c r="BI27" i="192"/>
  <c r="AQ27" i="192"/>
  <c r="CB27" i="192"/>
  <c r="BL27" i="192"/>
  <c r="AW27" i="192"/>
  <c r="AE27" i="192"/>
  <c r="Q27" i="192"/>
  <c r="AB27" i="192"/>
  <c r="BY27" i="192"/>
  <c r="BK27" i="192"/>
  <c r="AR27" i="192"/>
  <c r="AC27" i="192"/>
  <c r="BP27" i="192"/>
  <c r="AM27" i="192"/>
  <c r="BO27" i="192"/>
  <c r="AK27" i="192"/>
  <c r="BE27" i="192"/>
  <c r="AA27" i="192"/>
  <c r="BC27" i="192"/>
  <c r="Z27" i="192"/>
  <c r="BA27" i="192"/>
  <c r="T27" i="192"/>
  <c r="AZ27" i="192"/>
  <c r="S27" i="192"/>
  <c r="BV27" i="192"/>
  <c r="AO27" i="192"/>
  <c r="BU27" i="192"/>
  <c r="AN27" i="192"/>
  <c r="BV25" i="192"/>
  <c r="BN25" i="192"/>
  <c r="BF25" i="192"/>
  <c r="AX25" i="192"/>
  <c r="AP25" i="192"/>
  <c r="AH25" i="192"/>
  <c r="Z25" i="192"/>
  <c r="R25" i="192"/>
  <c r="CB25" i="192"/>
  <c r="BS25" i="192"/>
  <c r="BJ25" i="192"/>
  <c r="BA25" i="192"/>
  <c r="AR25" i="192"/>
  <c r="AI25" i="192"/>
  <c r="Y25" i="192"/>
  <c r="BZ25" i="192"/>
  <c r="BP25" i="192"/>
  <c r="BE25" i="192"/>
  <c r="AU25" i="192"/>
  <c r="AK25" i="192"/>
  <c r="AA25" i="192"/>
  <c r="BX25" i="192"/>
  <c r="BL25" i="192"/>
  <c r="AZ25" i="192"/>
  <c r="AN25" i="192"/>
  <c r="AC25" i="192"/>
  <c r="Q25" i="192"/>
  <c r="BW25" i="192"/>
  <c r="BK25" i="192"/>
  <c r="AY25" i="192"/>
  <c r="AM25" i="192"/>
  <c r="AB25" i="192"/>
  <c r="BT25" i="192"/>
  <c r="BD25" i="192"/>
  <c r="AO25" i="192"/>
  <c r="W25" i="192"/>
  <c r="BR25" i="192"/>
  <c r="BC25" i="192"/>
  <c r="AL25" i="192"/>
  <c r="V25" i="192"/>
  <c r="BO25" i="192"/>
  <c r="AW25" i="192"/>
  <c r="AG25" i="192"/>
  <c r="T25" i="192"/>
  <c r="BQ25" i="192"/>
  <c r="BB25" i="192"/>
  <c r="AJ25" i="192"/>
  <c r="U25" i="192"/>
  <c r="BM25" i="192"/>
  <c r="AF25" i="192"/>
  <c r="BI25" i="192"/>
  <c r="AE25" i="192"/>
  <c r="BH25" i="192"/>
  <c r="AD25" i="192"/>
  <c r="BG25" i="192"/>
  <c r="X25" i="192"/>
  <c r="CC25" i="192"/>
  <c r="AV25" i="192"/>
  <c r="S25" i="192"/>
  <c r="CA25" i="192"/>
  <c r="AT25" i="192"/>
  <c r="BY25" i="192"/>
  <c r="AS25" i="192"/>
  <c r="BU25" i="192"/>
  <c r="AQ25" i="192"/>
  <c r="BZ31" i="192"/>
  <c r="BR31" i="192"/>
  <c r="BJ31" i="192"/>
  <c r="BB31" i="192"/>
  <c r="AT31" i="192"/>
  <c r="AL31" i="192"/>
  <c r="AD31" i="192"/>
  <c r="V31" i="192"/>
  <c r="BV31" i="192"/>
  <c r="BM31" i="192"/>
  <c r="BD31" i="192"/>
  <c r="AU31" i="192"/>
  <c r="AK31" i="192"/>
  <c r="AB31" i="192"/>
  <c r="S31" i="192"/>
  <c r="CC31" i="192"/>
  <c r="BS31" i="192"/>
  <c r="BH31" i="192"/>
  <c r="AX31" i="192"/>
  <c r="AN31" i="192"/>
  <c r="AC31" i="192"/>
  <c r="R31" i="192"/>
  <c r="CB31" i="192"/>
  <c r="BQ31" i="192"/>
  <c r="BG31" i="192"/>
  <c r="AW31" i="192"/>
  <c r="AM31" i="192"/>
  <c r="AA31" i="192"/>
  <c r="Q31" i="192"/>
  <c r="BW31" i="192"/>
  <c r="BI31" i="192"/>
  <c r="AS31" i="192"/>
  <c r="AG31" i="192"/>
  <c r="T31" i="192"/>
  <c r="BU31" i="192"/>
  <c r="BF31" i="192"/>
  <c r="AR31" i="192"/>
  <c r="AF31" i="192"/>
  <c r="BN31" i="192"/>
  <c r="AV31" i="192"/>
  <c r="Z31" i="192"/>
  <c r="BY31" i="192"/>
  <c r="AO31" i="192"/>
  <c r="BL31" i="192"/>
  <c r="AQ31" i="192"/>
  <c r="Y31" i="192"/>
  <c r="BE31" i="192"/>
  <c r="W31" i="192"/>
  <c r="CA31" i="192"/>
  <c r="BK31" i="192"/>
  <c r="AP31" i="192"/>
  <c r="X31" i="192"/>
  <c r="BO31" i="192"/>
  <c r="AE31" i="192"/>
  <c r="BC31" i="192"/>
  <c r="U31" i="192"/>
  <c r="BA31" i="192"/>
  <c r="AZ31" i="192"/>
  <c r="AY31" i="192"/>
  <c r="BX31" i="192"/>
  <c r="AJ31" i="192"/>
  <c r="BT31" i="192"/>
  <c r="AI31" i="192"/>
  <c r="BP31" i="192"/>
  <c r="AH31" i="192"/>
  <c r="CC13" i="192"/>
  <c r="BU13" i="192"/>
  <c r="BM13" i="192"/>
  <c r="BE13" i="192"/>
  <c r="AW13" i="192"/>
  <c r="AO13" i="192"/>
  <c r="AG13" i="192"/>
  <c r="Y13" i="192"/>
  <c r="Q13" i="192"/>
  <c r="BV13" i="192"/>
  <c r="BL13" i="192"/>
  <c r="BC13" i="192"/>
  <c r="AT13" i="192"/>
  <c r="AK13" i="192"/>
  <c r="AB13" i="192"/>
  <c r="S13" i="192"/>
  <c r="BT13" i="192"/>
  <c r="BJ13" i="192"/>
  <c r="AZ13" i="192"/>
  <c r="AP13" i="192"/>
  <c r="AE13" i="192"/>
  <c r="U13" i="192"/>
  <c r="BS13" i="192"/>
  <c r="BI13" i="192"/>
  <c r="AY13" i="192"/>
  <c r="AN13" i="192"/>
  <c r="AD13" i="192"/>
  <c r="T13" i="192"/>
  <c r="BW13" i="192"/>
  <c r="BG13" i="192"/>
  <c r="AS13" i="192"/>
  <c r="AF13" i="192"/>
  <c r="BR13" i="192"/>
  <c r="BF13" i="192"/>
  <c r="AR13" i="192"/>
  <c r="AC13" i="192"/>
  <c r="BQ13" i="192"/>
  <c r="BD13" i="192"/>
  <c r="AQ13" i="192"/>
  <c r="AA13" i="192"/>
  <c r="BO13" i="192"/>
  <c r="AU13" i="192"/>
  <c r="W13" i="192"/>
  <c r="BN13" i="192"/>
  <c r="AM13" i="192"/>
  <c r="V13" i="192"/>
  <c r="CB13" i="192"/>
  <c r="BK13" i="192"/>
  <c r="AL13" i="192"/>
  <c r="R13" i="192"/>
  <c r="CA13" i="192"/>
  <c r="BH13" i="192"/>
  <c r="AJ13" i="192"/>
  <c r="BZ13" i="192"/>
  <c r="BB13" i="192"/>
  <c r="BY13" i="192"/>
  <c r="BP13" i="192"/>
  <c r="X13" i="192"/>
  <c r="BX13" i="192"/>
  <c r="BA13" i="192"/>
  <c r="AV13" i="192"/>
  <c r="AH13" i="192"/>
  <c r="Z13" i="192"/>
  <c r="AX13" i="192"/>
  <c r="AI13" i="192"/>
  <c r="BZ64" i="192"/>
  <c r="BR64" i="192"/>
  <c r="BJ64" i="192"/>
  <c r="BB64" i="192"/>
  <c r="AT64" i="192"/>
  <c r="AL64" i="192"/>
  <c r="AD64" i="192"/>
  <c r="V64" i="192"/>
  <c r="CA64" i="192"/>
  <c r="BQ64" i="192"/>
  <c r="BH64" i="192"/>
  <c r="AY64" i="192"/>
  <c r="AP64" i="192"/>
  <c r="AG64" i="192"/>
  <c r="X64" i="192"/>
  <c r="BY64" i="192"/>
  <c r="BO64" i="192"/>
  <c r="BE64" i="192"/>
  <c r="AU64" i="192"/>
  <c r="AJ64" i="192"/>
  <c r="Z64" i="192"/>
  <c r="BX64" i="192"/>
  <c r="BN64" i="192"/>
  <c r="BD64" i="192"/>
  <c r="AS64" i="192"/>
  <c r="AI64" i="192"/>
  <c r="Y64" i="192"/>
  <c r="BS64" i="192"/>
  <c r="BC64" i="192"/>
  <c r="AO64" i="192"/>
  <c r="AB64" i="192"/>
  <c r="BP64" i="192"/>
  <c r="BA64" i="192"/>
  <c r="AN64" i="192"/>
  <c r="AA64" i="192"/>
  <c r="BL64" i="192"/>
  <c r="AV64" i="192"/>
  <c r="AC64" i="192"/>
  <c r="CC64" i="192"/>
  <c r="BK64" i="192"/>
  <c r="AR64" i="192"/>
  <c r="W64" i="192"/>
  <c r="CB64" i="192"/>
  <c r="BI64" i="192"/>
  <c r="AQ64" i="192"/>
  <c r="U64" i="192"/>
  <c r="BW64" i="192"/>
  <c r="BG64" i="192"/>
  <c r="AM64" i="192"/>
  <c r="T64" i="192"/>
  <c r="BV64" i="192"/>
  <c r="AK64" i="192"/>
  <c r="BU64" i="192"/>
  <c r="AH64" i="192"/>
  <c r="BT64" i="192"/>
  <c r="S64" i="192"/>
  <c r="BM64" i="192"/>
  <c r="R64" i="192"/>
  <c r="BF64" i="192"/>
  <c r="Q64" i="192"/>
  <c r="AZ64" i="192"/>
  <c r="AX64" i="192"/>
  <c r="AW64" i="192"/>
  <c r="AF64" i="192"/>
  <c r="AE64" i="192"/>
  <c r="BY11" i="192"/>
  <c r="BQ11" i="192"/>
  <c r="BI11" i="192"/>
  <c r="BA11" i="192"/>
  <c r="AS11" i="192"/>
  <c r="AK11" i="192"/>
  <c r="AC11" i="192"/>
  <c r="U11" i="192"/>
  <c r="BW11" i="192"/>
  <c r="BN11" i="192"/>
  <c r="BE11" i="192"/>
  <c r="AV11" i="192"/>
  <c r="AM11" i="192"/>
  <c r="AD11" i="192"/>
  <c r="T11" i="192"/>
  <c r="BV11" i="192"/>
  <c r="BL11" i="192"/>
  <c r="BB11" i="192"/>
  <c r="AQ11" i="192"/>
  <c r="AG11" i="192"/>
  <c r="W11" i="192"/>
  <c r="BK11" i="192"/>
  <c r="BU11" i="192"/>
  <c r="AZ11" i="192"/>
  <c r="AP11" i="192"/>
  <c r="AF11" i="192"/>
  <c r="V11" i="192"/>
  <c r="BR11" i="192"/>
  <c r="BD11" i="192"/>
  <c r="AO11" i="192"/>
  <c r="AA11" i="192"/>
  <c r="AY11" i="192"/>
  <c r="CC11" i="192"/>
  <c r="BP11" i="192"/>
  <c r="BC11" i="192"/>
  <c r="AN11" i="192"/>
  <c r="Z11" i="192"/>
  <c r="CB11" i="192"/>
  <c r="BO11" i="192"/>
  <c r="Y11" i="192"/>
  <c r="AL11" i="192"/>
  <c r="BH11" i="192"/>
  <c r="AJ11" i="192"/>
  <c r="Q11" i="192"/>
  <c r="CA11" i="192"/>
  <c r="BG11" i="192"/>
  <c r="AI11" i="192"/>
  <c r="BZ11" i="192"/>
  <c r="BF11" i="192"/>
  <c r="AH11" i="192"/>
  <c r="BX11" i="192"/>
  <c r="AX11" i="192"/>
  <c r="AE11" i="192"/>
  <c r="AT11" i="192"/>
  <c r="AR11" i="192"/>
  <c r="BT11" i="192"/>
  <c r="AB11" i="192"/>
  <c r="BM11" i="192"/>
  <c r="S11" i="192"/>
  <c r="BJ11" i="192"/>
  <c r="R11" i="192"/>
  <c r="AW11" i="192"/>
  <c r="BS11" i="192"/>
  <c r="X11" i="192"/>
  <c r="AU11" i="192"/>
  <c r="CB42" i="192"/>
  <c r="BT42" i="192"/>
  <c r="BL42" i="192"/>
  <c r="BD42" i="192"/>
  <c r="AV42" i="192"/>
  <c r="AN42" i="192"/>
  <c r="AF42" i="192"/>
  <c r="X42" i="192"/>
  <c r="BV42" i="192"/>
  <c r="BM42" i="192"/>
  <c r="BC42" i="192"/>
  <c r="AT42" i="192"/>
  <c r="AK42" i="192"/>
  <c r="AB42" i="192"/>
  <c r="S42" i="192"/>
  <c r="CA42" i="192"/>
  <c r="BQ42" i="192"/>
  <c r="BG42" i="192"/>
  <c r="AW42" i="192"/>
  <c r="AL42" i="192"/>
  <c r="AA42" i="192"/>
  <c r="Q42" i="192"/>
  <c r="BW42" i="192"/>
  <c r="BJ42" i="192"/>
  <c r="AY42" i="192"/>
  <c r="AM42" i="192"/>
  <c r="Z42" i="192"/>
  <c r="BU42" i="192"/>
  <c r="BI42" i="192"/>
  <c r="AX42" i="192"/>
  <c r="AJ42" i="192"/>
  <c r="Y42" i="192"/>
  <c r="BO42" i="192"/>
  <c r="AZ42" i="192"/>
  <c r="AH42" i="192"/>
  <c r="T42" i="192"/>
  <c r="CC42" i="192"/>
  <c r="BN42" i="192"/>
  <c r="AU42" i="192"/>
  <c r="AG42" i="192"/>
  <c r="R42" i="192"/>
  <c r="BZ42" i="192"/>
  <c r="BK42" i="192"/>
  <c r="AS42" i="192"/>
  <c r="AE42" i="192"/>
  <c r="BX42" i="192"/>
  <c r="BA42" i="192"/>
  <c r="W42" i="192"/>
  <c r="BS42" i="192"/>
  <c r="AR42" i="192"/>
  <c r="V42" i="192"/>
  <c r="BP42" i="192"/>
  <c r="AP42" i="192"/>
  <c r="BR42" i="192"/>
  <c r="AQ42" i="192"/>
  <c r="U42" i="192"/>
  <c r="BB42" i="192"/>
  <c r="AO42" i="192"/>
  <c r="AI42" i="192"/>
  <c r="AD42" i="192"/>
  <c r="BY42" i="192"/>
  <c r="AC42" i="192"/>
  <c r="BH42" i="192"/>
  <c r="BF42" i="192"/>
  <c r="BE42" i="192"/>
  <c r="BV66" i="192"/>
  <c r="BN66" i="192"/>
  <c r="BF66" i="192"/>
  <c r="AX66" i="192"/>
  <c r="AP66" i="192"/>
  <c r="AH66" i="192"/>
  <c r="Z66" i="192"/>
  <c r="R66" i="192"/>
  <c r="BX66" i="192"/>
  <c r="BO66" i="192"/>
  <c r="BE66" i="192"/>
  <c r="AV66" i="192"/>
  <c r="AM66" i="192"/>
  <c r="AD66" i="192"/>
  <c r="U66" i="192"/>
  <c r="BU66" i="192"/>
  <c r="BK66" i="192"/>
  <c r="BA66" i="192"/>
  <c r="AQ66" i="192"/>
  <c r="AF66" i="192"/>
  <c r="V66" i="192"/>
  <c r="BT66" i="192"/>
  <c r="BJ66" i="192"/>
  <c r="AZ66" i="192"/>
  <c r="AO66" i="192"/>
  <c r="AE66" i="192"/>
  <c r="T66" i="192"/>
  <c r="CC66" i="192"/>
  <c r="BQ66" i="192"/>
  <c r="BC66" i="192"/>
  <c r="AN66" i="192"/>
  <c r="AA66" i="192"/>
  <c r="CB66" i="192"/>
  <c r="BP66" i="192"/>
  <c r="BB66" i="192"/>
  <c r="AL66" i="192"/>
  <c r="Y66" i="192"/>
  <c r="BZ66" i="192"/>
  <c r="BH66" i="192"/>
  <c r="AR66" i="192"/>
  <c r="W66" i="192"/>
  <c r="BY66" i="192"/>
  <c r="BG66" i="192"/>
  <c r="AK66" i="192"/>
  <c r="S66" i="192"/>
  <c r="BW66" i="192"/>
  <c r="BD66" i="192"/>
  <c r="AJ66" i="192"/>
  <c r="Q66" i="192"/>
  <c r="BS66" i="192"/>
  <c r="AY66" i="192"/>
  <c r="AI66" i="192"/>
  <c r="BR66" i="192"/>
  <c r="AG66" i="192"/>
  <c r="BM66" i="192"/>
  <c r="AC66" i="192"/>
  <c r="BL66" i="192"/>
  <c r="BI66" i="192"/>
  <c r="AW66" i="192"/>
  <c r="CA66" i="192"/>
  <c r="AU66" i="192"/>
  <c r="AT66" i="192"/>
  <c r="AS66" i="192"/>
  <c r="AB66" i="192"/>
  <c r="X66" i="192"/>
  <c r="CA52" i="192"/>
  <c r="BS52" i="192"/>
  <c r="BK52" i="192"/>
  <c r="BC52" i="192"/>
  <c r="AU52" i="192"/>
  <c r="AM52" i="192"/>
  <c r="AE52" i="192"/>
  <c r="W52" i="192"/>
  <c r="BW52" i="192"/>
  <c r="BN52" i="192"/>
  <c r="BE52" i="192"/>
  <c r="AV52" i="192"/>
  <c r="AL52" i="192"/>
  <c r="AC52" i="192"/>
  <c r="T52" i="192"/>
  <c r="BZ52" i="192"/>
  <c r="BP52" i="192"/>
  <c r="BF52" i="192"/>
  <c r="AT52" i="192"/>
  <c r="AJ52" i="192"/>
  <c r="Z52" i="192"/>
  <c r="BY52" i="192"/>
  <c r="BO52" i="192"/>
  <c r="BD52" i="192"/>
  <c r="AS52" i="192"/>
  <c r="AI52" i="192"/>
  <c r="Y52" i="192"/>
  <c r="CC52" i="192"/>
  <c r="BM52" i="192"/>
  <c r="AZ52" i="192"/>
  <c r="AN52" i="192"/>
  <c r="X52" i="192"/>
  <c r="CB52" i="192"/>
  <c r="BL52" i="192"/>
  <c r="AY52" i="192"/>
  <c r="AK52" i="192"/>
  <c r="V52" i="192"/>
  <c r="BV52" i="192"/>
  <c r="BI52" i="192"/>
  <c r="AW52" i="192"/>
  <c r="BG52" i="192"/>
  <c r="AH52" i="192"/>
  <c r="R52" i="192"/>
  <c r="BX52" i="192"/>
  <c r="BB52" i="192"/>
  <c r="AG52" i="192"/>
  <c r="Q52" i="192"/>
  <c r="BR52" i="192"/>
  <c r="AP52" i="192"/>
  <c r="BQ52" i="192"/>
  <c r="AO52" i="192"/>
  <c r="BJ52" i="192"/>
  <c r="AF52" i="192"/>
  <c r="BA52" i="192"/>
  <c r="S52" i="192"/>
  <c r="AX52" i="192"/>
  <c r="AR52" i="192"/>
  <c r="AQ52" i="192"/>
  <c r="BH52" i="192"/>
  <c r="AD52" i="192"/>
  <c r="AB52" i="192"/>
  <c r="AA52" i="192"/>
  <c r="U52" i="192"/>
  <c r="BU52" i="192"/>
  <c r="BT52" i="192"/>
  <c r="BW16" i="192"/>
  <c r="BO16" i="192"/>
  <c r="BG16" i="192"/>
  <c r="AY16" i="192"/>
  <c r="AQ16" i="192"/>
  <c r="AI16" i="192"/>
  <c r="AA16" i="192"/>
  <c r="S16" i="192"/>
  <c r="CB16" i="192"/>
  <c r="BS16" i="192"/>
  <c r="BJ16" i="192"/>
  <c r="BA16" i="192"/>
  <c r="AR16" i="192"/>
  <c r="AH16" i="192"/>
  <c r="Y16" i="192"/>
  <c r="CC16" i="192"/>
  <c r="BR16" i="192"/>
  <c r="BH16" i="192"/>
  <c r="AW16" i="192"/>
  <c r="AM16" i="192"/>
  <c r="AC16" i="192"/>
  <c r="R16" i="192"/>
  <c r="CA16" i="192"/>
  <c r="BQ16" i="192"/>
  <c r="BF16" i="192"/>
  <c r="AV16" i="192"/>
  <c r="AL16" i="192"/>
  <c r="AB16" i="192"/>
  <c r="Q16" i="192"/>
  <c r="BV16" i="192"/>
  <c r="BI16" i="192"/>
  <c r="AT16" i="192"/>
  <c r="AF16" i="192"/>
  <c r="T16" i="192"/>
  <c r="BU16" i="192"/>
  <c r="BE16" i="192"/>
  <c r="AS16" i="192"/>
  <c r="AE16" i="192"/>
  <c r="BD16" i="192"/>
  <c r="AP16" i="192"/>
  <c r="AD16" i="192"/>
  <c r="BT16" i="192"/>
  <c r="BM16" i="192"/>
  <c r="AO16" i="192"/>
  <c r="V16" i="192"/>
  <c r="U16" i="192"/>
  <c r="BL16" i="192"/>
  <c r="AN16" i="192"/>
  <c r="BK16" i="192"/>
  <c r="AK16" i="192"/>
  <c r="BZ16" i="192"/>
  <c r="BC16" i="192"/>
  <c r="AJ16" i="192"/>
  <c r="BY16" i="192"/>
  <c r="BB16" i="192"/>
  <c r="AG16" i="192"/>
  <c r="BX16" i="192"/>
  <c r="AZ16" i="192"/>
  <c r="Z16" i="192"/>
  <c r="BN16" i="192"/>
  <c r="AU16" i="192"/>
  <c r="W16" i="192"/>
  <c r="BP16" i="192"/>
  <c r="X16" i="192"/>
  <c r="AX16" i="192"/>
  <c r="BX32" i="192"/>
  <c r="BP32" i="192"/>
  <c r="BH32" i="192"/>
  <c r="AZ32" i="192"/>
  <c r="AR32" i="192"/>
  <c r="AJ32" i="192"/>
  <c r="AB32" i="192"/>
  <c r="T32" i="192"/>
  <c r="CC32" i="192"/>
  <c r="BT32" i="192"/>
  <c r="BK32" i="192"/>
  <c r="BB32" i="192"/>
  <c r="AS32" i="192"/>
  <c r="AI32" i="192"/>
  <c r="Z32" i="192"/>
  <c r="Q32" i="192"/>
  <c r="CA32" i="192"/>
  <c r="BQ32" i="192"/>
  <c r="BF32" i="192"/>
  <c r="AV32" i="192"/>
  <c r="AL32" i="192"/>
  <c r="AA32" i="192"/>
  <c r="BZ32" i="192"/>
  <c r="BO32" i="192"/>
  <c r="BE32" i="192"/>
  <c r="AU32" i="192"/>
  <c r="AK32" i="192"/>
  <c r="Y32" i="192"/>
  <c r="BR32" i="192"/>
  <c r="BC32" i="192"/>
  <c r="AO32" i="192"/>
  <c r="AC32" i="192"/>
  <c r="BN32" i="192"/>
  <c r="BA32" i="192"/>
  <c r="AN32" i="192"/>
  <c r="X32" i="192"/>
  <c r="CB32" i="192"/>
  <c r="BJ32" i="192"/>
  <c r="AQ32" i="192"/>
  <c r="W32" i="192"/>
  <c r="BV32" i="192"/>
  <c r="AH32" i="192"/>
  <c r="BY32" i="192"/>
  <c r="BI32" i="192"/>
  <c r="AP32" i="192"/>
  <c r="V32" i="192"/>
  <c r="BD32" i="192"/>
  <c r="S32" i="192"/>
  <c r="BW32" i="192"/>
  <c r="BG32" i="192"/>
  <c r="AM32" i="192"/>
  <c r="U32" i="192"/>
  <c r="BL32" i="192"/>
  <c r="AD32" i="192"/>
  <c r="AY32" i="192"/>
  <c r="R32" i="192"/>
  <c r="AX32" i="192"/>
  <c r="AW32" i="192"/>
  <c r="AT32" i="192"/>
  <c r="BU32" i="192"/>
  <c r="AG32" i="192"/>
  <c r="BS32" i="192"/>
  <c r="AF32" i="192"/>
  <c r="BM32" i="192"/>
  <c r="AE32" i="192"/>
  <c r="BX24" i="192"/>
  <c r="BP24" i="192"/>
  <c r="BH24" i="192"/>
  <c r="AZ24" i="192"/>
  <c r="AR24" i="192"/>
  <c r="AJ24" i="192"/>
  <c r="CC24" i="192"/>
  <c r="BT24" i="192"/>
  <c r="BK24" i="192"/>
  <c r="BB24" i="192"/>
  <c r="AS24" i="192"/>
  <c r="AI24" i="192"/>
  <c r="AA24" i="192"/>
  <c r="S24" i="192"/>
  <c r="CA24" i="192"/>
  <c r="BQ24" i="192"/>
  <c r="BF24" i="192"/>
  <c r="AV24" i="192"/>
  <c r="AL24" i="192"/>
  <c r="AB24" i="192"/>
  <c r="R24" i="192"/>
  <c r="BZ24" i="192"/>
  <c r="BN24" i="192"/>
  <c r="BC24" i="192"/>
  <c r="AP24" i="192"/>
  <c r="AE24" i="192"/>
  <c r="U24" i="192"/>
  <c r="BY24" i="192"/>
  <c r="BM24" i="192"/>
  <c r="BA24" i="192"/>
  <c r="AO24" i="192"/>
  <c r="AD24" i="192"/>
  <c r="T24" i="192"/>
  <c r="BO24" i="192"/>
  <c r="AX24" i="192"/>
  <c r="AH24" i="192"/>
  <c r="V24" i="192"/>
  <c r="AC24" i="192"/>
  <c r="BL24" i="192"/>
  <c r="AW24" i="192"/>
  <c r="AG24" i="192"/>
  <c r="Q24" i="192"/>
  <c r="BW24" i="192"/>
  <c r="BI24" i="192"/>
  <c r="AT24" i="192"/>
  <c r="CB24" i="192"/>
  <c r="BJ24" i="192"/>
  <c r="AU24" i="192"/>
  <c r="AF24" i="192"/>
  <c r="BV24" i="192"/>
  <c r="AQ24" i="192"/>
  <c r="BU24" i="192"/>
  <c r="AN24" i="192"/>
  <c r="BS24" i="192"/>
  <c r="AM24" i="192"/>
  <c r="BR24" i="192"/>
  <c r="AK24" i="192"/>
  <c r="BG24" i="192"/>
  <c r="Z24" i="192"/>
  <c r="BE24" i="192"/>
  <c r="Y24" i="192"/>
  <c r="BD24" i="192"/>
  <c r="X24" i="192"/>
  <c r="AY24" i="192"/>
  <c r="W24" i="192"/>
  <c r="CB63" i="192"/>
  <c r="BT63" i="192"/>
  <c r="BL63" i="192"/>
  <c r="BD63" i="192"/>
  <c r="AV63" i="192"/>
  <c r="AN63" i="192"/>
  <c r="AF63" i="192"/>
  <c r="X63" i="192"/>
  <c r="CA63" i="192"/>
  <c r="BR63" i="192"/>
  <c r="BI63" i="192"/>
  <c r="AZ63" i="192"/>
  <c r="AQ63" i="192"/>
  <c r="AH63" i="192"/>
  <c r="Y63" i="192"/>
  <c r="BZ63" i="192"/>
  <c r="BP63" i="192"/>
  <c r="BF63" i="192"/>
  <c r="AU63" i="192"/>
  <c r="AK63" i="192"/>
  <c r="AA63" i="192"/>
  <c r="Q63" i="192"/>
  <c r="BY63" i="192"/>
  <c r="BO63" i="192"/>
  <c r="BE63" i="192"/>
  <c r="AT63" i="192"/>
  <c r="AJ63" i="192"/>
  <c r="Z63" i="192"/>
  <c r="BV63" i="192"/>
  <c r="BH63" i="192"/>
  <c r="AS63" i="192"/>
  <c r="AE63" i="192"/>
  <c r="S63" i="192"/>
  <c r="BU63" i="192"/>
  <c r="BG63" i="192"/>
  <c r="AR63" i="192"/>
  <c r="AD63" i="192"/>
  <c r="R63" i="192"/>
  <c r="BN63" i="192"/>
  <c r="AX63" i="192"/>
  <c r="AC63" i="192"/>
  <c r="BM63" i="192"/>
  <c r="AW63" i="192"/>
  <c r="AB63" i="192"/>
  <c r="BK63" i="192"/>
  <c r="AP63" i="192"/>
  <c r="W63" i="192"/>
  <c r="CC63" i="192"/>
  <c r="BJ63" i="192"/>
  <c r="AO63" i="192"/>
  <c r="V63" i="192"/>
  <c r="BX63" i="192"/>
  <c r="AM63" i="192"/>
  <c r="BW63" i="192"/>
  <c r="AL63" i="192"/>
  <c r="BA63" i="192"/>
  <c r="AY63" i="192"/>
  <c r="AI63" i="192"/>
  <c r="BQ63" i="192"/>
  <c r="BC63" i="192"/>
  <c r="BB63" i="192"/>
  <c r="AG63" i="192"/>
  <c r="BS63" i="192"/>
  <c r="U63" i="192"/>
  <c r="T63" i="192"/>
  <c r="BX65" i="192"/>
  <c r="BP65" i="192"/>
  <c r="BH65" i="192"/>
  <c r="AZ65" i="192"/>
  <c r="AR65" i="192"/>
  <c r="AJ65" i="192"/>
  <c r="AB65" i="192"/>
  <c r="T65" i="192"/>
  <c r="BY65" i="192"/>
  <c r="BO65" i="192"/>
  <c r="BF65" i="192"/>
  <c r="AW65" i="192"/>
  <c r="AN65" i="192"/>
  <c r="AE65" i="192"/>
  <c r="V65" i="192"/>
  <c r="BW65" i="192"/>
  <c r="BM65" i="192"/>
  <c r="BC65" i="192"/>
  <c r="AS65" i="192"/>
  <c r="AH65" i="192"/>
  <c r="X65" i="192"/>
  <c r="BV65" i="192"/>
  <c r="BL65" i="192"/>
  <c r="BB65" i="192"/>
  <c r="AQ65" i="192"/>
  <c r="AG65" i="192"/>
  <c r="W65" i="192"/>
  <c r="BZ65" i="192"/>
  <c r="BJ65" i="192"/>
  <c r="AV65" i="192"/>
  <c r="AI65" i="192"/>
  <c r="S65" i="192"/>
  <c r="BU65" i="192"/>
  <c r="BI65" i="192"/>
  <c r="AU65" i="192"/>
  <c r="AF65" i="192"/>
  <c r="R65" i="192"/>
  <c r="CC65" i="192"/>
  <c r="BK65" i="192"/>
  <c r="AP65" i="192"/>
  <c r="Z65" i="192"/>
  <c r="CB65" i="192"/>
  <c r="BG65" i="192"/>
  <c r="AO65" i="192"/>
  <c r="Y65" i="192"/>
  <c r="CA65" i="192"/>
  <c r="BE65" i="192"/>
  <c r="AM65" i="192"/>
  <c r="U65" i="192"/>
  <c r="BT65" i="192"/>
  <c r="BD65" i="192"/>
  <c r="AL65" i="192"/>
  <c r="Q65" i="192"/>
  <c r="BS65" i="192"/>
  <c r="AK65" i="192"/>
  <c r="BR65" i="192"/>
  <c r="AD65" i="192"/>
  <c r="AX65" i="192"/>
  <c r="AT65" i="192"/>
  <c r="AC65" i="192"/>
  <c r="BQ65" i="192"/>
  <c r="BN65" i="192"/>
  <c r="BA65" i="192"/>
  <c r="AY65" i="192"/>
  <c r="AA65" i="192"/>
  <c r="BV33" i="192"/>
  <c r="BN33" i="192"/>
  <c r="BF33" i="192"/>
  <c r="AX33" i="192"/>
  <c r="AP33" i="192"/>
  <c r="AH33" i="192"/>
  <c r="Z33" i="192"/>
  <c r="R33" i="192"/>
  <c r="BW33" i="192"/>
  <c r="BM33" i="192"/>
  <c r="BD33" i="192"/>
  <c r="AU33" i="192"/>
  <c r="AL33" i="192"/>
  <c r="AC33" i="192"/>
  <c r="T33" i="192"/>
  <c r="CB33" i="192"/>
  <c r="BR33" i="192"/>
  <c r="BH33" i="192"/>
  <c r="AW33" i="192"/>
  <c r="AM33" i="192"/>
  <c r="AB33" i="192"/>
  <c r="Q33" i="192"/>
  <c r="BY33" i="192"/>
  <c r="BL33" i="192"/>
  <c r="BA33" i="192"/>
  <c r="AO33" i="192"/>
  <c r="AD33" i="192"/>
  <c r="BX33" i="192"/>
  <c r="BK33" i="192"/>
  <c r="AZ33" i="192"/>
  <c r="AN33" i="192"/>
  <c r="AA33" i="192"/>
  <c r="BT33" i="192"/>
  <c r="BE33" i="192"/>
  <c r="AQ33" i="192"/>
  <c r="X33" i="192"/>
  <c r="BS33" i="192"/>
  <c r="BC33" i="192"/>
  <c r="AK33" i="192"/>
  <c r="W33" i="192"/>
  <c r="BQ33" i="192"/>
  <c r="AV33" i="192"/>
  <c r="AE33" i="192"/>
  <c r="BJ33" i="192"/>
  <c r="BP33" i="192"/>
  <c r="AT33" i="192"/>
  <c r="Y33" i="192"/>
  <c r="AR33" i="192"/>
  <c r="U33" i="192"/>
  <c r="BO33" i="192"/>
  <c r="AS33" i="192"/>
  <c r="V33" i="192"/>
  <c r="BU33" i="192"/>
  <c r="AF33" i="192"/>
  <c r="BI33" i="192"/>
  <c r="S33" i="192"/>
  <c r="BG33" i="192"/>
  <c r="BB33" i="192"/>
  <c r="AY33" i="192"/>
  <c r="CC33" i="192"/>
  <c r="AJ33" i="192"/>
  <c r="CA33" i="192"/>
  <c r="AI33" i="192"/>
  <c r="BZ33" i="192"/>
  <c r="AG33" i="192"/>
  <c r="BY53" i="192"/>
  <c r="BQ53" i="192"/>
  <c r="BI53" i="192"/>
  <c r="BA53" i="192"/>
  <c r="AS53" i="192"/>
  <c r="AK53" i="192"/>
  <c r="AC53" i="192"/>
  <c r="U53" i="192"/>
  <c r="BV53" i="192"/>
  <c r="BM53" i="192"/>
  <c r="BD53" i="192"/>
  <c r="AU53" i="192"/>
  <c r="AL53" i="192"/>
  <c r="AB53" i="192"/>
  <c r="S53" i="192"/>
  <c r="BZ53" i="192"/>
  <c r="BO53" i="192"/>
  <c r="BE53" i="192"/>
  <c r="AT53" i="192"/>
  <c r="AI53" i="192"/>
  <c r="Y53" i="192"/>
  <c r="BX53" i="192"/>
  <c r="BN53" i="192"/>
  <c r="BC53" i="192"/>
  <c r="AR53" i="192"/>
  <c r="AH53" i="192"/>
  <c r="X53" i="192"/>
  <c r="BW53" i="192"/>
  <c r="BJ53" i="192"/>
  <c r="AW53" i="192"/>
  <c r="AG53" i="192"/>
  <c r="T53" i="192"/>
  <c r="BU53" i="192"/>
  <c r="BH53" i="192"/>
  <c r="AV53" i="192"/>
  <c r="AF53" i="192"/>
  <c r="R53" i="192"/>
  <c r="BS53" i="192"/>
  <c r="BF53" i="192"/>
  <c r="AP53" i="192"/>
  <c r="AD53" i="192"/>
  <c r="BT53" i="192"/>
  <c r="AY53" i="192"/>
  <c r="AA53" i="192"/>
  <c r="BR53" i="192"/>
  <c r="AX53" i="192"/>
  <c r="Z53" i="192"/>
  <c r="BB53" i="192"/>
  <c r="W53" i="192"/>
  <c r="CC53" i="192"/>
  <c r="AZ53" i="192"/>
  <c r="V53" i="192"/>
  <c r="CB53" i="192"/>
  <c r="AQ53" i="192"/>
  <c r="Q53" i="192"/>
  <c r="CA53" i="192"/>
  <c r="AJ53" i="192"/>
  <c r="BP53" i="192"/>
  <c r="AE53" i="192"/>
  <c r="BL53" i="192"/>
  <c r="BG53" i="192"/>
  <c r="AO53" i="192"/>
  <c r="AN53" i="192"/>
  <c r="AM53" i="192"/>
  <c r="BK53" i="192"/>
  <c r="CB38" i="192"/>
  <c r="BT38" i="192"/>
  <c r="BL38" i="192"/>
  <c r="BD38" i="192"/>
  <c r="AV38" i="192"/>
  <c r="AN38" i="192"/>
  <c r="AF38" i="192"/>
  <c r="X38" i="192"/>
  <c r="BZ38" i="192"/>
  <c r="BQ38" i="192"/>
  <c r="BH38" i="192"/>
  <c r="AY38" i="192"/>
  <c r="AP38" i="192"/>
  <c r="AG38" i="192"/>
  <c r="W38" i="192"/>
  <c r="BW38" i="192"/>
  <c r="BM38" i="192"/>
  <c r="BB38" i="192"/>
  <c r="AR38" i="192"/>
  <c r="AH38" i="192"/>
  <c r="V38" i="192"/>
  <c r="BV38" i="192"/>
  <c r="BJ38" i="192"/>
  <c r="AX38" i="192"/>
  <c r="AL38" i="192"/>
  <c r="AA38" i="192"/>
  <c r="BU38" i="192"/>
  <c r="BI38" i="192"/>
  <c r="AW38" i="192"/>
  <c r="AK38" i="192"/>
  <c r="Z38" i="192"/>
  <c r="CC38" i="192"/>
  <c r="BN38" i="192"/>
  <c r="AU38" i="192"/>
  <c r="AE38" i="192"/>
  <c r="R38" i="192"/>
  <c r="CA38" i="192"/>
  <c r="BK38" i="192"/>
  <c r="AT38" i="192"/>
  <c r="AD38" i="192"/>
  <c r="Q38" i="192"/>
  <c r="BY38" i="192"/>
  <c r="BS38" i="192"/>
  <c r="BA38" i="192"/>
  <c r="AC38" i="192"/>
  <c r="BO38" i="192"/>
  <c r="U38" i="192"/>
  <c r="BR38" i="192"/>
  <c r="AZ38" i="192"/>
  <c r="AB38" i="192"/>
  <c r="AQ38" i="192"/>
  <c r="BP38" i="192"/>
  <c r="AS38" i="192"/>
  <c r="Y38" i="192"/>
  <c r="BE38" i="192"/>
  <c r="BC38" i="192"/>
  <c r="AO38" i="192"/>
  <c r="AM38" i="192"/>
  <c r="AJ38" i="192"/>
  <c r="BX38" i="192"/>
  <c r="AI38" i="192"/>
  <c r="BG38" i="192"/>
  <c r="T38" i="192"/>
  <c r="BF38" i="192"/>
  <c r="S38" i="192"/>
  <c r="BY23" i="192"/>
  <c r="BQ23" i="192"/>
  <c r="BI23" i="192"/>
  <c r="BA23" i="192"/>
  <c r="AS23" i="192"/>
  <c r="AK23" i="192"/>
  <c r="AC23" i="192"/>
  <c r="U23" i="192"/>
  <c r="BV23" i="192"/>
  <c r="BM23" i="192"/>
  <c r="BD23" i="192"/>
  <c r="AU23" i="192"/>
  <c r="AL23" i="192"/>
  <c r="AB23" i="192"/>
  <c r="S23" i="192"/>
  <c r="BU23" i="192"/>
  <c r="BK23" i="192"/>
  <c r="AZ23" i="192"/>
  <c r="AP23" i="192"/>
  <c r="AF23" i="192"/>
  <c r="V23" i="192"/>
  <c r="BT23" i="192"/>
  <c r="BJ23" i="192"/>
  <c r="AY23" i="192"/>
  <c r="AO23" i="192"/>
  <c r="AE23" i="192"/>
  <c r="T23" i="192"/>
  <c r="CB23" i="192"/>
  <c r="BO23" i="192"/>
  <c r="BB23" i="192"/>
  <c r="AM23" i="192"/>
  <c r="Y23" i="192"/>
  <c r="AH23" i="192"/>
  <c r="CA23" i="192"/>
  <c r="BN23" i="192"/>
  <c r="AX23" i="192"/>
  <c r="AJ23" i="192"/>
  <c r="X23" i="192"/>
  <c r="BX23" i="192"/>
  <c r="BH23" i="192"/>
  <c r="AV23" i="192"/>
  <c r="R23" i="192"/>
  <c r="BZ23" i="192"/>
  <c r="BL23" i="192"/>
  <c r="AW23" i="192"/>
  <c r="AI23" i="192"/>
  <c r="W23" i="192"/>
  <c r="BG23" i="192"/>
  <c r="AG23" i="192"/>
  <c r="BF23" i="192"/>
  <c r="AD23" i="192"/>
  <c r="BE23" i="192"/>
  <c r="AA23" i="192"/>
  <c r="CC23" i="192"/>
  <c r="BC23" i="192"/>
  <c r="Z23" i="192"/>
  <c r="BW23" i="192"/>
  <c r="AT23" i="192"/>
  <c r="Q23" i="192"/>
  <c r="BS23" i="192"/>
  <c r="AR23" i="192"/>
  <c r="BR23" i="192"/>
  <c r="AQ23" i="192"/>
  <c r="BP23" i="192"/>
  <c r="AN23" i="192"/>
  <c r="CC55" i="192"/>
  <c r="BU55" i="192"/>
  <c r="BM55" i="192"/>
  <c r="BE55" i="192"/>
  <c r="AW55" i="192"/>
  <c r="AO55" i="192"/>
  <c r="AG55" i="192"/>
  <c r="Y55" i="192"/>
  <c r="Q55" i="192"/>
  <c r="BT55" i="192"/>
  <c r="BK55" i="192"/>
  <c r="BB55" i="192"/>
  <c r="AS55" i="192"/>
  <c r="AJ55" i="192"/>
  <c r="AA55" i="192"/>
  <c r="R55" i="192"/>
  <c r="BX55" i="192"/>
  <c r="BN55" i="192"/>
  <c r="BC55" i="192"/>
  <c r="AR55" i="192"/>
  <c r="AH55" i="192"/>
  <c r="W55" i="192"/>
  <c r="BW55" i="192"/>
  <c r="BL55" i="192"/>
  <c r="BA55" i="192"/>
  <c r="AQ55" i="192"/>
  <c r="AF55" i="192"/>
  <c r="V55" i="192"/>
  <c r="CA55" i="192"/>
  <c r="BO55" i="192"/>
  <c r="AY55" i="192"/>
  <c r="AL55" i="192"/>
  <c r="X55" i="192"/>
  <c r="BZ55" i="192"/>
  <c r="BJ55" i="192"/>
  <c r="AX55" i="192"/>
  <c r="AK55" i="192"/>
  <c r="U55" i="192"/>
  <c r="BY55" i="192"/>
  <c r="BI55" i="192"/>
  <c r="AV55" i="192"/>
  <c r="AI55" i="192"/>
  <c r="T55" i="192"/>
  <c r="BV55" i="192"/>
  <c r="BH55" i="192"/>
  <c r="AU55" i="192"/>
  <c r="AE55" i="192"/>
  <c r="S55" i="192"/>
  <c r="BF55" i="192"/>
  <c r="AC55" i="192"/>
  <c r="BD55" i="192"/>
  <c r="AB55" i="192"/>
  <c r="CB55" i="192"/>
  <c r="AP55" i="192"/>
  <c r="BS55" i="192"/>
  <c r="AN55" i="192"/>
  <c r="BR55" i="192"/>
  <c r="AM55" i="192"/>
  <c r="AD55" i="192"/>
  <c r="BQ55" i="192"/>
  <c r="Z55" i="192"/>
  <c r="BP55" i="192"/>
  <c r="BG55" i="192"/>
  <c r="AZ55" i="192"/>
  <c r="AT55" i="192"/>
  <c r="BY57" i="192"/>
  <c r="BQ57" i="192"/>
  <c r="BI57" i="192"/>
  <c r="BA57" i="192"/>
  <c r="AS57" i="192"/>
  <c r="AK57" i="192"/>
  <c r="AC57" i="192"/>
  <c r="U57" i="192"/>
  <c r="CB57" i="192"/>
  <c r="BS57" i="192"/>
  <c r="BJ57" i="192"/>
  <c r="AZ57" i="192"/>
  <c r="AQ57" i="192"/>
  <c r="AH57" i="192"/>
  <c r="Y57" i="192"/>
  <c r="BV57" i="192"/>
  <c r="BL57" i="192"/>
  <c r="BB57" i="192"/>
  <c r="AP57" i="192"/>
  <c r="AF57" i="192"/>
  <c r="V57" i="192"/>
  <c r="BU57" i="192"/>
  <c r="BK57" i="192"/>
  <c r="AY57" i="192"/>
  <c r="AO57" i="192"/>
  <c r="AE57" i="192"/>
  <c r="T57" i="192"/>
  <c r="BP57" i="192"/>
  <c r="BD57" i="192"/>
  <c r="AN57" i="192"/>
  <c r="AA57" i="192"/>
  <c r="CC57" i="192"/>
  <c r="BO57" i="192"/>
  <c r="BC57" i="192"/>
  <c r="AM57" i="192"/>
  <c r="Z57" i="192"/>
  <c r="CA57" i="192"/>
  <c r="BN57" i="192"/>
  <c r="AX57" i="192"/>
  <c r="AL57" i="192"/>
  <c r="X57" i="192"/>
  <c r="BZ57" i="192"/>
  <c r="BM57" i="192"/>
  <c r="AW57" i="192"/>
  <c r="AJ57" i="192"/>
  <c r="W57" i="192"/>
  <c r="BT57" i="192"/>
  <c r="AT57" i="192"/>
  <c r="Q57" i="192"/>
  <c r="BR57" i="192"/>
  <c r="AR57" i="192"/>
  <c r="BX57" i="192"/>
  <c r="AI57" i="192"/>
  <c r="BW57" i="192"/>
  <c r="AG57" i="192"/>
  <c r="BH57" i="192"/>
  <c r="AD57" i="192"/>
  <c r="BF57" i="192"/>
  <c r="BE57" i="192"/>
  <c r="AV57" i="192"/>
  <c r="AU57" i="192"/>
  <c r="BG57" i="192"/>
  <c r="AB57" i="192"/>
  <c r="S57" i="192"/>
  <c r="R57" i="192"/>
  <c r="BW12" i="192"/>
  <c r="BO12" i="192"/>
  <c r="BG12" i="192"/>
  <c r="AY12" i="192"/>
  <c r="AQ12" i="192"/>
  <c r="AI12" i="192"/>
  <c r="AA12" i="192"/>
  <c r="S12" i="192"/>
  <c r="BV12" i="192"/>
  <c r="BM12" i="192"/>
  <c r="BD12" i="192"/>
  <c r="AU12" i="192"/>
  <c r="AL12" i="192"/>
  <c r="AC12" i="192"/>
  <c r="T12" i="192"/>
  <c r="BU12" i="192"/>
  <c r="BK12" i="192"/>
  <c r="BA12" i="192"/>
  <c r="AP12" i="192"/>
  <c r="AF12" i="192"/>
  <c r="V12" i="192"/>
  <c r="BT12" i="192"/>
  <c r="BJ12" i="192"/>
  <c r="AZ12" i="192"/>
  <c r="AO12" i="192"/>
  <c r="AE12" i="192"/>
  <c r="U12" i="192"/>
  <c r="BZ12" i="192"/>
  <c r="BL12" i="192"/>
  <c r="AW12" i="192"/>
  <c r="AJ12" i="192"/>
  <c r="W12" i="192"/>
  <c r="BX12" i="192"/>
  <c r="Q12" i="192"/>
  <c r="BY12" i="192"/>
  <c r="BI12" i="192"/>
  <c r="AV12" i="192"/>
  <c r="AH12" i="192"/>
  <c r="R12" i="192"/>
  <c r="BH12" i="192"/>
  <c r="AT12" i="192"/>
  <c r="AG12" i="192"/>
  <c r="BS12" i="192"/>
  <c r="BB12" i="192"/>
  <c r="AB12" i="192"/>
  <c r="BR12" i="192"/>
  <c r="Z12" i="192"/>
  <c r="AX12" i="192"/>
  <c r="BQ12" i="192"/>
  <c r="AS12" i="192"/>
  <c r="Y12" i="192"/>
  <c r="BP12" i="192"/>
  <c r="AR12" i="192"/>
  <c r="X12" i="192"/>
  <c r="BC12" i="192"/>
  <c r="AN12" i="192"/>
  <c r="CC12" i="192"/>
  <c r="AM12" i="192"/>
  <c r="CA12" i="192"/>
  <c r="AD12" i="192"/>
  <c r="BN12" i="192"/>
  <c r="BF12" i="192"/>
  <c r="BE12" i="192"/>
  <c r="CB12" i="192"/>
  <c r="AK12" i="192"/>
  <c r="BX40" i="192"/>
  <c r="BP40" i="192"/>
  <c r="BH40" i="192"/>
  <c r="AZ40" i="192"/>
  <c r="AR40" i="192"/>
  <c r="AJ40" i="192"/>
  <c r="AB40" i="192"/>
  <c r="T40" i="192"/>
  <c r="BW40" i="192"/>
  <c r="BN40" i="192"/>
  <c r="BE40" i="192"/>
  <c r="AV40" i="192"/>
  <c r="AM40" i="192"/>
  <c r="AD40" i="192"/>
  <c r="U40" i="192"/>
  <c r="CC40" i="192"/>
  <c r="BS40" i="192"/>
  <c r="BI40" i="192"/>
  <c r="AX40" i="192"/>
  <c r="AN40" i="192"/>
  <c r="AC40" i="192"/>
  <c r="R40" i="192"/>
  <c r="CA40" i="192"/>
  <c r="BO40" i="192"/>
  <c r="BC40" i="192"/>
  <c r="AQ40" i="192"/>
  <c r="AF40" i="192"/>
  <c r="S40" i="192"/>
  <c r="BZ40" i="192"/>
  <c r="BM40" i="192"/>
  <c r="BB40" i="192"/>
  <c r="AP40" i="192"/>
  <c r="AE40" i="192"/>
  <c r="Q40" i="192"/>
  <c r="BT40" i="192"/>
  <c r="BD40" i="192"/>
  <c r="AL40" i="192"/>
  <c r="X40" i="192"/>
  <c r="BR40" i="192"/>
  <c r="BA40" i="192"/>
  <c r="AK40" i="192"/>
  <c r="W40" i="192"/>
  <c r="BQ40" i="192"/>
  <c r="AY40" i="192"/>
  <c r="AI40" i="192"/>
  <c r="V40" i="192"/>
  <c r="BV40" i="192"/>
  <c r="AU40" i="192"/>
  <c r="Y40" i="192"/>
  <c r="BK40" i="192"/>
  <c r="AO40" i="192"/>
  <c r="BU40" i="192"/>
  <c r="AT40" i="192"/>
  <c r="BL40" i="192"/>
  <c r="AS40" i="192"/>
  <c r="BF40" i="192"/>
  <c r="AW40" i="192"/>
  <c r="AH40" i="192"/>
  <c r="AG40" i="192"/>
  <c r="CB40" i="192"/>
  <c r="AA40" i="192"/>
  <c r="BY40" i="192"/>
  <c r="Z40" i="192"/>
  <c r="BJ40" i="192"/>
  <c r="BG40" i="192"/>
  <c r="BX61" i="192"/>
  <c r="BP61" i="192"/>
  <c r="BH61" i="192"/>
  <c r="AZ61" i="192"/>
  <c r="CC61" i="192"/>
  <c r="BT61" i="192"/>
  <c r="BK61" i="192"/>
  <c r="BB61" i="192"/>
  <c r="AS61" i="192"/>
  <c r="AK61" i="192"/>
  <c r="AC61" i="192"/>
  <c r="U61" i="192"/>
  <c r="CB61" i="192"/>
  <c r="BR61" i="192"/>
  <c r="BG61" i="192"/>
  <c r="AW61" i="192"/>
  <c r="AN61" i="192"/>
  <c r="AE61" i="192"/>
  <c r="V61" i="192"/>
  <c r="CA61" i="192"/>
  <c r="BQ61" i="192"/>
  <c r="BF61" i="192"/>
  <c r="AV61" i="192"/>
  <c r="AM61" i="192"/>
  <c r="AD61" i="192"/>
  <c r="T61" i="192"/>
  <c r="BO61" i="192"/>
  <c r="BC61" i="192"/>
  <c r="AP61" i="192"/>
  <c r="AB61" i="192"/>
  <c r="Q61" i="192"/>
  <c r="BN61" i="192"/>
  <c r="BA61" i="192"/>
  <c r="AO61" i="192"/>
  <c r="AA61" i="192"/>
  <c r="BM61" i="192"/>
  <c r="AU61" i="192"/>
  <c r="AG61" i="192"/>
  <c r="BL61" i="192"/>
  <c r="AT61" i="192"/>
  <c r="AF61" i="192"/>
  <c r="BZ61" i="192"/>
  <c r="BJ61" i="192"/>
  <c r="AR61" i="192"/>
  <c r="Z61" i="192"/>
  <c r="BY61" i="192"/>
  <c r="BI61" i="192"/>
  <c r="AQ61" i="192"/>
  <c r="Y61" i="192"/>
  <c r="AX61" i="192"/>
  <c r="R61" i="192"/>
  <c r="BW61" i="192"/>
  <c r="AL61" i="192"/>
  <c r="BE61" i="192"/>
  <c r="S61" i="192"/>
  <c r="BD61" i="192"/>
  <c r="AY61" i="192"/>
  <c r="BU61" i="192"/>
  <c r="BS61" i="192"/>
  <c r="AJ61" i="192"/>
  <c r="AI61" i="192"/>
  <c r="BV61" i="192"/>
  <c r="AH61" i="192"/>
  <c r="X61" i="192"/>
  <c r="W61" i="192"/>
  <c r="CC21" i="192"/>
  <c r="BU21" i="192"/>
  <c r="BM21" i="192"/>
  <c r="BE21" i="192"/>
  <c r="AW21" i="192"/>
  <c r="AO21" i="192"/>
  <c r="AG21" i="192"/>
  <c r="Y21" i="192"/>
  <c r="Q21" i="192"/>
  <c r="BX21" i="192"/>
  <c r="BO21" i="192"/>
  <c r="BF21" i="192"/>
  <c r="AV21" i="192"/>
  <c r="AM21" i="192"/>
  <c r="AD21" i="192"/>
  <c r="U21" i="192"/>
  <c r="BW21" i="192"/>
  <c r="BL21" i="192"/>
  <c r="BB21" i="192"/>
  <c r="AR21" i="192"/>
  <c r="AH21" i="192"/>
  <c r="W21" i="192"/>
  <c r="BV21" i="192"/>
  <c r="BK21" i="192"/>
  <c r="BA21" i="192"/>
  <c r="AQ21" i="192"/>
  <c r="AF21" i="192"/>
  <c r="V21" i="192"/>
  <c r="BZ21" i="192"/>
  <c r="BJ21" i="192"/>
  <c r="AX21" i="192"/>
  <c r="AJ21" i="192"/>
  <c r="T21" i="192"/>
  <c r="AE21" i="192"/>
  <c r="BG21" i="192"/>
  <c r="AC21" i="192"/>
  <c r="BY21" i="192"/>
  <c r="BI21" i="192"/>
  <c r="AU21" i="192"/>
  <c r="AI21" i="192"/>
  <c r="S21" i="192"/>
  <c r="BS21" i="192"/>
  <c r="AS21" i="192"/>
  <c r="BT21" i="192"/>
  <c r="BH21" i="192"/>
  <c r="AT21" i="192"/>
  <c r="R21" i="192"/>
  <c r="CB21" i="192"/>
  <c r="AZ21" i="192"/>
  <c r="Z21" i="192"/>
  <c r="CA21" i="192"/>
  <c r="AY21" i="192"/>
  <c r="X21" i="192"/>
  <c r="BR21" i="192"/>
  <c r="AP21" i="192"/>
  <c r="BQ21" i="192"/>
  <c r="AN21" i="192"/>
  <c r="BP21" i="192"/>
  <c r="AL21" i="192"/>
  <c r="BN21" i="192"/>
  <c r="AK21" i="192"/>
  <c r="BD21" i="192"/>
  <c r="AB21" i="192"/>
  <c r="BC21" i="192"/>
  <c r="AA21" i="192"/>
  <c r="CB46" i="192"/>
  <c r="BT46" i="192"/>
  <c r="BL46" i="192"/>
  <c r="BD46" i="192"/>
  <c r="AV46" i="192"/>
  <c r="AN46" i="192"/>
  <c r="AF46" i="192"/>
  <c r="X46" i="192"/>
  <c r="BZ46" i="192"/>
  <c r="BQ46" i="192"/>
  <c r="BH46" i="192"/>
  <c r="AY46" i="192"/>
  <c r="AP46" i="192"/>
  <c r="AG46" i="192"/>
  <c r="W46" i="192"/>
  <c r="BY46" i="192"/>
  <c r="BP46" i="192"/>
  <c r="BG46" i="192"/>
  <c r="AX46" i="192"/>
  <c r="AO46" i="192"/>
  <c r="AE46" i="192"/>
  <c r="V46" i="192"/>
  <c r="BV46" i="192"/>
  <c r="BJ46" i="192"/>
  <c r="AW46" i="192"/>
  <c r="AK46" i="192"/>
  <c r="Z46" i="192"/>
  <c r="BR46" i="192"/>
  <c r="BC46" i="192"/>
  <c r="AQ46" i="192"/>
  <c r="AB46" i="192"/>
  <c r="BO46" i="192"/>
  <c r="BB46" i="192"/>
  <c r="AM46" i="192"/>
  <c r="AA46" i="192"/>
  <c r="BS46" i="192"/>
  <c r="AZ46" i="192"/>
  <c r="AH46" i="192"/>
  <c r="Q46" i="192"/>
  <c r="BN46" i="192"/>
  <c r="AU46" i="192"/>
  <c r="AD46" i="192"/>
  <c r="BM46" i="192"/>
  <c r="AT46" i="192"/>
  <c r="AC46" i="192"/>
  <c r="BI46" i="192"/>
  <c r="AI46" i="192"/>
  <c r="CA46" i="192"/>
  <c r="T46" i="192"/>
  <c r="BF46" i="192"/>
  <c r="Y46" i="192"/>
  <c r="BA46" i="192"/>
  <c r="CC46" i="192"/>
  <c r="BE46" i="192"/>
  <c r="U46" i="192"/>
  <c r="AS46" i="192"/>
  <c r="AR46" i="192"/>
  <c r="AL46" i="192"/>
  <c r="AJ46" i="192"/>
  <c r="BX46" i="192"/>
  <c r="S46" i="192"/>
  <c r="BW46" i="192"/>
  <c r="R46" i="192"/>
  <c r="BU46" i="192"/>
  <c r="BK46" i="192"/>
  <c r="BW54" i="192"/>
  <c r="BO54" i="192"/>
  <c r="BG54" i="192"/>
  <c r="AY54" i="192"/>
  <c r="AQ54" i="192"/>
  <c r="AI54" i="192"/>
  <c r="AA54" i="192"/>
  <c r="S54" i="192"/>
  <c r="BU54" i="192"/>
  <c r="BL54" i="192"/>
  <c r="BC54" i="192"/>
  <c r="AT54" i="192"/>
  <c r="AK54" i="192"/>
  <c r="AB54" i="192"/>
  <c r="R54" i="192"/>
  <c r="BY54" i="192"/>
  <c r="BN54" i="192"/>
  <c r="BD54" i="192"/>
  <c r="AS54" i="192"/>
  <c r="AH54" i="192"/>
  <c r="X54" i="192"/>
  <c r="BX54" i="192"/>
  <c r="BM54" i="192"/>
  <c r="BB54" i="192"/>
  <c r="AR54" i="192"/>
  <c r="AG54" i="192"/>
  <c r="W54" i="192"/>
  <c r="BS54" i="192"/>
  <c r="BF54" i="192"/>
  <c r="AP54" i="192"/>
  <c r="AD54" i="192"/>
  <c r="BR54" i="192"/>
  <c r="BE54" i="192"/>
  <c r="AO54" i="192"/>
  <c r="AC54" i="192"/>
  <c r="CC54" i="192"/>
  <c r="BQ54" i="192"/>
  <c r="BA54" i="192"/>
  <c r="AN54" i="192"/>
  <c r="Z54" i="192"/>
  <c r="CB54" i="192"/>
  <c r="BP54" i="192"/>
  <c r="AZ54" i="192"/>
  <c r="AM54" i="192"/>
  <c r="Y54" i="192"/>
  <c r="BZ54" i="192"/>
  <c r="AW54" i="192"/>
  <c r="U54" i="192"/>
  <c r="BV54" i="192"/>
  <c r="AV54" i="192"/>
  <c r="T54" i="192"/>
  <c r="AU54" i="192"/>
  <c r="CA54" i="192"/>
  <c r="AL54" i="192"/>
  <c r="BT54" i="192"/>
  <c r="AJ54" i="192"/>
  <c r="BI54" i="192"/>
  <c r="BH54" i="192"/>
  <c r="AX54" i="192"/>
  <c r="AF54" i="192"/>
  <c r="BK54" i="192"/>
  <c r="BJ54" i="192"/>
  <c r="AE54" i="192"/>
  <c r="V54" i="192"/>
  <c r="Q54" i="192"/>
  <c r="CB50" i="192"/>
  <c r="BT50" i="192"/>
  <c r="BL50" i="192"/>
  <c r="BD50" i="192"/>
  <c r="AV50" i="192"/>
  <c r="AN50" i="192"/>
  <c r="AF50" i="192"/>
  <c r="X50" i="192"/>
  <c r="BV50" i="192"/>
  <c r="BM50" i="192"/>
  <c r="BC50" i="192"/>
  <c r="AT50" i="192"/>
  <c r="AK50" i="192"/>
  <c r="AB50" i="192"/>
  <c r="S50" i="192"/>
  <c r="BU50" i="192"/>
  <c r="BK50" i="192"/>
  <c r="BB50" i="192"/>
  <c r="AS50" i="192"/>
  <c r="AJ50" i="192"/>
  <c r="AA50" i="192"/>
  <c r="R50" i="192"/>
  <c r="BZ50" i="192"/>
  <c r="BO50" i="192"/>
  <c r="BA50" i="192"/>
  <c r="AP50" i="192"/>
  <c r="AD50" i="192"/>
  <c r="Q50" i="192"/>
  <c r="BY50" i="192"/>
  <c r="BN50" i="192"/>
  <c r="AZ50" i="192"/>
  <c r="AO50" i="192"/>
  <c r="AC50" i="192"/>
  <c r="BX50" i="192"/>
  <c r="BH50" i="192"/>
  <c r="AR50" i="192"/>
  <c r="Z50" i="192"/>
  <c r="BW50" i="192"/>
  <c r="BG50" i="192"/>
  <c r="AQ50" i="192"/>
  <c r="Y50" i="192"/>
  <c r="BQ50" i="192"/>
  <c r="AW50" i="192"/>
  <c r="W50" i="192"/>
  <c r="BP50" i="192"/>
  <c r="AU50" i="192"/>
  <c r="V50" i="192"/>
  <c r="BJ50" i="192"/>
  <c r="AM50" i="192"/>
  <c r="U50" i="192"/>
  <c r="BF50" i="192"/>
  <c r="AE50" i="192"/>
  <c r="BE50" i="192"/>
  <c r="T50" i="192"/>
  <c r="AY50" i="192"/>
  <c r="CC50" i="192"/>
  <c r="AX50" i="192"/>
  <c r="BS50" i="192"/>
  <c r="BR50" i="192"/>
  <c r="BI50" i="192"/>
  <c r="AL50" i="192"/>
  <c r="AI50" i="192"/>
  <c r="AH50" i="192"/>
  <c r="AG50" i="192"/>
  <c r="CA50" i="192"/>
  <c r="BX44" i="192"/>
  <c r="BP44" i="192"/>
  <c r="BH44" i="192"/>
  <c r="AZ44" i="192"/>
  <c r="AR44" i="192"/>
  <c r="AJ44" i="192"/>
  <c r="AB44" i="192"/>
  <c r="T44" i="192"/>
  <c r="CB44" i="192"/>
  <c r="BS44" i="192"/>
  <c r="BJ44" i="192"/>
  <c r="BA44" i="192"/>
  <c r="AQ44" i="192"/>
  <c r="AH44" i="192"/>
  <c r="Y44" i="192"/>
  <c r="BY44" i="192"/>
  <c r="BN44" i="192"/>
  <c r="BD44" i="192"/>
  <c r="AT44" i="192"/>
  <c r="AI44" i="192"/>
  <c r="X44" i="192"/>
  <c r="CC44" i="192"/>
  <c r="BQ44" i="192"/>
  <c r="BE44" i="192"/>
  <c r="AS44" i="192"/>
  <c r="AF44" i="192"/>
  <c r="U44" i="192"/>
  <c r="CA44" i="192"/>
  <c r="BO44" i="192"/>
  <c r="BC44" i="192"/>
  <c r="AP44" i="192"/>
  <c r="AE44" i="192"/>
  <c r="S44" i="192"/>
  <c r="BV44" i="192"/>
  <c r="BG44" i="192"/>
  <c r="AO44" i="192"/>
  <c r="AA44" i="192"/>
  <c r="BU44" i="192"/>
  <c r="BF44" i="192"/>
  <c r="AN44" i="192"/>
  <c r="Z44" i="192"/>
  <c r="BT44" i="192"/>
  <c r="BB44" i="192"/>
  <c r="AM44" i="192"/>
  <c r="W44" i="192"/>
  <c r="BW44" i="192"/>
  <c r="AW44" i="192"/>
  <c r="V44" i="192"/>
  <c r="AL44" i="192"/>
  <c r="BR44" i="192"/>
  <c r="AV44" i="192"/>
  <c r="R44" i="192"/>
  <c r="BL44" i="192"/>
  <c r="BM44" i="192"/>
  <c r="AU44" i="192"/>
  <c r="Q44" i="192"/>
  <c r="AX44" i="192"/>
  <c r="AK44" i="192"/>
  <c r="AG44" i="192"/>
  <c r="AD44" i="192"/>
  <c r="BZ44" i="192"/>
  <c r="AC44" i="192"/>
  <c r="BK44" i="192"/>
  <c r="BI44" i="192"/>
  <c r="AY44" i="192"/>
  <c r="CC59" i="192"/>
  <c r="BU59" i="192"/>
  <c r="BM59" i="192"/>
  <c r="BE59" i="192"/>
  <c r="AW59" i="192"/>
  <c r="AO59" i="192"/>
  <c r="AG59" i="192"/>
  <c r="Y59" i="192"/>
  <c r="Q59" i="192"/>
  <c r="BZ59" i="192"/>
  <c r="BQ59" i="192"/>
  <c r="BH59" i="192"/>
  <c r="AY59" i="192"/>
  <c r="AP59" i="192"/>
  <c r="AF59" i="192"/>
  <c r="W59" i="192"/>
  <c r="BY59" i="192"/>
  <c r="BP59" i="192"/>
  <c r="BG59" i="192"/>
  <c r="AX59" i="192"/>
  <c r="AN59" i="192"/>
  <c r="AE59" i="192"/>
  <c r="V59" i="192"/>
  <c r="BS59" i="192"/>
  <c r="BF59" i="192"/>
  <c r="AT59" i="192"/>
  <c r="AI59" i="192"/>
  <c r="U59" i="192"/>
  <c r="BR59" i="192"/>
  <c r="BD59" i="192"/>
  <c r="AS59" i="192"/>
  <c r="AH59" i="192"/>
  <c r="T59" i="192"/>
  <c r="BO59" i="192"/>
  <c r="BA59" i="192"/>
  <c r="AK59" i="192"/>
  <c r="S59" i="192"/>
  <c r="BN59" i="192"/>
  <c r="AZ59" i="192"/>
  <c r="AJ59" i="192"/>
  <c r="R59" i="192"/>
  <c r="CB59" i="192"/>
  <c r="BL59" i="192"/>
  <c r="AV59" i="192"/>
  <c r="AD59" i="192"/>
  <c r="CA59" i="192"/>
  <c r="BK59" i="192"/>
  <c r="AU59" i="192"/>
  <c r="AC59" i="192"/>
  <c r="BV59" i="192"/>
  <c r="AM59" i="192"/>
  <c r="BT59" i="192"/>
  <c r="AL59" i="192"/>
  <c r="AR59" i="192"/>
  <c r="AQ59" i="192"/>
  <c r="BX59" i="192"/>
  <c r="AB59" i="192"/>
  <c r="AA59" i="192"/>
  <c r="Z59" i="192"/>
  <c r="X59" i="192"/>
  <c r="BW59" i="192"/>
  <c r="BB59" i="192"/>
  <c r="BJ59" i="192"/>
  <c r="BI59" i="192"/>
  <c r="BC59" i="192"/>
  <c r="CA22" i="192"/>
  <c r="BS22" i="192"/>
  <c r="BK22" i="192"/>
  <c r="BC22" i="192"/>
  <c r="AU22" i="192"/>
  <c r="AM22" i="192"/>
  <c r="AE22" i="192"/>
  <c r="W22" i="192"/>
  <c r="BW22" i="192"/>
  <c r="BN22" i="192"/>
  <c r="BE22" i="192"/>
  <c r="AV22" i="192"/>
  <c r="AL22" i="192"/>
  <c r="AC22" i="192"/>
  <c r="T22" i="192"/>
  <c r="BV22" i="192"/>
  <c r="BL22" i="192"/>
  <c r="BA22" i="192"/>
  <c r="AQ22" i="192"/>
  <c r="AG22" i="192"/>
  <c r="V22" i="192"/>
  <c r="BU22" i="192"/>
  <c r="BJ22" i="192"/>
  <c r="AZ22" i="192"/>
  <c r="AP22" i="192"/>
  <c r="AF22" i="192"/>
  <c r="U22" i="192"/>
  <c r="BR22" i="192"/>
  <c r="BF22" i="192"/>
  <c r="AR22" i="192"/>
  <c r="AB22" i="192"/>
  <c r="BP22" i="192"/>
  <c r="AY22" i="192"/>
  <c r="BQ22" i="192"/>
  <c r="BD22" i="192"/>
  <c r="AO22" i="192"/>
  <c r="AA22" i="192"/>
  <c r="CB22" i="192"/>
  <c r="BO22" i="192"/>
  <c r="AK22" i="192"/>
  <c r="Y22" i="192"/>
  <c r="CC22" i="192"/>
  <c r="BB22" i="192"/>
  <c r="AN22" i="192"/>
  <c r="Z22" i="192"/>
  <c r="BG22" i="192"/>
  <c r="AD22" i="192"/>
  <c r="X22" i="192"/>
  <c r="BZ22" i="192"/>
  <c r="AX22" i="192"/>
  <c r="BY22" i="192"/>
  <c r="AW22" i="192"/>
  <c r="S22" i="192"/>
  <c r="BX22" i="192"/>
  <c r="AT22" i="192"/>
  <c r="R22" i="192"/>
  <c r="BT22" i="192"/>
  <c r="AS22" i="192"/>
  <c r="Q22" i="192"/>
  <c r="BM22" i="192"/>
  <c r="AJ22" i="192"/>
  <c r="BI22" i="192"/>
  <c r="AI22" i="192"/>
  <c r="BH22" i="192"/>
  <c r="AH22" i="192"/>
  <c r="BV37" i="192"/>
  <c r="BN37" i="192"/>
  <c r="BF37" i="192"/>
  <c r="AX37" i="192"/>
  <c r="AP37" i="192"/>
  <c r="AH37" i="192"/>
  <c r="Z37" i="192"/>
  <c r="R37" i="192"/>
  <c r="CA37" i="192"/>
  <c r="BR37" i="192"/>
  <c r="BI37" i="192"/>
  <c r="AZ37" i="192"/>
  <c r="AQ37" i="192"/>
  <c r="AG37" i="192"/>
  <c r="X37" i="192"/>
  <c r="BX37" i="192"/>
  <c r="BM37" i="192"/>
  <c r="BC37" i="192"/>
  <c r="AS37" i="192"/>
  <c r="AI37" i="192"/>
  <c r="W37" i="192"/>
  <c r="BZ37" i="192"/>
  <c r="BO37" i="192"/>
  <c r="BB37" i="192"/>
  <c r="AO37" i="192"/>
  <c r="AD37" i="192"/>
  <c r="S37" i="192"/>
  <c r="BY37" i="192"/>
  <c r="BL37" i="192"/>
  <c r="BA37" i="192"/>
  <c r="AN37" i="192"/>
  <c r="AC37" i="192"/>
  <c r="Q37" i="192"/>
  <c r="BW37" i="192"/>
  <c r="BH37" i="192"/>
  <c r="AT37" i="192"/>
  <c r="AB37" i="192"/>
  <c r="BU37" i="192"/>
  <c r="BG37" i="192"/>
  <c r="AR37" i="192"/>
  <c r="AA37" i="192"/>
  <c r="BK37" i="192"/>
  <c r="AM37" i="192"/>
  <c r="U37" i="192"/>
  <c r="CB37" i="192"/>
  <c r="BD37" i="192"/>
  <c r="BJ37" i="192"/>
  <c r="AL37" i="192"/>
  <c r="T37" i="192"/>
  <c r="AJ37" i="192"/>
  <c r="CC37" i="192"/>
  <c r="BE37" i="192"/>
  <c r="AK37" i="192"/>
  <c r="AV37" i="192"/>
  <c r="AU37" i="192"/>
  <c r="BT37" i="192"/>
  <c r="AF37" i="192"/>
  <c r="BS37" i="192"/>
  <c r="AE37" i="192"/>
  <c r="BQ37" i="192"/>
  <c r="Y37" i="192"/>
  <c r="BP37" i="192"/>
  <c r="V37" i="192"/>
  <c r="AY37" i="192"/>
  <c r="AW37" i="192"/>
  <c r="BV62" i="192"/>
  <c r="BN62" i="192"/>
  <c r="BF62" i="192"/>
  <c r="AX62" i="192"/>
  <c r="AP62" i="192"/>
  <c r="AH62" i="192"/>
  <c r="Z62" i="192"/>
  <c r="R62" i="192"/>
  <c r="CB62" i="192"/>
  <c r="BS62" i="192"/>
  <c r="BJ62" i="192"/>
  <c r="BA62" i="192"/>
  <c r="AR62" i="192"/>
  <c r="AI62" i="192"/>
  <c r="Y62" i="192"/>
  <c r="CA62" i="192"/>
  <c r="BQ62" i="192"/>
  <c r="BG62" i="192"/>
  <c r="AV62" i="192"/>
  <c r="AL62" i="192"/>
  <c r="AB62" i="192"/>
  <c r="Q62" i="192"/>
  <c r="BZ62" i="192"/>
  <c r="BP62" i="192"/>
  <c r="BE62" i="192"/>
  <c r="AU62" i="192"/>
  <c r="AK62" i="192"/>
  <c r="AA62" i="192"/>
  <c r="BY62" i="192"/>
  <c r="BL62" i="192"/>
  <c r="AY62" i="192"/>
  <c r="AJ62" i="192"/>
  <c r="V62" i="192"/>
  <c r="BX62" i="192"/>
  <c r="BK62" i="192"/>
  <c r="AW62" i="192"/>
  <c r="AG62" i="192"/>
  <c r="U62" i="192"/>
  <c r="BO62" i="192"/>
  <c r="AT62" i="192"/>
  <c r="AD62" i="192"/>
  <c r="BM62" i="192"/>
  <c r="AS62" i="192"/>
  <c r="AC62" i="192"/>
  <c r="BI62" i="192"/>
  <c r="AQ62" i="192"/>
  <c r="X62" i="192"/>
  <c r="CC62" i="192"/>
  <c r="BH62" i="192"/>
  <c r="AO62" i="192"/>
  <c r="W62" i="192"/>
  <c r="BW62" i="192"/>
  <c r="AN62" i="192"/>
  <c r="BU62" i="192"/>
  <c r="AM62" i="192"/>
  <c r="BT62" i="192"/>
  <c r="T62" i="192"/>
  <c r="BR62" i="192"/>
  <c r="S62" i="192"/>
  <c r="BD62" i="192"/>
  <c r="BC62" i="192"/>
  <c r="BB62" i="192"/>
  <c r="AZ62" i="192"/>
  <c r="AF62" i="192"/>
  <c r="AE62" i="192"/>
  <c r="BZ47" i="192"/>
  <c r="BR47" i="192"/>
  <c r="BJ47" i="192"/>
  <c r="BB47" i="192"/>
  <c r="AT47" i="192"/>
  <c r="AL47" i="192"/>
  <c r="AD47" i="192"/>
  <c r="V47" i="192"/>
  <c r="BY47" i="192"/>
  <c r="BP47" i="192"/>
  <c r="BG47" i="192"/>
  <c r="AX47" i="192"/>
  <c r="AO47" i="192"/>
  <c r="AF47" i="192"/>
  <c r="W47" i="192"/>
  <c r="BX47" i="192"/>
  <c r="BO47" i="192"/>
  <c r="BF47" i="192"/>
  <c r="AW47" i="192"/>
  <c r="AN47" i="192"/>
  <c r="AE47" i="192"/>
  <c r="U47" i="192"/>
  <c r="BT47" i="192"/>
  <c r="BH47" i="192"/>
  <c r="AU47" i="192"/>
  <c r="AI47" i="192"/>
  <c r="X47" i="192"/>
  <c r="BS47" i="192"/>
  <c r="BE47" i="192"/>
  <c r="AS47" i="192"/>
  <c r="AH47" i="192"/>
  <c r="T47" i="192"/>
  <c r="BV47" i="192"/>
  <c r="BD47" i="192"/>
  <c r="AP47" i="192"/>
  <c r="Z47" i="192"/>
  <c r="BU47" i="192"/>
  <c r="BC47" i="192"/>
  <c r="AM47" i="192"/>
  <c r="Y47" i="192"/>
  <c r="CB47" i="192"/>
  <c r="BI47" i="192"/>
  <c r="AJ47" i="192"/>
  <c r="CA47" i="192"/>
  <c r="BA47" i="192"/>
  <c r="AG47" i="192"/>
  <c r="BW47" i="192"/>
  <c r="AZ47" i="192"/>
  <c r="AC47" i="192"/>
  <c r="AV47" i="192"/>
  <c r="Q47" i="192"/>
  <c r="AK47" i="192"/>
  <c r="CC47" i="192"/>
  <c r="AR47" i="192"/>
  <c r="BN47" i="192"/>
  <c r="BQ47" i="192"/>
  <c r="AQ47" i="192"/>
  <c r="AA47" i="192"/>
  <c r="S47" i="192"/>
  <c r="R47" i="192"/>
  <c r="BM47" i="192"/>
  <c r="BL47" i="192"/>
  <c r="BK47" i="192"/>
  <c r="AY47" i="192"/>
  <c r="AB47" i="192"/>
  <c r="BZ35" i="192"/>
  <c r="BR35" i="192"/>
  <c r="BJ35" i="192"/>
  <c r="BB35" i="192"/>
  <c r="AT35" i="192"/>
  <c r="AL35" i="192"/>
  <c r="AD35" i="192"/>
  <c r="V35" i="192"/>
  <c r="BU35" i="192"/>
  <c r="BL35" i="192"/>
  <c r="BC35" i="192"/>
  <c r="AS35" i="192"/>
  <c r="AJ35" i="192"/>
  <c r="AA35" i="192"/>
  <c r="R35" i="192"/>
  <c r="CA35" i="192"/>
  <c r="BP35" i="192"/>
  <c r="BF35" i="192"/>
  <c r="AV35" i="192"/>
  <c r="AK35" i="192"/>
  <c r="Z35" i="192"/>
  <c r="BT35" i="192"/>
  <c r="BH35" i="192"/>
  <c r="AW35" i="192"/>
  <c r="AI35" i="192"/>
  <c r="X35" i="192"/>
  <c r="BS35" i="192"/>
  <c r="BG35" i="192"/>
  <c r="AU35" i="192"/>
  <c r="AH35" i="192"/>
  <c r="W35" i="192"/>
  <c r="CC35" i="192"/>
  <c r="BN35" i="192"/>
  <c r="AY35" i="192"/>
  <c r="AG35" i="192"/>
  <c r="S35" i="192"/>
  <c r="CB35" i="192"/>
  <c r="BM35" i="192"/>
  <c r="AX35" i="192"/>
  <c r="AF35" i="192"/>
  <c r="Q35" i="192"/>
  <c r="BO35" i="192"/>
  <c r="AQ35" i="192"/>
  <c r="Y35" i="192"/>
  <c r="BI35" i="192"/>
  <c r="BK35" i="192"/>
  <c r="AP35" i="192"/>
  <c r="U35" i="192"/>
  <c r="BY35" i="192"/>
  <c r="BE35" i="192"/>
  <c r="AN35" i="192"/>
  <c r="AO35" i="192"/>
  <c r="T35" i="192"/>
  <c r="BW35" i="192"/>
  <c r="AE35" i="192"/>
  <c r="BV35" i="192"/>
  <c r="AC35" i="192"/>
  <c r="BQ35" i="192"/>
  <c r="AB35" i="192"/>
  <c r="BD35" i="192"/>
  <c r="BA35" i="192"/>
  <c r="AZ35" i="192"/>
  <c r="AR35" i="192"/>
  <c r="BX35" i="192"/>
  <c r="AM35" i="192"/>
  <c r="CB34" i="192"/>
  <c r="BT34" i="192"/>
  <c r="BL34" i="192"/>
  <c r="BD34" i="192"/>
  <c r="AV34" i="192"/>
  <c r="AN34" i="192"/>
  <c r="AF34" i="192"/>
  <c r="X34" i="192"/>
  <c r="BV34" i="192"/>
  <c r="BM34" i="192"/>
  <c r="BC34" i="192"/>
  <c r="AT34" i="192"/>
  <c r="AK34" i="192"/>
  <c r="AB34" i="192"/>
  <c r="S34" i="192"/>
  <c r="CA34" i="192"/>
  <c r="BQ34" i="192"/>
  <c r="BG34" i="192"/>
  <c r="AW34" i="192"/>
  <c r="AL34" i="192"/>
  <c r="AA34" i="192"/>
  <c r="Q34" i="192"/>
  <c r="BW34" i="192"/>
  <c r="BJ34" i="192"/>
  <c r="AY34" i="192"/>
  <c r="AM34" i="192"/>
  <c r="Z34" i="192"/>
  <c r="BU34" i="192"/>
  <c r="BI34" i="192"/>
  <c r="AX34" i="192"/>
  <c r="AJ34" i="192"/>
  <c r="Y34" i="192"/>
  <c r="BZ34" i="192"/>
  <c r="BK34" i="192"/>
  <c r="AS34" i="192"/>
  <c r="AE34" i="192"/>
  <c r="BY34" i="192"/>
  <c r="BH34" i="192"/>
  <c r="AR34" i="192"/>
  <c r="AD34" i="192"/>
  <c r="CC34" i="192"/>
  <c r="BE34" i="192"/>
  <c r="AI34" i="192"/>
  <c r="R34" i="192"/>
  <c r="AZ34" i="192"/>
  <c r="BX34" i="192"/>
  <c r="BB34" i="192"/>
  <c r="AH34" i="192"/>
  <c r="AC34" i="192"/>
  <c r="BS34" i="192"/>
  <c r="BA34" i="192"/>
  <c r="AG34" i="192"/>
  <c r="BP34" i="192"/>
  <c r="W34" i="192"/>
  <c r="BO34" i="192"/>
  <c r="V34" i="192"/>
  <c r="BN34" i="192"/>
  <c r="U34" i="192"/>
  <c r="BF34" i="192"/>
  <c r="T34" i="192"/>
  <c r="AU34" i="192"/>
  <c r="AQ34" i="192"/>
  <c r="AP34" i="192"/>
  <c r="BR34" i="192"/>
  <c r="AO34" i="192"/>
  <c r="CA14" i="192"/>
  <c r="BS14" i="192"/>
  <c r="BK14" i="192"/>
  <c r="BC14" i="192"/>
  <c r="AU14" i="192"/>
  <c r="AM14" i="192"/>
  <c r="AE14" i="192"/>
  <c r="W14" i="192"/>
  <c r="BU14" i="192"/>
  <c r="BL14" i="192"/>
  <c r="BB14" i="192"/>
  <c r="AS14" i="192"/>
  <c r="AJ14" i="192"/>
  <c r="AA14" i="192"/>
  <c r="R14" i="192"/>
  <c r="BT14" i="192"/>
  <c r="BI14" i="192"/>
  <c r="AY14" i="192"/>
  <c r="AO14" i="192"/>
  <c r="AD14" i="192"/>
  <c r="T14" i="192"/>
  <c r="CC14" i="192"/>
  <c r="BR14" i="192"/>
  <c r="BH14" i="192"/>
  <c r="AX14" i="192"/>
  <c r="AN14" i="192"/>
  <c r="AC14" i="192"/>
  <c r="S14" i="192"/>
  <c r="BP14" i="192"/>
  <c r="BD14" i="192"/>
  <c r="AP14" i="192"/>
  <c r="Z14" i="192"/>
  <c r="BZ14" i="192"/>
  <c r="AK14" i="192"/>
  <c r="CB14" i="192"/>
  <c r="BO14" i="192"/>
  <c r="BA14" i="192"/>
  <c r="AL14" i="192"/>
  <c r="Y14" i="192"/>
  <c r="AZ14" i="192"/>
  <c r="X14" i="192"/>
  <c r="BN14" i="192"/>
  <c r="BY14" i="192"/>
  <c r="BF14" i="192"/>
  <c r="AH14" i="192"/>
  <c r="BX14" i="192"/>
  <c r="BE14" i="192"/>
  <c r="AG14" i="192"/>
  <c r="BW14" i="192"/>
  <c r="AW14" i="192"/>
  <c r="AF14" i="192"/>
  <c r="BV14" i="192"/>
  <c r="AV14" i="192"/>
  <c r="AB14" i="192"/>
  <c r="BQ14" i="192"/>
  <c r="AT14" i="192"/>
  <c r="V14" i="192"/>
  <c r="BM14" i="192"/>
  <c r="AR14" i="192"/>
  <c r="U14" i="192"/>
  <c r="BG14" i="192"/>
  <c r="AI14" i="192"/>
  <c r="BJ14" i="192"/>
  <c r="AQ14" i="192"/>
  <c r="Q14" i="192"/>
  <c r="BY15" i="192"/>
  <c r="BQ15" i="192"/>
  <c r="BI15" i="192"/>
  <c r="BA15" i="192"/>
  <c r="AS15" i="192"/>
  <c r="AK15" i="192"/>
  <c r="AC15" i="192"/>
  <c r="U15" i="192"/>
  <c r="CC15" i="192"/>
  <c r="BT15" i="192"/>
  <c r="BK15" i="192"/>
  <c r="BB15" i="192"/>
  <c r="AR15" i="192"/>
  <c r="AI15" i="192"/>
  <c r="Z15" i="192"/>
  <c r="Q15" i="192"/>
  <c r="BS15" i="192"/>
  <c r="BH15" i="192"/>
  <c r="AX15" i="192"/>
  <c r="AN15" i="192"/>
  <c r="AD15" i="192"/>
  <c r="S15" i="192"/>
  <c r="CB15" i="192"/>
  <c r="BR15" i="192"/>
  <c r="BG15" i="192"/>
  <c r="AW15" i="192"/>
  <c r="AM15" i="192"/>
  <c r="AB15" i="192"/>
  <c r="R15" i="192"/>
  <c r="BZ15" i="192"/>
  <c r="BM15" i="192"/>
  <c r="AY15" i="192"/>
  <c r="AJ15" i="192"/>
  <c r="W15" i="192"/>
  <c r="BJ15" i="192"/>
  <c r="AG15" i="192"/>
  <c r="BX15" i="192"/>
  <c r="BL15" i="192"/>
  <c r="AV15" i="192"/>
  <c r="AH15" i="192"/>
  <c r="V15" i="192"/>
  <c r="AU15" i="192"/>
  <c r="T15" i="192"/>
  <c r="BW15" i="192"/>
  <c r="BU15" i="192"/>
  <c r="AZ15" i="192"/>
  <c r="AA15" i="192"/>
  <c r="AT15" i="192"/>
  <c r="Y15" i="192"/>
  <c r="BP15" i="192"/>
  <c r="BO15" i="192"/>
  <c r="AQ15" i="192"/>
  <c r="X15" i="192"/>
  <c r="BN15" i="192"/>
  <c r="AP15" i="192"/>
  <c r="BF15" i="192"/>
  <c r="AO15" i="192"/>
  <c r="BE15" i="192"/>
  <c r="AL15" i="192"/>
  <c r="BV15" i="192"/>
  <c r="BC15" i="192"/>
  <c r="AE15" i="192"/>
  <c r="CA15" i="192"/>
  <c r="BD15" i="192"/>
  <c r="AF15" i="192"/>
  <c r="BV49" i="192"/>
  <c r="BN49" i="192"/>
  <c r="BF49" i="192"/>
  <c r="AX49" i="192"/>
  <c r="AP49" i="192"/>
  <c r="AH49" i="192"/>
  <c r="Z49" i="192"/>
  <c r="R49" i="192"/>
  <c r="BW49" i="192"/>
  <c r="BM49" i="192"/>
  <c r="BD49" i="192"/>
  <c r="AU49" i="192"/>
  <c r="AL49" i="192"/>
  <c r="AC49" i="192"/>
  <c r="T49" i="192"/>
  <c r="BU49" i="192"/>
  <c r="BL49" i="192"/>
  <c r="BC49" i="192"/>
  <c r="AT49" i="192"/>
  <c r="AK49" i="192"/>
  <c r="AB49" i="192"/>
  <c r="S49" i="192"/>
  <c r="CA49" i="192"/>
  <c r="BP49" i="192"/>
  <c r="BB49" i="192"/>
  <c r="AQ49" i="192"/>
  <c r="AE49" i="192"/>
  <c r="Q49" i="192"/>
  <c r="BZ49" i="192"/>
  <c r="BO49" i="192"/>
  <c r="BA49" i="192"/>
  <c r="AO49" i="192"/>
  <c r="AD49" i="192"/>
  <c r="BR49" i="192"/>
  <c r="AZ49" i="192"/>
  <c r="AJ49" i="192"/>
  <c r="V49" i="192"/>
  <c r="BQ49" i="192"/>
  <c r="AY49" i="192"/>
  <c r="AI49" i="192"/>
  <c r="U49" i="192"/>
  <c r="CB49" i="192"/>
  <c r="BH49" i="192"/>
  <c r="AM49" i="192"/>
  <c r="BY49" i="192"/>
  <c r="BG49" i="192"/>
  <c r="AG49" i="192"/>
  <c r="BX49" i="192"/>
  <c r="BE49" i="192"/>
  <c r="AF49" i="192"/>
  <c r="BK49" i="192"/>
  <c r="AA49" i="192"/>
  <c r="AW49" i="192"/>
  <c r="BJ49" i="192"/>
  <c r="Y49" i="192"/>
  <c r="W49" i="192"/>
  <c r="BI49" i="192"/>
  <c r="X49" i="192"/>
  <c r="CC49" i="192"/>
  <c r="BT49" i="192"/>
  <c r="BS49" i="192"/>
  <c r="AV49" i="192"/>
  <c r="AS49" i="192"/>
  <c r="AR49" i="192"/>
  <c r="AN49" i="192"/>
  <c r="BW20" i="192"/>
  <c r="BO20" i="192"/>
  <c r="BG20" i="192"/>
  <c r="AY20" i="192"/>
  <c r="AQ20" i="192"/>
  <c r="AI20" i="192"/>
  <c r="AA20" i="192"/>
  <c r="S20" i="192"/>
  <c r="BY20" i="192"/>
  <c r="BP20" i="192"/>
  <c r="BF20" i="192"/>
  <c r="AW20" i="192"/>
  <c r="AN20" i="192"/>
  <c r="AE20" i="192"/>
  <c r="V20" i="192"/>
  <c r="BZ20" i="192"/>
  <c r="BN20" i="192"/>
  <c r="BD20" i="192"/>
  <c r="AT20" i="192"/>
  <c r="AJ20" i="192"/>
  <c r="Y20" i="192"/>
  <c r="BX20" i="192"/>
  <c r="BM20" i="192"/>
  <c r="BC20" i="192"/>
  <c r="AS20" i="192"/>
  <c r="AH20" i="192"/>
  <c r="X20" i="192"/>
  <c r="BS20" i="192"/>
  <c r="BE20" i="192"/>
  <c r="AP20" i="192"/>
  <c r="AC20" i="192"/>
  <c r="CC20" i="192"/>
  <c r="BA20" i="192"/>
  <c r="AM20" i="192"/>
  <c r="Z20" i="192"/>
  <c r="CB20" i="192"/>
  <c r="BL20" i="192"/>
  <c r="AZ20" i="192"/>
  <c r="AL20" i="192"/>
  <c r="BR20" i="192"/>
  <c r="BB20" i="192"/>
  <c r="AO20" i="192"/>
  <c r="AB20" i="192"/>
  <c r="W20" i="192"/>
  <c r="BQ20" i="192"/>
  <c r="BU20" i="192"/>
  <c r="AU20" i="192"/>
  <c r="R20" i="192"/>
  <c r="BT20" i="192"/>
  <c r="AR20" i="192"/>
  <c r="Q20" i="192"/>
  <c r="BK20" i="192"/>
  <c r="AK20" i="192"/>
  <c r="BJ20" i="192"/>
  <c r="AG20" i="192"/>
  <c r="BI20" i="192"/>
  <c r="AF20" i="192"/>
  <c r="BH20" i="192"/>
  <c r="AD20" i="192"/>
  <c r="CA20" i="192"/>
  <c r="AX20" i="192"/>
  <c r="U20" i="192"/>
  <c r="BV20" i="192"/>
  <c r="AV20" i="192"/>
  <c r="T20" i="192"/>
  <c r="CC9" i="192"/>
  <c r="BU9" i="192"/>
  <c r="BM9" i="192"/>
  <c r="BE9" i="192"/>
  <c r="AW9" i="192"/>
  <c r="AO9" i="192"/>
  <c r="AG9" i="192"/>
  <c r="Y9" i="192"/>
  <c r="Q9" i="192"/>
  <c r="BY9" i="192"/>
  <c r="BP9" i="192"/>
  <c r="BG9" i="192"/>
  <c r="AX9" i="192"/>
  <c r="AN9" i="192"/>
  <c r="AE9" i="192"/>
  <c r="V9" i="192"/>
  <c r="BZ9" i="192"/>
  <c r="BO9" i="192"/>
  <c r="BD9" i="192"/>
  <c r="AT9" i="192"/>
  <c r="AJ9" i="192"/>
  <c r="Z9" i="192"/>
  <c r="BX9" i="192"/>
  <c r="BN9" i="192"/>
  <c r="BC9" i="192"/>
  <c r="AS9" i="192"/>
  <c r="AI9" i="192"/>
  <c r="X9" i="192"/>
  <c r="BR9" i="192"/>
  <c r="BB9" i="192"/>
  <c r="AP9" i="192"/>
  <c r="AB9" i="192"/>
  <c r="BL9" i="192"/>
  <c r="AL9" i="192"/>
  <c r="BQ9" i="192"/>
  <c r="BA9" i="192"/>
  <c r="AM9" i="192"/>
  <c r="AA9" i="192"/>
  <c r="CB9" i="192"/>
  <c r="AZ9" i="192"/>
  <c r="W9" i="192"/>
  <c r="BI9" i="192"/>
  <c r="AK9" i="192"/>
  <c r="R9" i="192"/>
  <c r="CA9" i="192"/>
  <c r="BH9" i="192"/>
  <c r="AH9" i="192"/>
  <c r="BW9" i="192"/>
  <c r="BF9" i="192"/>
  <c r="AF9" i="192"/>
  <c r="BV9" i="192"/>
  <c r="AY9" i="192"/>
  <c r="AD9" i="192"/>
  <c r="BS9" i="192"/>
  <c r="U9" i="192"/>
  <c r="BK9" i="192"/>
  <c r="BJ9" i="192"/>
  <c r="S9" i="192"/>
  <c r="AV9" i="192"/>
  <c r="AU9" i="192"/>
  <c r="AR9" i="192"/>
  <c r="AQ9" i="192"/>
  <c r="AC9" i="192"/>
  <c r="T9" i="192"/>
  <c r="BT9" i="192"/>
  <c r="BW8" i="192"/>
  <c r="BO8" i="192"/>
  <c r="BG8" i="192"/>
  <c r="AY8" i="192"/>
  <c r="AQ8" i="192"/>
  <c r="AI8" i="192"/>
  <c r="AA8" i="192"/>
  <c r="S8" i="192"/>
  <c r="BZ8" i="192"/>
  <c r="BQ8" i="192"/>
  <c r="BH8" i="192"/>
  <c r="AX8" i="192"/>
  <c r="AO8" i="192"/>
  <c r="AF8" i="192"/>
  <c r="W8" i="192"/>
  <c r="CA8" i="192"/>
  <c r="BP8" i="192"/>
  <c r="BE8" i="192"/>
  <c r="AU8" i="192"/>
  <c r="AK8" i="192"/>
  <c r="Z8" i="192"/>
  <c r="BY8" i="192"/>
  <c r="BN8" i="192"/>
  <c r="BD8" i="192"/>
  <c r="AT8" i="192"/>
  <c r="AJ8" i="192"/>
  <c r="Y8" i="192"/>
  <c r="BU8" i="192"/>
  <c r="BI8" i="192"/>
  <c r="AS8" i="192"/>
  <c r="AE8" i="192"/>
  <c r="R8" i="192"/>
  <c r="BT8" i="192"/>
  <c r="BF8" i="192"/>
  <c r="AR8" i="192"/>
  <c r="AD8" i="192"/>
  <c r="Q8" i="192"/>
  <c r="BS8" i="192"/>
  <c r="AP8" i="192"/>
  <c r="AC8" i="192"/>
  <c r="BC8" i="192"/>
  <c r="BR8" i="192"/>
  <c r="AW8" i="192"/>
  <c r="X8" i="192"/>
  <c r="AV8" i="192"/>
  <c r="V8" i="192"/>
  <c r="BM8" i="192"/>
  <c r="BL8" i="192"/>
  <c r="AN8" i="192"/>
  <c r="U8" i="192"/>
  <c r="BK8" i="192"/>
  <c r="AM8" i="192"/>
  <c r="T8" i="192"/>
  <c r="BJ8" i="192"/>
  <c r="BB8" i="192"/>
  <c r="BA8" i="192"/>
  <c r="CC8" i="192"/>
  <c r="AL8" i="192"/>
  <c r="CB8" i="192"/>
  <c r="AH8" i="192"/>
  <c r="BX8" i="192"/>
  <c r="AG8" i="192"/>
  <c r="AZ8" i="192"/>
  <c r="AB8" i="192"/>
  <c r="BV8" i="192"/>
  <c r="BZ39" i="192"/>
  <c r="BR39" i="192"/>
  <c r="BJ39" i="192"/>
  <c r="BB39" i="192"/>
  <c r="AT39" i="192"/>
  <c r="AL39" i="192"/>
  <c r="AD39" i="192"/>
  <c r="V39" i="192"/>
  <c r="BY39" i="192"/>
  <c r="BP39" i="192"/>
  <c r="BG39" i="192"/>
  <c r="AX39" i="192"/>
  <c r="AO39" i="192"/>
  <c r="AF39" i="192"/>
  <c r="W39" i="192"/>
  <c r="BV39" i="192"/>
  <c r="BL39" i="192"/>
  <c r="BA39" i="192"/>
  <c r="AQ39" i="192"/>
  <c r="AG39" i="192"/>
  <c r="U39" i="192"/>
  <c r="BT39" i="192"/>
  <c r="BH39" i="192"/>
  <c r="AV39" i="192"/>
  <c r="AJ39" i="192"/>
  <c r="Y39" i="192"/>
  <c r="BS39" i="192"/>
  <c r="BF39" i="192"/>
  <c r="AU39" i="192"/>
  <c r="AI39" i="192"/>
  <c r="X39" i="192"/>
  <c r="BO39" i="192"/>
  <c r="AZ39" i="192"/>
  <c r="AK39" i="192"/>
  <c r="S39" i="192"/>
  <c r="CC39" i="192"/>
  <c r="BN39" i="192"/>
  <c r="AY39" i="192"/>
  <c r="AH39" i="192"/>
  <c r="R39" i="192"/>
  <c r="CB39" i="192"/>
  <c r="BM39" i="192"/>
  <c r="AW39" i="192"/>
  <c r="AE39" i="192"/>
  <c r="Q39" i="192"/>
  <c r="BW39" i="192"/>
  <c r="AS39" i="192"/>
  <c r="Z39" i="192"/>
  <c r="BK39" i="192"/>
  <c r="AN39" i="192"/>
  <c r="BU39" i="192"/>
  <c r="AR39" i="192"/>
  <c r="T39" i="192"/>
  <c r="BQ39" i="192"/>
  <c r="AP39" i="192"/>
  <c r="CA39" i="192"/>
  <c r="AB39" i="192"/>
  <c r="BX39" i="192"/>
  <c r="AA39" i="192"/>
  <c r="BI39" i="192"/>
  <c r="BE39" i="192"/>
  <c r="BD39" i="192"/>
  <c r="BC39" i="192"/>
  <c r="AM39" i="192"/>
  <c r="AC39" i="192"/>
  <c r="BZ43" i="192"/>
  <c r="BR43" i="192"/>
  <c r="BJ43" i="192"/>
  <c r="BB43" i="192"/>
  <c r="AT43" i="192"/>
  <c r="AL43" i="192"/>
  <c r="AD43" i="192"/>
  <c r="V43" i="192"/>
  <c r="BU43" i="192"/>
  <c r="BL43" i="192"/>
  <c r="BC43" i="192"/>
  <c r="AS43" i="192"/>
  <c r="AJ43" i="192"/>
  <c r="AA43" i="192"/>
  <c r="R43" i="192"/>
  <c r="CA43" i="192"/>
  <c r="BP43" i="192"/>
  <c r="BF43" i="192"/>
  <c r="AV43" i="192"/>
  <c r="AK43" i="192"/>
  <c r="Z43" i="192"/>
  <c r="BT43" i="192"/>
  <c r="BH43" i="192"/>
  <c r="AW43" i="192"/>
  <c r="AI43" i="192"/>
  <c r="X43" i="192"/>
  <c r="BS43" i="192"/>
  <c r="BG43" i="192"/>
  <c r="AU43" i="192"/>
  <c r="AH43" i="192"/>
  <c r="W43" i="192"/>
  <c r="BQ43" i="192"/>
  <c r="BA43" i="192"/>
  <c r="AN43" i="192"/>
  <c r="U43" i="192"/>
  <c r="BO43" i="192"/>
  <c r="AZ43" i="192"/>
  <c r="AM43" i="192"/>
  <c r="T43" i="192"/>
  <c r="CC43" i="192"/>
  <c r="BN43" i="192"/>
  <c r="AY43" i="192"/>
  <c r="AG43" i="192"/>
  <c r="S43" i="192"/>
  <c r="BX43" i="192"/>
  <c r="AX43" i="192"/>
  <c r="AB43" i="192"/>
  <c r="BM43" i="192"/>
  <c r="AP43" i="192"/>
  <c r="BW43" i="192"/>
  <c r="AR43" i="192"/>
  <c r="Y43" i="192"/>
  <c r="BV43" i="192"/>
  <c r="AQ43" i="192"/>
  <c r="Q43" i="192"/>
  <c r="BY43" i="192"/>
  <c r="AC43" i="192"/>
  <c r="BK43" i="192"/>
  <c r="BI43" i="192"/>
  <c r="BE43" i="192"/>
  <c r="BD43" i="192"/>
  <c r="AO43" i="192"/>
  <c r="AF43" i="192"/>
  <c r="CB43" i="192"/>
  <c r="AE43" i="192"/>
  <c r="CB30" i="192"/>
  <c r="BT30" i="192"/>
  <c r="BL30" i="192"/>
  <c r="BD30" i="192"/>
  <c r="AV30" i="192"/>
  <c r="AN30" i="192"/>
  <c r="AF30" i="192"/>
  <c r="X30" i="192"/>
  <c r="BW30" i="192"/>
  <c r="BN30" i="192"/>
  <c r="BE30" i="192"/>
  <c r="AU30" i="192"/>
  <c r="AL30" i="192"/>
  <c r="AC30" i="192"/>
  <c r="T30" i="192"/>
  <c r="BS30" i="192"/>
  <c r="BI30" i="192"/>
  <c r="AY30" i="192"/>
  <c r="AO30" i="192"/>
  <c r="AD30" i="192"/>
  <c r="S30" i="192"/>
  <c r="CC30" i="192"/>
  <c r="BR30" i="192"/>
  <c r="BH30" i="192"/>
  <c r="AX30" i="192"/>
  <c r="AM30" i="192"/>
  <c r="BZ30" i="192"/>
  <c r="BM30" i="192"/>
  <c r="AZ30" i="192"/>
  <c r="AJ30" i="192"/>
  <c r="Y30" i="192"/>
  <c r="BY30" i="192"/>
  <c r="BK30" i="192"/>
  <c r="AW30" i="192"/>
  <c r="AI30" i="192"/>
  <c r="W30" i="192"/>
  <c r="BO30" i="192"/>
  <c r="AS30" i="192"/>
  <c r="AB30" i="192"/>
  <c r="BX30" i="192"/>
  <c r="AP30" i="192"/>
  <c r="BJ30" i="192"/>
  <c r="AR30" i="192"/>
  <c r="AA30" i="192"/>
  <c r="BF30" i="192"/>
  <c r="V30" i="192"/>
  <c r="CA30" i="192"/>
  <c r="BG30" i="192"/>
  <c r="AQ30" i="192"/>
  <c r="Z30" i="192"/>
  <c r="BP30" i="192"/>
  <c r="AE30" i="192"/>
  <c r="BC30" i="192"/>
  <c r="U30" i="192"/>
  <c r="BB30" i="192"/>
  <c r="R30" i="192"/>
  <c r="BA30" i="192"/>
  <c r="Q30" i="192"/>
  <c r="AT30" i="192"/>
  <c r="BV30" i="192"/>
  <c r="AK30" i="192"/>
  <c r="BU30" i="192"/>
  <c r="AH30" i="192"/>
  <c r="BQ30" i="192"/>
  <c r="AG30" i="192"/>
  <c r="BX36" i="192"/>
  <c r="BP36" i="192"/>
  <c r="BH36" i="192"/>
  <c r="AZ36" i="192"/>
  <c r="AR36" i="192"/>
  <c r="AJ36" i="192"/>
  <c r="AB36" i="192"/>
  <c r="T36" i="192"/>
  <c r="CB36" i="192"/>
  <c r="BS36" i="192"/>
  <c r="BJ36" i="192"/>
  <c r="BA36" i="192"/>
  <c r="AQ36" i="192"/>
  <c r="AH36" i="192"/>
  <c r="Y36" i="192"/>
  <c r="BY36" i="192"/>
  <c r="BN36" i="192"/>
  <c r="BD36" i="192"/>
  <c r="AT36" i="192"/>
  <c r="AI36" i="192"/>
  <c r="X36" i="192"/>
  <c r="CC36" i="192"/>
  <c r="BQ36" i="192"/>
  <c r="BE36" i="192"/>
  <c r="AS36" i="192"/>
  <c r="AF36" i="192"/>
  <c r="U36" i="192"/>
  <c r="CA36" i="192"/>
  <c r="BO36" i="192"/>
  <c r="BC36" i="192"/>
  <c r="AP36" i="192"/>
  <c r="AE36" i="192"/>
  <c r="S36" i="192"/>
  <c r="BT36" i="192"/>
  <c r="BB36" i="192"/>
  <c r="AM36" i="192"/>
  <c r="W36" i="192"/>
  <c r="BR36" i="192"/>
  <c r="AY36" i="192"/>
  <c r="AL36" i="192"/>
  <c r="V36" i="192"/>
  <c r="BW36" i="192"/>
  <c r="BF36" i="192"/>
  <c r="AG36" i="192"/>
  <c r="BV36" i="192"/>
  <c r="AX36" i="192"/>
  <c r="AD36" i="192"/>
  <c r="BM36" i="192"/>
  <c r="AV36" i="192"/>
  <c r="AA36" i="192"/>
  <c r="BU36" i="192"/>
  <c r="AW36" i="192"/>
  <c r="AC36" i="192"/>
  <c r="AN36" i="192"/>
  <c r="BZ36" i="192"/>
  <c r="AK36" i="192"/>
  <c r="BL36" i="192"/>
  <c r="Z36" i="192"/>
  <c r="BK36" i="192"/>
  <c r="R36" i="192"/>
  <c r="BI36" i="192"/>
  <c r="Q36" i="192"/>
  <c r="BG36" i="192"/>
  <c r="AU36" i="192"/>
  <c r="AO36" i="192"/>
  <c r="BV29" i="192"/>
  <c r="BN29" i="192"/>
  <c r="BF29" i="192"/>
  <c r="AX29" i="192"/>
  <c r="AP29" i="192"/>
  <c r="AH29" i="192"/>
  <c r="Z29" i="192"/>
  <c r="R29" i="192"/>
  <c r="BX29" i="192"/>
  <c r="BO29" i="192"/>
  <c r="BE29" i="192"/>
  <c r="AV29" i="192"/>
  <c r="AM29" i="192"/>
  <c r="AD29" i="192"/>
  <c r="U29" i="192"/>
  <c r="BT29" i="192"/>
  <c r="BJ29" i="192"/>
  <c r="AZ29" i="192"/>
  <c r="AO29" i="192"/>
  <c r="AE29" i="192"/>
  <c r="T29" i="192"/>
  <c r="BW29" i="192"/>
  <c r="BK29" i="192"/>
  <c r="AY29" i="192"/>
  <c r="AL29" i="192"/>
  <c r="AA29" i="192"/>
  <c r="BU29" i="192"/>
  <c r="BI29" i="192"/>
  <c r="AW29" i="192"/>
  <c r="AK29" i="192"/>
  <c r="Y29" i="192"/>
  <c r="BS29" i="192"/>
  <c r="BD29" i="192"/>
  <c r="AQ29" i="192"/>
  <c r="X29" i="192"/>
  <c r="CC29" i="192"/>
  <c r="BA29" i="192"/>
  <c r="S29" i="192"/>
  <c r="BR29" i="192"/>
  <c r="BC29" i="192"/>
  <c r="AN29" i="192"/>
  <c r="W29" i="192"/>
  <c r="BP29" i="192"/>
  <c r="AI29" i="192"/>
  <c r="BQ29" i="192"/>
  <c r="BB29" i="192"/>
  <c r="AJ29" i="192"/>
  <c r="V29" i="192"/>
  <c r="BZ29" i="192"/>
  <c r="AS29" i="192"/>
  <c r="AR29" i="192"/>
  <c r="BY29" i="192"/>
  <c r="BM29" i="192"/>
  <c r="AG29" i="192"/>
  <c r="BL29" i="192"/>
  <c r="AF29" i="192"/>
  <c r="BH29" i="192"/>
  <c r="AC29" i="192"/>
  <c r="BG29" i="192"/>
  <c r="AB29" i="192"/>
  <c r="CB29" i="192"/>
  <c r="AU29" i="192"/>
  <c r="Q29" i="192"/>
  <c r="CA29" i="192"/>
  <c r="AT29" i="192"/>
  <c r="CA18" i="192"/>
  <c r="BS18" i="192"/>
  <c r="BK18" i="192"/>
  <c r="BC18" i="192"/>
  <c r="AU18" i="192"/>
  <c r="AM18" i="192"/>
  <c r="AE18" i="192"/>
  <c r="W18" i="192"/>
  <c r="BZ18" i="192"/>
  <c r="BQ18" i="192"/>
  <c r="BH18" i="192"/>
  <c r="AY18" i="192"/>
  <c r="AP18" i="192"/>
  <c r="AG18" i="192"/>
  <c r="X18" i="192"/>
  <c r="CB18" i="192"/>
  <c r="BP18" i="192"/>
  <c r="BF18" i="192"/>
  <c r="AV18" i="192"/>
  <c r="AK18" i="192"/>
  <c r="AA18" i="192"/>
  <c r="Q18" i="192"/>
  <c r="BY18" i="192"/>
  <c r="BO18" i="192"/>
  <c r="BE18" i="192"/>
  <c r="AT18" i="192"/>
  <c r="AJ18" i="192"/>
  <c r="Z18" i="192"/>
  <c r="CC18" i="192"/>
  <c r="BM18" i="192"/>
  <c r="AZ18" i="192"/>
  <c r="AL18" i="192"/>
  <c r="V18" i="192"/>
  <c r="BW18" i="192"/>
  <c r="BJ18" i="192"/>
  <c r="AW18" i="192"/>
  <c r="T18" i="192"/>
  <c r="BX18" i="192"/>
  <c r="BL18" i="192"/>
  <c r="AX18" i="192"/>
  <c r="AI18" i="192"/>
  <c r="U18" i="192"/>
  <c r="BV18" i="192"/>
  <c r="BI18" i="192"/>
  <c r="AS18" i="192"/>
  <c r="AF18" i="192"/>
  <c r="S18" i="192"/>
  <c r="AH18" i="192"/>
  <c r="BG18" i="192"/>
  <c r="AD18" i="192"/>
  <c r="AC18" i="192"/>
  <c r="BD18" i="192"/>
  <c r="BB18" i="192"/>
  <c r="AB18" i="192"/>
  <c r="BA18" i="192"/>
  <c r="Y18" i="192"/>
  <c r="BU18" i="192"/>
  <c r="AR18" i="192"/>
  <c r="R18" i="192"/>
  <c r="BT18" i="192"/>
  <c r="AQ18" i="192"/>
  <c r="BN18" i="192"/>
  <c r="AN18" i="192"/>
  <c r="BR18" i="192"/>
  <c r="AO18" i="192"/>
  <c r="BV41" i="192"/>
  <c r="BN41" i="192"/>
  <c r="BF41" i="192"/>
  <c r="AX41" i="192"/>
  <c r="AP41" i="192"/>
  <c r="AH41" i="192"/>
  <c r="Z41" i="192"/>
  <c r="R41" i="192"/>
  <c r="BW41" i="192"/>
  <c r="BM41" i="192"/>
  <c r="BD41" i="192"/>
  <c r="AU41" i="192"/>
  <c r="AL41" i="192"/>
  <c r="AC41" i="192"/>
  <c r="T41" i="192"/>
  <c r="CB41" i="192"/>
  <c r="BR41" i="192"/>
  <c r="BH41" i="192"/>
  <c r="AW41" i="192"/>
  <c r="AM41" i="192"/>
  <c r="AB41" i="192"/>
  <c r="Q41" i="192"/>
  <c r="BY41" i="192"/>
  <c r="BL41" i="192"/>
  <c r="BA41" i="192"/>
  <c r="AO41" i="192"/>
  <c r="AD41" i="192"/>
  <c r="BX41" i="192"/>
  <c r="BK41" i="192"/>
  <c r="AZ41" i="192"/>
  <c r="AN41" i="192"/>
  <c r="AA41" i="192"/>
  <c r="BZ41" i="192"/>
  <c r="BI41" i="192"/>
  <c r="AS41" i="192"/>
  <c r="AE41" i="192"/>
  <c r="BU41" i="192"/>
  <c r="BG41" i="192"/>
  <c r="AR41" i="192"/>
  <c r="Y41" i="192"/>
  <c r="BT41" i="192"/>
  <c r="BE41" i="192"/>
  <c r="AQ41" i="192"/>
  <c r="X41" i="192"/>
  <c r="BS41" i="192"/>
  <c r="AV41" i="192"/>
  <c r="V41" i="192"/>
  <c r="BQ41" i="192"/>
  <c r="AT41" i="192"/>
  <c r="U41" i="192"/>
  <c r="BO41" i="192"/>
  <c r="AJ41" i="192"/>
  <c r="BP41" i="192"/>
  <c r="AK41" i="192"/>
  <c r="S41" i="192"/>
  <c r="CC41" i="192"/>
  <c r="AF41" i="192"/>
  <c r="CA41" i="192"/>
  <c r="W41" i="192"/>
  <c r="BJ41" i="192"/>
  <c r="BC41" i="192"/>
  <c r="BB41" i="192"/>
  <c r="AY41" i="192"/>
  <c r="AI41" i="192"/>
  <c r="AG41" i="192"/>
  <c r="CA6" i="192"/>
  <c r="CA72" i="192" s="1"/>
  <c r="BS6" i="192"/>
  <c r="BK6" i="192"/>
  <c r="BC6" i="192"/>
  <c r="AU6" i="192"/>
  <c r="AM6" i="192"/>
  <c r="AE6" i="192"/>
  <c r="W6" i="192"/>
  <c r="CB6" i="192"/>
  <c r="CB72" i="192" s="1"/>
  <c r="BR6" i="192"/>
  <c r="BI6" i="192"/>
  <c r="AZ6" i="192"/>
  <c r="AQ6" i="192"/>
  <c r="AH6" i="192"/>
  <c r="Y6" i="192"/>
  <c r="CC6" i="192"/>
  <c r="CC72" i="192" s="1"/>
  <c r="BQ6" i="192"/>
  <c r="BG6" i="192"/>
  <c r="AW6" i="192"/>
  <c r="AL6" i="192"/>
  <c r="AB6" i="192"/>
  <c r="R6" i="192"/>
  <c r="BZ6" i="192"/>
  <c r="BP6" i="192"/>
  <c r="BF6" i="192"/>
  <c r="AV6" i="192"/>
  <c r="AK6" i="192"/>
  <c r="AA6" i="192"/>
  <c r="Q6" i="192"/>
  <c r="BO6" i="192"/>
  <c r="BB6" i="192"/>
  <c r="AO6" i="192"/>
  <c r="Z6" i="192"/>
  <c r="BY6" i="192"/>
  <c r="BM6" i="192"/>
  <c r="AY6" i="192"/>
  <c r="V6" i="192"/>
  <c r="BN6" i="192"/>
  <c r="BA6" i="192"/>
  <c r="AN6" i="192"/>
  <c r="X6" i="192"/>
  <c r="AJ6" i="192"/>
  <c r="BJ6" i="192"/>
  <c r="AP6" i="192"/>
  <c r="S6" i="192"/>
  <c r="AI6" i="192"/>
  <c r="BH6" i="192"/>
  <c r="BW6" i="192"/>
  <c r="BD6" i="192"/>
  <c r="AF6" i="192"/>
  <c r="BX6" i="192"/>
  <c r="AS6" i="192"/>
  <c r="BV6" i="192"/>
  <c r="AR6" i="192"/>
  <c r="BU6" i="192"/>
  <c r="AG6" i="192"/>
  <c r="BL6" i="192"/>
  <c r="AC6" i="192"/>
  <c r="BE6" i="192"/>
  <c r="U6" i="192"/>
  <c r="AX6" i="192"/>
  <c r="T6" i="192"/>
  <c r="BT6" i="192"/>
  <c r="AD6" i="192"/>
  <c r="AT6" i="192"/>
  <c r="BY29" i="191"/>
  <c r="BQ29" i="191"/>
  <c r="BI29" i="191"/>
  <c r="BA29" i="191"/>
  <c r="AS29" i="191"/>
  <c r="AK29" i="191"/>
  <c r="AC29" i="191"/>
  <c r="U29" i="191"/>
  <c r="BU29" i="191"/>
  <c r="BL29" i="191"/>
  <c r="BC29" i="191"/>
  <c r="AT29" i="191"/>
  <c r="AJ29" i="191"/>
  <c r="AA29" i="191"/>
  <c r="R29" i="191"/>
  <c r="BX29" i="191"/>
  <c r="BN29" i="191"/>
  <c r="BD29" i="191"/>
  <c r="AR29" i="191"/>
  <c r="AH29" i="191"/>
  <c r="X29" i="191"/>
  <c r="BW29" i="191"/>
  <c r="BM29" i="191"/>
  <c r="BB29" i="191"/>
  <c r="AQ29" i="191"/>
  <c r="AG29" i="191"/>
  <c r="W29" i="191"/>
  <c r="BR29" i="191"/>
  <c r="BE29" i="191"/>
  <c r="AO29" i="191"/>
  <c r="AB29" i="191"/>
  <c r="CB29" i="191"/>
  <c r="AY29" i="191"/>
  <c r="AM29" i="191"/>
  <c r="Y29" i="191"/>
  <c r="CC29" i="191"/>
  <c r="BP29" i="191"/>
  <c r="AZ29" i="191"/>
  <c r="AN29" i="191"/>
  <c r="Z29" i="191"/>
  <c r="BO29" i="191"/>
  <c r="CA29" i="191"/>
  <c r="BK29" i="191"/>
  <c r="AX29" i="191"/>
  <c r="AL29" i="191"/>
  <c r="V29" i="191"/>
  <c r="BZ29" i="191"/>
  <c r="AW29" i="191"/>
  <c r="T29" i="191"/>
  <c r="BH29" i="191"/>
  <c r="AF29" i="191"/>
  <c r="BF29" i="191"/>
  <c r="AD29" i="191"/>
  <c r="BV29" i="191"/>
  <c r="AV29" i="191"/>
  <c r="S29" i="191"/>
  <c r="BS29" i="191"/>
  <c r="AP29" i="191"/>
  <c r="BJ29" i="191"/>
  <c r="AI29" i="191"/>
  <c r="BG29" i="191"/>
  <c r="AE29" i="191"/>
  <c r="BT29" i="191"/>
  <c r="AU29" i="191"/>
  <c r="Q29" i="191"/>
  <c r="CB33" i="191"/>
  <c r="BT33" i="191"/>
  <c r="BL33" i="191"/>
  <c r="BD33" i="191"/>
  <c r="AV33" i="191"/>
  <c r="AN33" i="191"/>
  <c r="AF33" i="191"/>
  <c r="X33" i="191"/>
  <c r="CC33" i="191"/>
  <c r="BS33" i="191"/>
  <c r="BJ33" i="191"/>
  <c r="BA33" i="191"/>
  <c r="AR33" i="191"/>
  <c r="AI33" i="191"/>
  <c r="Z33" i="191"/>
  <c r="Q33" i="191"/>
  <c r="BZ33" i="191"/>
  <c r="BP33" i="191"/>
  <c r="BF33" i="191"/>
  <c r="AU33" i="191"/>
  <c r="AK33" i="191"/>
  <c r="AA33" i="191"/>
  <c r="CA33" i="191"/>
  <c r="BO33" i="191"/>
  <c r="BC33" i="191"/>
  <c r="AQ33" i="191"/>
  <c r="AE33" i="191"/>
  <c r="T33" i="191"/>
  <c r="BY33" i="191"/>
  <c r="BN33" i="191"/>
  <c r="BB33" i="191"/>
  <c r="AP33" i="191"/>
  <c r="AD33" i="191"/>
  <c r="S33" i="191"/>
  <c r="BX33" i="191"/>
  <c r="BM33" i="191"/>
  <c r="AZ33" i="191"/>
  <c r="AO33" i="191"/>
  <c r="AC33" i="191"/>
  <c r="R33" i="191"/>
  <c r="BK33" i="191"/>
  <c r="AT33" i="191"/>
  <c r="Y33" i="191"/>
  <c r="BH33" i="191"/>
  <c r="AM33" i="191"/>
  <c r="V33" i="191"/>
  <c r="BI33" i="191"/>
  <c r="AS33" i="191"/>
  <c r="W33" i="191"/>
  <c r="BW33" i="191"/>
  <c r="BG33" i="191"/>
  <c r="AL33" i="191"/>
  <c r="U33" i="191"/>
  <c r="BU33" i="191"/>
  <c r="AH33" i="191"/>
  <c r="AX33" i="191"/>
  <c r="BV33" i="191"/>
  <c r="AJ33" i="191"/>
  <c r="BR33" i="191"/>
  <c r="AG33" i="191"/>
  <c r="BE33" i="191"/>
  <c r="AY33" i="191"/>
  <c r="AW33" i="191"/>
  <c r="BQ33" i="191"/>
  <c r="AB33" i="191"/>
  <c r="BZ34" i="191"/>
  <c r="BR34" i="191"/>
  <c r="BJ34" i="191"/>
  <c r="BB34" i="191"/>
  <c r="AT34" i="191"/>
  <c r="AL34" i="191"/>
  <c r="AD34" i="191"/>
  <c r="V34" i="191"/>
  <c r="CB34" i="191"/>
  <c r="BS34" i="191"/>
  <c r="BI34" i="191"/>
  <c r="AZ34" i="191"/>
  <c r="AQ34" i="191"/>
  <c r="AH34" i="191"/>
  <c r="Y34" i="191"/>
  <c r="BY34" i="191"/>
  <c r="BO34" i="191"/>
  <c r="BE34" i="191"/>
  <c r="AU34" i="191"/>
  <c r="AJ34" i="191"/>
  <c r="Z34" i="191"/>
  <c r="BX34" i="191"/>
  <c r="BM34" i="191"/>
  <c r="BA34" i="191"/>
  <c r="AO34" i="191"/>
  <c r="AC34" i="191"/>
  <c r="R34" i="191"/>
  <c r="BW34" i="191"/>
  <c r="BL34" i="191"/>
  <c r="AY34" i="191"/>
  <c r="AN34" i="191"/>
  <c r="AB34" i="191"/>
  <c r="Q34" i="191"/>
  <c r="BV34" i="191"/>
  <c r="BK34" i="191"/>
  <c r="AX34" i="191"/>
  <c r="AM34" i="191"/>
  <c r="AA34" i="191"/>
  <c r="BP34" i="191"/>
  <c r="AV34" i="191"/>
  <c r="AE34" i="191"/>
  <c r="BH34" i="191"/>
  <c r="AR34" i="191"/>
  <c r="W34" i="191"/>
  <c r="BN34" i="191"/>
  <c r="AS34" i="191"/>
  <c r="X34" i="191"/>
  <c r="CC34" i="191"/>
  <c r="BG34" i="191"/>
  <c r="AP34" i="191"/>
  <c r="U34" i="191"/>
  <c r="BU34" i="191"/>
  <c r="AI34" i="191"/>
  <c r="BF34" i="191"/>
  <c r="AK34" i="191"/>
  <c r="BT34" i="191"/>
  <c r="AG34" i="191"/>
  <c r="BD34" i="191"/>
  <c r="S34" i="191"/>
  <c r="BC34" i="191"/>
  <c r="AW34" i="191"/>
  <c r="BQ34" i="191"/>
  <c r="AF34" i="191"/>
  <c r="T34" i="191"/>
  <c r="CA34" i="191"/>
  <c r="BX35" i="191"/>
  <c r="BP35" i="191"/>
  <c r="BH35" i="191"/>
  <c r="AZ35" i="191"/>
  <c r="AR35" i="191"/>
  <c r="AJ35" i="191"/>
  <c r="AB35" i="191"/>
  <c r="T35" i="191"/>
  <c r="BZ35" i="191"/>
  <c r="BQ35" i="191"/>
  <c r="BG35" i="191"/>
  <c r="AX35" i="191"/>
  <c r="AO35" i="191"/>
  <c r="AF35" i="191"/>
  <c r="W35" i="191"/>
  <c r="BW35" i="191"/>
  <c r="BM35" i="191"/>
  <c r="BC35" i="191"/>
  <c r="AS35" i="191"/>
  <c r="AH35" i="191"/>
  <c r="X35" i="191"/>
  <c r="BU35" i="191"/>
  <c r="BJ35" i="191"/>
  <c r="AW35" i="191"/>
  <c r="AL35" i="191"/>
  <c r="Z35" i="191"/>
  <c r="BT35" i="191"/>
  <c r="BI35" i="191"/>
  <c r="AV35" i="191"/>
  <c r="AK35" i="191"/>
  <c r="Y35" i="191"/>
  <c r="BS35" i="191"/>
  <c r="BF35" i="191"/>
  <c r="AU35" i="191"/>
  <c r="AI35" i="191"/>
  <c r="V35" i="191"/>
  <c r="BN35" i="191"/>
  <c r="AT35" i="191"/>
  <c r="AC35" i="191"/>
  <c r="CB35" i="191"/>
  <c r="BK35" i="191"/>
  <c r="AP35" i="191"/>
  <c r="U35" i="191"/>
  <c r="CC35" i="191"/>
  <c r="BL35" i="191"/>
  <c r="AQ35" i="191"/>
  <c r="AA35" i="191"/>
  <c r="CA35" i="191"/>
  <c r="BE35" i="191"/>
  <c r="AN35" i="191"/>
  <c r="S35" i="191"/>
  <c r="BV35" i="191"/>
  <c r="AG35" i="191"/>
  <c r="BD35" i="191"/>
  <c r="BA35" i="191"/>
  <c r="BY35" i="191"/>
  <c r="AM35" i="191"/>
  <c r="BR35" i="191"/>
  <c r="AE35" i="191"/>
  <c r="R35" i="191"/>
  <c r="BB35" i="191"/>
  <c r="Q35" i="191"/>
  <c r="AY35" i="191"/>
  <c r="BO35" i="191"/>
  <c r="AD35" i="191"/>
  <c r="BX69" i="191"/>
  <c r="BP69" i="191"/>
  <c r="BH69" i="191"/>
  <c r="AZ69" i="191"/>
  <c r="AR69" i="191"/>
  <c r="AJ69" i="191"/>
  <c r="AB69" i="191"/>
  <c r="T69" i="191"/>
  <c r="BW69" i="191"/>
  <c r="BO69" i="191"/>
  <c r="BG69" i="191"/>
  <c r="AY69" i="191"/>
  <c r="AQ69" i="191"/>
  <c r="AI69" i="191"/>
  <c r="AA69" i="191"/>
  <c r="S69" i="191"/>
  <c r="BU69" i="191"/>
  <c r="BK69" i="191"/>
  <c r="BA69" i="191"/>
  <c r="AO69" i="191"/>
  <c r="AE69" i="191"/>
  <c r="U69" i="191"/>
  <c r="CC69" i="191"/>
  <c r="BR69" i="191"/>
  <c r="BE69" i="191"/>
  <c r="AT69" i="191"/>
  <c r="AG69" i="191"/>
  <c r="V69" i="191"/>
  <c r="BY69" i="191"/>
  <c r="BJ69" i="191"/>
  <c r="AV69" i="191"/>
  <c r="AH69" i="191"/>
  <c r="R69" i="191"/>
  <c r="BV69" i="191"/>
  <c r="BI69" i="191"/>
  <c r="AU69" i="191"/>
  <c r="AF69" i="191"/>
  <c r="Q69" i="191"/>
  <c r="BT69" i="191"/>
  <c r="BC69" i="191"/>
  <c r="AL69" i="191"/>
  <c r="BQ69" i="191"/>
  <c r="AX69" i="191"/>
  <c r="AD69" i="191"/>
  <c r="BN69" i="191"/>
  <c r="AW69" i="191"/>
  <c r="AC69" i="191"/>
  <c r="CA69" i="191"/>
  <c r="AS69" i="191"/>
  <c r="W69" i="191"/>
  <c r="BZ69" i="191"/>
  <c r="AP69" i="191"/>
  <c r="AN69" i="191"/>
  <c r="CB69" i="191"/>
  <c r="AM69" i="191"/>
  <c r="BS69" i="191"/>
  <c r="AK69" i="191"/>
  <c r="BF69" i="191"/>
  <c r="BD69" i="191"/>
  <c r="BB69" i="191"/>
  <c r="Z69" i="191"/>
  <c r="BM69" i="191"/>
  <c r="Y69" i="191"/>
  <c r="BL69" i="191"/>
  <c r="X69" i="191"/>
  <c r="BZ30" i="191"/>
  <c r="BW30" i="191"/>
  <c r="BO30" i="191"/>
  <c r="BG30" i="191"/>
  <c r="AY30" i="191"/>
  <c r="AQ30" i="191"/>
  <c r="AI30" i="191"/>
  <c r="AA30" i="191"/>
  <c r="S30" i="191"/>
  <c r="BT30" i="191"/>
  <c r="BK30" i="191"/>
  <c r="BB30" i="191"/>
  <c r="AS30" i="191"/>
  <c r="AJ30" i="191"/>
  <c r="Z30" i="191"/>
  <c r="Q30" i="191"/>
  <c r="BX30" i="191"/>
  <c r="BM30" i="191"/>
  <c r="BC30" i="191"/>
  <c r="AR30" i="191"/>
  <c r="AG30" i="191"/>
  <c r="W30" i="191"/>
  <c r="BV30" i="191"/>
  <c r="BL30" i="191"/>
  <c r="BA30" i="191"/>
  <c r="AP30" i="191"/>
  <c r="AF30" i="191"/>
  <c r="V30" i="191"/>
  <c r="CA30" i="191"/>
  <c r="BJ30" i="191"/>
  <c r="AW30" i="191"/>
  <c r="AK30" i="191"/>
  <c r="U30" i="191"/>
  <c r="BU30" i="191"/>
  <c r="BH30" i="191"/>
  <c r="AU30" i="191"/>
  <c r="AE30" i="191"/>
  <c r="R30" i="191"/>
  <c r="BY30" i="191"/>
  <c r="BI30" i="191"/>
  <c r="AV30" i="191"/>
  <c r="AH30" i="191"/>
  <c r="T30" i="191"/>
  <c r="BS30" i="191"/>
  <c r="BF30" i="191"/>
  <c r="AT30" i="191"/>
  <c r="AD30" i="191"/>
  <c r="BE30" i="191"/>
  <c r="AC30" i="191"/>
  <c r="BN30" i="191"/>
  <c r="AL30" i="191"/>
  <c r="BD30" i="191"/>
  <c r="AB30" i="191"/>
  <c r="CB30" i="191"/>
  <c r="AX30" i="191"/>
  <c r="X30" i="191"/>
  <c r="BR30" i="191"/>
  <c r="AO30" i="191"/>
  <c r="BQ30" i="191"/>
  <c r="AN30" i="191"/>
  <c r="BP30" i="191"/>
  <c r="AM30" i="191"/>
  <c r="CC30" i="191"/>
  <c r="AZ30" i="191"/>
  <c r="Y30" i="191"/>
  <c r="BV53" i="191"/>
  <c r="BN53" i="191"/>
  <c r="BF53" i="191"/>
  <c r="AX53" i="191"/>
  <c r="AP53" i="191"/>
  <c r="AH53" i="191"/>
  <c r="Z53" i="191"/>
  <c r="R53" i="191"/>
  <c r="BU53" i="191"/>
  <c r="BL53" i="191"/>
  <c r="BC53" i="191"/>
  <c r="AT53" i="191"/>
  <c r="AK53" i="191"/>
  <c r="AB53" i="191"/>
  <c r="S53" i="191"/>
  <c r="CC53" i="191"/>
  <c r="BT53" i="191"/>
  <c r="BK53" i="191"/>
  <c r="BB53" i="191"/>
  <c r="AS53" i="191"/>
  <c r="AJ53" i="191"/>
  <c r="AA53" i="191"/>
  <c r="Q53" i="191"/>
  <c r="BW53" i="191"/>
  <c r="BI53" i="191"/>
  <c r="AW53" i="191"/>
  <c r="AL53" i="191"/>
  <c r="X53" i="191"/>
  <c r="BZ53" i="191"/>
  <c r="BM53" i="191"/>
  <c r="AY53" i="191"/>
  <c r="AI53" i="191"/>
  <c r="V53" i="191"/>
  <c r="BY53" i="191"/>
  <c r="BJ53" i="191"/>
  <c r="AV53" i="191"/>
  <c r="AG53" i="191"/>
  <c r="U53" i="191"/>
  <c r="BR53" i="191"/>
  <c r="BA53" i="191"/>
  <c r="AF53" i="191"/>
  <c r="BQ53" i="191"/>
  <c r="AZ53" i="191"/>
  <c r="AE53" i="191"/>
  <c r="BP53" i="191"/>
  <c r="AU53" i="191"/>
  <c r="AD53" i="191"/>
  <c r="BE53" i="191"/>
  <c r="Y53" i="191"/>
  <c r="CB53" i="191"/>
  <c r="BD53" i="191"/>
  <c r="W53" i="191"/>
  <c r="CA53" i="191"/>
  <c r="AR53" i="191"/>
  <c r="T53" i="191"/>
  <c r="AO53" i="191"/>
  <c r="BX53" i="191"/>
  <c r="AM53" i="191"/>
  <c r="AN53" i="191"/>
  <c r="BS53" i="191"/>
  <c r="AC53" i="191"/>
  <c r="AQ53" i="191"/>
  <c r="BO53" i="191"/>
  <c r="BH53" i="191"/>
  <c r="BG53" i="191"/>
  <c r="BV71" i="191"/>
  <c r="BN71" i="191"/>
  <c r="BF71" i="191"/>
  <c r="AX71" i="191"/>
  <c r="AP71" i="191"/>
  <c r="AH71" i="191"/>
  <c r="Z71" i="191"/>
  <c r="R71" i="191"/>
  <c r="CC71" i="191"/>
  <c r="BU71" i="191"/>
  <c r="BM71" i="191"/>
  <c r="BE71" i="191"/>
  <c r="AW71" i="191"/>
  <c r="AO71" i="191"/>
  <c r="AG71" i="191"/>
  <c r="Y71" i="191"/>
  <c r="Q71" i="191"/>
  <c r="BY71" i="191"/>
  <c r="BO71" i="191"/>
  <c r="BC71" i="191"/>
  <c r="AS71" i="191"/>
  <c r="AI71" i="191"/>
  <c r="W71" i="191"/>
  <c r="BR71" i="191"/>
  <c r="BG71" i="191"/>
  <c r="AT71" i="191"/>
  <c r="AF71" i="191"/>
  <c r="U71" i="191"/>
  <c r="BQ71" i="191"/>
  <c r="BB71" i="191"/>
  <c r="AN71" i="191"/>
  <c r="AB71" i="191"/>
  <c r="CB71" i="191"/>
  <c r="BP71" i="191"/>
  <c r="BA71" i="191"/>
  <c r="AM71" i="191"/>
  <c r="AA71" i="191"/>
  <c r="BW71" i="191"/>
  <c r="BD71" i="191"/>
  <c r="AK71" i="191"/>
  <c r="S71" i="191"/>
  <c r="BS71" i="191"/>
  <c r="AY71" i="191"/>
  <c r="AE71" i="191"/>
  <c r="BL71" i="191"/>
  <c r="AV71" i="191"/>
  <c r="AD71" i="191"/>
  <c r="BT71" i="191"/>
  <c r="AQ71" i="191"/>
  <c r="BK71" i="191"/>
  <c r="AL71" i="191"/>
  <c r="CA71" i="191"/>
  <c r="AR71" i="191"/>
  <c r="BZ71" i="191"/>
  <c r="AJ71" i="191"/>
  <c r="BX71" i="191"/>
  <c r="AC71" i="191"/>
  <c r="V71" i="191"/>
  <c r="T71" i="191"/>
  <c r="BJ71" i="191"/>
  <c r="BI71" i="191"/>
  <c r="X71" i="191"/>
  <c r="BH71" i="191"/>
  <c r="AZ71" i="191"/>
  <c r="AU71" i="191"/>
  <c r="BV70" i="191"/>
  <c r="BN70" i="191"/>
  <c r="BF70" i="191"/>
  <c r="AX70" i="191"/>
  <c r="AP70" i="191"/>
  <c r="AH70" i="191"/>
  <c r="Z70" i="191"/>
  <c r="R70" i="191"/>
  <c r="CC70" i="191"/>
  <c r="BU70" i="191"/>
  <c r="BM70" i="191"/>
  <c r="BE70" i="191"/>
  <c r="AW70" i="191"/>
  <c r="AO70" i="191"/>
  <c r="AG70" i="191"/>
  <c r="Y70" i="191"/>
  <c r="Q70" i="191"/>
  <c r="BW70" i="191"/>
  <c r="BK70" i="191"/>
  <c r="BA70" i="191"/>
  <c r="AQ70" i="191"/>
  <c r="AE70" i="191"/>
  <c r="U70" i="191"/>
  <c r="CB70" i="191"/>
  <c r="BQ70" i="191"/>
  <c r="BD70" i="191"/>
  <c r="AS70" i="191"/>
  <c r="AF70" i="191"/>
  <c r="T70" i="191"/>
  <c r="BS70" i="191"/>
  <c r="BG70" i="191"/>
  <c r="AR70" i="191"/>
  <c r="AC70" i="191"/>
  <c r="BR70" i="191"/>
  <c r="BC70" i="191"/>
  <c r="AN70" i="191"/>
  <c r="AB70" i="191"/>
  <c r="BX70" i="191"/>
  <c r="BB70" i="191"/>
  <c r="AK70" i="191"/>
  <c r="S70" i="191"/>
  <c r="BP70" i="191"/>
  <c r="AY70" i="191"/>
  <c r="AI70" i="191"/>
  <c r="BO70" i="191"/>
  <c r="AV70" i="191"/>
  <c r="AD70" i="191"/>
  <c r="BI70" i="191"/>
  <c r="AA70" i="191"/>
  <c r="BH70" i="191"/>
  <c r="X70" i="191"/>
  <c r="CA70" i="191"/>
  <c r="AT70" i="191"/>
  <c r="BZ70" i="191"/>
  <c r="AM70" i="191"/>
  <c r="BY70" i="191"/>
  <c r="AL70" i="191"/>
  <c r="AU70" i="191"/>
  <c r="AJ70" i="191"/>
  <c r="W70" i="191"/>
  <c r="V70" i="191"/>
  <c r="BT70" i="191"/>
  <c r="BL70" i="191"/>
  <c r="BJ70" i="191"/>
  <c r="AZ70" i="191"/>
  <c r="BZ55" i="191"/>
  <c r="BR55" i="191"/>
  <c r="BJ55" i="191"/>
  <c r="BB55" i="191"/>
  <c r="AT55" i="191"/>
  <c r="AL55" i="191"/>
  <c r="AD55" i="191"/>
  <c r="V55" i="191"/>
  <c r="CC55" i="191"/>
  <c r="BT55" i="191"/>
  <c r="BK55" i="191"/>
  <c r="BA55" i="191"/>
  <c r="AR55" i="191"/>
  <c r="AI55" i="191"/>
  <c r="Z55" i="191"/>
  <c r="Q55" i="191"/>
  <c r="CB55" i="191"/>
  <c r="BS55" i="191"/>
  <c r="BI55" i="191"/>
  <c r="AZ55" i="191"/>
  <c r="AQ55" i="191"/>
  <c r="AH55" i="191"/>
  <c r="Y55" i="191"/>
  <c r="BU55" i="191"/>
  <c r="BG55" i="191"/>
  <c r="AV55" i="191"/>
  <c r="AJ55" i="191"/>
  <c r="W55" i="191"/>
  <c r="BO55" i="191"/>
  <c r="BC55" i="191"/>
  <c r="AN55" i="191"/>
  <c r="AA55" i="191"/>
  <c r="CA55" i="191"/>
  <c r="BN55" i="191"/>
  <c r="AY55" i="191"/>
  <c r="AM55" i="191"/>
  <c r="X55" i="191"/>
  <c r="BP55" i="191"/>
  <c r="AW55" i="191"/>
  <c r="AE55" i="191"/>
  <c r="BM55" i="191"/>
  <c r="AU55" i="191"/>
  <c r="AC55" i="191"/>
  <c r="BL55" i="191"/>
  <c r="AS55" i="191"/>
  <c r="AB55" i="191"/>
  <c r="BW55" i="191"/>
  <c r="AP55" i="191"/>
  <c r="R55" i="191"/>
  <c r="BV55" i="191"/>
  <c r="AO55" i="191"/>
  <c r="BQ55" i="191"/>
  <c r="AK55" i="191"/>
  <c r="BH55" i="191"/>
  <c r="T55" i="191"/>
  <c r="BE55" i="191"/>
  <c r="BF55" i="191"/>
  <c r="S55" i="191"/>
  <c r="BD55" i="191"/>
  <c r="AG55" i="191"/>
  <c r="AF55" i="191"/>
  <c r="BY55" i="191"/>
  <c r="BX55" i="191"/>
  <c r="U55" i="191"/>
  <c r="AX55" i="191"/>
  <c r="BX39" i="191"/>
  <c r="BP39" i="191"/>
  <c r="BH39" i="191"/>
  <c r="AZ39" i="191"/>
  <c r="AR39" i="191"/>
  <c r="AJ39" i="191"/>
  <c r="AB39" i="191"/>
  <c r="T39" i="191"/>
  <c r="BU39" i="191"/>
  <c r="BL39" i="191"/>
  <c r="BC39" i="191"/>
  <c r="AT39" i="191"/>
  <c r="AK39" i="191"/>
  <c r="AA39" i="191"/>
  <c r="R39" i="191"/>
  <c r="CB39" i="191"/>
  <c r="BR39" i="191"/>
  <c r="BG39" i="191"/>
  <c r="AW39" i="191"/>
  <c r="AM39" i="191"/>
  <c r="AC39" i="191"/>
  <c r="Q39" i="191"/>
  <c r="CA39" i="191"/>
  <c r="BT39" i="191"/>
  <c r="BI39" i="191"/>
  <c r="AV39" i="191"/>
  <c r="AI39" i="191"/>
  <c r="X39" i="191"/>
  <c r="BS39" i="191"/>
  <c r="BF39" i="191"/>
  <c r="AU39" i="191"/>
  <c r="AH39" i="191"/>
  <c r="W39" i="191"/>
  <c r="BQ39" i="191"/>
  <c r="BE39" i="191"/>
  <c r="AS39" i="191"/>
  <c r="AG39" i="191"/>
  <c r="V39" i="191"/>
  <c r="BO39" i="191"/>
  <c r="AY39" i="191"/>
  <c r="AE39" i="191"/>
  <c r="BM39" i="191"/>
  <c r="AQ39" i="191"/>
  <c r="Z39" i="191"/>
  <c r="BN39" i="191"/>
  <c r="AX39" i="191"/>
  <c r="AD39" i="191"/>
  <c r="CC39" i="191"/>
  <c r="BK39" i="191"/>
  <c r="AP39" i="191"/>
  <c r="Y39" i="191"/>
  <c r="BD39" i="191"/>
  <c r="S39" i="191"/>
  <c r="BB39" i="191"/>
  <c r="BZ39" i="191"/>
  <c r="AO39" i="191"/>
  <c r="BY39" i="191"/>
  <c r="AN39" i="191"/>
  <c r="BW39" i="191"/>
  <c r="AL39" i="191"/>
  <c r="BV39" i="191"/>
  <c r="AF39" i="191"/>
  <c r="BA39" i="191"/>
  <c r="BJ39" i="191"/>
  <c r="U39" i="191"/>
  <c r="CB54" i="191"/>
  <c r="BT54" i="191"/>
  <c r="BL54" i="191"/>
  <c r="BD54" i="191"/>
  <c r="AV54" i="191"/>
  <c r="AN54" i="191"/>
  <c r="AF54" i="191"/>
  <c r="X54" i="191"/>
  <c r="BU54" i="191"/>
  <c r="BK54" i="191"/>
  <c r="BB54" i="191"/>
  <c r="AS54" i="191"/>
  <c r="AJ54" i="191"/>
  <c r="AA54" i="191"/>
  <c r="R54" i="191"/>
  <c r="CC54" i="191"/>
  <c r="BS54" i="191"/>
  <c r="BJ54" i="191"/>
  <c r="BA54" i="191"/>
  <c r="AR54" i="191"/>
  <c r="AI54" i="191"/>
  <c r="Z54" i="191"/>
  <c r="Q54" i="191"/>
  <c r="BV54" i="191"/>
  <c r="BH54" i="191"/>
  <c r="AW54" i="191"/>
  <c r="AK54" i="191"/>
  <c r="W54" i="191"/>
  <c r="BR54" i="191"/>
  <c r="BF54" i="191"/>
  <c r="AQ54" i="191"/>
  <c r="AD54" i="191"/>
  <c r="BQ54" i="191"/>
  <c r="BE54" i="191"/>
  <c r="AP54" i="191"/>
  <c r="AC54" i="191"/>
  <c r="BP54" i="191"/>
  <c r="AY54" i="191"/>
  <c r="AG54" i="191"/>
  <c r="BO54" i="191"/>
  <c r="AX54" i="191"/>
  <c r="AE54" i="191"/>
  <c r="BN54" i="191"/>
  <c r="AU54" i="191"/>
  <c r="AB54" i="191"/>
  <c r="BM54" i="191"/>
  <c r="AL54" i="191"/>
  <c r="BI54" i="191"/>
  <c r="AH54" i="191"/>
  <c r="BG54" i="191"/>
  <c r="Y54" i="191"/>
  <c r="BC54" i="191"/>
  <c r="S54" i="191"/>
  <c r="AT54" i="191"/>
  <c r="AZ54" i="191"/>
  <c r="CA54" i="191"/>
  <c r="AO54" i="191"/>
  <c r="AM54" i="191"/>
  <c r="V54" i="191"/>
  <c r="T54" i="191"/>
  <c r="BZ54" i="191"/>
  <c r="BY54" i="191"/>
  <c r="BX54" i="191"/>
  <c r="U54" i="191"/>
  <c r="BW54" i="191"/>
  <c r="BZ50" i="191"/>
  <c r="BR50" i="191"/>
  <c r="BJ50" i="191"/>
  <c r="BB50" i="191"/>
  <c r="AT50" i="191"/>
  <c r="AL50" i="191"/>
  <c r="AD50" i="191"/>
  <c r="V50" i="191"/>
  <c r="CB50" i="191"/>
  <c r="BS50" i="191"/>
  <c r="BI50" i="191"/>
  <c r="AZ50" i="191"/>
  <c r="AQ50" i="191"/>
  <c r="AH50" i="191"/>
  <c r="Y50" i="191"/>
  <c r="BY50" i="191"/>
  <c r="BO50" i="191"/>
  <c r="BE50" i="191"/>
  <c r="AU50" i="191"/>
  <c r="AJ50" i="191"/>
  <c r="Z50" i="191"/>
  <c r="BX50" i="191"/>
  <c r="BN50" i="191"/>
  <c r="BD50" i="191"/>
  <c r="AS50" i="191"/>
  <c r="AI50" i="191"/>
  <c r="X50" i="191"/>
  <c r="BP50" i="191"/>
  <c r="BA50" i="191"/>
  <c r="AN50" i="191"/>
  <c r="AA50" i="191"/>
  <c r="CC50" i="191"/>
  <c r="BM50" i="191"/>
  <c r="AY50" i="191"/>
  <c r="AM50" i="191"/>
  <c r="W50" i="191"/>
  <c r="CA50" i="191"/>
  <c r="BL50" i="191"/>
  <c r="AX50" i="191"/>
  <c r="AK50" i="191"/>
  <c r="U50" i="191"/>
  <c r="BV50" i="191"/>
  <c r="BC50" i="191"/>
  <c r="AE50" i="191"/>
  <c r="BU50" i="191"/>
  <c r="AW50" i="191"/>
  <c r="AC50" i="191"/>
  <c r="BT50" i="191"/>
  <c r="AV50" i="191"/>
  <c r="AB50" i="191"/>
  <c r="BK50" i="191"/>
  <c r="AF50" i="191"/>
  <c r="BG50" i="191"/>
  <c r="S50" i="191"/>
  <c r="BH50" i="191"/>
  <c r="T50" i="191"/>
  <c r="BF50" i="191"/>
  <c r="R50" i="191"/>
  <c r="AO50" i="191"/>
  <c r="AG50" i="191"/>
  <c r="BW50" i="191"/>
  <c r="BQ50" i="191"/>
  <c r="AR50" i="191"/>
  <c r="Q50" i="191"/>
  <c r="AP50" i="191"/>
  <c r="BZ68" i="191"/>
  <c r="BR68" i="191"/>
  <c r="BJ68" i="191"/>
  <c r="BB68" i="191"/>
  <c r="AT68" i="191"/>
  <c r="AL68" i="191"/>
  <c r="AD68" i="191"/>
  <c r="V68" i="191"/>
  <c r="BY68" i="191"/>
  <c r="BQ68" i="191"/>
  <c r="BI68" i="191"/>
  <c r="BA68" i="191"/>
  <c r="AS68" i="191"/>
  <c r="AK68" i="191"/>
  <c r="AC68" i="191"/>
  <c r="U68" i="191"/>
  <c r="BV68" i="191"/>
  <c r="BL68" i="191"/>
  <c r="AZ68" i="191"/>
  <c r="AP68" i="191"/>
  <c r="AF68" i="191"/>
  <c r="T68" i="191"/>
  <c r="BT68" i="191"/>
  <c r="BG68" i="191"/>
  <c r="AV68" i="191"/>
  <c r="AI68" i="191"/>
  <c r="X68" i="191"/>
  <c r="CC68" i="191"/>
  <c r="BO68" i="191"/>
  <c r="BC68" i="191"/>
  <c r="AN68" i="191"/>
  <c r="Z68" i="191"/>
  <c r="CB68" i="191"/>
  <c r="BN68" i="191"/>
  <c r="AY68" i="191"/>
  <c r="AM68" i="191"/>
  <c r="Y68" i="191"/>
  <c r="BW68" i="191"/>
  <c r="BE68" i="191"/>
  <c r="AJ68" i="191"/>
  <c r="R68" i="191"/>
  <c r="BS68" i="191"/>
  <c r="BP68" i="191"/>
  <c r="AW68" i="191"/>
  <c r="AE68" i="191"/>
  <c r="BK68" i="191"/>
  <c r="AO68" i="191"/>
  <c r="BH68" i="191"/>
  <c r="AH68" i="191"/>
  <c r="CA68" i="191"/>
  <c r="AR68" i="191"/>
  <c r="BX68" i="191"/>
  <c r="AQ68" i="191"/>
  <c r="BU68" i="191"/>
  <c r="AG68" i="191"/>
  <c r="BM68" i="191"/>
  <c r="S68" i="191"/>
  <c r="BF68" i="191"/>
  <c r="Q68" i="191"/>
  <c r="BD68" i="191"/>
  <c r="AX68" i="191"/>
  <c r="AA68" i="191"/>
  <c r="W68" i="191"/>
  <c r="AU68" i="191"/>
  <c r="AB68" i="191"/>
  <c r="CB49" i="191"/>
  <c r="BT49" i="191"/>
  <c r="BL49" i="191"/>
  <c r="BD49" i="191"/>
  <c r="AV49" i="191"/>
  <c r="AN49" i="191"/>
  <c r="AF49" i="191"/>
  <c r="X49" i="191"/>
  <c r="CC49" i="191"/>
  <c r="BS49" i="191"/>
  <c r="BJ49" i="191"/>
  <c r="BA49" i="191"/>
  <c r="AR49" i="191"/>
  <c r="AI49" i="191"/>
  <c r="Z49" i="191"/>
  <c r="Q49" i="191"/>
  <c r="BZ49" i="191"/>
  <c r="BP49" i="191"/>
  <c r="BF49" i="191"/>
  <c r="AU49" i="191"/>
  <c r="AK49" i="191"/>
  <c r="AA49" i="191"/>
  <c r="BY49" i="191"/>
  <c r="BO49" i="191"/>
  <c r="BE49" i="191"/>
  <c r="AT49" i="191"/>
  <c r="AJ49" i="191"/>
  <c r="Y49" i="191"/>
  <c r="BU49" i="191"/>
  <c r="BG49" i="191"/>
  <c r="AQ49" i="191"/>
  <c r="AD49" i="191"/>
  <c r="R49" i="191"/>
  <c r="BR49" i="191"/>
  <c r="BC49" i="191"/>
  <c r="AP49" i="191"/>
  <c r="AC49" i="191"/>
  <c r="BQ49" i="191"/>
  <c r="BB49" i="191"/>
  <c r="AO49" i="191"/>
  <c r="AB49" i="191"/>
  <c r="BI49" i="191"/>
  <c r="AL49" i="191"/>
  <c r="S49" i="191"/>
  <c r="CA49" i="191"/>
  <c r="BH49" i="191"/>
  <c r="AH49" i="191"/>
  <c r="BX49" i="191"/>
  <c r="AZ49" i="191"/>
  <c r="AG49" i="191"/>
  <c r="BN49" i="191"/>
  <c r="AE49" i="191"/>
  <c r="BK49" i="191"/>
  <c r="V49" i="191"/>
  <c r="BM49" i="191"/>
  <c r="W49" i="191"/>
  <c r="AY49" i="191"/>
  <c r="U49" i="191"/>
  <c r="AS49" i="191"/>
  <c r="AM49" i="191"/>
  <c r="BW49" i="191"/>
  <c r="BV49" i="191"/>
  <c r="AX49" i="191"/>
  <c r="T49" i="191"/>
  <c r="AW49" i="191"/>
  <c r="CB67" i="191"/>
  <c r="BT67" i="191"/>
  <c r="BL67" i="191"/>
  <c r="CA67" i="191"/>
  <c r="BS67" i="191"/>
  <c r="BK67" i="191"/>
  <c r="BC67" i="191"/>
  <c r="AU67" i="191"/>
  <c r="AM67" i="191"/>
  <c r="AE67" i="191"/>
  <c r="W67" i="191"/>
  <c r="BV67" i="191"/>
  <c r="BJ67" i="191"/>
  <c r="BA67" i="191"/>
  <c r="AR67" i="191"/>
  <c r="AI67" i="191"/>
  <c r="Z67" i="191"/>
  <c r="Q67" i="191"/>
  <c r="BU67" i="191"/>
  <c r="BH67" i="191"/>
  <c r="AX67" i="191"/>
  <c r="AN67" i="191"/>
  <c r="AC67" i="191"/>
  <c r="S67" i="191"/>
  <c r="BR67" i="191"/>
  <c r="BF67" i="191"/>
  <c r="AT67" i="191"/>
  <c r="AH67" i="191"/>
  <c r="V67" i="191"/>
  <c r="BQ67" i="191"/>
  <c r="BE67" i="191"/>
  <c r="AS67" i="191"/>
  <c r="AG67" i="191"/>
  <c r="U67" i="191"/>
  <c r="BY67" i="191"/>
  <c r="BG67" i="191"/>
  <c r="AP67" i="191"/>
  <c r="AA67" i="191"/>
  <c r="BP67" i="191"/>
  <c r="AZ67" i="191"/>
  <c r="AK67" i="191"/>
  <c r="T67" i="191"/>
  <c r="BN67" i="191"/>
  <c r="AQ67" i="191"/>
  <c r="X67" i="191"/>
  <c r="BM67" i="191"/>
  <c r="AO67" i="191"/>
  <c r="R67" i="191"/>
  <c r="BD67" i="191"/>
  <c r="AD67" i="191"/>
  <c r="BB67" i="191"/>
  <c r="AB67" i="191"/>
  <c r="CC67" i="191"/>
  <c r="AY67" i="191"/>
  <c r="Y67" i="191"/>
  <c r="AW67" i="191"/>
  <c r="AV67" i="191"/>
  <c r="AL67" i="191"/>
  <c r="BZ67" i="191"/>
  <c r="AF67" i="191"/>
  <c r="BX67" i="191"/>
  <c r="AJ67" i="191"/>
  <c r="BO67" i="191"/>
  <c r="BW67" i="191"/>
  <c r="BI67" i="191"/>
  <c r="BX47" i="191"/>
  <c r="BP47" i="191"/>
  <c r="BH47" i="191"/>
  <c r="AZ47" i="191"/>
  <c r="AR47" i="191"/>
  <c r="AJ47" i="191"/>
  <c r="AB47" i="191"/>
  <c r="T47" i="191"/>
  <c r="BU47" i="191"/>
  <c r="BL47" i="191"/>
  <c r="BC47" i="191"/>
  <c r="AT47" i="191"/>
  <c r="AK47" i="191"/>
  <c r="AA47" i="191"/>
  <c r="R47" i="191"/>
  <c r="CB47" i="191"/>
  <c r="BR47" i="191"/>
  <c r="BG47" i="191"/>
  <c r="AW47" i="191"/>
  <c r="AM47" i="191"/>
  <c r="AC47" i="191"/>
  <c r="Q47" i="191"/>
  <c r="CA47" i="191"/>
  <c r="BQ47" i="191"/>
  <c r="BF47" i="191"/>
  <c r="AV47" i="191"/>
  <c r="AL47" i="191"/>
  <c r="Z47" i="191"/>
  <c r="CC47" i="191"/>
  <c r="BN47" i="191"/>
  <c r="BA47" i="191"/>
  <c r="AN47" i="191"/>
  <c r="X47" i="191"/>
  <c r="BZ47" i="191"/>
  <c r="BM47" i="191"/>
  <c r="AY47" i="191"/>
  <c r="AI47" i="191"/>
  <c r="W47" i="191"/>
  <c r="BK47" i="191"/>
  <c r="AS47" i="191"/>
  <c r="AD47" i="191"/>
  <c r="BJ47" i="191"/>
  <c r="AQ47" i="191"/>
  <c r="Y47" i="191"/>
  <c r="BY47" i="191"/>
  <c r="BI47" i="191"/>
  <c r="AP47" i="191"/>
  <c r="V47" i="191"/>
  <c r="BD47" i="191"/>
  <c r="AE47" i="191"/>
  <c r="BW47" i="191"/>
  <c r="AX47" i="191"/>
  <c r="S47" i="191"/>
  <c r="BB47" i="191"/>
  <c r="U47" i="191"/>
  <c r="BV47" i="191"/>
  <c r="AU47" i="191"/>
  <c r="BS47" i="191"/>
  <c r="BO47" i="191"/>
  <c r="AO47" i="191"/>
  <c r="AH47" i="191"/>
  <c r="AG47" i="191"/>
  <c r="AF47" i="191"/>
  <c r="BE47" i="191"/>
  <c r="BT47" i="191"/>
  <c r="BZ46" i="191"/>
  <c r="BR46" i="191"/>
  <c r="BJ46" i="191"/>
  <c r="BB46" i="191"/>
  <c r="AT46" i="191"/>
  <c r="AL46" i="191"/>
  <c r="AD46" i="191"/>
  <c r="V46" i="191"/>
  <c r="BW46" i="191"/>
  <c r="BN46" i="191"/>
  <c r="BE46" i="191"/>
  <c r="AV46" i="191"/>
  <c r="AM46" i="191"/>
  <c r="AC46" i="191"/>
  <c r="T46" i="191"/>
  <c r="BT46" i="191"/>
  <c r="BI46" i="191"/>
  <c r="AY46" i="191"/>
  <c r="AO46" i="191"/>
  <c r="AE46" i="191"/>
  <c r="S46" i="191"/>
  <c r="CC46" i="191"/>
  <c r="BS46" i="191"/>
  <c r="BH46" i="191"/>
  <c r="AX46" i="191"/>
  <c r="AN46" i="191"/>
  <c r="AB46" i="191"/>
  <c r="R46" i="191"/>
  <c r="BU46" i="191"/>
  <c r="BF46" i="191"/>
  <c r="BQ46" i="191"/>
  <c r="BD46" i="191"/>
  <c r="BO46" i="191"/>
  <c r="AW46" i="191"/>
  <c r="AI46" i="191"/>
  <c r="W46" i="191"/>
  <c r="BM46" i="191"/>
  <c r="AU46" i="191"/>
  <c r="AH46" i="191"/>
  <c r="U46" i="191"/>
  <c r="CB46" i="191"/>
  <c r="BL46" i="191"/>
  <c r="AS46" i="191"/>
  <c r="AG46" i="191"/>
  <c r="Q46" i="191"/>
  <c r="BY46" i="191"/>
  <c r="AZ46" i="191"/>
  <c r="Z46" i="191"/>
  <c r="BV46" i="191"/>
  <c r="AQ46" i="191"/>
  <c r="X46" i="191"/>
  <c r="BX46" i="191"/>
  <c r="AR46" i="191"/>
  <c r="Y46" i="191"/>
  <c r="BP46" i="191"/>
  <c r="AP46" i="191"/>
  <c r="AJ46" i="191"/>
  <c r="AA46" i="191"/>
  <c r="AF46" i="191"/>
  <c r="BK46" i="191"/>
  <c r="BG46" i="191"/>
  <c r="BC46" i="191"/>
  <c r="BA46" i="191"/>
  <c r="CA46" i="191"/>
  <c r="AK46" i="191"/>
  <c r="BX43" i="191"/>
  <c r="BP43" i="191"/>
  <c r="BH43" i="191"/>
  <c r="AZ43" i="191"/>
  <c r="AR43" i="191"/>
  <c r="AJ43" i="191"/>
  <c r="AB43" i="191"/>
  <c r="T43" i="191"/>
  <c r="BZ43" i="191"/>
  <c r="BQ43" i="191"/>
  <c r="BG43" i="191"/>
  <c r="AX43" i="191"/>
  <c r="AO43" i="191"/>
  <c r="AF43" i="191"/>
  <c r="W43" i="191"/>
  <c r="BW43" i="191"/>
  <c r="BM43" i="191"/>
  <c r="BC43" i="191"/>
  <c r="AS43" i="191"/>
  <c r="AH43" i="191"/>
  <c r="X43" i="191"/>
  <c r="BV43" i="191"/>
  <c r="BL43" i="191"/>
  <c r="BB43" i="191"/>
  <c r="AQ43" i="191"/>
  <c r="AG43" i="191"/>
  <c r="V43" i="191"/>
  <c r="CB43" i="191"/>
  <c r="BN43" i="191"/>
  <c r="AY43" i="191"/>
  <c r="AL43" i="191"/>
  <c r="Y43" i="191"/>
  <c r="CA43" i="191"/>
  <c r="BK43" i="191"/>
  <c r="AW43" i="191"/>
  <c r="AK43" i="191"/>
  <c r="U43" i="191"/>
  <c r="BY43" i="191"/>
  <c r="BJ43" i="191"/>
  <c r="AV43" i="191"/>
  <c r="AI43" i="191"/>
  <c r="S43" i="191"/>
  <c r="BU43" i="191"/>
  <c r="BD43" i="191"/>
  <c r="AD43" i="191"/>
  <c r="BS43" i="191"/>
  <c r="AU43" i="191"/>
  <c r="AA43" i="191"/>
  <c r="BT43" i="191"/>
  <c r="BA43" i="191"/>
  <c r="AC43" i="191"/>
  <c r="BR43" i="191"/>
  <c r="AT43" i="191"/>
  <c r="Z43" i="191"/>
  <c r="AP43" i="191"/>
  <c r="AE43" i="191"/>
  <c r="AN43" i="191"/>
  <c r="CC43" i="191"/>
  <c r="BO43" i="191"/>
  <c r="R43" i="191"/>
  <c r="BI43" i="191"/>
  <c r="Q43" i="191"/>
  <c r="BF43" i="191"/>
  <c r="AM43" i="191"/>
  <c r="BE43" i="191"/>
  <c r="BV44" i="191"/>
  <c r="BN44" i="191"/>
  <c r="BF44" i="191"/>
  <c r="AX44" i="191"/>
  <c r="AP44" i="191"/>
  <c r="AH44" i="191"/>
  <c r="Z44" i="191"/>
  <c r="R44" i="191"/>
  <c r="BY44" i="191"/>
  <c r="BP44" i="191"/>
  <c r="BG44" i="191"/>
  <c r="AW44" i="191"/>
  <c r="AN44" i="191"/>
  <c r="AE44" i="191"/>
  <c r="V44" i="191"/>
  <c r="BW44" i="191"/>
  <c r="BL44" i="191"/>
  <c r="BB44" i="191"/>
  <c r="AR44" i="191"/>
  <c r="AG44" i="191"/>
  <c r="W44" i="191"/>
  <c r="BU44" i="191"/>
  <c r="BK44" i="191"/>
  <c r="BA44" i="191"/>
  <c r="AQ44" i="191"/>
  <c r="AF44" i="191"/>
  <c r="U44" i="191"/>
  <c r="BT44" i="191"/>
  <c r="BH44" i="191"/>
  <c r="AT44" i="191"/>
  <c r="AD44" i="191"/>
  <c r="Q44" i="191"/>
  <c r="BS44" i="191"/>
  <c r="BE44" i="191"/>
  <c r="AS44" i="191"/>
  <c r="AC44" i="191"/>
  <c r="BR44" i="191"/>
  <c r="BD44" i="191"/>
  <c r="AO44" i="191"/>
  <c r="AB44" i="191"/>
  <c r="BO44" i="191"/>
  <c r="AU44" i="191"/>
  <c r="X44" i="191"/>
  <c r="CC44" i="191"/>
  <c r="BJ44" i="191"/>
  <c r="AL44" i="191"/>
  <c r="S44" i="191"/>
  <c r="BM44" i="191"/>
  <c r="AM44" i="191"/>
  <c r="T44" i="191"/>
  <c r="CB44" i="191"/>
  <c r="BI44" i="191"/>
  <c r="AK44" i="191"/>
  <c r="BC44" i="191"/>
  <c r="AV44" i="191"/>
  <c r="AZ44" i="191"/>
  <c r="CA44" i="191"/>
  <c r="AJ44" i="191"/>
  <c r="BZ44" i="191"/>
  <c r="AI44" i="191"/>
  <c r="BX44" i="191"/>
  <c r="AA44" i="191"/>
  <c r="AY44" i="191"/>
  <c r="BQ44" i="191"/>
  <c r="Y44" i="191"/>
  <c r="BV40" i="191"/>
  <c r="BN40" i="191"/>
  <c r="BF40" i="191"/>
  <c r="AX40" i="191"/>
  <c r="AP40" i="191"/>
  <c r="AH40" i="191"/>
  <c r="Z40" i="191"/>
  <c r="R40" i="191"/>
  <c r="CC40" i="191"/>
  <c r="BT40" i="191"/>
  <c r="BK40" i="191"/>
  <c r="BB40" i="191"/>
  <c r="AS40" i="191"/>
  <c r="AJ40" i="191"/>
  <c r="AA40" i="191"/>
  <c r="Q40" i="191"/>
  <c r="CA40" i="191"/>
  <c r="BQ40" i="191"/>
  <c r="BG40" i="191"/>
  <c r="AV40" i="191"/>
  <c r="AL40" i="191"/>
  <c r="AB40" i="191"/>
  <c r="BZ40" i="191"/>
  <c r="BP40" i="191"/>
  <c r="BE40" i="191"/>
  <c r="AU40" i="191"/>
  <c r="AK40" i="191"/>
  <c r="Y40" i="191"/>
  <c r="BO40" i="191"/>
  <c r="BA40" i="191"/>
  <c r="AN40" i="191"/>
  <c r="X40" i="191"/>
  <c r="CB40" i="191"/>
  <c r="BM40" i="191"/>
  <c r="AZ40" i="191"/>
  <c r="AM40" i="191"/>
  <c r="W40" i="191"/>
  <c r="BY40" i="191"/>
  <c r="BL40" i="191"/>
  <c r="AY40" i="191"/>
  <c r="AI40" i="191"/>
  <c r="V40" i="191"/>
  <c r="BH40" i="191"/>
  <c r="AG40" i="191"/>
  <c r="BW40" i="191"/>
  <c r="BC40" i="191"/>
  <c r="AE40" i="191"/>
  <c r="BX40" i="191"/>
  <c r="BD40" i="191"/>
  <c r="AF40" i="191"/>
  <c r="BU40" i="191"/>
  <c r="AW40" i="191"/>
  <c r="AD40" i="191"/>
  <c r="BJ40" i="191"/>
  <c r="T40" i="191"/>
  <c r="BI40" i="191"/>
  <c r="S40" i="191"/>
  <c r="AR40" i="191"/>
  <c r="AO40" i="191"/>
  <c r="BS40" i="191"/>
  <c r="AC40" i="191"/>
  <c r="AT40" i="191"/>
  <c r="AQ40" i="191"/>
  <c r="BR40" i="191"/>
  <c r="U40" i="191"/>
  <c r="CA28" i="191"/>
  <c r="BS28" i="191"/>
  <c r="BK28" i="191"/>
  <c r="BC28" i="191"/>
  <c r="AU28" i="191"/>
  <c r="AM28" i="191"/>
  <c r="AE28" i="191"/>
  <c r="W28" i="191"/>
  <c r="BV28" i="191"/>
  <c r="BM28" i="191"/>
  <c r="BD28" i="191"/>
  <c r="AT28" i="191"/>
  <c r="AK28" i="191"/>
  <c r="AB28" i="191"/>
  <c r="S28" i="191"/>
  <c r="BY28" i="191"/>
  <c r="BO28" i="191"/>
  <c r="BE28" i="191"/>
  <c r="AS28" i="191"/>
  <c r="AI28" i="191"/>
  <c r="Y28" i="191"/>
  <c r="BX28" i="191"/>
  <c r="BN28" i="191"/>
  <c r="BB28" i="191"/>
  <c r="AR28" i="191"/>
  <c r="AH28" i="191"/>
  <c r="X28" i="191"/>
  <c r="BW28" i="191"/>
  <c r="BI28" i="191"/>
  <c r="AW28" i="191"/>
  <c r="AG28" i="191"/>
  <c r="T28" i="191"/>
  <c r="BU28" i="191"/>
  <c r="BH28" i="191"/>
  <c r="AV28" i="191"/>
  <c r="AF28" i="191"/>
  <c r="R28" i="191"/>
  <c r="BT28" i="191"/>
  <c r="BG28" i="191"/>
  <c r="AQ28" i="191"/>
  <c r="AD28" i="191"/>
  <c r="Q28" i="191"/>
  <c r="BR28" i="191"/>
  <c r="BF28" i="191"/>
  <c r="AP28" i="191"/>
  <c r="AC28" i="191"/>
  <c r="BZ28" i="191"/>
  <c r="AX28" i="191"/>
  <c r="U28" i="191"/>
  <c r="BA28" i="191"/>
  <c r="AA28" i="191"/>
  <c r="CC28" i="191"/>
  <c r="CB28" i="191"/>
  <c r="AY28" i="191"/>
  <c r="V28" i="191"/>
  <c r="BQ28" i="191"/>
  <c r="AO28" i="191"/>
  <c r="BL28" i="191"/>
  <c r="AL28" i="191"/>
  <c r="BJ28" i="191"/>
  <c r="AJ28" i="191"/>
  <c r="AZ28" i="191"/>
  <c r="Z28" i="191"/>
  <c r="BP28" i="191"/>
  <c r="AN28" i="191"/>
  <c r="BV57" i="191"/>
  <c r="BN57" i="191"/>
  <c r="BF57" i="191"/>
  <c r="AX57" i="191"/>
  <c r="AP57" i="191"/>
  <c r="AH57" i="191"/>
  <c r="Z57" i="191"/>
  <c r="R57" i="191"/>
  <c r="BZ57" i="191"/>
  <c r="BQ57" i="191"/>
  <c r="BH57" i="191"/>
  <c r="AY57" i="191"/>
  <c r="AO57" i="191"/>
  <c r="AF57" i="191"/>
  <c r="W57" i="191"/>
  <c r="BY57" i="191"/>
  <c r="BP57" i="191"/>
  <c r="BG57" i="191"/>
  <c r="AW57" i="191"/>
  <c r="AN57" i="191"/>
  <c r="AE57" i="191"/>
  <c r="V57" i="191"/>
  <c r="CC57" i="191"/>
  <c r="BR57" i="191"/>
  <c r="BD57" i="191"/>
  <c r="AS57" i="191"/>
  <c r="AG57" i="191"/>
  <c r="T57" i="191"/>
  <c r="BX57" i="191"/>
  <c r="BL57" i="191"/>
  <c r="BA57" i="191"/>
  <c r="AM57" i="191"/>
  <c r="AB57" i="191"/>
  <c r="CB57" i="191"/>
  <c r="BK57" i="191"/>
  <c r="AU57" i="191"/>
  <c r="AD57" i="191"/>
  <c r="CA57" i="191"/>
  <c r="BJ57" i="191"/>
  <c r="AT57" i="191"/>
  <c r="AC57" i="191"/>
  <c r="BU57" i="191"/>
  <c r="BB57" i="191"/>
  <c r="AI57" i="191"/>
  <c r="BT57" i="191"/>
  <c r="AZ57" i="191"/>
  <c r="AA57" i="191"/>
  <c r="BS57" i="191"/>
  <c r="AV57" i="191"/>
  <c r="Y57" i="191"/>
  <c r="AQ57" i="191"/>
  <c r="BW57" i="191"/>
  <c r="AL57" i="191"/>
  <c r="BO57" i="191"/>
  <c r="AK57" i="191"/>
  <c r="BE57" i="191"/>
  <c r="AR57" i="191"/>
  <c r="BC57" i="191"/>
  <c r="AJ57" i="191"/>
  <c r="BM57" i="191"/>
  <c r="BI57" i="191"/>
  <c r="U57" i="191"/>
  <c r="S57" i="191"/>
  <c r="Q57" i="191"/>
  <c r="X57" i="191"/>
  <c r="CB58" i="191"/>
  <c r="BT58" i="191"/>
  <c r="BL58" i="191"/>
  <c r="BD58" i="191"/>
  <c r="AV58" i="191"/>
  <c r="AN58" i="191"/>
  <c r="AF58" i="191"/>
  <c r="X58" i="191"/>
  <c r="BY58" i="191"/>
  <c r="BP58" i="191"/>
  <c r="BG58" i="191"/>
  <c r="AX58" i="191"/>
  <c r="AO58" i="191"/>
  <c r="AE58" i="191"/>
  <c r="V58" i="191"/>
  <c r="BX58" i="191"/>
  <c r="BO58" i="191"/>
  <c r="BF58" i="191"/>
  <c r="AW58" i="191"/>
  <c r="AM58" i="191"/>
  <c r="AD58" i="191"/>
  <c r="U58" i="191"/>
  <c r="CA58" i="191"/>
  <c r="BN58" i="191"/>
  <c r="BB58" i="191"/>
  <c r="AQ58" i="191"/>
  <c r="AC58" i="191"/>
  <c r="R58" i="191"/>
  <c r="BV58" i="191"/>
  <c r="BJ58" i="191"/>
  <c r="AY58" i="191"/>
  <c r="AK58" i="191"/>
  <c r="Z58" i="191"/>
  <c r="BR58" i="191"/>
  <c r="BA58" i="191"/>
  <c r="AJ58" i="191"/>
  <c r="T58" i="191"/>
  <c r="BQ58" i="191"/>
  <c r="AZ58" i="191"/>
  <c r="AI58" i="191"/>
  <c r="S58" i="191"/>
  <c r="BK58" i="191"/>
  <c r="AR58" i="191"/>
  <c r="W58" i="191"/>
  <c r="BI58" i="191"/>
  <c r="AP58" i="191"/>
  <c r="Q58" i="191"/>
  <c r="CC58" i="191"/>
  <c r="BH58" i="191"/>
  <c r="AL58" i="191"/>
  <c r="BU58" i="191"/>
  <c r="AH58" i="191"/>
  <c r="BS58" i="191"/>
  <c r="AG58" i="191"/>
  <c r="BM58" i="191"/>
  <c r="AB58" i="191"/>
  <c r="AS58" i="191"/>
  <c r="BZ58" i="191"/>
  <c r="Y58" i="191"/>
  <c r="AA58" i="191"/>
  <c r="BW58" i="191"/>
  <c r="BE58" i="191"/>
  <c r="AT58" i="191"/>
  <c r="BC58" i="191"/>
  <c r="AU58" i="191"/>
  <c r="BV48" i="191"/>
  <c r="BN48" i="191"/>
  <c r="BF48" i="191"/>
  <c r="AX48" i="191"/>
  <c r="AP48" i="191"/>
  <c r="AH48" i="191"/>
  <c r="Z48" i="191"/>
  <c r="R48" i="191"/>
  <c r="CC48" i="191"/>
  <c r="BT48" i="191"/>
  <c r="BK48" i="191"/>
  <c r="BB48" i="191"/>
  <c r="AS48" i="191"/>
  <c r="AJ48" i="191"/>
  <c r="AA48" i="191"/>
  <c r="Q48" i="191"/>
  <c r="CA48" i="191"/>
  <c r="BQ48" i="191"/>
  <c r="BG48" i="191"/>
  <c r="AV48" i="191"/>
  <c r="AL48" i="191"/>
  <c r="AB48" i="191"/>
  <c r="BZ48" i="191"/>
  <c r="BP48" i="191"/>
  <c r="BE48" i="191"/>
  <c r="AU48" i="191"/>
  <c r="AK48" i="191"/>
  <c r="Y48" i="191"/>
  <c r="BX48" i="191"/>
  <c r="BJ48" i="191"/>
  <c r="AW48" i="191"/>
  <c r="AG48" i="191"/>
  <c r="U48" i="191"/>
  <c r="BW48" i="191"/>
  <c r="BI48" i="191"/>
  <c r="AT48" i="191"/>
  <c r="AF48" i="191"/>
  <c r="T48" i="191"/>
  <c r="BU48" i="191"/>
  <c r="BH48" i="191"/>
  <c r="AR48" i="191"/>
  <c r="BR48" i="191"/>
  <c r="AY48" i="191"/>
  <c r="AC48" i="191"/>
  <c r="BO48" i="191"/>
  <c r="AQ48" i="191"/>
  <c r="X48" i="191"/>
  <c r="BM48" i="191"/>
  <c r="AO48" i="191"/>
  <c r="W48" i="191"/>
  <c r="CB48" i="191"/>
  <c r="AN48" i="191"/>
  <c r="BS48" i="191"/>
  <c r="AI48" i="191"/>
  <c r="BY48" i="191"/>
  <c r="AM48" i="191"/>
  <c r="BL48" i="191"/>
  <c r="AE48" i="191"/>
  <c r="BA48" i="191"/>
  <c r="AZ48" i="191"/>
  <c r="V48" i="191"/>
  <c r="S48" i="191"/>
  <c r="BD48" i="191"/>
  <c r="AD48" i="191"/>
  <c r="BC48" i="191"/>
  <c r="BX31" i="191"/>
  <c r="BP31" i="191"/>
  <c r="BH31" i="191"/>
  <c r="AZ31" i="191"/>
  <c r="AR31" i="191"/>
  <c r="AJ31" i="191"/>
  <c r="AB31" i="191"/>
  <c r="T31" i="191"/>
  <c r="BU31" i="191"/>
  <c r="BL31" i="191"/>
  <c r="BC31" i="191"/>
  <c r="AT31" i="191"/>
  <c r="AK31" i="191"/>
  <c r="AA31" i="191"/>
  <c r="R31" i="191"/>
  <c r="CB31" i="191"/>
  <c r="BR31" i="191"/>
  <c r="BG31" i="191"/>
  <c r="AW31" i="191"/>
  <c r="AM31" i="191"/>
  <c r="AC31" i="191"/>
  <c r="Q31" i="191"/>
  <c r="BT31" i="191"/>
  <c r="BI31" i="191"/>
  <c r="AV31" i="191"/>
  <c r="AI31" i="191"/>
  <c r="X31" i="191"/>
  <c r="BS31" i="191"/>
  <c r="BF31" i="191"/>
  <c r="AU31" i="191"/>
  <c r="AH31" i="191"/>
  <c r="W31" i="191"/>
  <c r="CA31" i="191"/>
  <c r="BM31" i="191"/>
  <c r="AX31" i="191"/>
  <c r="AF31" i="191"/>
  <c r="BY31" i="191"/>
  <c r="AQ31" i="191"/>
  <c r="AD31" i="191"/>
  <c r="BZ31" i="191"/>
  <c r="BK31" i="191"/>
  <c r="AS31" i="191"/>
  <c r="AE31" i="191"/>
  <c r="BJ31" i="191"/>
  <c r="BW31" i="191"/>
  <c r="BE31" i="191"/>
  <c r="AP31" i="191"/>
  <c r="Z31" i="191"/>
  <c r="BQ31" i="191"/>
  <c r="AN31" i="191"/>
  <c r="BV31" i="191"/>
  <c r="AO31" i="191"/>
  <c r="BO31" i="191"/>
  <c r="AL31" i="191"/>
  <c r="BD31" i="191"/>
  <c r="Y31" i="191"/>
  <c r="BB31" i="191"/>
  <c r="V31" i="191"/>
  <c r="BA31" i="191"/>
  <c r="U31" i="191"/>
  <c r="CC31" i="191"/>
  <c r="AY31" i="191"/>
  <c r="S31" i="191"/>
  <c r="BN31" i="191"/>
  <c r="AG31" i="191"/>
  <c r="BW26" i="191"/>
  <c r="BO26" i="191"/>
  <c r="BG26" i="191"/>
  <c r="AY26" i="191"/>
  <c r="AQ26" i="191"/>
  <c r="AI26" i="191"/>
  <c r="AA26" i="191"/>
  <c r="S26" i="191"/>
  <c r="BX26" i="191"/>
  <c r="BN26" i="191"/>
  <c r="BE26" i="191"/>
  <c r="AV26" i="191"/>
  <c r="AM26" i="191"/>
  <c r="AD26" i="191"/>
  <c r="U26" i="191"/>
  <c r="CA26" i="191"/>
  <c r="BQ26" i="191"/>
  <c r="BF26" i="191"/>
  <c r="AU26" i="191"/>
  <c r="AK26" i="191"/>
  <c r="Z26" i="191"/>
  <c r="BZ26" i="191"/>
  <c r="BP26" i="191"/>
  <c r="BD26" i="191"/>
  <c r="AT26" i="191"/>
  <c r="AJ26" i="191"/>
  <c r="Y26" i="191"/>
  <c r="BS26" i="191"/>
  <c r="BC26" i="191"/>
  <c r="AP26" i="191"/>
  <c r="AC26" i="191"/>
  <c r="BM26" i="191"/>
  <c r="AN26" i="191"/>
  <c r="X26" i="191"/>
  <c r="BR26" i="191"/>
  <c r="BB26" i="191"/>
  <c r="AO26" i="191"/>
  <c r="AB26" i="191"/>
  <c r="CC26" i="191"/>
  <c r="BA26" i="191"/>
  <c r="CB26" i="191"/>
  <c r="BL26" i="191"/>
  <c r="AZ26" i="191"/>
  <c r="AL26" i="191"/>
  <c r="W26" i="191"/>
  <c r="BH26" i="191"/>
  <c r="AE26" i="191"/>
  <c r="BU26" i="191"/>
  <c r="AS26" i="191"/>
  <c r="R26" i="191"/>
  <c r="AH26" i="191"/>
  <c r="AF26" i="191"/>
  <c r="BY26" i="191"/>
  <c r="AX26" i="191"/>
  <c r="V26" i="191"/>
  <c r="BT26" i="191"/>
  <c r="AR26" i="191"/>
  <c r="Q26" i="191"/>
  <c r="BK26" i="191"/>
  <c r="BJ26" i="191"/>
  <c r="AG26" i="191"/>
  <c r="BV26" i="191"/>
  <c r="AW26" i="191"/>
  <c r="T26" i="191"/>
  <c r="BI26" i="191"/>
  <c r="BV32" i="191"/>
  <c r="BN32" i="191"/>
  <c r="BF32" i="191"/>
  <c r="AX32" i="191"/>
  <c r="AP32" i="191"/>
  <c r="AH32" i="191"/>
  <c r="Z32" i="191"/>
  <c r="R32" i="191"/>
  <c r="CC32" i="191"/>
  <c r="BT32" i="191"/>
  <c r="BK32" i="191"/>
  <c r="BB32" i="191"/>
  <c r="AS32" i="191"/>
  <c r="AJ32" i="191"/>
  <c r="AA32" i="191"/>
  <c r="Q32" i="191"/>
  <c r="CA32" i="191"/>
  <c r="BQ32" i="191"/>
  <c r="BG32" i="191"/>
  <c r="AV32" i="191"/>
  <c r="AL32" i="191"/>
  <c r="AB32" i="191"/>
  <c r="BR32" i="191"/>
  <c r="BE32" i="191"/>
  <c r="AT32" i="191"/>
  <c r="AG32" i="191"/>
  <c r="V32" i="191"/>
  <c r="CB32" i="191"/>
  <c r="BP32" i="191"/>
  <c r="BD32" i="191"/>
  <c r="AR32" i="191"/>
  <c r="AF32" i="191"/>
  <c r="U32" i="191"/>
  <c r="BZ32" i="191"/>
  <c r="BO32" i="191"/>
  <c r="BC32" i="191"/>
  <c r="AQ32" i="191"/>
  <c r="AE32" i="191"/>
  <c r="T32" i="191"/>
  <c r="BJ32" i="191"/>
  <c r="AO32" i="191"/>
  <c r="X32" i="191"/>
  <c r="BX32" i="191"/>
  <c r="BH32" i="191"/>
  <c r="AM32" i="191"/>
  <c r="S32" i="191"/>
  <c r="BY32" i="191"/>
  <c r="BI32" i="191"/>
  <c r="AN32" i="191"/>
  <c r="W32" i="191"/>
  <c r="BW32" i="191"/>
  <c r="BA32" i="191"/>
  <c r="AK32" i="191"/>
  <c r="BS32" i="191"/>
  <c r="AD32" i="191"/>
  <c r="BU32" i="191"/>
  <c r="BM32" i="191"/>
  <c r="AC32" i="191"/>
  <c r="AZ32" i="191"/>
  <c r="AY32" i="191"/>
  <c r="AW32" i="191"/>
  <c r="AU32" i="191"/>
  <c r="BL32" i="191"/>
  <c r="Y32" i="191"/>
  <c r="AI32" i="191"/>
  <c r="BZ38" i="191"/>
  <c r="BR38" i="191"/>
  <c r="BJ38" i="191"/>
  <c r="BB38" i="191"/>
  <c r="AT38" i="191"/>
  <c r="AL38" i="191"/>
  <c r="AD38" i="191"/>
  <c r="V38" i="191"/>
  <c r="BW38" i="191"/>
  <c r="BN38" i="191"/>
  <c r="BE38" i="191"/>
  <c r="AV38" i="191"/>
  <c r="AM38" i="191"/>
  <c r="AC38" i="191"/>
  <c r="T38" i="191"/>
  <c r="BT38" i="191"/>
  <c r="BI38" i="191"/>
  <c r="AY38" i="191"/>
  <c r="AO38" i="191"/>
  <c r="AE38" i="191"/>
  <c r="S38" i="191"/>
  <c r="BX38" i="191"/>
  <c r="BL38" i="191"/>
  <c r="AZ38" i="191"/>
  <c r="AN38" i="191"/>
  <c r="AA38" i="191"/>
  <c r="BV38" i="191"/>
  <c r="BK38" i="191"/>
  <c r="AX38" i="191"/>
  <c r="AK38" i="191"/>
  <c r="Z38" i="191"/>
  <c r="BU38" i="191"/>
  <c r="BH38" i="191"/>
  <c r="AW38" i="191"/>
  <c r="AJ38" i="191"/>
  <c r="Y38" i="191"/>
  <c r="BQ38" i="191"/>
  <c r="BA38" i="191"/>
  <c r="AG38" i="191"/>
  <c r="BO38" i="191"/>
  <c r="AS38" i="191"/>
  <c r="AB38" i="191"/>
  <c r="BP38" i="191"/>
  <c r="AU38" i="191"/>
  <c r="AF38" i="191"/>
  <c r="CC38" i="191"/>
  <c r="BM38" i="191"/>
  <c r="AR38" i="191"/>
  <c r="X38" i="191"/>
  <c r="BG38" i="191"/>
  <c r="W38" i="191"/>
  <c r="Q38" i="191"/>
  <c r="BS38" i="191"/>
  <c r="BF38" i="191"/>
  <c r="U38" i="191"/>
  <c r="BC38" i="191"/>
  <c r="CB38" i="191"/>
  <c r="AQ38" i="191"/>
  <c r="CA38" i="191"/>
  <c r="AP38" i="191"/>
  <c r="BY38" i="191"/>
  <c r="AI38" i="191"/>
  <c r="BD38" i="191"/>
  <c r="R38" i="191"/>
  <c r="AH38" i="191"/>
  <c r="CC27" i="191"/>
  <c r="BU27" i="191"/>
  <c r="BM27" i="191"/>
  <c r="BE27" i="191"/>
  <c r="AW27" i="191"/>
  <c r="AO27" i="191"/>
  <c r="AG27" i="191"/>
  <c r="Y27" i="191"/>
  <c r="Q27" i="191"/>
  <c r="BW27" i="191"/>
  <c r="BN27" i="191"/>
  <c r="BD27" i="191"/>
  <c r="AU27" i="191"/>
  <c r="AL27" i="191"/>
  <c r="AC27" i="191"/>
  <c r="T27" i="191"/>
  <c r="BZ27" i="191"/>
  <c r="BP27" i="191"/>
  <c r="BF27" i="191"/>
  <c r="AT27" i="191"/>
  <c r="AJ27" i="191"/>
  <c r="Z27" i="191"/>
  <c r="BY27" i="191"/>
  <c r="BO27" i="191"/>
  <c r="BC27" i="191"/>
  <c r="AS27" i="191"/>
  <c r="AI27" i="191"/>
  <c r="X27" i="191"/>
  <c r="CB27" i="191"/>
  <c r="BL27" i="191"/>
  <c r="AZ27" i="191"/>
  <c r="AM27" i="191"/>
  <c r="W27" i="191"/>
  <c r="BJ27" i="191"/>
  <c r="CA27" i="191"/>
  <c r="BK27" i="191"/>
  <c r="AY27" i="191"/>
  <c r="AK27" i="191"/>
  <c r="V27" i="191"/>
  <c r="BX27" i="191"/>
  <c r="AX27" i="191"/>
  <c r="AH27" i="191"/>
  <c r="U27" i="191"/>
  <c r="BV27" i="191"/>
  <c r="BI27" i="191"/>
  <c r="AV27" i="191"/>
  <c r="AF27" i="191"/>
  <c r="S27" i="191"/>
  <c r="BQ27" i="191"/>
  <c r="AN27" i="191"/>
  <c r="BB27" i="191"/>
  <c r="AB27" i="191"/>
  <c r="BT27" i="191"/>
  <c r="AR27" i="191"/>
  <c r="R27" i="191"/>
  <c r="BR27" i="191"/>
  <c r="AP27" i="191"/>
  <c r="BH27" i="191"/>
  <c r="AE27" i="191"/>
  <c r="BG27" i="191"/>
  <c r="AA27" i="191"/>
  <c r="BS27" i="191"/>
  <c r="AQ27" i="191"/>
  <c r="AD27" i="191"/>
  <c r="BA27" i="191"/>
  <c r="BZ42" i="191"/>
  <c r="BR42" i="191"/>
  <c r="BJ42" i="191"/>
  <c r="BB42" i="191"/>
  <c r="AT42" i="191"/>
  <c r="AL42" i="191"/>
  <c r="AD42" i="191"/>
  <c r="V42" i="191"/>
  <c r="CB42" i="191"/>
  <c r="BS42" i="191"/>
  <c r="BI42" i="191"/>
  <c r="AZ42" i="191"/>
  <c r="AQ42" i="191"/>
  <c r="AH42" i="191"/>
  <c r="Y42" i="191"/>
  <c r="BY42" i="191"/>
  <c r="BO42" i="191"/>
  <c r="BE42" i="191"/>
  <c r="AU42" i="191"/>
  <c r="AJ42" i="191"/>
  <c r="Z42" i="191"/>
  <c r="BX42" i="191"/>
  <c r="BN42" i="191"/>
  <c r="BD42" i="191"/>
  <c r="AS42" i="191"/>
  <c r="AI42" i="191"/>
  <c r="X42" i="191"/>
  <c r="BU42" i="191"/>
  <c r="BG42" i="191"/>
  <c r="AR42" i="191"/>
  <c r="AE42" i="191"/>
  <c r="R42" i="191"/>
  <c r="BT42" i="191"/>
  <c r="BF42" i="191"/>
  <c r="AP42" i="191"/>
  <c r="AC42" i="191"/>
  <c r="Q42" i="191"/>
  <c r="BQ42" i="191"/>
  <c r="BC42" i="191"/>
  <c r="AO42" i="191"/>
  <c r="AB42" i="191"/>
  <c r="BL42" i="191"/>
  <c r="AN42" i="191"/>
  <c r="T42" i="191"/>
  <c r="CC42" i="191"/>
  <c r="BH42" i="191"/>
  <c r="AK42" i="191"/>
  <c r="BK42" i="191"/>
  <c r="AM42" i="191"/>
  <c r="S42" i="191"/>
  <c r="CA42" i="191"/>
  <c r="BA42" i="191"/>
  <c r="AG42" i="191"/>
  <c r="AV42" i="191"/>
  <c r="W42" i="191"/>
  <c r="BW42" i="191"/>
  <c r="AF42" i="191"/>
  <c r="BP42" i="191"/>
  <c r="BM42" i="191"/>
  <c r="U42" i="191"/>
  <c r="AY42" i="191"/>
  <c r="AX42" i="191"/>
  <c r="BV42" i="191"/>
  <c r="AA42" i="191"/>
  <c r="AW42" i="191"/>
  <c r="BX51" i="191"/>
  <c r="BP51" i="191"/>
  <c r="BH51" i="191"/>
  <c r="AZ51" i="191"/>
  <c r="AR51" i="191"/>
  <c r="AJ51" i="191"/>
  <c r="AB51" i="191"/>
  <c r="T51" i="191"/>
  <c r="BW51" i="191"/>
  <c r="BO51" i="191"/>
  <c r="BG51" i="191"/>
  <c r="AY51" i="191"/>
  <c r="AQ51" i="191"/>
  <c r="BU51" i="191"/>
  <c r="BK51" i="191"/>
  <c r="BA51" i="191"/>
  <c r="AO51" i="191"/>
  <c r="AF51" i="191"/>
  <c r="W51" i="191"/>
  <c r="CC51" i="191"/>
  <c r="BR51" i="191"/>
  <c r="BE51" i="191"/>
  <c r="AT51" i="191"/>
  <c r="AH51" i="191"/>
  <c r="X51" i="191"/>
  <c r="CB51" i="191"/>
  <c r="BQ51" i="191"/>
  <c r="BD51" i="191"/>
  <c r="AS51" i="191"/>
  <c r="AG51" i="191"/>
  <c r="V51" i="191"/>
  <c r="CA51" i="191"/>
  <c r="BL51" i="191"/>
  <c r="AV51" i="191"/>
  <c r="AE51" i="191"/>
  <c r="R51" i="191"/>
  <c r="BZ51" i="191"/>
  <c r="BJ51" i="191"/>
  <c r="AU51" i="191"/>
  <c r="AD51" i="191"/>
  <c r="Q51" i="191"/>
  <c r="BY51" i="191"/>
  <c r="BI51" i="191"/>
  <c r="AP51" i="191"/>
  <c r="AC51" i="191"/>
  <c r="BS51" i="191"/>
  <c r="AN51" i="191"/>
  <c r="U51" i="191"/>
  <c r="BN51" i="191"/>
  <c r="AM51" i="191"/>
  <c r="S51" i="191"/>
  <c r="BM51" i="191"/>
  <c r="AL51" i="191"/>
  <c r="BF51" i="191"/>
  <c r="Z51" i="191"/>
  <c r="BB51" i="191"/>
  <c r="BC51" i="191"/>
  <c r="Y51" i="191"/>
  <c r="AX51" i="191"/>
  <c r="AA51" i="191"/>
  <c r="BT51" i="191"/>
  <c r="AW51" i="191"/>
  <c r="AK51" i="191"/>
  <c r="BV51" i="191"/>
  <c r="AI51" i="191"/>
  <c r="BY17" i="191"/>
  <c r="BQ17" i="191"/>
  <c r="BI17" i="191"/>
  <c r="BA17" i="191"/>
  <c r="AS17" i="191"/>
  <c r="AK17" i="191"/>
  <c r="AC17" i="191"/>
  <c r="U17" i="191"/>
  <c r="BV17" i="191"/>
  <c r="BM17" i="191"/>
  <c r="BD17" i="191"/>
  <c r="AU17" i="191"/>
  <c r="AL17" i="191"/>
  <c r="AB17" i="191"/>
  <c r="S17" i="191"/>
  <c r="CA17" i="191"/>
  <c r="BP17" i="191"/>
  <c r="BF17" i="191"/>
  <c r="AV17" i="191"/>
  <c r="AJ17" i="191"/>
  <c r="Z17" i="191"/>
  <c r="BZ17" i="191"/>
  <c r="BO17" i="191"/>
  <c r="BE17" i="191"/>
  <c r="AT17" i="191"/>
  <c r="AI17" i="191"/>
  <c r="Y17" i="191"/>
  <c r="BW17" i="191"/>
  <c r="BJ17" i="191"/>
  <c r="AW17" i="191"/>
  <c r="AG17" i="191"/>
  <c r="T17" i="191"/>
  <c r="BU17" i="191"/>
  <c r="BH17" i="191"/>
  <c r="AR17" i="191"/>
  <c r="AF17" i="191"/>
  <c r="R17" i="191"/>
  <c r="BT17" i="191"/>
  <c r="BG17" i="191"/>
  <c r="AQ17" i="191"/>
  <c r="AE17" i="191"/>
  <c r="Q17" i="191"/>
  <c r="BS17" i="191"/>
  <c r="BC17" i="191"/>
  <c r="AP17" i="191"/>
  <c r="AD17" i="191"/>
  <c r="CB17" i="191"/>
  <c r="AY17" i="191"/>
  <c r="W17" i="191"/>
  <c r="AH17" i="191"/>
  <c r="BB17" i="191"/>
  <c r="AA17" i="191"/>
  <c r="AZ17" i="191"/>
  <c r="X17" i="191"/>
  <c r="BX17" i="191"/>
  <c r="AX17" i="191"/>
  <c r="V17" i="191"/>
  <c r="BN17" i="191"/>
  <c r="AN17" i="191"/>
  <c r="BL17" i="191"/>
  <c r="AM17" i="191"/>
  <c r="BK17" i="191"/>
  <c r="BR17" i="191"/>
  <c r="AO17" i="191"/>
  <c r="CC17" i="191"/>
  <c r="CB41" i="191"/>
  <c r="BT41" i="191"/>
  <c r="BL41" i="191"/>
  <c r="BD41" i="191"/>
  <c r="AV41" i="191"/>
  <c r="AN41" i="191"/>
  <c r="AF41" i="191"/>
  <c r="X41" i="191"/>
  <c r="CC41" i="191"/>
  <c r="BS41" i="191"/>
  <c r="BJ41" i="191"/>
  <c r="BA41" i="191"/>
  <c r="AR41" i="191"/>
  <c r="AI41" i="191"/>
  <c r="Z41" i="191"/>
  <c r="Q41" i="191"/>
  <c r="BZ41" i="191"/>
  <c r="BP41" i="191"/>
  <c r="BF41" i="191"/>
  <c r="AU41" i="191"/>
  <c r="AK41" i="191"/>
  <c r="AA41" i="191"/>
  <c r="BY41" i="191"/>
  <c r="BO41" i="191"/>
  <c r="BE41" i="191"/>
  <c r="AT41" i="191"/>
  <c r="AJ41" i="191"/>
  <c r="Y41" i="191"/>
  <c r="BX41" i="191"/>
  <c r="BK41" i="191"/>
  <c r="AX41" i="191"/>
  <c r="AH41" i="191"/>
  <c r="U41" i="191"/>
  <c r="BW41" i="191"/>
  <c r="BI41" i="191"/>
  <c r="AW41" i="191"/>
  <c r="AG41" i="191"/>
  <c r="T41" i="191"/>
  <c r="BV41" i="191"/>
  <c r="BH41" i="191"/>
  <c r="AS41" i="191"/>
  <c r="AE41" i="191"/>
  <c r="S41" i="191"/>
  <c r="BU41" i="191"/>
  <c r="AZ41" i="191"/>
  <c r="AC41" i="191"/>
  <c r="BQ41" i="191"/>
  <c r="AQ41" i="191"/>
  <c r="W41" i="191"/>
  <c r="BR41" i="191"/>
  <c r="AY41" i="191"/>
  <c r="AB41" i="191"/>
  <c r="BN41" i="191"/>
  <c r="AP41" i="191"/>
  <c r="V41" i="191"/>
  <c r="AL41" i="191"/>
  <c r="CA41" i="191"/>
  <c r="AD41" i="191"/>
  <c r="BG41" i="191"/>
  <c r="BC41" i="191"/>
  <c r="BB41" i="191"/>
  <c r="BM41" i="191"/>
  <c r="R41" i="191"/>
  <c r="AO41" i="191"/>
  <c r="AM41" i="191"/>
  <c r="CB37" i="191"/>
  <c r="BT37" i="191"/>
  <c r="BL37" i="191"/>
  <c r="BD37" i="191"/>
  <c r="AV37" i="191"/>
  <c r="AN37" i="191"/>
  <c r="AF37" i="191"/>
  <c r="X37" i="191"/>
  <c r="BX37" i="191"/>
  <c r="BO37" i="191"/>
  <c r="BF37" i="191"/>
  <c r="AW37" i="191"/>
  <c r="AM37" i="191"/>
  <c r="AD37" i="191"/>
  <c r="U37" i="191"/>
  <c r="BU37" i="191"/>
  <c r="BJ37" i="191"/>
  <c r="AZ37" i="191"/>
  <c r="AP37" i="191"/>
  <c r="AE37" i="191"/>
  <c r="T37" i="191"/>
  <c r="BZ37" i="191"/>
  <c r="BN37" i="191"/>
  <c r="BB37" i="191"/>
  <c r="AQ37" i="191"/>
  <c r="AC37" i="191"/>
  <c r="R37" i="191"/>
  <c r="BY37" i="191"/>
  <c r="BM37" i="191"/>
  <c r="BA37" i="191"/>
  <c r="AO37" i="191"/>
  <c r="AB37" i="191"/>
  <c r="Q37" i="191"/>
  <c r="BW37" i="191"/>
  <c r="BK37" i="191"/>
  <c r="AY37" i="191"/>
  <c r="AL37" i="191"/>
  <c r="AA37" i="191"/>
  <c r="BQ37" i="191"/>
  <c r="AU37" i="191"/>
  <c r="AG37" i="191"/>
  <c r="BI37" i="191"/>
  <c r="AS37" i="191"/>
  <c r="Y37" i="191"/>
  <c r="BP37" i="191"/>
  <c r="AT37" i="191"/>
  <c r="Z37" i="191"/>
  <c r="CC37" i="191"/>
  <c r="BH37" i="191"/>
  <c r="AR37" i="191"/>
  <c r="W37" i="191"/>
  <c r="BR37" i="191"/>
  <c r="AH37" i="191"/>
  <c r="BG37" i="191"/>
  <c r="V37" i="191"/>
  <c r="BC37" i="191"/>
  <c r="AX37" i="191"/>
  <c r="CA37" i="191"/>
  <c r="AK37" i="191"/>
  <c r="BV37" i="191"/>
  <c r="AJ37" i="191"/>
  <c r="BE37" i="191"/>
  <c r="S37" i="191"/>
  <c r="BS37" i="191"/>
  <c r="AI37" i="191"/>
  <c r="BV36" i="191"/>
  <c r="BN36" i="191"/>
  <c r="BF36" i="191"/>
  <c r="AX36" i="191"/>
  <c r="AP36" i="191"/>
  <c r="AH36" i="191"/>
  <c r="Z36" i="191"/>
  <c r="R36" i="191"/>
  <c r="BY36" i="191"/>
  <c r="BP36" i="191"/>
  <c r="BG36" i="191"/>
  <c r="AW36" i="191"/>
  <c r="AN36" i="191"/>
  <c r="AE36" i="191"/>
  <c r="V36" i="191"/>
  <c r="BW36" i="191"/>
  <c r="BL36" i="191"/>
  <c r="BB36" i="191"/>
  <c r="AR36" i="191"/>
  <c r="AG36" i="191"/>
  <c r="W36" i="191"/>
  <c r="CC36" i="191"/>
  <c r="BR36" i="191"/>
  <c r="BE36" i="191"/>
  <c r="AT36" i="191"/>
  <c r="AI36" i="191"/>
  <c r="U36" i="191"/>
  <c r="CB36" i="191"/>
  <c r="BQ36" i="191"/>
  <c r="BD36" i="191"/>
  <c r="AS36" i="191"/>
  <c r="AF36" i="191"/>
  <c r="T36" i="191"/>
  <c r="CA36" i="191"/>
  <c r="BO36" i="191"/>
  <c r="BC36" i="191"/>
  <c r="AQ36" i="191"/>
  <c r="AD36" i="191"/>
  <c r="S36" i="191"/>
  <c r="BM36" i="191"/>
  <c r="AV36" i="191"/>
  <c r="AB36" i="191"/>
  <c r="BJ36" i="191"/>
  <c r="AO36" i="191"/>
  <c r="Y36" i="191"/>
  <c r="BK36" i="191"/>
  <c r="AU36" i="191"/>
  <c r="AA36" i="191"/>
  <c r="BZ36" i="191"/>
  <c r="BI36" i="191"/>
  <c r="AM36" i="191"/>
  <c r="X36" i="191"/>
  <c r="BT36" i="191"/>
  <c r="AJ36" i="191"/>
  <c r="BA36" i="191"/>
  <c r="BU36" i="191"/>
  <c r="BS36" i="191"/>
  <c r="AC36" i="191"/>
  <c r="AZ36" i="191"/>
  <c r="AY36" i="191"/>
  <c r="BX36" i="191"/>
  <c r="AL36" i="191"/>
  <c r="BH36" i="191"/>
  <c r="Q36" i="191"/>
  <c r="AK36" i="191"/>
  <c r="CB45" i="191"/>
  <c r="BT45" i="191"/>
  <c r="BL45" i="191"/>
  <c r="BD45" i="191"/>
  <c r="AV45" i="191"/>
  <c r="AN45" i="191"/>
  <c r="AF45" i="191"/>
  <c r="X45" i="191"/>
  <c r="BX45" i="191"/>
  <c r="BO45" i="191"/>
  <c r="BF45" i="191"/>
  <c r="AW45" i="191"/>
  <c r="AM45" i="191"/>
  <c r="AD45" i="191"/>
  <c r="U45" i="191"/>
  <c r="BU45" i="191"/>
  <c r="BJ45" i="191"/>
  <c r="AZ45" i="191"/>
  <c r="AP45" i="191"/>
  <c r="AE45" i="191"/>
  <c r="T45" i="191"/>
  <c r="BS45" i="191"/>
  <c r="BI45" i="191"/>
  <c r="AY45" i="191"/>
  <c r="AO45" i="191"/>
  <c r="AC45" i="191"/>
  <c r="S45" i="191"/>
  <c r="CC45" i="191"/>
  <c r="BP45" i="191"/>
  <c r="BB45" i="191"/>
  <c r="AL45" i="191"/>
  <c r="Z45" i="191"/>
  <c r="CA45" i="191"/>
  <c r="BN45" i="191"/>
  <c r="BA45" i="191"/>
  <c r="AK45" i="191"/>
  <c r="Y45" i="191"/>
  <c r="BZ45" i="191"/>
  <c r="BM45" i="191"/>
  <c r="AX45" i="191"/>
  <c r="AJ45" i="191"/>
  <c r="W45" i="191"/>
  <c r="BY45" i="191"/>
  <c r="BE45" i="191"/>
  <c r="AH45" i="191"/>
  <c r="BV45" i="191"/>
  <c r="AU45" i="191"/>
  <c r="AB45" i="191"/>
  <c r="BW45" i="191"/>
  <c r="BC45" i="191"/>
  <c r="AG45" i="191"/>
  <c r="BR45" i="191"/>
  <c r="AT45" i="191"/>
  <c r="AA45" i="191"/>
  <c r="BK45" i="191"/>
  <c r="R45" i="191"/>
  <c r="AS45" i="191"/>
  <c r="BH45" i="191"/>
  <c r="Q45" i="191"/>
  <c r="AR45" i="191"/>
  <c r="AQ45" i="191"/>
  <c r="AI45" i="191"/>
  <c r="BG45" i="191"/>
  <c r="BQ45" i="191"/>
  <c r="V45" i="191"/>
  <c r="BX56" i="191"/>
  <c r="BP56" i="191"/>
  <c r="BH56" i="191"/>
  <c r="AZ56" i="191"/>
  <c r="AR56" i="191"/>
  <c r="AJ56" i="191"/>
  <c r="AB56" i="191"/>
  <c r="T56" i="191"/>
  <c r="CA56" i="191"/>
  <c r="BR56" i="191"/>
  <c r="BI56" i="191"/>
  <c r="AY56" i="191"/>
  <c r="AP56" i="191"/>
  <c r="AG56" i="191"/>
  <c r="X56" i="191"/>
  <c r="BZ56" i="191"/>
  <c r="BQ56" i="191"/>
  <c r="BG56" i="191"/>
  <c r="AX56" i="191"/>
  <c r="AO56" i="191"/>
  <c r="AF56" i="191"/>
  <c r="W56" i="191"/>
  <c r="BS56" i="191"/>
  <c r="BE56" i="191"/>
  <c r="AT56" i="191"/>
  <c r="AH56" i="191"/>
  <c r="U56" i="191"/>
  <c r="BW56" i="191"/>
  <c r="BK56" i="191"/>
  <c r="AV56" i="191"/>
  <c r="AI56" i="191"/>
  <c r="S56" i="191"/>
  <c r="BV56" i="191"/>
  <c r="BJ56" i="191"/>
  <c r="AU56" i="191"/>
  <c r="AE56" i="191"/>
  <c r="R56" i="191"/>
  <c r="BN56" i="191"/>
  <c r="AW56" i="191"/>
  <c r="AC56" i="191"/>
  <c r="BM56" i="191"/>
  <c r="AS56" i="191"/>
  <c r="AA56" i="191"/>
  <c r="CC56" i="191"/>
  <c r="BL56" i="191"/>
  <c r="AQ56" i="191"/>
  <c r="Z56" i="191"/>
  <c r="BC56" i="191"/>
  <c r="Y56" i="191"/>
  <c r="CB56" i="191"/>
  <c r="BB56" i="191"/>
  <c r="V56" i="191"/>
  <c r="BY56" i="191"/>
  <c r="BA56" i="191"/>
  <c r="Q56" i="191"/>
  <c r="AL56" i="191"/>
  <c r="BT56" i="191"/>
  <c r="AD56" i="191"/>
  <c r="BU56" i="191"/>
  <c r="AK56" i="191"/>
  <c r="BO56" i="191"/>
  <c r="BD56" i="191"/>
  <c r="AN56" i="191"/>
  <c r="AM56" i="191"/>
  <c r="BF56" i="191"/>
  <c r="BX52" i="191"/>
  <c r="BV52" i="191"/>
  <c r="BN52" i="191"/>
  <c r="BF52" i="191"/>
  <c r="AX52" i="191"/>
  <c r="AP52" i="191"/>
  <c r="AH52" i="191"/>
  <c r="Z52" i="191"/>
  <c r="R52" i="191"/>
  <c r="BU52" i="191"/>
  <c r="BM52" i="191"/>
  <c r="BE52" i="191"/>
  <c r="AW52" i="191"/>
  <c r="AO52" i="191"/>
  <c r="AG52" i="191"/>
  <c r="Y52" i="191"/>
  <c r="Q52" i="191"/>
  <c r="BW52" i="191"/>
  <c r="BK52" i="191"/>
  <c r="BA52" i="191"/>
  <c r="AQ52" i="191"/>
  <c r="AE52" i="191"/>
  <c r="U52" i="191"/>
  <c r="CC52" i="191"/>
  <c r="BQ52" i="191"/>
  <c r="BD52" i="191"/>
  <c r="AS52" i="191"/>
  <c r="AF52" i="191"/>
  <c r="T52" i="191"/>
  <c r="CB52" i="191"/>
  <c r="BP52" i="191"/>
  <c r="BC52" i="191"/>
  <c r="AR52" i="191"/>
  <c r="AD52" i="191"/>
  <c r="S52" i="191"/>
  <c r="BS52" i="191"/>
  <c r="BB52" i="191"/>
  <c r="AL52" i="191"/>
  <c r="W52" i="191"/>
  <c r="BR52" i="191"/>
  <c r="AZ52" i="191"/>
  <c r="AK52" i="191"/>
  <c r="V52" i="191"/>
  <c r="BO52" i="191"/>
  <c r="AY52" i="191"/>
  <c r="AJ52" i="191"/>
  <c r="BY52" i="191"/>
  <c r="AU52" i="191"/>
  <c r="X52" i="191"/>
  <c r="BT52" i="191"/>
  <c r="AT52" i="191"/>
  <c r="BL52" i="191"/>
  <c r="AN52" i="191"/>
  <c r="BZ52" i="191"/>
  <c r="AC52" i="191"/>
  <c r="BI52" i="191"/>
  <c r="AA52" i="191"/>
  <c r="BJ52" i="191"/>
  <c r="AB52" i="191"/>
  <c r="BH52" i="191"/>
  <c r="AI52" i="191"/>
  <c r="CA52" i="191"/>
  <c r="BG52" i="191"/>
  <c r="AV52" i="191"/>
  <c r="AM52" i="191"/>
  <c r="BW10" i="191"/>
  <c r="BO10" i="191"/>
  <c r="BG10" i="191"/>
  <c r="AY10" i="191"/>
  <c r="AQ10" i="191"/>
  <c r="AI10" i="191"/>
  <c r="AA10" i="191"/>
  <c r="S10" i="191"/>
  <c r="CB10" i="191"/>
  <c r="BS10" i="191"/>
  <c r="BJ10" i="191"/>
  <c r="BA10" i="191"/>
  <c r="AR10" i="191"/>
  <c r="AH10" i="191"/>
  <c r="Y10" i="191"/>
  <c r="BV10" i="191"/>
  <c r="BL10" i="191"/>
  <c r="BB10" i="191"/>
  <c r="AP10" i="191"/>
  <c r="AF10" i="191"/>
  <c r="V10" i="191"/>
  <c r="BU10" i="191"/>
  <c r="BI10" i="191"/>
  <c r="AW10" i="191"/>
  <c r="AL10" i="191"/>
  <c r="Z10" i="191"/>
  <c r="BR10" i="191"/>
  <c r="BF10" i="191"/>
  <c r="AU10" i="191"/>
  <c r="AJ10" i="191"/>
  <c r="BT10" i="191"/>
  <c r="BH10" i="191"/>
  <c r="AV10" i="191"/>
  <c r="AK10" i="191"/>
  <c r="X10" i="191"/>
  <c r="W10" i="191"/>
  <c r="CA10" i="191"/>
  <c r="BK10" i="191"/>
  <c r="AO10" i="191"/>
  <c r="U10" i="191"/>
  <c r="BX10" i="191"/>
  <c r="Q10" i="191"/>
  <c r="AZ10" i="191"/>
  <c r="BP10" i="191"/>
  <c r="BN10" i="191"/>
  <c r="AC10" i="191"/>
  <c r="CC10" i="191"/>
  <c r="BM10" i="191"/>
  <c r="AS10" i="191"/>
  <c r="BZ10" i="191"/>
  <c r="BE10" i="191"/>
  <c r="AN10" i="191"/>
  <c r="T10" i="191"/>
  <c r="BD10" i="191"/>
  <c r="AM10" i="191"/>
  <c r="R10" i="191"/>
  <c r="BC10" i="191"/>
  <c r="AG10" i="191"/>
  <c r="BQ10" i="191"/>
  <c r="AE10" i="191"/>
  <c r="AX10" i="191"/>
  <c r="AD10" i="191"/>
  <c r="AT10" i="191"/>
  <c r="BY10" i="191"/>
  <c r="AB10" i="191"/>
  <c r="BY13" i="191"/>
  <c r="BQ13" i="191"/>
  <c r="BI13" i="191"/>
  <c r="BA13" i="191"/>
  <c r="AS13" i="191"/>
  <c r="AK13" i="191"/>
  <c r="AC13" i="191"/>
  <c r="U13" i="191"/>
  <c r="BZ13" i="191"/>
  <c r="BP13" i="191"/>
  <c r="BG13" i="191"/>
  <c r="AX13" i="191"/>
  <c r="AO13" i="191"/>
  <c r="AF13" i="191"/>
  <c r="W13" i="191"/>
  <c r="BU13" i="191"/>
  <c r="BK13" i="191"/>
  <c r="AZ13" i="191"/>
  <c r="AP13" i="191"/>
  <c r="AE13" i="191"/>
  <c r="T13" i="191"/>
  <c r="BT13" i="191"/>
  <c r="BJ13" i="191"/>
  <c r="AY13" i="191"/>
  <c r="AN13" i="191"/>
  <c r="AD13" i="191"/>
  <c r="S13" i="191"/>
  <c r="CB13" i="191"/>
  <c r="BN13" i="191"/>
  <c r="BB13" i="191"/>
  <c r="AL13" i="191"/>
  <c r="Y13" i="191"/>
  <c r="AV13" i="191"/>
  <c r="CA13" i="191"/>
  <c r="BM13" i="191"/>
  <c r="AW13" i="191"/>
  <c r="AJ13" i="191"/>
  <c r="X13" i="191"/>
  <c r="BX13" i="191"/>
  <c r="BL13" i="191"/>
  <c r="AI13" i="191"/>
  <c r="V13" i="191"/>
  <c r="BR13" i="191"/>
  <c r="AT13" i="191"/>
  <c r="Z13" i="191"/>
  <c r="AQ13" i="191"/>
  <c r="BW13" i="191"/>
  <c r="BD13" i="191"/>
  <c r="BC13" i="191"/>
  <c r="AB13" i="191"/>
  <c r="BS13" i="191"/>
  <c r="AA13" i="191"/>
  <c r="BO13" i="191"/>
  <c r="AR13" i="191"/>
  <c r="R13" i="191"/>
  <c r="BF13" i="191"/>
  <c r="AM13" i="191"/>
  <c r="CC13" i="191"/>
  <c r="BE13" i="191"/>
  <c r="AH13" i="191"/>
  <c r="AG13" i="191"/>
  <c r="BV13" i="191"/>
  <c r="BH13" i="191"/>
  <c r="Q13" i="191"/>
  <c r="AU13" i="191"/>
  <c r="CA8" i="191"/>
  <c r="BS8" i="191"/>
  <c r="BK8" i="191"/>
  <c r="BC8" i="191"/>
  <c r="AU8" i="191"/>
  <c r="AM8" i="191"/>
  <c r="AE8" i="191"/>
  <c r="W8" i="191"/>
  <c r="BU8" i="191"/>
  <c r="BL8" i="191"/>
  <c r="BB8" i="191"/>
  <c r="AS8" i="191"/>
  <c r="AJ8" i="191"/>
  <c r="AA8" i="191"/>
  <c r="R8" i="191"/>
  <c r="BX8" i="191"/>
  <c r="BN8" i="191"/>
  <c r="BD8" i="191"/>
  <c r="AR8" i="191"/>
  <c r="AH8" i="191"/>
  <c r="X8" i="191"/>
  <c r="CC8" i="191"/>
  <c r="BQ8" i="191"/>
  <c r="BF8" i="191"/>
  <c r="AT8" i="191"/>
  <c r="AG8" i="191"/>
  <c r="U8" i="191"/>
  <c r="BO8" i="191"/>
  <c r="BA8" i="191"/>
  <c r="AD8" i="191"/>
  <c r="CB8" i="191"/>
  <c r="BP8" i="191"/>
  <c r="BE8" i="191"/>
  <c r="AQ8" i="191"/>
  <c r="AF8" i="191"/>
  <c r="T8" i="191"/>
  <c r="BZ8" i="191"/>
  <c r="AP8" i="191"/>
  <c r="S8" i="191"/>
  <c r="BI8" i="191"/>
  <c r="AO8" i="191"/>
  <c r="Y8" i="191"/>
  <c r="AZ8" i="191"/>
  <c r="AK8" i="191"/>
  <c r="BT8" i="191"/>
  <c r="AY8" i="191"/>
  <c r="AV8" i="191"/>
  <c r="BY8" i="191"/>
  <c r="BH8" i="191"/>
  <c r="AN8" i="191"/>
  <c r="V8" i="191"/>
  <c r="BG8" i="191"/>
  <c r="AL8" i="191"/>
  <c r="Q8" i="191"/>
  <c r="BV8" i="191"/>
  <c r="AI8" i="191"/>
  <c r="BR8" i="191"/>
  <c r="AX8" i="191"/>
  <c r="AC8" i="191"/>
  <c r="AW8" i="191"/>
  <c r="AB8" i="191"/>
  <c r="BW8" i="191"/>
  <c r="BJ8" i="191"/>
  <c r="BM8" i="191"/>
  <c r="Z8" i="191"/>
  <c r="CC11" i="191"/>
  <c r="BU11" i="191"/>
  <c r="BM11" i="191"/>
  <c r="BE11" i="191"/>
  <c r="AW11" i="191"/>
  <c r="AO11" i="191"/>
  <c r="AG11" i="191"/>
  <c r="Y11" i="191"/>
  <c r="Q11" i="191"/>
  <c r="CA11" i="191"/>
  <c r="BR11" i="191"/>
  <c r="BI11" i="191"/>
  <c r="AZ11" i="191"/>
  <c r="AQ11" i="191"/>
  <c r="AH11" i="191"/>
  <c r="X11" i="191"/>
  <c r="BW11" i="191"/>
  <c r="BL11" i="191"/>
  <c r="BB11" i="191"/>
  <c r="BV11" i="191"/>
  <c r="BK11" i="191"/>
  <c r="BA11" i="191"/>
  <c r="AP11" i="191"/>
  <c r="AE11" i="191"/>
  <c r="U11" i="191"/>
  <c r="BX11" i="191"/>
  <c r="BH11" i="191"/>
  <c r="AU11" i="191"/>
  <c r="AJ11" i="191"/>
  <c r="W11" i="191"/>
  <c r="BS11" i="191"/>
  <c r="BF11" i="191"/>
  <c r="AS11" i="191"/>
  <c r="AF11" i="191"/>
  <c r="T11" i="191"/>
  <c r="BT11" i="191"/>
  <c r="BG11" i="191"/>
  <c r="AT11" i="191"/>
  <c r="AI11" i="191"/>
  <c r="V11" i="191"/>
  <c r="BN11" i="191"/>
  <c r="AN11" i="191"/>
  <c r="Z11" i="191"/>
  <c r="BC11" i="191"/>
  <c r="AV11" i="191"/>
  <c r="BO11" i="191"/>
  <c r="AR11" i="191"/>
  <c r="AA11" i="191"/>
  <c r="BJ11" i="191"/>
  <c r="AM11" i="191"/>
  <c r="S11" i="191"/>
  <c r="CB11" i="191"/>
  <c r="BD11" i="191"/>
  <c r="AL11" i="191"/>
  <c r="R11" i="191"/>
  <c r="BZ11" i="191"/>
  <c r="AK11" i="191"/>
  <c r="BY11" i="191"/>
  <c r="AY11" i="191"/>
  <c r="AD11" i="191"/>
  <c r="BQ11" i="191"/>
  <c r="AX11" i="191"/>
  <c r="AC11" i="191"/>
  <c r="BP11" i="191"/>
  <c r="AB11" i="191"/>
  <c r="CA16" i="191"/>
  <c r="BS16" i="191"/>
  <c r="BK16" i="191"/>
  <c r="BC16" i="191"/>
  <c r="AU16" i="191"/>
  <c r="AM16" i="191"/>
  <c r="AE16" i="191"/>
  <c r="W16" i="191"/>
  <c r="BW16" i="191"/>
  <c r="BN16" i="191"/>
  <c r="BE16" i="191"/>
  <c r="AV16" i="191"/>
  <c r="AL16" i="191"/>
  <c r="AC16" i="191"/>
  <c r="T16" i="191"/>
  <c r="CB16" i="191"/>
  <c r="BQ16" i="191"/>
  <c r="BG16" i="191"/>
  <c r="AW16" i="191"/>
  <c r="AK16" i="191"/>
  <c r="AA16" i="191"/>
  <c r="Q16" i="191"/>
  <c r="BZ16" i="191"/>
  <c r="BP16" i="191"/>
  <c r="BF16" i="191"/>
  <c r="AT16" i="191"/>
  <c r="AJ16" i="191"/>
  <c r="Z16" i="191"/>
  <c r="CC16" i="191"/>
  <c r="BM16" i="191"/>
  <c r="AZ16" i="191"/>
  <c r="AN16" i="191"/>
  <c r="X16" i="191"/>
  <c r="BX16" i="191"/>
  <c r="U16" i="191"/>
  <c r="BY16" i="191"/>
  <c r="BL16" i="191"/>
  <c r="AY16" i="191"/>
  <c r="AI16" i="191"/>
  <c r="V16" i="191"/>
  <c r="BJ16" i="191"/>
  <c r="AX16" i="191"/>
  <c r="AH16" i="191"/>
  <c r="BV16" i="191"/>
  <c r="BI16" i="191"/>
  <c r="BR16" i="191"/>
  <c r="AQ16" i="191"/>
  <c r="S16" i="191"/>
  <c r="BD16" i="191"/>
  <c r="AG16" i="191"/>
  <c r="BA16" i="191"/>
  <c r="AD16" i="191"/>
  <c r="BU16" i="191"/>
  <c r="AB16" i="191"/>
  <c r="BT16" i="191"/>
  <c r="Y16" i="191"/>
  <c r="BO16" i="191"/>
  <c r="AP16" i="191"/>
  <c r="R16" i="191"/>
  <c r="BB16" i="191"/>
  <c r="AF16" i="191"/>
  <c r="AS16" i="191"/>
  <c r="BH16" i="191"/>
  <c r="AO16" i="191"/>
  <c r="AR16" i="191"/>
  <c r="CC15" i="191"/>
  <c r="BU15" i="191"/>
  <c r="BM15" i="191"/>
  <c r="BE15" i="191"/>
  <c r="AW15" i="191"/>
  <c r="AO15" i="191"/>
  <c r="AG15" i="191"/>
  <c r="Y15" i="191"/>
  <c r="Q15" i="191"/>
  <c r="BX15" i="191"/>
  <c r="BO15" i="191"/>
  <c r="BF15" i="191"/>
  <c r="AV15" i="191"/>
  <c r="AM15" i="191"/>
  <c r="AD15" i="191"/>
  <c r="U15" i="191"/>
  <c r="CB15" i="191"/>
  <c r="BR15" i="191"/>
  <c r="BH15" i="191"/>
  <c r="AX15" i="191"/>
  <c r="AL15" i="191"/>
  <c r="AB15" i="191"/>
  <c r="R15" i="191"/>
  <c r="CA15" i="191"/>
  <c r="BQ15" i="191"/>
  <c r="BG15" i="191"/>
  <c r="AU15" i="191"/>
  <c r="AK15" i="191"/>
  <c r="AA15" i="191"/>
  <c r="BS15" i="191"/>
  <c r="BC15" i="191"/>
  <c r="AQ15" i="191"/>
  <c r="AC15" i="191"/>
  <c r="BN15" i="191"/>
  <c r="BA15" i="191"/>
  <c r="AN15" i="191"/>
  <c r="X15" i="191"/>
  <c r="BP15" i="191"/>
  <c r="BB15" i="191"/>
  <c r="AP15" i="191"/>
  <c r="Z15" i="191"/>
  <c r="BV15" i="191"/>
  <c r="AY15" i="191"/>
  <c r="AE15" i="191"/>
  <c r="AR15" i="191"/>
  <c r="T15" i="191"/>
  <c r="BZ15" i="191"/>
  <c r="AI15" i="191"/>
  <c r="BY15" i="191"/>
  <c r="BD15" i="191"/>
  <c r="BW15" i="191"/>
  <c r="AF15" i="191"/>
  <c r="BT15" i="191"/>
  <c r="AT15" i="191"/>
  <c r="W15" i="191"/>
  <c r="BK15" i="191"/>
  <c r="BJ15" i="191"/>
  <c r="S15" i="191"/>
  <c r="BI15" i="191"/>
  <c r="AH15" i="191"/>
  <c r="BL15" i="191"/>
  <c r="AS15" i="191"/>
  <c r="V15" i="191"/>
  <c r="AJ15" i="191"/>
  <c r="AZ15" i="191"/>
  <c r="BY9" i="191"/>
  <c r="BQ9" i="191"/>
  <c r="BI9" i="191"/>
  <c r="BA9" i="191"/>
  <c r="AS9" i="191"/>
  <c r="AK9" i="191"/>
  <c r="AC9" i="191"/>
  <c r="U9" i="191"/>
  <c r="CC9" i="191"/>
  <c r="BT9" i="191"/>
  <c r="BK9" i="191"/>
  <c r="BB9" i="191"/>
  <c r="AR9" i="191"/>
  <c r="AI9" i="191"/>
  <c r="Z9" i="191"/>
  <c r="Q9" i="191"/>
  <c r="BW9" i="191"/>
  <c r="BM9" i="191"/>
  <c r="BC9" i="191"/>
  <c r="AQ9" i="191"/>
  <c r="AG9" i="191"/>
  <c r="W9" i="191"/>
  <c r="BZ9" i="191"/>
  <c r="BN9" i="191"/>
  <c r="AZ9" i="191"/>
  <c r="AO9" i="191"/>
  <c r="AD9" i="191"/>
  <c r="R9" i="191"/>
  <c r="BV9" i="191"/>
  <c r="BJ9" i="191"/>
  <c r="AX9" i="191"/>
  <c r="AM9" i="191"/>
  <c r="AA9" i="191"/>
  <c r="BX9" i="191"/>
  <c r="BL9" i="191"/>
  <c r="AY9" i="191"/>
  <c r="AN9" i="191"/>
  <c r="AB9" i="191"/>
  <c r="BH9" i="191"/>
  <c r="AT9" i="191"/>
  <c r="X9" i="191"/>
  <c r="BE9" i="191"/>
  <c r="S9" i="191"/>
  <c r="BD9" i="191"/>
  <c r="AF9" i="191"/>
  <c r="BP9" i="191"/>
  <c r="AV9" i="191"/>
  <c r="AE9" i="191"/>
  <c r="CB9" i="191"/>
  <c r="BG9" i="191"/>
  <c r="AP9" i="191"/>
  <c r="V9" i="191"/>
  <c r="CA9" i="191"/>
  <c r="BF9" i="191"/>
  <c r="AL9" i="191"/>
  <c r="T9" i="191"/>
  <c r="BU9" i="191"/>
  <c r="AJ9" i="191"/>
  <c r="BS9" i="191"/>
  <c r="BR9" i="191"/>
  <c r="AW9" i="191"/>
  <c r="AH9" i="191"/>
  <c r="AU9" i="191"/>
  <c r="Y9" i="191"/>
  <c r="BO9" i="191"/>
  <c r="BW14" i="191"/>
  <c r="BO14" i="191"/>
  <c r="BG14" i="191"/>
  <c r="AY14" i="191"/>
  <c r="AQ14" i="191"/>
  <c r="AI14" i="191"/>
  <c r="AA14" i="191"/>
  <c r="S14" i="191"/>
  <c r="BY14" i="191"/>
  <c r="BP14" i="191"/>
  <c r="BF14" i="191"/>
  <c r="AW14" i="191"/>
  <c r="AN14" i="191"/>
  <c r="AE14" i="191"/>
  <c r="V14" i="191"/>
  <c r="BT14" i="191"/>
  <c r="BJ14" i="191"/>
  <c r="AZ14" i="191"/>
  <c r="AO14" i="191"/>
  <c r="AD14" i="191"/>
  <c r="T14" i="191"/>
  <c r="CC14" i="191"/>
  <c r="BS14" i="191"/>
  <c r="BI14" i="191"/>
  <c r="AX14" i="191"/>
  <c r="AM14" i="191"/>
  <c r="AC14" i="191"/>
  <c r="R14" i="191"/>
  <c r="BX14" i="191"/>
  <c r="BK14" i="191"/>
  <c r="AU14" i="191"/>
  <c r="AH14" i="191"/>
  <c r="U14" i="191"/>
  <c r="BU14" i="191"/>
  <c r="BE14" i="191"/>
  <c r="AS14" i="191"/>
  <c r="BV14" i="191"/>
  <c r="BH14" i="191"/>
  <c r="AT14" i="191"/>
  <c r="AG14" i="191"/>
  <c r="Q14" i="191"/>
  <c r="AF14" i="191"/>
  <c r="BL14" i="191"/>
  <c r="AL14" i="191"/>
  <c r="BZ14" i="191"/>
  <c r="AB14" i="191"/>
  <c r="BQ14" i="191"/>
  <c r="AV14" i="191"/>
  <c r="BN14" i="191"/>
  <c r="X14" i="191"/>
  <c r="CB14" i="191"/>
  <c r="BD14" i="191"/>
  <c r="AK14" i="191"/>
  <c r="CA14" i="191"/>
  <c r="AJ14" i="191"/>
  <c r="BB14" i="191"/>
  <c r="BR14" i="191"/>
  <c r="BA14" i="191"/>
  <c r="Y14" i="191"/>
  <c r="AR14" i="191"/>
  <c r="BC14" i="191"/>
  <c r="Z14" i="191"/>
  <c r="AP14" i="191"/>
  <c r="BM14" i="191"/>
  <c r="W14" i="191"/>
  <c r="CA12" i="191"/>
  <c r="BS12" i="191"/>
  <c r="BK12" i="191"/>
  <c r="BC12" i="191"/>
  <c r="AU12" i="191"/>
  <c r="AM12" i="191"/>
  <c r="AE12" i="191"/>
  <c r="W12" i="191"/>
  <c r="BZ12" i="191"/>
  <c r="BQ12" i="191"/>
  <c r="BH12" i="191"/>
  <c r="AY12" i="191"/>
  <c r="AP12" i="191"/>
  <c r="AG12" i="191"/>
  <c r="X12" i="191"/>
  <c r="BV12" i="191"/>
  <c r="BL12" i="191"/>
  <c r="BA12" i="191"/>
  <c r="AQ12" i="191"/>
  <c r="AF12" i="191"/>
  <c r="U12" i="191"/>
  <c r="BU12" i="191"/>
  <c r="BJ12" i="191"/>
  <c r="AZ12" i="191"/>
  <c r="AO12" i="191"/>
  <c r="AD12" i="191"/>
  <c r="T12" i="191"/>
  <c r="BR12" i="191"/>
  <c r="BE12" i="191"/>
  <c r="AR12" i="191"/>
  <c r="AB12" i="191"/>
  <c r="CC12" i="191"/>
  <c r="BB12" i="191"/>
  <c r="Z12" i="191"/>
  <c r="BP12" i="191"/>
  <c r="BD12" i="191"/>
  <c r="AN12" i="191"/>
  <c r="AA12" i="191"/>
  <c r="BO12" i="191"/>
  <c r="AL12" i="191"/>
  <c r="BX12" i="191"/>
  <c r="AX12" i="191"/>
  <c r="AH12" i="191"/>
  <c r="BG12" i="191"/>
  <c r="Q12" i="191"/>
  <c r="BY12" i="191"/>
  <c r="BF12" i="191"/>
  <c r="AI12" i="191"/>
  <c r="BW12" i="191"/>
  <c r="AW12" i="191"/>
  <c r="AC12" i="191"/>
  <c r="BT12" i="191"/>
  <c r="AV12" i="191"/>
  <c r="BN12" i="191"/>
  <c r="AT12" i="191"/>
  <c r="V12" i="191"/>
  <c r="BM12" i="191"/>
  <c r="AS12" i="191"/>
  <c r="S12" i="191"/>
  <c r="BI12" i="191"/>
  <c r="AK12" i="191"/>
  <c r="R12" i="191"/>
  <c r="CB12" i="191"/>
  <c r="AJ12" i="191"/>
  <c r="Y12" i="191"/>
  <c r="BW65" i="191"/>
  <c r="BO65" i="191"/>
  <c r="BU65" i="191"/>
  <c r="BL65" i="191"/>
  <c r="BD65" i="191"/>
  <c r="AV65" i="191"/>
  <c r="AN65" i="191"/>
  <c r="AF65" i="191"/>
  <c r="X65" i="191"/>
  <c r="BT65" i="191"/>
  <c r="BJ65" i="191"/>
  <c r="BA65" i="191"/>
  <c r="AR65" i="191"/>
  <c r="AI65" i="191"/>
  <c r="Z65" i="191"/>
  <c r="Q65" i="191"/>
  <c r="BX65" i="191"/>
  <c r="BK65" i="191"/>
  <c r="AZ65" i="191"/>
  <c r="AP65" i="191"/>
  <c r="AE65" i="191"/>
  <c r="U65" i="191"/>
  <c r="BV65" i="191"/>
  <c r="BI65" i="191"/>
  <c r="AY65" i="191"/>
  <c r="AO65" i="191"/>
  <c r="AD65" i="191"/>
  <c r="T65" i="191"/>
  <c r="CB65" i="191"/>
  <c r="BN65" i="191"/>
  <c r="AX65" i="191"/>
  <c r="AK65" i="191"/>
  <c r="W65" i="191"/>
  <c r="BY65" i="191"/>
  <c r="BG65" i="191"/>
  <c r="AT65" i="191"/>
  <c r="AG65" i="191"/>
  <c r="R65" i="191"/>
  <c r="BQ65" i="191"/>
  <c r="AW65" i="191"/>
  <c r="AC65" i="191"/>
  <c r="BP65" i="191"/>
  <c r="AU65" i="191"/>
  <c r="AB65" i="191"/>
  <c r="BS65" i="191"/>
  <c r="AS65" i="191"/>
  <c r="V65" i="191"/>
  <c r="BR65" i="191"/>
  <c r="AQ65" i="191"/>
  <c r="S65" i="191"/>
  <c r="BM65" i="191"/>
  <c r="AM65" i="191"/>
  <c r="BZ65" i="191"/>
  <c r="AH65" i="191"/>
  <c r="BH65" i="191"/>
  <c r="AA65" i="191"/>
  <c r="BF65" i="191"/>
  <c r="Y65" i="191"/>
  <c r="BC65" i="191"/>
  <c r="AL65" i="191"/>
  <c r="BB65" i="191"/>
  <c r="AJ65" i="191"/>
  <c r="CA65" i="191"/>
  <c r="BE65" i="191"/>
  <c r="CC65" i="191"/>
  <c r="BX60" i="191"/>
  <c r="BP60" i="191"/>
  <c r="BH60" i="191"/>
  <c r="AZ60" i="191"/>
  <c r="AR60" i="191"/>
  <c r="AJ60" i="191"/>
  <c r="AB60" i="191"/>
  <c r="T60" i="191"/>
  <c r="BV60" i="191"/>
  <c r="BM60" i="191"/>
  <c r="BD60" i="191"/>
  <c r="AU60" i="191"/>
  <c r="AL60" i="191"/>
  <c r="AC60" i="191"/>
  <c r="S60" i="191"/>
  <c r="BU60" i="191"/>
  <c r="BL60" i="191"/>
  <c r="BC60" i="191"/>
  <c r="AT60" i="191"/>
  <c r="AK60" i="191"/>
  <c r="AA60" i="191"/>
  <c r="R60" i="191"/>
  <c r="BW60" i="191"/>
  <c r="BJ60" i="191"/>
  <c r="AX60" i="191"/>
  <c r="AM60" i="191"/>
  <c r="Y60" i="191"/>
  <c r="CC60" i="191"/>
  <c r="BR60" i="191"/>
  <c r="BF60" i="191"/>
  <c r="AS60" i="191"/>
  <c r="AG60" i="191"/>
  <c r="V60" i="191"/>
  <c r="CA60" i="191"/>
  <c r="BK60" i="191"/>
  <c r="AV60" i="191"/>
  <c r="AE60" i="191"/>
  <c r="BZ60" i="191"/>
  <c r="BI60" i="191"/>
  <c r="AQ60" i="191"/>
  <c r="AD60" i="191"/>
  <c r="BN60" i="191"/>
  <c r="AO60" i="191"/>
  <c r="U60" i="191"/>
  <c r="BG60" i="191"/>
  <c r="AN60" i="191"/>
  <c r="Q60" i="191"/>
  <c r="CB60" i="191"/>
  <c r="BE60" i="191"/>
  <c r="AI60" i="191"/>
  <c r="BA60" i="191"/>
  <c r="W60" i="191"/>
  <c r="AY60" i="191"/>
  <c r="BY60" i="191"/>
  <c r="AW60" i="191"/>
  <c r="AH60" i="191"/>
  <c r="BT60" i="191"/>
  <c r="Z60" i="191"/>
  <c r="AF60" i="191"/>
  <c r="BS60" i="191"/>
  <c r="X60" i="191"/>
  <c r="BQ60" i="191"/>
  <c r="BO60" i="191"/>
  <c r="BB60" i="191"/>
  <c r="AP60" i="191"/>
  <c r="BX63" i="191"/>
  <c r="BP63" i="191"/>
  <c r="BH63" i="191"/>
  <c r="AZ63" i="191"/>
  <c r="BU63" i="191"/>
  <c r="BL63" i="191"/>
  <c r="BC63" i="191"/>
  <c r="AT63" i="191"/>
  <c r="AL63" i="191"/>
  <c r="AD63" i="191"/>
  <c r="V63" i="191"/>
  <c r="BW63" i="191"/>
  <c r="BM63" i="191"/>
  <c r="BB63" i="191"/>
  <c r="AR63" i="191"/>
  <c r="AI63" i="191"/>
  <c r="Z63" i="191"/>
  <c r="Q63" i="191"/>
  <c r="BV63" i="191"/>
  <c r="BK63" i="191"/>
  <c r="BA63" i="191"/>
  <c r="AQ63" i="191"/>
  <c r="AH63" i="191"/>
  <c r="Y63" i="191"/>
  <c r="BY63" i="191"/>
  <c r="BI63" i="191"/>
  <c r="AV63" i="191"/>
  <c r="AJ63" i="191"/>
  <c r="W63" i="191"/>
  <c r="BR63" i="191"/>
  <c r="BE63" i="191"/>
  <c r="AP63" i="191"/>
  <c r="AE63" i="191"/>
  <c r="S63" i="191"/>
  <c r="BQ63" i="191"/>
  <c r="AX63" i="191"/>
  <c r="AG63" i="191"/>
  <c r="R63" i="191"/>
  <c r="BO63" i="191"/>
  <c r="AW63" i="191"/>
  <c r="AF63" i="191"/>
  <c r="CA63" i="191"/>
  <c r="BD63" i="191"/>
  <c r="AC63" i="191"/>
  <c r="BZ63" i="191"/>
  <c r="AY63" i="191"/>
  <c r="AB63" i="191"/>
  <c r="BT63" i="191"/>
  <c r="AU63" i="191"/>
  <c r="AA63" i="191"/>
  <c r="BN63" i="191"/>
  <c r="AK63" i="191"/>
  <c r="BJ63" i="191"/>
  <c r="X63" i="191"/>
  <c r="BG63" i="191"/>
  <c r="U63" i="191"/>
  <c r="CC63" i="191"/>
  <c r="T63" i="191"/>
  <c r="BS63" i="191"/>
  <c r="CB63" i="191"/>
  <c r="BF63" i="191"/>
  <c r="AS63" i="191"/>
  <c r="AN63" i="191"/>
  <c r="AM63" i="191"/>
  <c r="AO63" i="191"/>
  <c r="CC66" i="191"/>
  <c r="BU66" i="191"/>
  <c r="BM66" i="191"/>
  <c r="BE66" i="191"/>
  <c r="AW66" i="191"/>
  <c r="AO66" i="191"/>
  <c r="AG66" i="191"/>
  <c r="Y66" i="191"/>
  <c r="Q66" i="191"/>
  <c r="BT66" i="191"/>
  <c r="BK66" i="191"/>
  <c r="BB66" i="191"/>
  <c r="AS66" i="191"/>
  <c r="AJ66" i="191"/>
  <c r="AA66" i="191"/>
  <c r="R66" i="191"/>
  <c r="BS66" i="191"/>
  <c r="BI66" i="191"/>
  <c r="AY66" i="191"/>
  <c r="AN66" i="191"/>
  <c r="AD66" i="191"/>
  <c r="T66" i="191"/>
  <c r="BV66" i="191"/>
  <c r="BH66" i="191"/>
  <c r="AV66" i="191"/>
  <c r="AK66" i="191"/>
  <c r="X66" i="191"/>
  <c r="BR66" i="191"/>
  <c r="BG66" i="191"/>
  <c r="AU66" i="191"/>
  <c r="AI66" i="191"/>
  <c r="W66" i="191"/>
  <c r="BP66" i="191"/>
  <c r="BA66" i="191"/>
  <c r="AL66" i="191"/>
  <c r="U66" i="191"/>
  <c r="BZ66" i="191"/>
  <c r="BL66" i="191"/>
  <c r="AT66" i="191"/>
  <c r="AE66" i="191"/>
  <c r="BY66" i="191"/>
  <c r="BD66" i="191"/>
  <c r="AH66" i="191"/>
  <c r="BX66" i="191"/>
  <c r="BC66" i="191"/>
  <c r="AF66" i="191"/>
  <c r="CA66" i="191"/>
  <c r="AX66" i="191"/>
  <c r="V66" i="191"/>
  <c r="BW66" i="191"/>
  <c r="AR66" i="191"/>
  <c r="S66" i="191"/>
  <c r="BQ66" i="191"/>
  <c r="AQ66" i="191"/>
  <c r="AM66" i="191"/>
  <c r="CB66" i="191"/>
  <c r="AC66" i="191"/>
  <c r="BO66" i="191"/>
  <c r="AB66" i="191"/>
  <c r="AZ66" i="191"/>
  <c r="Z66" i="191"/>
  <c r="AP66" i="191"/>
  <c r="BF66" i="191"/>
  <c r="BN66" i="191"/>
  <c r="BJ66" i="191"/>
  <c r="CB62" i="191"/>
  <c r="BT62" i="191"/>
  <c r="BL62" i="191"/>
  <c r="BD62" i="191"/>
  <c r="AV62" i="191"/>
  <c r="AN62" i="191"/>
  <c r="AF62" i="191"/>
  <c r="X62" i="191"/>
  <c r="BU62" i="191"/>
  <c r="BK62" i="191"/>
  <c r="BB62" i="191"/>
  <c r="AS62" i="191"/>
  <c r="AJ62" i="191"/>
  <c r="AA62" i="191"/>
  <c r="R62" i="191"/>
  <c r="CC62" i="191"/>
  <c r="BS62" i="191"/>
  <c r="BJ62" i="191"/>
  <c r="BA62" i="191"/>
  <c r="AR62" i="191"/>
  <c r="AI62" i="191"/>
  <c r="Z62" i="191"/>
  <c r="Q62" i="191"/>
  <c r="BV62" i="191"/>
  <c r="BH62" i="191"/>
  <c r="AW62" i="191"/>
  <c r="AK62" i="191"/>
  <c r="W62" i="191"/>
  <c r="CA62" i="191"/>
  <c r="BP62" i="191"/>
  <c r="BE62" i="191"/>
  <c r="AQ62" i="191"/>
  <c r="AE62" i="191"/>
  <c r="T62" i="191"/>
  <c r="BX62" i="191"/>
  <c r="BG62" i="191"/>
  <c r="AP62" i="191"/>
  <c r="AB62" i="191"/>
  <c r="BW62" i="191"/>
  <c r="BF62" i="191"/>
  <c r="AO62" i="191"/>
  <c r="Y62" i="191"/>
  <c r="BM62" i="191"/>
  <c r="AM62" i="191"/>
  <c r="S62" i="191"/>
  <c r="BI62" i="191"/>
  <c r="AL62" i="191"/>
  <c r="BZ62" i="191"/>
  <c r="BC62" i="191"/>
  <c r="AH62" i="191"/>
  <c r="BQ62" i="191"/>
  <c r="AG62" i="191"/>
  <c r="BO62" i="191"/>
  <c r="AD62" i="191"/>
  <c r="BN62" i="191"/>
  <c r="AC62" i="191"/>
  <c r="AU62" i="191"/>
  <c r="V62" i="191"/>
  <c r="AT62" i="191"/>
  <c r="BY62" i="191"/>
  <c r="U62" i="191"/>
  <c r="AZ62" i="191"/>
  <c r="AY62" i="191"/>
  <c r="AX62" i="191"/>
  <c r="BR62" i="191"/>
  <c r="BZ59" i="191"/>
  <c r="BR59" i="191"/>
  <c r="BJ59" i="191"/>
  <c r="BB59" i="191"/>
  <c r="AT59" i="191"/>
  <c r="AL59" i="191"/>
  <c r="AD59" i="191"/>
  <c r="V59" i="191"/>
  <c r="BX59" i="191"/>
  <c r="BO59" i="191"/>
  <c r="BF59" i="191"/>
  <c r="AW59" i="191"/>
  <c r="AN59" i="191"/>
  <c r="AE59" i="191"/>
  <c r="U59" i="191"/>
  <c r="BW59" i="191"/>
  <c r="BN59" i="191"/>
  <c r="BE59" i="191"/>
  <c r="AV59" i="191"/>
  <c r="AM59" i="191"/>
  <c r="AC59" i="191"/>
  <c r="T59" i="191"/>
  <c r="BY59" i="191"/>
  <c r="BL59" i="191"/>
  <c r="AZ59" i="191"/>
  <c r="AO59" i="191"/>
  <c r="AA59" i="191"/>
  <c r="BT59" i="191"/>
  <c r="BH59" i="191"/>
  <c r="AU59" i="191"/>
  <c r="AI59" i="191"/>
  <c r="X59" i="191"/>
  <c r="BU59" i="191"/>
  <c r="BD59" i="191"/>
  <c r="AP59" i="191"/>
  <c r="Y59" i="191"/>
  <c r="BS59" i="191"/>
  <c r="BC59" i="191"/>
  <c r="AK59" i="191"/>
  <c r="W59" i="191"/>
  <c r="BV59" i="191"/>
  <c r="AY59" i="191"/>
  <c r="AF59" i="191"/>
  <c r="BQ59" i="191"/>
  <c r="AX59" i="191"/>
  <c r="AB59" i="191"/>
  <c r="BP59" i="191"/>
  <c r="AS59" i="191"/>
  <c r="Z59" i="191"/>
  <c r="BI59" i="191"/>
  <c r="S59" i="191"/>
  <c r="BG59" i="191"/>
  <c r="R59" i="191"/>
  <c r="BA59" i="191"/>
  <c r="Q59" i="191"/>
  <c r="BM59" i="191"/>
  <c r="AR59" i="191"/>
  <c r="BK59" i="191"/>
  <c r="AQ59" i="191"/>
  <c r="CA59" i="191"/>
  <c r="CC59" i="191"/>
  <c r="AJ59" i="191"/>
  <c r="AH59" i="191"/>
  <c r="AG59" i="191"/>
  <c r="CB59" i="191"/>
  <c r="BV64" i="191"/>
  <c r="BN64" i="191"/>
  <c r="BF64" i="191"/>
  <c r="AX64" i="191"/>
  <c r="AP64" i="191"/>
  <c r="AH64" i="191"/>
  <c r="Z64" i="191"/>
  <c r="R64" i="191"/>
  <c r="CC64" i="191"/>
  <c r="BT64" i="191"/>
  <c r="BK64" i="191"/>
  <c r="BB64" i="191"/>
  <c r="AS64" i="191"/>
  <c r="AJ64" i="191"/>
  <c r="AA64" i="191"/>
  <c r="Q64" i="191"/>
  <c r="BW64" i="191"/>
  <c r="BL64" i="191"/>
  <c r="BA64" i="191"/>
  <c r="AQ64" i="191"/>
  <c r="AF64" i="191"/>
  <c r="V64" i="191"/>
  <c r="BU64" i="191"/>
  <c r="BJ64" i="191"/>
  <c r="AZ64" i="191"/>
  <c r="AO64" i="191"/>
  <c r="AE64" i="191"/>
  <c r="U64" i="191"/>
  <c r="BQ64" i="191"/>
  <c r="BD64" i="191"/>
  <c r="AN64" i="191"/>
  <c r="AB64" i="191"/>
  <c r="BZ64" i="191"/>
  <c r="BM64" i="191"/>
  <c r="AW64" i="191"/>
  <c r="AK64" i="191"/>
  <c r="W64" i="191"/>
  <c r="BP64" i="191"/>
  <c r="AV64" i="191"/>
  <c r="AD64" i="191"/>
  <c r="BO64" i="191"/>
  <c r="AU64" i="191"/>
  <c r="AC64" i="191"/>
  <c r="BX64" i="191"/>
  <c r="AY64" i="191"/>
  <c r="X64" i="191"/>
  <c r="BS64" i="191"/>
  <c r="AT64" i="191"/>
  <c r="T64" i="191"/>
  <c r="BR64" i="191"/>
  <c r="AR64" i="191"/>
  <c r="S64" i="191"/>
  <c r="BI64" i="191"/>
  <c r="AG64" i="191"/>
  <c r="BH64" i="191"/>
  <c r="Y64" i="191"/>
  <c r="BG64" i="191"/>
  <c r="BY64" i="191"/>
  <c r="BC64" i="191"/>
  <c r="BE64" i="191"/>
  <c r="AM64" i="191"/>
  <c r="AL64" i="191"/>
  <c r="CB64" i="191"/>
  <c r="CA64" i="191"/>
  <c r="AI64" i="191"/>
  <c r="BV61" i="191"/>
  <c r="BN61" i="191"/>
  <c r="BF61" i="191"/>
  <c r="AX61" i="191"/>
  <c r="AP61" i="191"/>
  <c r="AH61" i="191"/>
  <c r="Z61" i="191"/>
  <c r="R61" i="191"/>
  <c r="BU61" i="191"/>
  <c r="BL61" i="191"/>
  <c r="BC61" i="191"/>
  <c r="AT61" i="191"/>
  <c r="AK61" i="191"/>
  <c r="AB61" i="191"/>
  <c r="S61" i="191"/>
  <c r="CC61" i="191"/>
  <c r="BT61" i="191"/>
  <c r="BK61" i="191"/>
  <c r="BB61" i="191"/>
  <c r="AS61" i="191"/>
  <c r="AJ61" i="191"/>
  <c r="AA61" i="191"/>
  <c r="Q61" i="191"/>
  <c r="BW61" i="191"/>
  <c r="BI61" i="191"/>
  <c r="AW61" i="191"/>
  <c r="AL61" i="191"/>
  <c r="X61" i="191"/>
  <c r="CB61" i="191"/>
  <c r="BQ61" i="191"/>
  <c r="BE61" i="191"/>
  <c r="AR61" i="191"/>
  <c r="AF61" i="191"/>
  <c r="U61" i="191"/>
  <c r="BR61" i="191"/>
  <c r="BA61" i="191"/>
  <c r="AM61" i="191"/>
  <c r="V61" i="191"/>
  <c r="BP61" i="191"/>
  <c r="AZ61" i="191"/>
  <c r="AI61" i="191"/>
  <c r="T61" i="191"/>
  <c r="BY61" i="191"/>
  <c r="BD61" i="191"/>
  <c r="AE61" i="191"/>
  <c r="BX61" i="191"/>
  <c r="AY61" i="191"/>
  <c r="AD61" i="191"/>
  <c r="BS61" i="191"/>
  <c r="AV61" i="191"/>
  <c r="AC61" i="191"/>
  <c r="CA61" i="191"/>
  <c r="AQ61" i="191"/>
  <c r="BZ61" i="191"/>
  <c r="AO61" i="191"/>
  <c r="BO61" i="191"/>
  <c r="AN61" i="191"/>
  <c r="BJ61" i="191"/>
  <c r="BG61" i="191"/>
  <c r="BH61" i="191"/>
  <c r="AU61" i="191"/>
  <c r="Y61" i="191"/>
  <c r="W61" i="191"/>
  <c r="BM61" i="191"/>
  <c r="AG61" i="191"/>
  <c r="BY25" i="191"/>
  <c r="BQ25" i="191"/>
  <c r="BI25" i="191"/>
  <c r="BA25" i="191"/>
  <c r="AS25" i="191"/>
  <c r="AK25" i="191"/>
  <c r="AC25" i="191"/>
  <c r="U25" i="191"/>
  <c r="BX25" i="191"/>
  <c r="BO25" i="191"/>
  <c r="BF25" i="191"/>
  <c r="AW25" i="191"/>
  <c r="AN25" i="191"/>
  <c r="AE25" i="191"/>
  <c r="V25" i="191"/>
  <c r="CC25" i="191"/>
  <c r="BS25" i="191"/>
  <c r="BH25" i="191"/>
  <c r="AX25" i="191"/>
  <c r="AM25" i="191"/>
  <c r="AB25" i="191"/>
  <c r="R25" i="191"/>
  <c r="CB25" i="191"/>
  <c r="BR25" i="191"/>
  <c r="BG25" i="191"/>
  <c r="AV25" i="191"/>
  <c r="AL25" i="191"/>
  <c r="AA25" i="191"/>
  <c r="Q25" i="191"/>
  <c r="BW25" i="191"/>
  <c r="BK25" i="191"/>
  <c r="AU25" i="191"/>
  <c r="AH25" i="191"/>
  <c r="T25" i="191"/>
  <c r="BU25" i="191"/>
  <c r="AR25" i="191"/>
  <c r="BV25" i="191"/>
  <c r="BJ25" i="191"/>
  <c r="AT25" i="191"/>
  <c r="AG25" i="191"/>
  <c r="S25" i="191"/>
  <c r="BE25" i="191"/>
  <c r="AF25" i="191"/>
  <c r="BT25" i="191"/>
  <c r="BD25" i="191"/>
  <c r="AQ25" i="191"/>
  <c r="AD25" i="191"/>
  <c r="CA25" i="191"/>
  <c r="AZ25" i="191"/>
  <c r="X25" i="191"/>
  <c r="BN25" i="191"/>
  <c r="AO25" i="191"/>
  <c r="BL25" i="191"/>
  <c r="Z25" i="191"/>
  <c r="BB25" i="191"/>
  <c r="BZ25" i="191"/>
  <c r="AY25" i="191"/>
  <c r="W25" i="191"/>
  <c r="BM25" i="191"/>
  <c r="AJ25" i="191"/>
  <c r="AI25" i="191"/>
  <c r="BP25" i="191"/>
  <c r="AP25" i="191"/>
  <c r="BC25" i="191"/>
  <c r="Y25" i="191"/>
  <c r="CC23" i="191"/>
  <c r="BU23" i="191"/>
  <c r="BM23" i="191"/>
  <c r="BE23" i="191"/>
  <c r="AW23" i="191"/>
  <c r="AO23" i="191"/>
  <c r="AG23" i="191"/>
  <c r="Y23" i="191"/>
  <c r="Q23" i="191"/>
  <c r="BZ23" i="191"/>
  <c r="BQ23" i="191"/>
  <c r="BH23" i="191"/>
  <c r="AY23" i="191"/>
  <c r="AP23" i="191"/>
  <c r="AF23" i="191"/>
  <c r="W23" i="191"/>
  <c r="BV23" i="191"/>
  <c r="BK23" i="191"/>
  <c r="BA23" i="191"/>
  <c r="AQ23" i="191"/>
  <c r="AE23" i="191"/>
  <c r="U23" i="191"/>
  <c r="BT23" i="191"/>
  <c r="BJ23" i="191"/>
  <c r="AZ23" i="191"/>
  <c r="AN23" i="191"/>
  <c r="AD23" i="191"/>
  <c r="T23" i="191"/>
  <c r="BS23" i="191"/>
  <c r="BF23" i="191"/>
  <c r="AS23" i="191"/>
  <c r="AC23" i="191"/>
  <c r="BP23" i="191"/>
  <c r="BC23" i="191"/>
  <c r="AM23" i="191"/>
  <c r="AA23" i="191"/>
  <c r="BR23" i="191"/>
  <c r="BD23" i="191"/>
  <c r="AR23" i="191"/>
  <c r="AB23" i="191"/>
  <c r="CB23" i="191"/>
  <c r="BO23" i="191"/>
  <c r="BB23" i="191"/>
  <c r="AL23" i="191"/>
  <c r="Z23" i="191"/>
  <c r="BL23" i="191"/>
  <c r="AJ23" i="191"/>
  <c r="CA23" i="191"/>
  <c r="AX23" i="191"/>
  <c r="X23" i="191"/>
  <c r="S23" i="191"/>
  <c r="AT23" i="191"/>
  <c r="R23" i="191"/>
  <c r="BN23" i="191"/>
  <c r="BI23" i="191"/>
  <c r="AI23" i="191"/>
  <c r="BG23" i="191"/>
  <c r="BY23" i="191"/>
  <c r="AV23" i="191"/>
  <c r="V23" i="191"/>
  <c r="BX23" i="191"/>
  <c r="AU23" i="191"/>
  <c r="BW23" i="191"/>
  <c r="AH23" i="191"/>
  <c r="AK23" i="191"/>
  <c r="BW22" i="191"/>
  <c r="BO22" i="191"/>
  <c r="BG22" i="191"/>
  <c r="AY22" i="191"/>
  <c r="AQ22" i="191"/>
  <c r="AI22" i="191"/>
  <c r="AA22" i="191"/>
  <c r="S22" i="191"/>
  <c r="CA22" i="191"/>
  <c r="BR22" i="191"/>
  <c r="BI22" i="191"/>
  <c r="AZ22" i="191"/>
  <c r="AP22" i="191"/>
  <c r="AG22" i="191"/>
  <c r="X22" i="191"/>
  <c r="BV22" i="191"/>
  <c r="BL22" i="191"/>
  <c r="BB22" i="191"/>
  <c r="AR22" i="191"/>
  <c r="AF22" i="191"/>
  <c r="V22" i="191"/>
  <c r="BU22" i="191"/>
  <c r="BK22" i="191"/>
  <c r="BA22" i="191"/>
  <c r="AO22" i="191"/>
  <c r="AE22" i="191"/>
  <c r="U22" i="191"/>
  <c r="BY22" i="191"/>
  <c r="BJ22" i="191"/>
  <c r="AV22" i="191"/>
  <c r="AJ22" i="191"/>
  <c r="T22" i="191"/>
  <c r="BF22" i="191"/>
  <c r="AT22" i="191"/>
  <c r="Q22" i="191"/>
  <c r="BX22" i="191"/>
  <c r="BH22" i="191"/>
  <c r="AU22" i="191"/>
  <c r="AH22" i="191"/>
  <c r="R22" i="191"/>
  <c r="BT22" i="191"/>
  <c r="AD22" i="191"/>
  <c r="BS22" i="191"/>
  <c r="BE22" i="191"/>
  <c r="AS22" i="191"/>
  <c r="AC22" i="191"/>
  <c r="BD22" i="191"/>
  <c r="AB22" i="191"/>
  <c r="BZ22" i="191"/>
  <c r="AW22" i="191"/>
  <c r="W22" i="191"/>
  <c r="BN22" i="191"/>
  <c r="BM22" i="191"/>
  <c r="AK22" i="191"/>
  <c r="CC22" i="191"/>
  <c r="BC22" i="191"/>
  <c r="Z22" i="191"/>
  <c r="AX22" i="191"/>
  <c r="BQ22" i="191"/>
  <c r="AN22" i="191"/>
  <c r="BP22" i="191"/>
  <c r="AM22" i="191"/>
  <c r="AL22" i="191"/>
  <c r="CB22" i="191"/>
  <c r="Y22" i="191"/>
  <c r="CA20" i="191"/>
  <c r="BS20" i="191"/>
  <c r="BK20" i="191"/>
  <c r="BC20" i="191"/>
  <c r="AU20" i="191"/>
  <c r="AM20" i="191"/>
  <c r="AE20" i="191"/>
  <c r="W20" i="191"/>
  <c r="CC20" i="191"/>
  <c r="BT20" i="191"/>
  <c r="BJ20" i="191"/>
  <c r="BA20" i="191"/>
  <c r="AR20" i="191"/>
  <c r="AI20" i="191"/>
  <c r="Z20" i="191"/>
  <c r="Q20" i="191"/>
  <c r="BX20" i="191"/>
  <c r="BN20" i="191"/>
  <c r="BD20" i="191"/>
  <c r="AS20" i="191"/>
  <c r="AH20" i="191"/>
  <c r="X20" i="191"/>
  <c r="BW20" i="191"/>
  <c r="BM20" i="191"/>
  <c r="BB20" i="191"/>
  <c r="AQ20" i="191"/>
  <c r="AG20" i="191"/>
  <c r="V20" i="191"/>
  <c r="BV20" i="191"/>
  <c r="BH20" i="191"/>
  <c r="AV20" i="191"/>
  <c r="AF20" i="191"/>
  <c r="S20" i="191"/>
  <c r="BR20" i="191"/>
  <c r="BF20" i="191"/>
  <c r="AP20" i="191"/>
  <c r="AC20" i="191"/>
  <c r="BU20" i="191"/>
  <c r="BG20" i="191"/>
  <c r="AT20" i="191"/>
  <c r="AD20" i="191"/>
  <c r="R20" i="191"/>
  <c r="BQ20" i="191"/>
  <c r="BE20" i="191"/>
  <c r="AO20" i="191"/>
  <c r="AB20" i="191"/>
  <c r="BY20" i="191"/>
  <c r="AW20" i="191"/>
  <c r="T20" i="191"/>
  <c r="BL20" i="191"/>
  <c r="AY20" i="191"/>
  <c r="AX20" i="191"/>
  <c r="U20" i="191"/>
  <c r="BP20" i="191"/>
  <c r="AN20" i="191"/>
  <c r="AL20" i="191"/>
  <c r="AK20" i="191"/>
  <c r="BI20" i="191"/>
  <c r="AJ20" i="191"/>
  <c r="AZ20" i="191"/>
  <c r="AA20" i="191"/>
  <c r="CB20" i="191"/>
  <c r="Y20" i="191"/>
  <c r="BO20" i="191"/>
  <c r="BZ20" i="191"/>
  <c r="BW18" i="191"/>
  <c r="BO18" i="191"/>
  <c r="BG18" i="191"/>
  <c r="AY18" i="191"/>
  <c r="AQ18" i="191"/>
  <c r="AI18" i="191"/>
  <c r="AA18" i="191"/>
  <c r="S18" i="191"/>
  <c r="BU18" i="191"/>
  <c r="BL18" i="191"/>
  <c r="BC18" i="191"/>
  <c r="AT18" i="191"/>
  <c r="AK18" i="191"/>
  <c r="AB18" i="191"/>
  <c r="R18" i="191"/>
  <c r="BZ18" i="191"/>
  <c r="BP18" i="191"/>
  <c r="BE18" i="191"/>
  <c r="AU18" i="191"/>
  <c r="AJ18" i="191"/>
  <c r="Y18" i="191"/>
  <c r="BY18" i="191"/>
  <c r="BN18" i="191"/>
  <c r="BD18" i="191"/>
  <c r="AS18" i="191"/>
  <c r="AH18" i="191"/>
  <c r="X18" i="191"/>
  <c r="BS18" i="191"/>
  <c r="BF18" i="191"/>
  <c r="AP18" i="191"/>
  <c r="AD18" i="191"/>
  <c r="BQ18" i="191"/>
  <c r="BA18" i="191"/>
  <c r="AN18" i="191"/>
  <c r="Z18" i="191"/>
  <c r="BR18" i="191"/>
  <c r="BB18" i="191"/>
  <c r="AO18" i="191"/>
  <c r="AC18" i="191"/>
  <c r="CC18" i="191"/>
  <c r="CB18" i="191"/>
  <c r="BM18" i="191"/>
  <c r="AZ18" i="191"/>
  <c r="AM18" i="191"/>
  <c r="W18" i="191"/>
  <c r="BH18" i="191"/>
  <c r="AE18" i="191"/>
  <c r="AV18" i="191"/>
  <c r="BK18" i="191"/>
  <c r="AF18" i="191"/>
  <c r="CA18" i="191"/>
  <c r="AX18" i="191"/>
  <c r="V18" i="191"/>
  <c r="BV18" i="191"/>
  <c r="T18" i="191"/>
  <c r="BT18" i="191"/>
  <c r="AR18" i="191"/>
  <c r="Q18" i="191"/>
  <c r="AL18" i="191"/>
  <c r="AG18" i="191"/>
  <c r="BX18" i="191"/>
  <c r="AW18" i="191"/>
  <c r="U18" i="191"/>
  <c r="BJ18" i="191"/>
  <c r="BI18" i="191"/>
  <c r="BY21" i="191"/>
  <c r="BQ21" i="191"/>
  <c r="BI21" i="191"/>
  <c r="BA21" i="191"/>
  <c r="AS21" i="191"/>
  <c r="AK21" i="191"/>
  <c r="AC21" i="191"/>
  <c r="U21" i="191"/>
  <c r="CB21" i="191"/>
  <c r="BS21" i="191"/>
  <c r="BJ21" i="191"/>
  <c r="AZ21" i="191"/>
  <c r="AQ21" i="191"/>
  <c r="AH21" i="191"/>
  <c r="Y21" i="191"/>
  <c r="BW21" i="191"/>
  <c r="BM21" i="191"/>
  <c r="BC21" i="191"/>
  <c r="AR21" i="191"/>
  <c r="AG21" i="191"/>
  <c r="W21" i="191"/>
  <c r="BV21" i="191"/>
  <c r="BL21" i="191"/>
  <c r="BB21" i="191"/>
  <c r="AP21" i="191"/>
  <c r="AF21" i="191"/>
  <c r="V21" i="191"/>
  <c r="BP21" i="191"/>
  <c r="BD21" i="191"/>
  <c r="AN21" i="191"/>
  <c r="AA21" i="191"/>
  <c r="CA21" i="191"/>
  <c r="AX21" i="191"/>
  <c r="X21" i="191"/>
  <c r="CC21" i="191"/>
  <c r="BO21" i="191"/>
  <c r="AY21" i="191"/>
  <c r="AM21" i="191"/>
  <c r="Z21" i="191"/>
  <c r="BN21" i="191"/>
  <c r="AL21" i="191"/>
  <c r="BZ21" i="191"/>
  <c r="BK21" i="191"/>
  <c r="AW21" i="191"/>
  <c r="AJ21" i="191"/>
  <c r="T21" i="191"/>
  <c r="BX21" i="191"/>
  <c r="AV21" i="191"/>
  <c r="S21" i="191"/>
  <c r="BR21" i="191"/>
  <c r="AO21" i="191"/>
  <c r="AI21" i="191"/>
  <c r="BG21" i="191"/>
  <c r="AE21" i="191"/>
  <c r="BF21" i="191"/>
  <c r="AD21" i="191"/>
  <c r="AB21" i="191"/>
  <c r="BU21" i="191"/>
  <c r="AU21" i="191"/>
  <c r="R21" i="191"/>
  <c r="BT21" i="191"/>
  <c r="AT21" i="191"/>
  <c r="Q21" i="191"/>
  <c r="BH21" i="191"/>
  <c r="BE21" i="191"/>
  <c r="CC19" i="191"/>
  <c r="BU19" i="191"/>
  <c r="BM19" i="191"/>
  <c r="BE19" i="191"/>
  <c r="AW19" i="191"/>
  <c r="AO19" i="191"/>
  <c r="AG19" i="191"/>
  <c r="Y19" i="191"/>
  <c r="Q19" i="191"/>
  <c r="BT19" i="191"/>
  <c r="BK19" i="191"/>
  <c r="BB19" i="191"/>
  <c r="AS19" i="191"/>
  <c r="AJ19" i="191"/>
  <c r="AA19" i="191"/>
  <c r="R19" i="191"/>
  <c r="BY19" i="191"/>
  <c r="BO19" i="191"/>
  <c r="BD19" i="191"/>
  <c r="AT19" i="191"/>
  <c r="AI19" i="191"/>
  <c r="X19" i="191"/>
  <c r="BX19" i="191"/>
  <c r="BN19" i="191"/>
  <c r="BC19" i="191"/>
  <c r="AR19" i="191"/>
  <c r="AH19" i="191"/>
  <c r="W19" i="191"/>
  <c r="CB19" i="191"/>
  <c r="BP19" i="191"/>
  <c r="AZ19" i="191"/>
  <c r="AM19" i="191"/>
  <c r="Z19" i="191"/>
  <c r="BZ19" i="191"/>
  <c r="BJ19" i="191"/>
  <c r="AX19" i="191"/>
  <c r="AK19" i="191"/>
  <c r="U19" i="191"/>
  <c r="CA19" i="191"/>
  <c r="BL19" i="191"/>
  <c r="AY19" i="191"/>
  <c r="AL19" i="191"/>
  <c r="V19" i="191"/>
  <c r="BW19" i="191"/>
  <c r="BI19" i="191"/>
  <c r="AV19" i="191"/>
  <c r="AF19" i="191"/>
  <c r="T19" i="191"/>
  <c r="BQ19" i="191"/>
  <c r="AN19" i="191"/>
  <c r="BS19" i="191"/>
  <c r="BR19" i="191"/>
  <c r="AP19" i="191"/>
  <c r="BH19" i="191"/>
  <c r="AE19" i="191"/>
  <c r="BF19" i="191"/>
  <c r="AC19" i="191"/>
  <c r="BA19" i="191"/>
  <c r="AB19" i="191"/>
  <c r="BV19" i="191"/>
  <c r="AU19" i="191"/>
  <c r="S19" i="191"/>
  <c r="AQ19" i="191"/>
  <c r="BG19" i="191"/>
  <c r="AD19" i="191"/>
  <c r="CA24" i="191"/>
  <c r="BS24" i="191"/>
  <c r="BK24" i="191"/>
  <c r="BC24" i="191"/>
  <c r="AU24" i="191"/>
  <c r="AM24" i="191"/>
  <c r="AE24" i="191"/>
  <c r="W24" i="191"/>
  <c r="BY24" i="191"/>
  <c r="BP24" i="191"/>
  <c r="BG24" i="191"/>
  <c r="AX24" i="191"/>
  <c r="AO24" i="191"/>
  <c r="AF24" i="191"/>
  <c r="V24" i="191"/>
  <c r="BU24" i="191"/>
  <c r="BJ24" i="191"/>
  <c r="AZ24" i="191"/>
  <c r="AP24" i="191"/>
  <c r="AD24" i="191"/>
  <c r="T24" i="191"/>
  <c r="BT24" i="191"/>
  <c r="BI24" i="191"/>
  <c r="AY24" i="191"/>
  <c r="AN24" i="191"/>
  <c r="AC24" i="191"/>
  <c r="S24" i="191"/>
  <c r="CC24" i="191"/>
  <c r="BO24" i="191"/>
  <c r="BB24" i="191"/>
  <c r="AL24" i="191"/>
  <c r="Z24" i="191"/>
  <c r="CB24" i="191"/>
  <c r="BN24" i="191"/>
  <c r="BA24" i="191"/>
  <c r="AK24" i="191"/>
  <c r="Y24" i="191"/>
  <c r="BZ24" i="191"/>
  <c r="BM24" i="191"/>
  <c r="AW24" i="191"/>
  <c r="AJ24" i="191"/>
  <c r="X24" i="191"/>
  <c r="BX24" i="191"/>
  <c r="BL24" i="191"/>
  <c r="AV24" i="191"/>
  <c r="AI24" i="191"/>
  <c r="U24" i="191"/>
  <c r="BR24" i="191"/>
  <c r="AR24" i="191"/>
  <c r="BF24" i="191"/>
  <c r="AG24" i="191"/>
  <c r="BW24" i="191"/>
  <c r="AT24" i="191"/>
  <c r="R24" i="191"/>
  <c r="BV24" i="191"/>
  <c r="AS24" i="191"/>
  <c r="Q24" i="191"/>
  <c r="BQ24" i="191"/>
  <c r="AQ24" i="191"/>
  <c r="BE24" i="191"/>
  <c r="AB24" i="191"/>
  <c r="BD24" i="191"/>
  <c r="AA24" i="191"/>
  <c r="BH24" i="191"/>
  <c r="AH24" i="191"/>
  <c r="BW7" i="191"/>
  <c r="BO7" i="191"/>
  <c r="BG7" i="191"/>
  <c r="AY7" i="191"/>
  <c r="AQ7" i="191"/>
  <c r="AI7" i="191"/>
  <c r="AA7" i="191"/>
  <c r="S7" i="191"/>
  <c r="BZ7" i="191"/>
  <c r="BQ7" i="191"/>
  <c r="BH7" i="191"/>
  <c r="AX7" i="191"/>
  <c r="AO7" i="191"/>
  <c r="AF7" i="191"/>
  <c r="W7" i="191"/>
  <c r="BU7" i="191"/>
  <c r="BK7" i="191"/>
  <c r="BA7" i="191"/>
  <c r="AP7" i="191"/>
  <c r="AE7" i="191"/>
  <c r="U7" i="191"/>
  <c r="CC7" i="191"/>
  <c r="BI7" i="191"/>
  <c r="AM7" i="191"/>
  <c r="R7" i="191"/>
  <c r="BT7" i="191"/>
  <c r="BJ7" i="191"/>
  <c r="AZ7" i="191"/>
  <c r="AN7" i="191"/>
  <c r="AD7" i="191"/>
  <c r="T7" i="191"/>
  <c r="BS7" i="191"/>
  <c r="AW7" i="191"/>
  <c r="AC7" i="191"/>
  <c r="CA7" i="191"/>
  <c r="BL7" i="191"/>
  <c r="AT7" i="191"/>
  <c r="AB7" i="191"/>
  <c r="BV7" i="191"/>
  <c r="BD7" i="191"/>
  <c r="AL7" i="191"/>
  <c r="X7" i="191"/>
  <c r="BC7" i="191"/>
  <c r="V7" i="191"/>
  <c r="CB7" i="191"/>
  <c r="BM7" i="191"/>
  <c r="AG7" i="191"/>
  <c r="BY7" i="191"/>
  <c r="BF7" i="191"/>
  <c r="AS7" i="191"/>
  <c r="Z7" i="191"/>
  <c r="BX7" i="191"/>
  <c r="BE7" i="191"/>
  <c r="AR7" i="191"/>
  <c r="Y7" i="191"/>
  <c r="BR7" i="191"/>
  <c r="AK7" i="191"/>
  <c r="BP7" i="191"/>
  <c r="AJ7" i="191"/>
  <c r="Q7" i="191"/>
  <c r="BN7" i="191"/>
  <c r="AV7" i="191"/>
  <c r="AH7" i="191"/>
  <c r="BB7" i="191"/>
  <c r="AU7" i="191"/>
  <c r="BY6" i="191"/>
  <c r="BQ6" i="191"/>
  <c r="BI6" i="191"/>
  <c r="BA6" i="191"/>
  <c r="AS6" i="191"/>
  <c r="AK6" i="191"/>
  <c r="AC6" i="191"/>
  <c r="U6" i="191"/>
  <c r="CA6" i="191"/>
  <c r="CA75" i="191" s="1"/>
  <c r="BR6" i="191"/>
  <c r="BH6" i="191"/>
  <c r="AY6" i="191"/>
  <c r="AP6" i="191"/>
  <c r="AG6" i="191"/>
  <c r="X6" i="191"/>
  <c r="BV6" i="191"/>
  <c r="BL6" i="191"/>
  <c r="BB6" i="191"/>
  <c r="AQ6" i="191"/>
  <c r="AF6" i="191"/>
  <c r="V6" i="191"/>
  <c r="BT6" i="191"/>
  <c r="BJ6" i="191"/>
  <c r="AX6" i="191"/>
  <c r="AD6" i="191"/>
  <c r="S6" i="191"/>
  <c r="BU6" i="191"/>
  <c r="BK6" i="191"/>
  <c r="AZ6" i="191"/>
  <c r="AO6" i="191"/>
  <c r="AE6" i="191"/>
  <c r="T6" i="191"/>
  <c r="AN6" i="191"/>
  <c r="BP6" i="191"/>
  <c r="BC6" i="191"/>
  <c r="AJ6" i="191"/>
  <c r="R6" i="191"/>
  <c r="AV6" i="191"/>
  <c r="BM6" i="191"/>
  <c r="AU6" i="191"/>
  <c r="BG6" i="191"/>
  <c r="Z6" i="191"/>
  <c r="BS6" i="191"/>
  <c r="BD6" i="191"/>
  <c r="AL6" i="191"/>
  <c r="BO6" i="191"/>
  <c r="AW6" i="191"/>
  <c r="AI6" i="191"/>
  <c r="Q6" i="191"/>
  <c r="CC6" i="191"/>
  <c r="CC75" i="191" s="1"/>
  <c r="BN6" i="191"/>
  <c r="AH6" i="191"/>
  <c r="CB6" i="191"/>
  <c r="CB75" i="191" s="1"/>
  <c r="AB6" i="191"/>
  <c r="BZ6" i="191"/>
  <c r="AT6" i="191"/>
  <c r="BX6" i="191"/>
  <c r="BF6" i="191"/>
  <c r="AR6" i="191"/>
  <c r="BW6" i="191"/>
  <c r="BE6" i="191"/>
  <c r="AM6" i="191"/>
  <c r="Y6" i="191"/>
  <c r="AA6" i="191"/>
  <c r="W6" i="191"/>
  <c r="BV71" i="190"/>
  <c r="BN71" i="190"/>
  <c r="BF71" i="190"/>
  <c r="AX71" i="190"/>
  <c r="AP71" i="190"/>
  <c r="AH71" i="190"/>
  <c r="Z71" i="190"/>
  <c r="R71" i="190"/>
  <c r="CC71" i="190"/>
  <c r="BT71" i="190"/>
  <c r="BK71" i="190"/>
  <c r="BB71" i="190"/>
  <c r="AS71" i="190"/>
  <c r="AJ71" i="190"/>
  <c r="AA71" i="190"/>
  <c r="Q71" i="190"/>
  <c r="CB71" i="190"/>
  <c r="BR71" i="190"/>
  <c r="BH71" i="190"/>
  <c r="AW71" i="190"/>
  <c r="AM71" i="190"/>
  <c r="AC71" i="190"/>
  <c r="S71" i="190"/>
  <c r="CA71" i="190"/>
  <c r="BQ71" i="190"/>
  <c r="BG71" i="190"/>
  <c r="AV71" i="190"/>
  <c r="AL71" i="190"/>
  <c r="AB71" i="190"/>
  <c r="BP71" i="190"/>
  <c r="BC71" i="190"/>
  <c r="AO71" i="190"/>
  <c r="Y71" i="190"/>
  <c r="BO71" i="190"/>
  <c r="BA71" i="190"/>
  <c r="AN71" i="190"/>
  <c r="X71" i="190"/>
  <c r="BW71" i="190"/>
  <c r="BD71" i="190"/>
  <c r="AI71" i="190"/>
  <c r="T71" i="190"/>
  <c r="BU71" i="190"/>
  <c r="AZ71" i="190"/>
  <c r="AG71" i="190"/>
  <c r="BJ71" i="190"/>
  <c r="AK71" i="190"/>
  <c r="BI71" i="190"/>
  <c r="AF71" i="190"/>
  <c r="BZ71" i="190"/>
  <c r="BE71" i="190"/>
  <c r="AE71" i="190"/>
  <c r="BL71" i="190"/>
  <c r="V71" i="190"/>
  <c r="AY71" i="190"/>
  <c r="U71" i="190"/>
  <c r="AU71" i="190"/>
  <c r="AT71" i="190"/>
  <c r="AD71" i="190"/>
  <c r="W71" i="190"/>
  <c r="BY71" i="190"/>
  <c r="BX71" i="190"/>
  <c r="AR71" i="190"/>
  <c r="AQ71" i="190"/>
  <c r="BM71" i="190"/>
  <c r="BS71" i="190"/>
  <c r="BV48" i="190"/>
  <c r="BN48" i="190"/>
  <c r="BF48" i="190"/>
  <c r="AX48" i="190"/>
  <c r="AP48" i="190"/>
  <c r="AH48" i="190"/>
  <c r="Z48" i="190"/>
  <c r="R48" i="190"/>
  <c r="CC48" i="190"/>
  <c r="BU48" i="190"/>
  <c r="BM48" i="190"/>
  <c r="BZ48" i="190"/>
  <c r="BP48" i="190"/>
  <c r="BE48" i="190"/>
  <c r="AV48" i="190"/>
  <c r="AM48" i="190"/>
  <c r="AD48" i="190"/>
  <c r="U48" i="190"/>
  <c r="BY48" i="190"/>
  <c r="BO48" i="190"/>
  <c r="BD48" i="190"/>
  <c r="AU48" i="190"/>
  <c r="AL48" i="190"/>
  <c r="AC48" i="190"/>
  <c r="T48" i="190"/>
  <c r="BW48" i="190"/>
  <c r="BI48" i="190"/>
  <c r="AW48" i="190"/>
  <c r="AJ48" i="190"/>
  <c r="X48" i="190"/>
  <c r="BT48" i="190"/>
  <c r="BH48" i="190"/>
  <c r="AT48" i="190"/>
  <c r="AI48" i="190"/>
  <c r="W48" i="190"/>
  <c r="CB48" i="190"/>
  <c r="BJ48" i="190"/>
  <c r="AR48" i="190"/>
  <c r="AB48" i="190"/>
  <c r="BX48" i="190"/>
  <c r="BC48" i="190"/>
  <c r="Y48" i="190"/>
  <c r="CA48" i="190"/>
  <c r="BG48" i="190"/>
  <c r="AQ48" i="190"/>
  <c r="AA48" i="190"/>
  <c r="AO48" i="190"/>
  <c r="BS48" i="190"/>
  <c r="BB48" i="190"/>
  <c r="AN48" i="190"/>
  <c r="V48" i="190"/>
  <c r="AZ48" i="190"/>
  <c r="Q48" i="190"/>
  <c r="AY48" i="190"/>
  <c r="AS48" i="190"/>
  <c r="BR48" i="190"/>
  <c r="AK48" i="190"/>
  <c r="BL48" i="190"/>
  <c r="BK48" i="190"/>
  <c r="BA48" i="190"/>
  <c r="S48" i="190"/>
  <c r="AG48" i="190"/>
  <c r="AF48" i="190"/>
  <c r="AE48" i="190"/>
  <c r="BQ48" i="190"/>
  <c r="CC56" i="190"/>
  <c r="BU56" i="190"/>
  <c r="BM56" i="190"/>
  <c r="BE56" i="190"/>
  <c r="AW56" i="190"/>
  <c r="AO56" i="190"/>
  <c r="AG56" i="190"/>
  <c r="Y56" i="190"/>
  <c r="Q56" i="190"/>
  <c r="BZ56" i="190"/>
  <c r="BQ56" i="190"/>
  <c r="BH56" i="190"/>
  <c r="AY56" i="190"/>
  <c r="AP56" i="190"/>
  <c r="AF56" i="190"/>
  <c r="W56" i="190"/>
  <c r="BX56" i="190"/>
  <c r="BN56" i="190"/>
  <c r="BC56" i="190"/>
  <c r="AS56" i="190"/>
  <c r="AI56" i="190"/>
  <c r="X56" i="190"/>
  <c r="BW56" i="190"/>
  <c r="BL56" i="190"/>
  <c r="BB56" i="190"/>
  <c r="AR56" i="190"/>
  <c r="AH56" i="190"/>
  <c r="V56" i="190"/>
  <c r="BR56" i="190"/>
  <c r="BD56" i="190"/>
  <c r="AN56" i="190"/>
  <c r="AB56" i="190"/>
  <c r="BP56" i="190"/>
  <c r="BA56" i="190"/>
  <c r="AM56" i="190"/>
  <c r="AA56" i="190"/>
  <c r="BY56" i="190"/>
  <c r="BG56" i="190"/>
  <c r="AL56" i="190"/>
  <c r="T56" i="190"/>
  <c r="BV56" i="190"/>
  <c r="BF56" i="190"/>
  <c r="AK56" i="190"/>
  <c r="S56" i="190"/>
  <c r="BI56" i="190"/>
  <c r="AE56" i="190"/>
  <c r="CB56" i="190"/>
  <c r="AZ56" i="190"/>
  <c r="AD56" i="190"/>
  <c r="CA56" i="190"/>
  <c r="AX56" i="190"/>
  <c r="AC56" i="190"/>
  <c r="BT56" i="190"/>
  <c r="AV56" i="190"/>
  <c r="Z56" i="190"/>
  <c r="BS56" i="190"/>
  <c r="U56" i="190"/>
  <c r="BO56" i="190"/>
  <c r="R56" i="190"/>
  <c r="BK56" i="190"/>
  <c r="BJ56" i="190"/>
  <c r="AU56" i="190"/>
  <c r="AQ56" i="190"/>
  <c r="AJ56" i="190"/>
  <c r="AT56" i="190"/>
  <c r="CB51" i="190"/>
  <c r="BT51" i="190"/>
  <c r="BL51" i="190"/>
  <c r="BD51" i="190"/>
  <c r="AV51" i="190"/>
  <c r="AN51" i="190"/>
  <c r="AF51" i="190"/>
  <c r="X51" i="190"/>
  <c r="BW51" i="190"/>
  <c r="BN51" i="190"/>
  <c r="BE51" i="190"/>
  <c r="AU51" i="190"/>
  <c r="AL51" i="190"/>
  <c r="AC51" i="190"/>
  <c r="T51" i="190"/>
  <c r="BV51" i="190"/>
  <c r="BM51" i="190"/>
  <c r="BC51" i="190"/>
  <c r="AT51" i="190"/>
  <c r="AK51" i="190"/>
  <c r="AB51" i="190"/>
  <c r="S51" i="190"/>
  <c r="BU51" i="190"/>
  <c r="BI51" i="190"/>
  <c r="AX51" i="190"/>
  <c r="AJ51" i="190"/>
  <c r="Y51" i="190"/>
  <c r="BS51" i="190"/>
  <c r="BH51" i="190"/>
  <c r="AW51" i="190"/>
  <c r="AI51" i="190"/>
  <c r="W51" i="190"/>
  <c r="CA51" i="190"/>
  <c r="BK51" i="190"/>
  <c r="AS51" i="190"/>
  <c r="AE51" i="190"/>
  <c r="BZ51" i="190"/>
  <c r="BJ51" i="190"/>
  <c r="AR51" i="190"/>
  <c r="AD51" i="190"/>
  <c r="BY51" i="190"/>
  <c r="BB51" i="190"/>
  <c r="AH51" i="190"/>
  <c r="BR51" i="190"/>
  <c r="AZ51" i="190"/>
  <c r="AA51" i="190"/>
  <c r="BX51" i="190"/>
  <c r="BA51" i="190"/>
  <c r="AG51" i="190"/>
  <c r="BQ51" i="190"/>
  <c r="AY51" i="190"/>
  <c r="Z51" i="190"/>
  <c r="BG51" i="190"/>
  <c r="R51" i="190"/>
  <c r="BF51" i="190"/>
  <c r="Q51" i="190"/>
  <c r="AQ51" i="190"/>
  <c r="AP51" i="190"/>
  <c r="BO51" i="190"/>
  <c r="AO51" i="190"/>
  <c r="AM51" i="190"/>
  <c r="BP51" i="190"/>
  <c r="V51" i="190"/>
  <c r="U51" i="190"/>
  <c r="CC51" i="190"/>
  <c r="CB67" i="190"/>
  <c r="BT67" i="190"/>
  <c r="BL67" i="190"/>
  <c r="BD67" i="190"/>
  <c r="AV67" i="190"/>
  <c r="AN67" i="190"/>
  <c r="AF67" i="190"/>
  <c r="X67" i="190"/>
  <c r="BW67" i="190"/>
  <c r="BN67" i="190"/>
  <c r="BE67" i="190"/>
  <c r="AU67" i="190"/>
  <c r="AL67" i="190"/>
  <c r="AC67" i="190"/>
  <c r="T67" i="190"/>
  <c r="BU67" i="190"/>
  <c r="BJ67" i="190"/>
  <c r="AZ67" i="190"/>
  <c r="AP67" i="190"/>
  <c r="AE67" i="190"/>
  <c r="U67" i="190"/>
  <c r="BS67" i="190"/>
  <c r="BI67" i="190"/>
  <c r="AY67" i="190"/>
  <c r="AO67" i="190"/>
  <c r="AD67" i="190"/>
  <c r="S67" i="190"/>
  <c r="BR67" i="190"/>
  <c r="BF67" i="190"/>
  <c r="AR67" i="190"/>
  <c r="AB67" i="190"/>
  <c r="BQ67" i="190"/>
  <c r="BC67" i="190"/>
  <c r="AQ67" i="190"/>
  <c r="AA67" i="190"/>
  <c r="BX67" i="190"/>
  <c r="BB67" i="190"/>
  <c r="AJ67" i="190"/>
  <c r="R67" i="190"/>
  <c r="BV67" i="190"/>
  <c r="BA67" i="190"/>
  <c r="AI67" i="190"/>
  <c r="Q67" i="190"/>
  <c r="BM67" i="190"/>
  <c r="AM67" i="190"/>
  <c r="BK67" i="190"/>
  <c r="AK67" i="190"/>
  <c r="CC67" i="190"/>
  <c r="BH67" i="190"/>
  <c r="AH67" i="190"/>
  <c r="AX67" i="190"/>
  <c r="V67" i="190"/>
  <c r="AW67" i="190"/>
  <c r="CA67" i="190"/>
  <c r="AT67" i="190"/>
  <c r="BZ67" i="190"/>
  <c r="AS67" i="190"/>
  <c r="BO67" i="190"/>
  <c r="BG67" i="190"/>
  <c r="AG67" i="190"/>
  <c r="Z67" i="190"/>
  <c r="BY67" i="190"/>
  <c r="BP67" i="190"/>
  <c r="W67" i="190"/>
  <c r="Y67" i="190"/>
  <c r="BX69" i="190"/>
  <c r="BP69" i="190"/>
  <c r="BH69" i="190"/>
  <c r="AZ69" i="190"/>
  <c r="AR69" i="190"/>
  <c r="AJ69" i="190"/>
  <c r="AB69" i="190"/>
  <c r="T69" i="190"/>
  <c r="CC69" i="190"/>
  <c r="BT69" i="190"/>
  <c r="BK69" i="190"/>
  <c r="BB69" i="190"/>
  <c r="AS69" i="190"/>
  <c r="AI69" i="190"/>
  <c r="Z69" i="190"/>
  <c r="Q69" i="190"/>
  <c r="CB69" i="190"/>
  <c r="BR69" i="190"/>
  <c r="BG69" i="190"/>
  <c r="AW69" i="190"/>
  <c r="AM69" i="190"/>
  <c r="AC69" i="190"/>
  <c r="R69" i="190"/>
  <c r="CA69" i="190"/>
  <c r="BQ69" i="190"/>
  <c r="BF69" i="190"/>
  <c r="AV69" i="190"/>
  <c r="AL69" i="190"/>
  <c r="AA69" i="190"/>
  <c r="BW69" i="190"/>
  <c r="BJ69" i="190"/>
  <c r="AU69" i="190"/>
  <c r="AG69" i="190"/>
  <c r="U69" i="190"/>
  <c r="BV69" i="190"/>
  <c r="BI69" i="190"/>
  <c r="AT69" i="190"/>
  <c r="AF69" i="190"/>
  <c r="S69" i="190"/>
  <c r="BS69" i="190"/>
  <c r="BA69" i="190"/>
  <c r="AH69" i="190"/>
  <c r="BO69" i="190"/>
  <c r="AY69" i="190"/>
  <c r="AE69" i="190"/>
  <c r="BL69" i="190"/>
  <c r="AN69" i="190"/>
  <c r="BE69" i="190"/>
  <c r="AK69" i="190"/>
  <c r="BD69" i="190"/>
  <c r="AD69" i="190"/>
  <c r="AX69" i="190"/>
  <c r="AQ69" i="190"/>
  <c r="BZ69" i="190"/>
  <c r="AP69" i="190"/>
  <c r="BY69" i="190"/>
  <c r="AO69" i="190"/>
  <c r="Y69" i="190"/>
  <c r="X69" i="190"/>
  <c r="W69" i="190"/>
  <c r="V69" i="190"/>
  <c r="BU69" i="190"/>
  <c r="BN69" i="190"/>
  <c r="BM69" i="190"/>
  <c r="BC69" i="190"/>
  <c r="BY58" i="190"/>
  <c r="BQ58" i="190"/>
  <c r="BI58" i="190"/>
  <c r="BA58" i="190"/>
  <c r="AS58" i="190"/>
  <c r="AK58" i="190"/>
  <c r="AC58" i="190"/>
  <c r="U58" i="190"/>
  <c r="BX58" i="190"/>
  <c r="BO58" i="190"/>
  <c r="BF58" i="190"/>
  <c r="AW58" i="190"/>
  <c r="AN58" i="190"/>
  <c r="AE58" i="190"/>
  <c r="V58" i="190"/>
  <c r="BU58" i="190"/>
  <c r="BK58" i="190"/>
  <c r="AZ58" i="190"/>
  <c r="AP58" i="190"/>
  <c r="AF58" i="190"/>
  <c r="T58" i="190"/>
  <c r="BT58" i="190"/>
  <c r="BJ58" i="190"/>
  <c r="AY58" i="190"/>
  <c r="AO58" i="190"/>
  <c r="AD58" i="190"/>
  <c r="S58" i="190"/>
  <c r="BS58" i="190"/>
  <c r="BE58" i="190"/>
  <c r="AR58" i="190"/>
  <c r="AB58" i="190"/>
  <c r="BR58" i="190"/>
  <c r="BD58" i="190"/>
  <c r="AQ58" i="190"/>
  <c r="AA58" i="190"/>
  <c r="BW58" i="190"/>
  <c r="BC58" i="190"/>
  <c r="AJ58" i="190"/>
  <c r="R58" i="190"/>
  <c r="BV58" i="190"/>
  <c r="BB58" i="190"/>
  <c r="AI58" i="190"/>
  <c r="Q58" i="190"/>
  <c r="BP58" i="190"/>
  <c r="AX58" i="190"/>
  <c r="BH58" i="190"/>
  <c r="AG58" i="190"/>
  <c r="CC58" i="190"/>
  <c r="BG58" i="190"/>
  <c r="Z58" i="190"/>
  <c r="CB58" i="190"/>
  <c r="AV58" i="190"/>
  <c r="Y58" i="190"/>
  <c r="CA58" i="190"/>
  <c r="AU58" i="190"/>
  <c r="X58" i="190"/>
  <c r="BZ58" i="190"/>
  <c r="W58" i="190"/>
  <c r="BN58" i="190"/>
  <c r="BM58" i="190"/>
  <c r="BL58" i="190"/>
  <c r="AH58" i="190"/>
  <c r="AM58" i="190"/>
  <c r="AL58" i="190"/>
  <c r="AT58" i="190"/>
  <c r="BY17" i="190"/>
  <c r="BQ17" i="190"/>
  <c r="BI17" i="190"/>
  <c r="BA17" i="190"/>
  <c r="AS17" i="190"/>
  <c r="AK17" i="190"/>
  <c r="AC17" i="190"/>
  <c r="U17" i="190"/>
  <c r="BX17" i="190"/>
  <c r="BP17" i="190"/>
  <c r="BH17" i="190"/>
  <c r="AZ17" i="190"/>
  <c r="AR17" i="190"/>
  <c r="AJ17" i="190"/>
  <c r="AB17" i="190"/>
  <c r="T17" i="190"/>
  <c r="BT17" i="190"/>
  <c r="BJ17" i="190"/>
  <c r="AX17" i="190"/>
  <c r="AN17" i="190"/>
  <c r="AD17" i="190"/>
  <c r="R17" i="190"/>
  <c r="AV17" i="190"/>
  <c r="CC17" i="190"/>
  <c r="BS17" i="190"/>
  <c r="BG17" i="190"/>
  <c r="AW17" i="190"/>
  <c r="AM17" i="190"/>
  <c r="AA17" i="190"/>
  <c r="Q17" i="190"/>
  <c r="CB17" i="190"/>
  <c r="BR17" i="190"/>
  <c r="BF17" i="190"/>
  <c r="AL17" i="190"/>
  <c r="Z17" i="190"/>
  <c r="BV17" i="190"/>
  <c r="BD17" i="190"/>
  <c r="AO17" i="190"/>
  <c r="W17" i="190"/>
  <c r="BO17" i="190"/>
  <c r="BB17" i="190"/>
  <c r="AH17" i="190"/>
  <c r="S17" i="190"/>
  <c r="CA17" i="190"/>
  <c r="BE17" i="190"/>
  <c r="AG17" i="190"/>
  <c r="BZ17" i="190"/>
  <c r="BC17" i="190"/>
  <c r="AF17" i="190"/>
  <c r="AY17" i="190"/>
  <c r="X17" i="190"/>
  <c r="AP17" i="190"/>
  <c r="BM17" i="190"/>
  <c r="AI17" i="190"/>
  <c r="AU17" i="190"/>
  <c r="V17" i="190"/>
  <c r="BW17" i="190"/>
  <c r="AT17" i="190"/>
  <c r="BU17" i="190"/>
  <c r="AQ17" i="190"/>
  <c r="BN17" i="190"/>
  <c r="BL17" i="190"/>
  <c r="AE17" i="190"/>
  <c r="BK17" i="190"/>
  <c r="Y17" i="190"/>
  <c r="BV26" i="190"/>
  <c r="BN26" i="190"/>
  <c r="BF26" i="190"/>
  <c r="AX26" i="190"/>
  <c r="AP26" i="190"/>
  <c r="AH26" i="190"/>
  <c r="Z26" i="190"/>
  <c r="R26" i="190"/>
  <c r="BY26" i="190"/>
  <c r="BP26" i="190"/>
  <c r="BG26" i="190"/>
  <c r="AW26" i="190"/>
  <c r="AN26" i="190"/>
  <c r="AE26" i="190"/>
  <c r="V26" i="190"/>
  <c r="BX26" i="190"/>
  <c r="BO26" i="190"/>
  <c r="BE26" i="190"/>
  <c r="AV26" i="190"/>
  <c r="AM26" i="190"/>
  <c r="AD26" i="190"/>
  <c r="U26" i="190"/>
  <c r="BZ26" i="190"/>
  <c r="BL26" i="190"/>
  <c r="BA26" i="190"/>
  <c r="AO26" i="190"/>
  <c r="AB26" i="190"/>
  <c r="BU26" i="190"/>
  <c r="AY26" i="190"/>
  <c r="BW26" i="190"/>
  <c r="BK26" i="190"/>
  <c r="AZ26" i="190"/>
  <c r="AL26" i="190"/>
  <c r="AA26" i="190"/>
  <c r="BJ26" i="190"/>
  <c r="AK26" i="190"/>
  <c r="Y26" i="190"/>
  <c r="BR26" i="190"/>
  <c r="AU26" i="190"/>
  <c r="AF26" i="190"/>
  <c r="BM26" i="190"/>
  <c r="AS26" i="190"/>
  <c r="X26" i="190"/>
  <c r="BT26" i="190"/>
  <c r="AT26" i="190"/>
  <c r="T26" i="190"/>
  <c r="BS26" i="190"/>
  <c r="AR26" i="190"/>
  <c r="S26" i="190"/>
  <c r="BQ26" i="190"/>
  <c r="AQ26" i="190"/>
  <c r="Q26" i="190"/>
  <c r="CC26" i="190"/>
  <c r="AJ26" i="190"/>
  <c r="CA26" i="190"/>
  <c r="AG26" i="190"/>
  <c r="BI26" i="190"/>
  <c r="AC26" i="190"/>
  <c r="BH26" i="190"/>
  <c r="BD26" i="190"/>
  <c r="BB26" i="190"/>
  <c r="CB26" i="190"/>
  <c r="AI26" i="190"/>
  <c r="W26" i="190"/>
  <c r="BC26" i="190"/>
  <c r="BZ28" i="190"/>
  <c r="BR28" i="190"/>
  <c r="BJ28" i="190"/>
  <c r="BB28" i="190"/>
  <c r="AT28" i="190"/>
  <c r="AL28" i="190"/>
  <c r="AD28" i="190"/>
  <c r="V28" i="190"/>
  <c r="BW28" i="190"/>
  <c r="BN28" i="190"/>
  <c r="BE28" i="190"/>
  <c r="AV28" i="190"/>
  <c r="AM28" i="190"/>
  <c r="AC28" i="190"/>
  <c r="T28" i="190"/>
  <c r="BV28" i="190"/>
  <c r="BM28" i="190"/>
  <c r="BD28" i="190"/>
  <c r="AU28" i="190"/>
  <c r="AK28" i="190"/>
  <c r="AB28" i="190"/>
  <c r="S28" i="190"/>
  <c r="BU28" i="190"/>
  <c r="BI28" i="190"/>
  <c r="AX28" i="190"/>
  <c r="AJ28" i="190"/>
  <c r="Y28" i="190"/>
  <c r="BS28" i="190"/>
  <c r="BG28" i="190"/>
  <c r="AS28" i="190"/>
  <c r="AH28" i="190"/>
  <c r="W28" i="190"/>
  <c r="BT28" i="190"/>
  <c r="BH28" i="190"/>
  <c r="AW28" i="190"/>
  <c r="AI28" i="190"/>
  <c r="X28" i="190"/>
  <c r="BQ28" i="190"/>
  <c r="AZ28" i="190"/>
  <c r="AF28" i="190"/>
  <c r="BO28" i="190"/>
  <c r="AR28" i="190"/>
  <c r="AA28" i="190"/>
  <c r="BX28" i="190"/>
  <c r="AQ28" i="190"/>
  <c r="R28" i="190"/>
  <c r="BP28" i="190"/>
  <c r="AP28" i="190"/>
  <c r="Q28" i="190"/>
  <c r="BL28" i="190"/>
  <c r="AO28" i="190"/>
  <c r="BA28" i="190"/>
  <c r="CB28" i="190"/>
  <c r="AN28" i="190"/>
  <c r="CA28" i="190"/>
  <c r="AG28" i="190"/>
  <c r="BY28" i="190"/>
  <c r="BK28" i="190"/>
  <c r="Z28" i="190"/>
  <c r="CC28" i="190"/>
  <c r="AY28" i="190"/>
  <c r="AE28" i="190"/>
  <c r="U28" i="190"/>
  <c r="BF28" i="190"/>
  <c r="BC28" i="190"/>
  <c r="CB41" i="190"/>
  <c r="BT41" i="190"/>
  <c r="BL41" i="190"/>
  <c r="BD41" i="190"/>
  <c r="AV41" i="190"/>
  <c r="AN41" i="190"/>
  <c r="AF41" i="190"/>
  <c r="X41" i="190"/>
  <c r="BW41" i="190"/>
  <c r="BN41" i="190"/>
  <c r="BE41" i="190"/>
  <c r="AU41" i="190"/>
  <c r="AL41" i="190"/>
  <c r="AC41" i="190"/>
  <c r="T41" i="190"/>
  <c r="BV41" i="190"/>
  <c r="BM41" i="190"/>
  <c r="BC41" i="190"/>
  <c r="AT41" i="190"/>
  <c r="AK41" i="190"/>
  <c r="AB41" i="190"/>
  <c r="S41" i="190"/>
  <c r="BS41" i="190"/>
  <c r="BH41" i="190"/>
  <c r="AW41" i="190"/>
  <c r="AI41" i="190"/>
  <c r="W41" i="190"/>
  <c r="BR41" i="190"/>
  <c r="BG41" i="190"/>
  <c r="AS41" i="190"/>
  <c r="AH41" i="190"/>
  <c r="V41" i="190"/>
  <c r="CC41" i="190"/>
  <c r="BO41" i="190"/>
  <c r="AY41" i="190"/>
  <c r="AG41" i="190"/>
  <c r="Q41" i="190"/>
  <c r="BZ41" i="190"/>
  <c r="AR41" i="190"/>
  <c r="CA41" i="190"/>
  <c r="BK41" i="190"/>
  <c r="AX41" i="190"/>
  <c r="AE41" i="190"/>
  <c r="BJ41" i="190"/>
  <c r="AD41" i="190"/>
  <c r="BY41" i="190"/>
  <c r="BA41" i="190"/>
  <c r="Z41" i="190"/>
  <c r="BU41" i="190"/>
  <c r="AQ41" i="190"/>
  <c r="U41" i="190"/>
  <c r="AP41" i="190"/>
  <c r="BX41" i="190"/>
  <c r="AO41" i="190"/>
  <c r="BQ41" i="190"/>
  <c r="AM41" i="190"/>
  <c r="BF41" i="190"/>
  <c r="AZ41" i="190"/>
  <c r="AA41" i="190"/>
  <c r="Y41" i="190"/>
  <c r="BI41" i="190"/>
  <c r="BB41" i="190"/>
  <c r="AJ41" i="190"/>
  <c r="BP41" i="190"/>
  <c r="R41" i="190"/>
  <c r="BV70" i="190"/>
  <c r="BN70" i="190"/>
  <c r="BF70" i="190"/>
  <c r="AX70" i="190"/>
  <c r="AP70" i="190"/>
  <c r="AH70" i="190"/>
  <c r="Z70" i="190"/>
  <c r="R70" i="190"/>
  <c r="CB70" i="190"/>
  <c r="BS70" i="190"/>
  <c r="BJ70" i="190"/>
  <c r="BA70" i="190"/>
  <c r="AR70" i="190"/>
  <c r="AI70" i="190"/>
  <c r="Y70" i="190"/>
  <c r="CA70" i="190"/>
  <c r="BQ70" i="190"/>
  <c r="BG70" i="190"/>
  <c r="AV70" i="190"/>
  <c r="AL70" i="190"/>
  <c r="AB70" i="190"/>
  <c r="Q70" i="190"/>
  <c r="BZ70" i="190"/>
  <c r="BP70" i="190"/>
  <c r="BE70" i="190"/>
  <c r="AU70" i="190"/>
  <c r="AK70" i="190"/>
  <c r="AA70" i="190"/>
  <c r="BT70" i="190"/>
  <c r="BD70" i="190"/>
  <c r="AQ70" i="190"/>
  <c r="AD70" i="190"/>
  <c r="BR70" i="190"/>
  <c r="BC70" i="190"/>
  <c r="AO70" i="190"/>
  <c r="AC70" i="190"/>
  <c r="BU70" i="190"/>
  <c r="AZ70" i="190"/>
  <c r="AG70" i="190"/>
  <c r="S70" i="190"/>
  <c r="BO70" i="190"/>
  <c r="AY70" i="190"/>
  <c r="AF70" i="190"/>
  <c r="BI70" i="190"/>
  <c r="AJ70" i="190"/>
  <c r="CC70" i="190"/>
  <c r="BH70" i="190"/>
  <c r="AE70" i="190"/>
  <c r="BY70" i="190"/>
  <c r="BB70" i="190"/>
  <c r="X70" i="190"/>
  <c r="AW70" i="190"/>
  <c r="T70" i="190"/>
  <c r="AT70" i="190"/>
  <c r="AS70" i="190"/>
  <c r="BX70" i="190"/>
  <c r="AN70" i="190"/>
  <c r="W70" i="190"/>
  <c r="V70" i="190"/>
  <c r="U70" i="190"/>
  <c r="BW70" i="190"/>
  <c r="AM70" i="190"/>
  <c r="BM70" i="190"/>
  <c r="BL70" i="190"/>
  <c r="BK70" i="190"/>
  <c r="CB45" i="190"/>
  <c r="BT45" i="190"/>
  <c r="BL45" i="190"/>
  <c r="BD45" i="190"/>
  <c r="AV45" i="190"/>
  <c r="AN45" i="190"/>
  <c r="AF45" i="190"/>
  <c r="X45" i="190"/>
  <c r="CA45" i="190"/>
  <c r="BR45" i="190"/>
  <c r="BI45" i="190"/>
  <c r="AZ45" i="190"/>
  <c r="AQ45" i="190"/>
  <c r="AH45" i="190"/>
  <c r="Y45" i="190"/>
  <c r="BZ45" i="190"/>
  <c r="BQ45" i="190"/>
  <c r="BH45" i="190"/>
  <c r="AY45" i="190"/>
  <c r="AP45" i="190"/>
  <c r="AG45" i="190"/>
  <c r="W45" i="190"/>
  <c r="CC45" i="190"/>
  <c r="BO45" i="190"/>
  <c r="BC45" i="190"/>
  <c r="AR45" i="190"/>
  <c r="AD45" i="190"/>
  <c r="S45" i="190"/>
  <c r="BY45" i="190"/>
  <c r="BN45" i="190"/>
  <c r="BB45" i="190"/>
  <c r="AO45" i="190"/>
  <c r="AC45" i="190"/>
  <c r="R45" i="190"/>
  <c r="BX45" i="190"/>
  <c r="BJ45" i="190"/>
  <c r="AT45" i="190"/>
  <c r="AB45" i="190"/>
  <c r="BF45" i="190"/>
  <c r="Z45" i="190"/>
  <c r="BW45" i="190"/>
  <c r="BG45" i="190"/>
  <c r="AS45" i="190"/>
  <c r="AA45" i="190"/>
  <c r="BV45" i="190"/>
  <c r="AM45" i="190"/>
  <c r="BU45" i="190"/>
  <c r="BE45" i="190"/>
  <c r="AL45" i="190"/>
  <c r="V45" i="190"/>
  <c r="BK45" i="190"/>
  <c r="AE45" i="190"/>
  <c r="BA45" i="190"/>
  <c r="U45" i="190"/>
  <c r="AX45" i="190"/>
  <c r="T45" i="190"/>
  <c r="AW45" i="190"/>
  <c r="Q45" i="190"/>
  <c r="BM45" i="190"/>
  <c r="AU45" i="190"/>
  <c r="AK45" i="190"/>
  <c r="BS45" i="190"/>
  <c r="AJ45" i="190"/>
  <c r="AI45" i="190"/>
  <c r="BP45" i="190"/>
  <c r="CC7" i="190"/>
  <c r="BU7" i="190"/>
  <c r="BM7" i="190"/>
  <c r="BE7" i="190"/>
  <c r="AW7" i="190"/>
  <c r="AO7" i="190"/>
  <c r="AG7" i="190"/>
  <c r="Y7" i="190"/>
  <c r="Q7" i="190"/>
  <c r="BZ7" i="190"/>
  <c r="BQ7" i="190"/>
  <c r="BH7" i="190"/>
  <c r="AY7" i="190"/>
  <c r="AP7" i="190"/>
  <c r="AF7" i="190"/>
  <c r="W7" i="190"/>
  <c r="BY7" i="190"/>
  <c r="BP7" i="190"/>
  <c r="BG7" i="190"/>
  <c r="AX7" i="190"/>
  <c r="AN7" i="190"/>
  <c r="AE7" i="190"/>
  <c r="V7" i="190"/>
  <c r="BS7" i="190"/>
  <c r="BF7" i="190"/>
  <c r="AT7" i="190"/>
  <c r="AI7" i="190"/>
  <c r="U7" i="190"/>
  <c r="BR7" i="190"/>
  <c r="BD7" i="190"/>
  <c r="AS7" i="190"/>
  <c r="AH7" i="190"/>
  <c r="T7" i="190"/>
  <c r="CA7" i="190"/>
  <c r="BK7" i="190"/>
  <c r="AU7" i="190"/>
  <c r="AC7" i="190"/>
  <c r="AB7" i="190"/>
  <c r="BW7" i="190"/>
  <c r="BI7" i="190"/>
  <c r="AQ7" i="190"/>
  <c r="AA7" i="190"/>
  <c r="BV7" i="190"/>
  <c r="BC7" i="190"/>
  <c r="AM7" i="190"/>
  <c r="BT7" i="190"/>
  <c r="X7" i="190"/>
  <c r="BO7" i="190"/>
  <c r="BA7" i="190"/>
  <c r="AK7" i="190"/>
  <c r="S7" i="190"/>
  <c r="AZ7" i="190"/>
  <c r="AJ7" i="190"/>
  <c r="BL7" i="190"/>
  <c r="AD7" i="190"/>
  <c r="BX7" i="190"/>
  <c r="BJ7" i="190"/>
  <c r="AR7" i="190"/>
  <c r="Z7" i="190"/>
  <c r="BB7" i="190"/>
  <c r="AL7" i="190"/>
  <c r="BN7" i="190"/>
  <c r="R7" i="190"/>
  <c r="CB7" i="190"/>
  <c r="AV7" i="190"/>
  <c r="BW10" i="190"/>
  <c r="BO10" i="190"/>
  <c r="BG10" i="190"/>
  <c r="AY10" i="190"/>
  <c r="AQ10" i="190"/>
  <c r="AI10" i="190"/>
  <c r="AA10" i="190"/>
  <c r="S10" i="190"/>
  <c r="BX10" i="190"/>
  <c r="BN10" i="190"/>
  <c r="BE10" i="190"/>
  <c r="AV10" i="190"/>
  <c r="AM10" i="190"/>
  <c r="AD10" i="190"/>
  <c r="U10" i="190"/>
  <c r="BV10" i="190"/>
  <c r="BM10" i="190"/>
  <c r="BD10" i="190"/>
  <c r="AU10" i="190"/>
  <c r="AL10" i="190"/>
  <c r="AC10" i="190"/>
  <c r="T10" i="190"/>
  <c r="BY10" i="190"/>
  <c r="BK10" i="190"/>
  <c r="AZ10" i="190"/>
  <c r="AN10" i="190"/>
  <c r="Z10" i="190"/>
  <c r="BU10" i="190"/>
  <c r="BJ10" i="190"/>
  <c r="AX10" i="190"/>
  <c r="AK10" i="190"/>
  <c r="Y10" i="190"/>
  <c r="CB10" i="190"/>
  <c r="BL10" i="190"/>
  <c r="AT10" i="190"/>
  <c r="AF10" i="190"/>
  <c r="BZ10" i="190"/>
  <c r="BH10" i="190"/>
  <c r="AR10" i="190"/>
  <c r="AB10" i="190"/>
  <c r="BF10" i="190"/>
  <c r="AP10" i="190"/>
  <c r="X10" i="190"/>
  <c r="BC10" i="190"/>
  <c r="W10" i="190"/>
  <c r="BQ10" i="190"/>
  <c r="CC10" i="190"/>
  <c r="AW10" i="190"/>
  <c r="Q10" i="190"/>
  <c r="CA10" i="190"/>
  <c r="BI10" i="190"/>
  <c r="AS10" i="190"/>
  <c r="AE10" i="190"/>
  <c r="BT10" i="190"/>
  <c r="BS10" i="190"/>
  <c r="AO10" i="190"/>
  <c r="BA10" i="190"/>
  <c r="R10" i="190"/>
  <c r="BR10" i="190"/>
  <c r="BB10" i="190"/>
  <c r="AJ10" i="190"/>
  <c r="V10" i="190"/>
  <c r="AH10" i="190"/>
  <c r="BP10" i="190"/>
  <c r="AG10" i="190"/>
  <c r="CC60" i="190"/>
  <c r="BU60" i="190"/>
  <c r="BM60" i="190"/>
  <c r="BE60" i="190"/>
  <c r="AW60" i="190"/>
  <c r="AO60" i="190"/>
  <c r="AG60" i="190"/>
  <c r="Y60" i="190"/>
  <c r="Q60" i="190"/>
  <c r="BW60" i="190"/>
  <c r="BN60" i="190"/>
  <c r="BD60" i="190"/>
  <c r="AU60" i="190"/>
  <c r="AL60" i="190"/>
  <c r="AC60" i="190"/>
  <c r="T60" i="190"/>
  <c r="CB60" i="190"/>
  <c r="BR60" i="190"/>
  <c r="BH60" i="190"/>
  <c r="AX60" i="190"/>
  <c r="AM60" i="190"/>
  <c r="AB60" i="190"/>
  <c r="R60" i="190"/>
  <c r="CA60" i="190"/>
  <c r="BQ60" i="190"/>
  <c r="BG60" i="190"/>
  <c r="AV60" i="190"/>
  <c r="AK60" i="190"/>
  <c r="AA60" i="190"/>
  <c r="BX60" i="190"/>
  <c r="BJ60" i="190"/>
  <c r="AT60" i="190"/>
  <c r="AH60" i="190"/>
  <c r="U60" i="190"/>
  <c r="BV60" i="190"/>
  <c r="BI60" i="190"/>
  <c r="AS60" i="190"/>
  <c r="AF60" i="190"/>
  <c r="S60" i="190"/>
  <c r="BS60" i="190"/>
  <c r="BA60" i="190"/>
  <c r="AI60" i="190"/>
  <c r="BP60" i="190"/>
  <c r="AZ60" i="190"/>
  <c r="AE60" i="190"/>
  <c r="BO60" i="190"/>
  <c r="AY60" i="190"/>
  <c r="AD60" i="190"/>
  <c r="BB60" i="190"/>
  <c r="W60" i="190"/>
  <c r="BZ60" i="190"/>
  <c r="AR60" i="190"/>
  <c r="V60" i="190"/>
  <c r="BY60" i="190"/>
  <c r="AQ60" i="190"/>
  <c r="BT60" i="190"/>
  <c r="AP60" i="190"/>
  <c r="Z60" i="190"/>
  <c r="X60" i="190"/>
  <c r="BL60" i="190"/>
  <c r="BK60" i="190"/>
  <c r="BF60" i="190"/>
  <c r="BC60" i="190"/>
  <c r="AN60" i="190"/>
  <c r="AJ60" i="190"/>
  <c r="CB27" i="190"/>
  <c r="BT27" i="190"/>
  <c r="BL27" i="190"/>
  <c r="BD27" i="190"/>
  <c r="AV27" i="190"/>
  <c r="AN27" i="190"/>
  <c r="AF27" i="190"/>
  <c r="X27" i="190"/>
  <c r="BX27" i="190"/>
  <c r="BO27" i="190"/>
  <c r="BF27" i="190"/>
  <c r="AW27" i="190"/>
  <c r="AM27" i="190"/>
  <c r="AD27" i="190"/>
  <c r="U27" i="190"/>
  <c r="BW27" i="190"/>
  <c r="BN27" i="190"/>
  <c r="BE27" i="190"/>
  <c r="AU27" i="190"/>
  <c r="AL27" i="190"/>
  <c r="AC27" i="190"/>
  <c r="T27" i="190"/>
  <c r="BV27" i="190"/>
  <c r="BJ27" i="190"/>
  <c r="AY27" i="190"/>
  <c r="AK27" i="190"/>
  <c r="Z27" i="190"/>
  <c r="BH27" i="190"/>
  <c r="AI27" i="190"/>
  <c r="BU27" i="190"/>
  <c r="BI27" i="190"/>
  <c r="AX27" i="190"/>
  <c r="AJ27" i="190"/>
  <c r="Y27" i="190"/>
  <c r="BS27" i="190"/>
  <c r="AT27" i="190"/>
  <c r="W27" i="190"/>
  <c r="BQ27" i="190"/>
  <c r="AZ27" i="190"/>
  <c r="AE27" i="190"/>
  <c r="BM27" i="190"/>
  <c r="AR27" i="190"/>
  <c r="AA27" i="190"/>
  <c r="BR27" i="190"/>
  <c r="AQ27" i="190"/>
  <c r="R27" i="190"/>
  <c r="BP27" i="190"/>
  <c r="AP27" i="190"/>
  <c r="Q27" i="190"/>
  <c r="BK27" i="190"/>
  <c r="AO27" i="190"/>
  <c r="CC27" i="190"/>
  <c r="AS27" i="190"/>
  <c r="BZ27" i="190"/>
  <c r="AB27" i="190"/>
  <c r="BG27" i="190"/>
  <c r="BC27" i="190"/>
  <c r="S27" i="190"/>
  <c r="CA27" i="190"/>
  <c r="AH27" i="190"/>
  <c r="AG27" i="190"/>
  <c r="BY27" i="190"/>
  <c r="V27" i="190"/>
  <c r="BB27" i="190"/>
  <c r="BA27" i="190"/>
  <c r="CC19" i="190"/>
  <c r="BU19" i="190"/>
  <c r="BM19" i="190"/>
  <c r="BE19" i="190"/>
  <c r="AW19" i="190"/>
  <c r="AO19" i="190"/>
  <c r="AG19" i="190"/>
  <c r="Y19" i="190"/>
  <c r="Q19" i="190"/>
  <c r="CB19" i="190"/>
  <c r="BT19" i="190"/>
  <c r="BL19" i="190"/>
  <c r="BD19" i="190"/>
  <c r="AV19" i="190"/>
  <c r="AN19" i="190"/>
  <c r="AF19" i="190"/>
  <c r="X19" i="190"/>
  <c r="BV19" i="190"/>
  <c r="BJ19" i="190"/>
  <c r="AZ19" i="190"/>
  <c r="AP19" i="190"/>
  <c r="AD19" i="190"/>
  <c r="T19" i="190"/>
  <c r="AL19" i="190"/>
  <c r="BS19" i="190"/>
  <c r="BI19" i="190"/>
  <c r="AY19" i="190"/>
  <c r="AM19" i="190"/>
  <c r="AC19" i="190"/>
  <c r="S19" i="190"/>
  <c r="BR19" i="190"/>
  <c r="BH19" i="190"/>
  <c r="AX19" i="190"/>
  <c r="AB19" i="190"/>
  <c r="R19" i="190"/>
  <c r="BZ19" i="190"/>
  <c r="BK19" i="190"/>
  <c r="AS19" i="190"/>
  <c r="AA19" i="190"/>
  <c r="BX19" i="190"/>
  <c r="BF19" i="190"/>
  <c r="AQ19" i="190"/>
  <c r="W19" i="190"/>
  <c r="BO19" i="190"/>
  <c r="AR19" i="190"/>
  <c r="U19" i="190"/>
  <c r="BN19" i="190"/>
  <c r="AK19" i="190"/>
  <c r="BB19" i="190"/>
  <c r="Z19" i="190"/>
  <c r="BY19" i="190"/>
  <c r="BW19" i="190"/>
  <c r="BQ19" i="190"/>
  <c r="BP19" i="190"/>
  <c r="AI19" i="190"/>
  <c r="BC19" i="190"/>
  <c r="AE19" i="190"/>
  <c r="CA19" i="190"/>
  <c r="BA19" i="190"/>
  <c r="V19" i="190"/>
  <c r="AU19" i="190"/>
  <c r="AT19" i="190"/>
  <c r="AJ19" i="190"/>
  <c r="BG19" i="190"/>
  <c r="AH19" i="190"/>
  <c r="CB31" i="190"/>
  <c r="BT31" i="190"/>
  <c r="BL31" i="190"/>
  <c r="BD31" i="190"/>
  <c r="AV31" i="190"/>
  <c r="AN31" i="190"/>
  <c r="AF31" i="190"/>
  <c r="X31" i="190"/>
  <c r="CC31" i="190"/>
  <c r="BS31" i="190"/>
  <c r="BJ31" i="190"/>
  <c r="BA31" i="190"/>
  <c r="AR31" i="190"/>
  <c r="AI31" i="190"/>
  <c r="Z31" i="190"/>
  <c r="Q31" i="190"/>
  <c r="CA31" i="190"/>
  <c r="BR31" i="190"/>
  <c r="BI31" i="190"/>
  <c r="AZ31" i="190"/>
  <c r="AQ31" i="190"/>
  <c r="AH31" i="190"/>
  <c r="Y31" i="190"/>
  <c r="BQ31" i="190"/>
  <c r="BF31" i="190"/>
  <c r="AT31" i="190"/>
  <c r="AG31" i="190"/>
  <c r="U31" i="190"/>
  <c r="BO31" i="190"/>
  <c r="AP31" i="190"/>
  <c r="S31" i="190"/>
  <c r="BP31" i="190"/>
  <c r="BE31" i="190"/>
  <c r="AS31" i="190"/>
  <c r="AE31" i="190"/>
  <c r="T31" i="190"/>
  <c r="BZ31" i="190"/>
  <c r="BC31" i="190"/>
  <c r="AD31" i="190"/>
  <c r="BY31" i="190"/>
  <c r="BH31" i="190"/>
  <c r="AM31" i="190"/>
  <c r="V31" i="190"/>
  <c r="BW31" i="190"/>
  <c r="BB31" i="190"/>
  <c r="AK31" i="190"/>
  <c r="BX31" i="190"/>
  <c r="AX31" i="190"/>
  <c r="AA31" i="190"/>
  <c r="BV31" i="190"/>
  <c r="AW31" i="190"/>
  <c r="W31" i="190"/>
  <c r="BU31" i="190"/>
  <c r="R31" i="190"/>
  <c r="BM31" i="190"/>
  <c r="AC31" i="190"/>
  <c r="BG31" i="190"/>
  <c r="AU31" i="190"/>
  <c r="AO31" i="190"/>
  <c r="BK31" i="190"/>
  <c r="AB31" i="190"/>
  <c r="AY31" i="190"/>
  <c r="AL31" i="190"/>
  <c r="BN31" i="190"/>
  <c r="AJ31" i="190"/>
  <c r="BY13" i="190"/>
  <c r="BQ13" i="190"/>
  <c r="BI13" i="190"/>
  <c r="BA13" i="190"/>
  <c r="AS13" i="190"/>
  <c r="AK13" i="190"/>
  <c r="AC13" i="190"/>
  <c r="U13" i="190"/>
  <c r="BU13" i="190"/>
  <c r="BL13" i="190"/>
  <c r="BC13" i="190"/>
  <c r="AT13" i="190"/>
  <c r="AJ13" i="190"/>
  <c r="AA13" i="190"/>
  <c r="R13" i="190"/>
  <c r="CC13" i="190"/>
  <c r="BT13" i="190"/>
  <c r="BK13" i="190"/>
  <c r="BB13" i="190"/>
  <c r="AR13" i="190"/>
  <c r="AI13" i="190"/>
  <c r="Z13" i="190"/>
  <c r="Q13" i="190"/>
  <c r="CB13" i="190"/>
  <c r="BS13" i="190"/>
  <c r="BJ13" i="190"/>
  <c r="BX13" i="190"/>
  <c r="BH13" i="190"/>
  <c r="AW13" i="190"/>
  <c r="AL13" i="190"/>
  <c r="X13" i="190"/>
  <c r="BV13" i="190"/>
  <c r="BF13" i="190"/>
  <c r="AU13" i="190"/>
  <c r="AG13" i="190"/>
  <c r="V13" i="190"/>
  <c r="BW13" i="190"/>
  <c r="BD13" i="190"/>
  <c r="AN13" i="190"/>
  <c r="W13" i="190"/>
  <c r="BR13" i="190"/>
  <c r="AZ13" i="190"/>
  <c r="AM13" i="190"/>
  <c r="T13" i="190"/>
  <c r="BO13" i="190"/>
  <c r="AQ13" i="190"/>
  <c r="Y13" i="190"/>
  <c r="BM13" i="190"/>
  <c r="AO13" i="190"/>
  <c r="BG13" i="190"/>
  <c r="AF13" i="190"/>
  <c r="CA13" i="190"/>
  <c r="AY13" i="190"/>
  <c r="BZ13" i="190"/>
  <c r="AD13" i="190"/>
  <c r="BP13" i="190"/>
  <c r="AV13" i="190"/>
  <c r="AB13" i="190"/>
  <c r="BN13" i="190"/>
  <c r="AP13" i="190"/>
  <c r="S13" i="190"/>
  <c r="AH13" i="190"/>
  <c r="BE13" i="190"/>
  <c r="AE13" i="190"/>
  <c r="AX13" i="190"/>
  <c r="CC64" i="190"/>
  <c r="BU64" i="190"/>
  <c r="BM64" i="190"/>
  <c r="BE64" i="190"/>
  <c r="AW64" i="190"/>
  <c r="AO64" i="190"/>
  <c r="AG64" i="190"/>
  <c r="Y64" i="190"/>
  <c r="Q64" i="190"/>
  <c r="CB64" i="190"/>
  <c r="BS64" i="190"/>
  <c r="BJ64" i="190"/>
  <c r="BA64" i="190"/>
  <c r="AR64" i="190"/>
  <c r="AI64" i="190"/>
  <c r="Z64" i="190"/>
  <c r="CA64" i="190"/>
  <c r="BR64" i="190"/>
  <c r="BI64" i="190"/>
  <c r="AZ64" i="190"/>
  <c r="AQ64" i="190"/>
  <c r="AH64" i="190"/>
  <c r="X64" i="190"/>
  <c r="BY64" i="190"/>
  <c r="BN64" i="190"/>
  <c r="BB64" i="190"/>
  <c r="AN64" i="190"/>
  <c r="AC64" i="190"/>
  <c r="R64" i="190"/>
  <c r="BX64" i="190"/>
  <c r="BL64" i="190"/>
  <c r="AY64" i="190"/>
  <c r="AM64" i="190"/>
  <c r="AB64" i="190"/>
  <c r="BK64" i="190"/>
  <c r="AU64" i="190"/>
  <c r="AE64" i="190"/>
  <c r="BZ64" i="190"/>
  <c r="BH64" i="190"/>
  <c r="AT64" i="190"/>
  <c r="AD64" i="190"/>
  <c r="BT64" i="190"/>
  <c r="AX64" i="190"/>
  <c r="AA64" i="190"/>
  <c r="BQ64" i="190"/>
  <c r="AV64" i="190"/>
  <c r="W64" i="190"/>
  <c r="BP64" i="190"/>
  <c r="AS64" i="190"/>
  <c r="V64" i="190"/>
  <c r="BG64" i="190"/>
  <c r="AF64" i="190"/>
  <c r="BF64" i="190"/>
  <c r="U64" i="190"/>
  <c r="BD64" i="190"/>
  <c r="T64" i="190"/>
  <c r="BC64" i="190"/>
  <c r="S64" i="190"/>
  <c r="AJ64" i="190"/>
  <c r="BW64" i="190"/>
  <c r="BV64" i="190"/>
  <c r="BO64" i="190"/>
  <c r="AP64" i="190"/>
  <c r="AK64" i="190"/>
  <c r="AL64" i="190"/>
  <c r="CC11" i="190"/>
  <c r="BU11" i="190"/>
  <c r="BM11" i="190"/>
  <c r="BE11" i="190"/>
  <c r="AW11" i="190"/>
  <c r="AO11" i="190"/>
  <c r="AG11" i="190"/>
  <c r="Y11" i="190"/>
  <c r="Q11" i="190"/>
  <c r="BW11" i="190"/>
  <c r="BN11" i="190"/>
  <c r="BD11" i="190"/>
  <c r="AU11" i="190"/>
  <c r="AL11" i="190"/>
  <c r="AC11" i="190"/>
  <c r="T11" i="190"/>
  <c r="BV11" i="190"/>
  <c r="BL11" i="190"/>
  <c r="BC11" i="190"/>
  <c r="AT11" i="190"/>
  <c r="AK11" i="190"/>
  <c r="AB11" i="190"/>
  <c r="S11" i="190"/>
  <c r="BX11" i="190"/>
  <c r="BJ11" i="190"/>
  <c r="AY11" i="190"/>
  <c r="AM11" i="190"/>
  <c r="Z11" i="190"/>
  <c r="BS11" i="190"/>
  <c r="BH11" i="190"/>
  <c r="AV11" i="190"/>
  <c r="AI11" i="190"/>
  <c r="BY11" i="190"/>
  <c r="BG11" i="190"/>
  <c r="AQ11" i="190"/>
  <c r="AA11" i="190"/>
  <c r="BT11" i="190"/>
  <c r="BF11" i="190"/>
  <c r="AP11" i="190"/>
  <c r="X11" i="190"/>
  <c r="BO11" i="190"/>
  <c r="AR11" i="190"/>
  <c r="V11" i="190"/>
  <c r="CB11" i="190"/>
  <c r="BI11" i="190"/>
  <c r="AJ11" i="190"/>
  <c r="R11" i="190"/>
  <c r="CA11" i="190"/>
  <c r="BB11" i="190"/>
  <c r="AH11" i="190"/>
  <c r="BA11" i="190"/>
  <c r="BR11" i="190"/>
  <c r="AZ11" i="190"/>
  <c r="BK11" i="190"/>
  <c r="AN11" i="190"/>
  <c r="U11" i="190"/>
  <c r="BZ11" i="190"/>
  <c r="AF11" i="190"/>
  <c r="BQ11" i="190"/>
  <c r="AE11" i="190"/>
  <c r="AX11" i="190"/>
  <c r="AD11" i="190"/>
  <c r="BP11" i="190"/>
  <c r="AS11" i="190"/>
  <c r="W11" i="190"/>
  <c r="BZ42" i="190"/>
  <c r="BR42" i="190"/>
  <c r="BJ42" i="190"/>
  <c r="BB42" i="190"/>
  <c r="AT42" i="190"/>
  <c r="AL42" i="190"/>
  <c r="AD42" i="190"/>
  <c r="V42" i="190"/>
  <c r="BV42" i="190"/>
  <c r="BM42" i="190"/>
  <c r="BD42" i="190"/>
  <c r="AU42" i="190"/>
  <c r="AK42" i="190"/>
  <c r="AB42" i="190"/>
  <c r="S42" i="190"/>
  <c r="BU42" i="190"/>
  <c r="BL42" i="190"/>
  <c r="BC42" i="190"/>
  <c r="AS42" i="190"/>
  <c r="AJ42" i="190"/>
  <c r="AA42" i="190"/>
  <c r="R42" i="190"/>
  <c r="BS42" i="190"/>
  <c r="BG42" i="190"/>
  <c r="AV42" i="190"/>
  <c r="AH42" i="190"/>
  <c r="W42" i="190"/>
  <c r="CC42" i="190"/>
  <c r="BQ42" i="190"/>
  <c r="BF42" i="190"/>
  <c r="AR42" i="190"/>
  <c r="AG42" i="190"/>
  <c r="U42" i="190"/>
  <c r="BW42" i="190"/>
  <c r="BE42" i="190"/>
  <c r="AO42" i="190"/>
  <c r="Y42" i="190"/>
  <c r="BP42" i="190"/>
  <c r="AM42" i="190"/>
  <c r="BT42" i="190"/>
  <c r="BA42" i="190"/>
  <c r="AN42" i="190"/>
  <c r="X42" i="190"/>
  <c r="AZ42" i="190"/>
  <c r="T42" i="190"/>
  <c r="CB42" i="190"/>
  <c r="BH42" i="190"/>
  <c r="AE42" i="190"/>
  <c r="BY42" i="190"/>
  <c r="AX42" i="190"/>
  <c r="Z42" i="190"/>
  <c r="BX42" i="190"/>
  <c r="AP42" i="190"/>
  <c r="BO42" i="190"/>
  <c r="AI42" i="190"/>
  <c r="BN42" i="190"/>
  <c r="AF42" i="190"/>
  <c r="AC42" i="190"/>
  <c r="CA42" i="190"/>
  <c r="BK42" i="190"/>
  <c r="BI42" i="190"/>
  <c r="AY42" i="190"/>
  <c r="AQ42" i="190"/>
  <c r="Q42" i="190"/>
  <c r="AW42" i="190"/>
  <c r="BV66" i="190"/>
  <c r="BN66" i="190"/>
  <c r="BF66" i="190"/>
  <c r="AX66" i="190"/>
  <c r="AP66" i="190"/>
  <c r="AH66" i="190"/>
  <c r="Z66" i="190"/>
  <c r="R66" i="190"/>
  <c r="BX66" i="190"/>
  <c r="BO66" i="190"/>
  <c r="BE66" i="190"/>
  <c r="AV66" i="190"/>
  <c r="AM66" i="190"/>
  <c r="AD66" i="190"/>
  <c r="U66" i="190"/>
  <c r="BU66" i="190"/>
  <c r="BK66" i="190"/>
  <c r="BA66" i="190"/>
  <c r="AQ66" i="190"/>
  <c r="AF66" i="190"/>
  <c r="V66" i="190"/>
  <c r="BT66" i="190"/>
  <c r="BJ66" i="190"/>
  <c r="AZ66" i="190"/>
  <c r="AO66" i="190"/>
  <c r="AE66" i="190"/>
  <c r="T66" i="190"/>
  <c r="BY66" i="190"/>
  <c r="BI66" i="190"/>
  <c r="AU66" i="190"/>
  <c r="AI66" i="190"/>
  <c r="S66" i="190"/>
  <c r="BW66" i="190"/>
  <c r="BH66" i="190"/>
  <c r="AT66" i="190"/>
  <c r="AG66" i="190"/>
  <c r="Q66" i="190"/>
  <c r="BS66" i="190"/>
  <c r="BC66" i="190"/>
  <c r="AK66" i="190"/>
  <c r="BR66" i="190"/>
  <c r="BB66" i="190"/>
  <c r="AJ66" i="190"/>
  <c r="BM66" i="190"/>
  <c r="AN66" i="190"/>
  <c r="BL66" i="190"/>
  <c r="AL66" i="190"/>
  <c r="CC66" i="190"/>
  <c r="BG66" i="190"/>
  <c r="AC66" i="190"/>
  <c r="AY66" i="190"/>
  <c r="W66" i="190"/>
  <c r="AW66" i="190"/>
  <c r="CB66" i="190"/>
  <c r="AS66" i="190"/>
  <c r="CA66" i="190"/>
  <c r="AR66" i="190"/>
  <c r="BQ66" i="190"/>
  <c r="BP66" i="190"/>
  <c r="BD66" i="190"/>
  <c r="AB66" i="190"/>
  <c r="AA66" i="190"/>
  <c r="Y66" i="190"/>
  <c r="X66" i="190"/>
  <c r="BZ66" i="190"/>
  <c r="BZ52" i="190"/>
  <c r="BR52" i="190"/>
  <c r="BJ52" i="190"/>
  <c r="BB52" i="190"/>
  <c r="AT52" i="190"/>
  <c r="AL52" i="190"/>
  <c r="AD52" i="190"/>
  <c r="V52" i="190"/>
  <c r="BV52" i="190"/>
  <c r="BM52" i="190"/>
  <c r="BD52" i="190"/>
  <c r="AU52" i="190"/>
  <c r="AK52" i="190"/>
  <c r="AB52" i="190"/>
  <c r="S52" i="190"/>
  <c r="BU52" i="190"/>
  <c r="BL52" i="190"/>
  <c r="BC52" i="190"/>
  <c r="AS52" i="190"/>
  <c r="AJ52" i="190"/>
  <c r="AA52" i="190"/>
  <c r="R52" i="190"/>
  <c r="BT52" i="190"/>
  <c r="BH52" i="190"/>
  <c r="AW52" i="190"/>
  <c r="AI52" i="190"/>
  <c r="X52" i="190"/>
  <c r="BS52" i="190"/>
  <c r="BG52" i="190"/>
  <c r="AV52" i="190"/>
  <c r="AH52" i="190"/>
  <c r="W52" i="190"/>
  <c r="BP52" i="190"/>
  <c r="AZ52" i="190"/>
  <c r="AM52" i="190"/>
  <c r="T52" i="190"/>
  <c r="CC52" i="190"/>
  <c r="BO52" i="190"/>
  <c r="AY52" i="190"/>
  <c r="AG52" i="190"/>
  <c r="Q52" i="190"/>
  <c r="BN52" i="190"/>
  <c r="AQ52" i="190"/>
  <c r="Y52" i="190"/>
  <c r="CB52" i="190"/>
  <c r="BI52" i="190"/>
  <c r="AO52" i="190"/>
  <c r="BK52" i="190"/>
  <c r="AP52" i="190"/>
  <c r="U52" i="190"/>
  <c r="CA52" i="190"/>
  <c r="BF52" i="190"/>
  <c r="AN52" i="190"/>
  <c r="BW52" i="190"/>
  <c r="AC52" i="190"/>
  <c r="BQ52" i="190"/>
  <c r="Z52" i="190"/>
  <c r="BE52" i="190"/>
  <c r="BA52" i="190"/>
  <c r="AX52" i="190"/>
  <c r="AR52" i="190"/>
  <c r="AF52" i="190"/>
  <c r="BX52" i="190"/>
  <c r="BY52" i="190"/>
  <c r="AE52" i="190"/>
  <c r="CA16" i="190"/>
  <c r="BS16" i="190"/>
  <c r="BK16" i="190"/>
  <c r="BC16" i="190"/>
  <c r="AU16" i="190"/>
  <c r="AM16" i="190"/>
  <c r="AE16" i="190"/>
  <c r="W16" i="190"/>
  <c r="BZ16" i="190"/>
  <c r="BR16" i="190"/>
  <c r="BJ16" i="190"/>
  <c r="BB16" i="190"/>
  <c r="AT16" i="190"/>
  <c r="AL16" i="190"/>
  <c r="AD16" i="190"/>
  <c r="V16" i="190"/>
  <c r="BU16" i="190"/>
  <c r="BI16" i="190"/>
  <c r="AY16" i="190"/>
  <c r="AO16" i="190"/>
  <c r="AC16" i="190"/>
  <c r="S16" i="190"/>
  <c r="AK16" i="190"/>
  <c r="Q16" i="190"/>
  <c r="BT16" i="190"/>
  <c r="BH16" i="190"/>
  <c r="AX16" i="190"/>
  <c r="AN16" i="190"/>
  <c r="AB16" i="190"/>
  <c r="R16" i="190"/>
  <c r="CC16" i="190"/>
  <c r="BQ16" i="190"/>
  <c r="BG16" i="190"/>
  <c r="AW16" i="190"/>
  <c r="AA16" i="190"/>
  <c r="CB16" i="190"/>
  <c r="BM16" i="190"/>
  <c r="AS16" i="190"/>
  <c r="AF16" i="190"/>
  <c r="BX16" i="190"/>
  <c r="BF16" i="190"/>
  <c r="AQ16" i="190"/>
  <c r="Y16" i="190"/>
  <c r="BN16" i="190"/>
  <c r="AP16" i="190"/>
  <c r="T16" i="190"/>
  <c r="BL16" i="190"/>
  <c r="AJ16" i="190"/>
  <c r="BV16" i="190"/>
  <c r="AR16" i="190"/>
  <c r="BO16" i="190"/>
  <c r="AH16" i="190"/>
  <c r="BD16" i="190"/>
  <c r="BW16" i="190"/>
  <c r="BP16" i="190"/>
  <c r="AI16" i="190"/>
  <c r="BE16" i="190"/>
  <c r="AG16" i="190"/>
  <c r="Z16" i="190"/>
  <c r="BY16" i="190"/>
  <c r="AZ16" i="190"/>
  <c r="U16" i="190"/>
  <c r="BA16" i="190"/>
  <c r="X16" i="190"/>
  <c r="AV16" i="190"/>
  <c r="BZ32" i="190"/>
  <c r="BR32" i="190"/>
  <c r="BJ32" i="190"/>
  <c r="BB32" i="190"/>
  <c r="AT32" i="190"/>
  <c r="AL32" i="190"/>
  <c r="AD32" i="190"/>
  <c r="V32" i="190"/>
  <c r="CB32" i="190"/>
  <c r="BS32" i="190"/>
  <c r="BI32" i="190"/>
  <c r="AZ32" i="190"/>
  <c r="AQ32" i="190"/>
  <c r="AH32" i="190"/>
  <c r="Y32" i="190"/>
  <c r="CA32" i="190"/>
  <c r="BQ32" i="190"/>
  <c r="BH32" i="190"/>
  <c r="AY32" i="190"/>
  <c r="AP32" i="190"/>
  <c r="AG32" i="190"/>
  <c r="X32" i="190"/>
  <c r="BP32" i="190"/>
  <c r="BE32" i="190"/>
  <c r="AS32" i="190"/>
  <c r="AF32" i="190"/>
  <c r="T32" i="190"/>
  <c r="BY32" i="190"/>
  <c r="BN32" i="190"/>
  <c r="AO32" i="190"/>
  <c r="R32" i="190"/>
  <c r="CC32" i="190"/>
  <c r="BO32" i="190"/>
  <c r="BD32" i="190"/>
  <c r="AR32" i="190"/>
  <c r="AE32" i="190"/>
  <c r="S32" i="190"/>
  <c r="AC32" i="190"/>
  <c r="BK32" i="190"/>
  <c r="AU32" i="190"/>
  <c r="Z32" i="190"/>
  <c r="BW32" i="190"/>
  <c r="BF32" i="190"/>
  <c r="AM32" i="190"/>
  <c r="U32" i="190"/>
  <c r="BX32" i="190"/>
  <c r="BA32" i="190"/>
  <c r="AB32" i="190"/>
  <c r="BV32" i="190"/>
  <c r="AX32" i="190"/>
  <c r="AA32" i="190"/>
  <c r="BU32" i="190"/>
  <c r="AW32" i="190"/>
  <c r="W32" i="190"/>
  <c r="BT32" i="190"/>
  <c r="AJ32" i="190"/>
  <c r="BL32" i="190"/>
  <c r="Q32" i="190"/>
  <c r="BG32" i="190"/>
  <c r="BC32" i="190"/>
  <c r="BM32" i="190"/>
  <c r="AI32" i="190"/>
  <c r="AN32" i="190"/>
  <c r="AV32" i="190"/>
  <c r="AK32" i="190"/>
  <c r="CB23" i="190"/>
  <c r="BT23" i="190"/>
  <c r="BL23" i="190"/>
  <c r="BD23" i="190"/>
  <c r="AV23" i="190"/>
  <c r="AN23" i="190"/>
  <c r="AF23" i="190"/>
  <c r="X23" i="190"/>
  <c r="CC23" i="190"/>
  <c r="BS23" i="190"/>
  <c r="BJ23" i="190"/>
  <c r="BA23" i="190"/>
  <c r="AR23" i="190"/>
  <c r="AI23" i="190"/>
  <c r="Z23" i="190"/>
  <c r="Q23" i="190"/>
  <c r="CA23" i="190"/>
  <c r="BR23" i="190"/>
  <c r="BI23" i="190"/>
  <c r="AZ23" i="190"/>
  <c r="AQ23" i="190"/>
  <c r="AH23" i="190"/>
  <c r="Y23" i="190"/>
  <c r="BQ23" i="190"/>
  <c r="BF23" i="190"/>
  <c r="AT23" i="190"/>
  <c r="AG23" i="190"/>
  <c r="U23" i="190"/>
  <c r="BZ23" i="190"/>
  <c r="BO23" i="190"/>
  <c r="AP23" i="190"/>
  <c r="S23" i="190"/>
  <c r="BP23" i="190"/>
  <c r="BE23" i="190"/>
  <c r="AS23" i="190"/>
  <c r="AE23" i="190"/>
  <c r="T23" i="190"/>
  <c r="BC23" i="190"/>
  <c r="AD23" i="190"/>
  <c r="BY23" i="190"/>
  <c r="BH23" i="190"/>
  <c r="AM23" i="190"/>
  <c r="V23" i="190"/>
  <c r="BW23" i="190"/>
  <c r="BB23" i="190"/>
  <c r="AK23" i="190"/>
  <c r="BM23" i="190"/>
  <c r="AL23" i="190"/>
  <c r="BK23" i="190"/>
  <c r="AJ23" i="190"/>
  <c r="BG23" i="190"/>
  <c r="AC23" i="190"/>
  <c r="BU23" i="190"/>
  <c r="AA23" i="190"/>
  <c r="R23" i="190"/>
  <c r="AX23" i="190"/>
  <c r="AW23" i="190"/>
  <c r="AU23" i="190"/>
  <c r="AB23" i="190"/>
  <c r="BN23" i="190"/>
  <c r="W23" i="190"/>
  <c r="AY23" i="190"/>
  <c r="BX23" i="190"/>
  <c r="AO23" i="190"/>
  <c r="BV23" i="190"/>
  <c r="BW63" i="190"/>
  <c r="BO63" i="190"/>
  <c r="BG63" i="190"/>
  <c r="AY63" i="190"/>
  <c r="AQ63" i="190"/>
  <c r="AI63" i="190"/>
  <c r="AA63" i="190"/>
  <c r="S63" i="190"/>
  <c r="CC63" i="190"/>
  <c r="BT63" i="190"/>
  <c r="BK63" i="190"/>
  <c r="BB63" i="190"/>
  <c r="AS63" i="190"/>
  <c r="AJ63" i="190"/>
  <c r="Z63" i="190"/>
  <c r="Q63" i="190"/>
  <c r="CB63" i="190"/>
  <c r="BS63" i="190"/>
  <c r="BJ63" i="190"/>
  <c r="BA63" i="190"/>
  <c r="AR63" i="190"/>
  <c r="AH63" i="190"/>
  <c r="Y63" i="190"/>
  <c r="BZ63" i="190"/>
  <c r="BN63" i="190"/>
  <c r="BC63" i="190"/>
  <c r="AO63" i="190"/>
  <c r="AD63" i="190"/>
  <c r="R63" i="190"/>
  <c r="BY63" i="190"/>
  <c r="BM63" i="190"/>
  <c r="AZ63" i="190"/>
  <c r="AN63" i="190"/>
  <c r="AC63" i="190"/>
  <c r="BU63" i="190"/>
  <c r="BE63" i="190"/>
  <c r="AM63" i="190"/>
  <c r="W63" i="190"/>
  <c r="BR63" i="190"/>
  <c r="BD63" i="190"/>
  <c r="AL63" i="190"/>
  <c r="V63" i="190"/>
  <c r="BI63" i="190"/>
  <c r="AP63" i="190"/>
  <c r="T63" i="190"/>
  <c r="BH63" i="190"/>
  <c r="AK63" i="190"/>
  <c r="CA63" i="190"/>
  <c r="BF63" i="190"/>
  <c r="AG63" i="190"/>
  <c r="BQ63" i="190"/>
  <c r="AF63" i="190"/>
  <c r="BP63" i="190"/>
  <c r="AE63" i="190"/>
  <c r="BL63" i="190"/>
  <c r="AB63" i="190"/>
  <c r="AX63" i="190"/>
  <c r="X63" i="190"/>
  <c r="AT63" i="190"/>
  <c r="U63" i="190"/>
  <c r="BX63" i="190"/>
  <c r="AV63" i="190"/>
  <c r="AU63" i="190"/>
  <c r="BV63" i="190"/>
  <c r="AW63" i="190"/>
  <c r="BX65" i="190"/>
  <c r="BP65" i="190"/>
  <c r="BH65" i="190"/>
  <c r="AZ65" i="190"/>
  <c r="AR65" i="190"/>
  <c r="AJ65" i="190"/>
  <c r="BY65" i="190"/>
  <c r="BO65" i="190"/>
  <c r="BF65" i="190"/>
  <c r="AW65" i="190"/>
  <c r="AN65" i="190"/>
  <c r="AE65" i="190"/>
  <c r="W65" i="190"/>
  <c r="BW65" i="190"/>
  <c r="BM65" i="190"/>
  <c r="BC65" i="190"/>
  <c r="AS65" i="190"/>
  <c r="AH65" i="190"/>
  <c r="Y65" i="190"/>
  <c r="BV65" i="190"/>
  <c r="BL65" i="190"/>
  <c r="BB65" i="190"/>
  <c r="AQ65" i="190"/>
  <c r="AG65" i="190"/>
  <c r="X65" i="190"/>
  <c r="BR65" i="190"/>
  <c r="BD65" i="190"/>
  <c r="AO65" i="190"/>
  <c r="AB65" i="190"/>
  <c r="Q65" i="190"/>
  <c r="CC65" i="190"/>
  <c r="BQ65" i="190"/>
  <c r="BA65" i="190"/>
  <c r="AM65" i="190"/>
  <c r="AA65" i="190"/>
  <c r="BZ65" i="190"/>
  <c r="BG65" i="190"/>
  <c r="AL65" i="190"/>
  <c r="U65" i="190"/>
  <c r="BU65" i="190"/>
  <c r="BE65" i="190"/>
  <c r="AK65" i="190"/>
  <c r="T65" i="190"/>
  <c r="BN65" i="190"/>
  <c r="AT65" i="190"/>
  <c r="S65" i="190"/>
  <c r="BK65" i="190"/>
  <c r="AP65" i="190"/>
  <c r="R65" i="190"/>
  <c r="BJ65" i="190"/>
  <c r="AI65" i="190"/>
  <c r="AY65" i="190"/>
  <c r="V65" i="190"/>
  <c r="AX65" i="190"/>
  <c r="AV65" i="190"/>
  <c r="CB65" i="190"/>
  <c r="AU65" i="190"/>
  <c r="CA65" i="190"/>
  <c r="BT65" i="190"/>
  <c r="BS65" i="190"/>
  <c r="BI65" i="190"/>
  <c r="AC65" i="190"/>
  <c r="AD65" i="190"/>
  <c r="Z65" i="190"/>
  <c r="AF65" i="190"/>
  <c r="BX33" i="190"/>
  <c r="BP33" i="190"/>
  <c r="BH33" i="190"/>
  <c r="AZ33" i="190"/>
  <c r="AR33" i="190"/>
  <c r="AJ33" i="190"/>
  <c r="AB33" i="190"/>
  <c r="T33" i="190"/>
  <c r="BZ33" i="190"/>
  <c r="BQ33" i="190"/>
  <c r="BG33" i="190"/>
  <c r="AX33" i="190"/>
  <c r="AO33" i="190"/>
  <c r="AF33" i="190"/>
  <c r="W33" i="190"/>
  <c r="BY33" i="190"/>
  <c r="BO33" i="190"/>
  <c r="BF33" i="190"/>
  <c r="AW33" i="190"/>
  <c r="AN33" i="190"/>
  <c r="AE33" i="190"/>
  <c r="V33" i="190"/>
  <c r="CB33" i="190"/>
  <c r="BN33" i="190"/>
  <c r="BC33" i="190"/>
  <c r="AQ33" i="190"/>
  <c r="AD33" i="190"/>
  <c r="R33" i="190"/>
  <c r="BW33" i="190"/>
  <c r="BL33" i="190"/>
  <c r="BA33" i="190"/>
  <c r="AM33" i="190"/>
  <c r="AA33" i="190"/>
  <c r="CA33" i="190"/>
  <c r="BM33" i="190"/>
  <c r="BB33" i="190"/>
  <c r="AP33" i="190"/>
  <c r="AC33" i="190"/>
  <c r="Q33" i="190"/>
  <c r="BK33" i="190"/>
  <c r="AT33" i="190"/>
  <c r="Y33" i="190"/>
  <c r="CC33" i="190"/>
  <c r="BI33" i="190"/>
  <c r="AL33" i="190"/>
  <c r="U33" i="190"/>
  <c r="BD33" i="190"/>
  <c r="AG33" i="190"/>
  <c r="BV33" i="190"/>
  <c r="AY33" i="190"/>
  <c r="Z33" i="190"/>
  <c r="BU33" i="190"/>
  <c r="AV33" i="190"/>
  <c r="X33" i="190"/>
  <c r="AK33" i="190"/>
  <c r="BS33" i="190"/>
  <c r="AH33" i="190"/>
  <c r="BR33" i="190"/>
  <c r="S33" i="190"/>
  <c r="BT33" i="190"/>
  <c r="AI33" i="190"/>
  <c r="BJ33" i="190"/>
  <c r="BE33" i="190"/>
  <c r="AU33" i="190"/>
  <c r="AS33" i="190"/>
  <c r="BX53" i="190"/>
  <c r="BP53" i="190"/>
  <c r="BH53" i="190"/>
  <c r="AZ53" i="190"/>
  <c r="AR53" i="190"/>
  <c r="AJ53" i="190"/>
  <c r="AB53" i="190"/>
  <c r="T53" i="190"/>
  <c r="CC53" i="190"/>
  <c r="BT53" i="190"/>
  <c r="BK53" i="190"/>
  <c r="BB53" i="190"/>
  <c r="AS53" i="190"/>
  <c r="AI53" i="190"/>
  <c r="Z53" i="190"/>
  <c r="Q53" i="190"/>
  <c r="CB53" i="190"/>
  <c r="BS53" i="190"/>
  <c r="BJ53" i="190"/>
  <c r="BA53" i="190"/>
  <c r="AQ53" i="190"/>
  <c r="AH53" i="190"/>
  <c r="Y53" i="190"/>
  <c r="BR53" i="190"/>
  <c r="BF53" i="190"/>
  <c r="AU53" i="190"/>
  <c r="AG53" i="190"/>
  <c r="V53" i="190"/>
  <c r="BQ53" i="190"/>
  <c r="BE53" i="190"/>
  <c r="AT53" i="190"/>
  <c r="AF53" i="190"/>
  <c r="U53" i="190"/>
  <c r="BW53" i="190"/>
  <c r="BG53" i="190"/>
  <c r="AO53" i="190"/>
  <c r="AA53" i="190"/>
  <c r="BV53" i="190"/>
  <c r="BD53" i="190"/>
  <c r="AN53" i="190"/>
  <c r="X53" i="190"/>
  <c r="BY53" i="190"/>
  <c r="AY53" i="190"/>
  <c r="AE53" i="190"/>
  <c r="BO53" i="190"/>
  <c r="AW53" i="190"/>
  <c r="AC53" i="190"/>
  <c r="BU53" i="190"/>
  <c r="AX53" i="190"/>
  <c r="AD53" i="190"/>
  <c r="BN53" i="190"/>
  <c r="AV53" i="190"/>
  <c r="W53" i="190"/>
  <c r="BZ53" i="190"/>
  <c r="AK53" i="190"/>
  <c r="BM53" i="190"/>
  <c r="S53" i="190"/>
  <c r="BL53" i="190"/>
  <c r="R53" i="190"/>
  <c r="BI53" i="190"/>
  <c r="BC53" i="190"/>
  <c r="AP53" i="190"/>
  <c r="AM53" i="190"/>
  <c r="CA53" i="190"/>
  <c r="AL53" i="190"/>
  <c r="BZ38" i="190"/>
  <c r="BR38" i="190"/>
  <c r="BJ38" i="190"/>
  <c r="BB38" i="190"/>
  <c r="AT38" i="190"/>
  <c r="AL38" i="190"/>
  <c r="AD38" i="190"/>
  <c r="V38" i="190"/>
  <c r="CA38" i="190"/>
  <c r="BQ38" i="190"/>
  <c r="BH38" i="190"/>
  <c r="AY38" i="190"/>
  <c r="AP38" i="190"/>
  <c r="AG38" i="190"/>
  <c r="X38" i="190"/>
  <c r="BY38" i="190"/>
  <c r="BP38" i="190"/>
  <c r="BG38" i="190"/>
  <c r="AX38" i="190"/>
  <c r="AO38" i="190"/>
  <c r="AF38" i="190"/>
  <c r="W38" i="190"/>
  <c r="CB38" i="190"/>
  <c r="BN38" i="190"/>
  <c r="BC38" i="190"/>
  <c r="AQ38" i="190"/>
  <c r="AC38" i="190"/>
  <c r="R38" i="190"/>
  <c r="BX38" i="190"/>
  <c r="BM38" i="190"/>
  <c r="BA38" i="190"/>
  <c r="AN38" i="190"/>
  <c r="AB38" i="190"/>
  <c r="Q38" i="190"/>
  <c r="BS38" i="190"/>
  <c r="AZ38" i="190"/>
  <c r="AJ38" i="190"/>
  <c r="T38" i="190"/>
  <c r="BL38" i="190"/>
  <c r="AV38" i="190"/>
  <c r="AH38" i="190"/>
  <c r="BO38" i="190"/>
  <c r="AW38" i="190"/>
  <c r="AI38" i="190"/>
  <c r="S38" i="190"/>
  <c r="BW38" i="190"/>
  <c r="BD38" i="190"/>
  <c r="Z38" i="190"/>
  <c r="BU38" i="190"/>
  <c r="AS38" i="190"/>
  <c r="U38" i="190"/>
  <c r="BT38" i="190"/>
  <c r="AK38" i="190"/>
  <c r="BK38" i="190"/>
  <c r="AE38" i="190"/>
  <c r="BI38" i="190"/>
  <c r="AA38" i="190"/>
  <c r="AM38" i="190"/>
  <c r="CC38" i="190"/>
  <c r="BV38" i="190"/>
  <c r="BF38" i="190"/>
  <c r="BE38" i="190"/>
  <c r="AR38" i="190"/>
  <c r="Y38" i="190"/>
  <c r="AU38" i="190"/>
  <c r="BY21" i="190"/>
  <c r="BQ21" i="190"/>
  <c r="BI21" i="190"/>
  <c r="BA21" i="190"/>
  <c r="AS21" i="190"/>
  <c r="AK21" i="190"/>
  <c r="AC21" i="190"/>
  <c r="U21" i="190"/>
  <c r="BX21" i="190"/>
  <c r="BP21" i="190"/>
  <c r="BH21" i="190"/>
  <c r="AZ21" i="190"/>
  <c r="AR21" i="190"/>
  <c r="AJ21" i="190"/>
  <c r="AB21" i="190"/>
  <c r="T21" i="190"/>
  <c r="BU21" i="190"/>
  <c r="BK21" i="190"/>
  <c r="AY21" i="190"/>
  <c r="AO21" i="190"/>
  <c r="AE21" i="190"/>
  <c r="S21" i="190"/>
  <c r="BS21" i="190"/>
  <c r="BG21" i="190"/>
  <c r="AM21" i="190"/>
  <c r="Q21" i="190"/>
  <c r="BT21" i="190"/>
  <c r="BJ21" i="190"/>
  <c r="AX21" i="190"/>
  <c r="AN21" i="190"/>
  <c r="AD21" i="190"/>
  <c r="R21" i="190"/>
  <c r="CC21" i="190"/>
  <c r="AW21" i="190"/>
  <c r="AA21" i="190"/>
  <c r="BN21" i="190"/>
  <c r="AV21" i="190"/>
  <c r="AG21" i="190"/>
  <c r="CA21" i="190"/>
  <c r="BL21" i="190"/>
  <c r="AT21" i="190"/>
  <c r="Z21" i="190"/>
  <c r="BV21" i="190"/>
  <c r="BB21" i="190"/>
  <c r="Y21" i="190"/>
  <c r="BR21" i="190"/>
  <c r="AU21" i="190"/>
  <c r="X21" i="190"/>
  <c r="BO21" i="190"/>
  <c r="AQ21" i="190"/>
  <c r="W21" i="190"/>
  <c r="BZ21" i="190"/>
  <c r="AL21" i="190"/>
  <c r="BW21" i="190"/>
  <c r="BF21" i="190"/>
  <c r="AF21" i="190"/>
  <c r="BE21" i="190"/>
  <c r="BD21" i="190"/>
  <c r="AI21" i="190"/>
  <c r="BM21" i="190"/>
  <c r="AH21" i="190"/>
  <c r="V21" i="190"/>
  <c r="BC21" i="190"/>
  <c r="CB21" i="190"/>
  <c r="AP21" i="190"/>
  <c r="BW55" i="190"/>
  <c r="BO55" i="190"/>
  <c r="BG55" i="190"/>
  <c r="AY55" i="190"/>
  <c r="AQ55" i="190"/>
  <c r="AI55" i="190"/>
  <c r="AA55" i="190"/>
  <c r="CA55" i="190"/>
  <c r="BR55" i="190"/>
  <c r="BI55" i="190"/>
  <c r="AZ55" i="190"/>
  <c r="AP55" i="190"/>
  <c r="AG55" i="190"/>
  <c r="X55" i="190"/>
  <c r="BY55" i="190"/>
  <c r="BN55" i="190"/>
  <c r="BD55" i="190"/>
  <c r="AT55" i="190"/>
  <c r="AJ55" i="190"/>
  <c r="Y55" i="190"/>
  <c r="BX55" i="190"/>
  <c r="BM55" i="190"/>
  <c r="BC55" i="190"/>
  <c r="AS55" i="190"/>
  <c r="AH55" i="190"/>
  <c r="W55" i="190"/>
  <c r="BV55" i="190"/>
  <c r="BJ55" i="190"/>
  <c r="AV55" i="190"/>
  <c r="AF55" i="190"/>
  <c r="T55" i="190"/>
  <c r="BU55" i="190"/>
  <c r="BH55" i="190"/>
  <c r="AU55" i="190"/>
  <c r="AE55" i="190"/>
  <c r="S55" i="190"/>
  <c r="CC55" i="190"/>
  <c r="BK55" i="190"/>
  <c r="AO55" i="190"/>
  <c r="Z55" i="190"/>
  <c r="CB55" i="190"/>
  <c r="BF55" i="190"/>
  <c r="AN55" i="190"/>
  <c r="V55" i="190"/>
  <c r="BL55" i="190"/>
  <c r="AL55" i="190"/>
  <c r="BB55" i="190"/>
  <c r="BE55" i="190"/>
  <c r="AK55" i="190"/>
  <c r="AD55" i="190"/>
  <c r="BZ55" i="190"/>
  <c r="BA55" i="190"/>
  <c r="AC55" i="190"/>
  <c r="AX55" i="190"/>
  <c r="AW55" i="190"/>
  <c r="AR55" i="190"/>
  <c r="AM55" i="190"/>
  <c r="BS55" i="190"/>
  <c r="BQ55" i="190"/>
  <c r="BP55" i="190"/>
  <c r="AB55" i="190"/>
  <c r="R55" i="190"/>
  <c r="Q55" i="190"/>
  <c r="BT55" i="190"/>
  <c r="U55" i="190"/>
  <c r="CA57" i="190"/>
  <c r="BS57" i="190"/>
  <c r="BK57" i="190"/>
  <c r="BC57" i="190"/>
  <c r="AU57" i="190"/>
  <c r="AM57" i="190"/>
  <c r="AE57" i="190"/>
  <c r="W57" i="190"/>
  <c r="BY57" i="190"/>
  <c r="BP57" i="190"/>
  <c r="BG57" i="190"/>
  <c r="AX57" i="190"/>
  <c r="AO57" i="190"/>
  <c r="AF57" i="190"/>
  <c r="V57" i="190"/>
  <c r="BW57" i="190"/>
  <c r="BM57" i="190"/>
  <c r="BB57" i="190"/>
  <c r="AR57" i="190"/>
  <c r="AH57" i="190"/>
  <c r="X57" i="190"/>
  <c r="BV57" i="190"/>
  <c r="BL57" i="190"/>
  <c r="BA57" i="190"/>
  <c r="AQ57" i="190"/>
  <c r="AG57" i="190"/>
  <c r="U57" i="190"/>
  <c r="BZ57" i="190"/>
  <c r="BJ57" i="190"/>
  <c r="AW57" i="190"/>
  <c r="AJ57" i="190"/>
  <c r="T57" i="190"/>
  <c r="BX57" i="190"/>
  <c r="BI57" i="190"/>
  <c r="AV57" i="190"/>
  <c r="AI57" i="190"/>
  <c r="S57" i="190"/>
  <c r="BU57" i="190"/>
  <c r="BE57" i="190"/>
  <c r="AL57" i="190"/>
  <c r="R57" i="190"/>
  <c r="BT57" i="190"/>
  <c r="BD57" i="190"/>
  <c r="AK57" i="190"/>
  <c r="Q57" i="190"/>
  <c r="BF57" i="190"/>
  <c r="AC57" i="190"/>
  <c r="CC57" i="190"/>
  <c r="AZ57" i="190"/>
  <c r="AB57" i="190"/>
  <c r="CB57" i="190"/>
  <c r="AY57" i="190"/>
  <c r="AA57" i="190"/>
  <c r="BR57" i="190"/>
  <c r="AT57" i="190"/>
  <c r="Z57" i="190"/>
  <c r="AS57" i="190"/>
  <c r="AP57" i="190"/>
  <c r="AN57" i="190"/>
  <c r="AD57" i="190"/>
  <c r="BQ57" i="190"/>
  <c r="BN57" i="190"/>
  <c r="Y57" i="190"/>
  <c r="BO57" i="190"/>
  <c r="BH57" i="190"/>
  <c r="CA12" i="190"/>
  <c r="BS12" i="190"/>
  <c r="BK12" i="190"/>
  <c r="BC12" i="190"/>
  <c r="AU12" i="190"/>
  <c r="AM12" i="190"/>
  <c r="AE12" i="190"/>
  <c r="W12" i="190"/>
  <c r="BV12" i="190"/>
  <c r="BM12" i="190"/>
  <c r="BD12" i="190"/>
  <c r="AT12" i="190"/>
  <c r="AK12" i="190"/>
  <c r="AB12" i="190"/>
  <c r="S12" i="190"/>
  <c r="BU12" i="190"/>
  <c r="BL12" i="190"/>
  <c r="BB12" i="190"/>
  <c r="AS12" i="190"/>
  <c r="AJ12" i="190"/>
  <c r="AA12" i="190"/>
  <c r="R12" i="190"/>
  <c r="BW12" i="190"/>
  <c r="BI12" i="190"/>
  <c r="AX12" i="190"/>
  <c r="AL12" i="190"/>
  <c r="Y12" i="190"/>
  <c r="BR12" i="190"/>
  <c r="BG12" i="190"/>
  <c r="AV12" i="190"/>
  <c r="AH12" i="190"/>
  <c r="V12" i="190"/>
  <c r="CC12" i="190"/>
  <c r="BO12" i="190"/>
  <c r="AY12" i="190"/>
  <c r="AG12" i="190"/>
  <c r="Q12" i="190"/>
  <c r="CB12" i="190"/>
  <c r="BN12" i="190"/>
  <c r="AW12" i="190"/>
  <c r="AF12" i="190"/>
  <c r="BY12" i="190"/>
  <c r="BE12" i="190"/>
  <c r="AI12" i="190"/>
  <c r="BT12" i="190"/>
  <c r="AZ12" i="190"/>
  <c r="AC12" i="190"/>
  <c r="BQ12" i="190"/>
  <c r="AR12" i="190"/>
  <c r="Z12" i="190"/>
  <c r="BP12" i="190"/>
  <c r="X12" i="190"/>
  <c r="BJ12" i="190"/>
  <c r="AP12" i="190"/>
  <c r="BF12" i="190"/>
  <c r="BX12" i="190"/>
  <c r="BA12" i="190"/>
  <c r="AD12" i="190"/>
  <c r="AQ12" i="190"/>
  <c r="U12" i="190"/>
  <c r="BH12" i="190"/>
  <c r="AO12" i="190"/>
  <c r="T12" i="190"/>
  <c r="BZ12" i="190"/>
  <c r="AN12" i="190"/>
  <c r="BV40" i="190"/>
  <c r="BN40" i="190"/>
  <c r="BF40" i="190"/>
  <c r="AX40" i="190"/>
  <c r="AP40" i="190"/>
  <c r="AH40" i="190"/>
  <c r="Z40" i="190"/>
  <c r="R40" i="190"/>
  <c r="BX40" i="190"/>
  <c r="BO40" i="190"/>
  <c r="BE40" i="190"/>
  <c r="AV40" i="190"/>
  <c r="AM40" i="190"/>
  <c r="AD40" i="190"/>
  <c r="U40" i="190"/>
  <c r="BW40" i="190"/>
  <c r="BM40" i="190"/>
  <c r="BD40" i="190"/>
  <c r="AU40" i="190"/>
  <c r="AL40" i="190"/>
  <c r="AC40" i="190"/>
  <c r="T40" i="190"/>
  <c r="BT40" i="190"/>
  <c r="BI40" i="190"/>
  <c r="AW40" i="190"/>
  <c r="AJ40" i="190"/>
  <c r="X40" i="190"/>
  <c r="BS40" i="190"/>
  <c r="BH40" i="190"/>
  <c r="AT40" i="190"/>
  <c r="AI40" i="190"/>
  <c r="W40" i="190"/>
  <c r="BZ40" i="190"/>
  <c r="BJ40" i="190"/>
  <c r="AR40" i="190"/>
  <c r="AB40" i="190"/>
  <c r="BY40" i="190"/>
  <c r="BG40" i="190"/>
  <c r="AQ40" i="190"/>
  <c r="AA40" i="190"/>
  <c r="BU40" i="190"/>
  <c r="BC40" i="190"/>
  <c r="AO40" i="190"/>
  <c r="Y40" i="190"/>
  <c r="CA40" i="190"/>
  <c r="AZ40" i="190"/>
  <c r="V40" i="190"/>
  <c r="BQ40" i="190"/>
  <c r="AS40" i="190"/>
  <c r="Q40" i="190"/>
  <c r="BA40" i="190"/>
  <c r="CC40" i="190"/>
  <c r="AY40" i="190"/>
  <c r="CB40" i="190"/>
  <c r="AN40" i="190"/>
  <c r="AF40" i="190"/>
  <c r="BP40" i="190"/>
  <c r="S40" i="190"/>
  <c r="BL40" i="190"/>
  <c r="BK40" i="190"/>
  <c r="BB40" i="190"/>
  <c r="BR40" i="190"/>
  <c r="AE40" i="190"/>
  <c r="AK40" i="190"/>
  <c r="AG40" i="190"/>
  <c r="CA61" i="190"/>
  <c r="BS61" i="190"/>
  <c r="BK61" i="190"/>
  <c r="BC61" i="190"/>
  <c r="AU61" i="190"/>
  <c r="AM61" i="190"/>
  <c r="AE61" i="190"/>
  <c r="W61" i="190"/>
  <c r="BV61" i="190"/>
  <c r="BM61" i="190"/>
  <c r="BD61" i="190"/>
  <c r="AT61" i="190"/>
  <c r="AK61" i="190"/>
  <c r="AB61" i="190"/>
  <c r="S61" i="190"/>
  <c r="CB61" i="190"/>
  <c r="BQ61" i="190"/>
  <c r="BG61" i="190"/>
  <c r="AW61" i="190"/>
  <c r="AL61" i="190"/>
  <c r="AA61" i="190"/>
  <c r="Q61" i="190"/>
  <c r="BZ61" i="190"/>
  <c r="BP61" i="190"/>
  <c r="BF61" i="190"/>
  <c r="AV61" i="190"/>
  <c r="AJ61" i="190"/>
  <c r="Z61" i="190"/>
  <c r="BT61" i="190"/>
  <c r="BE61" i="190"/>
  <c r="AQ61" i="190"/>
  <c r="AD61" i="190"/>
  <c r="BR61" i="190"/>
  <c r="BB61" i="190"/>
  <c r="AP61" i="190"/>
  <c r="AC61" i="190"/>
  <c r="BU61" i="190"/>
  <c r="AZ61" i="190"/>
  <c r="AH61" i="190"/>
  <c r="R61" i="190"/>
  <c r="BO61" i="190"/>
  <c r="AY61" i="190"/>
  <c r="AG61" i="190"/>
  <c r="BN61" i="190"/>
  <c r="AX61" i="190"/>
  <c r="AF61" i="190"/>
  <c r="BJ61" i="190"/>
  <c r="AI61" i="190"/>
  <c r="BI61" i="190"/>
  <c r="Y61" i="190"/>
  <c r="BH61" i="190"/>
  <c r="X61" i="190"/>
  <c r="CC61" i="190"/>
  <c r="BA61" i="190"/>
  <c r="V61" i="190"/>
  <c r="BW61" i="190"/>
  <c r="BL61" i="190"/>
  <c r="AS61" i="190"/>
  <c r="AR61" i="190"/>
  <c r="BY61" i="190"/>
  <c r="BX61" i="190"/>
  <c r="AN61" i="190"/>
  <c r="T61" i="190"/>
  <c r="AO61" i="190"/>
  <c r="U61" i="190"/>
  <c r="BZ46" i="190"/>
  <c r="BR46" i="190"/>
  <c r="BJ46" i="190"/>
  <c r="BB46" i="190"/>
  <c r="AT46" i="190"/>
  <c r="AL46" i="190"/>
  <c r="AD46" i="190"/>
  <c r="V46" i="190"/>
  <c r="CA46" i="190"/>
  <c r="BQ46" i="190"/>
  <c r="BH46" i="190"/>
  <c r="AY46" i="190"/>
  <c r="AP46" i="190"/>
  <c r="AG46" i="190"/>
  <c r="X46" i="190"/>
  <c r="BY46" i="190"/>
  <c r="BP46" i="190"/>
  <c r="BG46" i="190"/>
  <c r="AX46" i="190"/>
  <c r="AO46" i="190"/>
  <c r="AF46" i="190"/>
  <c r="W46" i="190"/>
  <c r="CB46" i="190"/>
  <c r="BN46" i="190"/>
  <c r="BC46" i="190"/>
  <c r="AQ46" i="190"/>
  <c r="AC46" i="190"/>
  <c r="R46" i="190"/>
  <c r="BX46" i="190"/>
  <c r="BM46" i="190"/>
  <c r="BA46" i="190"/>
  <c r="AN46" i="190"/>
  <c r="AB46" i="190"/>
  <c r="Q46" i="190"/>
  <c r="BS46" i="190"/>
  <c r="AZ46" i="190"/>
  <c r="AJ46" i="190"/>
  <c r="T46" i="190"/>
  <c r="BL46" i="190"/>
  <c r="AV46" i="190"/>
  <c r="AH46" i="190"/>
  <c r="BO46" i="190"/>
  <c r="AW46" i="190"/>
  <c r="AI46" i="190"/>
  <c r="S46" i="190"/>
  <c r="CC46" i="190"/>
  <c r="BK46" i="190"/>
  <c r="AU46" i="190"/>
  <c r="AE46" i="190"/>
  <c r="BW46" i="190"/>
  <c r="AS46" i="190"/>
  <c r="BV46" i="190"/>
  <c r="AR46" i="190"/>
  <c r="BU46" i="190"/>
  <c r="AM46" i="190"/>
  <c r="BT46" i="190"/>
  <c r="AK46" i="190"/>
  <c r="AA46" i="190"/>
  <c r="Z46" i="190"/>
  <c r="Y46" i="190"/>
  <c r="BF46" i="190"/>
  <c r="BE46" i="190"/>
  <c r="BD46" i="190"/>
  <c r="U46" i="190"/>
  <c r="BI46" i="190"/>
  <c r="BV54" i="190"/>
  <c r="BN54" i="190"/>
  <c r="BF54" i="190"/>
  <c r="AX54" i="190"/>
  <c r="AP54" i="190"/>
  <c r="AH54" i="190"/>
  <c r="Z54" i="190"/>
  <c r="R54" i="190"/>
  <c r="CB54" i="190"/>
  <c r="BS54" i="190"/>
  <c r="BJ54" i="190"/>
  <c r="BA54" i="190"/>
  <c r="AR54" i="190"/>
  <c r="AI54" i="190"/>
  <c r="Y54" i="190"/>
  <c r="CA54" i="190"/>
  <c r="BR54" i="190"/>
  <c r="BI54" i="190"/>
  <c r="AZ54" i="190"/>
  <c r="AQ54" i="190"/>
  <c r="AG54" i="190"/>
  <c r="X54" i="190"/>
  <c r="BQ54" i="190"/>
  <c r="BE54" i="190"/>
  <c r="AT54" i="190"/>
  <c r="AF54" i="190"/>
  <c r="U54" i="190"/>
  <c r="CC54" i="190"/>
  <c r="BP54" i="190"/>
  <c r="BD54" i="190"/>
  <c r="AS54" i="190"/>
  <c r="AE54" i="190"/>
  <c r="T54" i="190"/>
  <c r="BM54" i="190"/>
  <c r="AW54" i="190"/>
  <c r="AJ54" i="190"/>
  <c r="Q54" i="190"/>
  <c r="BZ54" i="190"/>
  <c r="BL54" i="190"/>
  <c r="AV54" i="190"/>
  <c r="AD54" i="190"/>
  <c r="BO54" i="190"/>
  <c r="AO54" i="190"/>
  <c r="W54" i="190"/>
  <c r="BH54" i="190"/>
  <c r="S54" i="190"/>
  <c r="BK54" i="190"/>
  <c r="AN54" i="190"/>
  <c r="V54" i="190"/>
  <c r="AM54" i="190"/>
  <c r="BY54" i="190"/>
  <c r="BG54" i="190"/>
  <c r="AL54" i="190"/>
  <c r="AU54" i="190"/>
  <c r="BX54" i="190"/>
  <c r="AK54" i="190"/>
  <c r="BW54" i="190"/>
  <c r="AC54" i="190"/>
  <c r="BU54" i="190"/>
  <c r="AB54" i="190"/>
  <c r="BT54" i="190"/>
  <c r="BC54" i="190"/>
  <c r="BB54" i="190"/>
  <c r="AA54" i="190"/>
  <c r="AY54" i="190"/>
  <c r="BV50" i="190"/>
  <c r="BN50" i="190"/>
  <c r="BF50" i="190"/>
  <c r="AX50" i="190"/>
  <c r="AP50" i="190"/>
  <c r="AH50" i="190"/>
  <c r="BX50" i="190"/>
  <c r="BO50" i="190"/>
  <c r="BE50" i="190"/>
  <c r="AV50" i="190"/>
  <c r="AM50" i="190"/>
  <c r="AD50" i="190"/>
  <c r="V50" i="190"/>
  <c r="BW50" i="190"/>
  <c r="BM50" i="190"/>
  <c r="BD50" i="190"/>
  <c r="AU50" i="190"/>
  <c r="AL50" i="190"/>
  <c r="AC50" i="190"/>
  <c r="U50" i="190"/>
  <c r="BU50" i="190"/>
  <c r="BJ50" i="190"/>
  <c r="AY50" i="190"/>
  <c r="AK50" i="190"/>
  <c r="Z50" i="190"/>
  <c r="BT50" i="190"/>
  <c r="BI50" i="190"/>
  <c r="AW50" i="190"/>
  <c r="AJ50" i="190"/>
  <c r="Y50" i="190"/>
  <c r="BY50" i="190"/>
  <c r="BG50" i="190"/>
  <c r="AQ50" i="190"/>
  <c r="AA50" i="190"/>
  <c r="BS50" i="190"/>
  <c r="BC50" i="190"/>
  <c r="AO50" i="190"/>
  <c r="X50" i="190"/>
  <c r="BP50" i="190"/>
  <c r="AS50" i="190"/>
  <c r="W50" i="190"/>
  <c r="CC50" i="190"/>
  <c r="BK50" i="190"/>
  <c r="AN50" i="190"/>
  <c r="BL50" i="190"/>
  <c r="AR50" i="190"/>
  <c r="T50" i="190"/>
  <c r="S50" i="190"/>
  <c r="CB50" i="190"/>
  <c r="BH50" i="190"/>
  <c r="AI50" i="190"/>
  <c r="R50" i="190"/>
  <c r="BA50" i="190"/>
  <c r="AZ50" i="190"/>
  <c r="AT50" i="190"/>
  <c r="CA50" i="190"/>
  <c r="AG50" i="190"/>
  <c r="BQ50" i="190"/>
  <c r="BB50" i="190"/>
  <c r="AF50" i="190"/>
  <c r="BR50" i="190"/>
  <c r="AE50" i="190"/>
  <c r="AB50" i="190"/>
  <c r="Q50" i="190"/>
  <c r="BZ50" i="190"/>
  <c r="BV44" i="190"/>
  <c r="BN44" i="190"/>
  <c r="BF44" i="190"/>
  <c r="AX44" i="190"/>
  <c r="AP44" i="190"/>
  <c r="AH44" i="190"/>
  <c r="Z44" i="190"/>
  <c r="R44" i="190"/>
  <c r="CB44" i="190"/>
  <c r="BS44" i="190"/>
  <c r="BJ44" i="190"/>
  <c r="BA44" i="190"/>
  <c r="AR44" i="190"/>
  <c r="AI44" i="190"/>
  <c r="Y44" i="190"/>
  <c r="CA44" i="190"/>
  <c r="BR44" i="190"/>
  <c r="BI44" i="190"/>
  <c r="AZ44" i="190"/>
  <c r="AQ44" i="190"/>
  <c r="AG44" i="190"/>
  <c r="X44" i="190"/>
  <c r="CC44" i="190"/>
  <c r="BP44" i="190"/>
  <c r="BD44" i="190"/>
  <c r="AS44" i="190"/>
  <c r="AE44" i="190"/>
  <c r="T44" i="190"/>
  <c r="BZ44" i="190"/>
  <c r="BO44" i="190"/>
  <c r="BC44" i="190"/>
  <c r="AO44" i="190"/>
  <c r="AD44" i="190"/>
  <c r="S44" i="190"/>
  <c r="BT44" i="190"/>
  <c r="BB44" i="190"/>
  <c r="AL44" i="190"/>
  <c r="V44" i="190"/>
  <c r="BQ44" i="190"/>
  <c r="AY44" i="190"/>
  <c r="AK44" i="190"/>
  <c r="U44" i="190"/>
  <c r="BM44" i="190"/>
  <c r="AW44" i="190"/>
  <c r="AJ44" i="190"/>
  <c r="Q44" i="190"/>
  <c r="BL44" i="190"/>
  <c r="AV44" i="190"/>
  <c r="AF44" i="190"/>
  <c r="BW44" i="190"/>
  <c r="BU44" i="190"/>
  <c r="AM44" i="190"/>
  <c r="BH44" i="190"/>
  <c r="AB44" i="190"/>
  <c r="BX44" i="190"/>
  <c r="AA44" i="190"/>
  <c r="BK44" i="190"/>
  <c r="W44" i="190"/>
  <c r="BG44" i="190"/>
  <c r="AU44" i="190"/>
  <c r="AN44" i="190"/>
  <c r="AC44" i="190"/>
  <c r="AT44" i="190"/>
  <c r="BY44" i="190"/>
  <c r="BE44" i="190"/>
  <c r="BW59" i="190"/>
  <c r="BO59" i="190"/>
  <c r="BG59" i="190"/>
  <c r="AY59" i="190"/>
  <c r="AQ59" i="190"/>
  <c r="AI59" i="190"/>
  <c r="AA59" i="190"/>
  <c r="S59" i="190"/>
  <c r="BX59" i="190"/>
  <c r="BN59" i="190"/>
  <c r="BE59" i="190"/>
  <c r="AV59" i="190"/>
  <c r="AM59" i="190"/>
  <c r="AD59" i="190"/>
  <c r="U59" i="190"/>
  <c r="CC59" i="190"/>
  <c r="BS59" i="190"/>
  <c r="BI59" i="190"/>
  <c r="AX59" i="190"/>
  <c r="AN59" i="190"/>
  <c r="AC59" i="190"/>
  <c r="R59" i="190"/>
  <c r="CB59" i="190"/>
  <c r="BR59" i="190"/>
  <c r="BH59" i="190"/>
  <c r="AW59" i="190"/>
  <c r="AL59" i="190"/>
  <c r="AB59" i="190"/>
  <c r="Q59" i="190"/>
  <c r="CA59" i="190"/>
  <c r="BM59" i="190"/>
  <c r="BA59" i="190"/>
  <c r="AK59" i="190"/>
  <c r="X59" i="190"/>
  <c r="BZ59" i="190"/>
  <c r="BL59" i="190"/>
  <c r="AZ59" i="190"/>
  <c r="AJ59" i="190"/>
  <c r="W59" i="190"/>
  <c r="BT59" i="190"/>
  <c r="BB59" i="190"/>
  <c r="AG59" i="190"/>
  <c r="BQ59" i="190"/>
  <c r="AU59" i="190"/>
  <c r="AF59" i="190"/>
  <c r="BP59" i="190"/>
  <c r="AT59" i="190"/>
  <c r="AE59" i="190"/>
  <c r="BU59" i="190"/>
  <c r="AP59" i="190"/>
  <c r="BK59" i="190"/>
  <c r="AO59" i="190"/>
  <c r="BJ59" i="190"/>
  <c r="AH59" i="190"/>
  <c r="BF59" i="190"/>
  <c r="Z59" i="190"/>
  <c r="BC59" i="190"/>
  <c r="AS59" i="190"/>
  <c r="AR59" i="190"/>
  <c r="Y59" i="190"/>
  <c r="BD59" i="190"/>
  <c r="V59" i="190"/>
  <c r="T59" i="190"/>
  <c r="BV59" i="190"/>
  <c r="BY59" i="190"/>
  <c r="BW22" i="190"/>
  <c r="BO22" i="190"/>
  <c r="BG22" i="190"/>
  <c r="AY22" i="190"/>
  <c r="AQ22" i="190"/>
  <c r="AI22" i="190"/>
  <c r="AA22" i="190"/>
  <c r="S22" i="190"/>
  <c r="BV22" i="190"/>
  <c r="BN22" i="190"/>
  <c r="BF22" i="190"/>
  <c r="AX22" i="190"/>
  <c r="AP22" i="190"/>
  <c r="AH22" i="190"/>
  <c r="Z22" i="190"/>
  <c r="R22" i="190"/>
  <c r="BU22" i="190"/>
  <c r="BK22" i="190"/>
  <c r="BA22" i="190"/>
  <c r="AO22" i="190"/>
  <c r="AE22" i="190"/>
  <c r="U22" i="190"/>
  <c r="BS22" i="190"/>
  <c r="AW22" i="190"/>
  <c r="AC22" i="190"/>
  <c r="Q22" i="190"/>
  <c r="BT22" i="190"/>
  <c r="BJ22" i="190"/>
  <c r="AZ22" i="190"/>
  <c r="AN22" i="190"/>
  <c r="AD22" i="190"/>
  <c r="T22" i="190"/>
  <c r="CC22" i="190"/>
  <c r="BI22" i="190"/>
  <c r="AM22" i="190"/>
  <c r="BZ22" i="190"/>
  <c r="BH22" i="190"/>
  <c r="AS22" i="190"/>
  <c r="Y22" i="190"/>
  <c r="BX22" i="190"/>
  <c r="BD22" i="190"/>
  <c r="AL22" i="190"/>
  <c r="W22" i="190"/>
  <c r="BM22" i="190"/>
  <c r="AR22" i="190"/>
  <c r="BL22" i="190"/>
  <c r="AK22" i="190"/>
  <c r="CB22" i="190"/>
  <c r="BE22" i="190"/>
  <c r="AJ22" i="190"/>
  <c r="BQ22" i="190"/>
  <c r="AF22" i="190"/>
  <c r="X22" i="190"/>
  <c r="BB22" i="190"/>
  <c r="V22" i="190"/>
  <c r="AV22" i="190"/>
  <c r="CA22" i="190"/>
  <c r="AU22" i="190"/>
  <c r="AG22" i="190"/>
  <c r="BP22" i="190"/>
  <c r="AB22" i="190"/>
  <c r="BC22" i="190"/>
  <c r="BY22" i="190"/>
  <c r="AT22" i="190"/>
  <c r="BR22" i="190"/>
  <c r="CB37" i="190"/>
  <c r="BT37" i="190"/>
  <c r="BL37" i="190"/>
  <c r="BD37" i="190"/>
  <c r="AV37" i="190"/>
  <c r="AN37" i="190"/>
  <c r="AF37" i="190"/>
  <c r="X37" i="190"/>
  <c r="CA37" i="190"/>
  <c r="BR37" i="190"/>
  <c r="BI37" i="190"/>
  <c r="AZ37" i="190"/>
  <c r="AQ37" i="190"/>
  <c r="AH37" i="190"/>
  <c r="Y37" i="190"/>
  <c r="BZ37" i="190"/>
  <c r="BQ37" i="190"/>
  <c r="BH37" i="190"/>
  <c r="AY37" i="190"/>
  <c r="AP37" i="190"/>
  <c r="AG37" i="190"/>
  <c r="CC37" i="190"/>
  <c r="BO37" i="190"/>
  <c r="BC37" i="190"/>
  <c r="AR37" i="190"/>
  <c r="AD37" i="190"/>
  <c r="T37" i="190"/>
  <c r="BY37" i="190"/>
  <c r="BN37" i="190"/>
  <c r="BB37" i="190"/>
  <c r="AO37" i="190"/>
  <c r="AC37" i="190"/>
  <c r="S37" i="190"/>
  <c r="BX37" i="190"/>
  <c r="BJ37" i="190"/>
  <c r="AT37" i="190"/>
  <c r="AB37" i="190"/>
  <c r="BF37" i="190"/>
  <c r="AM37" i="190"/>
  <c r="Z37" i="190"/>
  <c r="BW37" i="190"/>
  <c r="BG37" i="190"/>
  <c r="AS37" i="190"/>
  <c r="AA37" i="190"/>
  <c r="BV37" i="190"/>
  <c r="BU37" i="190"/>
  <c r="AW37" i="190"/>
  <c r="V37" i="190"/>
  <c r="BP37" i="190"/>
  <c r="AL37" i="190"/>
  <c r="R37" i="190"/>
  <c r="AK37" i="190"/>
  <c r="BS37" i="190"/>
  <c r="AJ37" i="190"/>
  <c r="BM37" i="190"/>
  <c r="AI37" i="190"/>
  <c r="BA37" i="190"/>
  <c r="AU37" i="190"/>
  <c r="AE37" i="190"/>
  <c r="Q37" i="190"/>
  <c r="BE37" i="190"/>
  <c r="AX37" i="190"/>
  <c r="W37" i="190"/>
  <c r="U37" i="190"/>
  <c r="BK37" i="190"/>
  <c r="BY62" i="190"/>
  <c r="BQ62" i="190"/>
  <c r="BI62" i="190"/>
  <c r="BA62" i="190"/>
  <c r="AS62" i="190"/>
  <c r="AK62" i="190"/>
  <c r="AC62" i="190"/>
  <c r="U62" i="190"/>
  <c r="BU62" i="190"/>
  <c r="BL62" i="190"/>
  <c r="BC62" i="190"/>
  <c r="AT62" i="190"/>
  <c r="AJ62" i="190"/>
  <c r="AA62" i="190"/>
  <c r="R62" i="190"/>
  <c r="CC62" i="190"/>
  <c r="CA62" i="190"/>
  <c r="BP62" i="190"/>
  <c r="BF62" i="190"/>
  <c r="AV62" i="190"/>
  <c r="AL62" i="190"/>
  <c r="Z62" i="190"/>
  <c r="BZ62" i="190"/>
  <c r="BO62" i="190"/>
  <c r="BE62" i="190"/>
  <c r="AU62" i="190"/>
  <c r="AI62" i="190"/>
  <c r="Y62" i="190"/>
  <c r="BN62" i="190"/>
  <c r="AZ62" i="190"/>
  <c r="AN62" i="190"/>
  <c r="X62" i="190"/>
  <c r="CB62" i="190"/>
  <c r="BM62" i="190"/>
  <c r="AY62" i="190"/>
  <c r="AM62" i="190"/>
  <c r="W62" i="190"/>
  <c r="BT62" i="190"/>
  <c r="BB62" i="190"/>
  <c r="AG62" i="190"/>
  <c r="Q62" i="190"/>
  <c r="BS62" i="190"/>
  <c r="AX62" i="190"/>
  <c r="AF62" i="190"/>
  <c r="BR62" i="190"/>
  <c r="AW62" i="190"/>
  <c r="AE62" i="190"/>
  <c r="BW62" i="190"/>
  <c r="AQ62" i="190"/>
  <c r="S62" i="190"/>
  <c r="AO62" i="190"/>
  <c r="BV62" i="190"/>
  <c r="AP62" i="190"/>
  <c r="BK62" i="190"/>
  <c r="BJ62" i="190"/>
  <c r="AH62" i="190"/>
  <c r="AR62" i="190"/>
  <c r="AD62" i="190"/>
  <c r="AB62" i="190"/>
  <c r="V62" i="190"/>
  <c r="BH62" i="190"/>
  <c r="BD62" i="190"/>
  <c r="T62" i="190"/>
  <c r="BX62" i="190"/>
  <c r="BG62" i="190"/>
  <c r="BX47" i="190"/>
  <c r="BP47" i="190"/>
  <c r="BH47" i="190"/>
  <c r="AZ47" i="190"/>
  <c r="AR47" i="190"/>
  <c r="AJ47" i="190"/>
  <c r="AB47" i="190"/>
  <c r="T47" i="190"/>
  <c r="BY47" i="190"/>
  <c r="BO47" i="190"/>
  <c r="BF47" i="190"/>
  <c r="AW47" i="190"/>
  <c r="AN47" i="190"/>
  <c r="AE47" i="190"/>
  <c r="V47" i="190"/>
  <c r="BW47" i="190"/>
  <c r="BN47" i="190"/>
  <c r="BE47" i="190"/>
  <c r="AV47" i="190"/>
  <c r="AM47" i="190"/>
  <c r="AD47" i="190"/>
  <c r="U47" i="190"/>
  <c r="BV47" i="190"/>
  <c r="BK47" i="190"/>
  <c r="AY47" i="190"/>
  <c r="AL47" i="190"/>
  <c r="Z47" i="190"/>
  <c r="BU47" i="190"/>
  <c r="BJ47" i="190"/>
  <c r="AX47" i="190"/>
  <c r="AK47" i="190"/>
  <c r="Y47" i="190"/>
  <c r="BT47" i="190"/>
  <c r="BD47" i="190"/>
  <c r="AP47" i="190"/>
  <c r="X47" i="190"/>
  <c r="S47" i="190"/>
  <c r="BS47" i="190"/>
  <c r="BC47" i="190"/>
  <c r="AO47" i="190"/>
  <c r="W47" i="190"/>
  <c r="BR47" i="190"/>
  <c r="BB47" i="190"/>
  <c r="AI47" i="190"/>
  <c r="BQ47" i="190"/>
  <c r="BA47" i="190"/>
  <c r="AH47" i="190"/>
  <c r="R47" i="190"/>
  <c r="BM47" i="190"/>
  <c r="AG47" i="190"/>
  <c r="BL47" i="190"/>
  <c r="AF47" i="190"/>
  <c r="BI47" i="190"/>
  <c r="AC47" i="190"/>
  <c r="BG47" i="190"/>
  <c r="AA47" i="190"/>
  <c r="CC47" i="190"/>
  <c r="Q47" i="190"/>
  <c r="CB47" i="190"/>
  <c r="CA47" i="190"/>
  <c r="BZ47" i="190"/>
  <c r="AU47" i="190"/>
  <c r="AT47" i="190"/>
  <c r="AS47" i="190"/>
  <c r="AQ47" i="190"/>
  <c r="BX35" i="190"/>
  <c r="BP35" i="190"/>
  <c r="BH35" i="190"/>
  <c r="AZ35" i="190"/>
  <c r="AR35" i="190"/>
  <c r="AJ35" i="190"/>
  <c r="AB35" i="190"/>
  <c r="T35" i="190"/>
  <c r="CC35" i="190"/>
  <c r="BT35" i="190"/>
  <c r="BK35" i="190"/>
  <c r="BB35" i="190"/>
  <c r="AS35" i="190"/>
  <c r="AI35" i="190"/>
  <c r="Z35" i="190"/>
  <c r="Q35" i="190"/>
  <c r="BV35" i="190"/>
  <c r="BL35" i="190"/>
  <c r="BA35" i="190"/>
  <c r="AP35" i="190"/>
  <c r="AF35" i="190"/>
  <c r="V35" i="190"/>
  <c r="BU35" i="190"/>
  <c r="BJ35" i="190"/>
  <c r="AY35" i="190"/>
  <c r="AO35" i="190"/>
  <c r="AE35" i="190"/>
  <c r="U35" i="190"/>
  <c r="CA35" i="190"/>
  <c r="BN35" i="190"/>
  <c r="AX35" i="190"/>
  <c r="AL35" i="190"/>
  <c r="X35" i="190"/>
  <c r="BY35" i="190"/>
  <c r="S35" i="190"/>
  <c r="BZ35" i="190"/>
  <c r="BM35" i="190"/>
  <c r="AW35" i="190"/>
  <c r="AK35" i="190"/>
  <c r="W35" i="190"/>
  <c r="BI35" i="190"/>
  <c r="AV35" i="190"/>
  <c r="AH35" i="190"/>
  <c r="BG35" i="190"/>
  <c r="AN35" i="190"/>
  <c r="CB35" i="190"/>
  <c r="BE35" i="190"/>
  <c r="AG35" i="190"/>
  <c r="BS35" i="190"/>
  <c r="AT35" i="190"/>
  <c r="BR35" i="190"/>
  <c r="AQ35" i="190"/>
  <c r="BQ35" i="190"/>
  <c r="AM35" i="190"/>
  <c r="BF35" i="190"/>
  <c r="R35" i="190"/>
  <c r="AU35" i="190"/>
  <c r="Y35" i="190"/>
  <c r="BD35" i="190"/>
  <c r="BC35" i="190"/>
  <c r="AD35" i="190"/>
  <c r="AC35" i="190"/>
  <c r="BW35" i="190"/>
  <c r="AA35" i="190"/>
  <c r="BO35" i="190"/>
  <c r="BZ34" i="190"/>
  <c r="BR34" i="190"/>
  <c r="BJ34" i="190"/>
  <c r="BB34" i="190"/>
  <c r="AT34" i="190"/>
  <c r="AL34" i="190"/>
  <c r="AD34" i="190"/>
  <c r="V34" i="190"/>
  <c r="BV34" i="190"/>
  <c r="BM34" i="190"/>
  <c r="BD34" i="190"/>
  <c r="AU34" i="190"/>
  <c r="AK34" i="190"/>
  <c r="AB34" i="190"/>
  <c r="S34" i="190"/>
  <c r="BX34" i="190"/>
  <c r="BN34" i="190"/>
  <c r="BC34" i="190"/>
  <c r="AR34" i="190"/>
  <c r="AH34" i="190"/>
  <c r="X34" i="190"/>
  <c r="BW34" i="190"/>
  <c r="BL34" i="190"/>
  <c r="BA34" i="190"/>
  <c r="AQ34" i="190"/>
  <c r="AG34" i="190"/>
  <c r="W34" i="190"/>
  <c r="BT34" i="190"/>
  <c r="BG34" i="190"/>
  <c r="AS34" i="190"/>
  <c r="AE34" i="190"/>
  <c r="Q34" i="190"/>
  <c r="BQ34" i="190"/>
  <c r="BE34" i="190"/>
  <c r="AO34" i="190"/>
  <c r="AA34" i="190"/>
  <c r="BS34" i="190"/>
  <c r="BF34" i="190"/>
  <c r="AP34" i="190"/>
  <c r="AC34" i="190"/>
  <c r="BY34" i="190"/>
  <c r="AY34" i="190"/>
  <c r="AF34" i="190"/>
  <c r="BP34" i="190"/>
  <c r="AW34" i="190"/>
  <c r="Y34" i="190"/>
  <c r="BK34" i="190"/>
  <c r="AJ34" i="190"/>
  <c r="BI34" i="190"/>
  <c r="AI34" i="190"/>
  <c r="BH34" i="190"/>
  <c r="Z34" i="190"/>
  <c r="AX34" i="190"/>
  <c r="CC34" i="190"/>
  <c r="AN34" i="190"/>
  <c r="CB34" i="190"/>
  <c r="AM34" i="190"/>
  <c r="CA34" i="190"/>
  <c r="BO34" i="190"/>
  <c r="AZ34" i="190"/>
  <c r="AV34" i="190"/>
  <c r="U34" i="190"/>
  <c r="BU34" i="190"/>
  <c r="T34" i="190"/>
  <c r="R34" i="190"/>
  <c r="BW14" i="190"/>
  <c r="BO14" i="190"/>
  <c r="BG14" i="190"/>
  <c r="AY14" i="190"/>
  <c r="AQ14" i="190"/>
  <c r="AI14" i="190"/>
  <c r="AA14" i="190"/>
  <c r="S14" i="190"/>
  <c r="CC14" i="190"/>
  <c r="BT14" i="190"/>
  <c r="BK14" i="190"/>
  <c r="BB14" i="190"/>
  <c r="AS14" i="190"/>
  <c r="AJ14" i="190"/>
  <c r="Z14" i="190"/>
  <c r="Q14" i="190"/>
  <c r="CA14" i="190"/>
  <c r="BR14" i="190"/>
  <c r="BI14" i="190"/>
  <c r="AZ14" i="190"/>
  <c r="AP14" i="190"/>
  <c r="X14" i="190"/>
  <c r="CB14" i="190"/>
  <c r="BS14" i="190"/>
  <c r="BJ14" i="190"/>
  <c r="BA14" i="190"/>
  <c r="AR14" i="190"/>
  <c r="AH14" i="190"/>
  <c r="Y14" i="190"/>
  <c r="AG14" i="190"/>
  <c r="BX14" i="190"/>
  <c r="BH14" i="190"/>
  <c r="AU14" i="190"/>
  <c r="AE14" i="190"/>
  <c r="R14" i="190"/>
  <c r="BU14" i="190"/>
  <c r="BE14" i="190"/>
  <c r="AO14" i="190"/>
  <c r="AC14" i="190"/>
  <c r="BZ14" i="190"/>
  <c r="BF14" i="190"/>
  <c r="AM14" i="190"/>
  <c r="U14" i="190"/>
  <c r="BY14" i="190"/>
  <c r="BD14" i="190"/>
  <c r="AL14" i="190"/>
  <c r="T14" i="190"/>
  <c r="BQ14" i="190"/>
  <c r="AV14" i="190"/>
  <c r="V14" i="190"/>
  <c r="BN14" i="190"/>
  <c r="AN14" i="190"/>
  <c r="BC14" i="190"/>
  <c r="AD14" i="190"/>
  <c r="AB14" i="190"/>
  <c r="BV14" i="190"/>
  <c r="AW14" i="190"/>
  <c r="BP14" i="190"/>
  <c r="AT14" i="190"/>
  <c r="BM14" i="190"/>
  <c r="AK14" i="190"/>
  <c r="BL14" i="190"/>
  <c r="AF14" i="190"/>
  <c r="AX14" i="190"/>
  <c r="W14" i="190"/>
  <c r="CC15" i="190"/>
  <c r="BU15" i="190"/>
  <c r="BM15" i="190"/>
  <c r="BE15" i="190"/>
  <c r="AW15" i="190"/>
  <c r="AO15" i="190"/>
  <c r="AG15" i="190"/>
  <c r="Y15" i="190"/>
  <c r="Q15" i="190"/>
  <c r="CB15" i="190"/>
  <c r="BT15" i="190"/>
  <c r="BL15" i="190"/>
  <c r="BD15" i="190"/>
  <c r="AV15" i="190"/>
  <c r="AN15" i="190"/>
  <c r="AF15" i="190"/>
  <c r="X15" i="190"/>
  <c r="BS15" i="190"/>
  <c r="BI15" i="190"/>
  <c r="AY15" i="190"/>
  <c r="AM15" i="190"/>
  <c r="AC15" i="190"/>
  <c r="S15" i="190"/>
  <c r="BQ15" i="190"/>
  <c r="AU15" i="190"/>
  <c r="AA15" i="190"/>
  <c r="BR15" i="190"/>
  <c r="BH15" i="190"/>
  <c r="AX15" i="190"/>
  <c r="AL15" i="190"/>
  <c r="AB15" i="190"/>
  <c r="R15" i="190"/>
  <c r="CA15" i="190"/>
  <c r="BG15" i="190"/>
  <c r="AK15" i="190"/>
  <c r="BP15" i="190"/>
  <c r="BA15" i="190"/>
  <c r="AI15" i="190"/>
  <c r="T15" i="190"/>
  <c r="BN15" i="190"/>
  <c r="AT15" i="190"/>
  <c r="AE15" i="190"/>
  <c r="BW15" i="190"/>
  <c r="AZ15" i="190"/>
  <c r="Z15" i="190"/>
  <c r="BV15" i="190"/>
  <c r="AS15" i="190"/>
  <c r="W15" i="190"/>
  <c r="BF15" i="190"/>
  <c r="AD15" i="190"/>
  <c r="BZ15" i="190"/>
  <c r="BB15" i="190"/>
  <c r="U15" i="190"/>
  <c r="BX15" i="190"/>
  <c r="AJ15" i="190"/>
  <c r="BJ15" i="190"/>
  <c r="AH15" i="190"/>
  <c r="BC15" i="190"/>
  <c r="V15" i="190"/>
  <c r="BY15" i="190"/>
  <c r="AR15" i="190"/>
  <c r="AQ15" i="190"/>
  <c r="BK15" i="190"/>
  <c r="BO15" i="190"/>
  <c r="AP15" i="190"/>
  <c r="CB49" i="190"/>
  <c r="BT49" i="190"/>
  <c r="BL49" i="190"/>
  <c r="BD49" i="190"/>
  <c r="AV49" i="190"/>
  <c r="AN49" i="190"/>
  <c r="AF49" i="190"/>
  <c r="X49" i="190"/>
  <c r="CA49" i="190"/>
  <c r="BS49" i="190"/>
  <c r="BK49" i="190"/>
  <c r="BC49" i="190"/>
  <c r="AU49" i="190"/>
  <c r="AM49" i="190"/>
  <c r="AE49" i="190"/>
  <c r="W49" i="190"/>
  <c r="BZ49" i="190"/>
  <c r="BP49" i="190"/>
  <c r="BF49" i="190"/>
  <c r="AT49" i="190"/>
  <c r="AJ49" i="190"/>
  <c r="Z49" i="190"/>
  <c r="BY49" i="190"/>
  <c r="BO49" i="190"/>
  <c r="BE49" i="190"/>
  <c r="AS49" i="190"/>
  <c r="AI49" i="190"/>
  <c r="Y49" i="190"/>
  <c r="BU49" i="190"/>
  <c r="BG49" i="190"/>
  <c r="AQ49" i="190"/>
  <c r="AC49" i="190"/>
  <c r="Q49" i="190"/>
  <c r="BR49" i="190"/>
  <c r="BB49" i="190"/>
  <c r="AP49" i="190"/>
  <c r="AB49" i="190"/>
  <c r="CC49" i="190"/>
  <c r="BI49" i="190"/>
  <c r="AO49" i="190"/>
  <c r="U49" i="190"/>
  <c r="BW49" i="190"/>
  <c r="BA49" i="190"/>
  <c r="AK49" i="190"/>
  <c r="S49" i="190"/>
  <c r="BX49" i="190"/>
  <c r="BH49" i="190"/>
  <c r="AL49" i="190"/>
  <c r="T49" i="190"/>
  <c r="BV49" i="190"/>
  <c r="AZ49" i="190"/>
  <c r="AH49" i="190"/>
  <c r="R49" i="190"/>
  <c r="AX49" i="190"/>
  <c r="AW49" i="190"/>
  <c r="AR49" i="190"/>
  <c r="BQ49" i="190"/>
  <c r="AG49" i="190"/>
  <c r="BM49" i="190"/>
  <c r="BJ49" i="190"/>
  <c r="AY49" i="190"/>
  <c r="AD49" i="190"/>
  <c r="V49" i="190"/>
  <c r="BN49" i="190"/>
  <c r="AA49" i="190"/>
  <c r="CA20" i="190"/>
  <c r="BS20" i="190"/>
  <c r="BK20" i="190"/>
  <c r="BC20" i="190"/>
  <c r="AU20" i="190"/>
  <c r="AM20" i="190"/>
  <c r="AE20" i="190"/>
  <c r="W20" i="190"/>
  <c r="BZ20" i="190"/>
  <c r="BR20" i="190"/>
  <c r="BJ20" i="190"/>
  <c r="BB20" i="190"/>
  <c r="AT20" i="190"/>
  <c r="AL20" i="190"/>
  <c r="AD20" i="190"/>
  <c r="V20" i="190"/>
  <c r="BV20" i="190"/>
  <c r="BL20" i="190"/>
  <c r="AZ20" i="190"/>
  <c r="AP20" i="190"/>
  <c r="AF20" i="190"/>
  <c r="T20" i="190"/>
  <c r="BT20" i="190"/>
  <c r="BH20" i="190"/>
  <c r="AX20" i="190"/>
  <c r="AN20" i="190"/>
  <c r="AB20" i="190"/>
  <c r="BU20" i="190"/>
  <c r="BI20" i="190"/>
  <c r="AY20" i="190"/>
  <c r="AO20" i="190"/>
  <c r="AC20" i="190"/>
  <c r="S20" i="190"/>
  <c r="R20" i="190"/>
  <c r="BW20" i="190"/>
  <c r="BE20" i="190"/>
  <c r="AK20" i="190"/>
  <c r="X20" i="190"/>
  <c r="BP20" i="190"/>
  <c r="BA20" i="190"/>
  <c r="AI20" i="190"/>
  <c r="Q20" i="190"/>
  <c r="CC20" i="190"/>
  <c r="BG20" i="190"/>
  <c r="AJ20" i="190"/>
  <c r="CB20" i="190"/>
  <c r="BF20" i="190"/>
  <c r="AH20" i="190"/>
  <c r="BY20" i="190"/>
  <c r="BD20" i="190"/>
  <c r="AG20" i="190"/>
  <c r="AS20" i="190"/>
  <c r="BQ20" i="190"/>
  <c r="AA20" i="190"/>
  <c r="BN20" i="190"/>
  <c r="BM20" i="190"/>
  <c r="Y20" i="190"/>
  <c r="AV20" i="190"/>
  <c r="BX20" i="190"/>
  <c r="AR20" i="190"/>
  <c r="AQ20" i="190"/>
  <c r="BO20" i="190"/>
  <c r="Z20" i="190"/>
  <c r="AW20" i="190"/>
  <c r="U20" i="190"/>
  <c r="BX25" i="190"/>
  <c r="BP25" i="190"/>
  <c r="BH25" i="190"/>
  <c r="AZ25" i="190"/>
  <c r="AR25" i="190"/>
  <c r="AJ25" i="190"/>
  <c r="AB25" i="190"/>
  <c r="T25" i="190"/>
  <c r="BZ25" i="190"/>
  <c r="BQ25" i="190"/>
  <c r="BG25" i="190"/>
  <c r="AX25" i="190"/>
  <c r="AO25" i="190"/>
  <c r="AF25" i="190"/>
  <c r="W25" i="190"/>
  <c r="BY25" i="190"/>
  <c r="BO25" i="190"/>
  <c r="BF25" i="190"/>
  <c r="AW25" i="190"/>
  <c r="AN25" i="190"/>
  <c r="AE25" i="190"/>
  <c r="V25" i="190"/>
  <c r="CB25" i="190"/>
  <c r="BN25" i="190"/>
  <c r="BC25" i="190"/>
  <c r="AQ25" i="190"/>
  <c r="AD25" i="190"/>
  <c r="R25" i="190"/>
  <c r="BA25" i="190"/>
  <c r="AA25" i="190"/>
  <c r="CA25" i="190"/>
  <c r="BM25" i="190"/>
  <c r="BB25" i="190"/>
  <c r="AP25" i="190"/>
  <c r="AC25" i="190"/>
  <c r="Q25" i="190"/>
  <c r="BW25" i="190"/>
  <c r="BL25" i="190"/>
  <c r="AM25" i="190"/>
  <c r="BR25" i="190"/>
  <c r="AU25" i="190"/>
  <c r="Z25" i="190"/>
  <c r="BJ25" i="190"/>
  <c r="AS25" i="190"/>
  <c r="X25" i="190"/>
  <c r="BT25" i="190"/>
  <c r="AT25" i="190"/>
  <c r="S25" i="190"/>
  <c r="BS25" i="190"/>
  <c r="AL25" i="190"/>
  <c r="BK25" i="190"/>
  <c r="AK25" i="190"/>
  <c r="BV25" i="190"/>
  <c r="AH25" i="190"/>
  <c r="Y25" i="190"/>
  <c r="U25" i="190"/>
  <c r="BD25" i="190"/>
  <c r="AY25" i="190"/>
  <c r="BU25" i="190"/>
  <c r="AG25" i="190"/>
  <c r="BI25" i="190"/>
  <c r="BE25" i="190"/>
  <c r="AV25" i="190"/>
  <c r="CC25" i="190"/>
  <c r="AI25" i="190"/>
  <c r="BZ24" i="190"/>
  <c r="BR24" i="190"/>
  <c r="BJ24" i="190"/>
  <c r="BB24" i="190"/>
  <c r="AT24" i="190"/>
  <c r="AL24" i="190"/>
  <c r="AD24" i="190"/>
  <c r="V24" i="190"/>
  <c r="CB24" i="190"/>
  <c r="BS24" i="190"/>
  <c r="BI24" i="190"/>
  <c r="AZ24" i="190"/>
  <c r="AQ24" i="190"/>
  <c r="AH24" i="190"/>
  <c r="Y24" i="190"/>
  <c r="CA24" i="190"/>
  <c r="BQ24" i="190"/>
  <c r="BH24" i="190"/>
  <c r="AY24" i="190"/>
  <c r="AP24" i="190"/>
  <c r="AG24" i="190"/>
  <c r="X24" i="190"/>
  <c r="BP24" i="190"/>
  <c r="BE24" i="190"/>
  <c r="AS24" i="190"/>
  <c r="AF24" i="190"/>
  <c r="T24" i="190"/>
  <c r="BY24" i="190"/>
  <c r="BN24" i="190"/>
  <c r="BC24" i="190"/>
  <c r="AO24" i="190"/>
  <c r="R24" i="190"/>
  <c r="CC24" i="190"/>
  <c r="BO24" i="190"/>
  <c r="BD24" i="190"/>
  <c r="AR24" i="190"/>
  <c r="AE24" i="190"/>
  <c r="S24" i="190"/>
  <c r="AC24" i="190"/>
  <c r="BL24" i="190"/>
  <c r="AU24" i="190"/>
  <c r="Z24" i="190"/>
  <c r="BX24" i="190"/>
  <c r="BG24" i="190"/>
  <c r="AM24" i="190"/>
  <c r="U24" i="190"/>
  <c r="BT24" i="190"/>
  <c r="AN24" i="190"/>
  <c r="BM24" i="190"/>
  <c r="AK24" i="190"/>
  <c r="BK24" i="190"/>
  <c r="AJ24" i="190"/>
  <c r="BV24" i="190"/>
  <c r="AB24" i="190"/>
  <c r="W24" i="190"/>
  <c r="BA24" i="190"/>
  <c r="AX24" i="190"/>
  <c r="AI24" i="190"/>
  <c r="BU24" i="190"/>
  <c r="AA24" i="190"/>
  <c r="BF24" i="190"/>
  <c r="Q24" i="190"/>
  <c r="AV24" i="190"/>
  <c r="AW24" i="190"/>
  <c r="BW24" i="190"/>
  <c r="BY9" i="190"/>
  <c r="BQ9" i="190"/>
  <c r="BI9" i="190"/>
  <c r="BA9" i="190"/>
  <c r="AS9" i="190"/>
  <c r="AK9" i="190"/>
  <c r="AC9" i="190"/>
  <c r="U9" i="190"/>
  <c r="BX9" i="190"/>
  <c r="BO9" i="190"/>
  <c r="BF9" i="190"/>
  <c r="AW9" i="190"/>
  <c r="AN9" i="190"/>
  <c r="AE9" i="190"/>
  <c r="V9" i="190"/>
  <c r="BW9" i="190"/>
  <c r="BN9" i="190"/>
  <c r="BE9" i="190"/>
  <c r="AV9" i="190"/>
  <c r="AM9" i="190"/>
  <c r="AD9" i="190"/>
  <c r="T9" i="190"/>
  <c r="CA9" i="190"/>
  <c r="BM9" i="190"/>
  <c r="BB9" i="190"/>
  <c r="AP9" i="190"/>
  <c r="AB9" i="190"/>
  <c r="Q9" i="190"/>
  <c r="BZ9" i="190"/>
  <c r="BL9" i="190"/>
  <c r="AZ9" i="190"/>
  <c r="AO9" i="190"/>
  <c r="AA9" i="190"/>
  <c r="BU9" i="190"/>
  <c r="BG9" i="190"/>
  <c r="AQ9" i="190"/>
  <c r="Y9" i="190"/>
  <c r="BS9" i="190"/>
  <c r="BC9" i="190"/>
  <c r="AJ9" i="190"/>
  <c r="W9" i="190"/>
  <c r="AY9" i="190"/>
  <c r="S9" i="190"/>
  <c r="BP9" i="190"/>
  <c r="AX9" i="190"/>
  <c r="AH9" i="190"/>
  <c r="R9" i="190"/>
  <c r="CB9" i="190"/>
  <c r="AF9" i="190"/>
  <c r="AR9" i="190"/>
  <c r="BT9" i="190"/>
  <c r="BD9" i="190"/>
  <c r="AL9" i="190"/>
  <c r="X9" i="190"/>
  <c r="BR9" i="190"/>
  <c r="AI9" i="190"/>
  <c r="AT9" i="190"/>
  <c r="CC9" i="190"/>
  <c r="BK9" i="190"/>
  <c r="AU9" i="190"/>
  <c r="AG9" i="190"/>
  <c r="BJ9" i="190"/>
  <c r="BV9" i="190"/>
  <c r="BH9" i="190"/>
  <c r="Z9" i="190"/>
  <c r="CA8" i="190"/>
  <c r="BS8" i="190"/>
  <c r="BK8" i="190"/>
  <c r="BC8" i="190"/>
  <c r="AU8" i="190"/>
  <c r="AM8" i="190"/>
  <c r="AE8" i="190"/>
  <c r="W8" i="190"/>
  <c r="BY8" i="190"/>
  <c r="BP8" i="190"/>
  <c r="BG8" i="190"/>
  <c r="AX8" i="190"/>
  <c r="AO8" i="190"/>
  <c r="AF8" i="190"/>
  <c r="V8" i="190"/>
  <c r="BX8" i="190"/>
  <c r="BO8" i="190"/>
  <c r="BF8" i="190"/>
  <c r="AW8" i="190"/>
  <c r="AN8" i="190"/>
  <c r="AD8" i="190"/>
  <c r="U8" i="190"/>
  <c r="CC8" i="190"/>
  <c r="BQ8" i="190"/>
  <c r="BD8" i="190"/>
  <c r="AR8" i="190"/>
  <c r="AG8" i="190"/>
  <c r="S8" i="190"/>
  <c r="CB8" i="190"/>
  <c r="BN8" i="190"/>
  <c r="BB8" i="190"/>
  <c r="AQ8" i="190"/>
  <c r="AC8" i="190"/>
  <c r="R8" i="190"/>
  <c r="BR8" i="190"/>
  <c r="AZ8" i="190"/>
  <c r="AJ8" i="190"/>
  <c r="T8" i="190"/>
  <c r="BM8" i="190"/>
  <c r="AV8" i="190"/>
  <c r="AH8" i="190"/>
  <c r="BJ8" i="190"/>
  <c r="AB8" i="190"/>
  <c r="BI8" i="190"/>
  <c r="AA8" i="190"/>
  <c r="BV8" i="190"/>
  <c r="BH8" i="190"/>
  <c r="AP8" i="190"/>
  <c r="Z8" i="190"/>
  <c r="BE8" i="190"/>
  <c r="Y8" i="190"/>
  <c r="BA8" i="190"/>
  <c r="X8" i="190"/>
  <c r="AY8" i="190"/>
  <c r="AI8" i="190"/>
  <c r="Q8" i="190"/>
  <c r="BL8" i="190"/>
  <c r="BZ8" i="190"/>
  <c r="AT8" i="190"/>
  <c r="BW8" i="190"/>
  <c r="AS8" i="190"/>
  <c r="BU8" i="190"/>
  <c r="AL8" i="190"/>
  <c r="BT8" i="190"/>
  <c r="AK8" i="190"/>
  <c r="BZ68" i="190"/>
  <c r="BR68" i="190"/>
  <c r="BJ68" i="190"/>
  <c r="BB68" i="190"/>
  <c r="AT68" i="190"/>
  <c r="AL68" i="190"/>
  <c r="AD68" i="190"/>
  <c r="V68" i="190"/>
  <c r="BV68" i="190"/>
  <c r="BM68" i="190"/>
  <c r="BD68" i="190"/>
  <c r="AU68" i="190"/>
  <c r="AK68" i="190"/>
  <c r="AB68" i="190"/>
  <c r="S68" i="190"/>
  <c r="BT68" i="190"/>
  <c r="BI68" i="190"/>
  <c r="AY68" i="190"/>
  <c r="AO68" i="190"/>
  <c r="AE68" i="190"/>
  <c r="T68" i="190"/>
  <c r="CC68" i="190"/>
  <c r="BS68" i="190"/>
  <c r="BH68" i="190"/>
  <c r="AX68" i="190"/>
  <c r="AN68" i="190"/>
  <c r="AC68" i="190"/>
  <c r="R68" i="190"/>
  <c r="CB68" i="190"/>
  <c r="BO68" i="190"/>
  <c r="BA68" i="190"/>
  <c r="AM68" i="190"/>
  <c r="Y68" i="190"/>
  <c r="CA68" i="190"/>
  <c r="BN68" i="190"/>
  <c r="AZ68" i="190"/>
  <c r="AJ68" i="190"/>
  <c r="X68" i="190"/>
  <c r="BU68" i="190"/>
  <c r="BC68" i="190"/>
  <c r="AH68" i="190"/>
  <c r="BQ68" i="190"/>
  <c r="AW68" i="190"/>
  <c r="AG68" i="190"/>
  <c r="BK68" i="190"/>
  <c r="AP68" i="190"/>
  <c r="BG68" i="190"/>
  <c r="AI68" i="190"/>
  <c r="BF68" i="190"/>
  <c r="AF68" i="190"/>
  <c r="AV68" i="190"/>
  <c r="Q68" i="190"/>
  <c r="AS68" i="190"/>
  <c r="BY68" i="190"/>
  <c r="AR68" i="190"/>
  <c r="BX68" i="190"/>
  <c r="AQ68" i="190"/>
  <c r="BE68" i="190"/>
  <c r="AA68" i="190"/>
  <c r="Z68" i="190"/>
  <c r="W68" i="190"/>
  <c r="U68" i="190"/>
  <c r="BW68" i="190"/>
  <c r="BL68" i="190"/>
  <c r="BP68" i="190"/>
  <c r="BX39" i="190"/>
  <c r="BP39" i="190"/>
  <c r="BH39" i="190"/>
  <c r="AZ39" i="190"/>
  <c r="AR39" i="190"/>
  <c r="AJ39" i="190"/>
  <c r="AB39" i="190"/>
  <c r="T39" i="190"/>
  <c r="BY39" i="190"/>
  <c r="BO39" i="190"/>
  <c r="BF39" i="190"/>
  <c r="AW39" i="190"/>
  <c r="AN39" i="190"/>
  <c r="AE39" i="190"/>
  <c r="V39" i="190"/>
  <c r="BW39" i="190"/>
  <c r="BN39" i="190"/>
  <c r="BE39" i="190"/>
  <c r="AV39" i="190"/>
  <c r="AM39" i="190"/>
  <c r="AD39" i="190"/>
  <c r="U39" i="190"/>
  <c r="BV39" i="190"/>
  <c r="BK39" i="190"/>
  <c r="AY39" i="190"/>
  <c r="AL39" i="190"/>
  <c r="Z39" i="190"/>
  <c r="BU39" i="190"/>
  <c r="BJ39" i="190"/>
  <c r="AX39" i="190"/>
  <c r="AK39" i="190"/>
  <c r="Y39" i="190"/>
  <c r="BT39" i="190"/>
  <c r="BD39" i="190"/>
  <c r="AP39" i="190"/>
  <c r="X39" i="190"/>
  <c r="BR39" i="190"/>
  <c r="BB39" i="190"/>
  <c r="AI39" i="190"/>
  <c r="S39" i="190"/>
  <c r="BS39" i="190"/>
  <c r="BC39" i="190"/>
  <c r="AO39" i="190"/>
  <c r="W39" i="190"/>
  <c r="CB39" i="190"/>
  <c r="BA39" i="190"/>
  <c r="AC39" i="190"/>
  <c r="BZ39" i="190"/>
  <c r="AT39" i="190"/>
  <c r="R39" i="190"/>
  <c r="BL39" i="190"/>
  <c r="AF39" i="190"/>
  <c r="BI39" i="190"/>
  <c r="AA39" i="190"/>
  <c r="BG39" i="190"/>
  <c r="Q39" i="190"/>
  <c r="BQ39" i="190"/>
  <c r="AU39" i="190"/>
  <c r="AQ39" i="190"/>
  <c r="AH39" i="190"/>
  <c r="BM39" i="190"/>
  <c r="AS39" i="190"/>
  <c r="CC39" i="190"/>
  <c r="AG39" i="190"/>
  <c r="CA39" i="190"/>
  <c r="BX43" i="190"/>
  <c r="BP43" i="190"/>
  <c r="BH43" i="190"/>
  <c r="AZ43" i="190"/>
  <c r="AR43" i="190"/>
  <c r="AJ43" i="190"/>
  <c r="AB43" i="190"/>
  <c r="T43" i="190"/>
  <c r="CC43" i="190"/>
  <c r="BT43" i="190"/>
  <c r="BK43" i="190"/>
  <c r="BB43" i="190"/>
  <c r="AS43" i="190"/>
  <c r="AI43" i="190"/>
  <c r="Z43" i="190"/>
  <c r="Q43" i="190"/>
  <c r="CB43" i="190"/>
  <c r="BS43" i="190"/>
  <c r="BJ43" i="190"/>
  <c r="BA43" i="190"/>
  <c r="AQ43" i="190"/>
  <c r="AH43" i="190"/>
  <c r="Y43" i="190"/>
  <c r="BQ43" i="190"/>
  <c r="BE43" i="190"/>
  <c r="AT43" i="190"/>
  <c r="AF43" i="190"/>
  <c r="U43" i="190"/>
  <c r="CA43" i="190"/>
  <c r="BO43" i="190"/>
  <c r="BD43" i="190"/>
  <c r="AP43" i="190"/>
  <c r="AE43" i="190"/>
  <c r="S43" i="190"/>
  <c r="BZ43" i="190"/>
  <c r="BL43" i="190"/>
  <c r="AV43" i="190"/>
  <c r="AD43" i="190"/>
  <c r="BW43" i="190"/>
  <c r="AO43" i="190"/>
  <c r="BY43" i="190"/>
  <c r="BI43" i="190"/>
  <c r="AU43" i="190"/>
  <c r="AC43" i="190"/>
  <c r="BG43" i="190"/>
  <c r="AA43" i="190"/>
  <c r="BC43" i="190"/>
  <c r="AG43" i="190"/>
  <c r="BV43" i="190"/>
  <c r="AX43" i="190"/>
  <c r="W43" i="190"/>
  <c r="BN43" i="190"/>
  <c r="AK43" i="190"/>
  <c r="BM43" i="190"/>
  <c r="X43" i="190"/>
  <c r="BF43" i="190"/>
  <c r="V43" i="190"/>
  <c r="BR43" i="190"/>
  <c r="AW43" i="190"/>
  <c r="AM43" i="190"/>
  <c r="AL43" i="190"/>
  <c r="BU43" i="190"/>
  <c r="AY43" i="190"/>
  <c r="AN43" i="190"/>
  <c r="R43" i="190"/>
  <c r="BV30" i="190"/>
  <c r="BN30" i="190"/>
  <c r="BF30" i="190"/>
  <c r="AX30" i="190"/>
  <c r="AP30" i="190"/>
  <c r="AH30" i="190"/>
  <c r="Z30" i="190"/>
  <c r="R30" i="190"/>
  <c r="CC30" i="190"/>
  <c r="BT30" i="190"/>
  <c r="BK30" i="190"/>
  <c r="BB30" i="190"/>
  <c r="AS30" i="190"/>
  <c r="AJ30" i="190"/>
  <c r="AA30" i="190"/>
  <c r="Q30" i="190"/>
  <c r="CB30" i="190"/>
  <c r="BS30" i="190"/>
  <c r="BJ30" i="190"/>
  <c r="BA30" i="190"/>
  <c r="AR30" i="190"/>
  <c r="AI30" i="190"/>
  <c r="Y30" i="190"/>
  <c r="BR30" i="190"/>
  <c r="BG30" i="190"/>
  <c r="AU30" i="190"/>
  <c r="AG30" i="190"/>
  <c r="V30" i="190"/>
  <c r="BP30" i="190"/>
  <c r="BD30" i="190"/>
  <c r="AE30" i="190"/>
  <c r="BQ30" i="190"/>
  <c r="BE30" i="190"/>
  <c r="AT30" i="190"/>
  <c r="AF30" i="190"/>
  <c r="U30" i="190"/>
  <c r="CA30" i="190"/>
  <c r="AQ30" i="190"/>
  <c r="T30" i="190"/>
  <c r="BX30" i="190"/>
  <c r="BC30" i="190"/>
  <c r="AL30" i="190"/>
  <c r="BU30" i="190"/>
  <c r="AY30" i="190"/>
  <c r="AD30" i="190"/>
  <c r="BW30" i="190"/>
  <c r="AV30" i="190"/>
  <c r="W30" i="190"/>
  <c r="BO30" i="190"/>
  <c r="AO30" i="190"/>
  <c r="S30" i="190"/>
  <c r="BM30" i="190"/>
  <c r="AN30" i="190"/>
  <c r="BI30" i="190"/>
  <c r="X30" i="190"/>
  <c r="AZ30" i="190"/>
  <c r="AW30" i="190"/>
  <c r="BZ30" i="190"/>
  <c r="AK30" i="190"/>
  <c r="BH30" i="190"/>
  <c r="AM30" i="190"/>
  <c r="BY30" i="190"/>
  <c r="AC30" i="190"/>
  <c r="BL30" i="190"/>
  <c r="AB30" i="190"/>
  <c r="BV36" i="190"/>
  <c r="BN36" i="190"/>
  <c r="BF36" i="190"/>
  <c r="AX36" i="190"/>
  <c r="AP36" i="190"/>
  <c r="AH36" i="190"/>
  <c r="Z36" i="190"/>
  <c r="R36" i="190"/>
  <c r="CB36" i="190"/>
  <c r="BS36" i="190"/>
  <c r="BJ36" i="190"/>
  <c r="BA36" i="190"/>
  <c r="AR36" i="190"/>
  <c r="AI36" i="190"/>
  <c r="Y36" i="190"/>
  <c r="BU36" i="190"/>
  <c r="BK36" i="190"/>
  <c r="AZ36" i="190"/>
  <c r="AO36" i="190"/>
  <c r="AE36" i="190"/>
  <c r="U36" i="190"/>
  <c r="BT36" i="190"/>
  <c r="BI36" i="190"/>
  <c r="AY36" i="190"/>
  <c r="AN36" i="190"/>
  <c r="AD36" i="190"/>
  <c r="T36" i="190"/>
  <c r="BX36" i="190"/>
  <c r="BH36" i="190"/>
  <c r="AU36" i="190"/>
  <c r="AG36" i="190"/>
  <c r="S36" i="190"/>
  <c r="BW36" i="190"/>
  <c r="BG36" i="190"/>
  <c r="AT36" i="190"/>
  <c r="AF36" i="190"/>
  <c r="Q36" i="190"/>
  <c r="BR36" i="190"/>
  <c r="BE36" i="190"/>
  <c r="AS36" i="190"/>
  <c r="AC36" i="190"/>
  <c r="BZ36" i="190"/>
  <c r="BC36" i="190"/>
  <c r="AJ36" i="190"/>
  <c r="BQ36" i="190"/>
  <c r="AW36" i="190"/>
  <c r="AA36" i="190"/>
  <c r="BD36" i="190"/>
  <c r="X36" i="190"/>
  <c r="CC36" i="190"/>
  <c r="BB36" i="190"/>
  <c r="W36" i="190"/>
  <c r="CA36" i="190"/>
  <c r="AV36" i="190"/>
  <c r="V36" i="190"/>
  <c r="BY36" i="190"/>
  <c r="AK36" i="190"/>
  <c r="BO36" i="190"/>
  <c r="BM36" i="190"/>
  <c r="AL36" i="190"/>
  <c r="BP36" i="190"/>
  <c r="AB36" i="190"/>
  <c r="BL36" i="190"/>
  <c r="AQ36" i="190"/>
  <c r="AM36" i="190"/>
  <c r="BX29" i="190"/>
  <c r="BP29" i="190"/>
  <c r="BH29" i="190"/>
  <c r="AZ29" i="190"/>
  <c r="AR29" i="190"/>
  <c r="AJ29" i="190"/>
  <c r="AB29" i="190"/>
  <c r="T29" i="190"/>
  <c r="BU29" i="190"/>
  <c r="BL29" i="190"/>
  <c r="BC29" i="190"/>
  <c r="AT29" i="190"/>
  <c r="AK29" i="190"/>
  <c r="AA29" i="190"/>
  <c r="R29" i="190"/>
  <c r="CC29" i="190"/>
  <c r="BT29" i="190"/>
  <c r="BK29" i="190"/>
  <c r="BB29" i="190"/>
  <c r="AS29" i="190"/>
  <c r="AI29" i="190"/>
  <c r="Z29" i="190"/>
  <c r="Q29" i="190"/>
  <c r="BS29" i="190"/>
  <c r="BG29" i="190"/>
  <c r="AV29" i="190"/>
  <c r="AH29" i="190"/>
  <c r="W29" i="190"/>
  <c r="CB29" i="190"/>
  <c r="BQ29" i="190"/>
  <c r="AQ29" i="190"/>
  <c r="U29" i="190"/>
  <c r="BR29" i="190"/>
  <c r="BF29" i="190"/>
  <c r="AU29" i="190"/>
  <c r="AG29" i="190"/>
  <c r="V29" i="190"/>
  <c r="BE29" i="190"/>
  <c r="AF29" i="190"/>
  <c r="BV29" i="190"/>
  <c r="AY29" i="190"/>
  <c r="AE29" i="190"/>
  <c r="BN29" i="190"/>
  <c r="AW29" i="190"/>
  <c r="AC29" i="190"/>
  <c r="BO29" i="190"/>
  <c r="AO29" i="190"/>
  <c r="BM29" i="190"/>
  <c r="AN29" i="190"/>
  <c r="BJ29" i="190"/>
  <c r="AM29" i="190"/>
  <c r="BA29" i="190"/>
  <c r="CA29" i="190"/>
  <c r="AP29" i="190"/>
  <c r="BZ29" i="190"/>
  <c r="AL29" i="190"/>
  <c r="BY29" i="190"/>
  <c r="BW29" i="190"/>
  <c r="Y29" i="190"/>
  <c r="X29" i="190"/>
  <c r="AX29" i="190"/>
  <c r="AD29" i="190"/>
  <c r="BI29" i="190"/>
  <c r="BD29" i="190"/>
  <c r="S29" i="190"/>
  <c r="BW18" i="190"/>
  <c r="BO18" i="190"/>
  <c r="BG18" i="190"/>
  <c r="AY18" i="190"/>
  <c r="AQ18" i="190"/>
  <c r="AI18" i="190"/>
  <c r="AA18" i="190"/>
  <c r="S18" i="190"/>
  <c r="BV18" i="190"/>
  <c r="BN18" i="190"/>
  <c r="BF18" i="190"/>
  <c r="AX18" i="190"/>
  <c r="AP18" i="190"/>
  <c r="AH18" i="190"/>
  <c r="Z18" i="190"/>
  <c r="R18" i="190"/>
  <c r="BT18" i="190"/>
  <c r="BJ18" i="190"/>
  <c r="AZ18" i="190"/>
  <c r="AN18" i="190"/>
  <c r="AD18" i="190"/>
  <c r="T18" i="190"/>
  <c r="CB18" i="190"/>
  <c r="BH18" i="190"/>
  <c r="AL18" i="190"/>
  <c r="CC18" i="190"/>
  <c r="BS18" i="190"/>
  <c r="BI18" i="190"/>
  <c r="AW18" i="190"/>
  <c r="AM18" i="190"/>
  <c r="AC18" i="190"/>
  <c r="Q18" i="190"/>
  <c r="BR18" i="190"/>
  <c r="AV18" i="190"/>
  <c r="AB18" i="190"/>
  <c r="BP18" i="190"/>
  <c r="BA18" i="190"/>
  <c r="AG18" i="190"/>
  <c r="CA18" i="190"/>
  <c r="BL18" i="190"/>
  <c r="AT18" i="190"/>
  <c r="AE18" i="190"/>
  <c r="BX18" i="190"/>
  <c r="BB18" i="190"/>
  <c r="Y18" i="190"/>
  <c r="BU18" i="190"/>
  <c r="AU18" i="190"/>
  <c r="X18" i="190"/>
  <c r="BQ18" i="190"/>
  <c r="AO18" i="190"/>
  <c r="W18" i="190"/>
  <c r="BC18" i="190"/>
  <c r="BY18" i="190"/>
  <c r="BM18" i="190"/>
  <c r="AK18" i="190"/>
  <c r="BK18" i="190"/>
  <c r="AJ18" i="190"/>
  <c r="BE18" i="190"/>
  <c r="AF18" i="190"/>
  <c r="BD18" i="190"/>
  <c r="BZ18" i="190"/>
  <c r="AS18" i="190"/>
  <c r="U18" i="190"/>
  <c r="V18" i="190"/>
  <c r="AR18" i="190"/>
  <c r="BW6" i="190"/>
  <c r="BO6" i="190"/>
  <c r="BG6" i="190"/>
  <c r="AY6" i="190"/>
  <c r="AQ6" i="190"/>
  <c r="AI6" i="190"/>
  <c r="AA6" i="190"/>
  <c r="S6" i="190"/>
  <c r="CA6" i="190"/>
  <c r="CA75" i="190" s="1"/>
  <c r="BR6" i="190"/>
  <c r="BI6" i="190"/>
  <c r="AZ6" i="190"/>
  <c r="AP6" i="190"/>
  <c r="AG6" i="190"/>
  <c r="X6" i="190"/>
  <c r="BZ6" i="190"/>
  <c r="BQ6" i="190"/>
  <c r="BH6" i="190"/>
  <c r="AX6" i="190"/>
  <c r="AO6" i="190"/>
  <c r="AF6" i="190"/>
  <c r="W6" i="190"/>
  <c r="BT6" i="190"/>
  <c r="BF6" i="190"/>
  <c r="AU6" i="190"/>
  <c r="AJ6" i="190"/>
  <c r="V6" i="190"/>
  <c r="BS6" i="190"/>
  <c r="BE6" i="190"/>
  <c r="AT6" i="190"/>
  <c r="AH6" i="190"/>
  <c r="U6" i="190"/>
  <c r="BU6" i="190"/>
  <c r="BC6" i="190"/>
  <c r="AM6" i="190"/>
  <c r="Y6" i="190"/>
  <c r="BP6" i="190"/>
  <c r="BB6" i="190"/>
  <c r="AL6" i="190"/>
  <c r="T6" i="190"/>
  <c r="BA6" i="190"/>
  <c r="R6" i="190"/>
  <c r="CC6" i="190"/>
  <c r="CC75" i="190" s="1"/>
  <c r="BM6" i="190"/>
  <c r="AE6" i="190"/>
  <c r="BL6" i="190"/>
  <c r="AD6" i="190"/>
  <c r="BY6" i="190"/>
  <c r="BK6" i="190"/>
  <c r="AS6" i="190"/>
  <c r="AC6" i="190"/>
  <c r="BX6" i="190"/>
  <c r="AR6" i="190"/>
  <c r="BV6" i="190"/>
  <c r="BD6" i="190"/>
  <c r="Z6" i="190"/>
  <c r="BN6" i="190"/>
  <c r="AK6" i="190"/>
  <c r="AW6" i="190"/>
  <c r="Q6" i="190"/>
  <c r="CB6" i="190"/>
  <c r="CB75" i="190" s="1"/>
  <c r="AV6" i="190"/>
  <c r="BJ6" i="190"/>
  <c r="AB6" i="190"/>
  <c r="AN6" i="190"/>
  <c r="BV72" i="189"/>
  <c r="BN72" i="189"/>
  <c r="BF72" i="189"/>
  <c r="AX72" i="189"/>
  <c r="AP72" i="189"/>
  <c r="AH72" i="189"/>
  <c r="Z72" i="189"/>
  <c r="R72" i="189"/>
  <c r="CC72" i="189"/>
  <c r="BU72" i="189"/>
  <c r="BM72" i="189"/>
  <c r="BE72" i="189"/>
  <c r="AW72" i="189"/>
  <c r="AO72" i="189"/>
  <c r="AG72" i="189"/>
  <c r="Y72" i="189"/>
  <c r="Q72" i="189"/>
  <c r="BZ72" i="189"/>
  <c r="BP72" i="189"/>
  <c r="BD72" i="189"/>
  <c r="AT72" i="189"/>
  <c r="AJ72" i="189"/>
  <c r="X72" i="189"/>
  <c r="CB72" i="189"/>
  <c r="BQ72" i="189"/>
  <c r="BC72" i="189"/>
  <c r="AR72" i="189"/>
  <c r="AE72" i="189"/>
  <c r="T72" i="189"/>
  <c r="CA72" i="189"/>
  <c r="BO72" i="189"/>
  <c r="BB72" i="189"/>
  <c r="AQ72" i="189"/>
  <c r="AD72" i="189"/>
  <c r="S72" i="189"/>
  <c r="BY72" i="189"/>
  <c r="BJ72" i="189"/>
  <c r="AU72" i="189"/>
  <c r="AC72" i="189"/>
  <c r="BX72" i="189"/>
  <c r="BI72" i="189"/>
  <c r="AS72" i="189"/>
  <c r="AB72" i="189"/>
  <c r="BS72" i="189"/>
  <c r="AY72" i="189"/>
  <c r="AA72" i="189"/>
  <c r="BR72" i="189"/>
  <c r="AV72" i="189"/>
  <c r="W72" i="189"/>
  <c r="BL72" i="189"/>
  <c r="AN72" i="189"/>
  <c r="V72" i="189"/>
  <c r="BA72" i="189"/>
  <c r="AZ72" i="189"/>
  <c r="AK72" i="189"/>
  <c r="BW72" i="189"/>
  <c r="AI72" i="189"/>
  <c r="BT72" i="189"/>
  <c r="AF72" i="189"/>
  <c r="BK72" i="189"/>
  <c r="U72" i="189"/>
  <c r="BG72" i="189"/>
  <c r="AM72" i="189"/>
  <c r="AL72" i="189"/>
  <c r="BH72" i="189"/>
  <c r="BV71" i="189"/>
  <c r="BN71" i="189"/>
  <c r="BF71" i="189"/>
  <c r="AX71" i="189"/>
  <c r="AP71" i="189"/>
  <c r="AH71" i="189"/>
  <c r="Z71" i="189"/>
  <c r="R71" i="189"/>
  <c r="CC71" i="189"/>
  <c r="BU71" i="189"/>
  <c r="BM71" i="189"/>
  <c r="BE71" i="189"/>
  <c r="AW71" i="189"/>
  <c r="AO71" i="189"/>
  <c r="AG71" i="189"/>
  <c r="Y71" i="189"/>
  <c r="Q71" i="189"/>
  <c r="BY71" i="189"/>
  <c r="BO71" i="189"/>
  <c r="BC71" i="189"/>
  <c r="AS71" i="189"/>
  <c r="AI71" i="189"/>
  <c r="W71" i="189"/>
  <c r="BR71" i="189"/>
  <c r="BG71" i="189"/>
  <c r="AT71" i="189"/>
  <c r="AF71" i="189"/>
  <c r="U71" i="189"/>
  <c r="CB71" i="189"/>
  <c r="BQ71" i="189"/>
  <c r="BD71" i="189"/>
  <c r="AR71" i="189"/>
  <c r="AE71" i="189"/>
  <c r="T71" i="189"/>
  <c r="BW71" i="189"/>
  <c r="BH71" i="189"/>
  <c r="AN71" i="189"/>
  <c r="AA71" i="189"/>
  <c r="BT71" i="189"/>
  <c r="BB71" i="189"/>
  <c r="AM71" i="189"/>
  <c r="X71" i="189"/>
  <c r="BK71" i="189"/>
  <c r="AQ71" i="189"/>
  <c r="S71" i="189"/>
  <c r="BJ71" i="189"/>
  <c r="AL71" i="189"/>
  <c r="CA71" i="189"/>
  <c r="BI71" i="189"/>
  <c r="AK71" i="189"/>
  <c r="BP71" i="189"/>
  <c r="AD71" i="189"/>
  <c r="BL71" i="189"/>
  <c r="AC71" i="189"/>
  <c r="BX71" i="189"/>
  <c r="AB71" i="189"/>
  <c r="BS71" i="189"/>
  <c r="V71" i="189"/>
  <c r="BA71" i="189"/>
  <c r="AZ71" i="189"/>
  <c r="AV71" i="189"/>
  <c r="AU71" i="189"/>
  <c r="AJ71" i="189"/>
  <c r="BZ71" i="189"/>
  <c r="AY71" i="189"/>
  <c r="BZ44" i="189"/>
  <c r="BR44" i="189"/>
  <c r="BJ44" i="189"/>
  <c r="BB44" i="189"/>
  <c r="AT44" i="189"/>
  <c r="AL44" i="189"/>
  <c r="AD44" i="189"/>
  <c r="V44" i="189"/>
  <c r="CC44" i="189"/>
  <c r="BT44" i="189"/>
  <c r="BK44" i="189"/>
  <c r="BA44" i="189"/>
  <c r="AR44" i="189"/>
  <c r="AI44" i="189"/>
  <c r="Z44" i="189"/>
  <c r="Q44" i="189"/>
  <c r="CB44" i="189"/>
  <c r="BQ44" i="189"/>
  <c r="BG44" i="189"/>
  <c r="AW44" i="189"/>
  <c r="AM44" i="189"/>
  <c r="AB44" i="189"/>
  <c r="R44" i="189"/>
  <c r="BV44" i="189"/>
  <c r="BI44" i="189"/>
  <c r="AX44" i="189"/>
  <c r="AK44" i="189"/>
  <c r="Y44" i="189"/>
  <c r="BU44" i="189"/>
  <c r="BH44" i="189"/>
  <c r="AV44" i="189"/>
  <c r="AJ44" i="189"/>
  <c r="X44" i="189"/>
  <c r="BP44" i="189"/>
  <c r="BC44" i="189"/>
  <c r="AN44" i="189"/>
  <c r="U44" i="189"/>
  <c r="BO44" i="189"/>
  <c r="AZ44" i="189"/>
  <c r="AH44" i="189"/>
  <c r="T44" i="189"/>
  <c r="BN44" i="189"/>
  <c r="AY44" i="189"/>
  <c r="AG44" i="189"/>
  <c r="S44" i="189"/>
  <c r="BW44" i="189"/>
  <c r="AS44" i="189"/>
  <c r="W44" i="189"/>
  <c r="BS44" i="189"/>
  <c r="AP44" i="189"/>
  <c r="AQ44" i="189"/>
  <c r="BM44" i="189"/>
  <c r="BL44" i="189"/>
  <c r="AO44" i="189"/>
  <c r="BY44" i="189"/>
  <c r="BD44" i="189"/>
  <c r="AC44" i="189"/>
  <c r="BX44" i="189"/>
  <c r="AU44" i="189"/>
  <c r="AA44" i="189"/>
  <c r="BE44" i="189"/>
  <c r="AF44" i="189"/>
  <c r="CA44" i="189"/>
  <c r="BF44" i="189"/>
  <c r="AE44" i="189"/>
  <c r="BW64" i="189"/>
  <c r="BO64" i="189"/>
  <c r="BG64" i="189"/>
  <c r="AY64" i="189"/>
  <c r="AQ64" i="189"/>
  <c r="AI64" i="189"/>
  <c r="AA64" i="189"/>
  <c r="S64" i="189"/>
  <c r="CC64" i="189"/>
  <c r="BT64" i="189"/>
  <c r="BK64" i="189"/>
  <c r="BB64" i="189"/>
  <c r="AS64" i="189"/>
  <c r="AJ64" i="189"/>
  <c r="Z64" i="189"/>
  <c r="Q64" i="189"/>
  <c r="CB64" i="189"/>
  <c r="BS64" i="189"/>
  <c r="BJ64" i="189"/>
  <c r="BA64" i="189"/>
  <c r="AR64" i="189"/>
  <c r="AH64" i="189"/>
  <c r="Y64" i="189"/>
  <c r="BZ64" i="189"/>
  <c r="BN64" i="189"/>
  <c r="BC64" i="189"/>
  <c r="AO64" i="189"/>
  <c r="AD64" i="189"/>
  <c r="R64" i="189"/>
  <c r="BY64" i="189"/>
  <c r="BM64" i="189"/>
  <c r="AZ64" i="189"/>
  <c r="AN64" i="189"/>
  <c r="AC64" i="189"/>
  <c r="BU64" i="189"/>
  <c r="BE64" i="189"/>
  <c r="AM64" i="189"/>
  <c r="W64" i="189"/>
  <c r="BR64" i="189"/>
  <c r="BD64" i="189"/>
  <c r="AL64" i="189"/>
  <c r="V64" i="189"/>
  <c r="BQ64" i="189"/>
  <c r="AX64" i="189"/>
  <c r="AK64" i="189"/>
  <c r="U64" i="189"/>
  <c r="CA64" i="189"/>
  <c r="AW64" i="189"/>
  <c r="AB64" i="189"/>
  <c r="BX64" i="189"/>
  <c r="AV64" i="189"/>
  <c r="X64" i="189"/>
  <c r="AT64" i="189"/>
  <c r="BV64" i="189"/>
  <c r="AP64" i="189"/>
  <c r="BP64" i="189"/>
  <c r="AG64" i="189"/>
  <c r="BL64" i="189"/>
  <c r="AU64" i="189"/>
  <c r="AF64" i="189"/>
  <c r="AE64" i="189"/>
  <c r="T64" i="189"/>
  <c r="BH64" i="189"/>
  <c r="BF64" i="189"/>
  <c r="BI64" i="189"/>
  <c r="BY9" i="189"/>
  <c r="BQ9" i="189"/>
  <c r="BI9" i="189"/>
  <c r="BA9" i="189"/>
  <c r="AS9" i="189"/>
  <c r="AK9" i="189"/>
  <c r="AC9" i="189"/>
  <c r="U9" i="189"/>
  <c r="CC9" i="189"/>
  <c r="BT9" i="189"/>
  <c r="BK9" i="189"/>
  <c r="BB9" i="189"/>
  <c r="AR9" i="189"/>
  <c r="AI9" i="189"/>
  <c r="Z9" i="189"/>
  <c r="Q9" i="189"/>
  <c r="Y9" i="189"/>
  <c r="CB9" i="189"/>
  <c r="BS9" i="189"/>
  <c r="BJ9" i="189"/>
  <c r="AZ9" i="189"/>
  <c r="AQ9" i="189"/>
  <c r="AH9" i="189"/>
  <c r="BW9" i="189"/>
  <c r="BL9" i="189"/>
  <c r="AX9" i="189"/>
  <c r="AM9" i="189"/>
  <c r="AA9" i="189"/>
  <c r="X9" i="189"/>
  <c r="AJ9" i="189"/>
  <c r="BV9" i="189"/>
  <c r="BH9" i="189"/>
  <c r="AW9" i="189"/>
  <c r="AL9" i="189"/>
  <c r="BU9" i="189"/>
  <c r="AV9" i="189"/>
  <c r="W9" i="189"/>
  <c r="BG9" i="189"/>
  <c r="BN9" i="189"/>
  <c r="AT9" i="189"/>
  <c r="AB9" i="189"/>
  <c r="CA9" i="189"/>
  <c r="BF9" i="189"/>
  <c r="AO9" i="189"/>
  <c r="BE9" i="189"/>
  <c r="AN9" i="189"/>
  <c r="R9" i="189"/>
  <c r="BR9" i="189"/>
  <c r="BC9" i="189"/>
  <c r="BP9" i="189"/>
  <c r="AY9" i="189"/>
  <c r="BM9" i="189"/>
  <c r="AP9" i="189"/>
  <c r="V9" i="189"/>
  <c r="BZ9" i="189"/>
  <c r="S9" i="189"/>
  <c r="BX9" i="189"/>
  <c r="AE9" i="189"/>
  <c r="AD9" i="189"/>
  <c r="T9" i="189"/>
  <c r="BD9" i="189"/>
  <c r="AF9" i="189"/>
  <c r="AG9" i="189"/>
  <c r="BO9" i="189"/>
  <c r="AU9" i="189"/>
  <c r="CC57" i="189"/>
  <c r="BU57" i="189"/>
  <c r="BM57" i="189"/>
  <c r="BE57" i="189"/>
  <c r="AW57" i="189"/>
  <c r="AO57" i="189"/>
  <c r="AG57" i="189"/>
  <c r="Y57" i="189"/>
  <c r="Q57" i="189"/>
  <c r="BZ57" i="189"/>
  <c r="BQ57" i="189"/>
  <c r="BH57" i="189"/>
  <c r="AY57" i="189"/>
  <c r="AP57" i="189"/>
  <c r="AF57" i="189"/>
  <c r="W57" i="189"/>
  <c r="BT57" i="189"/>
  <c r="BJ57" i="189"/>
  <c r="AZ57" i="189"/>
  <c r="AN57" i="189"/>
  <c r="AD57" i="189"/>
  <c r="T57" i="189"/>
  <c r="BY57" i="189"/>
  <c r="BN57" i="189"/>
  <c r="BB57" i="189"/>
  <c r="AQ57" i="189"/>
  <c r="AC57" i="189"/>
  <c r="R57" i="189"/>
  <c r="BW57" i="189"/>
  <c r="BK57" i="189"/>
  <c r="AX57" i="189"/>
  <c r="AL57" i="189"/>
  <c r="AA57" i="189"/>
  <c r="BX57" i="189"/>
  <c r="BG57" i="189"/>
  <c r="AS57" i="189"/>
  <c r="AB57" i="189"/>
  <c r="BV57" i="189"/>
  <c r="BF57" i="189"/>
  <c r="AR57" i="189"/>
  <c r="Z57" i="189"/>
  <c r="BO57" i="189"/>
  <c r="AT57" i="189"/>
  <c r="V57" i="189"/>
  <c r="BL57" i="189"/>
  <c r="AM57" i="189"/>
  <c r="U57" i="189"/>
  <c r="BI57" i="189"/>
  <c r="AK57" i="189"/>
  <c r="S57" i="189"/>
  <c r="BR57" i="189"/>
  <c r="AI57" i="189"/>
  <c r="AE57" i="189"/>
  <c r="BP57" i="189"/>
  <c r="AH57" i="189"/>
  <c r="BD57" i="189"/>
  <c r="BC57" i="189"/>
  <c r="X57" i="189"/>
  <c r="CA57" i="189"/>
  <c r="AU57" i="189"/>
  <c r="BS57" i="189"/>
  <c r="AJ57" i="189"/>
  <c r="BA57" i="189"/>
  <c r="AV57" i="189"/>
  <c r="CB57" i="189"/>
  <c r="CB31" i="189"/>
  <c r="BT31" i="189"/>
  <c r="BL31" i="189"/>
  <c r="BD31" i="189"/>
  <c r="AV31" i="189"/>
  <c r="AN31" i="189"/>
  <c r="AF31" i="189"/>
  <c r="X31" i="189"/>
  <c r="BX31" i="189"/>
  <c r="BO31" i="189"/>
  <c r="BF31" i="189"/>
  <c r="AW31" i="189"/>
  <c r="AM31" i="189"/>
  <c r="AD31" i="189"/>
  <c r="U31" i="189"/>
  <c r="BS31" i="189"/>
  <c r="BI31" i="189"/>
  <c r="AY31" i="189"/>
  <c r="AO31" i="189"/>
  <c r="AC31" i="189"/>
  <c r="S31" i="189"/>
  <c r="BW31" i="189"/>
  <c r="BK31" i="189"/>
  <c r="AZ31" i="189"/>
  <c r="AL31" i="189"/>
  <c r="AA31" i="189"/>
  <c r="BV31" i="189"/>
  <c r="BJ31" i="189"/>
  <c r="AX31" i="189"/>
  <c r="AK31" i="189"/>
  <c r="Z31" i="189"/>
  <c r="BU31" i="189"/>
  <c r="BH31" i="189"/>
  <c r="AU31" i="189"/>
  <c r="AJ31" i="189"/>
  <c r="Y31" i="189"/>
  <c r="BP31" i="189"/>
  <c r="AT31" i="189"/>
  <c r="AE31" i="189"/>
  <c r="AS31" i="189"/>
  <c r="AB31" i="189"/>
  <c r="CC31" i="189"/>
  <c r="BN31" i="189"/>
  <c r="BM31" i="189"/>
  <c r="AR31" i="189"/>
  <c r="W31" i="189"/>
  <c r="BG31" i="189"/>
  <c r="AH31" i="189"/>
  <c r="CA31" i="189"/>
  <c r="BB31" i="189"/>
  <c r="T31" i="189"/>
  <c r="BY31" i="189"/>
  <c r="AQ31" i="189"/>
  <c r="Q31" i="189"/>
  <c r="BE31" i="189"/>
  <c r="AG31" i="189"/>
  <c r="BZ31" i="189"/>
  <c r="BA31" i="189"/>
  <c r="BR31" i="189"/>
  <c r="AP31" i="189"/>
  <c r="BC31" i="189"/>
  <c r="V31" i="189"/>
  <c r="R31" i="189"/>
  <c r="BQ31" i="189"/>
  <c r="AI31" i="189"/>
  <c r="BZ28" i="189"/>
  <c r="BR28" i="189"/>
  <c r="BJ28" i="189"/>
  <c r="BB28" i="189"/>
  <c r="AT28" i="189"/>
  <c r="AL28" i="189"/>
  <c r="AD28" i="189"/>
  <c r="V28" i="189"/>
  <c r="CB28" i="189"/>
  <c r="BS28" i="189"/>
  <c r="BI28" i="189"/>
  <c r="AZ28" i="189"/>
  <c r="AQ28" i="189"/>
  <c r="AH28" i="189"/>
  <c r="Y28" i="189"/>
  <c r="BX28" i="189"/>
  <c r="BN28" i="189"/>
  <c r="BD28" i="189"/>
  <c r="AS28" i="189"/>
  <c r="AI28" i="189"/>
  <c r="X28" i="189"/>
  <c r="BV28" i="189"/>
  <c r="BK28" i="189"/>
  <c r="AX28" i="189"/>
  <c r="AM28" i="189"/>
  <c r="AA28" i="189"/>
  <c r="BU28" i="189"/>
  <c r="BH28" i="189"/>
  <c r="AW28" i="189"/>
  <c r="AK28" i="189"/>
  <c r="Z28" i="189"/>
  <c r="BW28" i="189"/>
  <c r="BF28" i="189"/>
  <c r="AP28" i="189"/>
  <c r="AB28" i="189"/>
  <c r="W28" i="189"/>
  <c r="BQ28" i="189"/>
  <c r="AN28" i="189"/>
  <c r="BT28" i="189"/>
  <c r="BE28" i="189"/>
  <c r="AO28" i="189"/>
  <c r="BC28" i="189"/>
  <c r="U28" i="189"/>
  <c r="BL28" i="189"/>
  <c r="AG28" i="189"/>
  <c r="CA28" i="189"/>
  <c r="AC28" i="189"/>
  <c r="BP28" i="189"/>
  <c r="AU28" i="189"/>
  <c r="S28" i="189"/>
  <c r="BG28" i="189"/>
  <c r="AF28" i="189"/>
  <c r="AY28" i="189"/>
  <c r="BY28" i="189"/>
  <c r="AV28" i="189"/>
  <c r="T28" i="189"/>
  <c r="BO28" i="189"/>
  <c r="AR28" i="189"/>
  <c r="R28" i="189"/>
  <c r="CC28" i="189"/>
  <c r="BA28" i="189"/>
  <c r="AE28" i="189"/>
  <c r="BM28" i="189"/>
  <c r="AJ28" i="189"/>
  <c r="Q28" i="189"/>
  <c r="CB13" i="189"/>
  <c r="BT13" i="189"/>
  <c r="BL13" i="189"/>
  <c r="BD13" i="189"/>
  <c r="CC13" i="189"/>
  <c r="BS13" i="189"/>
  <c r="BJ13" i="189"/>
  <c r="BA13" i="189"/>
  <c r="AS13" i="189"/>
  <c r="AK13" i="189"/>
  <c r="AC13" i="189"/>
  <c r="U13" i="189"/>
  <c r="BR13" i="189"/>
  <c r="BH13" i="189"/>
  <c r="AX13" i="189"/>
  <c r="AO13" i="189"/>
  <c r="AF13" i="189"/>
  <c r="W13" i="189"/>
  <c r="CA13" i="189"/>
  <c r="BQ13" i="189"/>
  <c r="BG13" i="189"/>
  <c r="AW13" i="189"/>
  <c r="AN13" i="189"/>
  <c r="AE13" i="189"/>
  <c r="V13" i="189"/>
  <c r="BV13" i="189"/>
  <c r="BF13" i="189"/>
  <c r="AT13" i="189"/>
  <c r="AH13" i="189"/>
  <c r="T13" i="189"/>
  <c r="BU13" i="189"/>
  <c r="BE13" i="189"/>
  <c r="AR13" i="189"/>
  <c r="S13" i="189"/>
  <c r="AQ13" i="189"/>
  <c r="AG13" i="189"/>
  <c r="BP13" i="189"/>
  <c r="BC13" i="189"/>
  <c r="AD13" i="189"/>
  <c r="R13" i="189"/>
  <c r="BY13" i="189"/>
  <c r="BB13" i="189"/>
  <c r="AJ13" i="189"/>
  <c r="AY13" i="189"/>
  <c r="AB13" i="189"/>
  <c r="BO13" i="189"/>
  <c r="AV13" i="189"/>
  <c r="AA13" i="189"/>
  <c r="AU13" i="189"/>
  <c r="BM13" i="189"/>
  <c r="Y13" i="189"/>
  <c r="AM13" i="189"/>
  <c r="X13" i="189"/>
  <c r="BZ13" i="189"/>
  <c r="BI13" i="189"/>
  <c r="Q13" i="189"/>
  <c r="BX13" i="189"/>
  <c r="AZ13" i="189"/>
  <c r="AI13" i="189"/>
  <c r="BN13" i="189"/>
  <c r="Z13" i="189"/>
  <c r="BK13" i="189"/>
  <c r="BW13" i="189"/>
  <c r="AP13" i="189"/>
  <c r="AL13" i="189"/>
  <c r="BX29" i="189"/>
  <c r="BP29" i="189"/>
  <c r="BH29" i="189"/>
  <c r="AZ29" i="189"/>
  <c r="AR29" i="189"/>
  <c r="AJ29" i="189"/>
  <c r="AB29" i="189"/>
  <c r="T29" i="189"/>
  <c r="BZ29" i="189"/>
  <c r="BQ29" i="189"/>
  <c r="BG29" i="189"/>
  <c r="AX29" i="189"/>
  <c r="AO29" i="189"/>
  <c r="AF29" i="189"/>
  <c r="W29" i="189"/>
  <c r="BV29" i="189"/>
  <c r="BL29" i="189"/>
  <c r="BB29" i="189"/>
  <c r="AQ29" i="189"/>
  <c r="AG29" i="189"/>
  <c r="V29" i="189"/>
  <c r="CC29" i="189"/>
  <c r="BR29" i="189"/>
  <c r="BE29" i="189"/>
  <c r="AT29" i="189"/>
  <c r="AH29" i="189"/>
  <c r="U29" i="189"/>
  <c r="CB29" i="189"/>
  <c r="BO29" i="189"/>
  <c r="BD29" i="189"/>
  <c r="AS29" i="189"/>
  <c r="AE29" i="189"/>
  <c r="S29" i="189"/>
  <c r="CA29" i="189"/>
  <c r="BN29" i="189"/>
  <c r="BC29" i="189"/>
  <c r="BK29" i="189"/>
  <c r="AU29" i="189"/>
  <c r="AC29" i="189"/>
  <c r="BY29" i="189"/>
  <c r="AN29" i="189"/>
  <c r="BJ29" i="189"/>
  <c r="AP29" i="189"/>
  <c r="AA29" i="189"/>
  <c r="BI29" i="189"/>
  <c r="Z29" i="189"/>
  <c r="BF29" i="189"/>
  <c r="AI29" i="189"/>
  <c r="BW29" i="189"/>
  <c r="AW29" i="189"/>
  <c r="BT29" i="189"/>
  <c r="AM29" i="189"/>
  <c r="Q29" i="189"/>
  <c r="BA29" i="189"/>
  <c r="AD29" i="189"/>
  <c r="X29" i="189"/>
  <c r="BU29" i="189"/>
  <c r="AV29" i="189"/>
  <c r="BS29" i="189"/>
  <c r="AL29" i="189"/>
  <c r="AY29" i="189"/>
  <c r="Y29" i="189"/>
  <c r="R29" i="189"/>
  <c r="BM29" i="189"/>
  <c r="AK29" i="189"/>
  <c r="CB39" i="189"/>
  <c r="BT39" i="189"/>
  <c r="BL39" i="189"/>
  <c r="BD39" i="189"/>
  <c r="AV39" i="189"/>
  <c r="AN39" i="189"/>
  <c r="AF39" i="189"/>
  <c r="X39" i="189"/>
  <c r="BY39" i="189"/>
  <c r="BP39" i="189"/>
  <c r="BG39" i="189"/>
  <c r="AX39" i="189"/>
  <c r="AO39" i="189"/>
  <c r="AE39" i="189"/>
  <c r="V39" i="189"/>
  <c r="BX39" i="189"/>
  <c r="BN39" i="189"/>
  <c r="BC39" i="189"/>
  <c r="AS39" i="189"/>
  <c r="AI39" i="189"/>
  <c r="Y39" i="189"/>
  <c r="BZ39" i="189"/>
  <c r="BM39" i="189"/>
  <c r="BA39" i="189"/>
  <c r="AP39" i="189"/>
  <c r="AC39" i="189"/>
  <c r="R39" i="189"/>
  <c r="BW39" i="189"/>
  <c r="BK39" i="189"/>
  <c r="AZ39" i="189"/>
  <c r="AM39" i="189"/>
  <c r="AB39" i="189"/>
  <c r="Q39" i="189"/>
  <c r="BO39" i="189"/>
  <c r="AW39" i="189"/>
  <c r="AH39" i="189"/>
  <c r="S39" i="189"/>
  <c r="CC39" i="189"/>
  <c r="BJ39" i="189"/>
  <c r="AU39" i="189"/>
  <c r="AG39" i="189"/>
  <c r="CA39" i="189"/>
  <c r="BI39" i="189"/>
  <c r="AT39" i="189"/>
  <c r="AD39" i="189"/>
  <c r="BS39" i="189"/>
  <c r="AR39" i="189"/>
  <c r="U39" i="189"/>
  <c r="AQ39" i="189"/>
  <c r="T39" i="189"/>
  <c r="BQ39" i="189"/>
  <c r="BR39" i="189"/>
  <c r="AL39" i="189"/>
  <c r="BH39" i="189"/>
  <c r="AK39" i="189"/>
  <c r="BU39" i="189"/>
  <c r="AY39" i="189"/>
  <c r="W39" i="189"/>
  <c r="BB39" i="189"/>
  <c r="Z39" i="189"/>
  <c r="BV39" i="189"/>
  <c r="AJ39" i="189"/>
  <c r="BF39" i="189"/>
  <c r="AA39" i="189"/>
  <c r="BE39" i="189"/>
  <c r="BX19" i="189"/>
  <c r="BP19" i="189"/>
  <c r="BH19" i="189"/>
  <c r="AZ19" i="189"/>
  <c r="AR19" i="189"/>
  <c r="AJ19" i="189"/>
  <c r="AB19" i="189"/>
  <c r="T19" i="189"/>
  <c r="BU19" i="189"/>
  <c r="BL19" i="189"/>
  <c r="BC19" i="189"/>
  <c r="AT19" i="189"/>
  <c r="AK19" i="189"/>
  <c r="AA19" i="189"/>
  <c r="R19" i="189"/>
  <c r="BT19" i="189"/>
  <c r="BJ19" i="189"/>
  <c r="AY19" i="189"/>
  <c r="AO19" i="189"/>
  <c r="AE19" i="189"/>
  <c r="U19" i="189"/>
  <c r="CC19" i="189"/>
  <c r="BS19" i="189"/>
  <c r="BI19" i="189"/>
  <c r="AX19" i="189"/>
  <c r="AN19" i="189"/>
  <c r="AD19" i="189"/>
  <c r="S19" i="189"/>
  <c r="CB19" i="189"/>
  <c r="BO19" i="189"/>
  <c r="BB19" i="189"/>
  <c r="AM19" i="189"/>
  <c r="Y19" i="189"/>
  <c r="CA19" i="189"/>
  <c r="BA19" i="189"/>
  <c r="AL19" i="189"/>
  <c r="X19" i="189"/>
  <c r="AW19" i="189"/>
  <c r="W19" i="189"/>
  <c r="BN19" i="189"/>
  <c r="BZ19" i="189"/>
  <c r="AI19" i="189"/>
  <c r="BM19" i="189"/>
  <c r="BK19" i="189"/>
  <c r="AQ19" i="189"/>
  <c r="Q19" i="189"/>
  <c r="BF19" i="189"/>
  <c r="AH19" i="189"/>
  <c r="AG19" i="189"/>
  <c r="BV19" i="189"/>
  <c r="AC19" i="189"/>
  <c r="AU19" i="189"/>
  <c r="BG19" i="189"/>
  <c r="AP19" i="189"/>
  <c r="BY19" i="189"/>
  <c r="BE19" i="189"/>
  <c r="BW19" i="189"/>
  <c r="BD19" i="189"/>
  <c r="AF19" i="189"/>
  <c r="BR19" i="189"/>
  <c r="Z19" i="189"/>
  <c r="AV19" i="189"/>
  <c r="BQ19" i="189"/>
  <c r="AS19" i="189"/>
  <c r="V19" i="189"/>
  <c r="BZ14" i="189"/>
  <c r="BR14" i="189"/>
  <c r="BJ14" i="189"/>
  <c r="BB14" i="189"/>
  <c r="AT14" i="189"/>
  <c r="AL14" i="189"/>
  <c r="AD14" i="189"/>
  <c r="V14" i="189"/>
  <c r="CB14" i="189"/>
  <c r="BS14" i="189"/>
  <c r="BI14" i="189"/>
  <c r="AZ14" i="189"/>
  <c r="AQ14" i="189"/>
  <c r="AH14" i="189"/>
  <c r="Y14" i="189"/>
  <c r="CC14" i="189"/>
  <c r="BQ14" i="189"/>
  <c r="BG14" i="189"/>
  <c r="AW14" i="189"/>
  <c r="AM14" i="189"/>
  <c r="AB14" i="189"/>
  <c r="R14" i="189"/>
  <c r="CA14" i="189"/>
  <c r="BP14" i="189"/>
  <c r="BF14" i="189"/>
  <c r="AV14" i="189"/>
  <c r="AK14" i="189"/>
  <c r="AA14" i="189"/>
  <c r="Q14" i="189"/>
  <c r="BO14" i="189"/>
  <c r="BC14" i="189"/>
  <c r="AO14" i="189"/>
  <c r="Z14" i="189"/>
  <c r="BN14" i="189"/>
  <c r="BA14" i="189"/>
  <c r="AN14" i="189"/>
  <c r="AY14" i="189"/>
  <c r="X14" i="189"/>
  <c r="BY14" i="189"/>
  <c r="BM14" i="189"/>
  <c r="AJ14" i="189"/>
  <c r="W14" i="189"/>
  <c r="BT14" i="189"/>
  <c r="AS14" i="189"/>
  <c r="U14" i="189"/>
  <c r="AP14" i="189"/>
  <c r="S14" i="189"/>
  <c r="BH14" i="189"/>
  <c r="AI14" i="189"/>
  <c r="AG14" i="189"/>
  <c r="BD14" i="189"/>
  <c r="AX14" i="189"/>
  <c r="AE14" i="189"/>
  <c r="BU14" i="189"/>
  <c r="AC14" i="189"/>
  <c r="BL14" i="189"/>
  <c r="AR14" i="189"/>
  <c r="T14" i="189"/>
  <c r="BE14" i="189"/>
  <c r="BK14" i="189"/>
  <c r="BX14" i="189"/>
  <c r="BW14" i="189"/>
  <c r="AF14" i="189"/>
  <c r="BV14" i="189"/>
  <c r="AU14" i="189"/>
  <c r="CA62" i="189"/>
  <c r="BS62" i="189"/>
  <c r="BK62" i="189"/>
  <c r="BC62" i="189"/>
  <c r="AU62" i="189"/>
  <c r="AM62" i="189"/>
  <c r="AE62" i="189"/>
  <c r="W62" i="189"/>
  <c r="BV62" i="189"/>
  <c r="BM62" i="189"/>
  <c r="BD62" i="189"/>
  <c r="AT62" i="189"/>
  <c r="AK62" i="189"/>
  <c r="AB62" i="189"/>
  <c r="S62" i="189"/>
  <c r="BU62" i="189"/>
  <c r="BL62" i="189"/>
  <c r="BB62" i="189"/>
  <c r="CB62" i="189"/>
  <c r="BP62" i="189"/>
  <c r="BE62" i="189"/>
  <c r="AR62" i="189"/>
  <c r="AH62" i="189"/>
  <c r="X62" i="189"/>
  <c r="BZ62" i="189"/>
  <c r="BO62" i="189"/>
  <c r="BA62" i="189"/>
  <c r="AQ62" i="189"/>
  <c r="AG62" i="189"/>
  <c r="V62" i="189"/>
  <c r="BW62" i="189"/>
  <c r="BG62" i="189"/>
  <c r="AP62" i="189"/>
  <c r="AC62" i="189"/>
  <c r="BT62" i="189"/>
  <c r="BF62" i="189"/>
  <c r="AO62" i="189"/>
  <c r="AA62" i="189"/>
  <c r="BR62" i="189"/>
  <c r="AZ62" i="189"/>
  <c r="AN62" i="189"/>
  <c r="Z62" i="189"/>
  <c r="BX62" i="189"/>
  <c r="AW62" i="189"/>
  <c r="Y62" i="189"/>
  <c r="BQ62" i="189"/>
  <c r="AV62" i="189"/>
  <c r="U62" i="189"/>
  <c r="BH62" i="189"/>
  <c r="AD62" i="189"/>
  <c r="AY62" i="189"/>
  <c r="T62" i="189"/>
  <c r="AX62" i="189"/>
  <c r="R62" i="189"/>
  <c r="AL62" i="189"/>
  <c r="AJ62" i="189"/>
  <c r="CC62" i="189"/>
  <c r="AI62" i="189"/>
  <c r="BY62" i="189"/>
  <c r="AF62" i="189"/>
  <c r="BI62" i="189"/>
  <c r="AS62" i="189"/>
  <c r="BN62" i="189"/>
  <c r="BJ62" i="189"/>
  <c r="Q62" i="189"/>
  <c r="CC61" i="189"/>
  <c r="BU61" i="189"/>
  <c r="BM61" i="189"/>
  <c r="BE61" i="189"/>
  <c r="AW61" i="189"/>
  <c r="AO61" i="189"/>
  <c r="AG61" i="189"/>
  <c r="Y61" i="189"/>
  <c r="Q61" i="189"/>
  <c r="BW61" i="189"/>
  <c r="BN61" i="189"/>
  <c r="BD61" i="189"/>
  <c r="AU61" i="189"/>
  <c r="AL61" i="189"/>
  <c r="AC61" i="189"/>
  <c r="T61" i="189"/>
  <c r="BY61" i="189"/>
  <c r="BO61" i="189"/>
  <c r="BC61" i="189"/>
  <c r="AS61" i="189"/>
  <c r="AI61" i="189"/>
  <c r="X61" i="189"/>
  <c r="BZ61" i="189"/>
  <c r="BL61" i="189"/>
  <c r="BA61" i="189"/>
  <c r="AP61" i="189"/>
  <c r="AD61" i="189"/>
  <c r="R61" i="189"/>
  <c r="BX61" i="189"/>
  <c r="BK61" i="189"/>
  <c r="AZ61" i="189"/>
  <c r="AN61" i="189"/>
  <c r="AB61" i="189"/>
  <c r="BV61" i="189"/>
  <c r="BJ61" i="189"/>
  <c r="AY61" i="189"/>
  <c r="AM61" i="189"/>
  <c r="AA61" i="189"/>
  <c r="BI61" i="189"/>
  <c r="AR61" i="189"/>
  <c r="W61" i="189"/>
  <c r="CB61" i="189"/>
  <c r="BH61" i="189"/>
  <c r="AQ61" i="189"/>
  <c r="V61" i="189"/>
  <c r="BT61" i="189"/>
  <c r="AX61" i="189"/>
  <c r="Z61" i="189"/>
  <c r="BS61" i="189"/>
  <c r="AV61" i="189"/>
  <c r="U61" i="189"/>
  <c r="BR61" i="189"/>
  <c r="AT61" i="189"/>
  <c r="S61" i="189"/>
  <c r="CA61" i="189"/>
  <c r="AH61" i="189"/>
  <c r="BQ61" i="189"/>
  <c r="AF61" i="189"/>
  <c r="BP61" i="189"/>
  <c r="AE61" i="189"/>
  <c r="BG61" i="189"/>
  <c r="AK61" i="189"/>
  <c r="AJ61" i="189"/>
  <c r="BF61" i="189"/>
  <c r="BB61" i="189"/>
  <c r="BY55" i="189"/>
  <c r="BQ55" i="189"/>
  <c r="BI55" i="189"/>
  <c r="BA55" i="189"/>
  <c r="AS55" i="189"/>
  <c r="AK55" i="189"/>
  <c r="AC55" i="189"/>
  <c r="U55" i="189"/>
  <c r="CB55" i="189"/>
  <c r="BS55" i="189"/>
  <c r="BJ55" i="189"/>
  <c r="AZ55" i="189"/>
  <c r="AQ55" i="189"/>
  <c r="AH55" i="189"/>
  <c r="Y55" i="189"/>
  <c r="BV55" i="189"/>
  <c r="BL55" i="189"/>
  <c r="BB55" i="189"/>
  <c r="AP55" i="189"/>
  <c r="AF55" i="189"/>
  <c r="V55" i="189"/>
  <c r="BR55" i="189"/>
  <c r="BF55" i="189"/>
  <c r="AU55" i="189"/>
  <c r="AI55" i="189"/>
  <c r="W55" i="189"/>
  <c r="CC55" i="189"/>
  <c r="BO55" i="189"/>
  <c r="BC55" i="189"/>
  <c r="AN55" i="189"/>
  <c r="AA55" i="189"/>
  <c r="CA55" i="189"/>
  <c r="BN55" i="189"/>
  <c r="AY55" i="189"/>
  <c r="AM55" i="189"/>
  <c r="Z55" i="189"/>
  <c r="BT55" i="189"/>
  <c r="AX55" i="189"/>
  <c r="AG55" i="189"/>
  <c r="Q55" i="189"/>
  <c r="BP55" i="189"/>
  <c r="AW55" i="189"/>
  <c r="AE55" i="189"/>
  <c r="BM55" i="189"/>
  <c r="AV55" i="189"/>
  <c r="AD55" i="189"/>
  <c r="BG55" i="189"/>
  <c r="AB55" i="189"/>
  <c r="BZ55" i="189"/>
  <c r="T55" i="189"/>
  <c r="BE55" i="189"/>
  <c r="X55" i="189"/>
  <c r="BD55" i="189"/>
  <c r="BX55" i="189"/>
  <c r="AT55" i="189"/>
  <c r="S55" i="189"/>
  <c r="BK55" i="189"/>
  <c r="AL55" i="189"/>
  <c r="BH55" i="189"/>
  <c r="AJ55" i="189"/>
  <c r="AO55" i="189"/>
  <c r="R55" i="189"/>
  <c r="BW55" i="189"/>
  <c r="BU55" i="189"/>
  <c r="AR55" i="189"/>
  <c r="BX53" i="189"/>
  <c r="BP53" i="189"/>
  <c r="BH53" i="189"/>
  <c r="AZ53" i="189"/>
  <c r="AR53" i="189"/>
  <c r="AJ53" i="189"/>
  <c r="AB53" i="189"/>
  <c r="T53" i="189"/>
  <c r="CA53" i="189"/>
  <c r="BR53" i="189"/>
  <c r="BI53" i="189"/>
  <c r="AY53" i="189"/>
  <c r="AP53" i="189"/>
  <c r="AG53" i="189"/>
  <c r="X53" i="189"/>
  <c r="BZ53" i="189"/>
  <c r="BO53" i="189"/>
  <c r="BE53" i="189"/>
  <c r="AU53" i="189"/>
  <c r="AK53" i="189"/>
  <c r="Z53" i="189"/>
  <c r="BS53" i="189"/>
  <c r="BF53" i="189"/>
  <c r="AT53" i="189"/>
  <c r="AH53" i="189"/>
  <c r="V53" i="189"/>
  <c r="CC53" i="189"/>
  <c r="BQ53" i="189"/>
  <c r="BD53" i="189"/>
  <c r="AS53" i="189"/>
  <c r="AF53" i="189"/>
  <c r="U53" i="189"/>
  <c r="BY53" i="189"/>
  <c r="BK53" i="189"/>
  <c r="AV53" i="189"/>
  <c r="AD53" i="189"/>
  <c r="BW53" i="189"/>
  <c r="BJ53" i="189"/>
  <c r="AQ53" i="189"/>
  <c r="AC53" i="189"/>
  <c r="BV53" i="189"/>
  <c r="BG53" i="189"/>
  <c r="AO53" i="189"/>
  <c r="AA53" i="189"/>
  <c r="BT53" i="189"/>
  <c r="AW53" i="189"/>
  <c r="S53" i="189"/>
  <c r="BM53" i="189"/>
  <c r="Q53" i="189"/>
  <c r="BN53" i="189"/>
  <c r="AN53" i="189"/>
  <c r="R53" i="189"/>
  <c r="AM53" i="189"/>
  <c r="BL53" i="189"/>
  <c r="AL53" i="189"/>
  <c r="CB53" i="189"/>
  <c r="BA53" i="189"/>
  <c r="Y53" i="189"/>
  <c r="BU53" i="189"/>
  <c r="AX53" i="189"/>
  <c r="W53" i="189"/>
  <c r="BB53" i="189"/>
  <c r="AI53" i="189"/>
  <c r="AE53" i="189"/>
  <c r="BC53" i="189"/>
  <c r="CB21" i="189"/>
  <c r="BT21" i="189"/>
  <c r="BL21" i="189"/>
  <c r="BD21" i="189"/>
  <c r="AV21" i="189"/>
  <c r="AN21" i="189"/>
  <c r="AF21" i="189"/>
  <c r="X21" i="189"/>
  <c r="CC21" i="189"/>
  <c r="BS21" i="189"/>
  <c r="BJ21" i="189"/>
  <c r="BA21" i="189"/>
  <c r="AR21" i="189"/>
  <c r="AI21" i="189"/>
  <c r="Z21" i="189"/>
  <c r="Q21" i="189"/>
  <c r="BR21" i="189"/>
  <c r="BH21" i="189"/>
  <c r="AX21" i="189"/>
  <c r="AM21" i="189"/>
  <c r="AC21" i="189"/>
  <c r="S21" i="189"/>
  <c r="CA21" i="189"/>
  <c r="BQ21" i="189"/>
  <c r="BG21" i="189"/>
  <c r="AW21" i="189"/>
  <c r="AL21" i="189"/>
  <c r="AB21" i="189"/>
  <c r="R21" i="189"/>
  <c r="BV21" i="189"/>
  <c r="BF21" i="189"/>
  <c r="AS21" i="189"/>
  <c r="AE21" i="189"/>
  <c r="BE21" i="189"/>
  <c r="AQ21" i="189"/>
  <c r="AD21" i="189"/>
  <c r="BU21" i="189"/>
  <c r="AP21" i="189"/>
  <c r="BP21" i="189"/>
  <c r="BC21" i="189"/>
  <c r="AA21" i="189"/>
  <c r="BW21" i="189"/>
  <c r="AY21" i="189"/>
  <c r="Y21" i="189"/>
  <c r="BM21" i="189"/>
  <c r="BI21" i="189"/>
  <c r="BY21" i="189"/>
  <c r="BB21" i="189"/>
  <c r="AH21" i="189"/>
  <c r="BO21" i="189"/>
  <c r="AU21" i="189"/>
  <c r="W21" i="189"/>
  <c r="AO21" i="189"/>
  <c r="BK21" i="189"/>
  <c r="AK21" i="189"/>
  <c r="T21" i="189"/>
  <c r="BZ21" i="189"/>
  <c r="AJ21" i="189"/>
  <c r="BN21" i="189"/>
  <c r="AT21" i="189"/>
  <c r="V21" i="189"/>
  <c r="U21" i="189"/>
  <c r="BX21" i="189"/>
  <c r="AZ21" i="189"/>
  <c r="AG21" i="189"/>
  <c r="BZ32" i="189"/>
  <c r="BR32" i="189"/>
  <c r="BJ32" i="189"/>
  <c r="BB32" i="189"/>
  <c r="AT32" i="189"/>
  <c r="AL32" i="189"/>
  <c r="AD32" i="189"/>
  <c r="V32" i="189"/>
  <c r="BW32" i="189"/>
  <c r="BN32" i="189"/>
  <c r="BE32" i="189"/>
  <c r="AV32" i="189"/>
  <c r="AM32" i="189"/>
  <c r="AC32" i="189"/>
  <c r="T32" i="189"/>
  <c r="CC32" i="189"/>
  <c r="BS32" i="189"/>
  <c r="BH32" i="189"/>
  <c r="AX32" i="189"/>
  <c r="AN32" i="189"/>
  <c r="AB32" i="189"/>
  <c r="R32" i="189"/>
  <c r="BU32" i="189"/>
  <c r="BI32" i="189"/>
  <c r="AW32" i="189"/>
  <c r="AJ32" i="189"/>
  <c r="Y32" i="189"/>
  <c r="BT32" i="189"/>
  <c r="BG32" i="189"/>
  <c r="AU32" i="189"/>
  <c r="AI32" i="189"/>
  <c r="X32" i="189"/>
  <c r="BQ32" i="189"/>
  <c r="BF32" i="189"/>
  <c r="AS32" i="189"/>
  <c r="AH32" i="189"/>
  <c r="W32" i="189"/>
  <c r="BO32" i="189"/>
  <c r="AY32" i="189"/>
  <c r="AE32" i="189"/>
  <c r="BM32" i="189"/>
  <c r="AA32" i="189"/>
  <c r="AR32" i="189"/>
  <c r="CB32" i="189"/>
  <c r="BL32" i="189"/>
  <c r="AQ32" i="189"/>
  <c r="Z32" i="189"/>
  <c r="BX32" i="189"/>
  <c r="AP32" i="189"/>
  <c r="AG32" i="189"/>
  <c r="BC32" i="189"/>
  <c r="U32" i="189"/>
  <c r="BV32" i="189"/>
  <c r="AO32" i="189"/>
  <c r="BK32" i="189"/>
  <c r="BD32" i="189"/>
  <c r="AF32" i="189"/>
  <c r="CA32" i="189"/>
  <c r="BA32" i="189"/>
  <c r="S32" i="189"/>
  <c r="BP32" i="189"/>
  <c r="AK32" i="189"/>
  <c r="BY32" i="189"/>
  <c r="AZ32" i="189"/>
  <c r="Q32" i="189"/>
  <c r="BV42" i="189"/>
  <c r="BN42" i="189"/>
  <c r="BF42" i="189"/>
  <c r="AX42" i="189"/>
  <c r="AP42" i="189"/>
  <c r="AH42" i="189"/>
  <c r="Z42" i="189"/>
  <c r="R42" i="189"/>
  <c r="BU42" i="189"/>
  <c r="BL42" i="189"/>
  <c r="BC42" i="189"/>
  <c r="AT42" i="189"/>
  <c r="AK42" i="189"/>
  <c r="AB42" i="189"/>
  <c r="S42" i="189"/>
  <c r="CC42" i="189"/>
  <c r="BS42" i="189"/>
  <c r="BI42" i="189"/>
  <c r="AY42" i="189"/>
  <c r="AN42" i="189"/>
  <c r="AD42" i="189"/>
  <c r="T42" i="189"/>
  <c r="BZ42" i="189"/>
  <c r="BO42" i="189"/>
  <c r="BB42" i="189"/>
  <c r="AQ42" i="189"/>
  <c r="AE42" i="189"/>
  <c r="Q42" i="189"/>
  <c r="BY42" i="189"/>
  <c r="BM42" i="189"/>
  <c r="BA42" i="189"/>
  <c r="AO42" i="189"/>
  <c r="AC42" i="189"/>
  <c r="BX42" i="189"/>
  <c r="BH42" i="189"/>
  <c r="AS42" i="189"/>
  <c r="AA42" i="189"/>
  <c r="BW42" i="189"/>
  <c r="BG42" i="189"/>
  <c r="AR42" i="189"/>
  <c r="Y42" i="189"/>
  <c r="BT42" i="189"/>
  <c r="BE42" i="189"/>
  <c r="AM42" i="189"/>
  <c r="X42" i="189"/>
  <c r="BQ42" i="189"/>
  <c r="AU42" i="189"/>
  <c r="U42" i="189"/>
  <c r="BP42" i="189"/>
  <c r="AL42" i="189"/>
  <c r="AJ42" i="189"/>
  <c r="BK42" i="189"/>
  <c r="BJ42" i="189"/>
  <c r="AI42" i="189"/>
  <c r="CA42" i="189"/>
  <c r="AW42" i="189"/>
  <c r="BR42" i="189"/>
  <c r="AV42" i="189"/>
  <c r="V42" i="189"/>
  <c r="AF42" i="189"/>
  <c r="CB42" i="189"/>
  <c r="W42" i="189"/>
  <c r="BD42" i="189"/>
  <c r="AZ42" i="189"/>
  <c r="AG42" i="189"/>
  <c r="BW60" i="189"/>
  <c r="BO60" i="189"/>
  <c r="BG60" i="189"/>
  <c r="AY60" i="189"/>
  <c r="AQ60" i="189"/>
  <c r="AI60" i="189"/>
  <c r="AA60" i="189"/>
  <c r="S60" i="189"/>
  <c r="BX60" i="189"/>
  <c r="BN60" i="189"/>
  <c r="BE60" i="189"/>
  <c r="AV60" i="189"/>
  <c r="AM60" i="189"/>
  <c r="AD60" i="189"/>
  <c r="U60" i="189"/>
  <c r="BZ60" i="189"/>
  <c r="BP60" i="189"/>
  <c r="BD60" i="189"/>
  <c r="AT60" i="189"/>
  <c r="AJ60" i="189"/>
  <c r="Y60" i="189"/>
  <c r="CB60" i="189"/>
  <c r="BQ60" i="189"/>
  <c r="BC60" i="189"/>
  <c r="AR60" i="189"/>
  <c r="AF60" i="189"/>
  <c r="T60" i="189"/>
  <c r="CA60" i="189"/>
  <c r="BM60" i="189"/>
  <c r="BB60" i="189"/>
  <c r="AP60" i="189"/>
  <c r="AE60" i="189"/>
  <c r="R60" i="189"/>
  <c r="BY60" i="189"/>
  <c r="BL60" i="189"/>
  <c r="BA60" i="189"/>
  <c r="AO60" i="189"/>
  <c r="AC60" i="189"/>
  <c r="Q60" i="189"/>
  <c r="CC60" i="189"/>
  <c r="BI60" i="189"/>
  <c r="AN60" i="189"/>
  <c r="W60" i="189"/>
  <c r="BV60" i="189"/>
  <c r="BH60" i="189"/>
  <c r="AL60" i="189"/>
  <c r="V60" i="189"/>
  <c r="BT60" i="189"/>
  <c r="AW60" i="189"/>
  <c r="X60" i="189"/>
  <c r="BS60" i="189"/>
  <c r="AU60" i="189"/>
  <c r="BR60" i="189"/>
  <c r="AS60" i="189"/>
  <c r="BK60" i="189"/>
  <c r="AB60" i="189"/>
  <c r="BJ60" i="189"/>
  <c r="Z60" i="189"/>
  <c r="BF60" i="189"/>
  <c r="AZ60" i="189"/>
  <c r="AH60" i="189"/>
  <c r="BU60" i="189"/>
  <c r="AG60" i="189"/>
  <c r="AX60" i="189"/>
  <c r="AK60" i="189"/>
  <c r="BV70" i="189"/>
  <c r="BN70" i="189"/>
  <c r="BF70" i="189"/>
  <c r="AX70" i="189"/>
  <c r="AP70" i="189"/>
  <c r="AH70" i="189"/>
  <c r="Z70" i="189"/>
  <c r="R70" i="189"/>
  <c r="CC70" i="189"/>
  <c r="BU70" i="189"/>
  <c r="BM70" i="189"/>
  <c r="BE70" i="189"/>
  <c r="AW70" i="189"/>
  <c r="AO70" i="189"/>
  <c r="AG70" i="189"/>
  <c r="Y70" i="189"/>
  <c r="Q70" i="189"/>
  <c r="BW70" i="189"/>
  <c r="BK70" i="189"/>
  <c r="BA70" i="189"/>
  <c r="AQ70" i="189"/>
  <c r="AE70" i="189"/>
  <c r="U70" i="189"/>
  <c r="CB70" i="189"/>
  <c r="BQ70" i="189"/>
  <c r="BD70" i="189"/>
  <c r="AS70" i="189"/>
  <c r="AF70" i="189"/>
  <c r="T70" i="189"/>
  <c r="CA70" i="189"/>
  <c r="BP70" i="189"/>
  <c r="BC70" i="189"/>
  <c r="AR70" i="189"/>
  <c r="AD70" i="189"/>
  <c r="S70" i="189"/>
  <c r="BL70" i="189"/>
  <c r="AV70" i="189"/>
  <c r="AI70" i="189"/>
  <c r="BZ70" i="189"/>
  <c r="BJ70" i="189"/>
  <c r="AU70" i="189"/>
  <c r="AC70" i="189"/>
  <c r="BS70" i="189"/>
  <c r="AY70" i="189"/>
  <c r="AA70" i="189"/>
  <c r="BR70" i="189"/>
  <c r="AT70" i="189"/>
  <c r="X70" i="189"/>
  <c r="BO70" i="189"/>
  <c r="AN70" i="189"/>
  <c r="W70" i="189"/>
  <c r="BT70" i="189"/>
  <c r="AK70" i="189"/>
  <c r="BI70" i="189"/>
  <c r="AJ70" i="189"/>
  <c r="BB70" i="189"/>
  <c r="AZ70" i="189"/>
  <c r="AM70" i="189"/>
  <c r="AL70" i="189"/>
  <c r="AB70" i="189"/>
  <c r="V70" i="189"/>
  <c r="BH70" i="189"/>
  <c r="BG70" i="189"/>
  <c r="BY70" i="189"/>
  <c r="BX70" i="189"/>
  <c r="BZ26" i="189"/>
  <c r="BR26" i="189"/>
  <c r="BJ26" i="189"/>
  <c r="BB26" i="189"/>
  <c r="AT26" i="189"/>
  <c r="AL26" i="189"/>
  <c r="AD26" i="189"/>
  <c r="V26" i="189"/>
  <c r="BW26" i="189"/>
  <c r="BN26" i="189"/>
  <c r="BE26" i="189"/>
  <c r="AV26" i="189"/>
  <c r="AM26" i="189"/>
  <c r="AC26" i="189"/>
  <c r="T26" i="189"/>
  <c r="BV26" i="189"/>
  <c r="BL26" i="189"/>
  <c r="BA26" i="189"/>
  <c r="AQ26" i="189"/>
  <c r="AG26" i="189"/>
  <c r="W26" i="189"/>
  <c r="BU26" i="189"/>
  <c r="BK26" i="189"/>
  <c r="AZ26" i="189"/>
  <c r="AP26" i="189"/>
  <c r="AF26" i="189"/>
  <c r="U26" i="189"/>
  <c r="BT26" i="189"/>
  <c r="BG26" i="189"/>
  <c r="AS26" i="189"/>
  <c r="AE26" i="189"/>
  <c r="Q26" i="189"/>
  <c r="BS26" i="189"/>
  <c r="AR26" i="189"/>
  <c r="AB26" i="189"/>
  <c r="BQ26" i="189"/>
  <c r="AO26" i="189"/>
  <c r="BF26" i="189"/>
  <c r="BD26" i="189"/>
  <c r="AA26" i="189"/>
  <c r="BP26" i="189"/>
  <c r="AW26" i="189"/>
  <c r="Y26" i="189"/>
  <c r="CC26" i="189"/>
  <c r="AK26" i="189"/>
  <c r="CA26" i="189"/>
  <c r="BC26" i="189"/>
  <c r="AI26" i="189"/>
  <c r="BO26" i="189"/>
  <c r="AU26" i="189"/>
  <c r="X26" i="189"/>
  <c r="BI26" i="189"/>
  <c r="R26" i="189"/>
  <c r="CB26" i="189"/>
  <c r="BH26" i="189"/>
  <c r="AJ26" i="189"/>
  <c r="BY26" i="189"/>
  <c r="AY26" i="189"/>
  <c r="AH26" i="189"/>
  <c r="BM26" i="189"/>
  <c r="AN26" i="189"/>
  <c r="S26" i="189"/>
  <c r="BX26" i="189"/>
  <c r="AX26" i="189"/>
  <c r="Z26" i="189"/>
  <c r="CB67" i="189"/>
  <c r="BT67" i="189"/>
  <c r="BL67" i="189"/>
  <c r="BD67" i="189"/>
  <c r="AV67" i="189"/>
  <c r="AN67" i="189"/>
  <c r="AF67" i="189"/>
  <c r="X67" i="189"/>
  <c r="BY67" i="189"/>
  <c r="BP67" i="189"/>
  <c r="BG67" i="189"/>
  <c r="AX67" i="189"/>
  <c r="AO67" i="189"/>
  <c r="AE67" i="189"/>
  <c r="V67" i="189"/>
  <c r="BW67" i="189"/>
  <c r="BM67" i="189"/>
  <c r="BB67" i="189"/>
  <c r="AR67" i="189"/>
  <c r="AH67" i="189"/>
  <c r="W67" i="189"/>
  <c r="BV67" i="189"/>
  <c r="BK67" i="189"/>
  <c r="BA67" i="189"/>
  <c r="AQ67" i="189"/>
  <c r="AG67" i="189"/>
  <c r="U67" i="189"/>
  <c r="BS67" i="189"/>
  <c r="BF67" i="189"/>
  <c r="AS67" i="189"/>
  <c r="AC67" i="189"/>
  <c r="Q67" i="189"/>
  <c r="BR67" i="189"/>
  <c r="BE67" i="189"/>
  <c r="AP67" i="189"/>
  <c r="AB67" i="189"/>
  <c r="BN67" i="189"/>
  <c r="AU67" i="189"/>
  <c r="AA67" i="189"/>
  <c r="CC67" i="189"/>
  <c r="BJ67" i="189"/>
  <c r="AT67" i="189"/>
  <c r="Z67" i="189"/>
  <c r="CA67" i="189"/>
  <c r="BI67" i="189"/>
  <c r="AM67" i="189"/>
  <c r="Y67" i="189"/>
  <c r="BZ67" i="189"/>
  <c r="AY67" i="189"/>
  <c r="S67" i="189"/>
  <c r="BX67" i="189"/>
  <c r="AW67" i="189"/>
  <c r="R67" i="189"/>
  <c r="BU67" i="189"/>
  <c r="AJ67" i="189"/>
  <c r="BQ67" i="189"/>
  <c r="AI67" i="189"/>
  <c r="BO67" i="189"/>
  <c r="AD67" i="189"/>
  <c r="BH67" i="189"/>
  <c r="T67" i="189"/>
  <c r="AK67" i="189"/>
  <c r="AZ67" i="189"/>
  <c r="AL67" i="189"/>
  <c r="BC67" i="189"/>
  <c r="BX33" i="189"/>
  <c r="BP33" i="189"/>
  <c r="BH33" i="189"/>
  <c r="AZ33" i="189"/>
  <c r="AR33" i="189"/>
  <c r="AJ33" i="189"/>
  <c r="AB33" i="189"/>
  <c r="T33" i="189"/>
  <c r="BU33" i="189"/>
  <c r="BL33" i="189"/>
  <c r="BC33" i="189"/>
  <c r="AT33" i="189"/>
  <c r="AK33" i="189"/>
  <c r="AA33" i="189"/>
  <c r="R33" i="189"/>
  <c r="CA33" i="189"/>
  <c r="BQ33" i="189"/>
  <c r="BF33" i="189"/>
  <c r="AV33" i="189"/>
  <c r="AL33" i="189"/>
  <c r="Z33" i="189"/>
  <c r="CC33" i="189"/>
  <c r="BR33" i="189"/>
  <c r="BE33" i="189"/>
  <c r="AS33" i="189"/>
  <c r="AG33" i="189"/>
  <c r="V33" i="189"/>
  <c r="CB33" i="189"/>
  <c r="BO33" i="189"/>
  <c r="BD33" i="189"/>
  <c r="AQ33" i="189"/>
  <c r="AF33" i="189"/>
  <c r="U33" i="189"/>
  <c r="BZ33" i="189"/>
  <c r="BN33" i="189"/>
  <c r="BB33" i="189"/>
  <c r="AP33" i="189"/>
  <c r="AE33" i="189"/>
  <c r="S33" i="189"/>
  <c r="BS33" i="189"/>
  <c r="AX33" i="189"/>
  <c r="AD33" i="189"/>
  <c r="AW33" i="189"/>
  <c r="BM33" i="189"/>
  <c r="AC33" i="189"/>
  <c r="AU33" i="189"/>
  <c r="BK33" i="189"/>
  <c r="Y33" i="189"/>
  <c r="BG33" i="189"/>
  <c r="X33" i="189"/>
  <c r="BW33" i="189"/>
  <c r="AO33" i="189"/>
  <c r="BT33" i="189"/>
  <c r="AM33" i="189"/>
  <c r="BA33" i="189"/>
  <c r="W33" i="189"/>
  <c r="BJ33" i="189"/>
  <c r="BY33" i="189"/>
  <c r="AY33" i="189"/>
  <c r="Q33" i="189"/>
  <c r="BV33" i="189"/>
  <c r="AN33" i="189"/>
  <c r="AI33" i="189"/>
  <c r="BI33" i="189"/>
  <c r="AH33" i="189"/>
  <c r="BW10" i="189"/>
  <c r="BO10" i="189"/>
  <c r="BG10" i="189"/>
  <c r="AY10" i="189"/>
  <c r="AQ10" i="189"/>
  <c r="AI10" i="189"/>
  <c r="AA10" i="189"/>
  <c r="S10" i="189"/>
  <c r="CB10" i="189"/>
  <c r="BS10" i="189"/>
  <c r="BJ10" i="189"/>
  <c r="BA10" i="189"/>
  <c r="AR10" i="189"/>
  <c r="AH10" i="189"/>
  <c r="Y10" i="189"/>
  <c r="CA10" i="189"/>
  <c r="BR10" i="189"/>
  <c r="BI10" i="189"/>
  <c r="AZ10" i="189"/>
  <c r="AP10" i="189"/>
  <c r="AG10" i="189"/>
  <c r="X10" i="189"/>
  <c r="BV10" i="189"/>
  <c r="BK10" i="189"/>
  <c r="AW10" i="189"/>
  <c r="AL10" i="189"/>
  <c r="Z10" i="189"/>
  <c r="BH10" i="189"/>
  <c r="AV10" i="189"/>
  <c r="W10" i="189"/>
  <c r="BT10" i="189"/>
  <c r="AU10" i="189"/>
  <c r="AJ10" i="189"/>
  <c r="BU10" i="189"/>
  <c r="AK10" i="189"/>
  <c r="BF10" i="189"/>
  <c r="V10" i="189"/>
  <c r="BN10" i="189"/>
  <c r="AT10" i="189"/>
  <c r="AC10" i="189"/>
  <c r="CC10" i="189"/>
  <c r="AO10" i="189"/>
  <c r="U10" i="189"/>
  <c r="BE10" i="189"/>
  <c r="T10" i="189"/>
  <c r="AM10" i="189"/>
  <c r="BX10" i="189"/>
  <c r="AF10" i="189"/>
  <c r="BM10" i="189"/>
  <c r="AS10" i="189"/>
  <c r="AB10" i="189"/>
  <c r="BZ10" i="189"/>
  <c r="AN10" i="189"/>
  <c r="BY10" i="189"/>
  <c r="BC10" i="189"/>
  <c r="BQ10" i="189"/>
  <c r="BB10" i="189"/>
  <c r="AE10" i="189"/>
  <c r="AD10" i="189"/>
  <c r="BL10" i="189"/>
  <c r="BD10" i="189"/>
  <c r="Q10" i="189"/>
  <c r="AX10" i="189"/>
  <c r="R10" i="189"/>
  <c r="BP10" i="189"/>
  <c r="CB17" i="189"/>
  <c r="BT17" i="189"/>
  <c r="BL17" i="189"/>
  <c r="BD17" i="189"/>
  <c r="AV17" i="189"/>
  <c r="AN17" i="189"/>
  <c r="AF17" i="189"/>
  <c r="X17" i="189"/>
  <c r="BX17" i="189"/>
  <c r="BO17" i="189"/>
  <c r="BF17" i="189"/>
  <c r="AW17" i="189"/>
  <c r="AM17" i="189"/>
  <c r="AD17" i="189"/>
  <c r="U17" i="189"/>
  <c r="BW17" i="189"/>
  <c r="BM17" i="189"/>
  <c r="BB17" i="189"/>
  <c r="AR17" i="189"/>
  <c r="AH17" i="189"/>
  <c r="W17" i="189"/>
  <c r="BV17" i="189"/>
  <c r="BK17" i="189"/>
  <c r="BA17" i="189"/>
  <c r="AQ17" i="189"/>
  <c r="AG17" i="189"/>
  <c r="V17" i="189"/>
  <c r="CA17" i="189"/>
  <c r="BN17" i="189"/>
  <c r="AY17" i="189"/>
  <c r="AK17" i="189"/>
  <c r="Y17" i="189"/>
  <c r="BJ17" i="189"/>
  <c r="AX17" i="189"/>
  <c r="AJ17" i="189"/>
  <c r="T17" i="189"/>
  <c r="BY17" i="189"/>
  <c r="BI17" i="189"/>
  <c r="AU17" i="189"/>
  <c r="AI17" i="189"/>
  <c r="S17" i="189"/>
  <c r="BZ17" i="189"/>
  <c r="BH17" i="189"/>
  <c r="AO17" i="189"/>
  <c r="Q17" i="189"/>
  <c r="CC17" i="189"/>
  <c r="BE17" i="189"/>
  <c r="AE17" i="189"/>
  <c r="BC17" i="189"/>
  <c r="AC17" i="189"/>
  <c r="AB17" i="189"/>
  <c r="BR17" i="189"/>
  <c r="AT17" i="189"/>
  <c r="AP17" i="189"/>
  <c r="BG17" i="189"/>
  <c r="AL17" i="189"/>
  <c r="BU17" i="189"/>
  <c r="BS17" i="189"/>
  <c r="AZ17" i="189"/>
  <c r="BQ17" i="189"/>
  <c r="AS17" i="189"/>
  <c r="Z17" i="189"/>
  <c r="R17" i="189"/>
  <c r="AA17" i="189"/>
  <c r="BP17" i="189"/>
  <c r="BX41" i="189"/>
  <c r="BP41" i="189"/>
  <c r="BH41" i="189"/>
  <c r="AZ41" i="189"/>
  <c r="AR41" i="189"/>
  <c r="AJ41" i="189"/>
  <c r="AB41" i="189"/>
  <c r="T41" i="189"/>
  <c r="BV41" i="189"/>
  <c r="BM41" i="189"/>
  <c r="BD41" i="189"/>
  <c r="AU41" i="189"/>
  <c r="AL41" i="189"/>
  <c r="AC41" i="189"/>
  <c r="S41" i="189"/>
  <c r="BT41" i="189"/>
  <c r="BJ41" i="189"/>
  <c r="AY41" i="189"/>
  <c r="AO41" i="189"/>
  <c r="AE41" i="189"/>
  <c r="U41" i="189"/>
  <c r="CB41" i="189"/>
  <c r="BQ41" i="189"/>
  <c r="BE41" i="189"/>
  <c r="AS41" i="189"/>
  <c r="AG41" i="189"/>
  <c r="V41" i="189"/>
  <c r="CA41" i="189"/>
  <c r="BO41" i="189"/>
  <c r="BC41" i="189"/>
  <c r="AQ41" i="189"/>
  <c r="AF41" i="189"/>
  <c r="R41" i="189"/>
  <c r="BS41" i="189"/>
  <c r="BB41" i="189"/>
  <c r="AM41" i="189"/>
  <c r="X41" i="189"/>
  <c r="BR41" i="189"/>
  <c r="BA41" i="189"/>
  <c r="AK41" i="189"/>
  <c r="W41" i="189"/>
  <c r="BN41" i="189"/>
  <c r="AX41" i="189"/>
  <c r="AI41" i="189"/>
  <c r="Q41" i="189"/>
  <c r="BU41" i="189"/>
  <c r="AT41" i="189"/>
  <c r="AP41" i="189"/>
  <c r="AN41" i="189"/>
  <c r="BL41" i="189"/>
  <c r="BK41" i="189"/>
  <c r="BI41" i="189"/>
  <c r="AH41" i="189"/>
  <c r="BW41" i="189"/>
  <c r="AV41" i="189"/>
  <c r="Y41" i="189"/>
  <c r="CC41" i="189"/>
  <c r="Z41" i="189"/>
  <c r="BZ41" i="189"/>
  <c r="BF41" i="189"/>
  <c r="AD41" i="189"/>
  <c r="BY41" i="189"/>
  <c r="BG41" i="189"/>
  <c r="AW41" i="189"/>
  <c r="AA41" i="189"/>
  <c r="CB35" i="189"/>
  <c r="BT35" i="189"/>
  <c r="BL35" i="189"/>
  <c r="BD35" i="189"/>
  <c r="AV35" i="189"/>
  <c r="AN35" i="189"/>
  <c r="AF35" i="189"/>
  <c r="X35" i="189"/>
  <c r="BU35" i="189"/>
  <c r="BK35" i="189"/>
  <c r="BB35" i="189"/>
  <c r="AS35" i="189"/>
  <c r="AJ35" i="189"/>
  <c r="AA35" i="189"/>
  <c r="R35" i="189"/>
  <c r="CC35" i="189"/>
  <c r="BR35" i="189"/>
  <c r="BH35" i="189"/>
  <c r="AX35" i="189"/>
  <c r="AM35" i="189"/>
  <c r="AC35" i="189"/>
  <c r="S35" i="189"/>
  <c r="BX35" i="189"/>
  <c r="BM35" i="189"/>
  <c r="AZ35" i="189"/>
  <c r="AO35" i="189"/>
  <c r="AB35" i="189"/>
  <c r="BV35" i="189"/>
  <c r="BG35" i="189"/>
  <c r="AT35" i="189"/>
  <c r="AG35" i="189"/>
  <c r="T35" i="189"/>
  <c r="BS35" i="189"/>
  <c r="BF35" i="189"/>
  <c r="AR35" i="189"/>
  <c r="AE35" i="189"/>
  <c r="Q35" i="189"/>
  <c r="BQ35" i="189"/>
  <c r="BE35" i="189"/>
  <c r="AQ35" i="189"/>
  <c r="AD35" i="189"/>
  <c r="BJ35" i="189"/>
  <c r="AL35" i="189"/>
  <c r="U35" i="189"/>
  <c r="CA35" i="189"/>
  <c r="BI35" i="189"/>
  <c r="AK35" i="189"/>
  <c r="BZ35" i="189"/>
  <c r="BC35" i="189"/>
  <c r="AI35" i="189"/>
  <c r="BN35" i="189"/>
  <c r="Y35" i="189"/>
  <c r="AW35" i="189"/>
  <c r="BW35" i="189"/>
  <c r="AP35" i="189"/>
  <c r="BA35" i="189"/>
  <c r="W35" i="189"/>
  <c r="AU35" i="189"/>
  <c r="BP35" i="189"/>
  <c r="AH35" i="189"/>
  <c r="AY35" i="189"/>
  <c r="V35" i="189"/>
  <c r="BY35" i="189"/>
  <c r="BO35" i="189"/>
  <c r="Z35" i="189"/>
  <c r="BZ22" i="189"/>
  <c r="BR22" i="189"/>
  <c r="BJ22" i="189"/>
  <c r="BB22" i="189"/>
  <c r="AT22" i="189"/>
  <c r="AL22" i="189"/>
  <c r="AD22" i="189"/>
  <c r="V22" i="189"/>
  <c r="CB22" i="189"/>
  <c r="BS22" i="189"/>
  <c r="BI22" i="189"/>
  <c r="AZ22" i="189"/>
  <c r="AQ22" i="189"/>
  <c r="AH22" i="189"/>
  <c r="Y22" i="189"/>
  <c r="CC22" i="189"/>
  <c r="BQ22" i="189"/>
  <c r="BG22" i="189"/>
  <c r="AW22" i="189"/>
  <c r="AM22" i="189"/>
  <c r="AB22" i="189"/>
  <c r="R22" i="189"/>
  <c r="CA22" i="189"/>
  <c r="BP22" i="189"/>
  <c r="BF22" i="189"/>
  <c r="AV22" i="189"/>
  <c r="AK22" i="189"/>
  <c r="AA22" i="189"/>
  <c r="Q22" i="189"/>
  <c r="BO22" i="189"/>
  <c r="BC22" i="189"/>
  <c r="AO22" i="189"/>
  <c r="Z22" i="189"/>
  <c r="BN22" i="189"/>
  <c r="BA22" i="189"/>
  <c r="AN22" i="189"/>
  <c r="X22" i="189"/>
  <c r="BY22" i="189"/>
  <c r="AY22" i="189"/>
  <c r="AJ22" i="189"/>
  <c r="BM22" i="189"/>
  <c r="W22" i="189"/>
  <c r="BK22" i="189"/>
  <c r="AP22" i="189"/>
  <c r="S22" i="189"/>
  <c r="BD22" i="189"/>
  <c r="BU22" i="189"/>
  <c r="AC22" i="189"/>
  <c r="BT22" i="189"/>
  <c r="AS22" i="189"/>
  <c r="U22" i="189"/>
  <c r="BH22" i="189"/>
  <c r="AI22" i="189"/>
  <c r="BW22" i="189"/>
  <c r="AF22" i="189"/>
  <c r="AE22" i="189"/>
  <c r="AU22" i="189"/>
  <c r="BL22" i="189"/>
  <c r="BX22" i="189"/>
  <c r="BE22" i="189"/>
  <c r="AG22" i="189"/>
  <c r="BV22" i="189"/>
  <c r="AX22" i="189"/>
  <c r="AR22" i="189"/>
  <c r="T22" i="189"/>
  <c r="BX23" i="189"/>
  <c r="BP23" i="189"/>
  <c r="BH23" i="189"/>
  <c r="AZ23" i="189"/>
  <c r="AR23" i="189"/>
  <c r="AJ23" i="189"/>
  <c r="AB23" i="189"/>
  <c r="T23" i="189"/>
  <c r="BZ23" i="189"/>
  <c r="BQ23" i="189"/>
  <c r="BG23" i="189"/>
  <c r="AX23" i="189"/>
  <c r="AO23" i="189"/>
  <c r="AF23" i="189"/>
  <c r="W23" i="189"/>
  <c r="CA23" i="189"/>
  <c r="BO23" i="189"/>
  <c r="BE23" i="189"/>
  <c r="AU23" i="189"/>
  <c r="AK23" i="189"/>
  <c r="Z23" i="189"/>
  <c r="BY23" i="189"/>
  <c r="BN23" i="189"/>
  <c r="BD23" i="189"/>
  <c r="AT23" i="189"/>
  <c r="AI23" i="189"/>
  <c r="Y23" i="189"/>
  <c r="BW23" i="189"/>
  <c r="BK23" i="189"/>
  <c r="AW23" i="189"/>
  <c r="AH23" i="189"/>
  <c r="U23" i="189"/>
  <c r="BV23" i="189"/>
  <c r="BJ23" i="189"/>
  <c r="AV23" i="189"/>
  <c r="AG23" i="189"/>
  <c r="S23" i="189"/>
  <c r="AE23" i="189"/>
  <c r="BI23" i="189"/>
  <c r="BU23" i="189"/>
  <c r="AS23" i="189"/>
  <c r="R23" i="189"/>
  <c r="CB23" i="189"/>
  <c r="BB23" i="189"/>
  <c r="AD23" i="189"/>
  <c r="BR23" i="189"/>
  <c r="X23" i="189"/>
  <c r="BT23" i="189"/>
  <c r="BA23" i="189"/>
  <c r="AC23" i="189"/>
  <c r="AQ23" i="189"/>
  <c r="AP23" i="189"/>
  <c r="BL23" i="189"/>
  <c r="BF23" i="189"/>
  <c r="AM23" i="189"/>
  <c r="BS23" i="189"/>
  <c r="AY23" i="189"/>
  <c r="AA23" i="189"/>
  <c r="V23" i="189"/>
  <c r="Q23" i="189"/>
  <c r="BM23" i="189"/>
  <c r="AN23" i="189"/>
  <c r="CC23" i="189"/>
  <c r="BC23" i="189"/>
  <c r="AL23" i="189"/>
  <c r="CA54" i="189"/>
  <c r="BS54" i="189"/>
  <c r="BK54" i="189"/>
  <c r="BC54" i="189"/>
  <c r="AU54" i="189"/>
  <c r="AM54" i="189"/>
  <c r="AE54" i="189"/>
  <c r="CC54" i="189"/>
  <c r="BT54" i="189"/>
  <c r="BJ54" i="189"/>
  <c r="BA54" i="189"/>
  <c r="AR54" i="189"/>
  <c r="AI54" i="189"/>
  <c r="Z54" i="189"/>
  <c r="R54" i="189"/>
  <c r="BW54" i="189"/>
  <c r="BM54" i="189"/>
  <c r="BB54" i="189"/>
  <c r="AQ54" i="189"/>
  <c r="AG54" i="189"/>
  <c r="W54" i="189"/>
  <c r="BU54" i="189"/>
  <c r="BH54" i="189"/>
  <c r="AW54" i="189"/>
  <c r="AK54" i="189"/>
  <c r="Y54" i="189"/>
  <c r="BV54" i="189"/>
  <c r="BG54" i="189"/>
  <c r="AT54" i="189"/>
  <c r="AF54" i="189"/>
  <c r="T54" i="189"/>
  <c r="BR54" i="189"/>
  <c r="BF54" i="189"/>
  <c r="AS54" i="189"/>
  <c r="AD54" i="189"/>
  <c r="S54" i="189"/>
  <c r="BX54" i="189"/>
  <c r="BD54" i="189"/>
  <c r="AL54" i="189"/>
  <c r="U54" i="189"/>
  <c r="BQ54" i="189"/>
  <c r="AZ54" i="189"/>
  <c r="AJ54" i="189"/>
  <c r="Q54" i="189"/>
  <c r="BP54" i="189"/>
  <c r="AY54" i="189"/>
  <c r="AH54" i="189"/>
  <c r="CB54" i="189"/>
  <c r="AX54" i="189"/>
  <c r="X54" i="189"/>
  <c r="AP54" i="189"/>
  <c r="BZ54" i="189"/>
  <c r="AV54" i="189"/>
  <c r="V54" i="189"/>
  <c r="BY54" i="189"/>
  <c r="BO54" i="189"/>
  <c r="AO54" i="189"/>
  <c r="BI54" i="189"/>
  <c r="AB54" i="189"/>
  <c r="BE54" i="189"/>
  <c r="AA54" i="189"/>
  <c r="BN54" i="189"/>
  <c r="AC54" i="189"/>
  <c r="BL54" i="189"/>
  <c r="AN54" i="189"/>
  <c r="CC7" i="189"/>
  <c r="BU7" i="189"/>
  <c r="BM7" i="189"/>
  <c r="BE7" i="189"/>
  <c r="AW7" i="189"/>
  <c r="AO7" i="189"/>
  <c r="AG7" i="189"/>
  <c r="Y7" i="189"/>
  <c r="Q7" i="189"/>
  <c r="BV7" i="189"/>
  <c r="BL7" i="189"/>
  <c r="BC7" i="189"/>
  <c r="AT7" i="189"/>
  <c r="AK7" i="189"/>
  <c r="AB7" i="189"/>
  <c r="S7" i="189"/>
  <c r="R7" i="189"/>
  <c r="BT7" i="189"/>
  <c r="BK7" i="189"/>
  <c r="BB7" i="189"/>
  <c r="AS7" i="189"/>
  <c r="AJ7" i="189"/>
  <c r="AA7" i="189"/>
  <c r="BY7" i="189"/>
  <c r="BN7" i="189"/>
  <c r="AZ7" i="189"/>
  <c r="AN7" i="189"/>
  <c r="AC7" i="189"/>
  <c r="BX7" i="189"/>
  <c r="BJ7" i="189"/>
  <c r="AY7" i="189"/>
  <c r="AM7" i="189"/>
  <c r="Z7" i="189"/>
  <c r="BP7" i="189"/>
  <c r="AX7" i="189"/>
  <c r="AH7" i="189"/>
  <c r="T7" i="189"/>
  <c r="AV7" i="189"/>
  <c r="CA7" i="189"/>
  <c r="BI7" i="189"/>
  <c r="AU7" i="189"/>
  <c r="BZ7" i="189"/>
  <c r="AR7" i="189"/>
  <c r="BW7" i="189"/>
  <c r="BS7" i="189"/>
  <c r="AP7" i="189"/>
  <c r="BR7" i="189"/>
  <c r="BD7" i="189"/>
  <c r="AL7" i="189"/>
  <c r="V7" i="189"/>
  <c r="CB7" i="189"/>
  <c r="BO7" i="189"/>
  <c r="AF7" i="189"/>
  <c r="BH7" i="189"/>
  <c r="AD7" i="189"/>
  <c r="AQ7" i="189"/>
  <c r="BF7" i="189"/>
  <c r="W7" i="189"/>
  <c r="BQ7" i="189"/>
  <c r="AE7" i="189"/>
  <c r="BG7" i="189"/>
  <c r="X7" i="189"/>
  <c r="BA7" i="189"/>
  <c r="AI7" i="189"/>
  <c r="U7" i="189"/>
  <c r="CA58" i="189"/>
  <c r="BS58" i="189"/>
  <c r="BK58" i="189"/>
  <c r="BC58" i="189"/>
  <c r="AU58" i="189"/>
  <c r="AM58" i="189"/>
  <c r="AE58" i="189"/>
  <c r="W58" i="189"/>
  <c r="BY58" i="189"/>
  <c r="BP58" i="189"/>
  <c r="BG58" i="189"/>
  <c r="AX58" i="189"/>
  <c r="AO58" i="189"/>
  <c r="AF58" i="189"/>
  <c r="V58" i="189"/>
  <c r="BT58" i="189"/>
  <c r="BI58" i="189"/>
  <c r="AY58" i="189"/>
  <c r="AN58" i="189"/>
  <c r="AC58" i="189"/>
  <c r="S58" i="189"/>
  <c r="BW58" i="189"/>
  <c r="BL58" i="189"/>
  <c r="AZ58" i="189"/>
  <c r="AL58" i="189"/>
  <c r="AA58" i="189"/>
  <c r="BU58" i="189"/>
  <c r="BH58" i="189"/>
  <c r="AV58" i="189"/>
  <c r="AJ58" i="189"/>
  <c r="Y58" i="189"/>
  <c r="CB58" i="189"/>
  <c r="BM58" i="189"/>
  <c r="AT58" i="189"/>
  <c r="AG58" i="189"/>
  <c r="Q58" i="189"/>
  <c r="BZ58" i="189"/>
  <c r="BJ58" i="189"/>
  <c r="AS58" i="189"/>
  <c r="AD58" i="189"/>
  <c r="BV58" i="189"/>
  <c r="BB58" i="189"/>
  <c r="AH58" i="189"/>
  <c r="BR58" i="189"/>
  <c r="BA58" i="189"/>
  <c r="AB58" i="189"/>
  <c r="BQ58" i="189"/>
  <c r="AW58" i="189"/>
  <c r="Z58" i="189"/>
  <c r="BF58" i="189"/>
  <c r="X58" i="189"/>
  <c r="BE58" i="189"/>
  <c r="U58" i="189"/>
  <c r="BD58" i="189"/>
  <c r="T58" i="189"/>
  <c r="AR58" i="189"/>
  <c r="R58" i="189"/>
  <c r="BO58" i="189"/>
  <c r="AK58" i="189"/>
  <c r="BN58" i="189"/>
  <c r="AI58" i="189"/>
  <c r="AP58" i="189"/>
  <c r="CC58" i="189"/>
  <c r="BX58" i="189"/>
  <c r="AQ58" i="189"/>
  <c r="CB43" i="189"/>
  <c r="BT43" i="189"/>
  <c r="BL43" i="189"/>
  <c r="BD43" i="189"/>
  <c r="AV43" i="189"/>
  <c r="AN43" i="189"/>
  <c r="AF43" i="189"/>
  <c r="X43" i="189"/>
  <c r="BU43" i="189"/>
  <c r="BK43" i="189"/>
  <c r="BB43" i="189"/>
  <c r="AS43" i="189"/>
  <c r="AJ43" i="189"/>
  <c r="AA43" i="189"/>
  <c r="R43" i="189"/>
  <c r="CC43" i="189"/>
  <c r="BR43" i="189"/>
  <c r="BH43" i="189"/>
  <c r="AX43" i="189"/>
  <c r="AM43" i="189"/>
  <c r="AC43" i="189"/>
  <c r="S43" i="189"/>
  <c r="BX43" i="189"/>
  <c r="BM43" i="189"/>
  <c r="AZ43" i="189"/>
  <c r="AO43" i="189"/>
  <c r="AB43" i="189"/>
  <c r="BW43" i="189"/>
  <c r="BJ43" i="189"/>
  <c r="AY43" i="189"/>
  <c r="AL43" i="189"/>
  <c r="Z43" i="189"/>
  <c r="BO43" i="189"/>
  <c r="AW43" i="189"/>
  <c r="AH43" i="189"/>
  <c r="T43" i="189"/>
  <c r="CA43" i="189"/>
  <c r="BN43" i="189"/>
  <c r="AU43" i="189"/>
  <c r="AG43" i="189"/>
  <c r="Q43" i="189"/>
  <c r="BZ43" i="189"/>
  <c r="BI43" i="189"/>
  <c r="AT43" i="189"/>
  <c r="AE43" i="189"/>
  <c r="BS43" i="189"/>
  <c r="AR43" i="189"/>
  <c r="V43" i="189"/>
  <c r="BQ43" i="189"/>
  <c r="AQ43" i="189"/>
  <c r="U43" i="189"/>
  <c r="BP43" i="189"/>
  <c r="AP43" i="189"/>
  <c r="BG43" i="189"/>
  <c r="AK43" i="189"/>
  <c r="BY43" i="189"/>
  <c r="BC43" i="189"/>
  <c r="Y43" i="189"/>
  <c r="BV43" i="189"/>
  <c r="BA43" i="189"/>
  <c r="W43" i="189"/>
  <c r="AI43" i="189"/>
  <c r="AD43" i="189"/>
  <c r="BF43" i="189"/>
  <c r="BE43" i="189"/>
  <c r="BV46" i="189"/>
  <c r="BN46" i="189"/>
  <c r="BF46" i="189"/>
  <c r="AX46" i="189"/>
  <c r="AP46" i="189"/>
  <c r="AH46" i="189"/>
  <c r="Z46" i="189"/>
  <c r="R46" i="189"/>
  <c r="BZ46" i="189"/>
  <c r="BQ46" i="189"/>
  <c r="BH46" i="189"/>
  <c r="AY46" i="189"/>
  <c r="AO46" i="189"/>
  <c r="AF46" i="189"/>
  <c r="W46" i="189"/>
  <c r="BY46" i="189"/>
  <c r="BO46" i="189"/>
  <c r="BD46" i="189"/>
  <c r="AT46" i="189"/>
  <c r="AJ46" i="189"/>
  <c r="Y46" i="189"/>
  <c r="CB46" i="189"/>
  <c r="BP46" i="189"/>
  <c r="BC46" i="189"/>
  <c r="AR46" i="189"/>
  <c r="AE46" i="189"/>
  <c r="T46" i="189"/>
  <c r="CA46" i="189"/>
  <c r="BM46" i="189"/>
  <c r="BB46" i="189"/>
  <c r="AQ46" i="189"/>
  <c r="AD46" i="189"/>
  <c r="S46" i="189"/>
  <c r="CC46" i="189"/>
  <c r="BK46" i="189"/>
  <c r="AV46" i="189"/>
  <c r="AG46" i="189"/>
  <c r="BX46" i="189"/>
  <c r="BJ46" i="189"/>
  <c r="AU46" i="189"/>
  <c r="AC46" i="189"/>
  <c r="BW46" i="189"/>
  <c r="BI46" i="189"/>
  <c r="AS46" i="189"/>
  <c r="AB46" i="189"/>
  <c r="BS46" i="189"/>
  <c r="AN46" i="189"/>
  <c r="U46" i="189"/>
  <c r="BR46" i="189"/>
  <c r="AM46" i="189"/>
  <c r="Q46" i="189"/>
  <c r="BL46" i="189"/>
  <c r="AL46" i="189"/>
  <c r="BG46" i="189"/>
  <c r="AK46" i="189"/>
  <c r="BU46" i="189"/>
  <c r="AZ46" i="189"/>
  <c r="X46" i="189"/>
  <c r="BT46" i="189"/>
  <c r="AW46" i="189"/>
  <c r="V46" i="189"/>
  <c r="BA46" i="189"/>
  <c r="AI46" i="189"/>
  <c r="AA46" i="189"/>
  <c r="BE46" i="189"/>
  <c r="BV66" i="189"/>
  <c r="BN66" i="189"/>
  <c r="BF66" i="189"/>
  <c r="AX66" i="189"/>
  <c r="AP66" i="189"/>
  <c r="AH66" i="189"/>
  <c r="Z66" i="189"/>
  <c r="R66" i="189"/>
  <c r="BZ66" i="189"/>
  <c r="BQ66" i="189"/>
  <c r="BH66" i="189"/>
  <c r="AY66" i="189"/>
  <c r="AO66" i="189"/>
  <c r="AF66" i="189"/>
  <c r="W66" i="189"/>
  <c r="BX66" i="189"/>
  <c r="BM66" i="189"/>
  <c r="BC66" i="189"/>
  <c r="AS66" i="189"/>
  <c r="AI66" i="189"/>
  <c r="X66" i="189"/>
  <c r="BW66" i="189"/>
  <c r="BL66" i="189"/>
  <c r="BB66" i="189"/>
  <c r="AR66" i="189"/>
  <c r="AG66" i="189"/>
  <c r="V66" i="189"/>
  <c r="CA66" i="189"/>
  <c r="BK66" i="189"/>
  <c r="AW66" i="189"/>
  <c r="AK66" i="189"/>
  <c r="U66" i="189"/>
  <c r="BY66" i="189"/>
  <c r="BJ66" i="189"/>
  <c r="AV66" i="189"/>
  <c r="AJ66" i="189"/>
  <c r="T66" i="189"/>
  <c r="BP66" i="189"/>
  <c r="AU66" i="189"/>
  <c r="AC66" i="189"/>
  <c r="BO66" i="189"/>
  <c r="AT66" i="189"/>
  <c r="AB66" i="189"/>
  <c r="CC66" i="189"/>
  <c r="BI66" i="189"/>
  <c r="AQ66" i="189"/>
  <c r="AA66" i="189"/>
  <c r="BR66" i="189"/>
  <c r="AL66" i="189"/>
  <c r="BG66" i="189"/>
  <c r="AE66" i="189"/>
  <c r="BT66" i="189"/>
  <c r="AD66" i="189"/>
  <c r="BS66" i="189"/>
  <c r="Y66" i="189"/>
  <c r="BE66" i="189"/>
  <c r="S66" i="189"/>
  <c r="BD66" i="189"/>
  <c r="Q66" i="189"/>
  <c r="AM66" i="189"/>
  <c r="CB66" i="189"/>
  <c r="AZ66" i="189"/>
  <c r="AN66" i="189"/>
  <c r="BU66" i="189"/>
  <c r="BA66" i="189"/>
  <c r="BX45" i="189"/>
  <c r="BP45" i="189"/>
  <c r="BH45" i="189"/>
  <c r="AZ45" i="189"/>
  <c r="AR45" i="189"/>
  <c r="AJ45" i="189"/>
  <c r="AB45" i="189"/>
  <c r="T45" i="189"/>
  <c r="CA45" i="189"/>
  <c r="BR45" i="189"/>
  <c r="BI45" i="189"/>
  <c r="AY45" i="189"/>
  <c r="AP45" i="189"/>
  <c r="AG45" i="189"/>
  <c r="X45" i="189"/>
  <c r="BZ45" i="189"/>
  <c r="BO45" i="189"/>
  <c r="BE45" i="189"/>
  <c r="AU45" i="189"/>
  <c r="AK45" i="189"/>
  <c r="Z45" i="189"/>
  <c r="BS45" i="189"/>
  <c r="BF45" i="189"/>
  <c r="AT45" i="189"/>
  <c r="AH45" i="189"/>
  <c r="V45" i="189"/>
  <c r="CC45" i="189"/>
  <c r="BQ45" i="189"/>
  <c r="BD45" i="189"/>
  <c r="AS45" i="189"/>
  <c r="AF45" i="189"/>
  <c r="U45" i="189"/>
  <c r="BV45" i="189"/>
  <c r="BG45" i="189"/>
  <c r="AO45" i="189"/>
  <c r="AA45" i="189"/>
  <c r="BU45" i="189"/>
  <c r="BC45" i="189"/>
  <c r="AN45" i="189"/>
  <c r="Y45" i="189"/>
  <c r="BT45" i="189"/>
  <c r="BB45" i="189"/>
  <c r="AM45" i="189"/>
  <c r="W45" i="189"/>
  <c r="BN45" i="189"/>
  <c r="AV45" i="189"/>
  <c r="R45" i="189"/>
  <c r="BM45" i="189"/>
  <c r="AQ45" i="189"/>
  <c r="Q45" i="189"/>
  <c r="BL45" i="189"/>
  <c r="AL45" i="189"/>
  <c r="BK45" i="189"/>
  <c r="AI45" i="189"/>
  <c r="BY45" i="189"/>
  <c r="AX45" i="189"/>
  <c r="AC45" i="189"/>
  <c r="BW45" i="189"/>
  <c r="AW45" i="189"/>
  <c r="S45" i="189"/>
  <c r="AE45" i="189"/>
  <c r="CB45" i="189"/>
  <c r="AD45" i="189"/>
  <c r="BJ45" i="189"/>
  <c r="BA45" i="189"/>
  <c r="BX37" i="189"/>
  <c r="BP37" i="189"/>
  <c r="BH37" i="189"/>
  <c r="AZ37" i="189"/>
  <c r="AR37" i="189"/>
  <c r="AJ37" i="189"/>
  <c r="AB37" i="189"/>
  <c r="T37" i="189"/>
  <c r="CA37" i="189"/>
  <c r="BR37" i="189"/>
  <c r="BI37" i="189"/>
  <c r="AY37" i="189"/>
  <c r="AP37" i="189"/>
  <c r="AG37" i="189"/>
  <c r="X37" i="189"/>
  <c r="BZ37" i="189"/>
  <c r="BO37" i="189"/>
  <c r="BE37" i="189"/>
  <c r="AU37" i="189"/>
  <c r="AK37" i="189"/>
  <c r="Z37" i="189"/>
  <c r="BS37" i="189"/>
  <c r="BF37" i="189"/>
  <c r="AT37" i="189"/>
  <c r="AH37" i="189"/>
  <c r="V37" i="189"/>
  <c r="CC37" i="189"/>
  <c r="BQ37" i="189"/>
  <c r="BD37" i="189"/>
  <c r="AS37" i="189"/>
  <c r="AF37" i="189"/>
  <c r="U37" i="189"/>
  <c r="BT37" i="189"/>
  <c r="BB37" i="189"/>
  <c r="AM37" i="189"/>
  <c r="W37" i="189"/>
  <c r="BN37" i="189"/>
  <c r="BA37" i="189"/>
  <c r="AL37" i="189"/>
  <c r="S37" i="189"/>
  <c r="BM37" i="189"/>
  <c r="AX37" i="189"/>
  <c r="AI37" i="189"/>
  <c r="R37" i="189"/>
  <c r="BV37" i="189"/>
  <c r="AV37" i="189"/>
  <c r="Y37" i="189"/>
  <c r="BU37" i="189"/>
  <c r="AQ37" i="189"/>
  <c r="BL37" i="189"/>
  <c r="AO37" i="189"/>
  <c r="Q37" i="189"/>
  <c r="BK37" i="189"/>
  <c r="AN37" i="189"/>
  <c r="BW37" i="189"/>
  <c r="AW37" i="189"/>
  <c r="AA37" i="189"/>
  <c r="BY37" i="189"/>
  <c r="BC37" i="189"/>
  <c r="AD37" i="189"/>
  <c r="BJ37" i="189"/>
  <c r="AE37" i="189"/>
  <c r="AC37" i="189"/>
  <c r="BG37" i="189"/>
  <c r="CB37" i="189"/>
  <c r="BV50" i="189"/>
  <c r="BN50" i="189"/>
  <c r="BF50" i="189"/>
  <c r="AX50" i="189"/>
  <c r="AP50" i="189"/>
  <c r="AH50" i="189"/>
  <c r="Z50" i="189"/>
  <c r="R50" i="189"/>
  <c r="BU50" i="189"/>
  <c r="BL50" i="189"/>
  <c r="BC50" i="189"/>
  <c r="AT50" i="189"/>
  <c r="AK50" i="189"/>
  <c r="AB50" i="189"/>
  <c r="S50" i="189"/>
  <c r="CC50" i="189"/>
  <c r="BS50" i="189"/>
  <c r="BI50" i="189"/>
  <c r="AY50" i="189"/>
  <c r="AN50" i="189"/>
  <c r="AD50" i="189"/>
  <c r="T50" i="189"/>
  <c r="BZ50" i="189"/>
  <c r="BO50" i="189"/>
  <c r="BB50" i="189"/>
  <c r="AQ50" i="189"/>
  <c r="AE50" i="189"/>
  <c r="Q50" i="189"/>
  <c r="BY50" i="189"/>
  <c r="BM50" i="189"/>
  <c r="BA50" i="189"/>
  <c r="AO50" i="189"/>
  <c r="AC50" i="189"/>
  <c r="CB50" i="189"/>
  <c r="BK50" i="189"/>
  <c r="AV50" i="189"/>
  <c r="AG50" i="189"/>
  <c r="CA50" i="189"/>
  <c r="BJ50" i="189"/>
  <c r="AU50" i="189"/>
  <c r="AF50" i="189"/>
  <c r="BX50" i="189"/>
  <c r="BH50" i="189"/>
  <c r="AS50" i="189"/>
  <c r="AA50" i="189"/>
  <c r="BR50" i="189"/>
  <c r="AR50" i="189"/>
  <c r="V50" i="189"/>
  <c r="BP50" i="189"/>
  <c r="BQ50" i="189"/>
  <c r="AM50" i="189"/>
  <c r="U50" i="189"/>
  <c r="AL50" i="189"/>
  <c r="BG50" i="189"/>
  <c r="AJ50" i="189"/>
  <c r="BW50" i="189"/>
  <c r="AZ50" i="189"/>
  <c r="X50" i="189"/>
  <c r="BT50" i="189"/>
  <c r="AW50" i="189"/>
  <c r="W50" i="189"/>
  <c r="AI50" i="189"/>
  <c r="BD50" i="189"/>
  <c r="Y50" i="189"/>
  <c r="BE50" i="189"/>
  <c r="CC11" i="189"/>
  <c r="BU11" i="189"/>
  <c r="BM11" i="189"/>
  <c r="BE11" i="189"/>
  <c r="AW11" i="189"/>
  <c r="AO11" i="189"/>
  <c r="AG11" i="189"/>
  <c r="Y11" i="189"/>
  <c r="Q11" i="189"/>
  <c r="CA11" i="189"/>
  <c r="BR11" i="189"/>
  <c r="BI11" i="189"/>
  <c r="AZ11" i="189"/>
  <c r="AQ11" i="189"/>
  <c r="AH11" i="189"/>
  <c r="X11" i="189"/>
  <c r="BZ11" i="189"/>
  <c r="BQ11" i="189"/>
  <c r="BH11" i="189"/>
  <c r="AY11" i="189"/>
  <c r="AP11" i="189"/>
  <c r="AF11" i="189"/>
  <c r="W11" i="189"/>
  <c r="BV11" i="189"/>
  <c r="BJ11" i="189"/>
  <c r="AV11" i="189"/>
  <c r="AK11" i="189"/>
  <c r="Z11" i="189"/>
  <c r="BG11" i="189"/>
  <c r="AU11" i="189"/>
  <c r="AJ11" i="189"/>
  <c r="V11" i="189"/>
  <c r="BS11" i="189"/>
  <c r="AI11" i="189"/>
  <c r="BT11" i="189"/>
  <c r="BF11" i="189"/>
  <c r="AT11" i="189"/>
  <c r="U11" i="189"/>
  <c r="BO11" i="189"/>
  <c r="AX11" i="189"/>
  <c r="AC11" i="189"/>
  <c r="BN11" i="189"/>
  <c r="AR11" i="189"/>
  <c r="AA11" i="189"/>
  <c r="BK11" i="189"/>
  <c r="T11" i="189"/>
  <c r="AM11" i="189"/>
  <c r="BX11" i="189"/>
  <c r="AL11" i="189"/>
  <c r="BB11" i="189"/>
  <c r="BP11" i="189"/>
  <c r="BA11" i="189"/>
  <c r="AD11" i="189"/>
  <c r="AS11" i="189"/>
  <c r="AB11" i="189"/>
  <c r="CB11" i="189"/>
  <c r="AN11" i="189"/>
  <c r="BY11" i="189"/>
  <c r="BW11" i="189"/>
  <c r="AE11" i="189"/>
  <c r="BL11" i="189"/>
  <c r="BD11" i="189"/>
  <c r="BC11" i="189"/>
  <c r="R11" i="189"/>
  <c r="S11" i="189"/>
  <c r="BV24" i="189"/>
  <c r="BN24" i="189"/>
  <c r="BF24" i="189"/>
  <c r="AX24" i="189"/>
  <c r="AP24" i="189"/>
  <c r="AH24" i="189"/>
  <c r="Z24" i="189"/>
  <c r="R24" i="189"/>
  <c r="BY24" i="189"/>
  <c r="BP24" i="189"/>
  <c r="BG24" i="189"/>
  <c r="AW24" i="189"/>
  <c r="AN24" i="189"/>
  <c r="AE24" i="189"/>
  <c r="V24" i="189"/>
  <c r="BZ24" i="189"/>
  <c r="BO24" i="189"/>
  <c r="BD24" i="189"/>
  <c r="AT24" i="189"/>
  <c r="AJ24" i="189"/>
  <c r="Y24" i="189"/>
  <c r="BX24" i="189"/>
  <c r="BM24" i="189"/>
  <c r="BC24" i="189"/>
  <c r="AS24" i="189"/>
  <c r="AI24" i="189"/>
  <c r="X24" i="189"/>
  <c r="BT24" i="189"/>
  <c r="BH24" i="189"/>
  <c r="AR24" i="189"/>
  <c r="AD24" i="189"/>
  <c r="Q24" i="189"/>
  <c r="BS24" i="189"/>
  <c r="BE24" i="189"/>
  <c r="AQ24" i="189"/>
  <c r="BR24" i="189"/>
  <c r="BB24" i="189"/>
  <c r="AO24" i="189"/>
  <c r="AB24" i="189"/>
  <c r="AC24" i="189"/>
  <c r="BL24" i="189"/>
  <c r="AU24" i="189"/>
  <c r="U24" i="189"/>
  <c r="BI24" i="189"/>
  <c r="BW24" i="189"/>
  <c r="AZ24" i="189"/>
  <c r="AF24" i="189"/>
  <c r="BK24" i="189"/>
  <c r="AM24" i="189"/>
  <c r="T24" i="189"/>
  <c r="CB24" i="189"/>
  <c r="AK24" i="189"/>
  <c r="BU24" i="189"/>
  <c r="AY24" i="189"/>
  <c r="AA24" i="189"/>
  <c r="CC24" i="189"/>
  <c r="BJ24" i="189"/>
  <c r="AL24" i="189"/>
  <c r="S24" i="189"/>
  <c r="CA24" i="189"/>
  <c r="BA24" i="189"/>
  <c r="AG24" i="189"/>
  <c r="BQ24" i="189"/>
  <c r="AV24" i="189"/>
  <c r="W24" i="189"/>
  <c r="CB51" i="189"/>
  <c r="BT51" i="189"/>
  <c r="BL51" i="189"/>
  <c r="BD51" i="189"/>
  <c r="AV51" i="189"/>
  <c r="AN51" i="189"/>
  <c r="AF51" i="189"/>
  <c r="X51" i="189"/>
  <c r="BU51" i="189"/>
  <c r="BK51" i="189"/>
  <c r="BB51" i="189"/>
  <c r="AS51" i="189"/>
  <c r="AJ51" i="189"/>
  <c r="AA51" i="189"/>
  <c r="R51" i="189"/>
  <c r="CC51" i="189"/>
  <c r="BR51" i="189"/>
  <c r="BH51" i="189"/>
  <c r="AX51" i="189"/>
  <c r="AM51" i="189"/>
  <c r="AC51" i="189"/>
  <c r="S51" i="189"/>
  <c r="BX51" i="189"/>
  <c r="BM51" i="189"/>
  <c r="AZ51" i="189"/>
  <c r="AO51" i="189"/>
  <c r="AB51" i="189"/>
  <c r="BW51" i="189"/>
  <c r="BJ51" i="189"/>
  <c r="AY51" i="189"/>
  <c r="AL51" i="189"/>
  <c r="Z51" i="189"/>
  <c r="BQ51" i="189"/>
  <c r="BC51" i="189"/>
  <c r="AK51" i="189"/>
  <c r="V51" i="189"/>
  <c r="BP51" i="189"/>
  <c r="BA51" i="189"/>
  <c r="AI51" i="189"/>
  <c r="U51" i="189"/>
  <c r="BO51" i="189"/>
  <c r="AW51" i="189"/>
  <c r="AH51" i="189"/>
  <c r="T51" i="189"/>
  <c r="BV51" i="189"/>
  <c r="AT51" i="189"/>
  <c r="W51" i="189"/>
  <c r="BN51" i="189"/>
  <c r="BS51" i="189"/>
  <c r="AR51" i="189"/>
  <c r="Q51" i="189"/>
  <c r="AQ51" i="189"/>
  <c r="BI51" i="189"/>
  <c r="AP51" i="189"/>
  <c r="BZ51" i="189"/>
  <c r="BE51" i="189"/>
  <c r="AD51" i="189"/>
  <c r="BY51" i="189"/>
  <c r="AU51" i="189"/>
  <c r="Y51" i="189"/>
  <c r="CA51" i="189"/>
  <c r="BF51" i="189"/>
  <c r="AG51" i="189"/>
  <c r="BG51" i="189"/>
  <c r="AE51" i="189"/>
  <c r="BV30" i="189"/>
  <c r="BN30" i="189"/>
  <c r="BF30" i="189"/>
  <c r="AX30" i="189"/>
  <c r="AP30" i="189"/>
  <c r="AH30" i="189"/>
  <c r="Z30" i="189"/>
  <c r="R30" i="189"/>
  <c r="BY30" i="189"/>
  <c r="BP30" i="189"/>
  <c r="BG30" i="189"/>
  <c r="AW30" i="189"/>
  <c r="AN30" i="189"/>
  <c r="AE30" i="189"/>
  <c r="V30" i="189"/>
  <c r="BU30" i="189"/>
  <c r="BK30" i="189"/>
  <c r="BA30" i="189"/>
  <c r="AQ30" i="189"/>
  <c r="AF30" i="189"/>
  <c r="U30" i="189"/>
  <c r="CA30" i="189"/>
  <c r="BO30" i="189"/>
  <c r="BC30" i="189"/>
  <c r="AR30" i="189"/>
  <c r="AD30" i="189"/>
  <c r="S30" i="189"/>
  <c r="BZ30" i="189"/>
  <c r="BM30" i="189"/>
  <c r="BB30" i="189"/>
  <c r="AO30" i="189"/>
  <c r="AC30" i="189"/>
  <c r="Q30" i="189"/>
  <c r="BX30" i="189"/>
  <c r="BL30" i="189"/>
  <c r="AZ30" i="189"/>
  <c r="AM30" i="189"/>
  <c r="AB30" i="189"/>
  <c r="BQ30" i="189"/>
  <c r="AU30" i="189"/>
  <c r="AA30" i="189"/>
  <c r="AT30" i="189"/>
  <c r="Y30" i="189"/>
  <c r="BI30" i="189"/>
  <c r="BJ30" i="189"/>
  <c r="X30" i="189"/>
  <c r="CC30" i="189"/>
  <c r="AS30" i="189"/>
  <c r="BW30" i="189"/>
  <c r="AV30" i="189"/>
  <c r="BR30" i="189"/>
  <c r="BE30" i="189"/>
  <c r="AG30" i="189"/>
  <c r="BT30" i="189"/>
  <c r="AL30" i="189"/>
  <c r="AJ30" i="189"/>
  <c r="BH30" i="189"/>
  <c r="AI30" i="189"/>
  <c r="BD30" i="189"/>
  <c r="W30" i="189"/>
  <c r="BS30" i="189"/>
  <c r="AK30" i="189"/>
  <c r="CB30" i="189"/>
  <c r="AY30" i="189"/>
  <c r="T30" i="189"/>
  <c r="BX49" i="189"/>
  <c r="BP49" i="189"/>
  <c r="BH49" i="189"/>
  <c r="AZ49" i="189"/>
  <c r="AR49" i="189"/>
  <c r="AJ49" i="189"/>
  <c r="AB49" i="189"/>
  <c r="T49" i="189"/>
  <c r="BV49" i="189"/>
  <c r="BM49" i="189"/>
  <c r="BD49" i="189"/>
  <c r="AU49" i="189"/>
  <c r="AL49" i="189"/>
  <c r="AC49" i="189"/>
  <c r="S49" i="189"/>
  <c r="BT49" i="189"/>
  <c r="BJ49" i="189"/>
  <c r="AY49" i="189"/>
  <c r="AO49" i="189"/>
  <c r="AE49" i="189"/>
  <c r="U49" i="189"/>
  <c r="CB49" i="189"/>
  <c r="BQ49" i="189"/>
  <c r="BE49" i="189"/>
  <c r="AS49" i="189"/>
  <c r="AG49" i="189"/>
  <c r="V49" i="189"/>
  <c r="CA49" i="189"/>
  <c r="BO49" i="189"/>
  <c r="BC49" i="189"/>
  <c r="AQ49" i="189"/>
  <c r="AF49" i="189"/>
  <c r="R49" i="189"/>
  <c r="BW49" i="189"/>
  <c r="BG49" i="189"/>
  <c r="AP49" i="189"/>
  <c r="Z49" i="189"/>
  <c r="BU49" i="189"/>
  <c r="BF49" i="189"/>
  <c r="AN49" i="189"/>
  <c r="Y49" i="189"/>
  <c r="BS49" i="189"/>
  <c r="BB49" i="189"/>
  <c r="AM49" i="189"/>
  <c r="X49" i="189"/>
  <c r="BN49" i="189"/>
  <c r="AT49" i="189"/>
  <c r="BL49" i="189"/>
  <c r="AK49" i="189"/>
  <c r="BK49" i="189"/>
  <c r="AI49" i="189"/>
  <c r="BI49" i="189"/>
  <c r="AH49" i="189"/>
  <c r="BY49" i="189"/>
  <c r="AW49" i="189"/>
  <c r="W49" i="189"/>
  <c r="BR49" i="189"/>
  <c r="AV49" i="189"/>
  <c r="Q49" i="189"/>
  <c r="CC49" i="189"/>
  <c r="AA49" i="189"/>
  <c r="BZ49" i="189"/>
  <c r="BA49" i="189"/>
  <c r="AX49" i="189"/>
  <c r="AD49" i="189"/>
  <c r="CA12" i="189"/>
  <c r="BS12" i="189"/>
  <c r="BK12" i="189"/>
  <c r="BC12" i="189"/>
  <c r="AU12" i="189"/>
  <c r="AM12" i="189"/>
  <c r="AE12" i="189"/>
  <c r="W12" i="189"/>
  <c r="BZ12" i="189"/>
  <c r="BQ12" i="189"/>
  <c r="BH12" i="189"/>
  <c r="AY12" i="189"/>
  <c r="AP12" i="189"/>
  <c r="AG12" i="189"/>
  <c r="X12" i="189"/>
  <c r="BY12" i="189"/>
  <c r="BP12" i="189"/>
  <c r="BG12" i="189"/>
  <c r="AX12" i="189"/>
  <c r="AO12" i="189"/>
  <c r="AF12" i="189"/>
  <c r="V12" i="189"/>
  <c r="BU12" i="189"/>
  <c r="BI12" i="189"/>
  <c r="AV12" i="189"/>
  <c r="AJ12" i="189"/>
  <c r="Y12" i="189"/>
  <c r="BT12" i="189"/>
  <c r="BF12" i="189"/>
  <c r="AI12" i="189"/>
  <c r="U12" i="189"/>
  <c r="AT12" i="189"/>
  <c r="BR12" i="189"/>
  <c r="BE12" i="189"/>
  <c r="AH12" i="189"/>
  <c r="T12" i="189"/>
  <c r="AS12" i="189"/>
  <c r="BV12" i="189"/>
  <c r="BA12" i="189"/>
  <c r="AD12" i="189"/>
  <c r="BN12" i="189"/>
  <c r="AB12" i="189"/>
  <c r="AA12" i="189"/>
  <c r="CC12" i="189"/>
  <c r="Z12" i="189"/>
  <c r="AN12" i="189"/>
  <c r="BD12" i="189"/>
  <c r="R12" i="189"/>
  <c r="BB12" i="189"/>
  <c r="Q12" i="189"/>
  <c r="BO12" i="189"/>
  <c r="AZ12" i="189"/>
  <c r="AC12" i="189"/>
  <c r="BM12" i="189"/>
  <c r="AR12" i="189"/>
  <c r="BL12" i="189"/>
  <c r="CB12" i="189"/>
  <c r="BX12" i="189"/>
  <c r="AL12" i="189"/>
  <c r="AW12" i="189"/>
  <c r="BJ12" i="189"/>
  <c r="S12" i="189"/>
  <c r="AQ12" i="189"/>
  <c r="AK12" i="189"/>
  <c r="BW12" i="189"/>
  <c r="BX65" i="189"/>
  <c r="BP65" i="189"/>
  <c r="BH65" i="189"/>
  <c r="AZ65" i="189"/>
  <c r="AR65" i="189"/>
  <c r="AJ65" i="189"/>
  <c r="CA65" i="189"/>
  <c r="BR65" i="189"/>
  <c r="BI65" i="189"/>
  <c r="AY65" i="189"/>
  <c r="AP65" i="189"/>
  <c r="AG65" i="189"/>
  <c r="Y65" i="189"/>
  <c r="Q65" i="189"/>
  <c r="BY65" i="189"/>
  <c r="BN65" i="189"/>
  <c r="BD65" i="189"/>
  <c r="AT65" i="189"/>
  <c r="AI65" i="189"/>
  <c r="Z65" i="189"/>
  <c r="BW65" i="189"/>
  <c r="BM65" i="189"/>
  <c r="BC65" i="189"/>
  <c r="AS65" i="189"/>
  <c r="AH65" i="189"/>
  <c r="X65" i="189"/>
  <c r="BS65" i="189"/>
  <c r="BE65" i="189"/>
  <c r="AO65" i="189"/>
  <c r="AC65" i="189"/>
  <c r="R65" i="189"/>
  <c r="BQ65" i="189"/>
  <c r="BB65" i="189"/>
  <c r="AN65" i="189"/>
  <c r="AB65" i="189"/>
  <c r="BO65" i="189"/>
  <c r="AW65" i="189"/>
  <c r="AE65" i="189"/>
  <c r="BL65" i="189"/>
  <c r="AV65" i="189"/>
  <c r="AD65" i="189"/>
  <c r="CC65" i="189"/>
  <c r="BK65" i="189"/>
  <c r="AU65" i="189"/>
  <c r="AA65" i="189"/>
  <c r="BF65" i="189"/>
  <c r="W65" i="189"/>
  <c r="CB65" i="189"/>
  <c r="BA65" i="189"/>
  <c r="V65" i="189"/>
  <c r="BV65" i="189"/>
  <c r="AL65" i="189"/>
  <c r="BU65" i="189"/>
  <c r="AK65" i="189"/>
  <c r="BT65" i="189"/>
  <c r="AF65" i="189"/>
  <c r="BJ65" i="189"/>
  <c r="U65" i="189"/>
  <c r="AM65" i="189"/>
  <c r="T65" i="189"/>
  <c r="S65" i="189"/>
  <c r="AX65" i="189"/>
  <c r="AQ65" i="189"/>
  <c r="BG65" i="189"/>
  <c r="BZ65" i="189"/>
  <c r="BZ52" i="189"/>
  <c r="BR52" i="189"/>
  <c r="BJ52" i="189"/>
  <c r="BB52" i="189"/>
  <c r="AT52" i="189"/>
  <c r="AL52" i="189"/>
  <c r="AD52" i="189"/>
  <c r="V52" i="189"/>
  <c r="CC52" i="189"/>
  <c r="BT52" i="189"/>
  <c r="BK52" i="189"/>
  <c r="BA52" i="189"/>
  <c r="AR52" i="189"/>
  <c r="AI52" i="189"/>
  <c r="Z52" i="189"/>
  <c r="Q52" i="189"/>
  <c r="CB52" i="189"/>
  <c r="BQ52" i="189"/>
  <c r="BG52" i="189"/>
  <c r="AW52" i="189"/>
  <c r="AM52" i="189"/>
  <c r="AB52" i="189"/>
  <c r="R52" i="189"/>
  <c r="BV52" i="189"/>
  <c r="BI52" i="189"/>
  <c r="AX52" i="189"/>
  <c r="AK52" i="189"/>
  <c r="Y52" i="189"/>
  <c r="BU52" i="189"/>
  <c r="BH52" i="189"/>
  <c r="AV52" i="189"/>
  <c r="AJ52" i="189"/>
  <c r="X52" i="189"/>
  <c r="BW52" i="189"/>
  <c r="BE52" i="189"/>
  <c r="AP52" i="189"/>
  <c r="AA52" i="189"/>
  <c r="BS52" i="189"/>
  <c r="BD52" i="189"/>
  <c r="AO52" i="189"/>
  <c r="W52" i="189"/>
  <c r="BP52" i="189"/>
  <c r="BC52" i="189"/>
  <c r="AN52" i="189"/>
  <c r="U52" i="189"/>
  <c r="BX52" i="189"/>
  <c r="AU52" i="189"/>
  <c r="T52" i="189"/>
  <c r="AQ52" i="189"/>
  <c r="BO52" i="189"/>
  <c r="AS52" i="189"/>
  <c r="S52" i="189"/>
  <c r="BN52" i="189"/>
  <c r="BM52" i="189"/>
  <c r="AH52" i="189"/>
  <c r="CA52" i="189"/>
  <c r="AZ52" i="189"/>
  <c r="AE52" i="189"/>
  <c r="BY52" i="189"/>
  <c r="AY52" i="189"/>
  <c r="AC52" i="189"/>
  <c r="AG52" i="189"/>
  <c r="AF52" i="189"/>
  <c r="BL52" i="189"/>
  <c r="BF52" i="189"/>
  <c r="CB25" i="189"/>
  <c r="BT25" i="189"/>
  <c r="BL25" i="189"/>
  <c r="BD25" i="189"/>
  <c r="AV25" i="189"/>
  <c r="AN25" i="189"/>
  <c r="AF25" i="189"/>
  <c r="X25" i="189"/>
  <c r="BX25" i="189"/>
  <c r="BO25" i="189"/>
  <c r="BF25" i="189"/>
  <c r="AW25" i="189"/>
  <c r="AM25" i="189"/>
  <c r="AD25" i="189"/>
  <c r="U25" i="189"/>
  <c r="BW25" i="189"/>
  <c r="BM25" i="189"/>
  <c r="BB25" i="189"/>
  <c r="AR25" i="189"/>
  <c r="AH25" i="189"/>
  <c r="W25" i="189"/>
  <c r="BV25" i="189"/>
  <c r="BK25" i="189"/>
  <c r="BA25" i="189"/>
  <c r="AQ25" i="189"/>
  <c r="AG25" i="189"/>
  <c r="V25" i="189"/>
  <c r="CA25" i="189"/>
  <c r="BN25" i="189"/>
  <c r="AY25" i="189"/>
  <c r="AK25" i="189"/>
  <c r="Y25" i="189"/>
  <c r="BZ25" i="189"/>
  <c r="BJ25" i="189"/>
  <c r="AJ25" i="189"/>
  <c r="T25" i="189"/>
  <c r="BI25" i="189"/>
  <c r="AI25" i="189"/>
  <c r="S25" i="189"/>
  <c r="AX25" i="189"/>
  <c r="BY25" i="189"/>
  <c r="AU25" i="189"/>
  <c r="CC25" i="189"/>
  <c r="BE25" i="189"/>
  <c r="AE25" i="189"/>
  <c r="BR25" i="189"/>
  <c r="AA25" i="189"/>
  <c r="BP25" i="189"/>
  <c r="AP25" i="189"/>
  <c r="R25" i="189"/>
  <c r="BH25" i="189"/>
  <c r="BU25" i="189"/>
  <c r="BC25" i="189"/>
  <c r="AC25" i="189"/>
  <c r="AT25" i="189"/>
  <c r="AO25" i="189"/>
  <c r="Q25" i="189"/>
  <c r="BS25" i="189"/>
  <c r="AZ25" i="189"/>
  <c r="AB25" i="189"/>
  <c r="BQ25" i="189"/>
  <c r="AS25" i="189"/>
  <c r="Z25" i="189"/>
  <c r="BG25" i="189"/>
  <c r="AL25" i="189"/>
  <c r="BW56" i="189"/>
  <c r="BO56" i="189"/>
  <c r="BG56" i="189"/>
  <c r="AY56" i="189"/>
  <c r="AQ56" i="189"/>
  <c r="AI56" i="189"/>
  <c r="AA56" i="189"/>
  <c r="S56" i="189"/>
  <c r="CA56" i="189"/>
  <c r="BR56" i="189"/>
  <c r="BI56" i="189"/>
  <c r="AZ56" i="189"/>
  <c r="AP56" i="189"/>
  <c r="AG56" i="189"/>
  <c r="X56" i="189"/>
  <c r="BU56" i="189"/>
  <c r="BK56" i="189"/>
  <c r="BA56" i="189"/>
  <c r="AO56" i="189"/>
  <c r="AE56" i="189"/>
  <c r="U56" i="189"/>
  <c r="CB56" i="189"/>
  <c r="BP56" i="189"/>
  <c r="BD56" i="189"/>
  <c r="AS56" i="189"/>
  <c r="AF56" i="189"/>
  <c r="T56" i="189"/>
  <c r="BY56" i="189"/>
  <c r="BM56" i="189"/>
  <c r="BB56" i="189"/>
  <c r="AN56" i="189"/>
  <c r="AC56" i="189"/>
  <c r="Q56" i="189"/>
  <c r="BS56" i="189"/>
  <c r="BC56" i="189"/>
  <c r="AL56" i="189"/>
  <c r="W56" i="189"/>
  <c r="BQ56" i="189"/>
  <c r="AX56" i="189"/>
  <c r="AK56" i="189"/>
  <c r="V56" i="189"/>
  <c r="BZ56" i="189"/>
  <c r="BF56" i="189"/>
  <c r="AJ56" i="189"/>
  <c r="BX56" i="189"/>
  <c r="BE56" i="189"/>
  <c r="AH56" i="189"/>
  <c r="BV56" i="189"/>
  <c r="AW56" i="189"/>
  <c r="AD56" i="189"/>
  <c r="CC56" i="189"/>
  <c r="AT56" i="189"/>
  <c r="BT56" i="189"/>
  <c r="AR56" i="189"/>
  <c r="BN56" i="189"/>
  <c r="AM56" i="189"/>
  <c r="BL56" i="189"/>
  <c r="AB56" i="189"/>
  <c r="AV56" i="189"/>
  <c r="R56" i="189"/>
  <c r="AU56" i="189"/>
  <c r="Y56" i="189"/>
  <c r="BJ56" i="189"/>
  <c r="BH56" i="189"/>
  <c r="Z56" i="189"/>
  <c r="BZ18" i="189"/>
  <c r="BR18" i="189"/>
  <c r="BJ18" i="189"/>
  <c r="BB18" i="189"/>
  <c r="AT18" i="189"/>
  <c r="AL18" i="189"/>
  <c r="AD18" i="189"/>
  <c r="V18" i="189"/>
  <c r="BW18" i="189"/>
  <c r="BN18" i="189"/>
  <c r="BE18" i="189"/>
  <c r="AV18" i="189"/>
  <c r="AM18" i="189"/>
  <c r="AC18" i="189"/>
  <c r="T18" i="189"/>
  <c r="BV18" i="189"/>
  <c r="BL18" i="189"/>
  <c r="BA18" i="189"/>
  <c r="AQ18" i="189"/>
  <c r="AG18" i="189"/>
  <c r="W18" i="189"/>
  <c r="BU18" i="189"/>
  <c r="BK18" i="189"/>
  <c r="AZ18" i="189"/>
  <c r="AP18" i="189"/>
  <c r="AF18" i="189"/>
  <c r="U18" i="189"/>
  <c r="BT18" i="189"/>
  <c r="BG18" i="189"/>
  <c r="AS18" i="189"/>
  <c r="AE18" i="189"/>
  <c r="Q18" i="189"/>
  <c r="BS18" i="189"/>
  <c r="BF18" i="189"/>
  <c r="AR18" i="189"/>
  <c r="AB18" i="189"/>
  <c r="BQ18" i="189"/>
  <c r="AO18" i="189"/>
  <c r="AA18" i="189"/>
  <c r="BD18" i="189"/>
  <c r="BY18" i="189"/>
  <c r="AY18" i="189"/>
  <c r="AH18" i="189"/>
  <c r="BP18" i="189"/>
  <c r="AW18" i="189"/>
  <c r="Y18" i="189"/>
  <c r="BO18" i="189"/>
  <c r="AU18" i="189"/>
  <c r="X18" i="189"/>
  <c r="CC18" i="189"/>
  <c r="BI18" i="189"/>
  <c r="AK18" i="189"/>
  <c r="R18" i="189"/>
  <c r="CB18" i="189"/>
  <c r="BX18" i="189"/>
  <c r="AX18" i="189"/>
  <c r="Z18" i="189"/>
  <c r="BM18" i="189"/>
  <c r="AN18" i="189"/>
  <c r="AJ18" i="189"/>
  <c r="S18" i="189"/>
  <c r="BH18" i="189"/>
  <c r="CA18" i="189"/>
  <c r="BC18" i="189"/>
  <c r="AI18" i="189"/>
  <c r="BV38" i="189"/>
  <c r="BN38" i="189"/>
  <c r="BF38" i="189"/>
  <c r="AX38" i="189"/>
  <c r="AP38" i="189"/>
  <c r="AH38" i="189"/>
  <c r="Z38" i="189"/>
  <c r="R38" i="189"/>
  <c r="BZ38" i="189"/>
  <c r="BQ38" i="189"/>
  <c r="BH38" i="189"/>
  <c r="AY38" i="189"/>
  <c r="AO38" i="189"/>
  <c r="AF38" i="189"/>
  <c r="W38" i="189"/>
  <c r="BY38" i="189"/>
  <c r="BO38" i="189"/>
  <c r="BD38" i="189"/>
  <c r="AT38" i="189"/>
  <c r="AJ38" i="189"/>
  <c r="Y38" i="189"/>
  <c r="CB38" i="189"/>
  <c r="BP38" i="189"/>
  <c r="BC38" i="189"/>
  <c r="AR38" i="189"/>
  <c r="AE38" i="189"/>
  <c r="T38" i="189"/>
  <c r="CA38" i="189"/>
  <c r="BM38" i="189"/>
  <c r="BB38" i="189"/>
  <c r="AQ38" i="189"/>
  <c r="AD38" i="189"/>
  <c r="S38" i="189"/>
  <c r="BW38" i="189"/>
  <c r="BI38" i="189"/>
  <c r="AS38" i="189"/>
  <c r="AB38" i="189"/>
  <c r="BU38" i="189"/>
  <c r="BG38" i="189"/>
  <c r="AN38" i="189"/>
  <c r="AA38" i="189"/>
  <c r="BT38" i="189"/>
  <c r="BE38" i="189"/>
  <c r="AM38" i="189"/>
  <c r="X38" i="189"/>
  <c r="BS38" i="189"/>
  <c r="AV38" i="189"/>
  <c r="U38" i="189"/>
  <c r="BR38" i="189"/>
  <c r="AU38" i="189"/>
  <c r="Q38" i="189"/>
  <c r="BL38" i="189"/>
  <c r="AL38" i="189"/>
  <c r="BK38" i="189"/>
  <c r="AK38" i="189"/>
  <c r="BX38" i="189"/>
  <c r="AW38" i="189"/>
  <c r="V38" i="189"/>
  <c r="BJ38" i="189"/>
  <c r="AI38" i="189"/>
  <c r="AC38" i="189"/>
  <c r="BA38" i="189"/>
  <c r="AG38" i="189"/>
  <c r="AZ38" i="189"/>
  <c r="CC38" i="189"/>
  <c r="CB27" i="189"/>
  <c r="BT27" i="189"/>
  <c r="BL27" i="189"/>
  <c r="BD27" i="189"/>
  <c r="AV27" i="189"/>
  <c r="CC27" i="189"/>
  <c r="BS27" i="189"/>
  <c r="BJ27" i="189"/>
  <c r="BA27" i="189"/>
  <c r="AR27" i="189"/>
  <c r="AJ27" i="189"/>
  <c r="AB27" i="189"/>
  <c r="T27" i="189"/>
  <c r="BY27" i="189"/>
  <c r="BO27" i="189"/>
  <c r="BE27" i="189"/>
  <c r="AT27" i="189"/>
  <c r="AK27" i="189"/>
  <c r="AA27" i="189"/>
  <c r="R27" i="189"/>
  <c r="BX27" i="189"/>
  <c r="BM27" i="189"/>
  <c r="AZ27" i="189"/>
  <c r="AO27" i="189"/>
  <c r="AE27" i="189"/>
  <c r="U27" i="189"/>
  <c r="BW27" i="189"/>
  <c r="BK27" i="189"/>
  <c r="AY27" i="189"/>
  <c r="AN27" i="189"/>
  <c r="AD27" i="189"/>
  <c r="S27" i="189"/>
  <c r="BR27" i="189"/>
  <c r="BC27" i="189"/>
  <c r="AM27" i="189"/>
  <c r="Y27" i="189"/>
  <c r="BQ27" i="189"/>
  <c r="BB27" i="189"/>
  <c r="AL27" i="189"/>
  <c r="X27" i="189"/>
  <c r="AI27" i="189"/>
  <c r="BP27" i="189"/>
  <c r="AX27" i="189"/>
  <c r="W27" i="189"/>
  <c r="BH27" i="189"/>
  <c r="AH27" i="189"/>
  <c r="AW27" i="189"/>
  <c r="BU27" i="189"/>
  <c r="AS27" i="189"/>
  <c r="V27" i="189"/>
  <c r="BG27" i="189"/>
  <c r="AG27" i="189"/>
  <c r="BZ27" i="189"/>
  <c r="AC27" i="189"/>
  <c r="BV27" i="189"/>
  <c r="AU27" i="189"/>
  <c r="BN27" i="189"/>
  <c r="AQ27" i="189"/>
  <c r="Q27" i="189"/>
  <c r="CA27" i="189"/>
  <c r="BF27" i="189"/>
  <c r="AF27" i="189"/>
  <c r="Z27" i="189"/>
  <c r="BI27" i="189"/>
  <c r="AP27" i="189"/>
  <c r="BX69" i="189"/>
  <c r="BP69" i="189"/>
  <c r="BH69" i="189"/>
  <c r="AZ69" i="189"/>
  <c r="AR69" i="189"/>
  <c r="AJ69" i="189"/>
  <c r="AB69" i="189"/>
  <c r="T69" i="189"/>
  <c r="BV69" i="189"/>
  <c r="BM69" i="189"/>
  <c r="BD69" i="189"/>
  <c r="AU69" i="189"/>
  <c r="AL69" i="189"/>
  <c r="AC69" i="189"/>
  <c r="S69" i="189"/>
  <c r="CC69" i="189"/>
  <c r="BS69" i="189"/>
  <c r="BI69" i="189"/>
  <c r="AX69" i="189"/>
  <c r="AN69" i="189"/>
  <c r="AD69" i="189"/>
  <c r="R69" i="189"/>
  <c r="CB69" i="189"/>
  <c r="BR69" i="189"/>
  <c r="BG69" i="189"/>
  <c r="AW69" i="189"/>
  <c r="AM69" i="189"/>
  <c r="AA69" i="189"/>
  <c r="Q69" i="189"/>
  <c r="BW69" i="189"/>
  <c r="BJ69" i="189"/>
  <c r="AT69" i="189"/>
  <c r="AG69" i="189"/>
  <c r="U69" i="189"/>
  <c r="BU69" i="189"/>
  <c r="BF69" i="189"/>
  <c r="AS69" i="189"/>
  <c r="AF69" i="189"/>
  <c r="CA69" i="189"/>
  <c r="BK69" i="189"/>
  <c r="AP69" i="189"/>
  <c r="X69" i="189"/>
  <c r="BZ69" i="189"/>
  <c r="BE69" i="189"/>
  <c r="AO69" i="189"/>
  <c r="W69" i="189"/>
  <c r="BY69" i="189"/>
  <c r="BC69" i="189"/>
  <c r="AK69" i="189"/>
  <c r="V69" i="189"/>
  <c r="BT69" i="189"/>
  <c r="AV69" i="189"/>
  <c r="BQ69" i="189"/>
  <c r="AQ69" i="189"/>
  <c r="AI69" i="189"/>
  <c r="AH69" i="189"/>
  <c r="BO69" i="189"/>
  <c r="AE69" i="189"/>
  <c r="BN69" i="189"/>
  <c r="Z69" i="189"/>
  <c r="AY69" i="189"/>
  <c r="Y69" i="189"/>
  <c r="BB69" i="189"/>
  <c r="BA69" i="189"/>
  <c r="BL69" i="189"/>
  <c r="BY59" i="189"/>
  <c r="BQ59" i="189"/>
  <c r="BI59" i="189"/>
  <c r="BA59" i="189"/>
  <c r="AS59" i="189"/>
  <c r="AK59" i="189"/>
  <c r="AC59" i="189"/>
  <c r="U59" i="189"/>
  <c r="BX59" i="189"/>
  <c r="BO59" i="189"/>
  <c r="BF59" i="189"/>
  <c r="AW59" i="189"/>
  <c r="AN59" i="189"/>
  <c r="AE59" i="189"/>
  <c r="V59" i="189"/>
  <c r="CB59" i="189"/>
  <c r="BR59" i="189"/>
  <c r="BG59" i="189"/>
  <c r="AV59" i="189"/>
  <c r="AL59" i="189"/>
  <c r="AA59" i="189"/>
  <c r="Q59" i="189"/>
  <c r="BT59" i="189"/>
  <c r="BH59" i="189"/>
  <c r="AU59" i="189"/>
  <c r="AI59" i="189"/>
  <c r="X59" i="189"/>
  <c r="BS59" i="189"/>
  <c r="BE59" i="189"/>
  <c r="AT59" i="189"/>
  <c r="AH59" i="189"/>
  <c r="W59" i="189"/>
  <c r="CC59" i="189"/>
  <c r="BP59" i="189"/>
  <c r="BD59" i="189"/>
  <c r="AR59" i="189"/>
  <c r="AG59" i="189"/>
  <c r="T59" i="189"/>
  <c r="BZ59" i="189"/>
  <c r="BJ59" i="189"/>
  <c r="AO59" i="189"/>
  <c r="S59" i="189"/>
  <c r="BW59" i="189"/>
  <c r="BC59" i="189"/>
  <c r="AM59" i="189"/>
  <c r="R59" i="189"/>
  <c r="BU59" i="189"/>
  <c r="AX59" i="189"/>
  <c r="Y59" i="189"/>
  <c r="BN59" i="189"/>
  <c r="AQ59" i="189"/>
  <c r="BM59" i="189"/>
  <c r="AP59" i="189"/>
  <c r="BK59" i="189"/>
  <c r="Z59" i="189"/>
  <c r="BB59" i="189"/>
  <c r="AZ59" i="189"/>
  <c r="AY59" i="189"/>
  <c r="BV59" i="189"/>
  <c r="AD59" i="189"/>
  <c r="BL59" i="189"/>
  <c r="AB59" i="189"/>
  <c r="AF59" i="189"/>
  <c r="CA59" i="189"/>
  <c r="AJ59" i="189"/>
  <c r="BZ36" i="189"/>
  <c r="BR36" i="189"/>
  <c r="BJ36" i="189"/>
  <c r="BB36" i="189"/>
  <c r="AT36" i="189"/>
  <c r="AL36" i="189"/>
  <c r="AD36" i="189"/>
  <c r="V36" i="189"/>
  <c r="CC36" i="189"/>
  <c r="BT36" i="189"/>
  <c r="BK36" i="189"/>
  <c r="BA36" i="189"/>
  <c r="AR36" i="189"/>
  <c r="AI36" i="189"/>
  <c r="Z36" i="189"/>
  <c r="Q36" i="189"/>
  <c r="CB36" i="189"/>
  <c r="BQ36" i="189"/>
  <c r="BG36" i="189"/>
  <c r="AW36" i="189"/>
  <c r="AM36" i="189"/>
  <c r="AB36" i="189"/>
  <c r="R36" i="189"/>
  <c r="BV36" i="189"/>
  <c r="BI36" i="189"/>
  <c r="AX36" i="189"/>
  <c r="AK36" i="189"/>
  <c r="Y36" i="189"/>
  <c r="BO36" i="189"/>
  <c r="BC36" i="189"/>
  <c r="AO36" i="189"/>
  <c r="AA36" i="189"/>
  <c r="CA36" i="189"/>
  <c r="BN36" i="189"/>
  <c r="AZ36" i="189"/>
  <c r="AN36" i="189"/>
  <c r="X36" i="189"/>
  <c r="BY36" i="189"/>
  <c r="BM36" i="189"/>
  <c r="AY36" i="189"/>
  <c r="AJ36" i="189"/>
  <c r="W36" i="189"/>
  <c r="BU36" i="189"/>
  <c r="AV36" i="189"/>
  <c r="AE36" i="189"/>
  <c r="BS36" i="189"/>
  <c r="AU36" i="189"/>
  <c r="AC36" i="189"/>
  <c r="U36" i="189"/>
  <c r="BP36" i="189"/>
  <c r="AS36" i="189"/>
  <c r="BL36" i="189"/>
  <c r="AQ36" i="189"/>
  <c r="T36" i="189"/>
  <c r="BW36" i="189"/>
  <c r="BD36" i="189"/>
  <c r="AF36" i="189"/>
  <c r="S36" i="189"/>
  <c r="BH36" i="189"/>
  <c r="BF36" i="189"/>
  <c r="AP36" i="189"/>
  <c r="BX36" i="189"/>
  <c r="BE36" i="189"/>
  <c r="AH36" i="189"/>
  <c r="AG36" i="189"/>
  <c r="BZ68" i="189"/>
  <c r="BR68" i="189"/>
  <c r="BJ68" i="189"/>
  <c r="BB68" i="189"/>
  <c r="AT68" i="189"/>
  <c r="AL68" i="189"/>
  <c r="AD68" i="189"/>
  <c r="V68" i="189"/>
  <c r="BX68" i="189"/>
  <c r="BO68" i="189"/>
  <c r="BF68" i="189"/>
  <c r="AW68" i="189"/>
  <c r="AN68" i="189"/>
  <c r="AE68" i="189"/>
  <c r="U68" i="189"/>
  <c r="BU68" i="189"/>
  <c r="BK68" i="189"/>
  <c r="AZ68" i="189"/>
  <c r="AP68" i="189"/>
  <c r="AF68" i="189"/>
  <c r="T68" i="189"/>
  <c r="BT68" i="189"/>
  <c r="BI68" i="189"/>
  <c r="AY68" i="189"/>
  <c r="AO68" i="189"/>
  <c r="AC68" i="189"/>
  <c r="S68" i="189"/>
  <c r="CB68" i="189"/>
  <c r="BN68" i="189"/>
  <c r="BA68" i="189"/>
  <c r="AK68" i="189"/>
  <c r="Y68" i="189"/>
  <c r="CA68" i="189"/>
  <c r="BM68" i="189"/>
  <c r="AX68" i="189"/>
  <c r="AJ68" i="189"/>
  <c r="X68" i="189"/>
  <c r="CC68" i="189"/>
  <c r="BH68" i="189"/>
  <c r="AR68" i="189"/>
  <c r="Z68" i="189"/>
  <c r="BY68" i="189"/>
  <c r="BG68" i="189"/>
  <c r="AQ68" i="189"/>
  <c r="W68" i="189"/>
  <c r="BW68" i="189"/>
  <c r="BE68" i="189"/>
  <c r="AM68" i="189"/>
  <c r="R68" i="189"/>
  <c r="BL68" i="189"/>
  <c r="AG68" i="189"/>
  <c r="BD68" i="189"/>
  <c r="AB68" i="189"/>
  <c r="BV68" i="189"/>
  <c r="AI68" i="189"/>
  <c r="BS68" i="189"/>
  <c r="AH68" i="189"/>
  <c r="BQ68" i="189"/>
  <c r="AA68" i="189"/>
  <c r="BP68" i="189"/>
  <c r="Q68" i="189"/>
  <c r="AS68" i="189"/>
  <c r="AV68" i="189"/>
  <c r="AU68" i="189"/>
  <c r="BC68" i="189"/>
  <c r="BV20" i="189"/>
  <c r="BN20" i="189"/>
  <c r="BF20" i="189"/>
  <c r="AX20" i="189"/>
  <c r="AP20" i="189"/>
  <c r="AH20" i="189"/>
  <c r="Z20" i="189"/>
  <c r="R20" i="189"/>
  <c r="CC20" i="189"/>
  <c r="BT20" i="189"/>
  <c r="BK20" i="189"/>
  <c r="BB20" i="189"/>
  <c r="AS20" i="189"/>
  <c r="AJ20" i="189"/>
  <c r="AA20" i="189"/>
  <c r="Q20" i="189"/>
  <c r="BS20" i="189"/>
  <c r="BI20" i="189"/>
  <c r="AY20" i="189"/>
  <c r="AN20" i="189"/>
  <c r="AD20" i="189"/>
  <c r="T20" i="189"/>
  <c r="CB20" i="189"/>
  <c r="BR20" i="189"/>
  <c r="BH20" i="189"/>
  <c r="AW20" i="189"/>
  <c r="AM20" i="189"/>
  <c r="AC20" i="189"/>
  <c r="S20" i="189"/>
  <c r="BY20" i="189"/>
  <c r="BL20" i="189"/>
  <c r="AV20" i="189"/>
  <c r="AI20" i="189"/>
  <c r="V20" i="189"/>
  <c r="BJ20" i="189"/>
  <c r="AU20" i="189"/>
  <c r="AG20" i="189"/>
  <c r="U20" i="189"/>
  <c r="AF20" i="189"/>
  <c r="BX20" i="189"/>
  <c r="BG20" i="189"/>
  <c r="BW20" i="189"/>
  <c r="AT20" i="189"/>
  <c r="CA20" i="189"/>
  <c r="BD20" i="189"/>
  <c r="AK20" i="189"/>
  <c r="AB20" i="189"/>
  <c r="BQ20" i="189"/>
  <c r="Y20" i="189"/>
  <c r="AR20" i="189"/>
  <c r="BO20" i="189"/>
  <c r="AQ20" i="189"/>
  <c r="W20" i="189"/>
  <c r="AO20" i="189"/>
  <c r="BZ20" i="189"/>
  <c r="BC20" i="189"/>
  <c r="AE20" i="189"/>
  <c r="AZ20" i="189"/>
  <c r="BP20" i="189"/>
  <c r="X20" i="189"/>
  <c r="BM20" i="189"/>
  <c r="BU20" i="189"/>
  <c r="BA20" i="189"/>
  <c r="BE20" i="189"/>
  <c r="AL20" i="189"/>
  <c r="BV34" i="189"/>
  <c r="BN34" i="189"/>
  <c r="BF34" i="189"/>
  <c r="AX34" i="189"/>
  <c r="AP34" i="189"/>
  <c r="AH34" i="189"/>
  <c r="Z34" i="189"/>
  <c r="R34" i="189"/>
  <c r="CC34" i="189"/>
  <c r="BT34" i="189"/>
  <c r="BK34" i="189"/>
  <c r="BB34" i="189"/>
  <c r="AS34" i="189"/>
  <c r="AJ34" i="189"/>
  <c r="AA34" i="189"/>
  <c r="Q34" i="189"/>
  <c r="BZ34" i="189"/>
  <c r="BP34" i="189"/>
  <c r="BE34" i="189"/>
  <c r="AU34" i="189"/>
  <c r="AK34" i="189"/>
  <c r="Y34" i="189"/>
  <c r="CA34" i="189"/>
  <c r="BO34" i="189"/>
  <c r="BC34" i="189"/>
  <c r="AQ34" i="189"/>
  <c r="AE34" i="189"/>
  <c r="T34" i="189"/>
  <c r="BY34" i="189"/>
  <c r="BM34" i="189"/>
  <c r="BA34" i="189"/>
  <c r="AO34" i="189"/>
  <c r="AD34" i="189"/>
  <c r="S34" i="189"/>
  <c r="BX34" i="189"/>
  <c r="BL34" i="189"/>
  <c r="AZ34" i="189"/>
  <c r="AN34" i="189"/>
  <c r="AC34" i="189"/>
  <c r="BS34" i="189"/>
  <c r="AY34" i="189"/>
  <c r="AG34" i="189"/>
  <c r="AW34" i="189"/>
  <c r="AF34" i="189"/>
  <c r="BR34" i="189"/>
  <c r="BQ34" i="189"/>
  <c r="AV34" i="189"/>
  <c r="AB34" i="189"/>
  <c r="BU34" i="189"/>
  <c r="AM34" i="189"/>
  <c r="BH34" i="189"/>
  <c r="X34" i="189"/>
  <c r="BD34" i="189"/>
  <c r="V34" i="189"/>
  <c r="BJ34" i="189"/>
  <c r="AL34" i="189"/>
  <c r="CB34" i="189"/>
  <c r="AT34" i="189"/>
  <c r="U34" i="189"/>
  <c r="BI34" i="189"/>
  <c r="AI34" i="189"/>
  <c r="BG34" i="189"/>
  <c r="W34" i="189"/>
  <c r="BW34" i="189"/>
  <c r="AR34" i="189"/>
  <c r="BZ40" i="189"/>
  <c r="BR40" i="189"/>
  <c r="BJ40" i="189"/>
  <c r="BB40" i="189"/>
  <c r="AT40" i="189"/>
  <c r="AL40" i="189"/>
  <c r="AD40" i="189"/>
  <c r="V40" i="189"/>
  <c r="BX40" i="189"/>
  <c r="BO40" i="189"/>
  <c r="BF40" i="189"/>
  <c r="AW40" i="189"/>
  <c r="AN40" i="189"/>
  <c r="AE40" i="189"/>
  <c r="U40" i="189"/>
  <c r="BV40" i="189"/>
  <c r="BL40" i="189"/>
  <c r="BA40" i="189"/>
  <c r="AQ40" i="189"/>
  <c r="AG40" i="189"/>
  <c r="W40" i="189"/>
  <c r="BT40" i="189"/>
  <c r="BH40" i="189"/>
  <c r="AV40" i="189"/>
  <c r="AJ40" i="189"/>
  <c r="Y40" i="189"/>
  <c r="BS40" i="189"/>
  <c r="BG40" i="189"/>
  <c r="AU40" i="189"/>
  <c r="AI40" i="189"/>
  <c r="X40" i="189"/>
  <c r="CC40" i="189"/>
  <c r="BN40" i="189"/>
  <c r="AY40" i="189"/>
  <c r="AH40" i="189"/>
  <c r="R40" i="189"/>
  <c r="CB40" i="189"/>
  <c r="BM40" i="189"/>
  <c r="AX40" i="189"/>
  <c r="AF40" i="189"/>
  <c r="Q40" i="189"/>
  <c r="CA40" i="189"/>
  <c r="BK40" i="189"/>
  <c r="AS40" i="189"/>
  <c r="AC40" i="189"/>
  <c r="BQ40" i="189"/>
  <c r="AP40" i="189"/>
  <c r="S40" i="189"/>
  <c r="BP40" i="189"/>
  <c r="AO40" i="189"/>
  <c r="AM40" i="189"/>
  <c r="BI40" i="189"/>
  <c r="BE40" i="189"/>
  <c r="AK40" i="189"/>
  <c r="BU40" i="189"/>
  <c r="AR40" i="189"/>
  <c r="T40" i="189"/>
  <c r="AA40" i="189"/>
  <c r="BW40" i="189"/>
  <c r="BC40" i="189"/>
  <c r="Z40" i="189"/>
  <c r="AZ40" i="189"/>
  <c r="BY40" i="189"/>
  <c r="BD40" i="189"/>
  <c r="AB40" i="189"/>
  <c r="BV16" i="189"/>
  <c r="BN16" i="189"/>
  <c r="BF16" i="189"/>
  <c r="AX16" i="189"/>
  <c r="AP16" i="189"/>
  <c r="AH16" i="189"/>
  <c r="Z16" i="189"/>
  <c r="R16" i="189"/>
  <c r="BY16" i="189"/>
  <c r="BP16" i="189"/>
  <c r="BG16" i="189"/>
  <c r="AW16" i="189"/>
  <c r="AN16" i="189"/>
  <c r="AE16" i="189"/>
  <c r="V16" i="189"/>
  <c r="BZ16" i="189"/>
  <c r="BO16" i="189"/>
  <c r="BD16" i="189"/>
  <c r="AT16" i="189"/>
  <c r="AJ16" i="189"/>
  <c r="Y16" i="189"/>
  <c r="BX16" i="189"/>
  <c r="BM16" i="189"/>
  <c r="BC16" i="189"/>
  <c r="AS16" i="189"/>
  <c r="AI16" i="189"/>
  <c r="X16" i="189"/>
  <c r="BT16" i="189"/>
  <c r="BH16" i="189"/>
  <c r="AR16" i="189"/>
  <c r="AD16" i="189"/>
  <c r="Q16" i="189"/>
  <c r="BS16" i="189"/>
  <c r="BE16" i="189"/>
  <c r="AQ16" i="189"/>
  <c r="AC16" i="189"/>
  <c r="BB16" i="189"/>
  <c r="AO16" i="189"/>
  <c r="AB16" i="189"/>
  <c r="BR16" i="189"/>
  <c r="BU16" i="189"/>
  <c r="AY16" i="189"/>
  <c r="AA16" i="189"/>
  <c r="AU16" i="189"/>
  <c r="U16" i="189"/>
  <c r="BK16" i="189"/>
  <c r="S16" i="189"/>
  <c r="CB16" i="189"/>
  <c r="BI16" i="189"/>
  <c r="AK16" i="189"/>
  <c r="CA16" i="189"/>
  <c r="AG16" i="189"/>
  <c r="BQ16" i="189"/>
  <c r="AV16" i="189"/>
  <c r="W16" i="189"/>
  <c r="AM16" i="189"/>
  <c r="CC16" i="189"/>
  <c r="AL16" i="189"/>
  <c r="BA16" i="189"/>
  <c r="BL16" i="189"/>
  <c r="T16" i="189"/>
  <c r="BJ16" i="189"/>
  <c r="BW16" i="189"/>
  <c r="AZ16" i="189"/>
  <c r="AF16" i="189"/>
  <c r="CA8" i="189"/>
  <c r="BS8" i="189"/>
  <c r="BK8" i="189"/>
  <c r="BC8" i="189"/>
  <c r="AU8" i="189"/>
  <c r="AM8" i="189"/>
  <c r="AE8" i="189"/>
  <c r="W8" i="189"/>
  <c r="BU8" i="189"/>
  <c r="BL8" i="189"/>
  <c r="BB8" i="189"/>
  <c r="AS8" i="189"/>
  <c r="AJ8" i="189"/>
  <c r="AA8" i="189"/>
  <c r="R8" i="189"/>
  <c r="CC8" i="189"/>
  <c r="BT8" i="189"/>
  <c r="BJ8" i="189"/>
  <c r="AR8" i="189"/>
  <c r="AI8" i="189"/>
  <c r="Z8" i="189"/>
  <c r="BA8" i="189"/>
  <c r="Q8" i="189"/>
  <c r="BX8" i="189"/>
  <c r="BM8" i="189"/>
  <c r="AY8" i="189"/>
  <c r="AN8" i="189"/>
  <c r="AB8" i="189"/>
  <c r="BW8" i="189"/>
  <c r="BI8" i="189"/>
  <c r="AX8" i="189"/>
  <c r="AL8" i="189"/>
  <c r="Y8" i="189"/>
  <c r="BV8" i="189"/>
  <c r="AW8" i="189"/>
  <c r="AK8" i="189"/>
  <c r="BH8" i="189"/>
  <c r="BN8" i="189"/>
  <c r="AQ8" i="189"/>
  <c r="X8" i="189"/>
  <c r="BZ8" i="189"/>
  <c r="BF8" i="189"/>
  <c r="AO8" i="189"/>
  <c r="U8" i="189"/>
  <c r="BY8" i="189"/>
  <c r="AH8" i="189"/>
  <c r="BP8" i="189"/>
  <c r="AD8" i="189"/>
  <c r="CB8" i="189"/>
  <c r="BG8" i="189"/>
  <c r="AP8" i="189"/>
  <c r="V8" i="189"/>
  <c r="BE8" i="189"/>
  <c r="T8" i="189"/>
  <c r="BR8" i="189"/>
  <c r="BQ8" i="189"/>
  <c r="AV8" i="189"/>
  <c r="AT8" i="189"/>
  <c r="S8" i="189"/>
  <c r="AZ8" i="189"/>
  <c r="AF8" i="189"/>
  <c r="BD8" i="189"/>
  <c r="AG8" i="189"/>
  <c r="BO8" i="189"/>
  <c r="AC8" i="189"/>
  <c r="BX15" i="189"/>
  <c r="BP15" i="189"/>
  <c r="BH15" i="189"/>
  <c r="AZ15" i="189"/>
  <c r="AR15" i="189"/>
  <c r="AJ15" i="189"/>
  <c r="AB15" i="189"/>
  <c r="T15" i="189"/>
  <c r="BZ15" i="189"/>
  <c r="BQ15" i="189"/>
  <c r="BG15" i="189"/>
  <c r="AX15" i="189"/>
  <c r="AO15" i="189"/>
  <c r="AF15" i="189"/>
  <c r="W15" i="189"/>
  <c r="CA15" i="189"/>
  <c r="BO15" i="189"/>
  <c r="BE15" i="189"/>
  <c r="AU15" i="189"/>
  <c r="AK15" i="189"/>
  <c r="Z15" i="189"/>
  <c r="BY15" i="189"/>
  <c r="BN15" i="189"/>
  <c r="BD15" i="189"/>
  <c r="AT15" i="189"/>
  <c r="AI15" i="189"/>
  <c r="Y15" i="189"/>
  <c r="BW15" i="189"/>
  <c r="BK15" i="189"/>
  <c r="AW15" i="189"/>
  <c r="AH15" i="189"/>
  <c r="U15" i="189"/>
  <c r="BV15" i="189"/>
  <c r="BJ15" i="189"/>
  <c r="AV15" i="189"/>
  <c r="AG15" i="189"/>
  <c r="S15" i="189"/>
  <c r="BU15" i="189"/>
  <c r="AS15" i="189"/>
  <c r="AE15" i="189"/>
  <c r="R15" i="189"/>
  <c r="BI15" i="189"/>
  <c r="BF15" i="189"/>
  <c r="AM15" i="189"/>
  <c r="CB15" i="189"/>
  <c r="BB15" i="189"/>
  <c r="AD15" i="189"/>
  <c r="BT15" i="189"/>
  <c r="AC15" i="189"/>
  <c r="AA15" i="189"/>
  <c r="AQ15" i="189"/>
  <c r="X15" i="189"/>
  <c r="BM15" i="189"/>
  <c r="AP15" i="189"/>
  <c r="V15" i="189"/>
  <c r="BL15" i="189"/>
  <c r="Q15" i="189"/>
  <c r="CC15" i="189"/>
  <c r="BC15" i="189"/>
  <c r="AL15" i="189"/>
  <c r="BA15" i="189"/>
  <c r="AY15" i="189"/>
  <c r="BS15" i="189"/>
  <c r="BR15" i="189"/>
  <c r="AN15" i="189"/>
  <c r="BY63" i="189"/>
  <c r="BQ63" i="189"/>
  <c r="BI63" i="189"/>
  <c r="BA63" i="189"/>
  <c r="AS63" i="189"/>
  <c r="AK63" i="189"/>
  <c r="AC63" i="189"/>
  <c r="U63" i="189"/>
  <c r="BU63" i="189"/>
  <c r="BL63" i="189"/>
  <c r="BC63" i="189"/>
  <c r="AT63" i="189"/>
  <c r="AJ63" i="189"/>
  <c r="AA63" i="189"/>
  <c r="R63" i="189"/>
  <c r="CC63" i="189"/>
  <c r="BT63" i="189"/>
  <c r="BK63" i="189"/>
  <c r="BB63" i="189"/>
  <c r="AR63" i="189"/>
  <c r="AI63" i="189"/>
  <c r="Z63" i="189"/>
  <c r="Q63" i="189"/>
  <c r="CA63" i="189"/>
  <c r="BO63" i="189"/>
  <c r="BD63" i="189"/>
  <c r="AP63" i="189"/>
  <c r="AE63" i="189"/>
  <c r="S63" i="189"/>
  <c r="BZ63" i="189"/>
  <c r="BN63" i="189"/>
  <c r="AZ63" i="189"/>
  <c r="AO63" i="189"/>
  <c r="AD63" i="189"/>
  <c r="BM63" i="189"/>
  <c r="AW63" i="189"/>
  <c r="AG63" i="189"/>
  <c r="CB63" i="189"/>
  <c r="BJ63" i="189"/>
  <c r="AV63" i="189"/>
  <c r="AF63" i="189"/>
  <c r="BX63" i="189"/>
  <c r="BH63" i="189"/>
  <c r="AU63" i="189"/>
  <c r="AB63" i="189"/>
  <c r="BV63" i="189"/>
  <c r="AX63" i="189"/>
  <c r="W63" i="189"/>
  <c r="BS63" i="189"/>
  <c r="AQ63" i="189"/>
  <c r="V63" i="189"/>
  <c r="AY63" i="189"/>
  <c r="AN63" i="189"/>
  <c r="BW63" i="189"/>
  <c r="AM63" i="189"/>
  <c r="BP63" i="189"/>
  <c r="T63" i="189"/>
  <c r="BG63" i="189"/>
  <c r="BF63" i="189"/>
  <c r="BE63" i="189"/>
  <c r="Y63" i="189"/>
  <c r="BR63" i="189"/>
  <c r="X63" i="189"/>
  <c r="AH63" i="189"/>
  <c r="AL63" i="189"/>
  <c r="BZ48" i="189"/>
  <c r="BR48" i="189"/>
  <c r="BJ48" i="189"/>
  <c r="BB48" i="189"/>
  <c r="AT48" i="189"/>
  <c r="AL48" i="189"/>
  <c r="AD48" i="189"/>
  <c r="V48" i="189"/>
  <c r="BX48" i="189"/>
  <c r="BO48" i="189"/>
  <c r="BF48" i="189"/>
  <c r="AW48" i="189"/>
  <c r="AN48" i="189"/>
  <c r="AE48" i="189"/>
  <c r="U48" i="189"/>
  <c r="BV48" i="189"/>
  <c r="BL48" i="189"/>
  <c r="BA48" i="189"/>
  <c r="AQ48" i="189"/>
  <c r="AG48" i="189"/>
  <c r="W48" i="189"/>
  <c r="BT48" i="189"/>
  <c r="BH48" i="189"/>
  <c r="AV48" i="189"/>
  <c r="AJ48" i="189"/>
  <c r="Y48" i="189"/>
  <c r="BS48" i="189"/>
  <c r="BG48" i="189"/>
  <c r="AU48" i="189"/>
  <c r="AI48" i="189"/>
  <c r="X48" i="189"/>
  <c r="BQ48" i="189"/>
  <c r="BC48" i="189"/>
  <c r="AM48" i="189"/>
  <c r="T48" i="189"/>
  <c r="BP48" i="189"/>
  <c r="AZ48" i="189"/>
  <c r="AK48" i="189"/>
  <c r="S48" i="189"/>
  <c r="CC48" i="189"/>
  <c r="BN48" i="189"/>
  <c r="AY48" i="189"/>
  <c r="AH48" i="189"/>
  <c r="R48" i="189"/>
  <c r="BU48" i="189"/>
  <c r="AR48" i="189"/>
  <c r="Q48" i="189"/>
  <c r="BK48" i="189"/>
  <c r="AO48" i="189"/>
  <c r="BM48" i="189"/>
  <c r="AP48" i="189"/>
  <c r="BI48" i="189"/>
  <c r="AF48" i="189"/>
  <c r="BY48" i="189"/>
  <c r="AX48" i="189"/>
  <c r="AA48" i="189"/>
  <c r="BW48" i="189"/>
  <c r="AS48" i="189"/>
  <c r="Z48" i="189"/>
  <c r="CA48" i="189"/>
  <c r="BE48" i="189"/>
  <c r="AB48" i="189"/>
  <c r="BD48" i="189"/>
  <c r="AC48" i="189"/>
  <c r="CB48" i="189"/>
  <c r="CB47" i="189"/>
  <c r="BT47" i="189"/>
  <c r="BL47" i="189"/>
  <c r="BD47" i="189"/>
  <c r="AV47" i="189"/>
  <c r="AN47" i="189"/>
  <c r="AF47" i="189"/>
  <c r="X47" i="189"/>
  <c r="BY47" i="189"/>
  <c r="BP47" i="189"/>
  <c r="BG47" i="189"/>
  <c r="AX47" i="189"/>
  <c r="AO47" i="189"/>
  <c r="AE47" i="189"/>
  <c r="V47" i="189"/>
  <c r="BX47" i="189"/>
  <c r="BN47" i="189"/>
  <c r="BC47" i="189"/>
  <c r="AS47" i="189"/>
  <c r="AI47" i="189"/>
  <c r="Y47" i="189"/>
  <c r="BZ47" i="189"/>
  <c r="BM47" i="189"/>
  <c r="BA47" i="189"/>
  <c r="AP47" i="189"/>
  <c r="AC47" i="189"/>
  <c r="R47" i="189"/>
  <c r="BW47" i="189"/>
  <c r="BK47" i="189"/>
  <c r="AZ47" i="189"/>
  <c r="AM47" i="189"/>
  <c r="AB47" i="189"/>
  <c r="Q47" i="189"/>
  <c r="BR47" i="189"/>
  <c r="BB47" i="189"/>
  <c r="AK47" i="189"/>
  <c r="U47" i="189"/>
  <c r="BQ47" i="189"/>
  <c r="AY47" i="189"/>
  <c r="AJ47" i="189"/>
  <c r="T47" i="189"/>
  <c r="BO47" i="189"/>
  <c r="AW47" i="189"/>
  <c r="AH47" i="189"/>
  <c r="S47" i="189"/>
  <c r="BU47" i="189"/>
  <c r="AT47" i="189"/>
  <c r="W47" i="189"/>
  <c r="BS47" i="189"/>
  <c r="AR47" i="189"/>
  <c r="BJ47" i="189"/>
  <c r="AQ47" i="189"/>
  <c r="BI47" i="189"/>
  <c r="AL47" i="189"/>
  <c r="CA47" i="189"/>
  <c r="BE47" i="189"/>
  <c r="AA47" i="189"/>
  <c r="BV47" i="189"/>
  <c r="AU47" i="189"/>
  <c r="Z47" i="189"/>
  <c r="BH47" i="189"/>
  <c r="BF47" i="189"/>
  <c r="AG47" i="189"/>
  <c r="AD47" i="189"/>
  <c r="CC47" i="189"/>
  <c r="BW6" i="189"/>
  <c r="BO6" i="189"/>
  <c r="BG6" i="189"/>
  <c r="AY6" i="189"/>
  <c r="AQ6" i="189"/>
  <c r="AI6" i="189"/>
  <c r="AA6" i="189"/>
  <c r="S6" i="189"/>
  <c r="BV6" i="189"/>
  <c r="BM6" i="189"/>
  <c r="BD6" i="189"/>
  <c r="AU6" i="189"/>
  <c r="AL6" i="189"/>
  <c r="AC6" i="189"/>
  <c r="T6" i="189"/>
  <c r="BU6" i="189"/>
  <c r="BL6" i="189"/>
  <c r="BC6" i="189"/>
  <c r="AT6" i="189"/>
  <c r="AK6" i="189"/>
  <c r="AB6" i="189"/>
  <c r="R6" i="189"/>
  <c r="BZ6" i="189"/>
  <c r="BN6" i="189"/>
  <c r="BA6" i="189"/>
  <c r="AO6" i="189"/>
  <c r="AD6" i="189"/>
  <c r="BY6" i="189"/>
  <c r="BK6" i="189"/>
  <c r="AZ6" i="189"/>
  <c r="Z6" i="189"/>
  <c r="AN6" i="189"/>
  <c r="BX6" i="189"/>
  <c r="BH6" i="189"/>
  <c r="AR6" i="189"/>
  <c r="Y6" i="189"/>
  <c r="BT6" i="189"/>
  <c r="BF6" i="189"/>
  <c r="X6" i="189"/>
  <c r="BS6" i="189"/>
  <c r="BE6" i="189"/>
  <c r="AM6" i="189"/>
  <c r="W6" i="189"/>
  <c r="AX6" i="189"/>
  <c r="CC6" i="189"/>
  <c r="CC76" i="189" s="1"/>
  <c r="AW6" i="189"/>
  <c r="CB6" i="189"/>
  <c r="CB76" i="189" s="1"/>
  <c r="BJ6" i="189"/>
  <c r="AV6" i="189"/>
  <c r="AF6" i="189"/>
  <c r="AP6" i="189"/>
  <c r="BR6" i="189"/>
  <c r="BB6" i="189"/>
  <c r="AJ6" i="189"/>
  <c r="V6" i="189"/>
  <c r="AH6" i="189"/>
  <c r="BP6" i="189"/>
  <c r="Q6" i="189"/>
  <c r="BQ6" i="189"/>
  <c r="U6" i="189"/>
  <c r="AG6" i="189"/>
  <c r="CA6" i="189"/>
  <c r="CA76" i="189" s="1"/>
  <c r="BI6" i="189"/>
  <c r="AS6" i="189"/>
  <c r="AE6" i="189"/>
  <c r="BB72" i="188"/>
  <c r="BO72" i="188"/>
  <c r="AY72" i="188"/>
  <c r="AR72" i="188"/>
  <c r="BU72" i="188"/>
  <c r="BN72" i="188"/>
  <c r="BM72" i="188"/>
  <c r="BJ72" i="188"/>
  <c r="U72" i="188"/>
  <c r="AJ72" i="188"/>
  <c r="BD72" i="188"/>
  <c r="AG72" i="188"/>
  <c r="BC72" i="188"/>
  <c r="CA72" i="188"/>
  <c r="BQ72" i="188"/>
  <c r="AQ72" i="188"/>
  <c r="AD72" i="188"/>
  <c r="AS72" i="188"/>
  <c r="BS72" i="188"/>
  <c r="BX72" i="188"/>
  <c r="T72" i="188"/>
  <c r="BW72" i="188"/>
  <c r="V72" i="188"/>
  <c r="Q72" i="188"/>
  <c r="BH72" i="188"/>
  <c r="AI72" i="188"/>
  <c r="Z72" i="188"/>
  <c r="BV72" i="188"/>
  <c r="BY72" i="188"/>
  <c r="AB72" i="188"/>
  <c r="BK72" i="188"/>
  <c r="W72" i="188"/>
  <c r="AX72" i="188"/>
  <c r="AL72" i="188"/>
  <c r="AC72" i="188"/>
  <c r="AP72" i="188"/>
  <c r="AK72" i="188"/>
  <c r="BG72" i="188"/>
  <c r="AH72" i="188"/>
  <c r="AZ72" i="188"/>
  <c r="BZ72" i="188"/>
  <c r="S72" i="188"/>
  <c r="BF72" i="188"/>
  <c r="AT72" i="188"/>
  <c r="AN72" i="188"/>
  <c r="BE72" i="188"/>
  <c r="R72" i="188"/>
  <c r="AA72" i="188"/>
  <c r="AU72" i="188"/>
  <c r="BI72" i="188"/>
  <c r="BT72" i="188"/>
  <c r="BL72" i="188"/>
  <c r="CC72" i="188"/>
  <c r="BA72" i="188"/>
  <c r="X72" i="188"/>
  <c r="AW72" i="188"/>
  <c r="AM72" i="188"/>
  <c r="AV72" i="188"/>
  <c r="CB72" i="188"/>
  <c r="Y72" i="188"/>
  <c r="AF72" i="188"/>
  <c r="AE72" i="188"/>
  <c r="AO72" i="188"/>
  <c r="BP72" i="188"/>
  <c r="BR72" i="188"/>
  <c r="Q71" i="188"/>
  <c r="AA71" i="188"/>
  <c r="AX71" i="188"/>
  <c r="AK71" i="188"/>
  <c r="BB71" i="188"/>
  <c r="AC71" i="188"/>
  <c r="CC71" i="188"/>
  <c r="AN71" i="188"/>
  <c r="BR71" i="188"/>
  <c r="BN71" i="188"/>
  <c r="Y71" i="188"/>
  <c r="AF71" i="188"/>
  <c r="BX71" i="188"/>
  <c r="AV71" i="188"/>
  <c r="AG71" i="188"/>
  <c r="BE71" i="188"/>
  <c r="T71" i="188"/>
  <c r="AS71" i="188"/>
  <c r="BD71" i="188"/>
  <c r="BW71" i="188"/>
  <c r="AT71" i="188"/>
  <c r="S71" i="188"/>
  <c r="BQ71" i="188"/>
  <c r="AM71" i="188"/>
  <c r="BM71" i="188"/>
  <c r="BS71" i="188"/>
  <c r="BV71" i="188"/>
  <c r="BK71" i="188"/>
  <c r="U71" i="188"/>
  <c r="BI71" i="188"/>
  <c r="R71" i="188"/>
  <c r="V71" i="188"/>
  <c r="BH71" i="188"/>
  <c r="BG71" i="188"/>
  <c r="AQ71" i="188"/>
  <c r="AO71" i="188"/>
  <c r="W71" i="188"/>
  <c r="AP71" i="188"/>
  <c r="BY71" i="188"/>
  <c r="CB71" i="188"/>
  <c r="BL71" i="188"/>
  <c r="Z71" i="188"/>
  <c r="AJ71" i="188"/>
  <c r="BJ71" i="188"/>
  <c r="BU71" i="188"/>
  <c r="AD71" i="188"/>
  <c r="BA71" i="188"/>
  <c r="AB71" i="188"/>
  <c r="AW71" i="188"/>
  <c r="BF71" i="188"/>
  <c r="AH71" i="188"/>
  <c r="AE71" i="188"/>
  <c r="AU71" i="188"/>
  <c r="BZ71" i="188"/>
  <c r="BT71" i="188"/>
  <c r="CA71" i="188"/>
  <c r="BC71" i="188"/>
  <c r="AZ71" i="188"/>
  <c r="AR71" i="188"/>
  <c r="X71" i="188"/>
  <c r="AY71" i="188"/>
  <c r="AL71" i="188"/>
  <c r="AI71" i="188"/>
  <c r="BP71" i="188"/>
  <c r="BO71" i="188"/>
  <c r="BL70" i="188"/>
  <c r="BT70" i="188"/>
  <c r="AN70" i="188"/>
  <c r="AP70" i="188"/>
  <c r="BP70" i="188"/>
  <c r="Q70" i="188"/>
  <c r="BA70" i="188"/>
  <c r="BC70" i="188"/>
  <c r="AE70" i="188"/>
  <c r="U70" i="188"/>
  <c r="BE70" i="188"/>
  <c r="BM70" i="188"/>
  <c r="AW70" i="188"/>
  <c r="AR70" i="188"/>
  <c r="AJ70" i="188"/>
  <c r="AB70" i="188"/>
  <c r="AS70" i="188"/>
  <c r="AY70" i="188"/>
  <c r="BH70" i="188"/>
  <c r="BR70" i="188"/>
  <c r="AD70" i="188"/>
  <c r="BF70" i="188"/>
  <c r="CB70" i="188"/>
  <c r="BV70" i="188"/>
  <c r="AM70" i="188"/>
  <c r="CA70" i="188"/>
  <c r="AQ70" i="188"/>
  <c r="V70" i="188"/>
  <c r="AA70" i="188"/>
  <c r="R70" i="188"/>
  <c r="AI70" i="188"/>
  <c r="BZ70" i="188"/>
  <c r="AF70" i="188"/>
  <c r="BN70" i="188"/>
  <c r="BY70" i="188"/>
  <c r="BJ70" i="188"/>
  <c r="X70" i="188"/>
  <c r="Z70" i="188"/>
  <c r="AH70" i="188"/>
  <c r="W70" i="188"/>
  <c r="AG70" i="188"/>
  <c r="BI70" i="188"/>
  <c r="AV70" i="188"/>
  <c r="S70" i="188"/>
  <c r="AX70" i="188"/>
  <c r="BG70" i="188"/>
  <c r="BU70" i="188"/>
  <c r="AK70" i="188"/>
  <c r="BK70" i="188"/>
  <c r="Y70" i="188"/>
  <c r="BS70" i="188"/>
  <c r="AZ70" i="188"/>
  <c r="BX70" i="188"/>
  <c r="BD70" i="188"/>
  <c r="AC70" i="188"/>
  <c r="AO70" i="188"/>
  <c r="AT70" i="188"/>
  <c r="CC70" i="188"/>
  <c r="AU70" i="188"/>
  <c r="T70" i="188"/>
  <c r="BQ70" i="188"/>
  <c r="BB70" i="188"/>
  <c r="AL70" i="188"/>
  <c r="BO70" i="188"/>
  <c r="BW70" i="188"/>
  <c r="CB48" i="188"/>
  <c r="BT48" i="188"/>
  <c r="BL48" i="188"/>
  <c r="BD48" i="188"/>
  <c r="AV48" i="188"/>
  <c r="AN48" i="188"/>
  <c r="AF48" i="188"/>
  <c r="X48" i="188"/>
  <c r="CA48" i="188"/>
  <c r="BS48" i="188"/>
  <c r="BK48" i="188"/>
  <c r="BC48" i="188"/>
  <c r="AU48" i="188"/>
  <c r="AM48" i="188"/>
  <c r="AE48" i="188"/>
  <c r="W48" i="188"/>
  <c r="BX48" i="188"/>
  <c r="BN48" i="188"/>
  <c r="BB48" i="188"/>
  <c r="AR48" i="188"/>
  <c r="AH48" i="188"/>
  <c r="V48" i="188"/>
  <c r="BW48" i="188"/>
  <c r="BJ48" i="188"/>
  <c r="AY48" i="188"/>
  <c r="AL48" i="188"/>
  <c r="AA48" i="188"/>
  <c r="BV48" i="188"/>
  <c r="BI48" i="188"/>
  <c r="AX48" i="188"/>
  <c r="AK48" i="188"/>
  <c r="Z48" i="188"/>
  <c r="BU48" i="188"/>
  <c r="BH48" i="188"/>
  <c r="BP48" i="188"/>
  <c r="AW48" i="188"/>
  <c r="AG48" i="188"/>
  <c r="R48" i="188"/>
  <c r="BO48" i="188"/>
  <c r="AT48" i="188"/>
  <c r="AD48" i="188"/>
  <c r="Q48" i="188"/>
  <c r="BQ48" i="188"/>
  <c r="AQ48" i="188"/>
  <c r="U48" i="188"/>
  <c r="BM48" i="188"/>
  <c r="AP48" i="188"/>
  <c r="T48" i="188"/>
  <c r="BG48" i="188"/>
  <c r="AO48" i="188"/>
  <c r="S48" i="188"/>
  <c r="BR48" i="188"/>
  <c r="AC48" i="188"/>
  <c r="BE48" i="188"/>
  <c r="Y48" i="188"/>
  <c r="BA48" i="188"/>
  <c r="BF48" i="188"/>
  <c r="AB48" i="188"/>
  <c r="AZ48" i="188"/>
  <c r="CC48" i="188"/>
  <c r="AS48" i="188"/>
  <c r="BY48" i="188"/>
  <c r="BZ48" i="188"/>
  <c r="AJ48" i="188"/>
  <c r="AI48" i="188"/>
  <c r="BV56" i="188"/>
  <c r="BN56" i="188"/>
  <c r="BF56" i="188"/>
  <c r="AX56" i="188"/>
  <c r="AP56" i="188"/>
  <c r="AH56" i="188"/>
  <c r="Z56" i="188"/>
  <c r="R56" i="188"/>
  <c r="CB56" i="188"/>
  <c r="BS56" i="188"/>
  <c r="BJ56" i="188"/>
  <c r="BA56" i="188"/>
  <c r="AR56" i="188"/>
  <c r="AI56" i="188"/>
  <c r="Y56" i="188"/>
  <c r="BT56" i="188"/>
  <c r="BI56" i="188"/>
  <c r="AY56" i="188"/>
  <c r="AN56" i="188"/>
  <c r="AD56" i="188"/>
  <c r="T56" i="188"/>
  <c r="CC56" i="188"/>
  <c r="BR56" i="188"/>
  <c r="BH56" i="188"/>
  <c r="AW56" i="188"/>
  <c r="AM56" i="188"/>
  <c r="AC56" i="188"/>
  <c r="S56" i="188"/>
  <c r="BY56" i="188"/>
  <c r="BL56" i="188"/>
  <c r="AV56" i="188"/>
  <c r="AJ56" i="188"/>
  <c r="V56" i="188"/>
  <c r="BW56" i="188"/>
  <c r="BE56" i="188"/>
  <c r="AQ56" i="188"/>
  <c r="AA56" i="188"/>
  <c r="BU56" i="188"/>
  <c r="BD56" i="188"/>
  <c r="AO56" i="188"/>
  <c r="X56" i="188"/>
  <c r="BQ56" i="188"/>
  <c r="BC56" i="188"/>
  <c r="AL56" i="188"/>
  <c r="W56" i="188"/>
  <c r="CA56" i="188"/>
  <c r="BB56" i="188"/>
  <c r="AE56" i="188"/>
  <c r="BZ56" i="188"/>
  <c r="AZ56" i="188"/>
  <c r="AB56" i="188"/>
  <c r="BM56" i="188"/>
  <c r="AF56" i="188"/>
  <c r="BK56" i="188"/>
  <c r="U56" i="188"/>
  <c r="BG56" i="188"/>
  <c r="Q56" i="188"/>
  <c r="AG56" i="188"/>
  <c r="BP56" i="188"/>
  <c r="BO56" i="188"/>
  <c r="AU56" i="188"/>
  <c r="BX56" i="188"/>
  <c r="AT56" i="188"/>
  <c r="AK56" i="188"/>
  <c r="AS56" i="188"/>
  <c r="BX51" i="188"/>
  <c r="BP51" i="188"/>
  <c r="BH51" i="188"/>
  <c r="AZ51" i="188"/>
  <c r="AR51" i="188"/>
  <c r="AJ51" i="188"/>
  <c r="AB51" i="188"/>
  <c r="T51" i="188"/>
  <c r="CA51" i="188"/>
  <c r="BR51" i="188"/>
  <c r="BI51" i="188"/>
  <c r="AY51" i="188"/>
  <c r="AP51" i="188"/>
  <c r="AG51" i="188"/>
  <c r="X51" i="188"/>
  <c r="BZ51" i="188"/>
  <c r="BQ51" i="188"/>
  <c r="BG51" i="188"/>
  <c r="AX51" i="188"/>
  <c r="AO51" i="188"/>
  <c r="AF51" i="188"/>
  <c r="W51" i="188"/>
  <c r="BY51" i="188"/>
  <c r="BM51" i="188"/>
  <c r="BB51" i="188"/>
  <c r="AN51" i="188"/>
  <c r="AC51" i="188"/>
  <c r="Q51" i="188"/>
  <c r="CC51" i="188"/>
  <c r="BN51" i="188"/>
  <c r="BA51" i="188"/>
  <c r="AL51" i="188"/>
  <c r="Y51" i="188"/>
  <c r="CB51" i="188"/>
  <c r="BL51" i="188"/>
  <c r="AW51" i="188"/>
  <c r="AK51" i="188"/>
  <c r="V51" i="188"/>
  <c r="BW51" i="188"/>
  <c r="BK51" i="188"/>
  <c r="AV51" i="188"/>
  <c r="AI51" i="188"/>
  <c r="U51" i="188"/>
  <c r="BU51" i="188"/>
  <c r="BC51" i="188"/>
  <c r="AD51" i="188"/>
  <c r="BT51" i="188"/>
  <c r="AU51" i="188"/>
  <c r="AA51" i="188"/>
  <c r="BF51" i="188"/>
  <c r="AE51" i="188"/>
  <c r="BE51" i="188"/>
  <c r="Z51" i="188"/>
  <c r="BD51" i="188"/>
  <c r="S51" i="188"/>
  <c r="AS51" i="188"/>
  <c r="AM51" i="188"/>
  <c r="BV51" i="188"/>
  <c r="BS51" i="188"/>
  <c r="AQ51" i="188"/>
  <c r="AH51" i="188"/>
  <c r="R51" i="188"/>
  <c r="BO51" i="188"/>
  <c r="AT51" i="188"/>
  <c r="BJ51" i="188"/>
  <c r="CC67" i="188"/>
  <c r="BU67" i="188"/>
  <c r="BM67" i="188"/>
  <c r="BE67" i="188"/>
  <c r="AW67" i="188"/>
  <c r="AO67" i="188"/>
  <c r="AG67" i="188"/>
  <c r="Y67" i="188"/>
  <c r="Q67" i="188"/>
  <c r="BX67" i="188"/>
  <c r="BO67" i="188"/>
  <c r="BF67" i="188"/>
  <c r="AV67" i="188"/>
  <c r="AM67" i="188"/>
  <c r="AD67" i="188"/>
  <c r="U67" i="188"/>
  <c r="BW67" i="188"/>
  <c r="BL67" i="188"/>
  <c r="BB67" i="188"/>
  <c r="AR67" i="188"/>
  <c r="AH67" i="188"/>
  <c r="W67" i="188"/>
  <c r="CB67" i="188"/>
  <c r="BQ67" i="188"/>
  <c r="BD67" i="188"/>
  <c r="AS67" i="188"/>
  <c r="AF67" i="188"/>
  <c r="T67" i="188"/>
  <c r="CA67" i="188"/>
  <c r="BP67" i="188"/>
  <c r="BC67" i="188"/>
  <c r="AQ67" i="188"/>
  <c r="AE67" i="188"/>
  <c r="S67" i="188"/>
  <c r="BK67" i="188"/>
  <c r="AX67" i="188"/>
  <c r="AI67" i="188"/>
  <c r="BZ67" i="188"/>
  <c r="BJ67" i="188"/>
  <c r="AU67" i="188"/>
  <c r="AC67" i="188"/>
  <c r="BY67" i="188"/>
  <c r="BI67" i="188"/>
  <c r="AT67" i="188"/>
  <c r="AB67" i="188"/>
  <c r="BT67" i="188"/>
  <c r="AY67" i="188"/>
  <c r="X67" i="188"/>
  <c r="BV67" i="188"/>
  <c r="AP67" i="188"/>
  <c r="R67" i="188"/>
  <c r="BS67" i="188"/>
  <c r="AN67" i="188"/>
  <c r="BR67" i="188"/>
  <c r="AL67" i="188"/>
  <c r="BH67" i="188"/>
  <c r="V67" i="188"/>
  <c r="BG67" i="188"/>
  <c r="BA67" i="188"/>
  <c r="AZ67" i="188"/>
  <c r="AK67" i="188"/>
  <c r="Z67" i="188"/>
  <c r="BN67" i="188"/>
  <c r="AJ67" i="188"/>
  <c r="AA67" i="188"/>
  <c r="BZ58" i="188"/>
  <c r="BR58" i="188"/>
  <c r="BJ58" i="188"/>
  <c r="BB58" i="188"/>
  <c r="AT58" i="188"/>
  <c r="AL58" i="188"/>
  <c r="AD58" i="188"/>
  <c r="V58" i="188"/>
  <c r="CA58" i="188"/>
  <c r="BQ58" i="188"/>
  <c r="BH58" i="188"/>
  <c r="AY58" i="188"/>
  <c r="AP58" i="188"/>
  <c r="AG58" i="188"/>
  <c r="X58" i="188"/>
  <c r="BY58" i="188"/>
  <c r="BP58" i="188"/>
  <c r="BG58" i="188"/>
  <c r="AX58" i="188"/>
  <c r="AO58" i="188"/>
  <c r="AF58" i="188"/>
  <c r="W58" i="188"/>
  <c r="BU58" i="188"/>
  <c r="BI58" i="188"/>
  <c r="AV58" i="188"/>
  <c r="AJ58" i="188"/>
  <c r="Y58" i="188"/>
  <c r="BT58" i="188"/>
  <c r="BF58" i="188"/>
  <c r="AU58" i="188"/>
  <c r="AI58" i="188"/>
  <c r="U58" i="188"/>
  <c r="BN58" i="188"/>
  <c r="AZ58" i="188"/>
  <c r="AH58" i="188"/>
  <c r="R58" i="188"/>
  <c r="BM58" i="188"/>
  <c r="AS58" i="188"/>
  <c r="AB58" i="188"/>
  <c r="CC58" i="188"/>
  <c r="BL58" i="188"/>
  <c r="AR58" i="188"/>
  <c r="AA58" i="188"/>
  <c r="CB58" i="188"/>
  <c r="BK58" i="188"/>
  <c r="AQ58" i="188"/>
  <c r="Z58" i="188"/>
  <c r="BS58" i="188"/>
  <c r="AM58" i="188"/>
  <c r="BO58" i="188"/>
  <c r="AK58" i="188"/>
  <c r="BC58" i="188"/>
  <c r="Q58" i="188"/>
  <c r="BA58" i="188"/>
  <c r="AW58" i="188"/>
  <c r="AC58" i="188"/>
  <c r="BW58" i="188"/>
  <c r="S58" i="188"/>
  <c r="BV58" i="188"/>
  <c r="BE58" i="188"/>
  <c r="BX58" i="188"/>
  <c r="T58" i="188"/>
  <c r="BD58" i="188"/>
  <c r="AN58" i="188"/>
  <c r="AE58" i="188"/>
  <c r="BZ17" i="188"/>
  <c r="BR17" i="188"/>
  <c r="BJ17" i="188"/>
  <c r="BB17" i="188"/>
  <c r="AT17" i="188"/>
  <c r="AL17" i="188"/>
  <c r="AD17" i="188"/>
  <c r="V17" i="188"/>
  <c r="BY17" i="188"/>
  <c r="BQ17" i="188"/>
  <c r="BI17" i="188"/>
  <c r="BA17" i="188"/>
  <c r="AS17" i="188"/>
  <c r="AK17" i="188"/>
  <c r="AC17" i="188"/>
  <c r="U17" i="188"/>
  <c r="CB17" i="188"/>
  <c r="BP17" i="188"/>
  <c r="BF17" i="188"/>
  <c r="AV17" i="188"/>
  <c r="AJ17" i="188"/>
  <c r="Z17" i="188"/>
  <c r="CA17" i="188"/>
  <c r="BO17" i="188"/>
  <c r="BE17" i="188"/>
  <c r="AU17" i="188"/>
  <c r="AI17" i="188"/>
  <c r="Y17" i="188"/>
  <c r="BX17" i="188"/>
  <c r="BN17" i="188"/>
  <c r="BD17" i="188"/>
  <c r="AR17" i="188"/>
  <c r="AH17" i="188"/>
  <c r="X17" i="188"/>
  <c r="BW17" i="188"/>
  <c r="BH17" i="188"/>
  <c r="AP17" i="188"/>
  <c r="AA17" i="188"/>
  <c r="BV17" i="188"/>
  <c r="BG17" i="188"/>
  <c r="AO17" i="188"/>
  <c r="W17" i="188"/>
  <c r="BC17" i="188"/>
  <c r="T17" i="188"/>
  <c r="BT17" i="188"/>
  <c r="AM17" i="188"/>
  <c r="BS17" i="188"/>
  <c r="AY17" i="188"/>
  <c r="R17" i="188"/>
  <c r="BU17" i="188"/>
  <c r="AN17" i="188"/>
  <c r="AZ17" i="188"/>
  <c r="S17" i="188"/>
  <c r="AG17" i="188"/>
  <c r="BM17" i="188"/>
  <c r="AB17" i="188"/>
  <c r="BL17" i="188"/>
  <c r="Q17" i="188"/>
  <c r="AX17" i="188"/>
  <c r="BK17" i="188"/>
  <c r="AW17" i="188"/>
  <c r="AQ17" i="188"/>
  <c r="AF17" i="188"/>
  <c r="CC17" i="188"/>
  <c r="AE17" i="188"/>
  <c r="BW26" i="188"/>
  <c r="BO26" i="188"/>
  <c r="BG26" i="188"/>
  <c r="AY26" i="188"/>
  <c r="AQ26" i="188"/>
  <c r="AI26" i="188"/>
  <c r="AA26" i="188"/>
  <c r="S26" i="188"/>
  <c r="BX26" i="188"/>
  <c r="BN26" i="188"/>
  <c r="BE26" i="188"/>
  <c r="AV26" i="188"/>
  <c r="AM26" i="188"/>
  <c r="AD26" i="188"/>
  <c r="U26" i="188"/>
  <c r="BV26" i="188"/>
  <c r="BM26" i="188"/>
  <c r="BD26" i="188"/>
  <c r="AU26" i="188"/>
  <c r="AL26" i="188"/>
  <c r="AC26" i="188"/>
  <c r="T26" i="188"/>
  <c r="BZ26" i="188"/>
  <c r="BL26" i="188"/>
  <c r="BA26" i="188"/>
  <c r="AO26" i="188"/>
  <c r="AB26" i="188"/>
  <c r="BY26" i="188"/>
  <c r="BK26" i="188"/>
  <c r="AZ26" i="188"/>
  <c r="AN26" i="188"/>
  <c r="Z26" i="188"/>
  <c r="CB26" i="188"/>
  <c r="BJ26" i="188"/>
  <c r="AT26" i="188"/>
  <c r="AF26" i="188"/>
  <c r="CA26" i="188"/>
  <c r="BI26" i="188"/>
  <c r="AS26" i="188"/>
  <c r="AE26" i="188"/>
  <c r="BH26" i="188"/>
  <c r="AR26" i="188"/>
  <c r="BU26" i="188"/>
  <c r="Y26" i="188"/>
  <c r="CC26" i="188"/>
  <c r="BB26" i="188"/>
  <c r="X26" i="188"/>
  <c r="AW26" i="188"/>
  <c r="AP26" i="188"/>
  <c r="Q26" i="188"/>
  <c r="BT26" i="188"/>
  <c r="AX26" i="188"/>
  <c r="W26" i="188"/>
  <c r="BS26" i="188"/>
  <c r="V26" i="188"/>
  <c r="BR26" i="188"/>
  <c r="R26" i="188"/>
  <c r="BQ26" i="188"/>
  <c r="AK26" i="188"/>
  <c r="BP26" i="188"/>
  <c r="AH26" i="188"/>
  <c r="AG26" i="188"/>
  <c r="BF26" i="188"/>
  <c r="BC26" i="188"/>
  <c r="AJ26" i="188"/>
  <c r="CA28" i="188"/>
  <c r="BS28" i="188"/>
  <c r="BK28" i="188"/>
  <c r="BC28" i="188"/>
  <c r="AU28" i="188"/>
  <c r="AM28" i="188"/>
  <c r="AE28" i="188"/>
  <c r="W28" i="188"/>
  <c r="BV28" i="188"/>
  <c r="BM28" i="188"/>
  <c r="BD28" i="188"/>
  <c r="AT28" i="188"/>
  <c r="AK28" i="188"/>
  <c r="AB28" i="188"/>
  <c r="S28" i="188"/>
  <c r="BU28" i="188"/>
  <c r="BL28" i="188"/>
  <c r="BB28" i="188"/>
  <c r="AS28" i="188"/>
  <c r="AJ28" i="188"/>
  <c r="AA28" i="188"/>
  <c r="R28" i="188"/>
  <c r="BX28" i="188"/>
  <c r="BJ28" i="188"/>
  <c r="AY28" i="188"/>
  <c r="AN28" i="188"/>
  <c r="Z28" i="188"/>
  <c r="BW28" i="188"/>
  <c r="BI28" i="188"/>
  <c r="AX28" i="188"/>
  <c r="AL28" i="188"/>
  <c r="Y28" i="188"/>
  <c r="BZ28" i="188"/>
  <c r="BH28" i="188"/>
  <c r="AR28" i="188"/>
  <c r="AD28" i="188"/>
  <c r="BY28" i="188"/>
  <c r="BG28" i="188"/>
  <c r="AQ28" i="188"/>
  <c r="AC28" i="188"/>
  <c r="BF28" i="188"/>
  <c r="BT28" i="188"/>
  <c r="AP28" i="188"/>
  <c r="X28" i="188"/>
  <c r="BE28" i="188"/>
  <c r="AG28" i="188"/>
  <c r="CB28" i="188"/>
  <c r="V28" i="188"/>
  <c r="AW28" i="188"/>
  <c r="AV28" i="188"/>
  <c r="CC28" i="188"/>
  <c r="BA28" i="188"/>
  <c r="AF28" i="188"/>
  <c r="AZ28" i="188"/>
  <c r="BR28" i="188"/>
  <c r="U28" i="188"/>
  <c r="BQ28" i="188"/>
  <c r="T28" i="188"/>
  <c r="BP28" i="188"/>
  <c r="AO28" i="188"/>
  <c r="Q28" i="188"/>
  <c r="BO28" i="188"/>
  <c r="AH28" i="188"/>
  <c r="BN28" i="188"/>
  <c r="AI28" i="188"/>
  <c r="BZ45" i="188"/>
  <c r="BR45" i="188"/>
  <c r="BJ45" i="188"/>
  <c r="BB45" i="188"/>
  <c r="AT45" i="188"/>
  <c r="AL45" i="188"/>
  <c r="AD45" i="188"/>
  <c r="V45" i="188"/>
  <c r="BY45" i="188"/>
  <c r="BQ45" i="188"/>
  <c r="BI45" i="188"/>
  <c r="BA45" i="188"/>
  <c r="AS45" i="188"/>
  <c r="AK45" i="188"/>
  <c r="AC45" i="188"/>
  <c r="U45" i="188"/>
  <c r="BW45" i="188"/>
  <c r="BM45" i="188"/>
  <c r="BC45" i="188"/>
  <c r="AQ45" i="188"/>
  <c r="AG45" i="188"/>
  <c r="W45" i="188"/>
  <c r="BT45" i="188"/>
  <c r="BG45" i="188"/>
  <c r="AV45" i="188"/>
  <c r="AI45" i="188"/>
  <c r="X45" i="188"/>
  <c r="BS45" i="188"/>
  <c r="BF45" i="188"/>
  <c r="AU45" i="188"/>
  <c r="AH45" i="188"/>
  <c r="T45" i="188"/>
  <c r="CC45" i="188"/>
  <c r="BN45" i="188"/>
  <c r="AX45" i="188"/>
  <c r="AF45" i="188"/>
  <c r="Q45" i="188"/>
  <c r="CB45" i="188"/>
  <c r="BL45" i="188"/>
  <c r="AW45" i="188"/>
  <c r="AE45" i="188"/>
  <c r="CA45" i="188"/>
  <c r="BE45" i="188"/>
  <c r="AM45" i="188"/>
  <c r="BX45" i="188"/>
  <c r="BD45" i="188"/>
  <c r="AJ45" i="188"/>
  <c r="BV45" i="188"/>
  <c r="AZ45" i="188"/>
  <c r="AB45" i="188"/>
  <c r="BH45" i="188"/>
  <c r="Y45" i="188"/>
  <c r="AR45" i="188"/>
  <c r="R45" i="188"/>
  <c r="BU45" i="188"/>
  <c r="AO45" i="188"/>
  <c r="AY45" i="188"/>
  <c r="S45" i="188"/>
  <c r="AP45" i="188"/>
  <c r="BP45" i="188"/>
  <c r="AN45" i="188"/>
  <c r="BK45" i="188"/>
  <c r="BO45" i="188"/>
  <c r="AA45" i="188"/>
  <c r="Z45" i="188"/>
  <c r="BV7" i="188"/>
  <c r="BN7" i="188"/>
  <c r="BF7" i="188"/>
  <c r="AX7" i="188"/>
  <c r="AP7" i="188"/>
  <c r="AH7" i="188"/>
  <c r="Z7" i="188"/>
  <c r="R7" i="188"/>
  <c r="CC7" i="188"/>
  <c r="BU7" i="188"/>
  <c r="BM7" i="188"/>
  <c r="BE7" i="188"/>
  <c r="AW7" i="188"/>
  <c r="AO7" i="188"/>
  <c r="AG7" i="188"/>
  <c r="Y7" i="188"/>
  <c r="Q7" i="188"/>
  <c r="BX7" i="188"/>
  <c r="BL7" i="188"/>
  <c r="BB7" i="188"/>
  <c r="AR7" i="188"/>
  <c r="AF7" i="188"/>
  <c r="V7" i="188"/>
  <c r="BW7" i="188"/>
  <c r="BK7" i="188"/>
  <c r="BA7" i="188"/>
  <c r="AQ7" i="188"/>
  <c r="AE7" i="188"/>
  <c r="U7" i="188"/>
  <c r="BZ7" i="188"/>
  <c r="BJ7" i="188"/>
  <c r="AV7" i="188"/>
  <c r="AJ7" i="188"/>
  <c r="T7" i="188"/>
  <c r="BY7" i="188"/>
  <c r="BI7" i="188"/>
  <c r="AU7" i="188"/>
  <c r="AI7" i="188"/>
  <c r="S7" i="188"/>
  <c r="AD7" i="188"/>
  <c r="BS7" i="188"/>
  <c r="BT7" i="188"/>
  <c r="BH7" i="188"/>
  <c r="AT7" i="188"/>
  <c r="BG7" i="188"/>
  <c r="AS7" i="188"/>
  <c r="AC7" i="188"/>
  <c r="CB7" i="188"/>
  <c r="AZ7" i="188"/>
  <c r="X7" i="188"/>
  <c r="CA7" i="188"/>
  <c r="AY7" i="188"/>
  <c r="W7" i="188"/>
  <c r="BR7" i="188"/>
  <c r="BQ7" i="188"/>
  <c r="AM7" i="188"/>
  <c r="BP7" i="188"/>
  <c r="AN7" i="188"/>
  <c r="AL7" i="188"/>
  <c r="BD7" i="188"/>
  <c r="AB7" i="188"/>
  <c r="BO7" i="188"/>
  <c r="BC7" i="188"/>
  <c r="AK7" i="188"/>
  <c r="AA7" i="188"/>
  <c r="BX10" i="188"/>
  <c r="BP10" i="188"/>
  <c r="BH10" i="188"/>
  <c r="AZ10" i="188"/>
  <c r="AR10" i="188"/>
  <c r="AJ10" i="188"/>
  <c r="AB10" i="188"/>
  <c r="T10" i="188"/>
  <c r="BW10" i="188"/>
  <c r="BO10" i="188"/>
  <c r="BG10" i="188"/>
  <c r="AY10" i="188"/>
  <c r="AQ10" i="188"/>
  <c r="AI10" i="188"/>
  <c r="AA10" i="188"/>
  <c r="S10" i="188"/>
  <c r="BY10" i="188"/>
  <c r="BM10" i="188"/>
  <c r="BC10" i="188"/>
  <c r="AS10" i="188"/>
  <c r="AG10" i="188"/>
  <c r="W10" i="188"/>
  <c r="BV10" i="188"/>
  <c r="BL10" i="188"/>
  <c r="BB10" i="188"/>
  <c r="AP10" i="188"/>
  <c r="AF10" i="188"/>
  <c r="V10" i="188"/>
  <c r="BU10" i="188"/>
  <c r="BK10" i="188"/>
  <c r="BA10" i="188"/>
  <c r="CC10" i="188"/>
  <c r="BN10" i="188"/>
  <c r="AV10" i="188"/>
  <c r="AH10" i="188"/>
  <c r="R10" i="188"/>
  <c r="CB10" i="188"/>
  <c r="BJ10" i="188"/>
  <c r="AU10" i="188"/>
  <c r="AE10" i="188"/>
  <c r="Q10" i="188"/>
  <c r="BI10" i="188"/>
  <c r="AD10" i="188"/>
  <c r="BZ10" i="188"/>
  <c r="AO10" i="188"/>
  <c r="AC10" i="188"/>
  <c r="BE10" i="188"/>
  <c r="Z10" i="188"/>
  <c r="CA10" i="188"/>
  <c r="AT10" i="188"/>
  <c r="BF10" i="188"/>
  <c r="BT10" i="188"/>
  <c r="AN10" i="188"/>
  <c r="BS10" i="188"/>
  <c r="AK10" i="188"/>
  <c r="BR10" i="188"/>
  <c r="Y10" i="188"/>
  <c r="X10" i="188"/>
  <c r="BD10" i="188"/>
  <c r="U10" i="188"/>
  <c r="BQ10" i="188"/>
  <c r="AX10" i="188"/>
  <c r="AM10" i="188"/>
  <c r="AW10" i="188"/>
  <c r="AL10" i="188"/>
  <c r="CB60" i="188"/>
  <c r="BT60" i="188"/>
  <c r="BL60" i="188"/>
  <c r="BD60" i="188"/>
  <c r="AV60" i="188"/>
  <c r="AN60" i="188"/>
  <c r="CA60" i="188"/>
  <c r="BR60" i="188"/>
  <c r="BI60" i="188"/>
  <c r="AZ60" i="188"/>
  <c r="AQ60" i="188"/>
  <c r="AH60" i="188"/>
  <c r="Z60" i="188"/>
  <c r="R60" i="188"/>
  <c r="BS60" i="188"/>
  <c r="BH60" i="188"/>
  <c r="AX60" i="188"/>
  <c r="AM60" i="188"/>
  <c r="AD60" i="188"/>
  <c r="U60" i="188"/>
  <c r="CC60" i="188"/>
  <c r="BQ60" i="188"/>
  <c r="BG60" i="188"/>
  <c r="AW60" i="188"/>
  <c r="AL60" i="188"/>
  <c r="AC60" i="188"/>
  <c r="T60" i="188"/>
  <c r="BU60" i="188"/>
  <c r="BE60" i="188"/>
  <c r="AR60" i="188"/>
  <c r="AE60" i="188"/>
  <c r="Q60" i="188"/>
  <c r="BP60" i="188"/>
  <c r="BC60" i="188"/>
  <c r="AP60" i="188"/>
  <c r="AB60" i="188"/>
  <c r="BM60" i="188"/>
  <c r="AT60" i="188"/>
  <c r="AA60" i="188"/>
  <c r="BN60" i="188"/>
  <c r="AS60" i="188"/>
  <c r="X60" i="188"/>
  <c r="BK60" i="188"/>
  <c r="AO60" i="188"/>
  <c r="W60" i="188"/>
  <c r="BZ60" i="188"/>
  <c r="BJ60" i="188"/>
  <c r="AK60" i="188"/>
  <c r="V60" i="188"/>
  <c r="BV60" i="188"/>
  <c r="AI60" i="188"/>
  <c r="BO60" i="188"/>
  <c r="AG60" i="188"/>
  <c r="BF60" i="188"/>
  <c r="S60" i="188"/>
  <c r="BB60" i="188"/>
  <c r="BA60" i="188"/>
  <c r="BW60" i="188"/>
  <c r="AU60" i="188"/>
  <c r="AY60" i="188"/>
  <c r="AF60" i="188"/>
  <c r="AJ60" i="188"/>
  <c r="Y60" i="188"/>
  <c r="BY60" i="188"/>
  <c r="BX60" i="188"/>
  <c r="CC27" i="188"/>
  <c r="BU27" i="188"/>
  <c r="BM27" i="188"/>
  <c r="BE27" i="188"/>
  <c r="AW27" i="188"/>
  <c r="AO27" i="188"/>
  <c r="AG27" i="188"/>
  <c r="Y27" i="188"/>
  <c r="Q27" i="188"/>
  <c r="BW27" i="188"/>
  <c r="BN27" i="188"/>
  <c r="BD27" i="188"/>
  <c r="AU27" i="188"/>
  <c r="AL27" i="188"/>
  <c r="AC27" i="188"/>
  <c r="T27" i="188"/>
  <c r="BV27" i="188"/>
  <c r="BL27" i="188"/>
  <c r="BC27" i="188"/>
  <c r="AT27" i="188"/>
  <c r="AK27" i="188"/>
  <c r="AB27" i="188"/>
  <c r="S27" i="188"/>
  <c r="BY27" i="188"/>
  <c r="BK27" i="188"/>
  <c r="AZ27" i="188"/>
  <c r="AN27" i="188"/>
  <c r="AA27" i="188"/>
  <c r="BX27" i="188"/>
  <c r="BJ27" i="188"/>
  <c r="AY27" i="188"/>
  <c r="AM27" i="188"/>
  <c r="Z27" i="188"/>
  <c r="BR27" i="188"/>
  <c r="BB27" i="188"/>
  <c r="AJ27" i="188"/>
  <c r="V27" i="188"/>
  <c r="BQ27" i="188"/>
  <c r="BA27" i="188"/>
  <c r="AI27" i="188"/>
  <c r="U27" i="188"/>
  <c r="R27" i="188"/>
  <c r="BP27" i="188"/>
  <c r="AX27" i="188"/>
  <c r="AH27" i="188"/>
  <c r="CB27" i="188"/>
  <c r="BG27" i="188"/>
  <c r="AE27" i="188"/>
  <c r="AV27" i="188"/>
  <c r="BT27" i="188"/>
  <c r="W27" i="188"/>
  <c r="BS27" i="188"/>
  <c r="CA27" i="188"/>
  <c r="BF27" i="188"/>
  <c r="AD27" i="188"/>
  <c r="BZ27" i="188"/>
  <c r="X27" i="188"/>
  <c r="AS27" i="188"/>
  <c r="AR27" i="188"/>
  <c r="BO27" i="188"/>
  <c r="AQ27" i="188"/>
  <c r="BH27" i="188"/>
  <c r="AP27" i="188"/>
  <c r="AF27" i="188"/>
  <c r="BI27" i="188"/>
  <c r="BY25" i="188"/>
  <c r="BQ25" i="188"/>
  <c r="BI25" i="188"/>
  <c r="BA25" i="188"/>
  <c r="AS25" i="188"/>
  <c r="AK25" i="188"/>
  <c r="AC25" i="188"/>
  <c r="U25" i="188"/>
  <c r="BX25" i="188"/>
  <c r="BO25" i="188"/>
  <c r="BF25" i="188"/>
  <c r="AW25" i="188"/>
  <c r="AN25" i="188"/>
  <c r="AE25" i="188"/>
  <c r="V25" i="188"/>
  <c r="CC25" i="188"/>
  <c r="BS25" i="188"/>
  <c r="BH25" i="188"/>
  <c r="AX25" i="188"/>
  <c r="AM25" i="188"/>
  <c r="AB25" i="188"/>
  <c r="R25" i="188"/>
  <c r="CB25" i="188"/>
  <c r="BR25" i="188"/>
  <c r="BG25" i="188"/>
  <c r="AV25" i="188"/>
  <c r="AL25" i="188"/>
  <c r="AA25" i="188"/>
  <c r="Q25" i="188"/>
  <c r="BW25" i="188"/>
  <c r="BK25" i="188"/>
  <c r="AU25" i="188"/>
  <c r="AH25" i="188"/>
  <c r="T25" i="188"/>
  <c r="BV25" i="188"/>
  <c r="BJ25" i="188"/>
  <c r="AT25" i="188"/>
  <c r="AG25" i="188"/>
  <c r="S25" i="188"/>
  <c r="BU25" i="188"/>
  <c r="BE25" i="188"/>
  <c r="AR25" i="188"/>
  <c r="AF25" i="188"/>
  <c r="BD25" i="188"/>
  <c r="AJ25" i="188"/>
  <c r="BZ25" i="188"/>
  <c r="AD25" i="188"/>
  <c r="BT25" i="188"/>
  <c r="Z25" i="188"/>
  <c r="AY25" i="188"/>
  <c r="CA25" i="188"/>
  <c r="BC25" i="188"/>
  <c r="AI25" i="188"/>
  <c r="BB25" i="188"/>
  <c r="AZ25" i="188"/>
  <c r="BP25" i="188"/>
  <c r="Y25" i="188"/>
  <c r="AQ25" i="188"/>
  <c r="AP25" i="188"/>
  <c r="AO25" i="188"/>
  <c r="X25" i="188"/>
  <c r="W25" i="188"/>
  <c r="BN25" i="188"/>
  <c r="BM25" i="188"/>
  <c r="BL25" i="188"/>
  <c r="CA64" i="188"/>
  <c r="BS64" i="188"/>
  <c r="BK64" i="188"/>
  <c r="BC64" i="188"/>
  <c r="AU64" i="188"/>
  <c r="AM64" i="188"/>
  <c r="AE64" i="188"/>
  <c r="W64" i="188"/>
  <c r="BZ64" i="188"/>
  <c r="BQ64" i="188"/>
  <c r="BH64" i="188"/>
  <c r="AY64" i="188"/>
  <c r="AP64" i="188"/>
  <c r="AG64" i="188"/>
  <c r="X64" i="188"/>
  <c r="CB64" i="188"/>
  <c r="BP64" i="188"/>
  <c r="BF64" i="188"/>
  <c r="AV64" i="188"/>
  <c r="AK64" i="188"/>
  <c r="AA64" i="188"/>
  <c r="Q64" i="188"/>
  <c r="BX64" i="188"/>
  <c r="BM64" i="188"/>
  <c r="BA64" i="188"/>
  <c r="AO64" i="188"/>
  <c r="AC64" i="188"/>
  <c r="R64" i="188"/>
  <c r="BW64" i="188"/>
  <c r="BL64" i="188"/>
  <c r="AZ64" i="188"/>
  <c r="AN64" i="188"/>
  <c r="AB64" i="188"/>
  <c r="BR64" i="188"/>
  <c r="BB64" i="188"/>
  <c r="AJ64" i="188"/>
  <c r="U64" i="188"/>
  <c r="BO64" i="188"/>
  <c r="AX64" i="188"/>
  <c r="AI64" i="188"/>
  <c r="T64" i="188"/>
  <c r="BV64" i="188"/>
  <c r="BD64" i="188"/>
  <c r="AF64" i="188"/>
  <c r="BU64" i="188"/>
  <c r="AT64" i="188"/>
  <c r="Y64" i="188"/>
  <c r="BT64" i="188"/>
  <c r="AS64" i="188"/>
  <c r="V64" i="188"/>
  <c r="BN64" i="188"/>
  <c r="AR64" i="188"/>
  <c r="S64" i="188"/>
  <c r="BJ64" i="188"/>
  <c r="AD64" i="188"/>
  <c r="BI64" i="188"/>
  <c r="Z64" i="188"/>
  <c r="BG64" i="188"/>
  <c r="BE64" i="188"/>
  <c r="AW64" i="188"/>
  <c r="CC64" i="188"/>
  <c r="AQ64" i="188"/>
  <c r="AH64" i="188"/>
  <c r="BY64" i="188"/>
  <c r="AL64" i="188"/>
  <c r="BV11" i="188"/>
  <c r="BN11" i="188"/>
  <c r="BF11" i="188"/>
  <c r="AX11" i="188"/>
  <c r="AP11" i="188"/>
  <c r="AH11" i="188"/>
  <c r="Z11" i="188"/>
  <c r="R11" i="188"/>
  <c r="CC11" i="188"/>
  <c r="BU11" i="188"/>
  <c r="BM11" i="188"/>
  <c r="BE11" i="188"/>
  <c r="AW11" i="188"/>
  <c r="AO11" i="188"/>
  <c r="AG11" i="188"/>
  <c r="Y11" i="188"/>
  <c r="Q11" i="188"/>
  <c r="BY11" i="188"/>
  <c r="BO11" i="188"/>
  <c r="BC11" i="188"/>
  <c r="AS11" i="188"/>
  <c r="AI11" i="188"/>
  <c r="W11" i="188"/>
  <c r="BX11" i="188"/>
  <c r="BL11" i="188"/>
  <c r="BB11" i="188"/>
  <c r="AR11" i="188"/>
  <c r="AF11" i="188"/>
  <c r="V11" i="188"/>
  <c r="BK11" i="188"/>
  <c r="BA11" i="188"/>
  <c r="AQ11" i="188"/>
  <c r="U11" i="188"/>
  <c r="BW11" i="188"/>
  <c r="AE11" i="188"/>
  <c r="BT11" i="188"/>
  <c r="BG11" i="188"/>
  <c r="AM11" i="188"/>
  <c r="X11" i="188"/>
  <c r="BS11" i="188"/>
  <c r="BD11" i="188"/>
  <c r="AL11" i="188"/>
  <c r="T11" i="188"/>
  <c r="BR11" i="188"/>
  <c r="AK11" i="188"/>
  <c r="AJ11" i="188"/>
  <c r="BP11" i="188"/>
  <c r="AV11" i="188"/>
  <c r="AD11" i="188"/>
  <c r="AZ11" i="188"/>
  <c r="S11" i="188"/>
  <c r="BQ11" i="188"/>
  <c r="AY11" i="188"/>
  <c r="AT11" i="188"/>
  <c r="CB11" i="188"/>
  <c r="AN11" i="188"/>
  <c r="AC11" i="188"/>
  <c r="BZ11" i="188"/>
  <c r="AB11" i="188"/>
  <c r="AA11" i="188"/>
  <c r="CA11" i="188"/>
  <c r="BJ11" i="188"/>
  <c r="BI11" i="188"/>
  <c r="BH11" i="188"/>
  <c r="AU11" i="188"/>
  <c r="BW42" i="188"/>
  <c r="BO42" i="188"/>
  <c r="BG42" i="188"/>
  <c r="AY42" i="188"/>
  <c r="AQ42" i="188"/>
  <c r="AI42" i="188"/>
  <c r="AA42" i="188"/>
  <c r="S42" i="188"/>
  <c r="CB42" i="188"/>
  <c r="BS42" i="188"/>
  <c r="BJ42" i="188"/>
  <c r="BA42" i="188"/>
  <c r="AR42" i="188"/>
  <c r="AH42" i="188"/>
  <c r="Y42" i="188"/>
  <c r="CA42" i="188"/>
  <c r="BR42" i="188"/>
  <c r="BI42" i="188"/>
  <c r="AZ42" i="188"/>
  <c r="AP42" i="188"/>
  <c r="AG42" i="188"/>
  <c r="X42" i="188"/>
  <c r="BU42" i="188"/>
  <c r="BH42" i="188"/>
  <c r="AV42" i="188"/>
  <c r="AK42" i="188"/>
  <c r="W42" i="188"/>
  <c r="BT42" i="188"/>
  <c r="BF42" i="188"/>
  <c r="AU42" i="188"/>
  <c r="AJ42" i="188"/>
  <c r="V42" i="188"/>
  <c r="BN42" i="188"/>
  <c r="AX42" i="188"/>
  <c r="AF42" i="188"/>
  <c r="R42" i="188"/>
  <c r="CC42" i="188"/>
  <c r="BM42" i="188"/>
  <c r="AW42" i="188"/>
  <c r="AE42" i="188"/>
  <c r="Q42" i="188"/>
  <c r="BZ42" i="188"/>
  <c r="BL42" i="188"/>
  <c r="AT42" i="188"/>
  <c r="AD42" i="188"/>
  <c r="BE42" i="188"/>
  <c r="AL42" i="188"/>
  <c r="BY42" i="188"/>
  <c r="BC42" i="188"/>
  <c r="AB42" i="188"/>
  <c r="BB42" i="188"/>
  <c r="AS42" i="188"/>
  <c r="BD42" i="188"/>
  <c r="AC42" i="188"/>
  <c r="BX42" i="188"/>
  <c r="Z42" i="188"/>
  <c r="BV42" i="188"/>
  <c r="U42" i="188"/>
  <c r="BQ42" i="188"/>
  <c r="AO42" i="188"/>
  <c r="T42" i="188"/>
  <c r="AN42" i="188"/>
  <c r="AM42" i="188"/>
  <c r="BP42" i="188"/>
  <c r="BK42" i="188"/>
  <c r="BW66" i="188"/>
  <c r="BO66" i="188"/>
  <c r="BG66" i="188"/>
  <c r="AY66" i="188"/>
  <c r="AQ66" i="188"/>
  <c r="AI66" i="188"/>
  <c r="AA66" i="188"/>
  <c r="S66" i="188"/>
  <c r="BY66" i="188"/>
  <c r="BP66" i="188"/>
  <c r="BF66" i="188"/>
  <c r="AW66" i="188"/>
  <c r="AN66" i="188"/>
  <c r="AE66" i="188"/>
  <c r="V66" i="188"/>
  <c r="BZ66" i="188"/>
  <c r="BN66" i="188"/>
  <c r="BD66" i="188"/>
  <c r="AT66" i="188"/>
  <c r="AJ66" i="188"/>
  <c r="Y66" i="188"/>
  <c r="BT66" i="188"/>
  <c r="BI66" i="188"/>
  <c r="AV66" i="188"/>
  <c r="AK66" i="188"/>
  <c r="X66" i="188"/>
  <c r="BS66" i="188"/>
  <c r="BH66" i="188"/>
  <c r="AU66" i="188"/>
  <c r="AH66" i="188"/>
  <c r="W66" i="188"/>
  <c r="BX66" i="188"/>
  <c r="BJ66" i="188"/>
  <c r="AR66" i="188"/>
  <c r="AC66" i="188"/>
  <c r="BV66" i="188"/>
  <c r="BE66" i="188"/>
  <c r="AP66" i="188"/>
  <c r="AB66" i="188"/>
  <c r="BU66" i="188"/>
  <c r="BC66" i="188"/>
  <c r="AO66" i="188"/>
  <c r="Z66" i="188"/>
  <c r="BR66" i="188"/>
  <c r="AX66" i="188"/>
  <c r="T66" i="188"/>
  <c r="BL66" i="188"/>
  <c r="AG66" i="188"/>
  <c r="BK66" i="188"/>
  <c r="AF66" i="188"/>
  <c r="BB66" i="188"/>
  <c r="AD66" i="188"/>
  <c r="AZ66" i="188"/>
  <c r="AS66" i="188"/>
  <c r="CB66" i="188"/>
  <c r="R66" i="188"/>
  <c r="CA66" i="188"/>
  <c r="Q66" i="188"/>
  <c r="BQ66" i="188"/>
  <c r="CC66" i="188"/>
  <c r="BA66" i="188"/>
  <c r="BM66" i="188"/>
  <c r="AM66" i="188"/>
  <c r="AL66" i="188"/>
  <c r="U66" i="188"/>
  <c r="BV52" i="188"/>
  <c r="BN52" i="188"/>
  <c r="BF52" i="188"/>
  <c r="AX52" i="188"/>
  <c r="AP52" i="188"/>
  <c r="AH52" i="188"/>
  <c r="Z52" i="188"/>
  <c r="R52" i="188"/>
  <c r="BZ52" i="188"/>
  <c r="BQ52" i="188"/>
  <c r="BH52" i="188"/>
  <c r="AY52" i="188"/>
  <c r="AO52" i="188"/>
  <c r="AF52" i="188"/>
  <c r="W52" i="188"/>
  <c r="BY52" i="188"/>
  <c r="BP52" i="188"/>
  <c r="BG52" i="188"/>
  <c r="AW52" i="188"/>
  <c r="AN52" i="188"/>
  <c r="AE52" i="188"/>
  <c r="V52" i="188"/>
  <c r="BX52" i="188"/>
  <c r="BL52" i="188"/>
  <c r="BA52" i="188"/>
  <c r="AM52" i="188"/>
  <c r="AB52" i="188"/>
  <c r="BW52" i="188"/>
  <c r="BJ52" i="188"/>
  <c r="AU52" i="188"/>
  <c r="AI52" i="188"/>
  <c r="T52" i="188"/>
  <c r="BU52" i="188"/>
  <c r="BI52" i="188"/>
  <c r="AT52" i="188"/>
  <c r="AG52" i="188"/>
  <c r="S52" i="188"/>
  <c r="BT52" i="188"/>
  <c r="BE52" i="188"/>
  <c r="AS52" i="188"/>
  <c r="AD52" i="188"/>
  <c r="Q52" i="188"/>
  <c r="BO52" i="188"/>
  <c r="AR52" i="188"/>
  <c r="X52" i="188"/>
  <c r="BM52" i="188"/>
  <c r="AQ52" i="188"/>
  <c r="U52" i="188"/>
  <c r="CA52" i="188"/>
  <c r="AV52" i="188"/>
  <c r="BS52" i="188"/>
  <c r="AL52" i="188"/>
  <c r="BR52" i="188"/>
  <c r="AK52" i="188"/>
  <c r="BD52" i="188"/>
  <c r="BB52" i="188"/>
  <c r="AJ52" i="188"/>
  <c r="BC52" i="188"/>
  <c r="AZ52" i="188"/>
  <c r="CC52" i="188"/>
  <c r="AC52" i="188"/>
  <c r="CB52" i="188"/>
  <c r="AA52" i="188"/>
  <c r="BK52" i="188"/>
  <c r="Y52" i="188"/>
  <c r="CB16" i="188"/>
  <c r="BT16" i="188"/>
  <c r="BL16" i="188"/>
  <c r="BD16" i="188"/>
  <c r="AV16" i="188"/>
  <c r="AN16" i="188"/>
  <c r="AF16" i="188"/>
  <c r="X16" i="188"/>
  <c r="CA16" i="188"/>
  <c r="BS16" i="188"/>
  <c r="BK16" i="188"/>
  <c r="BC16" i="188"/>
  <c r="AU16" i="188"/>
  <c r="AM16" i="188"/>
  <c r="AE16" i="188"/>
  <c r="W16" i="188"/>
  <c r="BZ16" i="188"/>
  <c r="BP16" i="188"/>
  <c r="BF16" i="188"/>
  <c r="AT16" i="188"/>
  <c r="AJ16" i="188"/>
  <c r="Z16" i="188"/>
  <c r="BY16" i="188"/>
  <c r="BO16" i="188"/>
  <c r="BE16" i="188"/>
  <c r="AS16" i="188"/>
  <c r="AI16" i="188"/>
  <c r="Y16" i="188"/>
  <c r="AR16" i="188"/>
  <c r="V16" i="188"/>
  <c r="BX16" i="188"/>
  <c r="BN16" i="188"/>
  <c r="BB16" i="188"/>
  <c r="AH16" i="188"/>
  <c r="BQ16" i="188"/>
  <c r="AY16" i="188"/>
  <c r="AG16" i="188"/>
  <c r="R16" i="188"/>
  <c r="AX16" i="188"/>
  <c r="AD16" i="188"/>
  <c r="Q16" i="188"/>
  <c r="BJ16" i="188"/>
  <c r="AW16" i="188"/>
  <c r="AC16" i="188"/>
  <c r="CC16" i="188"/>
  <c r="AQ16" i="188"/>
  <c r="BW16" i="188"/>
  <c r="AP16" i="188"/>
  <c r="BM16" i="188"/>
  <c r="BI16" i="188"/>
  <c r="AB16" i="188"/>
  <c r="BH16" i="188"/>
  <c r="AA16" i="188"/>
  <c r="BA16" i="188"/>
  <c r="AZ16" i="188"/>
  <c r="AL16" i="188"/>
  <c r="AK16" i="188"/>
  <c r="AO16" i="188"/>
  <c r="BV16" i="188"/>
  <c r="U16" i="188"/>
  <c r="BU16" i="188"/>
  <c r="BR16" i="188"/>
  <c r="T16" i="188"/>
  <c r="BG16" i="188"/>
  <c r="S16" i="188"/>
  <c r="CA24" i="188"/>
  <c r="BS24" i="188"/>
  <c r="BK24" i="188"/>
  <c r="BC24" i="188"/>
  <c r="AU24" i="188"/>
  <c r="AM24" i="188"/>
  <c r="AE24" i="188"/>
  <c r="W24" i="188"/>
  <c r="BY24" i="188"/>
  <c r="BP24" i="188"/>
  <c r="BG24" i="188"/>
  <c r="AX24" i="188"/>
  <c r="AO24" i="188"/>
  <c r="AF24" i="188"/>
  <c r="V24" i="188"/>
  <c r="BU24" i="188"/>
  <c r="BJ24" i="188"/>
  <c r="AZ24" i="188"/>
  <c r="AP24" i="188"/>
  <c r="AD24" i="188"/>
  <c r="T24" i="188"/>
  <c r="BT24" i="188"/>
  <c r="BI24" i="188"/>
  <c r="AY24" i="188"/>
  <c r="AN24" i="188"/>
  <c r="AC24" i="188"/>
  <c r="S24" i="188"/>
  <c r="CC24" i="188"/>
  <c r="BO24" i="188"/>
  <c r="BB24" i="188"/>
  <c r="AL24" i="188"/>
  <c r="Z24" i="188"/>
  <c r="CB24" i="188"/>
  <c r="BN24" i="188"/>
  <c r="BA24" i="188"/>
  <c r="AK24" i="188"/>
  <c r="Y24" i="188"/>
  <c r="BM24" i="188"/>
  <c r="AW24" i="188"/>
  <c r="X24" i="188"/>
  <c r="BZ24" i="188"/>
  <c r="AJ24" i="188"/>
  <c r="BQ24" i="188"/>
  <c r="AS24" i="188"/>
  <c r="U24" i="188"/>
  <c r="BH24" i="188"/>
  <c r="AQ24" i="188"/>
  <c r="Q24" i="188"/>
  <c r="BF24" i="188"/>
  <c r="AI24" i="188"/>
  <c r="BX24" i="188"/>
  <c r="AH24" i="188"/>
  <c r="BL24" i="188"/>
  <c r="AR24" i="188"/>
  <c r="R24" i="188"/>
  <c r="BE24" i="188"/>
  <c r="BV24" i="188"/>
  <c r="BR24" i="188"/>
  <c r="AT24" i="188"/>
  <c r="BD24" i="188"/>
  <c r="AV24" i="188"/>
  <c r="AG24" i="188"/>
  <c r="AB24" i="188"/>
  <c r="BW24" i="188"/>
  <c r="AA24" i="188"/>
  <c r="CC63" i="188"/>
  <c r="BU63" i="188"/>
  <c r="BM63" i="188"/>
  <c r="BE63" i="188"/>
  <c r="AW63" i="188"/>
  <c r="AO63" i="188"/>
  <c r="AG63" i="188"/>
  <c r="Y63" i="188"/>
  <c r="Q63" i="188"/>
  <c r="CA63" i="188"/>
  <c r="BR63" i="188"/>
  <c r="BI63" i="188"/>
  <c r="AZ63" i="188"/>
  <c r="AQ63" i="188"/>
  <c r="AH63" i="188"/>
  <c r="X63" i="188"/>
  <c r="CB63" i="188"/>
  <c r="BQ63" i="188"/>
  <c r="BG63" i="188"/>
  <c r="AV63" i="188"/>
  <c r="AL63" i="188"/>
  <c r="AB63" i="188"/>
  <c r="R63" i="188"/>
  <c r="BZ63" i="188"/>
  <c r="BO63" i="188"/>
  <c r="BC63" i="188"/>
  <c r="AR63" i="188"/>
  <c r="AE63" i="188"/>
  <c r="T63" i="188"/>
  <c r="BY63" i="188"/>
  <c r="BN63" i="188"/>
  <c r="BB63" i="188"/>
  <c r="AP63" i="188"/>
  <c r="AD63" i="188"/>
  <c r="S63" i="188"/>
  <c r="BK63" i="188"/>
  <c r="AU63" i="188"/>
  <c r="AF63" i="188"/>
  <c r="BX63" i="188"/>
  <c r="BJ63" i="188"/>
  <c r="AT63" i="188"/>
  <c r="AC63" i="188"/>
  <c r="BL63" i="188"/>
  <c r="AN63" i="188"/>
  <c r="V63" i="188"/>
  <c r="BV63" i="188"/>
  <c r="AY63" i="188"/>
  <c r="Z63" i="188"/>
  <c r="BT63" i="188"/>
  <c r="AX63" i="188"/>
  <c r="W63" i="188"/>
  <c r="BS63" i="188"/>
  <c r="AS63" i="188"/>
  <c r="U63" i="188"/>
  <c r="BH63" i="188"/>
  <c r="AA63" i="188"/>
  <c r="BF63" i="188"/>
  <c r="AJ63" i="188"/>
  <c r="AI63" i="188"/>
  <c r="BW63" i="188"/>
  <c r="BD63" i="188"/>
  <c r="AM63" i="188"/>
  <c r="BA63" i="188"/>
  <c r="AK63" i="188"/>
  <c r="BP63" i="188"/>
  <c r="BY65" i="188"/>
  <c r="BQ65" i="188"/>
  <c r="BI65" i="188"/>
  <c r="BA65" i="188"/>
  <c r="AS65" i="188"/>
  <c r="AK65" i="188"/>
  <c r="AC65" i="188"/>
  <c r="U65" i="188"/>
  <c r="BZ65" i="188"/>
  <c r="BP65" i="188"/>
  <c r="BG65" i="188"/>
  <c r="AX65" i="188"/>
  <c r="AO65" i="188"/>
  <c r="AF65" i="188"/>
  <c r="W65" i="188"/>
  <c r="CA65" i="188"/>
  <c r="BO65" i="188"/>
  <c r="BE65" i="188"/>
  <c r="AU65" i="188"/>
  <c r="AJ65" i="188"/>
  <c r="Z65" i="188"/>
  <c r="BV65" i="188"/>
  <c r="BK65" i="188"/>
  <c r="AY65" i="188"/>
  <c r="AM65" i="188"/>
  <c r="AA65" i="188"/>
  <c r="BU65" i="188"/>
  <c r="BJ65" i="188"/>
  <c r="AW65" i="188"/>
  <c r="AL65" i="188"/>
  <c r="Y65" i="188"/>
  <c r="BT65" i="188"/>
  <c r="BD65" i="188"/>
  <c r="AP65" i="188"/>
  <c r="X65" i="188"/>
  <c r="BS65" i="188"/>
  <c r="BC65" i="188"/>
  <c r="AN65" i="188"/>
  <c r="V65" i="188"/>
  <c r="BR65" i="188"/>
  <c r="BB65" i="188"/>
  <c r="AI65" i="188"/>
  <c r="T65" i="188"/>
  <c r="BX65" i="188"/>
  <c r="AV65" i="188"/>
  <c r="AB65" i="188"/>
  <c r="BF65" i="188"/>
  <c r="AD65" i="188"/>
  <c r="CC65" i="188"/>
  <c r="AZ65" i="188"/>
  <c r="S65" i="188"/>
  <c r="CB65" i="188"/>
  <c r="AT65" i="188"/>
  <c r="R65" i="188"/>
  <c r="AH65" i="188"/>
  <c r="BW65" i="188"/>
  <c r="AG65" i="188"/>
  <c r="AR65" i="188"/>
  <c r="AQ65" i="188"/>
  <c r="AE65" i="188"/>
  <c r="BM65" i="188"/>
  <c r="BN65" i="188"/>
  <c r="BH65" i="188"/>
  <c r="BL65" i="188"/>
  <c r="Q65" i="188"/>
  <c r="BY33" i="188"/>
  <c r="BQ33" i="188"/>
  <c r="BI33" i="188"/>
  <c r="BA33" i="188"/>
  <c r="AS33" i="188"/>
  <c r="AK33" i="188"/>
  <c r="AC33" i="188"/>
  <c r="U33" i="188"/>
  <c r="CA33" i="188"/>
  <c r="BR33" i="188"/>
  <c r="BH33" i="188"/>
  <c r="AY33" i="188"/>
  <c r="AP33" i="188"/>
  <c r="AG33" i="188"/>
  <c r="X33" i="188"/>
  <c r="BZ33" i="188"/>
  <c r="BP33" i="188"/>
  <c r="BG33" i="188"/>
  <c r="AX33" i="188"/>
  <c r="AO33" i="188"/>
  <c r="AF33" i="188"/>
  <c r="W33" i="188"/>
  <c r="BT33" i="188"/>
  <c r="BF33" i="188"/>
  <c r="AU33" i="188"/>
  <c r="AI33" i="188"/>
  <c r="V33" i="188"/>
  <c r="BS33" i="188"/>
  <c r="BE33" i="188"/>
  <c r="AT33" i="188"/>
  <c r="AH33" i="188"/>
  <c r="T33" i="188"/>
  <c r="BW33" i="188"/>
  <c r="BJ33" i="188"/>
  <c r="AQ33" i="188"/>
  <c r="AA33" i="188"/>
  <c r="BV33" i="188"/>
  <c r="BD33" i="188"/>
  <c r="AN33" i="188"/>
  <c r="Z33" i="188"/>
  <c r="BU33" i="188"/>
  <c r="BC33" i="188"/>
  <c r="AM33" i="188"/>
  <c r="Y33" i="188"/>
  <c r="BN33" i="188"/>
  <c r="AR33" i="188"/>
  <c r="Q33" i="188"/>
  <c r="AJ33" i="188"/>
  <c r="AE33" i="188"/>
  <c r="BB33" i="188"/>
  <c r="BM33" i="188"/>
  <c r="AL33" i="188"/>
  <c r="BL33" i="188"/>
  <c r="BK33" i="188"/>
  <c r="CC33" i="188"/>
  <c r="AD33" i="188"/>
  <c r="CB33" i="188"/>
  <c r="AZ33" i="188"/>
  <c r="AB33" i="188"/>
  <c r="BO33" i="188"/>
  <c r="AW33" i="188"/>
  <c r="AV33" i="188"/>
  <c r="S33" i="188"/>
  <c r="R33" i="188"/>
  <c r="BX33" i="188"/>
  <c r="CB53" i="188"/>
  <c r="BT53" i="188"/>
  <c r="BL53" i="188"/>
  <c r="BD53" i="188"/>
  <c r="AV53" i="188"/>
  <c r="AN53" i="188"/>
  <c r="AF53" i="188"/>
  <c r="X53" i="188"/>
  <c r="BY53" i="188"/>
  <c r="BP53" i="188"/>
  <c r="BG53" i="188"/>
  <c r="AX53" i="188"/>
  <c r="AO53" i="188"/>
  <c r="AE53" i="188"/>
  <c r="V53" i="188"/>
  <c r="BX53" i="188"/>
  <c r="BO53" i="188"/>
  <c r="BF53" i="188"/>
  <c r="AW53" i="188"/>
  <c r="AM53" i="188"/>
  <c r="AD53" i="188"/>
  <c r="U53" i="188"/>
  <c r="BV53" i="188"/>
  <c r="BJ53" i="188"/>
  <c r="AY53" i="188"/>
  <c r="AK53" i="188"/>
  <c r="Z53" i="188"/>
  <c r="BR53" i="188"/>
  <c r="BC53" i="188"/>
  <c r="AQ53" i="188"/>
  <c r="AB53" i="188"/>
  <c r="BQ53" i="188"/>
  <c r="BB53" i="188"/>
  <c r="AP53" i="188"/>
  <c r="AA53" i="188"/>
  <c r="CC53" i="188"/>
  <c r="BN53" i="188"/>
  <c r="BA53" i="188"/>
  <c r="AL53" i="188"/>
  <c r="Y53" i="188"/>
  <c r="BZ53" i="188"/>
  <c r="BE53" i="188"/>
  <c r="AH53" i="188"/>
  <c r="BW53" i="188"/>
  <c r="AZ53" i="188"/>
  <c r="AG53" i="188"/>
  <c r="AU53" i="188"/>
  <c r="T53" i="188"/>
  <c r="CA53" i="188"/>
  <c r="AT53" i="188"/>
  <c r="S53" i="188"/>
  <c r="BU53" i="188"/>
  <c r="AS53" i="188"/>
  <c r="R53" i="188"/>
  <c r="BS53" i="188"/>
  <c r="AC53" i="188"/>
  <c r="BK53" i="188"/>
  <c r="Q53" i="188"/>
  <c r="BM53" i="188"/>
  <c r="W53" i="188"/>
  <c r="BI53" i="188"/>
  <c r="BH53" i="188"/>
  <c r="AR53" i="188"/>
  <c r="AI53" i="188"/>
  <c r="AJ53" i="188"/>
  <c r="BW38" i="188"/>
  <c r="BO38" i="188"/>
  <c r="BG38" i="188"/>
  <c r="AY38" i="188"/>
  <c r="AQ38" i="188"/>
  <c r="AI38" i="188"/>
  <c r="AA38" i="188"/>
  <c r="S38" i="188"/>
  <c r="BV38" i="188"/>
  <c r="BM38" i="188"/>
  <c r="BD38" i="188"/>
  <c r="AU38" i="188"/>
  <c r="AL38" i="188"/>
  <c r="AC38" i="188"/>
  <c r="T38" i="188"/>
  <c r="BU38" i="188"/>
  <c r="BL38" i="188"/>
  <c r="BC38" i="188"/>
  <c r="AT38" i="188"/>
  <c r="AK38" i="188"/>
  <c r="AB38" i="188"/>
  <c r="R38" i="188"/>
  <c r="BY38" i="188"/>
  <c r="BK38" i="188"/>
  <c r="AZ38" i="188"/>
  <c r="AN38" i="188"/>
  <c r="Z38" i="188"/>
  <c r="BX38" i="188"/>
  <c r="BJ38" i="188"/>
  <c r="AX38" i="188"/>
  <c r="AM38" i="188"/>
  <c r="Y38" i="188"/>
  <c r="BZ38" i="188"/>
  <c r="BH38" i="188"/>
  <c r="AR38" i="188"/>
  <c r="AD38" i="188"/>
  <c r="BT38" i="188"/>
  <c r="BF38" i="188"/>
  <c r="AP38" i="188"/>
  <c r="X38" i="188"/>
  <c r="BS38" i="188"/>
  <c r="BE38" i="188"/>
  <c r="AO38" i="188"/>
  <c r="W38" i="188"/>
  <c r="CB38" i="188"/>
  <c r="BA38" i="188"/>
  <c r="AE38" i="188"/>
  <c r="CA38" i="188"/>
  <c r="BR38" i="188"/>
  <c r="AV38" i="188"/>
  <c r="U38" i="188"/>
  <c r="BQ38" i="188"/>
  <c r="Q38" i="188"/>
  <c r="AJ38" i="188"/>
  <c r="AW38" i="188"/>
  <c r="V38" i="188"/>
  <c r="AS38" i="188"/>
  <c r="BP38" i="188"/>
  <c r="BN38" i="188"/>
  <c r="AH38" i="188"/>
  <c r="BB38" i="188"/>
  <c r="AG38" i="188"/>
  <c r="AF38" i="188"/>
  <c r="CC38" i="188"/>
  <c r="BI38" i="188"/>
  <c r="CC19" i="188"/>
  <c r="BU19" i="188"/>
  <c r="BM19" i="188"/>
  <c r="BE19" i="188"/>
  <c r="AW19" i="188"/>
  <c r="AO19" i="188"/>
  <c r="AG19" i="188"/>
  <c r="Y19" i="188"/>
  <c r="Q19" i="188"/>
  <c r="BX19" i="188"/>
  <c r="BO19" i="188"/>
  <c r="BF19" i="188"/>
  <c r="AV19" i="188"/>
  <c r="AM19" i="188"/>
  <c r="AD19" i="188"/>
  <c r="U19" i="188"/>
  <c r="BW19" i="188"/>
  <c r="BN19" i="188"/>
  <c r="BD19" i="188"/>
  <c r="AU19" i="188"/>
  <c r="AL19" i="188"/>
  <c r="AC19" i="188"/>
  <c r="T19" i="188"/>
  <c r="BV19" i="188"/>
  <c r="BJ19" i="188"/>
  <c r="AY19" i="188"/>
  <c r="AK19" i="188"/>
  <c r="Z19" i="188"/>
  <c r="BT19" i="188"/>
  <c r="BI19" i="188"/>
  <c r="AX19" i="188"/>
  <c r="AJ19" i="188"/>
  <c r="X19" i="188"/>
  <c r="BH19" i="188"/>
  <c r="AT19" i="188"/>
  <c r="AI19" i="188"/>
  <c r="W19" i="188"/>
  <c r="BS19" i="188"/>
  <c r="CA19" i="188"/>
  <c r="BG19" i="188"/>
  <c r="AP19" i="188"/>
  <c r="S19" i="188"/>
  <c r="BZ19" i="188"/>
  <c r="AN19" i="188"/>
  <c r="R19" i="188"/>
  <c r="BB19" i="188"/>
  <c r="AH19" i="188"/>
  <c r="BQ19" i="188"/>
  <c r="AZ19" i="188"/>
  <c r="BC19" i="188"/>
  <c r="BY19" i="188"/>
  <c r="BR19" i="188"/>
  <c r="BA19" i="188"/>
  <c r="AF19" i="188"/>
  <c r="AE19" i="188"/>
  <c r="BK19" i="188"/>
  <c r="AS19" i="188"/>
  <c r="AR19" i="188"/>
  <c r="AQ19" i="188"/>
  <c r="AB19" i="188"/>
  <c r="CB19" i="188"/>
  <c r="AA19" i="188"/>
  <c r="BP19" i="188"/>
  <c r="V19" i="188"/>
  <c r="BL19" i="188"/>
  <c r="BY41" i="188"/>
  <c r="BQ41" i="188"/>
  <c r="BI41" i="188"/>
  <c r="BA41" i="188"/>
  <c r="AS41" i="188"/>
  <c r="AK41" i="188"/>
  <c r="AC41" i="188"/>
  <c r="U41" i="188"/>
  <c r="CC41" i="188"/>
  <c r="BT41" i="188"/>
  <c r="BK41" i="188"/>
  <c r="BB41" i="188"/>
  <c r="AR41" i="188"/>
  <c r="AI41" i="188"/>
  <c r="Z41" i="188"/>
  <c r="Q41" i="188"/>
  <c r="CB41" i="188"/>
  <c r="BS41" i="188"/>
  <c r="BJ41" i="188"/>
  <c r="AZ41" i="188"/>
  <c r="AQ41" i="188"/>
  <c r="AH41" i="188"/>
  <c r="Y41" i="188"/>
  <c r="BV41" i="188"/>
  <c r="BH41" i="188"/>
  <c r="AW41" i="188"/>
  <c r="AL41" i="188"/>
  <c r="X41" i="188"/>
  <c r="BU41" i="188"/>
  <c r="BG41" i="188"/>
  <c r="AV41" i="188"/>
  <c r="AJ41" i="188"/>
  <c r="W41" i="188"/>
  <c r="BZ41" i="188"/>
  <c r="BL41" i="188"/>
  <c r="AT41" i="188"/>
  <c r="AD41" i="188"/>
  <c r="BX41" i="188"/>
  <c r="BF41" i="188"/>
  <c r="AP41" i="188"/>
  <c r="AB41" i="188"/>
  <c r="BW41" i="188"/>
  <c r="BE41" i="188"/>
  <c r="AO41" i="188"/>
  <c r="AA41" i="188"/>
  <c r="BD41" i="188"/>
  <c r="AF41" i="188"/>
  <c r="CA41" i="188"/>
  <c r="AY41" i="188"/>
  <c r="V41" i="188"/>
  <c r="BR41" i="188"/>
  <c r="T41" i="188"/>
  <c r="BP41" i="188"/>
  <c r="S41" i="188"/>
  <c r="BC41" i="188"/>
  <c r="AE41" i="188"/>
  <c r="AX41" i="188"/>
  <c r="AU41" i="188"/>
  <c r="BO41" i="188"/>
  <c r="AN41" i="188"/>
  <c r="R41" i="188"/>
  <c r="BN41" i="188"/>
  <c r="BM41" i="188"/>
  <c r="AM41" i="188"/>
  <c r="AG41" i="188"/>
  <c r="CC23" i="188"/>
  <c r="BU23" i="188"/>
  <c r="BM23" i="188"/>
  <c r="BE23" i="188"/>
  <c r="AW23" i="188"/>
  <c r="AO23" i="188"/>
  <c r="AG23" i="188"/>
  <c r="Y23" i="188"/>
  <c r="Q23" i="188"/>
  <c r="BZ23" i="188"/>
  <c r="BQ23" i="188"/>
  <c r="BH23" i="188"/>
  <c r="AY23" i="188"/>
  <c r="AP23" i="188"/>
  <c r="AF23" i="188"/>
  <c r="W23" i="188"/>
  <c r="BV23" i="188"/>
  <c r="BK23" i="188"/>
  <c r="BA23" i="188"/>
  <c r="AQ23" i="188"/>
  <c r="AE23" i="188"/>
  <c r="U23" i="188"/>
  <c r="BT23" i="188"/>
  <c r="BJ23" i="188"/>
  <c r="AZ23" i="188"/>
  <c r="AN23" i="188"/>
  <c r="AD23" i="188"/>
  <c r="T23" i="188"/>
  <c r="BS23" i="188"/>
  <c r="BF23" i="188"/>
  <c r="AS23" i="188"/>
  <c r="AC23" i="188"/>
  <c r="BR23" i="188"/>
  <c r="BD23" i="188"/>
  <c r="AR23" i="188"/>
  <c r="AB23" i="188"/>
  <c r="AM23" i="188"/>
  <c r="BP23" i="188"/>
  <c r="BC23" i="188"/>
  <c r="AA23" i="188"/>
  <c r="BY23" i="188"/>
  <c r="BB23" i="188"/>
  <c r="AI23" i="188"/>
  <c r="BW23" i="188"/>
  <c r="AV23" i="188"/>
  <c r="Z23" i="188"/>
  <c r="BN23" i="188"/>
  <c r="AT23" i="188"/>
  <c r="BX23" i="188"/>
  <c r="AX23" i="188"/>
  <c r="AH23" i="188"/>
  <c r="BO23" i="188"/>
  <c r="AU23" i="188"/>
  <c r="X23" i="188"/>
  <c r="V23" i="188"/>
  <c r="AJ23" i="188"/>
  <c r="CB23" i="188"/>
  <c r="S23" i="188"/>
  <c r="BI23" i="188"/>
  <c r="CA23" i="188"/>
  <c r="R23" i="188"/>
  <c r="BL23" i="188"/>
  <c r="BG23" i="188"/>
  <c r="AL23" i="188"/>
  <c r="AK23" i="188"/>
  <c r="BX55" i="188"/>
  <c r="BP55" i="188"/>
  <c r="BH55" i="188"/>
  <c r="AZ55" i="188"/>
  <c r="AR55" i="188"/>
  <c r="AJ55" i="188"/>
  <c r="AB55" i="188"/>
  <c r="T55" i="188"/>
  <c r="BV55" i="188"/>
  <c r="BM55" i="188"/>
  <c r="BD55" i="188"/>
  <c r="AU55" i="188"/>
  <c r="AL55" i="188"/>
  <c r="AC55" i="188"/>
  <c r="S55" i="188"/>
  <c r="BU55" i="188"/>
  <c r="BL55" i="188"/>
  <c r="BC55" i="188"/>
  <c r="AT55" i="188"/>
  <c r="AK55" i="188"/>
  <c r="AA55" i="188"/>
  <c r="R55" i="188"/>
  <c r="CC55" i="188"/>
  <c r="BR55" i="188"/>
  <c r="BF55" i="188"/>
  <c r="AS55" i="188"/>
  <c r="AG55" i="188"/>
  <c r="V55" i="188"/>
  <c r="BS55" i="188"/>
  <c r="BE55" i="188"/>
  <c r="AP55" i="188"/>
  <c r="AD55" i="188"/>
  <c r="BQ55" i="188"/>
  <c r="BB55" i="188"/>
  <c r="AO55" i="188"/>
  <c r="Z55" i="188"/>
  <c r="CB55" i="188"/>
  <c r="BO55" i="188"/>
  <c r="BA55" i="188"/>
  <c r="AN55" i="188"/>
  <c r="Y55" i="188"/>
  <c r="CA55" i="188"/>
  <c r="BI55" i="188"/>
  <c r="AI55" i="188"/>
  <c r="BZ55" i="188"/>
  <c r="BG55" i="188"/>
  <c r="AH55" i="188"/>
  <c r="BW55" i="188"/>
  <c r="AV55" i="188"/>
  <c r="Q55" i="188"/>
  <c r="BT55" i="188"/>
  <c r="AQ55" i="188"/>
  <c r="BN55" i="188"/>
  <c r="AM55" i="188"/>
  <c r="AY55" i="188"/>
  <c r="AW55" i="188"/>
  <c r="AE55" i="188"/>
  <c r="AX55" i="188"/>
  <c r="AF55" i="188"/>
  <c r="BY55" i="188"/>
  <c r="X55" i="188"/>
  <c r="W55" i="188"/>
  <c r="U55" i="188"/>
  <c r="BK55" i="188"/>
  <c r="BJ55" i="188"/>
  <c r="CB57" i="188"/>
  <c r="BT57" i="188"/>
  <c r="BL57" i="188"/>
  <c r="BD57" i="188"/>
  <c r="AV57" i="188"/>
  <c r="AN57" i="188"/>
  <c r="AF57" i="188"/>
  <c r="X57" i="188"/>
  <c r="CA57" i="188"/>
  <c r="BR57" i="188"/>
  <c r="BI57" i="188"/>
  <c r="AZ57" i="188"/>
  <c r="AQ57" i="188"/>
  <c r="AH57" i="188"/>
  <c r="Y57" i="188"/>
  <c r="BZ57" i="188"/>
  <c r="BQ57" i="188"/>
  <c r="BH57" i="188"/>
  <c r="BV57" i="188"/>
  <c r="BJ57" i="188"/>
  <c r="AX57" i="188"/>
  <c r="AM57" i="188"/>
  <c r="AC57" i="188"/>
  <c r="S57" i="188"/>
  <c r="BU57" i="188"/>
  <c r="BG57" i="188"/>
  <c r="AW57" i="188"/>
  <c r="AL57" i="188"/>
  <c r="AB57" i="188"/>
  <c r="R57" i="188"/>
  <c r="BX57" i="188"/>
  <c r="BF57" i="188"/>
  <c r="AS57" i="188"/>
  <c r="AE57" i="188"/>
  <c r="Q57" i="188"/>
  <c r="BN57" i="188"/>
  <c r="AU57" i="188"/>
  <c r="AG57" i="188"/>
  <c r="BM57" i="188"/>
  <c r="AT57" i="188"/>
  <c r="AD57" i="188"/>
  <c r="CC57" i="188"/>
  <c r="BK57" i="188"/>
  <c r="AR57" i="188"/>
  <c r="AA57" i="188"/>
  <c r="BB57" i="188"/>
  <c r="Z57" i="188"/>
  <c r="BY57" i="188"/>
  <c r="BA57" i="188"/>
  <c r="W57" i="188"/>
  <c r="BC57" i="188"/>
  <c r="U57" i="188"/>
  <c r="AY57" i="188"/>
  <c r="T57" i="188"/>
  <c r="AP57" i="188"/>
  <c r="BE57" i="188"/>
  <c r="AK57" i="188"/>
  <c r="AO57" i="188"/>
  <c r="AJ57" i="188"/>
  <c r="BW57" i="188"/>
  <c r="AI57" i="188"/>
  <c r="BS57" i="188"/>
  <c r="V57" i="188"/>
  <c r="BO57" i="188"/>
  <c r="BP57" i="188"/>
  <c r="CB12" i="188"/>
  <c r="BT12" i="188"/>
  <c r="BL12" i="188"/>
  <c r="BD12" i="188"/>
  <c r="AV12" i="188"/>
  <c r="AN12" i="188"/>
  <c r="AF12" i="188"/>
  <c r="X12" i="188"/>
  <c r="CA12" i="188"/>
  <c r="BS12" i="188"/>
  <c r="BK12" i="188"/>
  <c r="BC12" i="188"/>
  <c r="AU12" i="188"/>
  <c r="AM12" i="188"/>
  <c r="AE12" i="188"/>
  <c r="W12" i="188"/>
  <c r="BY12" i="188"/>
  <c r="BO12" i="188"/>
  <c r="BE12" i="188"/>
  <c r="AS12" i="188"/>
  <c r="AI12" i="188"/>
  <c r="Y12" i="188"/>
  <c r="BX12" i="188"/>
  <c r="BN12" i="188"/>
  <c r="BB12" i="188"/>
  <c r="AR12" i="188"/>
  <c r="AH12" i="188"/>
  <c r="V12" i="188"/>
  <c r="BW12" i="188"/>
  <c r="BM12" i="188"/>
  <c r="BA12" i="188"/>
  <c r="AQ12" i="188"/>
  <c r="AG12" i="188"/>
  <c r="U12" i="188"/>
  <c r="BP12" i="188"/>
  <c r="AX12" i="188"/>
  <c r="AD12" i="188"/>
  <c r="Q12" i="188"/>
  <c r="BJ12" i="188"/>
  <c r="AW12" i="188"/>
  <c r="AC12" i="188"/>
  <c r="BI12" i="188"/>
  <c r="AB12" i="188"/>
  <c r="BZ12" i="188"/>
  <c r="BH12" i="188"/>
  <c r="AP12" i="188"/>
  <c r="BV12" i="188"/>
  <c r="AO12" i="188"/>
  <c r="Z12" i="188"/>
  <c r="CC12" i="188"/>
  <c r="AT12" i="188"/>
  <c r="AA12" i="188"/>
  <c r="BG12" i="188"/>
  <c r="AZ12" i="188"/>
  <c r="AY12" i="188"/>
  <c r="AL12" i="188"/>
  <c r="AK12" i="188"/>
  <c r="AJ12" i="188"/>
  <c r="BU12" i="188"/>
  <c r="BR12" i="188"/>
  <c r="BQ12" i="188"/>
  <c r="S12" i="188"/>
  <c r="BF12" i="188"/>
  <c r="T12" i="188"/>
  <c r="R12" i="188"/>
  <c r="CA40" i="188"/>
  <c r="BS40" i="188"/>
  <c r="BK40" i="188"/>
  <c r="BC40" i="188"/>
  <c r="AU40" i="188"/>
  <c r="AM40" i="188"/>
  <c r="AE40" i="188"/>
  <c r="W40" i="188"/>
  <c r="BU40" i="188"/>
  <c r="BL40" i="188"/>
  <c r="BB40" i="188"/>
  <c r="AS40" i="188"/>
  <c r="AJ40" i="188"/>
  <c r="AA40" i="188"/>
  <c r="R40" i="188"/>
  <c r="CC40" i="188"/>
  <c r="BT40" i="188"/>
  <c r="BJ40" i="188"/>
  <c r="BA40" i="188"/>
  <c r="AR40" i="188"/>
  <c r="AI40" i="188"/>
  <c r="Z40" i="188"/>
  <c r="Q40" i="188"/>
  <c r="BW40" i="188"/>
  <c r="BI40" i="188"/>
  <c r="AX40" i="188"/>
  <c r="AL40" i="188"/>
  <c r="Y40" i="188"/>
  <c r="BV40" i="188"/>
  <c r="BH40" i="188"/>
  <c r="AW40" i="188"/>
  <c r="AK40" i="188"/>
  <c r="X40" i="188"/>
  <c r="BR40" i="188"/>
  <c r="BE40" i="188"/>
  <c r="AO40" i="188"/>
  <c r="V40" i="188"/>
  <c r="BQ40" i="188"/>
  <c r="BD40" i="188"/>
  <c r="AN40" i="188"/>
  <c r="U40" i="188"/>
  <c r="AZ40" i="188"/>
  <c r="BP40" i="188"/>
  <c r="AH40" i="188"/>
  <c r="T40" i="188"/>
  <c r="BG40" i="188"/>
  <c r="AF40" i="188"/>
  <c r="BZ40" i="188"/>
  <c r="AY40" i="188"/>
  <c r="AC40" i="188"/>
  <c r="AV40" i="188"/>
  <c r="AT40" i="188"/>
  <c r="CB40" i="188"/>
  <c r="BF40" i="188"/>
  <c r="AD40" i="188"/>
  <c r="BY40" i="188"/>
  <c r="BX40" i="188"/>
  <c r="S40" i="188"/>
  <c r="AB40" i="188"/>
  <c r="BO40" i="188"/>
  <c r="AQ40" i="188"/>
  <c r="BN40" i="188"/>
  <c r="AP40" i="188"/>
  <c r="BM40" i="188"/>
  <c r="AG40" i="188"/>
  <c r="BY61" i="188"/>
  <c r="BQ61" i="188"/>
  <c r="BI61" i="188"/>
  <c r="CC61" i="188"/>
  <c r="BT61" i="188"/>
  <c r="BK61" i="188"/>
  <c r="BB61" i="188"/>
  <c r="AT61" i="188"/>
  <c r="AL61" i="188"/>
  <c r="AD61" i="188"/>
  <c r="V61" i="188"/>
  <c r="BS61" i="188"/>
  <c r="BH61" i="188"/>
  <c r="AY61" i="188"/>
  <c r="AP61" i="188"/>
  <c r="AG61" i="188"/>
  <c r="X61" i="188"/>
  <c r="BU61" i="188"/>
  <c r="BG61" i="188"/>
  <c r="AW61" i="188"/>
  <c r="AM61" i="188"/>
  <c r="AB61" i="188"/>
  <c r="R61" i="188"/>
  <c r="BR61" i="188"/>
  <c r="BF61" i="188"/>
  <c r="AV61" i="188"/>
  <c r="AK61" i="188"/>
  <c r="AA61" i="188"/>
  <c r="Q61" i="188"/>
  <c r="BO61" i="188"/>
  <c r="BA61" i="188"/>
  <c r="AN61" i="188"/>
  <c r="Y61" i="188"/>
  <c r="CB61" i="188"/>
  <c r="BN61" i="188"/>
  <c r="AZ61" i="188"/>
  <c r="AJ61" i="188"/>
  <c r="W61" i="188"/>
  <c r="BM61" i="188"/>
  <c r="AS61" i="188"/>
  <c r="AC61" i="188"/>
  <c r="BZ61" i="188"/>
  <c r="BD61" i="188"/>
  <c r="AH61" i="188"/>
  <c r="BX61" i="188"/>
  <c r="BC61" i="188"/>
  <c r="AF61" i="188"/>
  <c r="BW61" i="188"/>
  <c r="AX61" i="188"/>
  <c r="AE61" i="188"/>
  <c r="BJ61" i="188"/>
  <c r="U61" i="188"/>
  <c r="BE61" i="188"/>
  <c r="T61" i="188"/>
  <c r="CA61" i="188"/>
  <c r="AI61" i="188"/>
  <c r="BV61" i="188"/>
  <c r="Z61" i="188"/>
  <c r="BP61" i="188"/>
  <c r="S61" i="188"/>
  <c r="AU61" i="188"/>
  <c r="AQ61" i="188"/>
  <c r="AO61" i="188"/>
  <c r="AR61" i="188"/>
  <c r="BL61" i="188"/>
  <c r="BY21" i="188"/>
  <c r="BQ21" i="188"/>
  <c r="BI21" i="188"/>
  <c r="BA21" i="188"/>
  <c r="AS21" i="188"/>
  <c r="AK21" i="188"/>
  <c r="AC21" i="188"/>
  <c r="U21" i="188"/>
  <c r="CB21" i="188"/>
  <c r="BS21" i="188"/>
  <c r="BJ21" i="188"/>
  <c r="AZ21" i="188"/>
  <c r="AQ21" i="188"/>
  <c r="AH21" i="188"/>
  <c r="Y21" i="188"/>
  <c r="BW21" i="188"/>
  <c r="BM21" i="188"/>
  <c r="BC21" i="188"/>
  <c r="AR21" i="188"/>
  <c r="AG21" i="188"/>
  <c r="W21" i="188"/>
  <c r="BV21" i="188"/>
  <c r="BL21" i="188"/>
  <c r="BB21" i="188"/>
  <c r="AP21" i="188"/>
  <c r="AF21" i="188"/>
  <c r="V21" i="188"/>
  <c r="BP21" i="188"/>
  <c r="BD21" i="188"/>
  <c r="AN21" i="188"/>
  <c r="AA21" i="188"/>
  <c r="CC21" i="188"/>
  <c r="BO21" i="188"/>
  <c r="AY21" i="188"/>
  <c r="AM21" i="188"/>
  <c r="Z21" i="188"/>
  <c r="CA21" i="188"/>
  <c r="AX21" i="188"/>
  <c r="AL21" i="188"/>
  <c r="X21" i="188"/>
  <c r="BN21" i="188"/>
  <c r="BT21" i="188"/>
  <c r="AV21" i="188"/>
  <c r="AB21" i="188"/>
  <c r="T21" i="188"/>
  <c r="AT21" i="188"/>
  <c r="S21" i="188"/>
  <c r="AO21" i="188"/>
  <c r="BG21" i="188"/>
  <c r="AJ21" i="188"/>
  <c r="BR21" i="188"/>
  <c r="AU21" i="188"/>
  <c r="BK21" i="188"/>
  <c r="BH21" i="188"/>
  <c r="R21" i="188"/>
  <c r="Q21" i="188"/>
  <c r="BU21" i="188"/>
  <c r="BF21" i="188"/>
  <c r="BE21" i="188"/>
  <c r="AW21" i="188"/>
  <c r="AI21" i="188"/>
  <c r="AE21" i="188"/>
  <c r="BZ21" i="188"/>
  <c r="AD21" i="188"/>
  <c r="BX21" i="188"/>
  <c r="BX46" i="188"/>
  <c r="BP46" i="188"/>
  <c r="BH46" i="188"/>
  <c r="AZ46" i="188"/>
  <c r="AR46" i="188"/>
  <c r="AJ46" i="188"/>
  <c r="AB46" i="188"/>
  <c r="T46" i="188"/>
  <c r="BW46" i="188"/>
  <c r="BO46" i="188"/>
  <c r="BG46" i="188"/>
  <c r="AY46" i="188"/>
  <c r="AQ46" i="188"/>
  <c r="AI46" i="188"/>
  <c r="AA46" i="188"/>
  <c r="S46" i="188"/>
  <c r="BV46" i="188"/>
  <c r="BL46" i="188"/>
  <c r="BB46" i="188"/>
  <c r="AP46" i="188"/>
  <c r="AF46" i="188"/>
  <c r="V46" i="188"/>
  <c r="CB46" i="188"/>
  <c r="BQ46" i="188"/>
  <c r="BD46" i="188"/>
  <c r="AS46" i="188"/>
  <c r="AE46" i="188"/>
  <c r="R46" i="188"/>
  <c r="CA46" i="188"/>
  <c r="BN46" i="188"/>
  <c r="BC46" i="188"/>
  <c r="AO46" i="188"/>
  <c r="AD46" i="188"/>
  <c r="Q46" i="188"/>
  <c r="BS46" i="188"/>
  <c r="BA46" i="188"/>
  <c r="AL46" i="188"/>
  <c r="W46" i="188"/>
  <c r="BR46" i="188"/>
  <c r="AX46" i="188"/>
  <c r="AK46" i="188"/>
  <c r="U46" i="188"/>
  <c r="BM46" i="188"/>
  <c r="AU46" i="188"/>
  <c r="Y46" i="188"/>
  <c r="BK46" i="188"/>
  <c r="AT46" i="188"/>
  <c r="X46" i="188"/>
  <c r="BJ46" i="188"/>
  <c r="AN46" i="188"/>
  <c r="CC46" i="188"/>
  <c r="AW46" i="188"/>
  <c r="BY46" i="188"/>
  <c r="AM46" i="188"/>
  <c r="BU46" i="188"/>
  <c r="BT46" i="188"/>
  <c r="AG46" i="188"/>
  <c r="BZ46" i="188"/>
  <c r="AV46" i="188"/>
  <c r="AH46" i="188"/>
  <c r="BI46" i="188"/>
  <c r="AC46" i="188"/>
  <c r="Z46" i="188"/>
  <c r="BF46" i="188"/>
  <c r="BE46" i="188"/>
  <c r="BZ54" i="188"/>
  <c r="BR54" i="188"/>
  <c r="BJ54" i="188"/>
  <c r="BB54" i="188"/>
  <c r="AT54" i="188"/>
  <c r="AL54" i="188"/>
  <c r="AD54" i="188"/>
  <c r="V54" i="188"/>
  <c r="BX54" i="188"/>
  <c r="BO54" i="188"/>
  <c r="BF54" i="188"/>
  <c r="AW54" i="188"/>
  <c r="AN54" i="188"/>
  <c r="AE54" i="188"/>
  <c r="U54" i="188"/>
  <c r="BW54" i="188"/>
  <c r="BN54" i="188"/>
  <c r="BE54" i="188"/>
  <c r="AV54" i="188"/>
  <c r="AM54" i="188"/>
  <c r="AC54" i="188"/>
  <c r="T54" i="188"/>
  <c r="BT54" i="188"/>
  <c r="BH54" i="188"/>
  <c r="AU54" i="188"/>
  <c r="AI54" i="188"/>
  <c r="X54" i="188"/>
  <c r="BY54" i="188"/>
  <c r="BK54" i="188"/>
  <c r="AX54" i="188"/>
  <c r="AH54" i="188"/>
  <c r="S54" i="188"/>
  <c r="BV54" i="188"/>
  <c r="BI54" i="188"/>
  <c r="AS54" i="188"/>
  <c r="AG54" i="188"/>
  <c r="R54" i="188"/>
  <c r="BU54" i="188"/>
  <c r="BG54" i="188"/>
  <c r="AR54" i="188"/>
  <c r="AF54" i="188"/>
  <c r="Q54" i="188"/>
  <c r="BP54" i="188"/>
  <c r="AQ54" i="188"/>
  <c r="Y54" i="188"/>
  <c r="BM54" i="188"/>
  <c r="AP54" i="188"/>
  <c r="W54" i="188"/>
  <c r="BL54" i="188"/>
  <c r="AJ54" i="188"/>
  <c r="BD54" i="188"/>
  <c r="AB54" i="188"/>
  <c r="BC54" i="188"/>
  <c r="AA54" i="188"/>
  <c r="AY54" i="188"/>
  <c r="CB54" i="188"/>
  <c r="AK54" i="188"/>
  <c r="CC54" i="188"/>
  <c r="AO54" i="188"/>
  <c r="CA54" i="188"/>
  <c r="Z54" i="188"/>
  <c r="BS54" i="188"/>
  <c r="BQ54" i="188"/>
  <c r="BA54" i="188"/>
  <c r="AZ54" i="188"/>
  <c r="BZ50" i="188"/>
  <c r="BR50" i="188"/>
  <c r="BJ50" i="188"/>
  <c r="BB50" i="188"/>
  <c r="AT50" i="188"/>
  <c r="AL50" i="188"/>
  <c r="AD50" i="188"/>
  <c r="V50" i="188"/>
  <c r="CC50" i="188"/>
  <c r="BT50" i="188"/>
  <c r="BK50" i="188"/>
  <c r="BA50" i="188"/>
  <c r="AR50" i="188"/>
  <c r="AI50" i="188"/>
  <c r="Z50" i="188"/>
  <c r="Q50" i="188"/>
  <c r="CB50" i="188"/>
  <c r="BS50" i="188"/>
  <c r="BI50" i="188"/>
  <c r="AZ50" i="188"/>
  <c r="AQ50" i="188"/>
  <c r="AH50" i="188"/>
  <c r="Y50" i="188"/>
  <c r="CA50" i="188"/>
  <c r="BO50" i="188"/>
  <c r="BD50" i="188"/>
  <c r="AP50" i="188"/>
  <c r="AE50" i="188"/>
  <c r="S50" i="188"/>
  <c r="BU50" i="188"/>
  <c r="BF50" i="188"/>
  <c r="AS50" i="188"/>
  <c r="AC50" i="188"/>
  <c r="BQ50" i="188"/>
  <c r="BE50" i="188"/>
  <c r="AO50" i="188"/>
  <c r="AB50" i="188"/>
  <c r="BP50" i="188"/>
  <c r="BC50" i="188"/>
  <c r="AN50" i="188"/>
  <c r="AA50" i="188"/>
  <c r="BH50" i="188"/>
  <c r="AK50" i="188"/>
  <c r="R50" i="188"/>
  <c r="BY50" i="188"/>
  <c r="BG50" i="188"/>
  <c r="AJ50" i="188"/>
  <c r="BW50" i="188"/>
  <c r="AV50" i="188"/>
  <c r="T50" i="188"/>
  <c r="BV50" i="188"/>
  <c r="AU50" i="188"/>
  <c r="BN50" i="188"/>
  <c r="AM50" i="188"/>
  <c r="BX50" i="188"/>
  <c r="X50" i="188"/>
  <c r="BL50" i="188"/>
  <c r="U50" i="188"/>
  <c r="AY50" i="188"/>
  <c r="AX50" i="188"/>
  <c r="BM50" i="188"/>
  <c r="W50" i="188"/>
  <c r="AW50" i="188"/>
  <c r="AG50" i="188"/>
  <c r="AF50" i="188"/>
  <c r="CB44" i="188"/>
  <c r="BT44" i="188"/>
  <c r="BL44" i="188"/>
  <c r="BD44" i="188"/>
  <c r="CA44" i="188"/>
  <c r="BS44" i="188"/>
  <c r="BW44" i="188"/>
  <c r="BM44" i="188"/>
  <c r="BC44" i="188"/>
  <c r="AU44" i="188"/>
  <c r="AM44" i="188"/>
  <c r="AE44" i="188"/>
  <c r="W44" i="188"/>
  <c r="BU44" i="188"/>
  <c r="BI44" i="188"/>
  <c r="AY44" i="188"/>
  <c r="AP44" i="188"/>
  <c r="AG44" i="188"/>
  <c r="X44" i="188"/>
  <c r="BR44" i="188"/>
  <c r="BH44" i="188"/>
  <c r="AX44" i="188"/>
  <c r="AO44" i="188"/>
  <c r="AF44" i="188"/>
  <c r="V44" i="188"/>
  <c r="BX44" i="188"/>
  <c r="BG44" i="188"/>
  <c r="AT44" i="188"/>
  <c r="AI44" i="188"/>
  <c r="U44" i="188"/>
  <c r="BV44" i="188"/>
  <c r="BF44" i="188"/>
  <c r="AS44" i="188"/>
  <c r="AH44" i="188"/>
  <c r="T44" i="188"/>
  <c r="BO44" i="188"/>
  <c r="AW44" i="188"/>
  <c r="AD44" i="188"/>
  <c r="Q44" i="188"/>
  <c r="BN44" i="188"/>
  <c r="AV44" i="188"/>
  <c r="AC44" i="188"/>
  <c r="BK44" i="188"/>
  <c r="AR44" i="188"/>
  <c r="AB44" i="188"/>
  <c r="BP44" i="188"/>
  <c r="AL44" i="188"/>
  <c r="BE44" i="188"/>
  <c r="AJ44" i="188"/>
  <c r="AA44" i="188"/>
  <c r="BA44" i="188"/>
  <c r="Z44" i="188"/>
  <c r="BJ44" i="188"/>
  <c r="AK44" i="188"/>
  <c r="BB44" i="188"/>
  <c r="CC44" i="188"/>
  <c r="BZ44" i="188"/>
  <c r="AZ44" i="188"/>
  <c r="Y44" i="188"/>
  <c r="BY44" i="188"/>
  <c r="BQ44" i="188"/>
  <c r="AQ44" i="188"/>
  <c r="AN44" i="188"/>
  <c r="S44" i="188"/>
  <c r="R44" i="188"/>
  <c r="BX59" i="188"/>
  <c r="BP59" i="188"/>
  <c r="BH59" i="188"/>
  <c r="AZ59" i="188"/>
  <c r="AR59" i="188"/>
  <c r="AJ59" i="188"/>
  <c r="AB59" i="188"/>
  <c r="T59" i="188"/>
  <c r="BY59" i="188"/>
  <c r="BO59" i="188"/>
  <c r="BF59" i="188"/>
  <c r="AW59" i="188"/>
  <c r="AN59" i="188"/>
  <c r="AE59" i="188"/>
  <c r="V59" i="188"/>
  <c r="BW59" i="188"/>
  <c r="BN59" i="188"/>
  <c r="BE59" i="188"/>
  <c r="AV59" i="188"/>
  <c r="AM59" i="188"/>
  <c r="AD59" i="188"/>
  <c r="U59" i="188"/>
  <c r="CC59" i="188"/>
  <c r="BR59" i="188"/>
  <c r="BD59" i="188"/>
  <c r="AS59" i="188"/>
  <c r="AG59" i="188"/>
  <c r="S59" i="188"/>
  <c r="CB59" i="188"/>
  <c r="BQ59" i="188"/>
  <c r="BC59" i="188"/>
  <c r="AQ59" i="188"/>
  <c r="AF59" i="188"/>
  <c r="R59" i="188"/>
  <c r="BT59" i="188"/>
  <c r="BB59" i="188"/>
  <c r="AL59" i="188"/>
  <c r="X59" i="188"/>
  <c r="BK59" i="188"/>
  <c r="AT59" i="188"/>
  <c r="Z59" i="188"/>
  <c r="CA59" i="188"/>
  <c r="BJ59" i="188"/>
  <c r="AP59" i="188"/>
  <c r="Y59" i="188"/>
  <c r="BZ59" i="188"/>
  <c r="BI59" i="188"/>
  <c r="AO59" i="188"/>
  <c r="W59" i="188"/>
  <c r="AY59" i="188"/>
  <c r="Q59" i="188"/>
  <c r="BV59" i="188"/>
  <c r="AX59" i="188"/>
  <c r="BG59" i="188"/>
  <c r="BA59" i="188"/>
  <c r="AU59" i="188"/>
  <c r="BS59" i="188"/>
  <c r="BL59" i="188"/>
  <c r="BM59" i="188"/>
  <c r="AK59" i="188"/>
  <c r="AI59" i="188"/>
  <c r="AH59" i="188"/>
  <c r="BU59" i="188"/>
  <c r="AC59" i="188"/>
  <c r="AA59" i="188"/>
  <c r="BW22" i="188"/>
  <c r="BO22" i="188"/>
  <c r="BG22" i="188"/>
  <c r="AY22" i="188"/>
  <c r="AQ22" i="188"/>
  <c r="AI22" i="188"/>
  <c r="AA22" i="188"/>
  <c r="S22" i="188"/>
  <c r="CA22" i="188"/>
  <c r="BR22" i="188"/>
  <c r="BI22" i="188"/>
  <c r="AZ22" i="188"/>
  <c r="AP22" i="188"/>
  <c r="AG22" i="188"/>
  <c r="X22" i="188"/>
  <c r="BV22" i="188"/>
  <c r="BL22" i="188"/>
  <c r="BB22" i="188"/>
  <c r="AR22" i="188"/>
  <c r="AF22" i="188"/>
  <c r="V22" i="188"/>
  <c r="BU22" i="188"/>
  <c r="BK22" i="188"/>
  <c r="BA22" i="188"/>
  <c r="AO22" i="188"/>
  <c r="AE22" i="188"/>
  <c r="U22" i="188"/>
  <c r="BY22" i="188"/>
  <c r="BJ22" i="188"/>
  <c r="AV22" i="188"/>
  <c r="AJ22" i="188"/>
  <c r="T22" i="188"/>
  <c r="BX22" i="188"/>
  <c r="BH22" i="188"/>
  <c r="AU22" i="188"/>
  <c r="AH22" i="188"/>
  <c r="R22" i="188"/>
  <c r="BF22" i="188"/>
  <c r="AT22" i="188"/>
  <c r="Q22" i="188"/>
  <c r="BT22" i="188"/>
  <c r="AD22" i="188"/>
  <c r="BM22" i="188"/>
  <c r="AM22" i="188"/>
  <c r="CC22" i="188"/>
  <c r="CB22" i="188"/>
  <c r="BD22" i="188"/>
  <c r="AK22" i="188"/>
  <c r="BZ22" i="188"/>
  <c r="BS22" i="188"/>
  <c r="AB22" i="188"/>
  <c r="BE22" i="188"/>
  <c r="AL22" i="188"/>
  <c r="BC22" i="188"/>
  <c r="AC22" i="188"/>
  <c r="AX22" i="188"/>
  <c r="AS22" i="188"/>
  <c r="AN22" i="188"/>
  <c r="Z22" i="188"/>
  <c r="BQ22" i="188"/>
  <c r="W22" i="188"/>
  <c r="Y22" i="188"/>
  <c r="BP22" i="188"/>
  <c r="BN22" i="188"/>
  <c r="AW22" i="188"/>
  <c r="BY37" i="188"/>
  <c r="BQ37" i="188"/>
  <c r="BI37" i="188"/>
  <c r="BA37" i="188"/>
  <c r="AS37" i="188"/>
  <c r="AK37" i="188"/>
  <c r="AC37" i="188"/>
  <c r="U37" i="188"/>
  <c r="BW37" i="188"/>
  <c r="BN37" i="188"/>
  <c r="BE37" i="188"/>
  <c r="AV37" i="188"/>
  <c r="AM37" i="188"/>
  <c r="AD37" i="188"/>
  <c r="T37" i="188"/>
  <c r="BV37" i="188"/>
  <c r="BM37" i="188"/>
  <c r="BD37" i="188"/>
  <c r="AU37" i="188"/>
  <c r="AL37" i="188"/>
  <c r="AB37" i="188"/>
  <c r="S37" i="188"/>
  <c r="BZ37" i="188"/>
  <c r="BL37" i="188"/>
  <c r="AZ37" i="188"/>
  <c r="AO37" i="188"/>
  <c r="AA37" i="188"/>
  <c r="BX37" i="188"/>
  <c r="BK37" i="188"/>
  <c r="AY37" i="188"/>
  <c r="AN37" i="188"/>
  <c r="Z37" i="188"/>
  <c r="BR37" i="188"/>
  <c r="BB37" i="188"/>
  <c r="AI37" i="188"/>
  <c r="V37" i="188"/>
  <c r="BP37" i="188"/>
  <c r="AX37" i="188"/>
  <c r="AH37" i="188"/>
  <c r="R37" i="188"/>
  <c r="CC37" i="188"/>
  <c r="BO37" i="188"/>
  <c r="AW37" i="188"/>
  <c r="AG37" i="188"/>
  <c r="Q37" i="188"/>
  <c r="CA37" i="188"/>
  <c r="BC37" i="188"/>
  <c r="Y37" i="188"/>
  <c r="BT37" i="188"/>
  <c r="AR37" i="188"/>
  <c r="W37" i="188"/>
  <c r="AQ37" i="188"/>
  <c r="BJ37" i="188"/>
  <c r="BU37" i="188"/>
  <c r="AT37" i="188"/>
  <c r="X37" i="188"/>
  <c r="BS37" i="188"/>
  <c r="AP37" i="188"/>
  <c r="BH37" i="188"/>
  <c r="AJ37" i="188"/>
  <c r="AE37" i="188"/>
  <c r="CB37" i="188"/>
  <c r="BG37" i="188"/>
  <c r="BF37" i="188"/>
  <c r="AF37" i="188"/>
  <c r="BW62" i="188"/>
  <c r="BO62" i="188"/>
  <c r="BG62" i="188"/>
  <c r="AY62" i="188"/>
  <c r="AQ62" i="188"/>
  <c r="AI62" i="188"/>
  <c r="AA62" i="188"/>
  <c r="S62" i="188"/>
  <c r="CB62" i="188"/>
  <c r="BS62" i="188"/>
  <c r="BJ62" i="188"/>
  <c r="BA62" i="188"/>
  <c r="AR62" i="188"/>
  <c r="AH62" i="188"/>
  <c r="Y62" i="188"/>
  <c r="CC62" i="188"/>
  <c r="BR62" i="188"/>
  <c r="BH62" i="188"/>
  <c r="AW62" i="188"/>
  <c r="AM62" i="188"/>
  <c r="AC62" i="188"/>
  <c r="R62" i="188"/>
  <c r="BQ62" i="188"/>
  <c r="BE62" i="188"/>
  <c r="AT62" i="188"/>
  <c r="AG62" i="188"/>
  <c r="V62" i="188"/>
  <c r="CA62" i="188"/>
  <c r="BP62" i="188"/>
  <c r="BD62" i="188"/>
  <c r="AS62" i="188"/>
  <c r="AF62" i="188"/>
  <c r="U62" i="188"/>
  <c r="BV62" i="188"/>
  <c r="BF62" i="188"/>
  <c r="AO62" i="188"/>
  <c r="Z62" i="188"/>
  <c r="BU62" i="188"/>
  <c r="BC62" i="188"/>
  <c r="AN62" i="188"/>
  <c r="X62" i="188"/>
  <c r="BX62" i="188"/>
  <c r="AZ62" i="188"/>
  <c r="AE62" i="188"/>
  <c r="BY62" i="188"/>
  <c r="AX62" i="188"/>
  <c r="AB62" i="188"/>
  <c r="BT62" i="188"/>
  <c r="AV62" i="188"/>
  <c r="W62" i="188"/>
  <c r="BN62" i="188"/>
  <c r="AU62" i="188"/>
  <c r="T62" i="188"/>
  <c r="BK62" i="188"/>
  <c r="Q62" i="188"/>
  <c r="BI62" i="188"/>
  <c r="BB62" i="188"/>
  <c r="AP62" i="188"/>
  <c r="AL62" i="188"/>
  <c r="BM62" i="188"/>
  <c r="AK62" i="188"/>
  <c r="BL62" i="188"/>
  <c r="AD62" i="188"/>
  <c r="AJ62" i="188"/>
  <c r="BZ62" i="188"/>
  <c r="BV47" i="188"/>
  <c r="BN47" i="188"/>
  <c r="BF47" i="188"/>
  <c r="AX47" i="188"/>
  <c r="AP47" i="188"/>
  <c r="AH47" i="188"/>
  <c r="Z47" i="188"/>
  <c r="R47" i="188"/>
  <c r="CC47" i="188"/>
  <c r="BU47" i="188"/>
  <c r="BM47" i="188"/>
  <c r="BE47" i="188"/>
  <c r="AW47" i="188"/>
  <c r="AO47" i="188"/>
  <c r="AG47" i="188"/>
  <c r="Y47" i="188"/>
  <c r="Q47" i="188"/>
  <c r="BX47" i="188"/>
  <c r="BL47" i="188"/>
  <c r="BB47" i="188"/>
  <c r="AR47" i="188"/>
  <c r="AF47" i="188"/>
  <c r="V47" i="188"/>
  <c r="BZ47" i="188"/>
  <c r="BO47" i="188"/>
  <c r="BA47" i="188"/>
  <c r="AN47" i="188"/>
  <c r="AC47" i="188"/>
  <c r="BY47" i="188"/>
  <c r="BK47" i="188"/>
  <c r="AZ47" i="188"/>
  <c r="AM47" i="188"/>
  <c r="AB47" i="188"/>
  <c r="BW47" i="188"/>
  <c r="BH47" i="188"/>
  <c r="AS47" i="188"/>
  <c r="AA47" i="188"/>
  <c r="BT47" i="188"/>
  <c r="BG47" i="188"/>
  <c r="AQ47" i="188"/>
  <c r="X47" i="188"/>
  <c r="CA47" i="188"/>
  <c r="BC47" i="188"/>
  <c r="AI47" i="188"/>
  <c r="BS47" i="188"/>
  <c r="AY47" i="188"/>
  <c r="AE47" i="188"/>
  <c r="BR47" i="188"/>
  <c r="AV47" i="188"/>
  <c r="AD47" i="188"/>
  <c r="BQ47" i="188"/>
  <c r="AK47" i="188"/>
  <c r="BJ47" i="188"/>
  <c r="W47" i="188"/>
  <c r="BI47" i="188"/>
  <c r="BD47" i="188"/>
  <c r="T47" i="188"/>
  <c r="BP47" i="188"/>
  <c r="AJ47" i="188"/>
  <c r="U47" i="188"/>
  <c r="AU47" i="188"/>
  <c r="S47" i="188"/>
  <c r="CB47" i="188"/>
  <c r="AT47" i="188"/>
  <c r="AL47" i="188"/>
  <c r="CC35" i="188"/>
  <c r="BU35" i="188"/>
  <c r="BM35" i="188"/>
  <c r="BE35" i="188"/>
  <c r="AW35" i="188"/>
  <c r="AO35" i="188"/>
  <c r="AG35" i="188"/>
  <c r="Y35" i="188"/>
  <c r="Q35" i="188"/>
  <c r="BY35" i="188"/>
  <c r="BP35" i="188"/>
  <c r="BG35" i="188"/>
  <c r="AX35" i="188"/>
  <c r="AN35" i="188"/>
  <c r="AE35" i="188"/>
  <c r="V35" i="188"/>
  <c r="BX35" i="188"/>
  <c r="BO35" i="188"/>
  <c r="BF35" i="188"/>
  <c r="AV35" i="188"/>
  <c r="AM35" i="188"/>
  <c r="AD35" i="188"/>
  <c r="U35" i="188"/>
  <c r="CB35" i="188"/>
  <c r="BQ35" i="188"/>
  <c r="BC35" i="188"/>
  <c r="AR35" i="188"/>
  <c r="AF35" i="188"/>
  <c r="S35" i="188"/>
  <c r="CA35" i="188"/>
  <c r="BN35" i="188"/>
  <c r="BB35" i="188"/>
  <c r="AQ35" i="188"/>
  <c r="AC35" i="188"/>
  <c r="R35" i="188"/>
  <c r="BT35" i="188"/>
  <c r="BD35" i="188"/>
  <c r="AL35" i="188"/>
  <c r="X35" i="188"/>
  <c r="BS35" i="188"/>
  <c r="BA35" i="188"/>
  <c r="AK35" i="188"/>
  <c r="W35" i="188"/>
  <c r="BR35" i="188"/>
  <c r="AZ35" i="188"/>
  <c r="AJ35" i="188"/>
  <c r="T35" i="188"/>
  <c r="BW35" i="188"/>
  <c r="AU35" i="188"/>
  <c r="Z35" i="188"/>
  <c r="BL35" i="188"/>
  <c r="AS35" i="188"/>
  <c r="AP35" i="188"/>
  <c r="BJ35" i="188"/>
  <c r="BV35" i="188"/>
  <c r="AT35" i="188"/>
  <c r="BK35" i="188"/>
  <c r="AI35" i="188"/>
  <c r="BI35" i="188"/>
  <c r="AH35" i="188"/>
  <c r="BZ35" i="188"/>
  <c r="BH35" i="188"/>
  <c r="AY35" i="188"/>
  <c r="AB35" i="188"/>
  <c r="AA35" i="188"/>
  <c r="BW34" i="188"/>
  <c r="BO34" i="188"/>
  <c r="BG34" i="188"/>
  <c r="AY34" i="188"/>
  <c r="AQ34" i="188"/>
  <c r="AI34" i="188"/>
  <c r="AA34" i="188"/>
  <c r="S34" i="188"/>
  <c r="BZ34" i="188"/>
  <c r="BQ34" i="188"/>
  <c r="BH34" i="188"/>
  <c r="AX34" i="188"/>
  <c r="AO34" i="188"/>
  <c r="AF34" i="188"/>
  <c r="W34" i="188"/>
  <c r="BY34" i="188"/>
  <c r="BP34" i="188"/>
  <c r="BF34" i="188"/>
  <c r="AW34" i="188"/>
  <c r="AN34" i="188"/>
  <c r="AE34" i="188"/>
  <c r="V34" i="188"/>
  <c r="BS34" i="188"/>
  <c r="BE34" i="188"/>
  <c r="AT34" i="188"/>
  <c r="AH34" i="188"/>
  <c r="U34" i="188"/>
  <c r="CC34" i="188"/>
  <c r="BR34" i="188"/>
  <c r="BD34" i="188"/>
  <c r="AS34" i="188"/>
  <c r="AG34" i="188"/>
  <c r="T34" i="188"/>
  <c r="BM34" i="188"/>
  <c r="AZ34" i="188"/>
  <c r="AJ34" i="188"/>
  <c r="Q34" i="188"/>
  <c r="CB34" i="188"/>
  <c r="BL34" i="188"/>
  <c r="AV34" i="188"/>
  <c r="AD34" i="188"/>
  <c r="CA34" i="188"/>
  <c r="BK34" i="188"/>
  <c r="AU34" i="188"/>
  <c r="AC34" i="188"/>
  <c r="BU34" i="188"/>
  <c r="AR34" i="188"/>
  <c r="X34" i="188"/>
  <c r="BN34" i="188"/>
  <c r="AM34" i="188"/>
  <c r="BJ34" i="188"/>
  <c r="AL34" i="188"/>
  <c r="AK34" i="188"/>
  <c r="BT34" i="188"/>
  <c r="AP34" i="188"/>
  <c r="R34" i="188"/>
  <c r="BI34" i="188"/>
  <c r="BC34" i="188"/>
  <c r="AB34" i="188"/>
  <c r="BX34" i="188"/>
  <c r="BV34" i="188"/>
  <c r="Z34" i="188"/>
  <c r="BB34" i="188"/>
  <c r="BA34" i="188"/>
  <c r="Y34" i="188"/>
  <c r="BX14" i="188"/>
  <c r="BP14" i="188"/>
  <c r="BH14" i="188"/>
  <c r="AZ14" i="188"/>
  <c r="AR14" i="188"/>
  <c r="AJ14" i="188"/>
  <c r="AB14" i="188"/>
  <c r="T14" i="188"/>
  <c r="BW14" i="188"/>
  <c r="BO14" i="188"/>
  <c r="BG14" i="188"/>
  <c r="AY14" i="188"/>
  <c r="AQ14" i="188"/>
  <c r="AI14" i="188"/>
  <c r="AA14" i="188"/>
  <c r="S14" i="188"/>
  <c r="BZ14" i="188"/>
  <c r="BN14" i="188"/>
  <c r="BD14" i="188"/>
  <c r="AT14" i="188"/>
  <c r="AH14" i="188"/>
  <c r="X14" i="188"/>
  <c r="BY14" i="188"/>
  <c r="BM14" i="188"/>
  <c r="BC14" i="188"/>
  <c r="AS14" i="188"/>
  <c r="AG14" i="188"/>
  <c r="W14" i="188"/>
  <c r="BV14" i="188"/>
  <c r="BL14" i="188"/>
  <c r="BB14" i="188"/>
  <c r="AP14" i="188"/>
  <c r="AF14" i="188"/>
  <c r="V14" i="188"/>
  <c r="BQ14" i="188"/>
  <c r="AW14" i="188"/>
  <c r="AE14" i="188"/>
  <c r="BK14" i="188"/>
  <c r="AV14" i="188"/>
  <c r="AD14" i="188"/>
  <c r="BJ14" i="188"/>
  <c r="AU14" i="188"/>
  <c r="AC14" i="188"/>
  <c r="CA14" i="188"/>
  <c r="BI14" i="188"/>
  <c r="AO14" i="188"/>
  <c r="Z14" i="188"/>
  <c r="Y14" i="188"/>
  <c r="CC14" i="188"/>
  <c r="CB14" i="188"/>
  <c r="BU14" i="188"/>
  <c r="BF14" i="188"/>
  <c r="AN14" i="188"/>
  <c r="BT14" i="188"/>
  <c r="AK14" i="188"/>
  <c r="BS14" i="188"/>
  <c r="U14" i="188"/>
  <c r="BR14" i="188"/>
  <c r="BE14" i="188"/>
  <c r="Q14" i="188"/>
  <c r="BA14" i="188"/>
  <c r="R14" i="188"/>
  <c r="AX14" i="188"/>
  <c r="AM14" i="188"/>
  <c r="AL14" i="188"/>
  <c r="BV15" i="188"/>
  <c r="BN15" i="188"/>
  <c r="BF15" i="188"/>
  <c r="AX15" i="188"/>
  <c r="AP15" i="188"/>
  <c r="AH15" i="188"/>
  <c r="Z15" i="188"/>
  <c r="R15" i="188"/>
  <c r="CC15" i="188"/>
  <c r="BU15" i="188"/>
  <c r="BM15" i="188"/>
  <c r="BE15" i="188"/>
  <c r="AW15" i="188"/>
  <c r="AO15" i="188"/>
  <c r="AG15" i="188"/>
  <c r="Y15" i="188"/>
  <c r="Q15" i="188"/>
  <c r="BZ15" i="188"/>
  <c r="BP15" i="188"/>
  <c r="BD15" i="188"/>
  <c r="AT15" i="188"/>
  <c r="AJ15" i="188"/>
  <c r="X15" i="188"/>
  <c r="BY15" i="188"/>
  <c r="BO15" i="188"/>
  <c r="BC15" i="188"/>
  <c r="AS15" i="188"/>
  <c r="AI15" i="188"/>
  <c r="W15" i="188"/>
  <c r="BX15" i="188"/>
  <c r="BL15" i="188"/>
  <c r="BB15" i="188"/>
  <c r="AR15" i="188"/>
  <c r="AF15" i="188"/>
  <c r="V15" i="188"/>
  <c r="BW15" i="188"/>
  <c r="BH15" i="188"/>
  <c r="AN15" i="188"/>
  <c r="AA15" i="188"/>
  <c r="BT15" i="188"/>
  <c r="BG15" i="188"/>
  <c r="AM15" i="188"/>
  <c r="U15" i="188"/>
  <c r="BS15" i="188"/>
  <c r="BA15" i="188"/>
  <c r="AL15" i="188"/>
  <c r="T15" i="188"/>
  <c r="BR15" i="188"/>
  <c r="AZ15" i="188"/>
  <c r="AK15" i="188"/>
  <c r="S15" i="188"/>
  <c r="BQ15" i="188"/>
  <c r="AY15" i="188"/>
  <c r="AE15" i="188"/>
  <c r="AU15" i="188"/>
  <c r="AQ15" i="188"/>
  <c r="CB15" i="188"/>
  <c r="CA15" i="188"/>
  <c r="AC15" i="188"/>
  <c r="AD15" i="188"/>
  <c r="BK15" i="188"/>
  <c r="AB15" i="188"/>
  <c r="BJ15" i="188"/>
  <c r="BI15" i="188"/>
  <c r="AV15" i="188"/>
  <c r="CB49" i="188"/>
  <c r="BT49" i="188"/>
  <c r="BL49" i="188"/>
  <c r="BD49" i="188"/>
  <c r="BU49" i="188"/>
  <c r="BK49" i="188"/>
  <c r="BB49" i="188"/>
  <c r="AT49" i="188"/>
  <c r="AL49" i="188"/>
  <c r="AD49" i="188"/>
  <c r="V49" i="188"/>
  <c r="CC49" i="188"/>
  <c r="BS49" i="188"/>
  <c r="BJ49" i="188"/>
  <c r="BA49" i="188"/>
  <c r="AS49" i="188"/>
  <c r="AK49" i="188"/>
  <c r="AC49" i="188"/>
  <c r="U49" i="188"/>
  <c r="CA49" i="188"/>
  <c r="BP49" i="188"/>
  <c r="BE49" i="188"/>
  <c r="AR49" i="188"/>
  <c r="AH49" i="188"/>
  <c r="X49" i="188"/>
  <c r="BX49" i="188"/>
  <c r="BI49" i="188"/>
  <c r="AW49" i="188"/>
  <c r="AJ49" i="188"/>
  <c r="Y49" i="188"/>
  <c r="BW49" i="188"/>
  <c r="BH49" i="188"/>
  <c r="AV49" i="188"/>
  <c r="AI49" i="188"/>
  <c r="W49" i="188"/>
  <c r="BV49" i="188"/>
  <c r="BG49" i="188"/>
  <c r="AU49" i="188"/>
  <c r="AG49" i="188"/>
  <c r="T49" i="188"/>
  <c r="BQ49" i="188"/>
  <c r="AX49" i="188"/>
  <c r="AB49" i="188"/>
  <c r="BO49" i="188"/>
  <c r="AQ49" i="188"/>
  <c r="AA49" i="188"/>
  <c r="BN49" i="188"/>
  <c r="AN49" i="188"/>
  <c r="BM49" i="188"/>
  <c r="AM49" i="188"/>
  <c r="BF49" i="188"/>
  <c r="AF49" i="188"/>
  <c r="BR49" i="188"/>
  <c r="S49" i="188"/>
  <c r="AZ49" i="188"/>
  <c r="Q49" i="188"/>
  <c r="AP49" i="188"/>
  <c r="BC49" i="188"/>
  <c r="R49" i="188"/>
  <c r="AY49" i="188"/>
  <c r="AO49" i="188"/>
  <c r="AE49" i="188"/>
  <c r="Z49" i="188"/>
  <c r="BZ49" i="188"/>
  <c r="BY49" i="188"/>
  <c r="CA20" i="188"/>
  <c r="BS20" i="188"/>
  <c r="CC20" i="188"/>
  <c r="BT20" i="188"/>
  <c r="BK20" i="188"/>
  <c r="BC20" i="188"/>
  <c r="AU20" i="188"/>
  <c r="AM20" i="188"/>
  <c r="AE20" i="188"/>
  <c r="W20" i="188"/>
  <c r="BX20" i="188"/>
  <c r="BN20" i="188"/>
  <c r="BE20" i="188"/>
  <c r="AV20" i="188"/>
  <c r="AL20" i="188"/>
  <c r="AC20" i="188"/>
  <c r="T20" i="188"/>
  <c r="BW20" i="188"/>
  <c r="BM20" i="188"/>
  <c r="BD20" i="188"/>
  <c r="AT20" i="188"/>
  <c r="AK20" i="188"/>
  <c r="AB20" i="188"/>
  <c r="S20" i="188"/>
  <c r="BV20" i="188"/>
  <c r="BI20" i="188"/>
  <c r="AX20" i="188"/>
  <c r="AJ20" i="188"/>
  <c r="Y20" i="188"/>
  <c r="BU20" i="188"/>
  <c r="BH20" i="188"/>
  <c r="AW20" i="188"/>
  <c r="AI20" i="188"/>
  <c r="X20" i="188"/>
  <c r="BR20" i="188"/>
  <c r="BG20" i="188"/>
  <c r="AS20" i="188"/>
  <c r="AH20" i="188"/>
  <c r="V20" i="188"/>
  <c r="BJ20" i="188"/>
  <c r="AP20" i="188"/>
  <c r="U20" i="188"/>
  <c r="BF20" i="188"/>
  <c r="R20" i="188"/>
  <c r="BZ20" i="188"/>
  <c r="BB20" i="188"/>
  <c r="AN20" i="188"/>
  <c r="Q20" i="188"/>
  <c r="BY20" i="188"/>
  <c r="BQ20" i="188"/>
  <c r="AF20" i="188"/>
  <c r="CB20" i="188"/>
  <c r="AO20" i="188"/>
  <c r="BA20" i="188"/>
  <c r="AG20" i="188"/>
  <c r="AZ20" i="188"/>
  <c r="AD20" i="188"/>
  <c r="AA20" i="188"/>
  <c r="BL20" i="188"/>
  <c r="BP20" i="188"/>
  <c r="Z20" i="188"/>
  <c r="BO20" i="188"/>
  <c r="AY20" i="188"/>
  <c r="AR20" i="188"/>
  <c r="AQ20" i="188"/>
  <c r="BZ13" i="188"/>
  <c r="BR13" i="188"/>
  <c r="BJ13" i="188"/>
  <c r="BB13" i="188"/>
  <c r="AT13" i="188"/>
  <c r="AL13" i="188"/>
  <c r="AD13" i="188"/>
  <c r="V13" i="188"/>
  <c r="BY13" i="188"/>
  <c r="BQ13" i="188"/>
  <c r="BI13" i="188"/>
  <c r="BA13" i="188"/>
  <c r="AS13" i="188"/>
  <c r="AK13" i="188"/>
  <c r="AC13" i="188"/>
  <c r="U13" i="188"/>
  <c r="CA13" i="188"/>
  <c r="BO13" i="188"/>
  <c r="BE13" i="188"/>
  <c r="AU13" i="188"/>
  <c r="AI13" i="188"/>
  <c r="Y13" i="188"/>
  <c r="BX13" i="188"/>
  <c r="BN13" i="188"/>
  <c r="BD13" i="188"/>
  <c r="AR13" i="188"/>
  <c r="AH13" i="188"/>
  <c r="X13" i="188"/>
  <c r="BC13" i="188"/>
  <c r="BW13" i="188"/>
  <c r="BM13" i="188"/>
  <c r="AQ13" i="188"/>
  <c r="AG13" i="188"/>
  <c r="W13" i="188"/>
  <c r="BV13" i="188"/>
  <c r="BG13" i="188"/>
  <c r="AO13" i="188"/>
  <c r="Z13" i="188"/>
  <c r="BU13" i="188"/>
  <c r="BF13" i="188"/>
  <c r="AN13" i="188"/>
  <c r="T13" i="188"/>
  <c r="AZ13" i="188"/>
  <c r="AM13" i="188"/>
  <c r="S13" i="188"/>
  <c r="BS13" i="188"/>
  <c r="AY13" i="188"/>
  <c r="AJ13" i="188"/>
  <c r="R13" i="188"/>
  <c r="BP13" i="188"/>
  <c r="AX13" i="188"/>
  <c r="AF13" i="188"/>
  <c r="BT13" i="188"/>
  <c r="Q13" i="188"/>
  <c r="BL13" i="188"/>
  <c r="AA13" i="188"/>
  <c r="BK13" i="188"/>
  <c r="BH13" i="188"/>
  <c r="AW13" i="188"/>
  <c r="AV13" i="188"/>
  <c r="AP13" i="188"/>
  <c r="CC13" i="188"/>
  <c r="AE13" i="188"/>
  <c r="CB13" i="188"/>
  <c r="AB13" i="188"/>
  <c r="BZ9" i="188"/>
  <c r="BR9" i="188"/>
  <c r="BJ9" i="188"/>
  <c r="BB9" i="188"/>
  <c r="AT9" i="188"/>
  <c r="AL9" i="188"/>
  <c r="AD9" i="188"/>
  <c r="V9" i="188"/>
  <c r="BY9" i="188"/>
  <c r="BQ9" i="188"/>
  <c r="BI9" i="188"/>
  <c r="BA9" i="188"/>
  <c r="AS9" i="188"/>
  <c r="AK9" i="188"/>
  <c r="AC9" i="188"/>
  <c r="U9" i="188"/>
  <c r="BX9" i="188"/>
  <c r="BN9" i="188"/>
  <c r="BD9" i="188"/>
  <c r="AR9" i="188"/>
  <c r="AH9" i="188"/>
  <c r="X9" i="188"/>
  <c r="BW9" i="188"/>
  <c r="BM9" i="188"/>
  <c r="BC9" i="188"/>
  <c r="AQ9" i="188"/>
  <c r="AG9" i="188"/>
  <c r="W9" i="188"/>
  <c r="BP9" i="188"/>
  <c r="AZ9" i="188"/>
  <c r="AN9" i="188"/>
  <c r="Z9" i="188"/>
  <c r="CC9" i="188"/>
  <c r="BO9" i="188"/>
  <c r="AY9" i="188"/>
  <c r="Y9" i="188"/>
  <c r="CB9" i="188"/>
  <c r="BL9" i="188"/>
  <c r="AX9" i="188"/>
  <c r="AJ9" i="188"/>
  <c r="CA9" i="188"/>
  <c r="BK9" i="188"/>
  <c r="AW9" i="188"/>
  <c r="AI9" i="188"/>
  <c r="BV9" i="188"/>
  <c r="BH9" i="188"/>
  <c r="AV9" i="188"/>
  <c r="AM9" i="188"/>
  <c r="T9" i="188"/>
  <c r="S9" i="188"/>
  <c r="BT9" i="188"/>
  <c r="AF9" i="188"/>
  <c r="BS9" i="188"/>
  <c r="AE9" i="188"/>
  <c r="AB9" i="188"/>
  <c r="BF9" i="188"/>
  <c r="AA9" i="188"/>
  <c r="R9" i="188"/>
  <c r="BG9" i="188"/>
  <c r="BE9" i="188"/>
  <c r="AP9" i="188"/>
  <c r="AO9" i="188"/>
  <c r="Q9" i="188"/>
  <c r="BU9" i="188"/>
  <c r="AU9" i="188"/>
  <c r="CB8" i="188"/>
  <c r="BT8" i="188"/>
  <c r="BL8" i="188"/>
  <c r="BD8" i="188"/>
  <c r="AV8" i="188"/>
  <c r="AN8" i="188"/>
  <c r="AF8" i="188"/>
  <c r="X8" i="188"/>
  <c r="CA8" i="188"/>
  <c r="BS8" i="188"/>
  <c r="BK8" i="188"/>
  <c r="BC8" i="188"/>
  <c r="AU8" i="188"/>
  <c r="AM8" i="188"/>
  <c r="AE8" i="188"/>
  <c r="W8" i="188"/>
  <c r="BX8" i="188"/>
  <c r="BN8" i="188"/>
  <c r="BB8" i="188"/>
  <c r="AR8" i="188"/>
  <c r="AH8" i="188"/>
  <c r="V8" i="188"/>
  <c r="BW8" i="188"/>
  <c r="BM8" i="188"/>
  <c r="BA8" i="188"/>
  <c r="AQ8" i="188"/>
  <c r="AG8" i="188"/>
  <c r="U8" i="188"/>
  <c r="BU8" i="188"/>
  <c r="BG8" i="188"/>
  <c r="AS8" i="188"/>
  <c r="AC8" i="188"/>
  <c r="Q8" i="188"/>
  <c r="BR8" i="188"/>
  <c r="BF8" i="188"/>
  <c r="AP8" i="188"/>
  <c r="AB8" i="188"/>
  <c r="AO8" i="188"/>
  <c r="BQ8" i="188"/>
  <c r="BE8" i="188"/>
  <c r="AA8" i="188"/>
  <c r="BP8" i="188"/>
  <c r="AZ8" i="188"/>
  <c r="AL8" i="188"/>
  <c r="Z8" i="188"/>
  <c r="BH8" i="188"/>
  <c r="AD8" i="188"/>
  <c r="CC8" i="188"/>
  <c r="AY8" i="188"/>
  <c r="Y8" i="188"/>
  <c r="AX8" i="188"/>
  <c r="BY8" i="188"/>
  <c r="AW8" i="188"/>
  <c r="S8" i="188"/>
  <c r="AT8" i="188"/>
  <c r="BZ8" i="188"/>
  <c r="T8" i="188"/>
  <c r="BV8" i="188"/>
  <c r="R8" i="188"/>
  <c r="BJ8" i="188"/>
  <c r="AJ8" i="188"/>
  <c r="BO8" i="188"/>
  <c r="BI8" i="188"/>
  <c r="AK8" i="188"/>
  <c r="AI8" i="188"/>
  <c r="CA68" i="188"/>
  <c r="BS68" i="188"/>
  <c r="BK68" i="188"/>
  <c r="BC68" i="188"/>
  <c r="AU68" i="188"/>
  <c r="AM68" i="188"/>
  <c r="AE68" i="188"/>
  <c r="W68" i="188"/>
  <c r="BW68" i="188"/>
  <c r="BN68" i="188"/>
  <c r="BE68" i="188"/>
  <c r="AV68" i="188"/>
  <c r="AL68" i="188"/>
  <c r="AC68" i="188"/>
  <c r="T68" i="188"/>
  <c r="BV68" i="188"/>
  <c r="BL68" i="188"/>
  <c r="BA68" i="188"/>
  <c r="AQ68" i="188"/>
  <c r="AG68" i="188"/>
  <c r="V68" i="188"/>
  <c r="BY68" i="188"/>
  <c r="BM68" i="188"/>
  <c r="AZ68" i="188"/>
  <c r="AO68" i="188"/>
  <c r="AB68" i="188"/>
  <c r="Q68" i="188"/>
  <c r="BX68" i="188"/>
  <c r="BJ68" i="188"/>
  <c r="AY68" i="188"/>
  <c r="AN68" i="188"/>
  <c r="AA68" i="188"/>
  <c r="BQ68" i="188"/>
  <c r="BB68" i="188"/>
  <c r="AJ68" i="188"/>
  <c r="U68" i="188"/>
  <c r="BP68" i="188"/>
  <c r="AX68" i="188"/>
  <c r="AI68" i="188"/>
  <c r="S68" i="188"/>
  <c r="CC68" i="188"/>
  <c r="BO68" i="188"/>
  <c r="AW68" i="188"/>
  <c r="AH68" i="188"/>
  <c r="R68" i="188"/>
  <c r="BU68" i="188"/>
  <c r="AT68" i="188"/>
  <c r="Y68" i="188"/>
  <c r="BG68" i="188"/>
  <c r="AD68" i="188"/>
  <c r="BF68" i="188"/>
  <c r="Z68" i="188"/>
  <c r="CB68" i="188"/>
  <c r="BD68" i="188"/>
  <c r="X68" i="188"/>
  <c r="BZ68" i="188"/>
  <c r="AK68" i="188"/>
  <c r="BT68" i="188"/>
  <c r="AF68" i="188"/>
  <c r="AR68" i="188"/>
  <c r="AP68" i="188"/>
  <c r="BH68" i="188"/>
  <c r="AS68" i="188"/>
  <c r="BR68" i="188"/>
  <c r="BI68" i="188"/>
  <c r="CC39" i="188"/>
  <c r="BU39" i="188"/>
  <c r="BM39" i="188"/>
  <c r="BE39" i="188"/>
  <c r="AW39" i="188"/>
  <c r="AO39" i="188"/>
  <c r="AG39" i="188"/>
  <c r="Y39" i="188"/>
  <c r="Q39" i="188"/>
  <c r="BV39" i="188"/>
  <c r="BL39" i="188"/>
  <c r="BC39" i="188"/>
  <c r="AT39" i="188"/>
  <c r="AK39" i="188"/>
  <c r="AB39" i="188"/>
  <c r="S39" i="188"/>
  <c r="BT39" i="188"/>
  <c r="BK39" i="188"/>
  <c r="BB39" i="188"/>
  <c r="AS39" i="188"/>
  <c r="AJ39" i="188"/>
  <c r="AA39" i="188"/>
  <c r="R39" i="188"/>
  <c r="BX39" i="188"/>
  <c r="BJ39" i="188"/>
  <c r="AY39" i="188"/>
  <c r="AM39" i="188"/>
  <c r="Z39" i="188"/>
  <c r="BW39" i="188"/>
  <c r="BI39" i="188"/>
  <c r="AX39" i="188"/>
  <c r="AL39" i="188"/>
  <c r="X39" i="188"/>
  <c r="BP39" i="188"/>
  <c r="AZ39" i="188"/>
  <c r="AH39" i="188"/>
  <c r="T39" i="188"/>
  <c r="CB39" i="188"/>
  <c r="BO39" i="188"/>
  <c r="AV39" i="188"/>
  <c r="AF39" i="188"/>
  <c r="CA39" i="188"/>
  <c r="BN39" i="188"/>
  <c r="AU39" i="188"/>
  <c r="AE39" i="188"/>
  <c r="BF39" i="188"/>
  <c r="AD39" i="188"/>
  <c r="BY39" i="188"/>
  <c r="BA39" i="188"/>
  <c r="W39" i="188"/>
  <c r="AR39" i="188"/>
  <c r="BR39" i="188"/>
  <c r="U39" i="188"/>
  <c r="BZ39" i="188"/>
  <c r="BD39" i="188"/>
  <c r="AC39" i="188"/>
  <c r="BS39" i="188"/>
  <c r="V39" i="188"/>
  <c r="AQ39" i="188"/>
  <c r="BQ39" i="188"/>
  <c r="AP39" i="188"/>
  <c r="BH39" i="188"/>
  <c r="BG39" i="188"/>
  <c r="AN39" i="188"/>
  <c r="AI39" i="188"/>
  <c r="CC43" i="188"/>
  <c r="BU43" i="188"/>
  <c r="BM43" i="188"/>
  <c r="BE43" i="188"/>
  <c r="AW43" i="188"/>
  <c r="AO43" i="188"/>
  <c r="AG43" i="188"/>
  <c r="Y43" i="188"/>
  <c r="Q43" i="188"/>
  <c r="CA43" i="188"/>
  <c r="BR43" i="188"/>
  <c r="BI43" i="188"/>
  <c r="AZ43" i="188"/>
  <c r="AQ43" i="188"/>
  <c r="AH43" i="188"/>
  <c r="X43" i="188"/>
  <c r="BZ43" i="188"/>
  <c r="BQ43" i="188"/>
  <c r="BH43" i="188"/>
  <c r="AY43" i="188"/>
  <c r="AP43" i="188"/>
  <c r="AF43" i="188"/>
  <c r="W43" i="188"/>
  <c r="BT43" i="188"/>
  <c r="BG43" i="188"/>
  <c r="AU43" i="188"/>
  <c r="AJ43" i="188"/>
  <c r="V43" i="188"/>
  <c r="BS43" i="188"/>
  <c r="BF43" i="188"/>
  <c r="AT43" i="188"/>
  <c r="AI43" i="188"/>
  <c r="U43" i="188"/>
  <c r="BW43" i="188"/>
  <c r="BD43" i="188"/>
  <c r="AN43" i="188"/>
  <c r="AA43" i="188"/>
  <c r="BV43" i="188"/>
  <c r="BC43" i="188"/>
  <c r="AM43" i="188"/>
  <c r="Z43" i="188"/>
  <c r="BP43" i="188"/>
  <c r="BB43" i="188"/>
  <c r="AL43" i="188"/>
  <c r="T43" i="188"/>
  <c r="BL43" i="188"/>
  <c r="AK43" i="188"/>
  <c r="BJ43" i="188"/>
  <c r="AD43" i="188"/>
  <c r="BA43" i="188"/>
  <c r="AX43" i="188"/>
  <c r="AB43" i="188"/>
  <c r="BK43" i="188"/>
  <c r="AE43" i="188"/>
  <c r="CB43" i="188"/>
  <c r="AC43" i="188"/>
  <c r="BY43" i="188"/>
  <c r="BX43" i="188"/>
  <c r="AV43" i="188"/>
  <c r="S43" i="188"/>
  <c r="BN43" i="188"/>
  <c r="AS43" i="188"/>
  <c r="AR43" i="188"/>
  <c r="R43" i="188"/>
  <c r="BO43" i="188"/>
  <c r="BW30" i="188"/>
  <c r="BO30" i="188"/>
  <c r="BG30" i="188"/>
  <c r="AY30" i="188"/>
  <c r="AQ30" i="188"/>
  <c r="AI30" i="188"/>
  <c r="AA30" i="188"/>
  <c r="S30" i="188"/>
  <c r="CC30" i="188"/>
  <c r="BT30" i="188"/>
  <c r="BK30" i="188"/>
  <c r="BB30" i="188"/>
  <c r="AS30" i="188"/>
  <c r="AJ30" i="188"/>
  <c r="Z30" i="188"/>
  <c r="Q30" i="188"/>
  <c r="CB30" i="188"/>
  <c r="BS30" i="188"/>
  <c r="BJ30" i="188"/>
  <c r="BA30" i="188"/>
  <c r="AR30" i="188"/>
  <c r="AH30" i="188"/>
  <c r="Y30" i="188"/>
  <c r="BV30" i="188"/>
  <c r="BI30" i="188"/>
  <c r="AW30" i="188"/>
  <c r="AL30" i="188"/>
  <c r="X30" i="188"/>
  <c r="BU30" i="188"/>
  <c r="BH30" i="188"/>
  <c r="AV30" i="188"/>
  <c r="AK30" i="188"/>
  <c r="W30" i="188"/>
  <c r="BR30" i="188"/>
  <c r="BD30" i="188"/>
  <c r="AN30" i="188"/>
  <c r="V30" i="188"/>
  <c r="BQ30" i="188"/>
  <c r="BC30" i="188"/>
  <c r="AM30" i="188"/>
  <c r="U30" i="188"/>
  <c r="BP30" i="188"/>
  <c r="AZ30" i="188"/>
  <c r="AG30" i="188"/>
  <c r="T30" i="188"/>
  <c r="BL30" i="188"/>
  <c r="AF30" i="188"/>
  <c r="CA30" i="188"/>
  <c r="BE30" i="188"/>
  <c r="AD30" i="188"/>
  <c r="AX30" i="188"/>
  <c r="AU30" i="188"/>
  <c r="BF30" i="188"/>
  <c r="AE30" i="188"/>
  <c r="BZ30" i="188"/>
  <c r="AC30" i="188"/>
  <c r="BY30" i="188"/>
  <c r="AB30" i="188"/>
  <c r="BX30" i="188"/>
  <c r="AT30" i="188"/>
  <c r="R30" i="188"/>
  <c r="BN30" i="188"/>
  <c r="BM30" i="188"/>
  <c r="AP30" i="188"/>
  <c r="AO30" i="188"/>
  <c r="CA36" i="188"/>
  <c r="BS36" i="188"/>
  <c r="BK36" i="188"/>
  <c r="BC36" i="188"/>
  <c r="AU36" i="188"/>
  <c r="AM36" i="188"/>
  <c r="AE36" i="188"/>
  <c r="W36" i="188"/>
  <c r="BX36" i="188"/>
  <c r="BO36" i="188"/>
  <c r="BF36" i="188"/>
  <c r="AW36" i="188"/>
  <c r="AN36" i="188"/>
  <c r="AD36" i="188"/>
  <c r="U36" i="188"/>
  <c r="BW36" i="188"/>
  <c r="BN36" i="188"/>
  <c r="BE36" i="188"/>
  <c r="AV36" i="188"/>
  <c r="AL36" i="188"/>
  <c r="AC36" i="188"/>
  <c r="T36" i="188"/>
  <c r="BZ36" i="188"/>
  <c r="BM36" i="188"/>
  <c r="BA36" i="188"/>
  <c r="AP36" i="188"/>
  <c r="AB36" i="188"/>
  <c r="Q36" i="188"/>
  <c r="BY36" i="188"/>
  <c r="BL36" i="188"/>
  <c r="AZ36" i="188"/>
  <c r="AO36" i="188"/>
  <c r="AA36" i="188"/>
  <c r="CB36" i="188"/>
  <c r="BI36" i="188"/>
  <c r="AS36" i="188"/>
  <c r="AF36" i="188"/>
  <c r="BV36" i="188"/>
  <c r="BH36" i="188"/>
  <c r="AR36" i="188"/>
  <c r="Z36" i="188"/>
  <c r="BU36" i="188"/>
  <c r="BG36" i="188"/>
  <c r="AQ36" i="188"/>
  <c r="Y36" i="188"/>
  <c r="BT36" i="188"/>
  <c r="AX36" i="188"/>
  <c r="V36" i="188"/>
  <c r="BQ36" i="188"/>
  <c r="AK36" i="188"/>
  <c r="R36" i="188"/>
  <c r="BP36" i="188"/>
  <c r="AJ36" i="188"/>
  <c r="BR36" i="188"/>
  <c r="AT36" i="188"/>
  <c r="S36" i="188"/>
  <c r="BJ36" i="188"/>
  <c r="AI36" i="188"/>
  <c r="BD36" i="188"/>
  <c r="AH36" i="188"/>
  <c r="BB36" i="188"/>
  <c r="CC36" i="188"/>
  <c r="AY36" i="188"/>
  <c r="AG36" i="188"/>
  <c r="X36" i="188"/>
  <c r="BY29" i="188"/>
  <c r="BQ29" i="188"/>
  <c r="BI29" i="188"/>
  <c r="BA29" i="188"/>
  <c r="AS29" i="188"/>
  <c r="AK29" i="188"/>
  <c r="AC29" i="188"/>
  <c r="U29" i="188"/>
  <c r="BU29" i="188"/>
  <c r="BL29" i="188"/>
  <c r="BC29" i="188"/>
  <c r="AT29" i="188"/>
  <c r="AJ29" i="188"/>
  <c r="AA29" i="188"/>
  <c r="R29" i="188"/>
  <c r="CC29" i="188"/>
  <c r="BT29" i="188"/>
  <c r="BK29" i="188"/>
  <c r="BB29" i="188"/>
  <c r="AR29" i="188"/>
  <c r="AI29" i="188"/>
  <c r="Z29" i="188"/>
  <c r="Q29" i="188"/>
  <c r="BW29" i="188"/>
  <c r="BJ29" i="188"/>
  <c r="AX29" i="188"/>
  <c r="AM29" i="188"/>
  <c r="Y29" i="188"/>
  <c r="BV29" i="188"/>
  <c r="BH29" i="188"/>
  <c r="AW29" i="188"/>
  <c r="AL29" i="188"/>
  <c r="X29" i="188"/>
  <c r="BO29" i="188"/>
  <c r="AY29" i="188"/>
  <c r="AG29" i="188"/>
  <c r="S29" i="188"/>
  <c r="CB29" i="188"/>
  <c r="BN29" i="188"/>
  <c r="AV29" i="188"/>
  <c r="AF29" i="188"/>
  <c r="CA29" i="188"/>
  <c r="BM29" i="188"/>
  <c r="AU29" i="188"/>
  <c r="AE29" i="188"/>
  <c r="BF29" i="188"/>
  <c r="AH29" i="188"/>
  <c r="BD29" i="188"/>
  <c r="BX29" i="188"/>
  <c r="W29" i="188"/>
  <c r="BS29" i="188"/>
  <c r="V29" i="188"/>
  <c r="BE29" i="188"/>
  <c r="AD29" i="188"/>
  <c r="BZ29" i="188"/>
  <c r="AB29" i="188"/>
  <c r="AZ29" i="188"/>
  <c r="AQ29" i="188"/>
  <c r="BR29" i="188"/>
  <c r="AP29" i="188"/>
  <c r="T29" i="188"/>
  <c r="BP29" i="188"/>
  <c r="BG29" i="188"/>
  <c r="AO29" i="188"/>
  <c r="AN29" i="188"/>
  <c r="BW18" i="188"/>
  <c r="BO18" i="188"/>
  <c r="BG18" i="188"/>
  <c r="AY18" i="188"/>
  <c r="AQ18" i="188"/>
  <c r="AI18" i="188"/>
  <c r="AA18" i="188"/>
  <c r="S18" i="188"/>
  <c r="BY18" i="188"/>
  <c r="BP18" i="188"/>
  <c r="BF18" i="188"/>
  <c r="AW18" i="188"/>
  <c r="AN18" i="188"/>
  <c r="AE18" i="188"/>
  <c r="V18" i="188"/>
  <c r="BX18" i="188"/>
  <c r="BN18" i="188"/>
  <c r="BE18" i="188"/>
  <c r="AV18" i="188"/>
  <c r="AM18" i="188"/>
  <c r="AD18" i="188"/>
  <c r="U18" i="188"/>
  <c r="BZ18" i="188"/>
  <c r="BL18" i="188"/>
  <c r="BA18" i="188"/>
  <c r="AO18" i="188"/>
  <c r="AB18" i="188"/>
  <c r="BV18" i="188"/>
  <c r="BK18" i="188"/>
  <c r="AZ18" i="188"/>
  <c r="AL18" i="188"/>
  <c r="Z18" i="188"/>
  <c r="BU18" i="188"/>
  <c r="AX18" i="188"/>
  <c r="AK18" i="188"/>
  <c r="Y18" i="188"/>
  <c r="BJ18" i="188"/>
  <c r="CB18" i="188"/>
  <c r="BH18" i="188"/>
  <c r="AP18" i="188"/>
  <c r="T18" i="188"/>
  <c r="CA18" i="188"/>
  <c r="BD18" i="188"/>
  <c r="R18" i="188"/>
  <c r="Q18" i="188"/>
  <c r="BS18" i="188"/>
  <c r="BB18" i="188"/>
  <c r="AU18" i="188"/>
  <c r="AJ18" i="188"/>
  <c r="BT18" i="188"/>
  <c r="BC18" i="188"/>
  <c r="AH18" i="188"/>
  <c r="AG18" i="188"/>
  <c r="BR18" i="188"/>
  <c r="AF18" i="188"/>
  <c r="AR18" i="188"/>
  <c r="AC18" i="188"/>
  <c r="CC18" i="188"/>
  <c r="X18" i="188"/>
  <c r="BQ18" i="188"/>
  <c r="W18" i="188"/>
  <c r="BM18" i="188"/>
  <c r="BI18" i="188"/>
  <c r="AT18" i="188"/>
  <c r="AS18" i="188"/>
  <c r="CC31" i="188"/>
  <c r="BU31" i="188"/>
  <c r="BM31" i="188"/>
  <c r="BE31" i="188"/>
  <c r="AW31" i="188"/>
  <c r="AO31" i="188"/>
  <c r="AG31" i="188"/>
  <c r="Y31" i="188"/>
  <c r="Q31" i="188"/>
  <c r="CB31" i="188"/>
  <c r="BS31" i="188"/>
  <c r="BJ31" i="188"/>
  <c r="BA31" i="188"/>
  <c r="AR31" i="188"/>
  <c r="AI31" i="188"/>
  <c r="Z31" i="188"/>
  <c r="CA31" i="188"/>
  <c r="BR31" i="188"/>
  <c r="BI31" i="188"/>
  <c r="AZ31" i="188"/>
  <c r="AQ31" i="188"/>
  <c r="AH31" i="188"/>
  <c r="X31" i="188"/>
  <c r="BV31" i="188"/>
  <c r="BH31" i="188"/>
  <c r="AV31" i="188"/>
  <c r="AK31" i="188"/>
  <c r="W31" i="188"/>
  <c r="BT31" i="188"/>
  <c r="BG31" i="188"/>
  <c r="AU31" i="188"/>
  <c r="AJ31" i="188"/>
  <c r="V31" i="188"/>
  <c r="BY31" i="188"/>
  <c r="BK31" i="188"/>
  <c r="AS31" i="188"/>
  <c r="AC31" i="188"/>
  <c r="BX31" i="188"/>
  <c r="BF31" i="188"/>
  <c r="AP31" i="188"/>
  <c r="AB31" i="188"/>
  <c r="BW31" i="188"/>
  <c r="BD31" i="188"/>
  <c r="AN31" i="188"/>
  <c r="AA31" i="188"/>
  <c r="BL31" i="188"/>
  <c r="AF31" i="188"/>
  <c r="BB31" i="188"/>
  <c r="AY31" i="188"/>
  <c r="T31" i="188"/>
  <c r="BC31" i="188"/>
  <c r="AE31" i="188"/>
  <c r="AD31" i="188"/>
  <c r="BZ31" i="188"/>
  <c r="U31" i="188"/>
  <c r="AX31" i="188"/>
  <c r="BQ31" i="188"/>
  <c r="BP31" i="188"/>
  <c r="AT31" i="188"/>
  <c r="S31" i="188"/>
  <c r="AL31" i="188"/>
  <c r="R31" i="188"/>
  <c r="BO31" i="188"/>
  <c r="BN31" i="188"/>
  <c r="AM31" i="188"/>
  <c r="BX6" i="188"/>
  <c r="BP6" i="188"/>
  <c r="BH6" i="188"/>
  <c r="AZ6" i="188"/>
  <c r="AR6" i="188"/>
  <c r="AJ6" i="188"/>
  <c r="AB6" i="188"/>
  <c r="T6" i="188"/>
  <c r="BW6" i="188"/>
  <c r="BV6" i="188"/>
  <c r="BM6" i="188"/>
  <c r="BD6" i="188"/>
  <c r="AU6" i="188"/>
  <c r="AL6" i="188"/>
  <c r="AC6" i="188"/>
  <c r="S6" i="188"/>
  <c r="BU6" i="188"/>
  <c r="BL6" i="188"/>
  <c r="BC6" i="188"/>
  <c r="AT6" i="188"/>
  <c r="AK6" i="188"/>
  <c r="AA6" i="188"/>
  <c r="R6" i="188"/>
  <c r="CC6" i="188"/>
  <c r="CC76" i="188" s="1"/>
  <c r="BQ6" i="188"/>
  <c r="BE6" i="188"/>
  <c r="AQ6" i="188"/>
  <c r="AF6" i="188"/>
  <c r="U6" i="188"/>
  <c r="CB6" i="188"/>
  <c r="CB76" i="188" s="1"/>
  <c r="BO6" i="188"/>
  <c r="AP6" i="188"/>
  <c r="AE6" i="188"/>
  <c r="Q6" i="188"/>
  <c r="CA6" i="188"/>
  <c r="CA76" i="188" s="1"/>
  <c r="BA6" i="188"/>
  <c r="AO6" i="188"/>
  <c r="Z6" i="188"/>
  <c r="BB6" i="188"/>
  <c r="BN6" i="188"/>
  <c r="AD6" i="188"/>
  <c r="BZ6" i="188"/>
  <c r="BK6" i="188"/>
  <c r="AY6" i="188"/>
  <c r="AN6" i="188"/>
  <c r="BS6" i="188"/>
  <c r="AV6" i="188"/>
  <c r="W6" i="188"/>
  <c r="BR6" i="188"/>
  <c r="AS6" i="188"/>
  <c r="V6" i="188"/>
  <c r="BI6" i="188"/>
  <c r="BG6" i="188"/>
  <c r="BJ6" i="188"/>
  <c r="AM6" i="188"/>
  <c r="AI6" i="188"/>
  <c r="AH6" i="188"/>
  <c r="BY6" i="188"/>
  <c r="AX6" i="188"/>
  <c r="Y6" i="188"/>
  <c r="BT6" i="188"/>
  <c r="BF6" i="188"/>
  <c r="AW6" i="188"/>
  <c r="AG6" i="188"/>
  <c r="X6" i="188"/>
  <c r="AN7" i="32"/>
  <c r="AG7" i="32"/>
  <c r="AB7" i="32"/>
  <c r="BB7" i="32"/>
  <c r="U7" i="32"/>
  <c r="BK7" i="32"/>
  <c r="AA7" i="32"/>
  <c r="AE7" i="32"/>
  <c r="AV7" i="32"/>
  <c r="AO7" i="32"/>
  <c r="AL7" i="32"/>
  <c r="BO7" i="32"/>
  <c r="AI7" i="32"/>
  <c r="BY7" i="32"/>
  <c r="BC7" i="32"/>
  <c r="AM7" i="32"/>
  <c r="BL7" i="32"/>
  <c r="BU7" i="32"/>
  <c r="AQ7" i="32"/>
  <c r="BJ7" i="32"/>
  <c r="Z7" i="32"/>
  <c r="BV7" i="32"/>
  <c r="BT7" i="32"/>
  <c r="CC7" i="32"/>
  <c r="BZ7" i="32"/>
  <c r="BX7" i="32"/>
  <c r="AS7" i="32"/>
  <c r="AZ7" i="32"/>
  <c r="CB7" i="32"/>
  <c r="R7" i="32"/>
  <c r="T7" i="32"/>
  <c r="V7" i="32"/>
  <c r="BQ7" i="32"/>
  <c r="BA7" i="32"/>
  <c r="Q7" i="32"/>
  <c r="AX7" i="32"/>
  <c r="AH7" i="32"/>
  <c r="AJ7" i="32"/>
  <c r="AC7" i="32"/>
  <c r="BG7" i="32"/>
  <c r="Y7" i="32"/>
  <c r="AT7" i="32"/>
  <c r="AY7" i="32"/>
  <c r="BS7" i="32"/>
  <c r="X7" i="32"/>
  <c r="AW7" i="32"/>
  <c r="BR7" i="32"/>
  <c r="BI7" i="32"/>
  <c r="W7" i="32"/>
  <c r="AK7" i="32"/>
  <c r="CA7" i="32"/>
  <c r="BH7" i="32"/>
  <c r="BF7" i="32"/>
  <c r="S7" i="32"/>
  <c r="BW7" i="32"/>
  <c r="AF7" i="32"/>
  <c r="AD7" i="32"/>
  <c r="AU7" i="32"/>
  <c r="AR7" i="32"/>
  <c r="BD7" i="32"/>
  <c r="BP7" i="32"/>
  <c r="BE7" i="32"/>
  <c r="BN7" i="32"/>
  <c r="BM7" i="32"/>
  <c r="AP7" i="32"/>
  <c r="AV11" i="32"/>
  <c r="AO11" i="32"/>
  <c r="AP11" i="32"/>
  <c r="BR11" i="32"/>
  <c r="AX11" i="32"/>
  <c r="AA11" i="32"/>
  <c r="AE11" i="32"/>
  <c r="R11" i="32"/>
  <c r="BD11" i="32"/>
  <c r="AW11" i="32"/>
  <c r="AZ11" i="32"/>
  <c r="S11" i="32"/>
  <c r="BK11" i="32"/>
  <c r="AS11" i="32"/>
  <c r="BH11" i="32"/>
  <c r="Z11" i="32"/>
  <c r="BT11" i="32"/>
  <c r="CC11" i="32"/>
  <c r="BG11" i="32"/>
  <c r="W11" i="32"/>
  <c r="BS11" i="32"/>
  <c r="BW11" i="32"/>
  <c r="CB11" i="32"/>
  <c r="T11" i="32"/>
  <c r="AH11" i="32"/>
  <c r="AK11" i="32"/>
  <c r="AC11" i="32"/>
  <c r="AL11" i="32"/>
  <c r="Q11" i="32"/>
  <c r="AD11" i="32"/>
  <c r="AU11" i="32"/>
  <c r="AY11" i="32"/>
  <c r="BC11" i="32"/>
  <c r="Y11" i="32"/>
  <c r="BJ11" i="32"/>
  <c r="BI11" i="32"/>
  <c r="BN11" i="32"/>
  <c r="AM11" i="32"/>
  <c r="AQ11" i="32"/>
  <c r="X11" i="32"/>
  <c r="BV11" i="32"/>
  <c r="BX11" i="32"/>
  <c r="BP11" i="32"/>
  <c r="AF11" i="32"/>
  <c r="BE11" i="32"/>
  <c r="V11" i="32"/>
  <c r="U11" i="32"/>
  <c r="BQ11" i="32"/>
  <c r="AR11" i="32"/>
  <c r="BF11" i="32"/>
  <c r="AG11" i="32"/>
  <c r="BZ11" i="32"/>
  <c r="BB11" i="32"/>
  <c r="AN11" i="32"/>
  <c r="AB11" i="32"/>
  <c r="BM11" i="32"/>
  <c r="BU11" i="32"/>
  <c r="AT11" i="32"/>
  <c r="AJ11" i="32"/>
  <c r="BY11" i="32"/>
  <c r="BL11" i="32"/>
  <c r="BA11" i="32"/>
  <c r="CA11" i="32"/>
  <c r="BO11" i="32"/>
  <c r="AI11" i="32"/>
  <c r="BD15" i="32"/>
  <c r="AW15" i="32"/>
  <c r="BB15" i="32"/>
  <c r="T15" i="32"/>
  <c r="BK15" i="32"/>
  <c r="BA15" i="32"/>
  <c r="BP15" i="32"/>
  <c r="BG15" i="32"/>
  <c r="BL15" i="32"/>
  <c r="BE15" i="32"/>
  <c r="BN15" i="32"/>
  <c r="AI15" i="32"/>
  <c r="BZ15" i="32"/>
  <c r="BS15" i="32"/>
  <c r="AQ15" i="32"/>
  <c r="BQ15" i="32"/>
  <c r="CB15" i="32"/>
  <c r="V15" i="32"/>
  <c r="BW15" i="32"/>
  <c r="AK15" i="32"/>
  <c r="AE15" i="32"/>
  <c r="BF15" i="32"/>
  <c r="Q15" i="32"/>
  <c r="AH15" i="32"/>
  <c r="AU15" i="32"/>
  <c r="AZ15" i="32"/>
  <c r="BH15" i="32"/>
  <c r="AB15" i="32"/>
  <c r="Y15" i="32"/>
  <c r="AR15" i="32"/>
  <c r="BI15" i="32"/>
  <c r="BO15" i="32"/>
  <c r="AM15" i="32"/>
  <c r="R15" i="32"/>
  <c r="X15" i="32"/>
  <c r="AG15" i="32"/>
  <c r="BX15" i="32"/>
  <c r="BY15" i="32"/>
  <c r="CA15" i="32"/>
  <c r="BR15" i="32"/>
  <c r="Z15" i="32"/>
  <c r="AF15" i="32"/>
  <c r="AA15" i="32"/>
  <c r="AC15" i="32"/>
  <c r="AN15" i="32"/>
  <c r="BM15" i="32"/>
  <c r="AL15" i="32"/>
  <c r="AJ15" i="32"/>
  <c r="AT15" i="32"/>
  <c r="AO15" i="32"/>
  <c r="U15" i="32"/>
  <c r="S15" i="32"/>
  <c r="BJ15" i="32"/>
  <c r="AV15" i="32"/>
  <c r="BC15" i="32"/>
  <c r="BU15" i="32"/>
  <c r="CC15" i="32"/>
  <c r="AS15" i="32"/>
  <c r="AX15" i="32"/>
  <c r="W15" i="32"/>
  <c r="AD15" i="32"/>
  <c r="BT15" i="32"/>
  <c r="BV15" i="32"/>
  <c r="AP15" i="32"/>
  <c r="AY15" i="32"/>
  <c r="BJ8" i="32"/>
  <c r="BK8" i="32"/>
  <c r="CB8" i="32"/>
  <c r="AY8" i="32"/>
  <c r="AA8" i="32"/>
  <c r="AS8" i="32"/>
  <c r="BG8" i="32"/>
  <c r="Q8" i="32"/>
  <c r="BR8" i="32"/>
  <c r="BS8" i="32"/>
  <c r="Y8" i="32"/>
  <c r="BM8" i="32"/>
  <c r="AO8" i="32"/>
  <c r="BT8" i="32"/>
  <c r="AH8" i="32"/>
  <c r="BW8" i="32"/>
  <c r="W8" i="32"/>
  <c r="AV8" i="32"/>
  <c r="AI8" i="32"/>
  <c r="BO8" i="32"/>
  <c r="S8" i="32"/>
  <c r="BE8" i="32"/>
  <c r="AE8" i="32"/>
  <c r="BF8" i="32"/>
  <c r="BY8" i="32"/>
  <c r="BD8" i="32"/>
  <c r="BH8" i="32"/>
  <c r="V8" i="32"/>
  <c r="AM8" i="32"/>
  <c r="BP8" i="32"/>
  <c r="X8" i="32"/>
  <c r="AR8" i="32"/>
  <c r="AF8" i="32"/>
  <c r="BU8" i="32"/>
  <c r="AD8" i="32"/>
  <c r="AU8" i="32"/>
  <c r="AK8" i="32"/>
  <c r="AN8" i="32"/>
  <c r="BQ8" i="32"/>
  <c r="BL8" i="32"/>
  <c r="AL8" i="32"/>
  <c r="BC8" i="32"/>
  <c r="AZ8" i="32"/>
  <c r="AB8" i="32"/>
  <c r="AT8" i="32"/>
  <c r="CA8" i="32"/>
  <c r="BI8" i="32"/>
  <c r="BN8" i="32"/>
  <c r="R8" i="32"/>
  <c r="AG8" i="32"/>
  <c r="T8" i="32"/>
  <c r="AX8" i="32"/>
  <c r="AC8" i="32"/>
  <c r="BZ8" i="32"/>
  <c r="BX8" i="32"/>
  <c r="AQ8" i="32"/>
  <c r="BV8" i="32"/>
  <c r="U8" i="32"/>
  <c r="AW8" i="32"/>
  <c r="Z8" i="32"/>
  <c r="AP8" i="32"/>
  <c r="AJ8" i="32"/>
  <c r="CC8" i="32"/>
  <c r="BA8" i="32"/>
  <c r="BB8" i="32"/>
  <c r="BP13" i="32"/>
  <c r="BQ13" i="32"/>
  <c r="X13" i="32"/>
  <c r="BO13" i="32"/>
  <c r="BE13" i="32"/>
  <c r="R13" i="32"/>
  <c r="AH13" i="32"/>
  <c r="AN13" i="32"/>
  <c r="BX13" i="32"/>
  <c r="BY13" i="32"/>
  <c r="AI13" i="32"/>
  <c r="AD13" i="32"/>
  <c r="BT13" i="32"/>
  <c r="AT13" i="32"/>
  <c r="BL13" i="32"/>
  <c r="AM13" i="32"/>
  <c r="AC13" i="32"/>
  <c r="BF13" i="32"/>
  <c r="BC13" i="32"/>
  <c r="AX13" i="32"/>
  <c r="CA13" i="32"/>
  <c r="CC13" i="32"/>
  <c r="T13" i="32"/>
  <c r="AK13" i="32"/>
  <c r="BR13" i="32"/>
  <c r="AP13" i="32"/>
  <c r="BV13" i="32"/>
  <c r="W13" i="32"/>
  <c r="AG13" i="32"/>
  <c r="AB13" i="32"/>
  <c r="AS13" i="32"/>
  <c r="CB13" i="32"/>
  <c r="BD13" i="32"/>
  <c r="AF13" i="32"/>
  <c r="BG13" i="32"/>
  <c r="AJ13" i="32"/>
  <c r="BA13" i="32"/>
  <c r="AW13" i="32"/>
  <c r="BS13" i="32"/>
  <c r="AY13" i="32"/>
  <c r="BB13" i="32"/>
  <c r="AR13" i="32"/>
  <c r="BI13" i="32"/>
  <c r="BJ13" i="32"/>
  <c r="BW13" i="32"/>
  <c r="BK13" i="32"/>
  <c r="AZ13" i="32"/>
  <c r="Z13" i="32"/>
  <c r="BU13" i="32"/>
  <c r="AE13" i="32"/>
  <c r="BZ13" i="32"/>
  <c r="BM13" i="32"/>
  <c r="Q13" i="32"/>
  <c r="AO13" i="32"/>
  <c r="Y13" i="32"/>
  <c r="BH13" i="32"/>
  <c r="BN13" i="32"/>
  <c r="AV13" i="32"/>
  <c r="V13" i="32"/>
  <c r="AA13" i="32"/>
  <c r="AQ13" i="32"/>
  <c r="S13" i="32"/>
  <c r="U13" i="32"/>
  <c r="AU13" i="32"/>
  <c r="AL13" i="32"/>
  <c r="AT17" i="32"/>
  <c r="BE17" i="32"/>
  <c r="CC17" i="32"/>
  <c r="AP17" i="32"/>
  <c r="AH17" i="32"/>
  <c r="BQ17" i="32"/>
  <c r="BV17" i="32"/>
  <c r="AQ17" i="32"/>
  <c r="T17" i="32"/>
  <c r="BB17" i="32"/>
  <c r="BN17" i="32"/>
  <c r="AE17" i="32"/>
  <c r="AZ17" i="32"/>
  <c r="AW17" i="32"/>
  <c r="Y17" i="32"/>
  <c r="AI17" i="32"/>
  <c r="BA17" i="32"/>
  <c r="BR17" i="32"/>
  <c r="AX17" i="32"/>
  <c r="AF17" i="32"/>
  <c r="V17" i="32"/>
  <c r="BF17" i="32"/>
  <c r="BG17" i="32"/>
  <c r="AB17" i="32"/>
  <c r="BZ17" i="32"/>
  <c r="BH17" i="32"/>
  <c r="BK17" i="32"/>
  <c r="AR17" i="32"/>
  <c r="CA17" i="32"/>
  <c r="U17" i="32"/>
  <c r="AA17" i="32"/>
  <c r="BS17" i="32"/>
  <c r="BU17" i="32"/>
  <c r="BP17" i="32"/>
  <c r="X17" i="32"/>
  <c r="AC17" i="32"/>
  <c r="AM17" i="32"/>
  <c r="AO17" i="32"/>
  <c r="AG17" i="32"/>
  <c r="W17" i="32"/>
  <c r="BY17" i="32"/>
  <c r="AV17" i="32"/>
  <c r="AY17" i="32"/>
  <c r="AU17" i="32"/>
  <c r="AS17" i="32"/>
  <c r="AK17" i="32"/>
  <c r="AD17" i="32"/>
  <c r="BW17" i="32"/>
  <c r="BI17" i="32"/>
  <c r="BM17" i="32"/>
  <c r="BC17" i="32"/>
  <c r="S17" i="32"/>
  <c r="R17" i="32"/>
  <c r="BJ17" i="32"/>
  <c r="AJ17" i="32"/>
  <c r="Q17" i="32"/>
  <c r="CB17" i="32"/>
  <c r="AL17" i="32"/>
  <c r="Z17" i="32"/>
  <c r="BL17" i="32"/>
  <c r="AN17" i="32"/>
  <c r="BD17" i="32"/>
  <c r="BT17" i="32"/>
  <c r="BO17" i="32"/>
  <c r="BX17" i="32"/>
  <c r="R19" i="32"/>
  <c r="Y19" i="32"/>
  <c r="AF19" i="32"/>
  <c r="BC19" i="32"/>
  <c r="BY19" i="32"/>
  <c r="BQ19" i="32"/>
  <c r="BE19" i="32"/>
  <c r="CA19" i="32"/>
  <c r="BG19" i="32"/>
  <c r="Z19" i="32"/>
  <c r="AI19" i="32"/>
  <c r="AQ19" i="32"/>
  <c r="BM19" i="32"/>
  <c r="Q19" i="32"/>
  <c r="AA19" i="32"/>
  <c r="BZ19" i="32"/>
  <c r="AN19" i="32"/>
  <c r="BA19" i="32"/>
  <c r="W19" i="32"/>
  <c r="BO19" i="32"/>
  <c r="BR19" i="32"/>
  <c r="AC19" i="32"/>
  <c r="BI19" i="32"/>
  <c r="AH19" i="32"/>
  <c r="BJ19" i="32"/>
  <c r="AG19" i="32"/>
  <c r="AE19" i="32"/>
  <c r="AB19" i="32"/>
  <c r="BU19" i="32"/>
  <c r="AP19" i="32"/>
  <c r="BS19" i="32"/>
  <c r="AS19" i="32"/>
  <c r="AW19" i="32"/>
  <c r="AV19" i="32"/>
  <c r="AL19" i="32"/>
  <c r="AX19" i="32"/>
  <c r="CB19" i="32"/>
  <c r="BX19" i="32"/>
  <c r="BP19" i="32"/>
  <c r="BT19" i="32"/>
  <c r="U19" i="32"/>
  <c r="BF19" i="32"/>
  <c r="V19" i="32"/>
  <c r="X19" i="32"/>
  <c r="S19" i="32"/>
  <c r="AD19" i="32"/>
  <c r="BK19" i="32"/>
  <c r="BN19" i="32"/>
  <c r="BB19" i="32"/>
  <c r="AJ19" i="32"/>
  <c r="AK19" i="32"/>
  <c r="AM19" i="32"/>
  <c r="AO19" i="32"/>
  <c r="BD19" i="32"/>
  <c r="AU19" i="32"/>
  <c r="BH19" i="32"/>
  <c r="AR19" i="32"/>
  <c r="BL19" i="32"/>
  <c r="AZ19" i="32"/>
  <c r="AY19" i="32"/>
  <c r="BV19" i="32"/>
  <c r="CC19" i="32"/>
  <c r="T19" i="32"/>
  <c r="BW19" i="32"/>
  <c r="AT19" i="32"/>
  <c r="AF23" i="32"/>
  <c r="AD23" i="32"/>
  <c r="AO23" i="32"/>
  <c r="BC23" i="32"/>
  <c r="Q23" i="32"/>
  <c r="Y23" i="32"/>
  <c r="AK23" i="32"/>
  <c r="BH23" i="32"/>
  <c r="AN23" i="32"/>
  <c r="AM23" i="32"/>
  <c r="AX23" i="32"/>
  <c r="BQ23" i="32"/>
  <c r="AI23" i="32"/>
  <c r="AL23" i="32"/>
  <c r="BS23" i="32"/>
  <c r="CA23" i="32"/>
  <c r="X23" i="32"/>
  <c r="BF23" i="32"/>
  <c r="S23" i="32"/>
  <c r="BR23" i="32"/>
  <c r="BU23" i="32"/>
  <c r="BZ23" i="32"/>
  <c r="AU23" i="32"/>
  <c r="AV23" i="32"/>
  <c r="BO23" i="32"/>
  <c r="AG23" i="32"/>
  <c r="AY23" i="32"/>
  <c r="AA23" i="32"/>
  <c r="AC23" i="32"/>
  <c r="BD23" i="32"/>
  <c r="BX23" i="32"/>
  <c r="AR23" i="32"/>
  <c r="BM23" i="32"/>
  <c r="AQ23" i="32"/>
  <c r="BK23" i="32"/>
  <c r="BL23" i="32"/>
  <c r="V23" i="32"/>
  <c r="CC23" i="32"/>
  <c r="R23" i="32"/>
  <c r="BI23" i="32"/>
  <c r="BJ23" i="32"/>
  <c r="BT23" i="32"/>
  <c r="AE23" i="32"/>
  <c r="T23" i="32"/>
  <c r="AJ23" i="32"/>
  <c r="BW23" i="32"/>
  <c r="W23" i="32"/>
  <c r="CB23" i="32"/>
  <c r="BG23" i="32"/>
  <c r="AH23" i="32"/>
  <c r="AZ23" i="32"/>
  <c r="AP23" i="32"/>
  <c r="Z23" i="32"/>
  <c r="AW23" i="32"/>
  <c r="AT23" i="32"/>
  <c r="BY23" i="32"/>
  <c r="AS23" i="32"/>
  <c r="BB23" i="32"/>
  <c r="BV23" i="32"/>
  <c r="BP23" i="32"/>
  <c r="BA23" i="32"/>
  <c r="AB23" i="32"/>
  <c r="BE23" i="32"/>
  <c r="BN23" i="32"/>
  <c r="U23" i="32"/>
  <c r="AN27" i="32"/>
  <c r="AO27" i="32"/>
  <c r="BE27" i="32"/>
  <c r="BQ27" i="32"/>
  <c r="BC27" i="32"/>
  <c r="AI27" i="32"/>
  <c r="AL27" i="32"/>
  <c r="AM27" i="32"/>
  <c r="AV27" i="32"/>
  <c r="AX27" i="32"/>
  <c r="BO27" i="32"/>
  <c r="CA27" i="32"/>
  <c r="BS27" i="32"/>
  <c r="AY27" i="32"/>
  <c r="BM27" i="32"/>
  <c r="BU27" i="32"/>
  <c r="AF27" i="32"/>
  <c r="BP27" i="32"/>
  <c r="AK27" i="32"/>
  <c r="AQ27" i="32"/>
  <c r="BX27" i="32"/>
  <c r="BW27" i="32"/>
  <c r="BD27" i="32"/>
  <c r="BY27" i="32"/>
  <c r="AU27" i="32"/>
  <c r="S27" i="32"/>
  <c r="AD27" i="32"/>
  <c r="W27" i="32"/>
  <c r="BL27" i="32"/>
  <c r="Z27" i="32"/>
  <c r="BF27" i="32"/>
  <c r="AG27" i="32"/>
  <c r="BH27" i="32"/>
  <c r="CC27" i="32"/>
  <c r="BT27" i="32"/>
  <c r="AJ27" i="32"/>
  <c r="AB27" i="32"/>
  <c r="AS27" i="32"/>
  <c r="AH27" i="32"/>
  <c r="R27" i="32"/>
  <c r="CB27" i="32"/>
  <c r="AT27" i="32"/>
  <c r="AP27" i="32"/>
  <c r="BI27" i="32"/>
  <c r="BJ27" i="32"/>
  <c r="AZ27" i="32"/>
  <c r="V27" i="32"/>
  <c r="BZ27" i="32"/>
  <c r="BB27" i="32"/>
  <c r="BV27" i="32"/>
  <c r="Y27" i="32"/>
  <c r="AR27" i="32"/>
  <c r="AC27" i="32"/>
  <c r="X27" i="32"/>
  <c r="T27" i="32"/>
  <c r="AW27" i="32"/>
  <c r="AA27" i="32"/>
  <c r="BR27" i="32"/>
  <c r="U27" i="32"/>
  <c r="BK27" i="32"/>
  <c r="AE27" i="32"/>
  <c r="BA27" i="32"/>
  <c r="BG27" i="32"/>
  <c r="Q27" i="32"/>
  <c r="BN27" i="32"/>
  <c r="AP31" i="32"/>
  <c r="AZ31" i="32"/>
  <c r="BN31" i="32"/>
  <c r="AA31" i="32"/>
  <c r="Q31" i="32"/>
  <c r="AC31" i="32"/>
  <c r="AM31" i="32"/>
  <c r="BG31" i="32"/>
  <c r="AV31" i="32"/>
  <c r="Y31" i="32"/>
  <c r="AR31" i="32"/>
  <c r="CA31" i="32"/>
  <c r="AJ31" i="32"/>
  <c r="BR31" i="32"/>
  <c r="V31" i="32"/>
  <c r="BD31" i="32"/>
  <c r="AH31" i="32"/>
  <c r="BC31" i="32"/>
  <c r="AL31" i="32"/>
  <c r="BB31" i="32"/>
  <c r="Z31" i="32"/>
  <c r="AT31" i="32"/>
  <c r="AG31" i="32"/>
  <c r="BY31" i="32"/>
  <c r="BO31" i="32"/>
  <c r="R31" i="32"/>
  <c r="BM31" i="32"/>
  <c r="AY31" i="32"/>
  <c r="S31" i="32"/>
  <c r="AX31" i="32"/>
  <c r="AK31" i="32"/>
  <c r="U31" i="32"/>
  <c r="BH31" i="32"/>
  <c r="AD31" i="32"/>
  <c r="BK31" i="32"/>
  <c r="BF31" i="32"/>
  <c r="CC31" i="32"/>
  <c r="BP31" i="32"/>
  <c r="BZ31" i="32"/>
  <c r="BU31" i="32"/>
  <c r="BV31" i="32"/>
  <c r="AO31" i="32"/>
  <c r="X31" i="32"/>
  <c r="BX31" i="32"/>
  <c r="T31" i="32"/>
  <c r="AI31" i="32"/>
  <c r="AW31" i="32"/>
  <c r="BJ31" i="32"/>
  <c r="AF31" i="32"/>
  <c r="AQ31" i="32"/>
  <c r="AE31" i="32"/>
  <c r="BA31" i="32"/>
  <c r="BL31" i="32"/>
  <c r="AU31" i="32"/>
  <c r="W31" i="32"/>
  <c r="AB31" i="32"/>
  <c r="BQ31" i="32"/>
  <c r="AS31" i="32"/>
  <c r="BE31" i="32"/>
  <c r="AN31" i="32"/>
  <c r="BI31" i="32"/>
  <c r="CB31" i="32"/>
  <c r="BS31" i="32"/>
  <c r="BT31" i="32"/>
  <c r="BW31" i="32"/>
  <c r="R10" i="32"/>
  <c r="S10" i="32"/>
  <c r="V10" i="32"/>
  <c r="AZ10" i="32"/>
  <c r="AE10" i="32"/>
  <c r="BU10" i="32"/>
  <c r="BM10" i="32"/>
  <c r="BZ10" i="32"/>
  <c r="BD10" i="32"/>
  <c r="AX10" i="32"/>
  <c r="BG10" i="32"/>
  <c r="AB10" i="32"/>
  <c r="Q10" i="32"/>
  <c r="X10" i="32"/>
  <c r="BP10" i="32"/>
  <c r="AC10" i="32"/>
  <c r="BF10" i="32"/>
  <c r="BO10" i="32"/>
  <c r="AM10" i="32"/>
  <c r="AT10" i="32"/>
  <c r="AV10" i="32"/>
  <c r="AJ10" i="32"/>
  <c r="AO10" i="32"/>
  <c r="AI10" i="32"/>
  <c r="BX10" i="32"/>
  <c r="BT10" i="32"/>
  <c r="BR10" i="32"/>
  <c r="CB10" i="32"/>
  <c r="AQ10" i="32"/>
  <c r="BK10" i="32"/>
  <c r="T10" i="32"/>
  <c r="AK10" i="32"/>
  <c r="AN10" i="32"/>
  <c r="Z10" i="32"/>
  <c r="AY10" i="32"/>
  <c r="BY10" i="32"/>
  <c r="AG10" i="32"/>
  <c r="AL10" i="32"/>
  <c r="BJ10" i="32"/>
  <c r="AH10" i="32"/>
  <c r="BW10" i="32"/>
  <c r="AD10" i="32"/>
  <c r="AU10" i="32"/>
  <c r="CA10" i="32"/>
  <c r="BA10" i="32"/>
  <c r="AP10" i="32"/>
  <c r="AF10" i="32"/>
  <c r="AS10" i="32"/>
  <c r="BI10" i="32"/>
  <c r="W10" i="32"/>
  <c r="BN10" i="32"/>
  <c r="AR10" i="32"/>
  <c r="BE10" i="32"/>
  <c r="BQ10" i="32"/>
  <c r="BC10" i="32"/>
  <c r="BL10" i="32"/>
  <c r="CC10" i="32"/>
  <c r="AA10" i="32"/>
  <c r="BB10" i="32"/>
  <c r="BS10" i="32"/>
  <c r="BH10" i="32"/>
  <c r="Y10" i="32"/>
  <c r="AW10" i="32"/>
  <c r="BV10" i="32"/>
  <c r="U10" i="32"/>
  <c r="Z14" i="32"/>
  <c r="AA14" i="32"/>
  <c r="AJ14" i="32"/>
  <c r="BC14" i="32"/>
  <c r="AF14" i="32"/>
  <c r="BX14" i="32"/>
  <c r="BM14" i="32"/>
  <c r="AO14" i="32"/>
  <c r="BF14" i="32"/>
  <c r="BO14" i="32"/>
  <c r="AE14" i="32"/>
  <c r="Q14" i="32"/>
  <c r="AB14" i="32"/>
  <c r="BR14" i="32"/>
  <c r="BL14" i="32"/>
  <c r="BN14" i="32"/>
  <c r="BW14" i="32"/>
  <c r="AR14" i="32"/>
  <c r="AU14" i="32"/>
  <c r="AZ14" i="32"/>
  <c r="V14" i="32"/>
  <c r="CA14" i="32"/>
  <c r="AH14" i="32"/>
  <c r="BG14" i="32"/>
  <c r="CB14" i="32"/>
  <c r="AG14" i="32"/>
  <c r="AN14" i="32"/>
  <c r="W14" i="32"/>
  <c r="AP14" i="32"/>
  <c r="X14" i="32"/>
  <c r="AD14" i="32"/>
  <c r="AV14" i="32"/>
  <c r="AW14" i="32"/>
  <c r="AK14" i="32"/>
  <c r="AX14" i="32"/>
  <c r="AT14" i="32"/>
  <c r="AS14" i="32"/>
  <c r="BJ14" i="32"/>
  <c r="CC14" i="32"/>
  <c r="BV14" i="32"/>
  <c r="BD14" i="32"/>
  <c r="BH14" i="32"/>
  <c r="BS14" i="32"/>
  <c r="Y14" i="32"/>
  <c r="S14" i="32"/>
  <c r="BP14" i="32"/>
  <c r="BT14" i="32"/>
  <c r="BE14" i="32"/>
  <c r="AI14" i="32"/>
  <c r="BZ14" i="32"/>
  <c r="BI14" i="32"/>
  <c r="BA14" i="32"/>
  <c r="BB14" i="32"/>
  <c r="AC14" i="32"/>
  <c r="U14" i="32"/>
  <c r="AM14" i="32"/>
  <c r="BK14" i="32"/>
  <c r="AL14" i="32"/>
  <c r="T14" i="32"/>
  <c r="BY14" i="32"/>
  <c r="R14" i="32"/>
  <c r="AQ14" i="32"/>
  <c r="AY14" i="32"/>
  <c r="BQ14" i="32"/>
  <c r="BU14" i="32"/>
  <c r="AJ21" i="32"/>
  <c r="AQ21" i="32"/>
  <c r="AS21" i="32"/>
  <c r="AT21" i="32"/>
  <c r="X21" i="32"/>
  <c r="AL21" i="32"/>
  <c r="AV21" i="32"/>
  <c r="AX21" i="32"/>
  <c r="BP21" i="32"/>
  <c r="Q21" i="32"/>
  <c r="AA21" i="32"/>
  <c r="BO21" i="32"/>
  <c r="BF21" i="32"/>
  <c r="U21" i="32"/>
  <c r="AW21" i="32"/>
  <c r="BX21" i="32"/>
  <c r="Z21" i="32"/>
  <c r="AK21" i="32"/>
  <c r="AN21" i="32"/>
  <c r="BY21" i="32"/>
  <c r="BG21" i="32"/>
  <c r="AF21" i="32"/>
  <c r="BH21" i="32"/>
  <c r="BB21" i="32"/>
  <c r="W21" i="32"/>
  <c r="S21" i="32"/>
  <c r="BM21" i="32"/>
  <c r="Y21" i="32"/>
  <c r="BK21" i="32"/>
  <c r="AM21" i="32"/>
  <c r="V21" i="32"/>
  <c r="AE21" i="32"/>
  <c r="AH21" i="32"/>
  <c r="BT21" i="32"/>
  <c r="AY21" i="32"/>
  <c r="AP21" i="32"/>
  <c r="BR21" i="32"/>
  <c r="BA21" i="32"/>
  <c r="CC21" i="32"/>
  <c r="BD21" i="32"/>
  <c r="BI21" i="32"/>
  <c r="AU21" i="32"/>
  <c r="T21" i="32"/>
  <c r="BJ21" i="32"/>
  <c r="R21" i="32"/>
  <c r="BQ21" i="32"/>
  <c r="CA21" i="32"/>
  <c r="BV21" i="32"/>
  <c r="AB21" i="32"/>
  <c r="BS21" i="32"/>
  <c r="BC21" i="32"/>
  <c r="AG21" i="32"/>
  <c r="AD21" i="32"/>
  <c r="AO21" i="32"/>
  <c r="AZ21" i="32"/>
  <c r="AC21" i="32"/>
  <c r="BW21" i="32"/>
  <c r="BN21" i="32"/>
  <c r="CB21" i="32"/>
  <c r="BZ21" i="32"/>
  <c r="AI21" i="32"/>
  <c r="BL21" i="32"/>
  <c r="BU21" i="32"/>
  <c r="BE21" i="32"/>
  <c r="AR21" i="32"/>
  <c r="AP30" i="32"/>
  <c r="BA30" i="32"/>
  <c r="BB30" i="32"/>
  <c r="BU30" i="32"/>
  <c r="AQ30" i="32"/>
  <c r="V30" i="32"/>
  <c r="BE30" i="32"/>
  <c r="AF30" i="32"/>
  <c r="BV30" i="32"/>
  <c r="AA30" i="32"/>
  <c r="AV30" i="32"/>
  <c r="AE30" i="32"/>
  <c r="AO30" i="32"/>
  <c r="AZ30" i="32"/>
  <c r="BX30" i="32"/>
  <c r="Y30" i="32"/>
  <c r="AJ30" i="32"/>
  <c r="BH30" i="32"/>
  <c r="BD30" i="32"/>
  <c r="BL30" i="32"/>
  <c r="BO30" i="32"/>
  <c r="BQ30" i="32"/>
  <c r="AR30" i="32"/>
  <c r="CC30" i="32"/>
  <c r="T30" i="32"/>
  <c r="AT30" i="32"/>
  <c r="AU30" i="32"/>
  <c r="R30" i="32"/>
  <c r="BJ30" i="32"/>
  <c r="W30" i="32"/>
  <c r="BP30" i="32"/>
  <c r="BM30" i="32"/>
  <c r="AG30" i="32"/>
  <c r="Z30" i="32"/>
  <c r="BS30" i="32"/>
  <c r="AK30" i="32"/>
  <c r="CA30" i="32"/>
  <c r="S30" i="32"/>
  <c r="AY30" i="32"/>
  <c r="AH30" i="32"/>
  <c r="CB30" i="32"/>
  <c r="X30" i="32"/>
  <c r="U30" i="32"/>
  <c r="AM30" i="32"/>
  <c r="BR30" i="32"/>
  <c r="AX30" i="32"/>
  <c r="Q30" i="32"/>
  <c r="AL30" i="32"/>
  <c r="AN30" i="32"/>
  <c r="BY30" i="32"/>
  <c r="BF30" i="32"/>
  <c r="AS30" i="32"/>
  <c r="AW30" i="32"/>
  <c r="BG30" i="32"/>
  <c r="BC30" i="32"/>
  <c r="BT30" i="32"/>
  <c r="BZ30" i="32"/>
  <c r="AC30" i="32"/>
  <c r="AI30" i="32"/>
  <c r="BK30" i="32"/>
  <c r="BI30" i="32"/>
  <c r="BW30" i="32"/>
  <c r="AB30" i="32"/>
  <c r="BN30" i="32"/>
  <c r="AD30" i="32"/>
  <c r="AZ18" i="32"/>
  <c r="BC18" i="32"/>
  <c r="BZ18" i="32"/>
  <c r="AC18" i="32"/>
  <c r="BM18" i="32"/>
  <c r="X18" i="32"/>
  <c r="CC18" i="32"/>
  <c r="AH18" i="32"/>
  <c r="R18" i="32"/>
  <c r="AU18" i="32"/>
  <c r="CA18" i="32"/>
  <c r="AX18" i="32"/>
  <c r="AS18" i="32"/>
  <c r="BD18" i="32"/>
  <c r="BK18" i="32"/>
  <c r="T18" i="32"/>
  <c r="AA18" i="32"/>
  <c r="BE18" i="32"/>
  <c r="Q18" i="32"/>
  <c r="S18" i="32"/>
  <c r="BT18" i="32"/>
  <c r="U18" i="32"/>
  <c r="AD18" i="32"/>
  <c r="AJ18" i="32"/>
  <c r="BU18" i="32"/>
  <c r="BQ18" i="32"/>
  <c r="AY18" i="32"/>
  <c r="AN18" i="32"/>
  <c r="AO18" i="32"/>
  <c r="AR18" i="32"/>
  <c r="Y18" i="32"/>
  <c r="AM18" i="32"/>
  <c r="BN18" i="32"/>
  <c r="BI18" i="32"/>
  <c r="BH18" i="32"/>
  <c r="AI18" i="32"/>
  <c r="AW18" i="32"/>
  <c r="W18" i="32"/>
  <c r="BA18" i="32"/>
  <c r="BP18" i="32"/>
  <c r="BO18" i="32"/>
  <c r="BG18" i="32"/>
  <c r="AQ18" i="32"/>
  <c r="BJ18" i="32"/>
  <c r="BX18" i="32"/>
  <c r="Z18" i="32"/>
  <c r="BR18" i="32"/>
  <c r="BS18" i="32"/>
  <c r="AP18" i="32"/>
  <c r="AK18" i="32"/>
  <c r="AL18" i="32"/>
  <c r="CB18" i="32"/>
  <c r="AE18" i="32"/>
  <c r="BY18" i="32"/>
  <c r="AG18" i="32"/>
  <c r="BW18" i="32"/>
  <c r="AT18" i="32"/>
  <c r="BL18" i="32"/>
  <c r="BV18" i="32"/>
  <c r="AV18" i="32"/>
  <c r="BB18" i="32"/>
  <c r="AB18" i="32"/>
  <c r="V18" i="32"/>
  <c r="BF18" i="32"/>
  <c r="AF18" i="32"/>
  <c r="BH9" i="32"/>
  <c r="BI9" i="32"/>
  <c r="BZ9" i="32"/>
  <c r="AN9" i="32"/>
  <c r="AP9" i="32"/>
  <c r="BU9" i="32"/>
  <c r="CB9" i="32"/>
  <c r="AX9" i="32"/>
  <c r="T9" i="32"/>
  <c r="AC9" i="32"/>
  <c r="AT9" i="32"/>
  <c r="CC9" i="32"/>
  <c r="AD9" i="32"/>
  <c r="AM9" i="32"/>
  <c r="BJ9" i="32"/>
  <c r="BK9" i="32"/>
  <c r="AB9" i="32"/>
  <c r="AK9" i="32"/>
  <c r="BD9" i="32"/>
  <c r="Z9" i="32"/>
  <c r="BF9" i="32"/>
  <c r="BV9" i="32"/>
  <c r="R9" i="32"/>
  <c r="BP9" i="32"/>
  <c r="AH9" i="32"/>
  <c r="BO9" i="32"/>
  <c r="BM9" i="32"/>
  <c r="AG9" i="32"/>
  <c r="BX9" i="32"/>
  <c r="BN9" i="32"/>
  <c r="AA9" i="32"/>
  <c r="Y9" i="32"/>
  <c r="CA9" i="32"/>
  <c r="U9" i="32"/>
  <c r="S9" i="32"/>
  <c r="AO9" i="32"/>
  <c r="AW9" i="32"/>
  <c r="AE9" i="32"/>
  <c r="AS9" i="32"/>
  <c r="AF9" i="32"/>
  <c r="BC9" i="32"/>
  <c r="Q9" i="32"/>
  <c r="AI9" i="32"/>
  <c r="BA9" i="32"/>
  <c r="AQ9" i="32"/>
  <c r="BS9" i="32"/>
  <c r="AU9" i="32"/>
  <c r="AL9" i="32"/>
  <c r="AJ9" i="32"/>
  <c r="BQ9" i="32"/>
  <c r="BE9" i="32"/>
  <c r="BT9" i="32"/>
  <c r="BW9" i="32"/>
  <c r="BL9" i="32"/>
  <c r="AZ9" i="32"/>
  <c r="AY9" i="32"/>
  <c r="X9" i="32"/>
  <c r="AV9" i="32"/>
  <c r="V9" i="32"/>
  <c r="BY9" i="32"/>
  <c r="BG9" i="32"/>
  <c r="BR9" i="32"/>
  <c r="BB9" i="32"/>
  <c r="W9" i="32"/>
  <c r="AR9" i="32"/>
  <c r="BN22" i="32"/>
  <c r="BZ22" i="32"/>
  <c r="Y22" i="32"/>
  <c r="BG22" i="32"/>
  <c r="AV22" i="32"/>
  <c r="U22" i="32"/>
  <c r="AN22" i="32"/>
  <c r="AS22" i="32"/>
  <c r="Z22" i="32"/>
  <c r="AO22" i="32"/>
  <c r="BI22" i="32"/>
  <c r="AD22" i="32"/>
  <c r="AB22" i="32"/>
  <c r="AM22" i="32"/>
  <c r="AA22" i="32"/>
  <c r="AH22" i="32"/>
  <c r="AY22" i="32"/>
  <c r="BR22" i="32"/>
  <c r="AT22" i="32"/>
  <c r="BO22" i="32"/>
  <c r="BE22" i="32"/>
  <c r="BM22" i="32"/>
  <c r="AF22" i="32"/>
  <c r="AI22" i="32"/>
  <c r="AU22" i="32"/>
  <c r="BT22" i="32"/>
  <c r="CC22" i="32"/>
  <c r="BH22" i="32"/>
  <c r="AR22" i="32"/>
  <c r="BK22" i="32"/>
  <c r="BY22" i="32"/>
  <c r="BL22" i="32"/>
  <c r="R22" i="32"/>
  <c r="BQ22" i="32"/>
  <c r="BA22" i="32"/>
  <c r="BW22" i="32"/>
  <c r="AJ22" i="32"/>
  <c r="V22" i="32"/>
  <c r="AP22" i="32"/>
  <c r="X22" i="32"/>
  <c r="BJ22" i="32"/>
  <c r="AC22" i="32"/>
  <c r="BS22" i="32"/>
  <c r="BB22" i="32"/>
  <c r="AX22" i="32"/>
  <c r="AG22" i="32"/>
  <c r="Q22" i="32"/>
  <c r="AW22" i="32"/>
  <c r="AL22" i="32"/>
  <c r="T22" i="32"/>
  <c r="BF22" i="32"/>
  <c r="AQ22" i="32"/>
  <c r="BU22" i="32"/>
  <c r="BP22" i="32"/>
  <c r="BX22" i="32"/>
  <c r="CA22" i="32"/>
  <c r="AE22" i="32"/>
  <c r="AK22" i="32"/>
  <c r="BC22" i="32"/>
  <c r="CB22" i="32"/>
  <c r="W22" i="32"/>
  <c r="AZ22" i="32"/>
  <c r="S22" i="32"/>
  <c r="BV22" i="32"/>
  <c r="BD22" i="32"/>
  <c r="BZ20" i="32"/>
  <c r="S20" i="32"/>
  <c r="AC20" i="32"/>
  <c r="BH20" i="32"/>
  <c r="AP20" i="32"/>
  <c r="BQ20" i="32"/>
  <c r="AO20" i="32"/>
  <c r="BS20" i="32"/>
  <c r="AL20" i="32"/>
  <c r="AS20" i="32"/>
  <c r="BM20" i="32"/>
  <c r="AF20" i="32"/>
  <c r="X20" i="32"/>
  <c r="AI20" i="32"/>
  <c r="AH20" i="32"/>
  <c r="AT20" i="32"/>
  <c r="BC20" i="32"/>
  <c r="BV20" i="32"/>
  <c r="AR20" i="32"/>
  <c r="BK20" i="32"/>
  <c r="BA20" i="32"/>
  <c r="BG20" i="32"/>
  <c r="AD20" i="32"/>
  <c r="BU20" i="32"/>
  <c r="BE20" i="32"/>
  <c r="BY20" i="32"/>
  <c r="AX20" i="32"/>
  <c r="CA20" i="32"/>
  <c r="BB20" i="32"/>
  <c r="AB20" i="32"/>
  <c r="BN20" i="32"/>
  <c r="CC20" i="32"/>
  <c r="AZ20" i="32"/>
  <c r="W20" i="32"/>
  <c r="BJ20" i="32"/>
  <c r="AK20" i="32"/>
  <c r="BW20" i="32"/>
  <c r="Y20" i="32"/>
  <c r="U20" i="32"/>
  <c r="BR20" i="32"/>
  <c r="AU20" i="32"/>
  <c r="BX20" i="32"/>
  <c r="AQ20" i="32"/>
  <c r="BF20" i="32"/>
  <c r="R20" i="32"/>
  <c r="BD20" i="32"/>
  <c r="Q20" i="32"/>
  <c r="BO20" i="32"/>
  <c r="CB20" i="32"/>
  <c r="AA20" i="32"/>
  <c r="T20" i="32"/>
  <c r="AG20" i="32"/>
  <c r="AE20" i="32"/>
  <c r="AN20" i="32"/>
  <c r="BI20" i="32"/>
  <c r="V20" i="32"/>
  <c r="AJ20" i="32"/>
  <c r="BL20" i="32"/>
  <c r="AM20" i="32"/>
  <c r="AY20" i="32"/>
  <c r="BT20" i="32"/>
  <c r="Z20" i="32"/>
  <c r="BP20" i="32"/>
  <c r="AV20" i="32"/>
  <c r="AW20" i="32"/>
  <c r="X33" i="32"/>
  <c r="Q33" i="32"/>
  <c r="CC33" i="32"/>
  <c r="AE33" i="32"/>
  <c r="BF33" i="32"/>
  <c r="AC33" i="32"/>
  <c r="AM33" i="32"/>
  <c r="BX33" i="32"/>
  <c r="AA33" i="32"/>
  <c r="AV33" i="32"/>
  <c r="AW33" i="32"/>
  <c r="BJ33" i="32"/>
  <c r="AH33" i="32"/>
  <c r="R33" i="32"/>
  <c r="BN33" i="32"/>
  <c r="BY33" i="32"/>
  <c r="BD33" i="32"/>
  <c r="BE33" i="32"/>
  <c r="BV33" i="32"/>
  <c r="AS33" i="32"/>
  <c r="AQ33" i="32"/>
  <c r="W33" i="32"/>
  <c r="AY33" i="32"/>
  <c r="BT33" i="32"/>
  <c r="AD33" i="32"/>
  <c r="U33" i="32"/>
  <c r="BO33" i="32"/>
  <c r="AX33" i="32"/>
  <c r="CB33" i="32"/>
  <c r="AP33" i="32"/>
  <c r="BQ33" i="32"/>
  <c r="BZ33" i="32"/>
  <c r="AJ33" i="32"/>
  <c r="Y33" i="32"/>
  <c r="AZ33" i="32"/>
  <c r="V33" i="32"/>
  <c r="AL33" i="32"/>
  <c r="AK33" i="32"/>
  <c r="AG33" i="32"/>
  <c r="S33" i="32"/>
  <c r="AI33" i="32"/>
  <c r="BK33" i="32"/>
  <c r="BI33" i="32"/>
  <c r="AO33" i="32"/>
  <c r="AR33" i="32"/>
  <c r="AT33" i="32"/>
  <c r="AU33" i="32"/>
  <c r="Z33" i="32"/>
  <c r="AF33" i="32"/>
  <c r="BM33" i="32"/>
  <c r="BC33" i="32"/>
  <c r="BG33" i="32"/>
  <c r="BS33" i="32"/>
  <c r="BA33" i="32"/>
  <c r="BL33" i="32"/>
  <c r="BW33" i="32"/>
  <c r="BB33" i="32"/>
  <c r="AB33" i="32"/>
  <c r="BU33" i="32"/>
  <c r="BH33" i="32"/>
  <c r="T33" i="32"/>
  <c r="BP33" i="32"/>
  <c r="CA33" i="32"/>
  <c r="BR33" i="32"/>
  <c r="AN33" i="32"/>
  <c r="AF37" i="32"/>
  <c r="Y37" i="32"/>
  <c r="R37" i="32"/>
  <c r="AM37" i="32"/>
  <c r="BJ37" i="32"/>
  <c r="W37" i="32"/>
  <c r="BW37" i="32"/>
  <c r="BK37" i="32"/>
  <c r="BD37" i="32"/>
  <c r="BE37" i="32"/>
  <c r="BR37" i="32"/>
  <c r="AP37" i="32"/>
  <c r="CA37" i="32"/>
  <c r="U37" i="32"/>
  <c r="BZ37" i="32"/>
  <c r="BL37" i="32"/>
  <c r="BM37" i="32"/>
  <c r="S37" i="32"/>
  <c r="AZ37" i="32"/>
  <c r="AS37" i="32"/>
  <c r="BC37" i="32"/>
  <c r="AJ37" i="32"/>
  <c r="AG37" i="32"/>
  <c r="BH37" i="32"/>
  <c r="AA37" i="32"/>
  <c r="AT37" i="32"/>
  <c r="BX37" i="32"/>
  <c r="AO37" i="32"/>
  <c r="AC37" i="32"/>
  <c r="AK37" i="32"/>
  <c r="BP37" i="32"/>
  <c r="X37" i="32"/>
  <c r="AW37" i="32"/>
  <c r="AY37" i="32"/>
  <c r="AU37" i="32"/>
  <c r="AE37" i="32"/>
  <c r="BY37" i="32"/>
  <c r="AN37" i="32"/>
  <c r="BU37" i="32"/>
  <c r="BI37" i="32"/>
  <c r="BG37" i="32"/>
  <c r="BN37" i="32"/>
  <c r="AQ37" i="32"/>
  <c r="AV37" i="32"/>
  <c r="CC37" i="32"/>
  <c r="BS37" i="32"/>
  <c r="BQ37" i="32"/>
  <c r="V37" i="32"/>
  <c r="BB37" i="32"/>
  <c r="BT37" i="32"/>
  <c r="AB37" i="32"/>
  <c r="T37" i="32"/>
  <c r="BO37" i="32"/>
  <c r="BF37" i="32"/>
  <c r="AR37" i="32"/>
  <c r="AX37" i="32"/>
  <c r="BV37" i="32"/>
  <c r="BA37" i="32"/>
  <c r="Z37" i="32"/>
  <c r="AI37" i="32"/>
  <c r="Q37" i="32"/>
  <c r="AL37" i="32"/>
  <c r="AD37" i="32"/>
  <c r="CB37" i="32"/>
  <c r="AH37" i="32"/>
  <c r="AN41" i="32"/>
  <c r="AG41" i="32"/>
  <c r="BJ41" i="32"/>
  <c r="CA41" i="32"/>
  <c r="BX41" i="32"/>
  <c r="BY41" i="32"/>
  <c r="BW41" i="32"/>
  <c r="AB41" i="32"/>
  <c r="BL41" i="32"/>
  <c r="BQ41" i="32"/>
  <c r="AZ41" i="32"/>
  <c r="AU41" i="32"/>
  <c r="BM41" i="32"/>
  <c r="BE41" i="32"/>
  <c r="BG41" i="32"/>
  <c r="BT41" i="32"/>
  <c r="BZ41" i="32"/>
  <c r="BI41" i="32"/>
  <c r="BK41" i="32"/>
  <c r="BN41" i="32"/>
  <c r="AC41" i="32"/>
  <c r="AM41" i="32"/>
  <c r="AF41" i="32"/>
  <c r="BH41" i="32"/>
  <c r="AI41" i="32"/>
  <c r="T41" i="32"/>
  <c r="AT41" i="32"/>
  <c r="AS41" i="32"/>
  <c r="AV41" i="32"/>
  <c r="Z41" i="32"/>
  <c r="BA41" i="32"/>
  <c r="AJ41" i="32"/>
  <c r="AD41" i="32"/>
  <c r="BV41" i="32"/>
  <c r="BD41" i="32"/>
  <c r="AR41" i="32"/>
  <c r="BS41" i="32"/>
  <c r="AW41" i="32"/>
  <c r="BP41" i="32"/>
  <c r="CB41" i="32"/>
  <c r="CC41" i="32"/>
  <c r="R41" i="32"/>
  <c r="V41" i="32"/>
  <c r="AO41" i="32"/>
  <c r="S41" i="32"/>
  <c r="Y41" i="32"/>
  <c r="AE41" i="32"/>
  <c r="BB41" i="32"/>
  <c r="AA41" i="32"/>
  <c r="W41" i="32"/>
  <c r="AH41" i="32"/>
  <c r="AK41" i="32"/>
  <c r="U41" i="32"/>
  <c r="BC41" i="32"/>
  <c r="BO41" i="32"/>
  <c r="AP41" i="32"/>
  <c r="AY41" i="32"/>
  <c r="AQ41" i="32"/>
  <c r="AX41" i="32"/>
  <c r="X41" i="32"/>
  <c r="Q41" i="32"/>
  <c r="BF41" i="32"/>
  <c r="BU41" i="32"/>
  <c r="BR41" i="32"/>
  <c r="AL41" i="32"/>
  <c r="AV45" i="32"/>
  <c r="BV45" i="32"/>
  <c r="BU45" i="32"/>
  <c r="BB45" i="32"/>
  <c r="T45" i="32"/>
  <c r="AT45" i="32"/>
  <c r="BJ45" i="32"/>
  <c r="BA45" i="32"/>
  <c r="BT45" i="32"/>
  <c r="AO45" i="32"/>
  <c r="S45" i="32"/>
  <c r="AI45" i="32"/>
  <c r="V45" i="32"/>
  <c r="AL45" i="32"/>
  <c r="AJ45" i="32"/>
  <c r="CB45" i="32"/>
  <c r="AW45" i="32"/>
  <c r="AC45" i="32"/>
  <c r="BS45" i="32"/>
  <c r="BH45" i="32"/>
  <c r="W45" i="32"/>
  <c r="BI45" i="32"/>
  <c r="BL45" i="32"/>
  <c r="BM45" i="32"/>
  <c r="U45" i="32"/>
  <c r="BG45" i="32"/>
  <c r="BW45" i="32"/>
  <c r="R45" i="32"/>
  <c r="CC45" i="32"/>
  <c r="AS45" i="32"/>
  <c r="AM45" i="32"/>
  <c r="AY45" i="32"/>
  <c r="AP45" i="32"/>
  <c r="AH45" i="32"/>
  <c r="BR45" i="32"/>
  <c r="BO45" i="32"/>
  <c r="AZ45" i="32"/>
  <c r="BF45" i="32"/>
  <c r="AX45" i="32"/>
  <c r="AD45" i="32"/>
  <c r="Z45" i="32"/>
  <c r="AB45" i="32"/>
  <c r="X45" i="32"/>
  <c r="Q45" i="32"/>
  <c r="BN45" i="32"/>
  <c r="AR45" i="32"/>
  <c r="BX45" i="32"/>
  <c r="BZ45" i="32"/>
  <c r="AF45" i="32"/>
  <c r="Y45" i="32"/>
  <c r="AQ45" i="32"/>
  <c r="BC45" i="32"/>
  <c r="AA45" i="32"/>
  <c r="AK45" i="32"/>
  <c r="BD45" i="32"/>
  <c r="AU45" i="32"/>
  <c r="BE45" i="32"/>
  <c r="AE45" i="32"/>
  <c r="AN45" i="32"/>
  <c r="AG45" i="32"/>
  <c r="BK45" i="32"/>
  <c r="BP45" i="32"/>
  <c r="CA45" i="32"/>
  <c r="BQ45" i="32"/>
  <c r="BY45" i="32"/>
  <c r="BB24" i="32"/>
  <c r="BD24" i="32"/>
  <c r="BY24" i="32"/>
  <c r="AE24" i="32"/>
  <c r="BU24" i="32"/>
  <c r="AZ24" i="32"/>
  <c r="BQ24" i="32"/>
  <c r="AP24" i="32"/>
  <c r="BZ24" i="32"/>
  <c r="AI24" i="32"/>
  <c r="BP24" i="32"/>
  <c r="AR24" i="32"/>
  <c r="AN24" i="32"/>
  <c r="AC24" i="32"/>
  <c r="AW24" i="32"/>
  <c r="S24" i="32"/>
  <c r="AS24" i="32"/>
  <c r="CA24" i="32"/>
  <c r="BH24" i="32"/>
  <c r="BN24" i="32"/>
  <c r="BC24" i="32"/>
  <c r="BW24" i="32"/>
  <c r="AK24" i="32"/>
  <c r="AJ24" i="32"/>
  <c r="AF24" i="32"/>
  <c r="AG24" i="32"/>
  <c r="T24" i="32"/>
  <c r="V24" i="32"/>
  <c r="AU24" i="32"/>
  <c r="AV24" i="32"/>
  <c r="U24" i="32"/>
  <c r="BI24" i="32"/>
  <c r="W24" i="32"/>
  <c r="BM24" i="32"/>
  <c r="BF24" i="32"/>
  <c r="AH24" i="32"/>
  <c r="AM24" i="32"/>
  <c r="AA24" i="32"/>
  <c r="AL24" i="32"/>
  <c r="BV24" i="32"/>
  <c r="Q24" i="32"/>
  <c r="AX24" i="32"/>
  <c r="BL24" i="32"/>
  <c r="CB24" i="32"/>
  <c r="AT24" i="32"/>
  <c r="Y24" i="32"/>
  <c r="AQ24" i="32"/>
  <c r="BK24" i="32"/>
  <c r="AO24" i="32"/>
  <c r="BJ24" i="32"/>
  <c r="BE24" i="32"/>
  <c r="BG24" i="32"/>
  <c r="BX24" i="32"/>
  <c r="AY24" i="32"/>
  <c r="AD24" i="32"/>
  <c r="Z24" i="32"/>
  <c r="BS24" i="32"/>
  <c r="AB24" i="32"/>
  <c r="BT24" i="32"/>
  <c r="R24" i="32"/>
  <c r="X24" i="32"/>
  <c r="CC24" i="32"/>
  <c r="BR24" i="32"/>
  <c r="BA24" i="32"/>
  <c r="BO24" i="32"/>
  <c r="BH35" i="32"/>
  <c r="BI35" i="32"/>
  <c r="BV35" i="32"/>
  <c r="AH35" i="32"/>
  <c r="AY35" i="32"/>
  <c r="AX35" i="32"/>
  <c r="BF35" i="32"/>
  <c r="CB35" i="32"/>
  <c r="U35" i="32"/>
  <c r="AF35" i="32"/>
  <c r="BM35" i="32"/>
  <c r="AE35" i="32"/>
  <c r="AD35" i="32"/>
  <c r="Z35" i="32"/>
  <c r="AN35" i="32"/>
  <c r="T35" i="32"/>
  <c r="AC35" i="32"/>
  <c r="AP35" i="32"/>
  <c r="BW35" i="32"/>
  <c r="AO35" i="32"/>
  <c r="BT35" i="32"/>
  <c r="Y35" i="32"/>
  <c r="AU35" i="32"/>
  <c r="AJ35" i="32"/>
  <c r="BQ35" i="32"/>
  <c r="BC35" i="32"/>
  <c r="BU35" i="32"/>
  <c r="AV35" i="32"/>
  <c r="AM35" i="32"/>
  <c r="AR35" i="32"/>
  <c r="BY35" i="32"/>
  <c r="X35" i="32"/>
  <c r="AA35" i="32"/>
  <c r="BJ35" i="32"/>
  <c r="AZ35" i="32"/>
  <c r="V35" i="32"/>
  <c r="AT35" i="32"/>
  <c r="AW35" i="32"/>
  <c r="R35" i="32"/>
  <c r="BP35" i="32"/>
  <c r="BB35" i="32"/>
  <c r="BD35" i="32"/>
  <c r="BS35" i="32"/>
  <c r="BG35" i="32"/>
  <c r="BX35" i="32"/>
  <c r="BL35" i="32"/>
  <c r="BN35" i="32"/>
  <c r="BE35" i="32"/>
  <c r="BO35" i="32"/>
  <c r="AK35" i="32"/>
  <c r="W35" i="32"/>
  <c r="BZ35" i="32"/>
  <c r="AI35" i="32"/>
  <c r="CC35" i="32"/>
  <c r="BK35" i="32"/>
  <c r="AB35" i="32"/>
  <c r="AL35" i="32"/>
  <c r="BR35" i="32"/>
  <c r="AG35" i="32"/>
  <c r="CA35" i="32"/>
  <c r="Q35" i="32"/>
  <c r="AS35" i="32"/>
  <c r="BA35" i="32"/>
  <c r="AQ35" i="32"/>
  <c r="S35" i="32"/>
  <c r="BR38" i="32"/>
  <c r="BS38" i="32"/>
  <c r="Q38" i="32"/>
  <c r="AB38" i="32"/>
  <c r="BE38" i="32"/>
  <c r="X38" i="32"/>
  <c r="BI38" i="32"/>
  <c r="AO38" i="32"/>
  <c r="V38" i="32"/>
  <c r="AE38" i="32"/>
  <c r="AV38" i="32"/>
  <c r="BQ38" i="32"/>
  <c r="AI38" i="32"/>
  <c r="BU38" i="32"/>
  <c r="AH38" i="32"/>
  <c r="BA38" i="32"/>
  <c r="AD38" i="32"/>
  <c r="AM38" i="32"/>
  <c r="BF38" i="32"/>
  <c r="CC38" i="32"/>
  <c r="AS38" i="32"/>
  <c r="AR38" i="32"/>
  <c r="AG38" i="32"/>
  <c r="AT38" i="32"/>
  <c r="CA38" i="32"/>
  <c r="BG38" i="32"/>
  <c r="BY38" i="32"/>
  <c r="BD38" i="32"/>
  <c r="AZ38" i="32"/>
  <c r="AU38" i="32"/>
  <c r="AK38" i="32"/>
  <c r="BO38" i="32"/>
  <c r="BV38" i="32"/>
  <c r="BC38" i="32"/>
  <c r="AW38" i="32"/>
  <c r="U38" i="32"/>
  <c r="AF38" i="32"/>
  <c r="BK38" i="32"/>
  <c r="R38" i="32"/>
  <c r="AQ38" i="32"/>
  <c r="BL38" i="32"/>
  <c r="AL38" i="32"/>
  <c r="Z38" i="32"/>
  <c r="AN38" i="32"/>
  <c r="BM38" i="32"/>
  <c r="BW38" i="32"/>
  <c r="BB38" i="32"/>
  <c r="AJ38" i="32"/>
  <c r="AX38" i="32"/>
  <c r="AC38" i="32"/>
  <c r="AP38" i="32"/>
  <c r="BJ38" i="32"/>
  <c r="BP38" i="32"/>
  <c r="BH38" i="32"/>
  <c r="BN38" i="32"/>
  <c r="BX38" i="32"/>
  <c r="T38" i="32"/>
  <c r="CB38" i="32"/>
  <c r="AA38" i="32"/>
  <c r="Y38" i="32"/>
  <c r="AY38" i="32"/>
  <c r="BZ38" i="32"/>
  <c r="S38" i="32"/>
  <c r="W38" i="32"/>
  <c r="BT38" i="32"/>
  <c r="BV26" i="32"/>
  <c r="S26" i="32"/>
  <c r="AD26" i="32"/>
  <c r="BM26" i="32"/>
  <c r="AR26" i="32"/>
  <c r="AO26" i="32"/>
  <c r="BL26" i="32"/>
  <c r="BC26" i="32"/>
  <c r="Z26" i="32"/>
  <c r="AQ26" i="32"/>
  <c r="BH26" i="32"/>
  <c r="W26" i="32"/>
  <c r="CB26" i="32"/>
  <c r="BW26" i="32"/>
  <c r="AE26" i="32"/>
  <c r="AZ26" i="32"/>
  <c r="BS26" i="32"/>
  <c r="AK26" i="32"/>
  <c r="AB26" i="32"/>
  <c r="BP26" i="32"/>
  <c r="AV26" i="32"/>
  <c r="AH26" i="32"/>
  <c r="BN26" i="32"/>
  <c r="AW26" i="32"/>
  <c r="BZ26" i="32"/>
  <c r="AF26" i="32"/>
  <c r="AJ26" i="32"/>
  <c r="BF26" i="32"/>
  <c r="CC26" i="32"/>
  <c r="AL26" i="32"/>
  <c r="AS26" i="32"/>
  <c r="BY26" i="32"/>
  <c r="X26" i="32"/>
  <c r="T26" i="32"/>
  <c r="BB26" i="32"/>
  <c r="BU26" i="32"/>
  <c r="AA26" i="32"/>
  <c r="AG26" i="32"/>
  <c r="AN26" i="32"/>
  <c r="BO26" i="32"/>
  <c r="U26" i="32"/>
  <c r="V26" i="32"/>
  <c r="BI26" i="32"/>
  <c r="AY26" i="32"/>
  <c r="BD26" i="32"/>
  <c r="AU26" i="32"/>
  <c r="BR26" i="32"/>
  <c r="BJ26" i="32"/>
  <c r="BQ26" i="32"/>
  <c r="BX26" i="32"/>
  <c r="R26" i="32"/>
  <c r="CA26" i="32"/>
  <c r="BT26" i="32"/>
  <c r="Q26" i="32"/>
  <c r="AI26" i="32"/>
  <c r="AX26" i="32"/>
  <c r="BK26" i="32"/>
  <c r="AM26" i="32"/>
  <c r="Y26" i="32"/>
  <c r="BE26" i="32"/>
  <c r="AC26" i="32"/>
  <c r="BA26" i="32"/>
  <c r="AT26" i="32"/>
  <c r="BG26" i="32"/>
  <c r="AP26" i="32"/>
  <c r="V34" i="32"/>
  <c r="W34" i="32"/>
  <c r="R34" i="32"/>
  <c r="AY34" i="32"/>
  <c r="Q34" i="32"/>
  <c r="AW34" i="32"/>
  <c r="X34" i="32"/>
  <c r="BE34" i="32"/>
  <c r="AI34" i="32"/>
  <c r="AL34" i="32"/>
  <c r="AU34" i="32"/>
  <c r="BH34" i="32"/>
  <c r="AZ34" i="32"/>
  <c r="Y34" i="32"/>
  <c r="CB34" i="32"/>
  <c r="BG34" i="32"/>
  <c r="AT34" i="32"/>
  <c r="BC34" i="32"/>
  <c r="BT34" i="32"/>
  <c r="BM34" i="32"/>
  <c r="AJ34" i="32"/>
  <c r="AV34" i="32"/>
  <c r="BP34" i="32"/>
  <c r="AM34" i="32"/>
  <c r="AK34" i="32"/>
  <c r="BA34" i="32"/>
  <c r="AF34" i="32"/>
  <c r="AH34" i="32"/>
  <c r="AD34" i="32"/>
  <c r="CA34" i="32"/>
  <c r="AO34" i="32"/>
  <c r="U34" i="32"/>
  <c r="S34" i="32"/>
  <c r="BB34" i="32"/>
  <c r="AB34" i="32"/>
  <c r="BX34" i="32"/>
  <c r="AS34" i="32"/>
  <c r="AG34" i="32"/>
  <c r="BJ34" i="32"/>
  <c r="AN34" i="32"/>
  <c r="AC34" i="32"/>
  <c r="BQ34" i="32"/>
  <c r="BO34" i="32"/>
  <c r="BR34" i="32"/>
  <c r="AX34" i="32"/>
  <c r="AP34" i="32"/>
  <c r="BU34" i="32"/>
  <c r="CC34" i="32"/>
  <c r="BZ34" i="32"/>
  <c r="Z34" i="32"/>
  <c r="BN34" i="32"/>
  <c r="BD34" i="32"/>
  <c r="T34" i="32"/>
  <c r="AE34" i="32"/>
  <c r="BL34" i="32"/>
  <c r="BY34" i="32"/>
  <c r="AQ34" i="32"/>
  <c r="BS34" i="32"/>
  <c r="BF34" i="32"/>
  <c r="AR34" i="32"/>
  <c r="BW34" i="32"/>
  <c r="AA34" i="32"/>
  <c r="BI34" i="32"/>
  <c r="BV34" i="32"/>
  <c r="BK34" i="32"/>
  <c r="AD12" i="32"/>
  <c r="AE12" i="32"/>
  <c r="AB12" i="32"/>
  <c r="BA12" i="32"/>
  <c r="Y12" i="32"/>
  <c r="BP12" i="32"/>
  <c r="BE12" i="32"/>
  <c r="BL12" i="32"/>
  <c r="AT12" i="32"/>
  <c r="BC12" i="32"/>
  <c r="BT12" i="32"/>
  <c r="AY12" i="32"/>
  <c r="AO12" i="32"/>
  <c r="T12" i="32"/>
  <c r="BW12" i="32"/>
  <c r="BB12" i="32"/>
  <c r="BK12" i="32"/>
  <c r="Q12" i="32"/>
  <c r="BM12" i="32"/>
  <c r="BD12" i="32"/>
  <c r="U12" i="32"/>
  <c r="S12" i="32"/>
  <c r="AL12" i="32"/>
  <c r="CA12" i="32"/>
  <c r="BY12" i="32"/>
  <c r="Z12" i="32"/>
  <c r="AH12" i="32"/>
  <c r="AI12" i="32"/>
  <c r="AM12" i="32"/>
  <c r="AP12" i="32"/>
  <c r="CC12" i="32"/>
  <c r="BI12" i="32"/>
  <c r="AU12" i="32"/>
  <c r="AA12" i="32"/>
  <c r="AQ12" i="32"/>
  <c r="BS12" i="32"/>
  <c r="X12" i="32"/>
  <c r="AV12" i="32"/>
  <c r="BQ12" i="32"/>
  <c r="V12" i="32"/>
  <c r="R12" i="32"/>
  <c r="AJ12" i="32"/>
  <c r="BU12" i="32"/>
  <c r="BG12" i="32"/>
  <c r="BJ12" i="32"/>
  <c r="AN12" i="32"/>
  <c r="CB12" i="32"/>
  <c r="AF12" i="32"/>
  <c r="BX12" i="32"/>
  <c r="BR12" i="32"/>
  <c r="AX12" i="32"/>
  <c r="AK12" i="32"/>
  <c r="AW12" i="32"/>
  <c r="AG12" i="32"/>
  <c r="BN12" i="32"/>
  <c r="AC12" i="32"/>
  <c r="BO12" i="32"/>
  <c r="BF12" i="32"/>
  <c r="AS12" i="32"/>
  <c r="BH12" i="32"/>
  <c r="AZ12" i="32"/>
  <c r="BV12" i="32"/>
  <c r="BZ12" i="32"/>
  <c r="W12" i="32"/>
  <c r="AR12" i="32"/>
  <c r="AJ39" i="32"/>
  <c r="AO39" i="32"/>
  <c r="AY39" i="32"/>
  <c r="BE39" i="32"/>
  <c r="BT39" i="32"/>
  <c r="BA39" i="32"/>
  <c r="BN39" i="32"/>
  <c r="Q39" i="32"/>
  <c r="AZ39" i="32"/>
  <c r="BQ39" i="32"/>
  <c r="V39" i="32"/>
  <c r="AI39" i="32"/>
  <c r="BL39" i="32"/>
  <c r="AW39" i="32"/>
  <c r="BK39" i="32"/>
  <c r="BH39" i="32"/>
  <c r="BZ39" i="32"/>
  <c r="S39" i="32"/>
  <c r="AU39" i="32"/>
  <c r="CC39" i="32"/>
  <c r="BB39" i="32"/>
  <c r="BV39" i="32"/>
  <c r="BX39" i="32"/>
  <c r="BI39" i="32"/>
  <c r="U39" i="32"/>
  <c r="AS39" i="32"/>
  <c r="BW39" i="32"/>
  <c r="BP39" i="32"/>
  <c r="BR39" i="32"/>
  <c r="Y39" i="32"/>
  <c r="BO39" i="32"/>
  <c r="BY39" i="32"/>
  <c r="W39" i="32"/>
  <c r="CA39" i="32"/>
  <c r="AK39" i="32"/>
  <c r="AC39" i="32"/>
  <c r="AN39" i="32"/>
  <c r="AF39" i="32"/>
  <c r="AH39" i="32"/>
  <c r="BJ39" i="32"/>
  <c r="BD39" i="32"/>
  <c r="CB39" i="32"/>
  <c r="AX39" i="32"/>
  <c r="AT39" i="32"/>
  <c r="Z39" i="32"/>
  <c r="R39" i="32"/>
  <c r="BG39" i="32"/>
  <c r="BS39" i="32"/>
  <c r="AQ39" i="32"/>
  <c r="AE39" i="32"/>
  <c r="T39" i="32"/>
  <c r="X39" i="32"/>
  <c r="AV39" i="32"/>
  <c r="AA39" i="32"/>
  <c r="AM39" i="32"/>
  <c r="BF39" i="32"/>
  <c r="BC39" i="32"/>
  <c r="AR39" i="32"/>
  <c r="AG39" i="32"/>
  <c r="AP39" i="32"/>
  <c r="BM39" i="32"/>
  <c r="AD39" i="32"/>
  <c r="AB39" i="32"/>
  <c r="AL39" i="32"/>
  <c r="BU39" i="32"/>
  <c r="AT28" i="32"/>
  <c r="AV28" i="32"/>
  <c r="BL28" i="32"/>
  <c r="Q28" i="32"/>
  <c r="BH28" i="32"/>
  <c r="AO28" i="32"/>
  <c r="AK28" i="32"/>
  <c r="AB28" i="32"/>
  <c r="BJ28" i="32"/>
  <c r="BW28" i="32"/>
  <c r="AR28" i="32"/>
  <c r="R28" i="32"/>
  <c r="CC28" i="32"/>
  <c r="BQ28" i="32"/>
  <c r="AI28" i="32"/>
  <c r="BR28" i="32"/>
  <c r="W28" i="32"/>
  <c r="BC28" i="32"/>
  <c r="AF28" i="32"/>
  <c r="S28" i="32"/>
  <c r="BI28" i="32"/>
  <c r="AX28" i="32"/>
  <c r="AM28" i="32"/>
  <c r="AH28" i="32"/>
  <c r="BU28" i="32"/>
  <c r="BO28" i="32"/>
  <c r="AJ28" i="32"/>
  <c r="AD28" i="32"/>
  <c r="AG28" i="32"/>
  <c r="AS28" i="32"/>
  <c r="BK28" i="32"/>
  <c r="BF28" i="32"/>
  <c r="AL28" i="32"/>
  <c r="AQ28" i="32"/>
  <c r="BG28" i="32"/>
  <c r="U28" i="32"/>
  <c r="CB28" i="32"/>
  <c r="BB28" i="32"/>
  <c r="BA28" i="32"/>
  <c r="BT28" i="32"/>
  <c r="AP28" i="32"/>
  <c r="AY28" i="32"/>
  <c r="BZ28" i="32"/>
  <c r="BV28" i="32"/>
  <c r="AU28" i="32"/>
  <c r="Y28" i="32"/>
  <c r="BY28" i="32"/>
  <c r="T28" i="32"/>
  <c r="X28" i="32"/>
  <c r="Z28" i="32"/>
  <c r="AW28" i="32"/>
  <c r="CA28" i="32"/>
  <c r="AC28" i="32"/>
  <c r="BM28" i="32"/>
  <c r="AN28" i="32"/>
  <c r="BD28" i="32"/>
  <c r="BP28" i="32"/>
  <c r="BS28" i="32"/>
  <c r="BE28" i="32"/>
  <c r="AZ28" i="32"/>
  <c r="AA28" i="32"/>
  <c r="V28" i="32"/>
  <c r="BN28" i="32"/>
  <c r="BX28" i="32"/>
  <c r="AE28" i="32"/>
  <c r="AZ29" i="32"/>
  <c r="BC29" i="32"/>
  <c r="BS29" i="32"/>
  <c r="V29" i="32"/>
  <c r="BM29" i="32"/>
  <c r="BN29" i="32"/>
  <c r="BG29" i="32"/>
  <c r="AF29" i="32"/>
  <c r="BP29" i="32"/>
  <c r="S29" i="32"/>
  <c r="AO29" i="32"/>
  <c r="W29" i="32"/>
  <c r="Q29" i="32"/>
  <c r="AM29" i="32"/>
  <c r="BD29" i="32"/>
  <c r="BX29" i="32"/>
  <c r="AD29" i="32"/>
  <c r="AY29" i="32"/>
  <c r="AI29" i="32"/>
  <c r="AP29" i="32"/>
  <c r="AG29" i="32"/>
  <c r="BF29" i="32"/>
  <c r="AJ29" i="32"/>
  <c r="BU29" i="32"/>
  <c r="BT29" i="32"/>
  <c r="AQ29" i="32"/>
  <c r="BQ29" i="32"/>
  <c r="BW29" i="32"/>
  <c r="AK29" i="32"/>
  <c r="AE29" i="32"/>
  <c r="AC29" i="32"/>
  <c r="CA29" i="32"/>
  <c r="AT29" i="32"/>
  <c r="BJ29" i="32"/>
  <c r="BE29" i="32"/>
  <c r="BA29" i="32"/>
  <c r="T29" i="32"/>
  <c r="BL29" i="32"/>
  <c r="AH29" i="32"/>
  <c r="BR29" i="32"/>
  <c r="AL29" i="32"/>
  <c r="AB29" i="32"/>
  <c r="AN29" i="32"/>
  <c r="AV29" i="32"/>
  <c r="X29" i="32"/>
  <c r="CB29" i="32"/>
  <c r="AR29" i="32"/>
  <c r="AX29" i="32"/>
  <c r="BK29" i="32"/>
  <c r="AS29" i="32"/>
  <c r="Z29" i="32"/>
  <c r="BH29" i="32"/>
  <c r="BI29" i="32"/>
  <c r="BY29" i="32"/>
  <c r="BO29" i="32"/>
  <c r="BB29" i="32"/>
  <c r="AU29" i="32"/>
  <c r="AW29" i="32"/>
  <c r="BZ29" i="32"/>
  <c r="R29" i="32"/>
  <c r="BV29" i="32"/>
  <c r="AA29" i="32"/>
  <c r="CC29" i="32"/>
  <c r="U29" i="32"/>
  <c r="Y29" i="32"/>
  <c r="BF40" i="32"/>
  <c r="BO40" i="32"/>
  <c r="AC40" i="32"/>
  <c r="BR40" i="32"/>
  <c r="BM40" i="32"/>
  <c r="V40" i="32"/>
  <c r="AO40" i="32"/>
  <c r="BL40" i="32"/>
  <c r="BN40" i="32"/>
  <c r="BX40" i="32"/>
  <c r="AY40" i="32"/>
  <c r="CB40" i="32"/>
  <c r="BC40" i="32"/>
  <c r="Z40" i="32"/>
  <c r="AV40" i="32"/>
  <c r="BS40" i="32"/>
  <c r="BI40" i="32"/>
  <c r="W40" i="32"/>
  <c r="AF40" i="32"/>
  <c r="AQ40" i="32"/>
  <c r="AH40" i="32"/>
  <c r="BE40" i="32"/>
  <c r="Q40" i="32"/>
  <c r="CC40" i="32"/>
  <c r="BU40" i="32"/>
  <c r="BW40" i="32"/>
  <c r="BY40" i="32"/>
  <c r="R40" i="32"/>
  <c r="AK40" i="32"/>
  <c r="BH40" i="32"/>
  <c r="BP40" i="32"/>
  <c r="AS40" i="32"/>
  <c r="AP40" i="32"/>
  <c r="AU40" i="32"/>
  <c r="AX40" i="32"/>
  <c r="AA40" i="32"/>
  <c r="AN40" i="32"/>
  <c r="BT40" i="32"/>
  <c r="BK40" i="32"/>
  <c r="BG40" i="32"/>
  <c r="X40" i="32"/>
  <c r="BZ40" i="32"/>
  <c r="BQ40" i="32"/>
  <c r="AZ40" i="32"/>
  <c r="AT40" i="32"/>
  <c r="CA40" i="32"/>
  <c r="T40" i="32"/>
  <c r="BJ40" i="32"/>
  <c r="BV40" i="32"/>
  <c r="AB40" i="32"/>
  <c r="AI40" i="32"/>
  <c r="AR40" i="32"/>
  <c r="U40" i="32"/>
  <c r="AL40" i="32"/>
  <c r="BA40" i="32"/>
  <c r="Y40" i="32"/>
  <c r="AD40" i="32"/>
  <c r="AW40" i="32"/>
  <c r="AJ40" i="32"/>
  <c r="AG40" i="32"/>
  <c r="AE40" i="32"/>
  <c r="AM40" i="32"/>
  <c r="BD40" i="32"/>
  <c r="S40" i="32"/>
  <c r="BB40" i="32"/>
  <c r="BT49" i="32"/>
  <c r="BM49" i="32"/>
  <c r="BW49" i="32"/>
  <c r="AR49" i="32"/>
  <c r="BY49" i="32"/>
  <c r="BI49" i="32"/>
  <c r="BH49" i="32"/>
  <c r="AB49" i="32"/>
  <c r="CB49" i="32"/>
  <c r="BU49" i="32"/>
  <c r="AI49" i="32"/>
  <c r="BB49" i="32"/>
  <c r="AJ49" i="32"/>
  <c r="AX49" i="32"/>
  <c r="S49" i="32"/>
  <c r="BR49" i="32"/>
  <c r="AN49" i="32"/>
  <c r="AW49" i="32"/>
  <c r="Z49" i="32"/>
  <c r="W49" i="32"/>
  <c r="AL49" i="32"/>
  <c r="T49" i="32"/>
  <c r="AV49" i="32"/>
  <c r="BE49" i="32"/>
  <c r="AT49" i="32"/>
  <c r="AS49" i="32"/>
  <c r="AM49" i="32"/>
  <c r="AP49" i="32"/>
  <c r="Y49" i="32"/>
  <c r="BK49" i="32"/>
  <c r="BO49" i="32"/>
  <c r="BG49" i="32"/>
  <c r="AG49" i="32"/>
  <c r="BF49" i="32"/>
  <c r="BZ49" i="32"/>
  <c r="CA49" i="32"/>
  <c r="AO49" i="32"/>
  <c r="BP49" i="32"/>
  <c r="AD49" i="32"/>
  <c r="R49" i="32"/>
  <c r="CC49" i="32"/>
  <c r="BX49" i="32"/>
  <c r="AA49" i="32"/>
  <c r="U49" i="32"/>
  <c r="BC49" i="32"/>
  <c r="AU49" i="32"/>
  <c r="AE49" i="32"/>
  <c r="AZ49" i="32"/>
  <c r="BQ49" i="32"/>
  <c r="X49" i="32"/>
  <c r="AQ49" i="32"/>
  <c r="BV49" i="32"/>
  <c r="AY49" i="32"/>
  <c r="AF49" i="32"/>
  <c r="BA49" i="32"/>
  <c r="AC49" i="32"/>
  <c r="BD49" i="32"/>
  <c r="V49" i="32"/>
  <c r="BS49" i="32"/>
  <c r="BL49" i="32"/>
  <c r="AH49" i="32"/>
  <c r="AK49" i="32"/>
  <c r="BN49" i="32"/>
  <c r="BJ49" i="32"/>
  <c r="Q49" i="32"/>
  <c r="BT53" i="32"/>
  <c r="BM53" i="32"/>
  <c r="BY53" i="32"/>
  <c r="AT53" i="32"/>
  <c r="AL53" i="32"/>
  <c r="BW53" i="32"/>
  <c r="AY53" i="32"/>
  <c r="AM53" i="32"/>
  <c r="Q53" i="32"/>
  <c r="W53" i="32"/>
  <c r="AB53" i="32"/>
  <c r="BG53" i="32"/>
  <c r="AZ53" i="32"/>
  <c r="AC53" i="32"/>
  <c r="AP53" i="32"/>
  <c r="X53" i="32"/>
  <c r="Y53" i="32"/>
  <c r="AI53" i="32"/>
  <c r="BR53" i="32"/>
  <c r="CA53" i="32"/>
  <c r="AE53" i="32"/>
  <c r="BS53" i="32"/>
  <c r="AQ53" i="32"/>
  <c r="BL53" i="32"/>
  <c r="AS53" i="32"/>
  <c r="BF53" i="32"/>
  <c r="AR53" i="32"/>
  <c r="AD53" i="32"/>
  <c r="CB53" i="32"/>
  <c r="BC53" i="32"/>
  <c r="BP53" i="32"/>
  <c r="BN53" i="32"/>
  <c r="BV53" i="32"/>
  <c r="AO53" i="32"/>
  <c r="BQ53" i="32"/>
  <c r="V53" i="32"/>
  <c r="AH53" i="32"/>
  <c r="AW53" i="32"/>
  <c r="Z53" i="32"/>
  <c r="S53" i="32"/>
  <c r="BB53" i="32"/>
  <c r="BE53" i="32"/>
  <c r="AJ53" i="32"/>
  <c r="BI53" i="32"/>
  <c r="BX53" i="32"/>
  <c r="AN53" i="32"/>
  <c r="AU53" i="32"/>
  <c r="U53" i="32"/>
  <c r="AV53" i="32"/>
  <c r="BK53" i="32"/>
  <c r="BD53" i="32"/>
  <c r="AK53" i="32"/>
  <c r="BA53" i="32"/>
  <c r="AG53" i="32"/>
  <c r="R53" i="32"/>
  <c r="BU53" i="32"/>
  <c r="AX53" i="32"/>
  <c r="CC53" i="32"/>
  <c r="BH53" i="32"/>
  <c r="BO53" i="32"/>
  <c r="T53" i="32"/>
  <c r="BZ53" i="32"/>
  <c r="BJ53" i="32"/>
  <c r="AA53" i="32"/>
  <c r="AF53" i="32"/>
  <c r="CB57" i="32"/>
  <c r="BU57" i="32"/>
  <c r="S57" i="32"/>
  <c r="BH57" i="32"/>
  <c r="AP57" i="32"/>
  <c r="U57" i="32"/>
  <c r="Z57" i="32"/>
  <c r="AH57" i="32"/>
  <c r="X57" i="32"/>
  <c r="Y57" i="32"/>
  <c r="AK57" i="32"/>
  <c r="R57" i="32"/>
  <c r="AI57" i="32"/>
  <c r="BZ57" i="32"/>
  <c r="BF57" i="32"/>
  <c r="BO57" i="32"/>
  <c r="AF57" i="32"/>
  <c r="AG57" i="32"/>
  <c r="AU57" i="32"/>
  <c r="AB57" i="32"/>
  <c r="BA57" i="32"/>
  <c r="AZ57" i="32"/>
  <c r="AR57" i="32"/>
  <c r="AO57" i="32"/>
  <c r="CA57" i="32"/>
  <c r="AY57" i="32"/>
  <c r="AJ57" i="32"/>
  <c r="BK57" i="32"/>
  <c r="AW57" i="32"/>
  <c r="AM57" i="32"/>
  <c r="BS57" i="32"/>
  <c r="BB57" i="32"/>
  <c r="AE57" i="32"/>
  <c r="Q57" i="32"/>
  <c r="T57" i="32"/>
  <c r="BX57" i="32"/>
  <c r="AD57" i="32"/>
  <c r="BE57" i="32"/>
  <c r="AL57" i="32"/>
  <c r="BJ57" i="32"/>
  <c r="AT57" i="32"/>
  <c r="BM57" i="32"/>
  <c r="AX57" i="32"/>
  <c r="AS57" i="32"/>
  <c r="BN57" i="32"/>
  <c r="CC57" i="32"/>
  <c r="BW57" i="32"/>
  <c r="AA57" i="32"/>
  <c r="BG57" i="32"/>
  <c r="BV57" i="32"/>
  <c r="BQ57" i="32"/>
  <c r="V57" i="32"/>
  <c r="AV57" i="32"/>
  <c r="BI57" i="32"/>
  <c r="BC57" i="32"/>
  <c r="BD57" i="32"/>
  <c r="BR57" i="32"/>
  <c r="W57" i="32"/>
  <c r="BL57" i="32"/>
  <c r="AC57" i="32"/>
  <c r="BY57" i="32"/>
  <c r="AQ57" i="32"/>
  <c r="AN57" i="32"/>
  <c r="BP57" i="32"/>
  <c r="BT57" i="32"/>
  <c r="X61" i="32"/>
  <c r="Q61" i="32"/>
  <c r="CC61" i="32"/>
  <c r="AQ61" i="32"/>
  <c r="AE61" i="32"/>
  <c r="BO61" i="32"/>
  <c r="AR61" i="32"/>
  <c r="AJ61" i="32"/>
  <c r="BG61" i="32"/>
  <c r="AF61" i="32"/>
  <c r="Y61" i="32"/>
  <c r="S61" i="32"/>
  <c r="BW61" i="32"/>
  <c r="BT61" i="32"/>
  <c r="AC61" i="32"/>
  <c r="AP61" i="32"/>
  <c r="BH61" i="32"/>
  <c r="AK61" i="32"/>
  <c r="AX61" i="32"/>
  <c r="CB61" i="32"/>
  <c r="AM61" i="32"/>
  <c r="AZ61" i="32"/>
  <c r="BZ61" i="32"/>
  <c r="BR61" i="32"/>
  <c r="V61" i="32"/>
  <c r="AW61" i="32"/>
  <c r="T61" i="32"/>
  <c r="AH61" i="32"/>
  <c r="AT61" i="32"/>
  <c r="BX61" i="32"/>
  <c r="BE61" i="32"/>
  <c r="AD61" i="32"/>
  <c r="AI61" i="32"/>
  <c r="BN61" i="32"/>
  <c r="Z61" i="32"/>
  <c r="BL61" i="32"/>
  <c r="U61" i="32"/>
  <c r="R61" i="32"/>
  <c r="W61" i="32"/>
  <c r="AG61" i="32"/>
  <c r="BJ61" i="32"/>
  <c r="BB61" i="32"/>
  <c r="AL61" i="32"/>
  <c r="AO61" i="32"/>
  <c r="BV61" i="32"/>
  <c r="BQ61" i="32"/>
  <c r="BF61" i="32"/>
  <c r="BS61" i="32"/>
  <c r="CA61" i="32"/>
  <c r="AV61" i="32"/>
  <c r="BA61" i="32"/>
  <c r="BC61" i="32"/>
  <c r="BD61" i="32"/>
  <c r="AA61" i="32"/>
  <c r="BM61" i="32"/>
  <c r="AS61" i="32"/>
  <c r="BU61" i="32"/>
  <c r="BP61" i="32"/>
  <c r="AY61" i="32"/>
  <c r="BY61" i="32"/>
  <c r="AN61" i="32"/>
  <c r="BK61" i="32"/>
  <c r="AU61" i="32"/>
  <c r="AB61" i="32"/>
  <c r="BI61" i="32"/>
  <c r="AF65" i="32"/>
  <c r="Y65" i="32"/>
  <c r="U65" i="32"/>
  <c r="BO65" i="32"/>
  <c r="BC65" i="32"/>
  <c r="BG65" i="32"/>
  <c r="R65" i="32"/>
  <c r="AA65" i="32"/>
  <c r="AN65" i="32"/>
  <c r="AG65" i="32"/>
  <c r="AE65" i="32"/>
  <c r="V65" i="32"/>
  <c r="BY65" i="32"/>
  <c r="BV65" i="32"/>
  <c r="AJ65" i="32"/>
  <c r="BH65" i="32"/>
  <c r="CB65" i="32"/>
  <c r="AQ65" i="32"/>
  <c r="BB65" i="32"/>
  <c r="Z65" i="32"/>
  <c r="AY65" i="32"/>
  <c r="AC65" i="32"/>
  <c r="Q65" i="32"/>
  <c r="BA65" i="32"/>
  <c r="BN65" i="32"/>
  <c r="AM65" i="32"/>
  <c r="BQ65" i="32"/>
  <c r="BJ65" i="32"/>
  <c r="BL65" i="32"/>
  <c r="BK65" i="32"/>
  <c r="S65" i="32"/>
  <c r="AU65" i="32"/>
  <c r="AD65" i="32"/>
  <c r="BT65" i="32"/>
  <c r="BW65" i="32"/>
  <c r="AK65" i="32"/>
  <c r="AX65" i="32"/>
  <c r="BP65" i="32"/>
  <c r="BM65" i="32"/>
  <c r="AI65" i="32"/>
  <c r="AL65" i="32"/>
  <c r="BU65" i="32"/>
  <c r="AZ65" i="32"/>
  <c r="BF65" i="32"/>
  <c r="X65" i="32"/>
  <c r="CC65" i="32"/>
  <c r="BR65" i="32"/>
  <c r="BS65" i="32"/>
  <c r="AV65" i="32"/>
  <c r="AR65" i="32"/>
  <c r="CA65" i="32"/>
  <c r="AO65" i="32"/>
  <c r="AP65" i="32"/>
  <c r="AW65" i="32"/>
  <c r="BZ65" i="32"/>
  <c r="BE65" i="32"/>
  <c r="AB65" i="32"/>
  <c r="W65" i="32"/>
  <c r="BI65" i="32"/>
  <c r="AS65" i="32"/>
  <c r="T65" i="32"/>
  <c r="BD65" i="32"/>
  <c r="BX65" i="32"/>
  <c r="AH65" i="32"/>
  <c r="AT65" i="32"/>
  <c r="AD16" i="32"/>
  <c r="AE16" i="32"/>
  <c r="AF16" i="32"/>
  <c r="BF16" i="32"/>
  <c r="AN16" i="32"/>
  <c r="AC16" i="32"/>
  <c r="AB16" i="32"/>
  <c r="BJ16" i="32"/>
  <c r="BS16" i="32"/>
  <c r="AH16" i="32"/>
  <c r="Z16" i="32"/>
  <c r="AX16" i="32"/>
  <c r="AJ16" i="32"/>
  <c r="AW16" i="32"/>
  <c r="BR16" i="32"/>
  <c r="CA16" i="32"/>
  <c r="AS16" i="32"/>
  <c r="BA16" i="32"/>
  <c r="BW16" i="32"/>
  <c r="BM16" i="32"/>
  <c r="BI16" i="32"/>
  <c r="AT16" i="32"/>
  <c r="T16" i="32"/>
  <c r="AK16" i="32"/>
  <c r="BD16" i="32"/>
  <c r="Q16" i="32"/>
  <c r="BT16" i="32"/>
  <c r="BB16" i="32"/>
  <c r="AP16" i="32"/>
  <c r="AY16" i="32"/>
  <c r="BP16" i="32"/>
  <c r="AR16" i="32"/>
  <c r="BY16" i="32"/>
  <c r="V16" i="32"/>
  <c r="AZ16" i="32"/>
  <c r="BO16" i="32"/>
  <c r="BG16" i="32"/>
  <c r="AL16" i="32"/>
  <c r="BL16" i="32"/>
  <c r="CC16" i="32"/>
  <c r="BH16" i="32"/>
  <c r="W16" i="32"/>
  <c r="Y16" i="32"/>
  <c r="X16" i="32"/>
  <c r="AM16" i="32"/>
  <c r="BN16" i="32"/>
  <c r="BU16" i="32"/>
  <c r="AU16" i="32"/>
  <c r="CB16" i="32"/>
  <c r="AI16" i="32"/>
  <c r="AO16" i="32"/>
  <c r="BC16" i="32"/>
  <c r="BE16" i="32"/>
  <c r="BK16" i="32"/>
  <c r="BX16" i="32"/>
  <c r="BV16" i="32"/>
  <c r="AQ16" i="32"/>
  <c r="U16" i="32"/>
  <c r="AV16" i="32"/>
  <c r="BQ16" i="32"/>
  <c r="S16" i="32"/>
  <c r="BZ16" i="32"/>
  <c r="AG16" i="32"/>
  <c r="AA16" i="32"/>
  <c r="R16" i="32"/>
  <c r="AL46" i="32"/>
  <c r="AN46" i="32"/>
  <c r="AM46" i="32"/>
  <c r="AZ46" i="32"/>
  <c r="AB46" i="32"/>
  <c r="S46" i="32"/>
  <c r="AW46" i="32"/>
  <c r="BM46" i="32"/>
  <c r="BR46" i="32"/>
  <c r="CB46" i="32"/>
  <c r="AA46" i="32"/>
  <c r="Q46" i="32"/>
  <c r="AR46" i="32"/>
  <c r="BW46" i="32"/>
  <c r="BU46" i="32"/>
  <c r="BZ46" i="32"/>
  <c r="W46" i="32"/>
  <c r="AO46" i="32"/>
  <c r="AP46" i="32"/>
  <c r="BQ46" i="32"/>
  <c r="AH46" i="32"/>
  <c r="U46" i="32"/>
  <c r="X46" i="32"/>
  <c r="BC46" i="32"/>
  <c r="AG46" i="32"/>
  <c r="Z46" i="32"/>
  <c r="AJ46" i="32"/>
  <c r="AF46" i="32"/>
  <c r="BK46" i="32"/>
  <c r="BF46" i="32"/>
  <c r="AY46" i="32"/>
  <c r="AK46" i="32"/>
  <c r="AD46" i="32"/>
  <c r="AE46" i="32"/>
  <c r="BA46" i="32"/>
  <c r="BI46" i="32"/>
  <c r="AT46" i="32"/>
  <c r="AU46" i="32"/>
  <c r="BO46" i="32"/>
  <c r="Y46" i="32"/>
  <c r="BJ46" i="32"/>
  <c r="BY46" i="32"/>
  <c r="BH46" i="32"/>
  <c r="AV46" i="32"/>
  <c r="AC46" i="32"/>
  <c r="BG46" i="32"/>
  <c r="BD46" i="32"/>
  <c r="BE46" i="32"/>
  <c r="AI46" i="32"/>
  <c r="CC46" i="32"/>
  <c r="AX46" i="32"/>
  <c r="BB46" i="32"/>
  <c r="AQ46" i="32"/>
  <c r="BL46" i="32"/>
  <c r="BP46" i="32"/>
  <c r="BT46" i="32"/>
  <c r="BX46" i="32"/>
  <c r="BS46" i="32"/>
  <c r="T46" i="32"/>
  <c r="CA46" i="32"/>
  <c r="AS46" i="32"/>
  <c r="V46" i="32"/>
  <c r="R46" i="32"/>
  <c r="BN46" i="32"/>
  <c r="BV46" i="32"/>
  <c r="AP36" i="32"/>
  <c r="AQ36" i="32"/>
  <c r="AZ36" i="32"/>
  <c r="BU36" i="32"/>
  <c r="AC36" i="32"/>
  <c r="BQ36" i="32"/>
  <c r="BM36" i="32"/>
  <c r="AL36" i="32"/>
  <c r="BV36" i="32"/>
  <c r="T36" i="32"/>
  <c r="BA36" i="32"/>
  <c r="Q36" i="32"/>
  <c r="AG36" i="32"/>
  <c r="BE36" i="32"/>
  <c r="CA36" i="32"/>
  <c r="S36" i="32"/>
  <c r="AD36" i="32"/>
  <c r="BK36" i="32"/>
  <c r="AM36" i="32"/>
  <c r="BY36" i="32"/>
  <c r="AJ36" i="32"/>
  <c r="AK36" i="32"/>
  <c r="R36" i="32"/>
  <c r="AY36" i="32"/>
  <c r="AE36" i="32"/>
  <c r="AW36" i="32"/>
  <c r="BR36" i="32"/>
  <c r="AS36" i="32"/>
  <c r="Z36" i="32"/>
  <c r="BG36" i="32"/>
  <c r="AO36" i="32"/>
  <c r="BI36" i="32"/>
  <c r="BC36" i="32"/>
  <c r="BZ36" i="32"/>
  <c r="AH36" i="32"/>
  <c r="AN36" i="32"/>
  <c r="BL36" i="32"/>
  <c r="BD36" i="32"/>
  <c r="AX36" i="32"/>
  <c r="BJ36" i="32"/>
  <c r="BX36" i="32"/>
  <c r="W36" i="32"/>
  <c r="BN36" i="32"/>
  <c r="AF36" i="32"/>
  <c r="AV36" i="32"/>
  <c r="AA36" i="32"/>
  <c r="AR36" i="32"/>
  <c r="X36" i="32"/>
  <c r="AI36" i="32"/>
  <c r="BB36" i="32"/>
  <c r="BH36" i="32"/>
  <c r="V36" i="32"/>
  <c r="AT36" i="32"/>
  <c r="CC36" i="32"/>
  <c r="BF36" i="32"/>
  <c r="Y36" i="32"/>
  <c r="BO36" i="32"/>
  <c r="AU36" i="32"/>
  <c r="BW36" i="32"/>
  <c r="AB36" i="32"/>
  <c r="BT36" i="32"/>
  <c r="BP36" i="32"/>
  <c r="BS36" i="32"/>
  <c r="U36" i="32"/>
  <c r="CB36" i="32"/>
  <c r="AZ47" i="32"/>
  <c r="AS47" i="32"/>
  <c r="BE47" i="32"/>
  <c r="AV47" i="32"/>
  <c r="BS47" i="32"/>
  <c r="AP47" i="32"/>
  <c r="S47" i="32"/>
  <c r="AY47" i="32"/>
  <c r="V47" i="32"/>
  <c r="Y47" i="32"/>
  <c r="Z47" i="32"/>
  <c r="BG47" i="32"/>
  <c r="AQ47" i="32"/>
  <c r="W47" i="32"/>
  <c r="AG47" i="32"/>
  <c r="T47" i="32"/>
  <c r="U47" i="32"/>
  <c r="AI47" i="32"/>
  <c r="AL47" i="32"/>
  <c r="CC47" i="32"/>
  <c r="AF47" i="32"/>
  <c r="BM47" i="32"/>
  <c r="BW47" i="32"/>
  <c r="AR47" i="32"/>
  <c r="BQ47" i="32"/>
  <c r="BF47" i="32"/>
  <c r="BJ47" i="32"/>
  <c r="BK47" i="32"/>
  <c r="BH47" i="32"/>
  <c r="BY47" i="32"/>
  <c r="BR47" i="32"/>
  <c r="AH47" i="32"/>
  <c r="BL47" i="32"/>
  <c r="AB47" i="32"/>
  <c r="AU47" i="32"/>
  <c r="AM47" i="32"/>
  <c r="R47" i="32"/>
  <c r="AJ47" i="32"/>
  <c r="AW47" i="32"/>
  <c r="AO47" i="32"/>
  <c r="BO47" i="32"/>
  <c r="BX47" i="32"/>
  <c r="BT47" i="32"/>
  <c r="BC47" i="32"/>
  <c r="AC47" i="32"/>
  <c r="CB47" i="32"/>
  <c r="X47" i="32"/>
  <c r="AK47" i="32"/>
  <c r="AA47" i="32"/>
  <c r="AT47" i="32"/>
  <c r="Q47" i="32"/>
  <c r="AE47" i="32"/>
  <c r="AD47" i="32"/>
  <c r="BB47" i="32"/>
  <c r="AX47" i="32"/>
  <c r="BP47" i="32"/>
  <c r="BD47" i="32"/>
  <c r="BA47" i="32"/>
  <c r="BZ47" i="32"/>
  <c r="BI47" i="32"/>
  <c r="BV47" i="32"/>
  <c r="AN47" i="32"/>
  <c r="BU47" i="32"/>
  <c r="CA47" i="32"/>
  <c r="BN47" i="32"/>
  <c r="BF32" i="32"/>
  <c r="BG32" i="32"/>
  <c r="BX32" i="32"/>
  <c r="BT32" i="32"/>
  <c r="AZ32" i="32"/>
  <c r="AD32" i="32"/>
  <c r="BC32" i="32"/>
  <c r="BZ32" i="32"/>
  <c r="R32" i="32"/>
  <c r="AA32" i="32"/>
  <c r="AR32" i="32"/>
  <c r="AV32" i="32"/>
  <c r="AM32" i="32"/>
  <c r="BD32" i="32"/>
  <c r="BP32" i="32"/>
  <c r="CA32" i="32"/>
  <c r="Z32" i="32"/>
  <c r="AI32" i="32"/>
  <c r="BB32" i="32"/>
  <c r="BI32" i="32"/>
  <c r="BK32" i="32"/>
  <c r="CB32" i="32"/>
  <c r="BR32" i="32"/>
  <c r="BV32" i="32"/>
  <c r="BL32" i="32"/>
  <c r="AW32" i="32"/>
  <c r="BH32" i="32"/>
  <c r="AB32" i="32"/>
  <c r="S32" i="32"/>
  <c r="W32" i="32"/>
  <c r="BJ32" i="32"/>
  <c r="BS32" i="32"/>
  <c r="BQ32" i="32"/>
  <c r="AH32" i="32"/>
  <c r="V32" i="32"/>
  <c r="BU32" i="32"/>
  <c r="BE32" i="32"/>
  <c r="AP32" i="32"/>
  <c r="AF32" i="32"/>
  <c r="Y32" i="32"/>
  <c r="CC32" i="32"/>
  <c r="BN32" i="32"/>
  <c r="AK32" i="32"/>
  <c r="AE32" i="32"/>
  <c r="AQ32" i="32"/>
  <c r="X32" i="32"/>
  <c r="AN32" i="32"/>
  <c r="AY32" i="32"/>
  <c r="AL32" i="32"/>
  <c r="AC32" i="32"/>
  <c r="AG32" i="32"/>
  <c r="AO32" i="32"/>
  <c r="U32" i="32"/>
  <c r="AS32" i="32"/>
  <c r="BY32" i="32"/>
  <c r="BA32" i="32"/>
  <c r="T32" i="32"/>
  <c r="AX32" i="32"/>
  <c r="AJ32" i="32"/>
  <c r="BO32" i="32"/>
  <c r="AU32" i="32"/>
  <c r="Q32" i="32"/>
  <c r="AT32" i="32"/>
  <c r="BM32" i="32"/>
  <c r="BW32" i="32"/>
  <c r="BN52" i="32"/>
  <c r="BO52" i="32"/>
  <c r="AC52" i="32"/>
  <c r="AV52" i="32"/>
  <c r="T52" i="32"/>
  <c r="AO52" i="32"/>
  <c r="BX52" i="32"/>
  <c r="BL52" i="32"/>
  <c r="Z52" i="32"/>
  <c r="AI52" i="32"/>
  <c r="BE52" i="32"/>
  <c r="AB52" i="32"/>
  <c r="CC52" i="32"/>
  <c r="V52" i="32"/>
  <c r="AJ52" i="32"/>
  <c r="AH52" i="32"/>
  <c r="AQ52" i="32"/>
  <c r="BQ52" i="32"/>
  <c r="AL52" i="32"/>
  <c r="AN52" i="32"/>
  <c r="W52" i="32"/>
  <c r="BD52" i="32"/>
  <c r="AY52" i="32"/>
  <c r="BS52" i="32"/>
  <c r="AM52" i="32"/>
  <c r="AE52" i="32"/>
  <c r="BK52" i="32"/>
  <c r="R52" i="32"/>
  <c r="BG52" i="32"/>
  <c r="AD52" i="32"/>
  <c r="BI52" i="32"/>
  <c r="BA52" i="32"/>
  <c r="AR52" i="32"/>
  <c r="AP52" i="32"/>
  <c r="AK52" i="32"/>
  <c r="CB52" i="32"/>
  <c r="BU52" i="32"/>
  <c r="AX52" i="32"/>
  <c r="AU52" i="32"/>
  <c r="Q52" i="32"/>
  <c r="AF52" i="32"/>
  <c r="BV52" i="32"/>
  <c r="BT52" i="32"/>
  <c r="BC52" i="32"/>
  <c r="S52" i="32"/>
  <c r="BH52" i="32"/>
  <c r="BB52" i="32"/>
  <c r="AA52" i="32"/>
  <c r="BR52" i="32"/>
  <c r="BY52" i="32"/>
  <c r="Y52" i="32"/>
  <c r="AG52" i="32"/>
  <c r="AW52" i="32"/>
  <c r="U52" i="32"/>
  <c r="AZ52" i="32"/>
  <c r="AS52" i="32"/>
  <c r="BJ52" i="32"/>
  <c r="BM52" i="32"/>
  <c r="X52" i="32"/>
  <c r="BF52" i="32"/>
  <c r="AT52" i="32"/>
  <c r="CA52" i="32"/>
  <c r="BZ52" i="32"/>
  <c r="BP52" i="32"/>
  <c r="BW52" i="32"/>
  <c r="BZ58" i="32"/>
  <c r="CA58" i="32"/>
  <c r="AK58" i="32"/>
  <c r="CB58" i="32"/>
  <c r="AP58" i="32"/>
  <c r="AZ58" i="32"/>
  <c r="BI58" i="32"/>
  <c r="AH58" i="32"/>
  <c r="AL58" i="32"/>
  <c r="AU58" i="32"/>
  <c r="BO58" i="32"/>
  <c r="BF58" i="32"/>
  <c r="BU58" i="32"/>
  <c r="U58" i="32"/>
  <c r="AF58" i="32"/>
  <c r="AT58" i="32"/>
  <c r="BC58" i="32"/>
  <c r="BY58" i="32"/>
  <c r="BP58" i="32"/>
  <c r="BW58" i="32"/>
  <c r="AO58" i="32"/>
  <c r="BM58" i="32"/>
  <c r="BB58" i="32"/>
  <c r="Y58" i="32"/>
  <c r="AJ58" i="32"/>
  <c r="AQ58" i="32"/>
  <c r="X58" i="32"/>
  <c r="BT58" i="32"/>
  <c r="BJ58" i="32"/>
  <c r="AI58" i="32"/>
  <c r="AV58" i="32"/>
  <c r="BX58" i="32"/>
  <c r="BH58" i="32"/>
  <c r="V58" i="32"/>
  <c r="AS58" i="32"/>
  <c r="BQ58" i="32"/>
  <c r="BD58" i="32"/>
  <c r="AD58" i="32"/>
  <c r="BE58" i="32"/>
  <c r="T58" i="32"/>
  <c r="BV58" i="32"/>
  <c r="W58" i="32"/>
  <c r="Z58" i="32"/>
  <c r="S58" i="32"/>
  <c r="AE58" i="32"/>
  <c r="AA58" i="32"/>
  <c r="AB58" i="32"/>
  <c r="AM58" i="32"/>
  <c r="AW58" i="32"/>
  <c r="BL58" i="32"/>
  <c r="BK58" i="32"/>
  <c r="AR58" i="32"/>
  <c r="Q58" i="32"/>
  <c r="R58" i="32"/>
  <c r="BG58" i="32"/>
  <c r="AG58" i="32"/>
  <c r="CC58" i="32"/>
  <c r="AY58" i="32"/>
  <c r="AN58" i="32"/>
  <c r="BN58" i="32"/>
  <c r="BA58" i="32"/>
  <c r="BS58" i="32"/>
  <c r="AX58" i="32"/>
  <c r="BR58" i="32"/>
  <c r="AC58" i="32"/>
  <c r="T63" i="32"/>
  <c r="U63" i="32"/>
  <c r="Y63" i="32"/>
  <c r="BS63" i="32"/>
  <c r="AM63" i="32"/>
  <c r="BB63" i="32"/>
  <c r="BW63" i="32"/>
  <c r="AO63" i="32"/>
  <c r="AT63" i="32"/>
  <c r="AR63" i="32"/>
  <c r="BA63" i="32"/>
  <c r="CA63" i="32"/>
  <c r="CB63" i="32"/>
  <c r="AH63" i="32"/>
  <c r="AE63" i="32"/>
  <c r="X63" i="32"/>
  <c r="AZ63" i="32"/>
  <c r="BI63" i="32"/>
  <c r="AA63" i="32"/>
  <c r="Q63" i="32"/>
  <c r="BT63" i="32"/>
  <c r="BL63" i="32"/>
  <c r="BJ63" i="32"/>
  <c r="BX63" i="32"/>
  <c r="BE63" i="32"/>
  <c r="BG63" i="32"/>
  <c r="BU63" i="32"/>
  <c r="AN63" i="32"/>
  <c r="AC63" i="32"/>
  <c r="BO63" i="32"/>
  <c r="CC63" i="32"/>
  <c r="W63" i="32"/>
  <c r="BV63" i="32"/>
  <c r="AB63" i="32"/>
  <c r="AI63" i="32"/>
  <c r="AF63" i="32"/>
  <c r="R63" i="32"/>
  <c r="AJ63" i="32"/>
  <c r="AU63" i="32"/>
  <c r="AX63" i="32"/>
  <c r="AG63" i="32"/>
  <c r="BP63" i="32"/>
  <c r="AV63" i="32"/>
  <c r="AP63" i="32"/>
  <c r="AK63" i="32"/>
  <c r="BF63" i="32"/>
  <c r="AY63" i="32"/>
  <c r="AS63" i="32"/>
  <c r="BR63" i="32"/>
  <c r="BN63" i="32"/>
  <c r="BH63" i="32"/>
  <c r="V63" i="32"/>
  <c r="BY63" i="32"/>
  <c r="BD63" i="32"/>
  <c r="AW63" i="32"/>
  <c r="AD63" i="32"/>
  <c r="Z63" i="32"/>
  <c r="AQ63" i="32"/>
  <c r="AL63" i="32"/>
  <c r="BK63" i="32"/>
  <c r="BM63" i="32"/>
  <c r="BZ63" i="32"/>
  <c r="BQ63" i="32"/>
  <c r="BC63" i="32"/>
  <c r="S63" i="32"/>
  <c r="Z68" i="32"/>
  <c r="AA68" i="32"/>
  <c r="AK68" i="32"/>
  <c r="AW68" i="32"/>
  <c r="BI68" i="32"/>
  <c r="BL68" i="32"/>
  <c r="BC68" i="32"/>
  <c r="AG68" i="32"/>
  <c r="AX68" i="32"/>
  <c r="BG68" i="32"/>
  <c r="AV68" i="32"/>
  <c r="Q68" i="32"/>
  <c r="AT68" i="32"/>
  <c r="W68" i="32"/>
  <c r="U68" i="32"/>
  <c r="BF68" i="32"/>
  <c r="BO68" i="32"/>
  <c r="CB68" i="32"/>
  <c r="AM68" i="32"/>
  <c r="AF68" i="32"/>
  <c r="BD68" i="32"/>
  <c r="BT68" i="32"/>
  <c r="AQ68" i="32"/>
  <c r="AC68" i="32"/>
  <c r="AR68" i="32"/>
  <c r="BB68" i="32"/>
  <c r="AN68" i="32"/>
  <c r="R68" i="32"/>
  <c r="AY68" i="32"/>
  <c r="BS68" i="32"/>
  <c r="BJ68" i="32"/>
  <c r="V68" i="32"/>
  <c r="BU68" i="32"/>
  <c r="AH68" i="32"/>
  <c r="AU68" i="32"/>
  <c r="CC68" i="32"/>
  <c r="AD68" i="32"/>
  <c r="BE68" i="32"/>
  <c r="AS68" i="32"/>
  <c r="AP68" i="32"/>
  <c r="X68" i="32"/>
  <c r="BV68" i="32"/>
  <c r="AL68" i="32"/>
  <c r="AJ68" i="32"/>
  <c r="S68" i="32"/>
  <c r="BH68" i="32"/>
  <c r="BK68" i="32"/>
  <c r="AI68" i="32"/>
  <c r="BR68" i="32"/>
  <c r="BZ68" i="32"/>
  <c r="AE68" i="32"/>
  <c r="BW68" i="32"/>
  <c r="T68" i="32"/>
  <c r="Y68" i="32"/>
  <c r="BA68" i="32"/>
  <c r="BQ68" i="32"/>
  <c r="AZ68" i="32"/>
  <c r="CA68" i="32"/>
  <c r="BP68" i="32"/>
  <c r="AB68" i="32"/>
  <c r="AO68" i="32"/>
  <c r="BN68" i="32"/>
  <c r="BM68" i="32"/>
  <c r="BX68" i="32"/>
  <c r="BY68" i="32"/>
  <c r="AH48" i="32"/>
  <c r="AI48" i="32"/>
  <c r="AS48" i="32"/>
  <c r="BR48" i="32"/>
  <c r="Y48" i="32"/>
  <c r="BX48" i="32"/>
  <c r="AZ48" i="32"/>
  <c r="BL48" i="32"/>
  <c r="BF48" i="32"/>
  <c r="BO48" i="32"/>
  <c r="AL48" i="32"/>
  <c r="BP48" i="32"/>
  <c r="BB48" i="32"/>
  <c r="BA48" i="32"/>
  <c r="BS48" i="32"/>
  <c r="BN48" i="32"/>
  <c r="BW48" i="32"/>
  <c r="AV48" i="32"/>
  <c r="BZ48" i="32"/>
  <c r="T48" i="32"/>
  <c r="Q48" i="32"/>
  <c r="AD48" i="32"/>
  <c r="AP48" i="32"/>
  <c r="W48" i="32"/>
  <c r="X48" i="32"/>
  <c r="CA48" i="32"/>
  <c r="AM48" i="32"/>
  <c r="BU48" i="32"/>
  <c r="AX48" i="32"/>
  <c r="AG48" i="32"/>
  <c r="AJ48" i="32"/>
  <c r="AF48" i="32"/>
  <c r="BI48" i="32"/>
  <c r="R48" i="32"/>
  <c r="BC48" i="32"/>
  <c r="AK48" i="32"/>
  <c r="V48" i="32"/>
  <c r="BM48" i="32"/>
  <c r="Z48" i="32"/>
  <c r="AU48" i="32"/>
  <c r="AW48" i="32"/>
  <c r="S48" i="32"/>
  <c r="CB48" i="32"/>
  <c r="BK48" i="32"/>
  <c r="AA48" i="32"/>
  <c r="AT48" i="32"/>
  <c r="CC48" i="32"/>
  <c r="AQ48" i="32"/>
  <c r="BD48" i="32"/>
  <c r="AN48" i="32"/>
  <c r="BE48" i="32"/>
  <c r="AE48" i="32"/>
  <c r="BV48" i="32"/>
  <c r="BJ48" i="32"/>
  <c r="AY48" i="32"/>
  <c r="U48" i="32"/>
  <c r="BG48" i="32"/>
  <c r="AO48" i="32"/>
  <c r="BY48" i="32"/>
  <c r="AR48" i="32"/>
  <c r="AB48" i="32"/>
  <c r="AC48" i="32"/>
  <c r="BQ48" i="32"/>
  <c r="BT48" i="32"/>
  <c r="BH48" i="32"/>
  <c r="AT54" i="32"/>
  <c r="AU54" i="32"/>
  <c r="BA54" i="32"/>
  <c r="AV54" i="32"/>
  <c r="BN54" i="32"/>
  <c r="AY54" i="32"/>
  <c r="BQ54" i="32"/>
  <c r="Q54" i="32"/>
  <c r="BR54" i="32"/>
  <c r="CA54" i="32"/>
  <c r="BO54" i="32"/>
  <c r="AR54" i="32"/>
  <c r="BL54" i="32"/>
  <c r="AB54" i="32"/>
  <c r="R54" i="32"/>
  <c r="BZ54" i="32"/>
  <c r="U54" i="32"/>
  <c r="Z54" i="32"/>
  <c r="BD54" i="32"/>
  <c r="AZ54" i="32"/>
  <c r="AX54" i="32"/>
  <c r="BH54" i="32"/>
  <c r="W54" i="32"/>
  <c r="BM54" i="32"/>
  <c r="X54" i="32"/>
  <c r="AK54" i="32"/>
  <c r="BU54" i="32"/>
  <c r="AE54" i="32"/>
  <c r="BW54" i="32"/>
  <c r="AH54" i="32"/>
  <c r="CC54" i="32"/>
  <c r="AF54" i="32"/>
  <c r="AD54" i="32"/>
  <c r="AG54" i="32"/>
  <c r="BX54" i="32"/>
  <c r="AA54" i="32"/>
  <c r="AL54" i="32"/>
  <c r="AQ54" i="32"/>
  <c r="AI54" i="32"/>
  <c r="AW54" i="32"/>
  <c r="BJ54" i="32"/>
  <c r="BF54" i="32"/>
  <c r="AO54" i="32"/>
  <c r="AM54" i="32"/>
  <c r="BP54" i="32"/>
  <c r="BT54" i="32"/>
  <c r="BC54" i="32"/>
  <c r="CB54" i="32"/>
  <c r="AC54" i="32"/>
  <c r="AJ54" i="32"/>
  <c r="S54" i="32"/>
  <c r="BI54" i="32"/>
  <c r="V54" i="32"/>
  <c r="BY54" i="32"/>
  <c r="BB54" i="32"/>
  <c r="T54" i="32"/>
  <c r="BK54" i="32"/>
  <c r="AP54" i="32"/>
  <c r="BS54" i="32"/>
  <c r="AN54" i="32"/>
  <c r="Y54" i="32"/>
  <c r="BV54" i="32"/>
  <c r="BE54" i="32"/>
  <c r="BG54" i="32"/>
  <c r="AS54" i="32"/>
  <c r="BB42" i="32"/>
  <c r="BF42" i="32"/>
  <c r="AX42" i="32"/>
  <c r="CA42" i="32"/>
  <c r="Q42" i="32"/>
  <c r="BI42" i="32"/>
  <c r="BK42" i="32"/>
  <c r="AZ42" i="32"/>
  <c r="BZ42" i="32"/>
  <c r="BH42" i="32"/>
  <c r="AP42" i="32"/>
  <c r="AR42" i="32"/>
  <c r="AC42" i="32"/>
  <c r="AI42" i="32"/>
  <c r="AH42" i="32"/>
  <c r="U42" i="32"/>
  <c r="W42" i="32"/>
  <c r="AY42" i="32"/>
  <c r="BE42" i="32"/>
  <c r="BV42" i="32"/>
  <c r="AJ42" i="32"/>
  <c r="BL42" i="32"/>
  <c r="V42" i="32"/>
  <c r="AW42" i="32"/>
  <c r="BY42" i="32"/>
  <c r="AS42" i="32"/>
  <c r="AV42" i="32"/>
  <c r="CB42" i="32"/>
  <c r="AD42" i="32"/>
  <c r="BO42" i="32"/>
  <c r="X42" i="32"/>
  <c r="AA42" i="32"/>
  <c r="T42" i="32"/>
  <c r="BA42" i="32"/>
  <c r="AL42" i="32"/>
  <c r="AF42" i="32"/>
  <c r="BS42" i="32"/>
  <c r="CC42" i="32"/>
  <c r="AT42" i="32"/>
  <c r="AO42" i="32"/>
  <c r="AB42" i="32"/>
  <c r="Y42" i="32"/>
  <c r="BR42" i="32"/>
  <c r="Z42" i="32"/>
  <c r="BN42" i="32"/>
  <c r="AE42" i="32"/>
  <c r="AM42" i="32"/>
  <c r="R42" i="32"/>
  <c r="AN42" i="32"/>
  <c r="BC42" i="32"/>
  <c r="AU42" i="32"/>
  <c r="BP42" i="32"/>
  <c r="S42" i="32"/>
  <c r="AQ42" i="32"/>
  <c r="BD42" i="32"/>
  <c r="BJ42" i="32"/>
  <c r="BT42" i="32"/>
  <c r="BX42" i="32"/>
  <c r="BU42" i="32"/>
  <c r="AG42" i="32"/>
  <c r="AK42" i="32"/>
  <c r="BQ42" i="32"/>
  <c r="BM42" i="32"/>
  <c r="BW42" i="32"/>
  <c r="BG42" i="32"/>
  <c r="BF56" i="32"/>
  <c r="BG56" i="32"/>
  <c r="BS56" i="32"/>
  <c r="T56" i="32"/>
  <c r="BU56" i="32"/>
  <c r="AU56" i="32"/>
  <c r="BM56" i="32"/>
  <c r="BD56" i="32"/>
  <c r="S56" i="32"/>
  <c r="AC56" i="32"/>
  <c r="AF56" i="32"/>
  <c r="AE56" i="32"/>
  <c r="BP56" i="32"/>
  <c r="X56" i="32"/>
  <c r="AK56" i="32"/>
  <c r="R56" i="32"/>
  <c r="AA56" i="32"/>
  <c r="AM56" i="32"/>
  <c r="AR56" i="32"/>
  <c r="BA56" i="32"/>
  <c r="BQ56" i="32"/>
  <c r="AT56" i="32"/>
  <c r="CA56" i="32"/>
  <c r="AP56" i="32"/>
  <c r="BW56" i="32"/>
  <c r="BL56" i="32"/>
  <c r="BX56" i="32"/>
  <c r="W56" i="32"/>
  <c r="AX56" i="32"/>
  <c r="Q56" i="32"/>
  <c r="AD56" i="32"/>
  <c r="AL56" i="32"/>
  <c r="AS56" i="32"/>
  <c r="Z56" i="32"/>
  <c r="AW56" i="32"/>
  <c r="BJ56" i="32"/>
  <c r="BY56" i="32"/>
  <c r="AH56" i="32"/>
  <c r="BI56" i="32"/>
  <c r="BT56" i="32"/>
  <c r="BE56" i="32"/>
  <c r="BV56" i="32"/>
  <c r="BK56" i="32"/>
  <c r="AG56" i="32"/>
  <c r="AI56" i="32"/>
  <c r="AN56" i="32"/>
  <c r="Y56" i="32"/>
  <c r="AQ56" i="32"/>
  <c r="AZ56" i="32"/>
  <c r="AB56" i="32"/>
  <c r="CC56" i="32"/>
  <c r="BR56" i="32"/>
  <c r="AO56" i="32"/>
  <c r="AJ56" i="32"/>
  <c r="V56" i="32"/>
  <c r="BZ56" i="32"/>
  <c r="BB56" i="32"/>
  <c r="BN56" i="32"/>
  <c r="BH56" i="32"/>
  <c r="AY56" i="32"/>
  <c r="CB56" i="32"/>
  <c r="U56" i="32"/>
  <c r="BC56" i="32"/>
  <c r="AV56" i="32"/>
  <c r="BO56" i="32"/>
  <c r="AL50" i="32"/>
  <c r="AM50" i="32"/>
  <c r="AO50" i="32"/>
  <c r="BN50" i="32"/>
  <c r="AQ50" i="32"/>
  <c r="BT50" i="32"/>
  <c r="AI50" i="32"/>
  <c r="AN50" i="32"/>
  <c r="AT50" i="32"/>
  <c r="AU50" i="32"/>
  <c r="AY50" i="32"/>
  <c r="T50" i="32"/>
  <c r="BM50" i="32"/>
  <c r="AK50" i="32"/>
  <c r="V50" i="32"/>
  <c r="BC50" i="32"/>
  <c r="AG50" i="32"/>
  <c r="BV50" i="32"/>
  <c r="CC50" i="32"/>
  <c r="AJ50" i="32"/>
  <c r="AV50" i="32"/>
  <c r="BR50" i="32"/>
  <c r="AC50" i="32"/>
  <c r="AZ50" i="32"/>
  <c r="AX50" i="32"/>
  <c r="BF50" i="32"/>
  <c r="BQ50" i="32"/>
  <c r="BZ50" i="32"/>
  <c r="BI50" i="32"/>
  <c r="BL50" i="32"/>
  <c r="R50" i="32"/>
  <c r="CB50" i="32"/>
  <c r="W50" i="32"/>
  <c r="X50" i="32"/>
  <c r="BA50" i="32"/>
  <c r="Q50" i="32"/>
  <c r="AE50" i="32"/>
  <c r="AR50" i="32"/>
  <c r="AB50" i="32"/>
  <c r="BG50" i="32"/>
  <c r="BB50" i="32"/>
  <c r="AF50" i="32"/>
  <c r="BP50" i="32"/>
  <c r="BJ50" i="32"/>
  <c r="AP50" i="32"/>
  <c r="AW50" i="32"/>
  <c r="S50" i="32"/>
  <c r="Z50" i="32"/>
  <c r="BU50" i="32"/>
  <c r="BE50" i="32"/>
  <c r="BW50" i="32"/>
  <c r="BY50" i="32"/>
  <c r="AD50" i="32"/>
  <c r="Y50" i="32"/>
  <c r="BS50" i="32"/>
  <c r="AS50" i="32"/>
  <c r="CA50" i="32"/>
  <c r="BO50" i="32"/>
  <c r="U50" i="32"/>
  <c r="AA50" i="32"/>
  <c r="AH50" i="32"/>
  <c r="BD50" i="32"/>
  <c r="BK50" i="32"/>
  <c r="BH50" i="32"/>
  <c r="BX50" i="32"/>
  <c r="BP43" i="32"/>
  <c r="BV43" i="32"/>
  <c r="AV43" i="32"/>
  <c r="T43" i="32"/>
  <c r="AC43" i="32"/>
  <c r="BY43" i="32"/>
  <c r="AW43" i="32"/>
  <c r="AI43" i="32"/>
  <c r="BK43" i="32"/>
  <c r="AP43" i="32"/>
  <c r="AQ43" i="32"/>
  <c r="AB43" i="32"/>
  <c r="AL43" i="32"/>
  <c r="U43" i="32"/>
  <c r="BO43" i="32"/>
  <c r="BL43" i="32"/>
  <c r="CA43" i="32"/>
  <c r="BT43" i="32"/>
  <c r="AS43" i="32"/>
  <c r="AU43" i="32"/>
  <c r="BE43" i="32"/>
  <c r="BZ43" i="32"/>
  <c r="AY43" i="32"/>
  <c r="AA43" i="32"/>
  <c r="BX43" i="32"/>
  <c r="AM43" i="32"/>
  <c r="W43" i="32"/>
  <c r="AK43" i="32"/>
  <c r="BS43" i="32"/>
  <c r="S43" i="32"/>
  <c r="BN43" i="32"/>
  <c r="X43" i="32"/>
  <c r="BQ43" i="32"/>
  <c r="BU43" i="32"/>
  <c r="AZ43" i="32"/>
  <c r="BW43" i="32"/>
  <c r="R43" i="32"/>
  <c r="AO43" i="32"/>
  <c r="BH43" i="32"/>
  <c r="AE43" i="32"/>
  <c r="AH43" i="32"/>
  <c r="BR43" i="32"/>
  <c r="AJ43" i="32"/>
  <c r="Q43" i="32"/>
  <c r="AF43" i="32"/>
  <c r="AR43" i="32"/>
  <c r="AG43" i="32"/>
  <c r="BI43" i="32"/>
  <c r="AD43" i="32"/>
  <c r="Z43" i="32"/>
  <c r="AT43" i="32"/>
  <c r="BB43" i="32"/>
  <c r="BJ43" i="32"/>
  <c r="BC43" i="32"/>
  <c r="AN43" i="32"/>
  <c r="BA43" i="32"/>
  <c r="CC43" i="32"/>
  <c r="AX43" i="32"/>
  <c r="BD43" i="32"/>
  <c r="CB43" i="32"/>
  <c r="BM43" i="32"/>
  <c r="Y43" i="32"/>
  <c r="BF43" i="32"/>
  <c r="V43" i="32"/>
  <c r="BG43" i="32"/>
  <c r="BX51" i="32"/>
  <c r="BY51" i="32"/>
  <c r="AE51" i="32"/>
  <c r="AN51" i="32"/>
  <c r="BB51" i="32"/>
  <c r="AT51" i="32"/>
  <c r="AI51" i="32"/>
  <c r="AU51" i="32"/>
  <c r="AB51" i="32"/>
  <c r="AK51" i="32"/>
  <c r="AW51" i="32"/>
  <c r="BV51" i="32"/>
  <c r="BK51" i="32"/>
  <c r="BM51" i="32"/>
  <c r="CA51" i="32"/>
  <c r="AJ51" i="32"/>
  <c r="AS51" i="32"/>
  <c r="BG51" i="32"/>
  <c r="R51" i="32"/>
  <c r="AF51" i="32"/>
  <c r="Y51" i="32"/>
  <c r="AL51" i="32"/>
  <c r="AR51" i="32"/>
  <c r="BQ51" i="32"/>
  <c r="V51" i="32"/>
  <c r="BL51" i="32"/>
  <c r="BW51" i="32"/>
  <c r="BN51" i="32"/>
  <c r="AZ51" i="32"/>
  <c r="AA51" i="32"/>
  <c r="AX51" i="32"/>
  <c r="BE51" i="32"/>
  <c r="CB51" i="32"/>
  <c r="BH51" i="32"/>
  <c r="AM51" i="32"/>
  <c r="BJ51" i="32"/>
  <c r="W51" i="32"/>
  <c r="AQ51" i="32"/>
  <c r="BI51" i="32"/>
  <c r="BT51" i="32"/>
  <c r="AH51" i="32"/>
  <c r="Q51" i="32"/>
  <c r="S51" i="32"/>
  <c r="BD51" i="32"/>
  <c r="BS51" i="32"/>
  <c r="AV51" i="32"/>
  <c r="CC51" i="32"/>
  <c r="BR51" i="32"/>
  <c r="BU51" i="32"/>
  <c r="BF51" i="32"/>
  <c r="AP51" i="32"/>
  <c r="X51" i="32"/>
  <c r="T51" i="32"/>
  <c r="AD51" i="32"/>
  <c r="BO51" i="32"/>
  <c r="AO51" i="32"/>
  <c r="AG51" i="32"/>
  <c r="BP51" i="32"/>
  <c r="BC51" i="32"/>
  <c r="U51" i="32"/>
  <c r="BZ51" i="32"/>
  <c r="AC51" i="32"/>
  <c r="BA51" i="32"/>
  <c r="Z51" i="32"/>
  <c r="AY51" i="32"/>
  <c r="T59" i="32"/>
  <c r="U59" i="32"/>
  <c r="W59" i="32"/>
  <c r="CA59" i="32"/>
  <c r="AU59" i="32"/>
  <c r="AV59" i="32"/>
  <c r="AO59" i="32"/>
  <c r="BL59" i="32"/>
  <c r="BB59" i="32"/>
  <c r="AJ59" i="32"/>
  <c r="AS59" i="32"/>
  <c r="BM59" i="32"/>
  <c r="BN59" i="32"/>
  <c r="AP59" i="32"/>
  <c r="Z59" i="32"/>
  <c r="AF59" i="32"/>
  <c r="AR59" i="32"/>
  <c r="BA59" i="32"/>
  <c r="BW59" i="32"/>
  <c r="BZ59" i="32"/>
  <c r="BJ59" i="32"/>
  <c r="BG59" i="32"/>
  <c r="BR59" i="32"/>
  <c r="BP59" i="32"/>
  <c r="AQ59" i="32"/>
  <c r="Y59" i="32"/>
  <c r="Q59" i="32"/>
  <c r="AE59" i="32"/>
  <c r="BI59" i="32"/>
  <c r="AH59" i="32"/>
  <c r="BK59" i="32"/>
  <c r="AD59" i="32"/>
  <c r="BQ59" i="32"/>
  <c r="AT59" i="32"/>
  <c r="CC59" i="32"/>
  <c r="AW59" i="32"/>
  <c r="BH59" i="32"/>
  <c r="BE59" i="32"/>
  <c r="AX59" i="32"/>
  <c r="AY59" i="32"/>
  <c r="BX59" i="32"/>
  <c r="X59" i="32"/>
  <c r="S59" i="32"/>
  <c r="BS59" i="32"/>
  <c r="AC59" i="32"/>
  <c r="V59" i="32"/>
  <c r="R59" i="32"/>
  <c r="AK59" i="32"/>
  <c r="AN59" i="32"/>
  <c r="AL59" i="32"/>
  <c r="AI59" i="32"/>
  <c r="CB59" i="32"/>
  <c r="BD59" i="32"/>
  <c r="AM59" i="32"/>
  <c r="BO59" i="32"/>
  <c r="BT59" i="32"/>
  <c r="AZ59" i="32"/>
  <c r="AA59" i="32"/>
  <c r="BY59" i="32"/>
  <c r="AG59" i="32"/>
  <c r="BC59" i="32"/>
  <c r="BF59" i="32"/>
  <c r="AB59" i="32"/>
  <c r="BV59" i="32"/>
  <c r="BU59" i="32"/>
  <c r="Z44" i="32"/>
  <c r="AA44" i="32"/>
  <c r="AU44" i="32"/>
  <c r="BU44" i="32"/>
  <c r="BQ44" i="32"/>
  <c r="BR44" i="32"/>
  <c r="AG44" i="32"/>
  <c r="BO44" i="32"/>
  <c r="AP44" i="32"/>
  <c r="BB44" i="32"/>
  <c r="AK44" i="32"/>
  <c r="X44" i="32"/>
  <c r="AO44" i="32"/>
  <c r="CB44" i="32"/>
  <c r="AM44" i="32"/>
  <c r="AX44" i="32"/>
  <c r="BK44" i="32"/>
  <c r="AT44" i="32"/>
  <c r="AN44" i="32"/>
  <c r="BE44" i="32"/>
  <c r="AI44" i="32"/>
  <c r="BP44" i="32"/>
  <c r="AJ44" i="32"/>
  <c r="BC44" i="32"/>
  <c r="BG44" i="32"/>
  <c r="W44" i="32"/>
  <c r="AV44" i="32"/>
  <c r="BV44" i="32"/>
  <c r="AB44" i="32"/>
  <c r="AR44" i="32"/>
  <c r="U44" i="32"/>
  <c r="V44" i="32"/>
  <c r="Q44" i="32"/>
  <c r="BL44" i="32"/>
  <c r="BX44" i="32"/>
  <c r="BZ44" i="32"/>
  <c r="CA44" i="32"/>
  <c r="CC44" i="32"/>
  <c r="BA44" i="32"/>
  <c r="AY44" i="32"/>
  <c r="AC44" i="32"/>
  <c r="AD44" i="32"/>
  <c r="AF44" i="32"/>
  <c r="R44" i="32"/>
  <c r="T44" i="32"/>
  <c r="BH44" i="32"/>
  <c r="AH44" i="32"/>
  <c r="AL44" i="32"/>
  <c r="AZ44" i="32"/>
  <c r="S44" i="32"/>
  <c r="BJ44" i="32"/>
  <c r="BD44" i="32"/>
  <c r="BY44" i="32"/>
  <c r="BW44" i="32"/>
  <c r="AW44" i="32"/>
  <c r="BN44" i="32"/>
  <c r="BI44" i="32"/>
  <c r="BT44" i="32"/>
  <c r="BM44" i="32"/>
  <c r="Y44" i="32"/>
  <c r="AQ44" i="32"/>
  <c r="BS44" i="32"/>
  <c r="AS44" i="32"/>
  <c r="AE44" i="32"/>
  <c r="BF44" i="32"/>
  <c r="AL66" i="32"/>
  <c r="AM66" i="32"/>
  <c r="AO66" i="32"/>
  <c r="AF66" i="32"/>
  <c r="X66" i="32"/>
  <c r="BH66" i="32"/>
  <c r="Y66" i="32"/>
  <c r="CC66" i="32"/>
  <c r="BB66" i="32"/>
  <c r="BK66" i="32"/>
  <c r="AG66" i="32"/>
  <c r="U66" i="32"/>
  <c r="BY66" i="32"/>
  <c r="BQ66" i="32"/>
  <c r="AH66" i="32"/>
  <c r="BJ66" i="32"/>
  <c r="BS66" i="32"/>
  <c r="BA66" i="32"/>
  <c r="AQ66" i="32"/>
  <c r="AS66" i="32"/>
  <c r="AN66" i="32"/>
  <c r="AW66" i="32"/>
  <c r="AD66" i="32"/>
  <c r="CA66" i="32"/>
  <c r="AP66" i="32"/>
  <c r="Z66" i="32"/>
  <c r="BF66" i="32"/>
  <c r="BP66" i="32"/>
  <c r="AT66" i="32"/>
  <c r="AC66" i="32"/>
  <c r="BV66" i="32"/>
  <c r="Q66" i="32"/>
  <c r="AV66" i="32"/>
  <c r="BR66" i="32"/>
  <c r="AY66" i="32"/>
  <c r="BM66" i="32"/>
  <c r="AX66" i="32"/>
  <c r="BO66" i="32"/>
  <c r="BZ66" i="32"/>
  <c r="BW66" i="32"/>
  <c r="AB66" i="32"/>
  <c r="AI66" i="32"/>
  <c r="W66" i="32"/>
  <c r="T66" i="32"/>
  <c r="BN66" i="32"/>
  <c r="AJ66" i="32"/>
  <c r="BC66" i="32"/>
  <c r="BT66" i="32"/>
  <c r="BI66" i="32"/>
  <c r="S66" i="32"/>
  <c r="AR66" i="32"/>
  <c r="BU66" i="32"/>
  <c r="BG66" i="32"/>
  <c r="AZ66" i="32"/>
  <c r="AA66" i="32"/>
  <c r="BL66" i="32"/>
  <c r="CB66" i="32"/>
  <c r="AE66" i="32"/>
  <c r="AK66" i="32"/>
  <c r="BE66" i="32"/>
  <c r="R66" i="32"/>
  <c r="BD66" i="32"/>
  <c r="BX66" i="32"/>
  <c r="AU66" i="32"/>
  <c r="V66" i="32"/>
  <c r="AR55" i="32"/>
  <c r="AS55" i="32"/>
  <c r="AY55" i="32"/>
  <c r="BD55" i="32"/>
  <c r="BV55" i="32"/>
  <c r="AV55" i="32"/>
  <c r="BO55" i="32"/>
  <c r="CA55" i="32"/>
  <c r="BH55" i="32"/>
  <c r="BQ55" i="32"/>
  <c r="AQ55" i="32"/>
  <c r="AP55" i="32"/>
  <c r="AN55" i="32"/>
  <c r="AU55" i="32"/>
  <c r="AL55" i="32"/>
  <c r="BP55" i="32"/>
  <c r="BY55" i="32"/>
  <c r="BM55" i="32"/>
  <c r="BB55" i="32"/>
  <c r="BJ55" i="32"/>
  <c r="Z55" i="32"/>
  <c r="BF55" i="32"/>
  <c r="BX55" i="32"/>
  <c r="AO55" i="32"/>
  <c r="V55" i="32"/>
  <c r="AA55" i="32"/>
  <c r="AD55" i="32"/>
  <c r="BA55" i="32"/>
  <c r="AH55" i="32"/>
  <c r="AT55" i="32"/>
  <c r="AW55" i="32"/>
  <c r="T55" i="32"/>
  <c r="BI55" i="32"/>
  <c r="BN55" i="32"/>
  <c r="R55" i="32"/>
  <c r="AX55" i="32"/>
  <c r="S55" i="32"/>
  <c r="BL55" i="32"/>
  <c r="Y55" i="32"/>
  <c r="AE55" i="32"/>
  <c r="AG55" i="32"/>
  <c r="BR55" i="32"/>
  <c r="AZ55" i="32"/>
  <c r="BZ55" i="32"/>
  <c r="BT55" i="32"/>
  <c r="AC55" i="32"/>
  <c r="BC55" i="32"/>
  <c r="CB55" i="32"/>
  <c r="U55" i="32"/>
  <c r="AF55" i="32"/>
  <c r="AI55" i="32"/>
  <c r="AJ55" i="32"/>
  <c r="BE55" i="32"/>
  <c r="AK55" i="32"/>
  <c r="Q55" i="32"/>
  <c r="BK55" i="32"/>
  <c r="BG55" i="32"/>
  <c r="BU55" i="32"/>
  <c r="X55" i="32"/>
  <c r="BW55" i="32"/>
  <c r="BS55" i="32"/>
  <c r="AM55" i="32"/>
  <c r="CC55" i="32"/>
  <c r="W55" i="32"/>
  <c r="AB55" i="32"/>
  <c r="AZ25" i="32"/>
  <c r="BB25" i="32"/>
  <c r="BL25" i="32"/>
  <c r="S25" i="32"/>
  <c r="BJ25" i="32"/>
  <c r="AO25" i="32"/>
  <c r="AD25" i="32"/>
  <c r="AE25" i="32"/>
  <c r="BP25" i="32"/>
  <c r="CC25" i="32"/>
  <c r="AQ25" i="32"/>
  <c r="U25" i="32"/>
  <c r="CB25" i="32"/>
  <c r="BD25" i="32"/>
  <c r="BQ25" i="32"/>
  <c r="BX25" i="32"/>
  <c r="V25" i="32"/>
  <c r="BC25" i="32"/>
  <c r="AK25" i="32"/>
  <c r="AC25" i="32"/>
  <c r="BF25" i="32"/>
  <c r="AL25" i="32"/>
  <c r="AI25" i="32"/>
  <c r="W25" i="32"/>
  <c r="AW25" i="32"/>
  <c r="X25" i="32"/>
  <c r="BG25" i="32"/>
  <c r="Q25" i="32"/>
  <c r="BV25" i="32"/>
  <c r="BZ25" i="32"/>
  <c r="CA25" i="32"/>
  <c r="BS25" i="32"/>
  <c r="Z25" i="32"/>
  <c r="AG25" i="32"/>
  <c r="Y25" i="32"/>
  <c r="AA25" i="32"/>
  <c r="AR25" i="32"/>
  <c r="BM25" i="32"/>
  <c r="BO25" i="32"/>
  <c r="AT25" i="32"/>
  <c r="BH25" i="32"/>
  <c r="BW25" i="32"/>
  <c r="BE25" i="32"/>
  <c r="BN25" i="32"/>
  <c r="AP25" i="32"/>
  <c r="BR25" i="32"/>
  <c r="AB25" i="32"/>
  <c r="AH25" i="32"/>
  <c r="R25" i="32"/>
  <c r="T25" i="32"/>
  <c r="BA25" i="32"/>
  <c r="AX25" i="32"/>
  <c r="BI25" i="32"/>
  <c r="BY25" i="32"/>
  <c r="AJ25" i="32"/>
  <c r="AM25" i="32"/>
  <c r="BT25" i="32"/>
  <c r="AV25" i="32"/>
  <c r="AY25" i="32"/>
  <c r="AU25" i="32"/>
  <c r="BU25" i="32"/>
  <c r="AS25" i="32"/>
  <c r="AN25" i="32"/>
  <c r="AF25" i="32"/>
  <c r="BK25" i="32"/>
  <c r="BJ62" i="32"/>
  <c r="BK62" i="32"/>
  <c r="BQ62" i="32"/>
  <c r="AX62" i="32"/>
  <c r="BM62" i="32"/>
  <c r="BD62" i="32"/>
  <c r="T62" i="32"/>
  <c r="BX62" i="32"/>
  <c r="BZ62" i="32"/>
  <c r="Q62" i="32"/>
  <c r="BU62" i="32"/>
  <c r="BI62" i="32"/>
  <c r="BP62" i="32"/>
  <c r="BN62" i="32"/>
  <c r="Z62" i="32"/>
  <c r="W62" i="32"/>
  <c r="AA62" i="32"/>
  <c r="R62" i="32"/>
  <c r="AF62" i="32"/>
  <c r="AJ62" i="32"/>
  <c r="BA62" i="32"/>
  <c r="AR62" i="32"/>
  <c r="AL62" i="32"/>
  <c r="BS62" i="32"/>
  <c r="AB62" i="32"/>
  <c r="AH62" i="32"/>
  <c r="AG62" i="32"/>
  <c r="BY62" i="32"/>
  <c r="AT62" i="32"/>
  <c r="AK62" i="32"/>
  <c r="BT62" i="32"/>
  <c r="AP62" i="32"/>
  <c r="BE62" i="32"/>
  <c r="BB62" i="32"/>
  <c r="AW62" i="32"/>
  <c r="S62" i="32"/>
  <c r="BW62" i="32"/>
  <c r="Y62" i="32"/>
  <c r="BC62" i="32"/>
  <c r="AO62" i="32"/>
  <c r="AV62" i="32"/>
  <c r="CA62" i="32"/>
  <c r="AS62" i="32"/>
  <c r="U62" i="32"/>
  <c r="AM62" i="32"/>
  <c r="CB62" i="32"/>
  <c r="AQ62" i="32"/>
  <c r="BG62" i="32"/>
  <c r="BO62" i="32"/>
  <c r="AU62" i="32"/>
  <c r="AZ62" i="32"/>
  <c r="CC62" i="32"/>
  <c r="BV62" i="32"/>
  <c r="AC62" i="32"/>
  <c r="X62" i="32"/>
  <c r="AY62" i="32"/>
  <c r="AE62" i="32"/>
  <c r="BH62" i="32"/>
  <c r="AI62" i="32"/>
  <c r="BF62" i="32"/>
  <c r="V62" i="32"/>
  <c r="BL62" i="32"/>
  <c r="AD62" i="32"/>
  <c r="AN62" i="32"/>
  <c r="BR62" i="32"/>
  <c r="BN60" i="32"/>
  <c r="BO60" i="32"/>
  <c r="AG60" i="32"/>
  <c r="BX60" i="32"/>
  <c r="AC60" i="32"/>
  <c r="AK60" i="32"/>
  <c r="CA60" i="32"/>
  <c r="BS60" i="32"/>
  <c r="S60" i="32"/>
  <c r="AE60" i="32"/>
  <c r="AF60" i="32"/>
  <c r="AN60" i="32"/>
  <c r="BQ60" i="32"/>
  <c r="BI60" i="32"/>
  <c r="X60" i="32"/>
  <c r="R60" i="32"/>
  <c r="AA60" i="32"/>
  <c r="AO60" i="32"/>
  <c r="AR60" i="32"/>
  <c r="BH60" i="32"/>
  <c r="Q60" i="32"/>
  <c r="AU60" i="32"/>
  <c r="BE60" i="32"/>
  <c r="BF60" i="32"/>
  <c r="BA60" i="32"/>
  <c r="W60" i="32"/>
  <c r="AJ60" i="32"/>
  <c r="CB60" i="32"/>
  <c r="AY60" i="32"/>
  <c r="V60" i="32"/>
  <c r="AV60" i="32"/>
  <c r="AT60" i="32"/>
  <c r="Z60" i="32"/>
  <c r="BG60" i="32"/>
  <c r="BB60" i="32"/>
  <c r="BP60" i="32"/>
  <c r="AD60" i="32"/>
  <c r="AX60" i="32"/>
  <c r="BC60" i="32"/>
  <c r="AW60" i="32"/>
  <c r="AL60" i="32"/>
  <c r="BV60" i="32"/>
  <c r="BY60" i="32"/>
  <c r="BR60" i="32"/>
  <c r="BD60" i="32"/>
  <c r="AH60" i="32"/>
  <c r="BL60" i="32"/>
  <c r="BT60" i="32"/>
  <c r="AI60" i="32"/>
  <c r="BM60" i="32"/>
  <c r="CC60" i="32"/>
  <c r="AP60" i="32"/>
  <c r="AS60" i="32"/>
  <c r="AB60" i="32"/>
  <c r="BJ60" i="32"/>
  <c r="AQ60" i="32"/>
  <c r="T60" i="32"/>
  <c r="BW60" i="32"/>
  <c r="AM60" i="32"/>
  <c r="BK60" i="32"/>
  <c r="Y60" i="32"/>
  <c r="BZ60" i="32"/>
  <c r="AZ60" i="32"/>
  <c r="BU60" i="32"/>
  <c r="U60" i="32"/>
  <c r="BX67" i="32"/>
  <c r="BY67" i="32"/>
  <c r="AE67" i="32"/>
  <c r="BT67" i="32"/>
  <c r="Z67" i="32"/>
  <c r="AH67" i="32"/>
  <c r="Y67" i="32"/>
  <c r="BR67" i="32"/>
  <c r="T67" i="32"/>
  <c r="AC67" i="32"/>
  <c r="AM67" i="32"/>
  <c r="AD67" i="32"/>
  <c r="AP67" i="32"/>
  <c r="AG67" i="32"/>
  <c r="BV67" i="32"/>
  <c r="BD67" i="32"/>
  <c r="AB67" i="32"/>
  <c r="AK67" i="32"/>
  <c r="AW67" i="32"/>
  <c r="AN67" i="32"/>
  <c r="BE67" i="32"/>
  <c r="AV67" i="32"/>
  <c r="AQ67" i="32"/>
  <c r="AS67" i="32"/>
  <c r="CC67" i="32"/>
  <c r="BK67" i="32"/>
  <c r="BB67" i="32"/>
  <c r="AU67" i="32"/>
  <c r="BP67" i="32"/>
  <c r="BS67" i="32"/>
  <c r="X67" i="32"/>
  <c r="V67" i="32"/>
  <c r="AI67" i="32"/>
  <c r="U67" i="32"/>
  <c r="AY67" i="32"/>
  <c r="BW67" i="32"/>
  <c r="BC67" i="32"/>
  <c r="BQ67" i="32"/>
  <c r="S67" i="32"/>
  <c r="W67" i="32"/>
  <c r="Q67" i="32"/>
  <c r="AO67" i="32"/>
  <c r="AL67" i="32"/>
  <c r="AA67" i="32"/>
  <c r="CA67" i="32"/>
  <c r="AJ67" i="32"/>
  <c r="BU67" i="32"/>
  <c r="BM67" i="32"/>
  <c r="BG67" i="32"/>
  <c r="AF67" i="32"/>
  <c r="AX67" i="32"/>
  <c r="BN67" i="32"/>
  <c r="BJ67" i="32"/>
  <c r="AR67" i="32"/>
  <c r="AT67" i="32"/>
  <c r="BI67" i="32"/>
  <c r="BL67" i="32"/>
  <c r="BO67" i="32"/>
  <c r="BF67" i="32"/>
  <c r="AZ67" i="32"/>
  <c r="BH67" i="32"/>
  <c r="CB67" i="32"/>
  <c r="R67" i="32"/>
  <c r="BZ67" i="32"/>
  <c r="BA67" i="32"/>
  <c r="R64" i="32"/>
  <c r="S64" i="32"/>
  <c r="W64" i="32"/>
  <c r="BQ64" i="32"/>
  <c r="BE64" i="32"/>
  <c r="BB64" i="32"/>
  <c r="AD64" i="32"/>
  <c r="BS64" i="32"/>
  <c r="BK64" i="32"/>
  <c r="Z64" i="32"/>
  <c r="AI64" i="32"/>
  <c r="BC64" i="32"/>
  <c r="BD64" i="32"/>
  <c r="BR64" i="32"/>
  <c r="AR64" i="32"/>
  <c r="BA64" i="32"/>
  <c r="AH64" i="32"/>
  <c r="AQ64" i="32"/>
  <c r="BM64" i="32"/>
  <c r="BP64" i="32"/>
  <c r="U64" i="32"/>
  <c r="CB64" i="32"/>
  <c r="V64" i="32"/>
  <c r="AP64" i="32"/>
  <c r="BO64" i="32"/>
  <c r="AJ64" i="32"/>
  <c r="AM64" i="32"/>
  <c r="AW64" i="32"/>
  <c r="BJ64" i="32"/>
  <c r="AX64" i="32"/>
  <c r="AG64" i="32"/>
  <c r="AK64" i="32"/>
  <c r="AB64" i="32"/>
  <c r="AO64" i="32"/>
  <c r="BF64" i="32"/>
  <c r="AS64" i="32"/>
  <c r="CA64" i="32"/>
  <c r="BI64" i="32"/>
  <c r="BX64" i="32"/>
  <c r="BN64" i="32"/>
  <c r="AU64" i="32"/>
  <c r="AN64" i="32"/>
  <c r="AC64" i="32"/>
  <c r="BV64" i="32"/>
  <c r="X64" i="32"/>
  <c r="BU64" i="32"/>
  <c r="AV64" i="32"/>
  <c r="AA64" i="32"/>
  <c r="Q64" i="32"/>
  <c r="AL64" i="32"/>
  <c r="AY64" i="32"/>
  <c r="BG64" i="32"/>
  <c r="AZ64" i="32"/>
  <c r="AF64" i="32"/>
  <c r="BH64" i="32"/>
  <c r="BW64" i="32"/>
  <c r="BL64" i="32"/>
  <c r="BY64" i="32"/>
  <c r="T64" i="32"/>
  <c r="Y64" i="32"/>
  <c r="AT64" i="32"/>
  <c r="BT64" i="32"/>
  <c r="CC64" i="32"/>
  <c r="AE64" i="32"/>
  <c r="BZ64" i="32"/>
  <c r="AD6" i="32"/>
  <c r="AE6" i="32"/>
  <c r="AF6" i="32"/>
  <c r="Y6" i="32"/>
  <c r="R6" i="32"/>
  <c r="S6" i="32"/>
  <c r="T6" i="32"/>
  <c r="U6" i="32"/>
  <c r="AL6" i="32"/>
  <c r="AM6" i="32"/>
  <c r="AN6" i="32"/>
  <c r="AG6" i="32"/>
  <c r="Z6" i="32"/>
  <c r="AA6" i="32"/>
  <c r="AB6" i="32"/>
  <c r="AC6" i="32"/>
  <c r="BB6" i="32"/>
  <c r="BS6" i="32"/>
  <c r="Q6" i="32"/>
  <c r="AP6" i="32"/>
  <c r="BG6" i="32"/>
  <c r="BX6" i="32"/>
  <c r="BJ6" i="32"/>
  <c r="CA6" i="32"/>
  <c r="CA72" i="32" s="1"/>
  <c r="AO6" i="32"/>
  <c r="AX6" i="32"/>
  <c r="BO6" i="32"/>
  <c r="AK6" i="32"/>
  <c r="BR6" i="32"/>
  <c r="X6" i="32"/>
  <c r="AW6" i="32"/>
  <c r="BF6" i="32"/>
  <c r="BW6" i="32"/>
  <c r="AS6" i="32"/>
  <c r="BZ6" i="32"/>
  <c r="AV6" i="32"/>
  <c r="BE6" i="32"/>
  <c r="BN6" i="32"/>
  <c r="AJ6" i="32"/>
  <c r="BA6" i="32"/>
  <c r="W6" i="32"/>
  <c r="BM6" i="32"/>
  <c r="BV6" i="32"/>
  <c r="AR6" i="32"/>
  <c r="AU6" i="32"/>
  <c r="BL6" i="32"/>
  <c r="BU6" i="32"/>
  <c r="AI6" i="32"/>
  <c r="AZ6" i="32"/>
  <c r="BQ6" i="32"/>
  <c r="BD6" i="32"/>
  <c r="BI6" i="32"/>
  <c r="V6" i="32"/>
  <c r="AQ6" i="32"/>
  <c r="BH6" i="32"/>
  <c r="BK6" i="32"/>
  <c r="BT6" i="32"/>
  <c r="CC6" i="32"/>
  <c r="CC72" i="32" s="1"/>
  <c r="AH6" i="32"/>
  <c r="AT6" i="32"/>
  <c r="AY6" i="32"/>
  <c r="BC6" i="32"/>
  <c r="BP6" i="32"/>
  <c r="BY6" i="32"/>
  <c r="CB6" i="32"/>
  <c r="CB72" i="32" s="1"/>
  <c r="Q67" i="193" a="1"/>
  <c r="Q73" i="189" a="1"/>
  <c r="Q72" i="191" a="1"/>
  <c r="Q69" i="188" a="1"/>
  <c r="Q72" i="190" a="1"/>
  <c r="Q69" i="32" a="1"/>
  <c r="Q67" i="192" a="1"/>
  <c r="Q73" i="188" a="1"/>
  <c r="BW67" i="193" l="1"/>
  <c r="BW70" i="193" s="1"/>
  <c r="BO67" i="193"/>
  <c r="BO70" i="193" s="1"/>
  <c r="BG67" i="193"/>
  <c r="BG70" i="193" s="1"/>
  <c r="AY67" i="193"/>
  <c r="AY70" i="193" s="1"/>
  <c r="AQ67" i="193"/>
  <c r="AQ70" i="193" s="1"/>
  <c r="AI67" i="193"/>
  <c r="AI70" i="193" s="1"/>
  <c r="AA67" i="193"/>
  <c r="AA70" i="193" s="1"/>
  <c r="S67" i="193"/>
  <c r="S70" i="193" s="1"/>
  <c r="CC67" i="193"/>
  <c r="BT67" i="193"/>
  <c r="BT70" i="193" s="1"/>
  <c r="BK67" i="193"/>
  <c r="BK70" i="193" s="1"/>
  <c r="BB67" i="193"/>
  <c r="BB70" i="193" s="1"/>
  <c r="AS67" i="193"/>
  <c r="AS70" i="193" s="1"/>
  <c r="AJ67" i="193"/>
  <c r="AJ70" i="193" s="1"/>
  <c r="Z67" i="193"/>
  <c r="Z70" i="193" s="1"/>
  <c r="Q67" i="193"/>
  <c r="Q70" i="193" s="1"/>
  <c r="CB67" i="193"/>
  <c r="BS67" i="193"/>
  <c r="BS70" i="193" s="1"/>
  <c r="BJ67" i="193"/>
  <c r="BJ70" i="193" s="1"/>
  <c r="BA67" i="193"/>
  <c r="BA70" i="193" s="1"/>
  <c r="AR67" i="193"/>
  <c r="AR70" i="193" s="1"/>
  <c r="AH67" i="193"/>
  <c r="AH70" i="193" s="1"/>
  <c r="Y67" i="193"/>
  <c r="Y70" i="193" s="1"/>
  <c r="CA67" i="193"/>
  <c r="BR67" i="193"/>
  <c r="BR70" i="193" s="1"/>
  <c r="BI67" i="193"/>
  <c r="BI70" i="193" s="1"/>
  <c r="AZ67" i="193"/>
  <c r="AZ70" i="193" s="1"/>
  <c r="AP67" i="193"/>
  <c r="AP70" i="193" s="1"/>
  <c r="AG67" i="193"/>
  <c r="AG70" i="193" s="1"/>
  <c r="X67" i="193"/>
  <c r="X70" i="193" s="1"/>
  <c r="BZ67" i="193"/>
  <c r="BZ70" i="193" s="1"/>
  <c r="BM67" i="193"/>
  <c r="BM70" i="193" s="1"/>
  <c r="AW67" i="193"/>
  <c r="AW70" i="193" s="1"/>
  <c r="AK67" i="193"/>
  <c r="AK70" i="193" s="1"/>
  <c r="U67" i="193"/>
  <c r="U70" i="193" s="1"/>
  <c r="BY67" i="193"/>
  <c r="BY70" i="193" s="1"/>
  <c r="BL67" i="193"/>
  <c r="BL70" i="193" s="1"/>
  <c r="AV67" i="193"/>
  <c r="AV70" i="193" s="1"/>
  <c r="AF67" i="193"/>
  <c r="AF70" i="193" s="1"/>
  <c r="T67" i="193"/>
  <c r="T70" i="193" s="1"/>
  <c r="BQ67" i="193"/>
  <c r="BQ70" i="193" s="1"/>
  <c r="AX67" i="193"/>
  <c r="AX70" i="193" s="1"/>
  <c r="AD67" i="193"/>
  <c r="AD70" i="193" s="1"/>
  <c r="BP67" i="193"/>
  <c r="BP70" i="193" s="1"/>
  <c r="AU67" i="193"/>
  <c r="AU70" i="193" s="1"/>
  <c r="AC67" i="193"/>
  <c r="AC70" i="193" s="1"/>
  <c r="BV67" i="193"/>
  <c r="BV70" i="193" s="1"/>
  <c r="AT67" i="193"/>
  <c r="AT70" i="193" s="1"/>
  <c r="V67" i="193"/>
  <c r="V70" i="193" s="1"/>
  <c r="BU67" i="193"/>
  <c r="BU70" i="193" s="1"/>
  <c r="AO67" i="193"/>
  <c r="AO70" i="193" s="1"/>
  <c r="R67" i="193"/>
  <c r="R70" i="193" s="1"/>
  <c r="BN67" i="193"/>
  <c r="BN70" i="193" s="1"/>
  <c r="AN67" i="193"/>
  <c r="AN70" i="193" s="1"/>
  <c r="BH67" i="193"/>
  <c r="BH70" i="193" s="1"/>
  <c r="AM67" i="193"/>
  <c r="AM70" i="193" s="1"/>
  <c r="BF67" i="193"/>
  <c r="BF70" i="193" s="1"/>
  <c r="AL67" i="193"/>
  <c r="AL70" i="193" s="1"/>
  <c r="BE67" i="193"/>
  <c r="BE70" i="193" s="1"/>
  <c r="AE67" i="193"/>
  <c r="AE70" i="193" s="1"/>
  <c r="BD67" i="193"/>
  <c r="BD70" i="193" s="1"/>
  <c r="AB67" i="193"/>
  <c r="AB70" i="193" s="1"/>
  <c r="BX67" i="193"/>
  <c r="BX70" i="193" s="1"/>
  <c r="BC67" i="193"/>
  <c r="BC70" i="193" s="1"/>
  <c r="W67" i="193"/>
  <c r="W70" i="193" s="1"/>
  <c r="CB67" i="192"/>
  <c r="BW67" i="192"/>
  <c r="BW72" i="192" s="1"/>
  <c r="BJ67" i="192"/>
  <c r="BJ72" i="192" s="1"/>
  <c r="AO67" i="192"/>
  <c r="AO72" i="192" s="1"/>
  <c r="BY67" i="192"/>
  <c r="BY72" i="192" s="1"/>
  <c r="Y67" i="192"/>
  <c r="Y72" i="192" s="1"/>
  <c r="Q67" i="192"/>
  <c r="Q72" i="192" s="1"/>
  <c r="AS67" i="192"/>
  <c r="AS72" i="192" s="1"/>
  <c r="Z67" i="192"/>
  <c r="Z72" i="192" s="1"/>
  <c r="BT67" i="192"/>
  <c r="BT72" i="192" s="1"/>
  <c r="BN67" i="192"/>
  <c r="BN72" i="192" s="1"/>
  <c r="AZ67" i="192"/>
  <c r="AZ72" i="192" s="1"/>
  <c r="AD67" i="192"/>
  <c r="AD72" i="192" s="1"/>
  <c r="BK67" i="192"/>
  <c r="BK72" i="192" s="1"/>
  <c r="BX67" i="192"/>
  <c r="BX72" i="192" s="1"/>
  <c r="BR67" i="192"/>
  <c r="BR72" i="192" s="1"/>
  <c r="AR67" i="192"/>
  <c r="AR72" i="192" s="1"/>
  <c r="BL67" i="192"/>
  <c r="BL72" i="192" s="1"/>
  <c r="BE67" i="192"/>
  <c r="BE72" i="192" s="1"/>
  <c r="AP67" i="192"/>
  <c r="AP72" i="192" s="1"/>
  <c r="S67" i="192"/>
  <c r="S72" i="192" s="1"/>
  <c r="AW67" i="192"/>
  <c r="AW72" i="192" s="1"/>
  <c r="BF67" i="192"/>
  <c r="BF72" i="192" s="1"/>
  <c r="BB67" i="192"/>
  <c r="BB72" i="192" s="1"/>
  <c r="AA67" i="192"/>
  <c r="AA72" i="192" s="1"/>
  <c r="BD67" i="192"/>
  <c r="BD72" i="192" s="1"/>
  <c r="AU67" i="192"/>
  <c r="AU72" i="192" s="1"/>
  <c r="AE67" i="192"/>
  <c r="AE72" i="192" s="1"/>
  <c r="BZ67" i="192"/>
  <c r="BZ72" i="192" s="1"/>
  <c r="AI67" i="192"/>
  <c r="AI72" i="192" s="1"/>
  <c r="AM67" i="192"/>
  <c r="AM72" i="192" s="1"/>
  <c r="AH67" i="192"/>
  <c r="AH72" i="192" s="1"/>
  <c r="BO67" i="192"/>
  <c r="BO72" i="192" s="1"/>
  <c r="AV67" i="192"/>
  <c r="AV72" i="192" s="1"/>
  <c r="AL67" i="192"/>
  <c r="AL72" i="192" s="1"/>
  <c r="U67" i="192"/>
  <c r="U72" i="192" s="1"/>
  <c r="BM67" i="192"/>
  <c r="BM72" i="192" s="1"/>
  <c r="V67" i="192"/>
  <c r="V72" i="192" s="1"/>
  <c r="R67" i="192"/>
  <c r="R72" i="192" s="1"/>
  <c r="BQ67" i="192"/>
  <c r="BQ72" i="192" s="1"/>
  <c r="BH67" i="192"/>
  <c r="BH72" i="192" s="1"/>
  <c r="AN67" i="192"/>
  <c r="AN72" i="192" s="1"/>
  <c r="AC67" i="192"/>
  <c r="AC72" i="192" s="1"/>
  <c r="BS67" i="192"/>
  <c r="BS72" i="192" s="1"/>
  <c r="AX67" i="192"/>
  <c r="AX72" i="192" s="1"/>
  <c r="CA67" i="192"/>
  <c r="BV67" i="192"/>
  <c r="BV72" i="192" s="1"/>
  <c r="AG67" i="192"/>
  <c r="AG72" i="192" s="1"/>
  <c r="BA67" i="192"/>
  <c r="BA72" i="192" s="1"/>
  <c r="AF67" i="192"/>
  <c r="AF72" i="192" s="1"/>
  <c r="T67" i="192"/>
  <c r="T72" i="192" s="1"/>
  <c r="BI67" i="192"/>
  <c r="BI72" i="192" s="1"/>
  <c r="AJ67" i="192"/>
  <c r="AJ72" i="192" s="1"/>
  <c r="BG67" i="192"/>
  <c r="BG72" i="192" s="1"/>
  <c r="BC67" i="192"/>
  <c r="BC72" i="192" s="1"/>
  <c r="BP67" i="192"/>
  <c r="BP72" i="192" s="1"/>
  <c r="AT67" i="192"/>
  <c r="AT72" i="192" s="1"/>
  <c r="X67" i="192"/>
  <c r="X72" i="192" s="1"/>
  <c r="BU67" i="192"/>
  <c r="BU72" i="192" s="1"/>
  <c r="AY67" i="192"/>
  <c r="AY72" i="192" s="1"/>
  <c r="W67" i="192"/>
  <c r="W72" i="192" s="1"/>
  <c r="AQ67" i="192"/>
  <c r="AQ72" i="192" s="1"/>
  <c r="AK67" i="192"/>
  <c r="AK72" i="192" s="1"/>
  <c r="AB67" i="192"/>
  <c r="AB72" i="192" s="1"/>
  <c r="CC67" i="192"/>
  <c r="AL75" i="191"/>
  <c r="R75" i="191"/>
  <c r="AS75" i="191"/>
  <c r="BE75" i="191"/>
  <c r="AZ75" i="191"/>
  <c r="V75" i="191"/>
  <c r="AP75" i="191"/>
  <c r="BW75" i="191"/>
  <c r="AH75" i="191"/>
  <c r="BD75" i="191"/>
  <c r="AJ75" i="191"/>
  <c r="BK75" i="191"/>
  <c r="AF75" i="191"/>
  <c r="AY75" i="191"/>
  <c r="BA75" i="191"/>
  <c r="AR75" i="191"/>
  <c r="BN75" i="191"/>
  <c r="BS75" i="191"/>
  <c r="BC75" i="191"/>
  <c r="BU75" i="191"/>
  <c r="AQ75" i="191"/>
  <c r="BH75" i="191"/>
  <c r="BI75" i="191"/>
  <c r="BF75" i="191"/>
  <c r="Z75" i="191"/>
  <c r="BP75" i="191"/>
  <c r="S75" i="191"/>
  <c r="BB75" i="191"/>
  <c r="BR75" i="191"/>
  <c r="BQ75" i="191"/>
  <c r="BV72" i="191"/>
  <c r="BN72" i="191"/>
  <c r="BF72" i="191"/>
  <c r="AX72" i="191"/>
  <c r="AP72" i="191"/>
  <c r="AH72" i="191"/>
  <c r="Z72" i="191"/>
  <c r="R72" i="191"/>
  <c r="CC72" i="191"/>
  <c r="BU72" i="191"/>
  <c r="BM72" i="191"/>
  <c r="BE72" i="191"/>
  <c r="AW72" i="191"/>
  <c r="AO72" i="191"/>
  <c r="AG72" i="191"/>
  <c r="Y72" i="191"/>
  <c r="Q72" i="191"/>
  <c r="BZ72" i="191"/>
  <c r="BP72" i="191"/>
  <c r="BD72" i="191"/>
  <c r="AT72" i="191"/>
  <c r="AJ72" i="191"/>
  <c r="X72" i="191"/>
  <c r="CB72" i="191"/>
  <c r="BQ72" i="191"/>
  <c r="BC72" i="191"/>
  <c r="AR72" i="191"/>
  <c r="AE72" i="191"/>
  <c r="T72" i="191"/>
  <c r="CA72" i="191"/>
  <c r="BO72" i="191"/>
  <c r="BY72" i="191"/>
  <c r="BJ72" i="191"/>
  <c r="AV72" i="191"/>
  <c r="AI72" i="191"/>
  <c r="U72" i="191"/>
  <c r="BX72" i="191"/>
  <c r="BI72" i="191"/>
  <c r="AU72" i="191"/>
  <c r="AF72" i="191"/>
  <c r="S72" i="191"/>
  <c r="BS72" i="191"/>
  <c r="AZ72" i="191"/>
  <c r="AD72" i="191"/>
  <c r="BL72" i="191"/>
  <c r="AS72" i="191"/>
  <c r="AB72" i="191"/>
  <c r="BK72" i="191"/>
  <c r="AQ72" i="191"/>
  <c r="AA72" i="191"/>
  <c r="AY72" i="191"/>
  <c r="BW72" i="191"/>
  <c r="AN72" i="191"/>
  <c r="AL72" i="191"/>
  <c r="BT72" i="191"/>
  <c r="AK72" i="191"/>
  <c r="BR72" i="191"/>
  <c r="AC72" i="191"/>
  <c r="BH72" i="191"/>
  <c r="BG72" i="191"/>
  <c r="BB72" i="191"/>
  <c r="BA72" i="191"/>
  <c r="AM72" i="191"/>
  <c r="W72" i="191"/>
  <c r="V72" i="191"/>
  <c r="AM75" i="191"/>
  <c r="AB75" i="191"/>
  <c r="BO75" i="191"/>
  <c r="AV75" i="191"/>
  <c r="AO75" i="191"/>
  <c r="BT75" i="191"/>
  <c r="AG75" i="191"/>
  <c r="AK75" i="191"/>
  <c r="W75" i="191"/>
  <c r="BX75" i="191"/>
  <c r="Q75" i="191"/>
  <c r="BG75" i="191"/>
  <c r="AN75" i="191"/>
  <c r="AD75" i="191"/>
  <c r="BL75" i="191"/>
  <c r="BY75" i="191"/>
  <c r="AA75" i="191"/>
  <c r="AT75" i="191"/>
  <c r="AI75" i="191"/>
  <c r="AU75" i="191"/>
  <c r="T75" i="191"/>
  <c r="AX75" i="191"/>
  <c r="BV75" i="191"/>
  <c r="U75" i="191"/>
  <c r="Y75" i="191"/>
  <c r="BZ75" i="191"/>
  <c r="AW75" i="191"/>
  <c r="BM75" i="191"/>
  <c r="AE75" i="191"/>
  <c r="BJ75" i="191"/>
  <c r="X75" i="191"/>
  <c r="AC75" i="191"/>
  <c r="BV72" i="190"/>
  <c r="CC72" i="190"/>
  <c r="CB72" i="190"/>
  <c r="BQ72" i="190"/>
  <c r="AK72" i="190"/>
  <c r="BC72" i="190"/>
  <c r="AD72" i="190"/>
  <c r="AQ72" i="190"/>
  <c r="U72" i="190"/>
  <c r="BM72" i="190"/>
  <c r="BN72" i="190"/>
  <c r="BT72" i="190"/>
  <c r="BR72" i="190"/>
  <c r="BG72" i="190"/>
  <c r="W72" i="190"/>
  <c r="AG72" i="190"/>
  <c r="BX72" i="190"/>
  <c r="BW72" i="190"/>
  <c r="AA72" i="190"/>
  <c r="BF72" i="190"/>
  <c r="BK72" i="190"/>
  <c r="BH72" i="190"/>
  <c r="AV72" i="190"/>
  <c r="BY72" i="190"/>
  <c r="BS72" i="190"/>
  <c r="AU72" i="190"/>
  <c r="BP72" i="190"/>
  <c r="AT72" i="190"/>
  <c r="AX72" i="190"/>
  <c r="BB72" i="190"/>
  <c r="AW72" i="190"/>
  <c r="AL72" i="190"/>
  <c r="BL72" i="190"/>
  <c r="BA72" i="190"/>
  <c r="Y72" i="190"/>
  <c r="BO72" i="190"/>
  <c r="V72" i="190"/>
  <c r="AP72" i="190"/>
  <c r="AS72" i="190"/>
  <c r="AM72" i="190"/>
  <c r="AB72" i="190"/>
  <c r="AY72" i="190"/>
  <c r="AF72" i="190"/>
  <c r="BI72" i="190"/>
  <c r="BJ72" i="190"/>
  <c r="AE72" i="190"/>
  <c r="AH72" i="190"/>
  <c r="AJ72" i="190"/>
  <c r="AC72" i="190"/>
  <c r="BZ72" i="190"/>
  <c r="AI72" i="190"/>
  <c r="BE72" i="190"/>
  <c r="T72" i="190"/>
  <c r="AO72" i="190"/>
  <c r="Z72" i="190"/>
  <c r="AN72" i="190"/>
  <c r="R72" i="190"/>
  <c r="Q72" i="190"/>
  <c r="CA72" i="190"/>
  <c r="AZ72" i="190"/>
  <c r="BU72" i="190"/>
  <c r="BD72" i="190"/>
  <c r="AR72" i="190"/>
  <c r="X72" i="190"/>
  <c r="S72" i="190"/>
  <c r="AW75" i="190"/>
  <c r="AC75" i="190"/>
  <c r="AM75" i="190"/>
  <c r="V75" i="190"/>
  <c r="AX75" i="190"/>
  <c r="BI75" i="190"/>
  <c r="BG75" i="190"/>
  <c r="AV75" i="190"/>
  <c r="BV75" i="190"/>
  <c r="BL75" i="190"/>
  <c r="BB75" i="190"/>
  <c r="AT75" i="190"/>
  <c r="W75" i="190"/>
  <c r="AG75" i="190"/>
  <c r="AI75" i="190"/>
  <c r="AR75" i="190"/>
  <c r="AE75" i="190"/>
  <c r="BP75" i="190"/>
  <c r="BE75" i="190"/>
  <c r="AF75" i="190"/>
  <c r="AP75" i="190"/>
  <c r="AQ75" i="190"/>
  <c r="Q75" i="190"/>
  <c r="BX75" i="190"/>
  <c r="BM75" i="190"/>
  <c r="Y75" i="190"/>
  <c r="BS75" i="190"/>
  <c r="AO75" i="190"/>
  <c r="AZ75" i="190"/>
  <c r="AY75" i="190"/>
  <c r="AK75" i="190"/>
  <c r="AS75" i="190"/>
  <c r="R75" i="190"/>
  <c r="BC75" i="190"/>
  <c r="AJ75" i="190"/>
  <c r="BH75" i="190"/>
  <c r="BR75" i="190"/>
  <c r="BO75" i="190"/>
  <c r="AN75" i="190"/>
  <c r="BN75" i="190"/>
  <c r="BK75" i="190"/>
  <c r="BA75" i="190"/>
  <c r="BU75" i="190"/>
  <c r="AU75" i="190"/>
  <c r="BQ75" i="190"/>
  <c r="BW75" i="190"/>
  <c r="AB75" i="190"/>
  <c r="Z75" i="190"/>
  <c r="BY75" i="190"/>
  <c r="T75" i="190"/>
  <c r="U75" i="190"/>
  <c r="BF75" i="190"/>
  <c r="BZ75" i="190"/>
  <c r="S75" i="190"/>
  <c r="BJ75" i="190"/>
  <c r="BD75" i="190"/>
  <c r="AD75" i="190"/>
  <c r="AL75" i="190"/>
  <c r="AH75" i="190"/>
  <c r="BT75" i="190"/>
  <c r="X75" i="190"/>
  <c r="AA75" i="190"/>
  <c r="AG76" i="189"/>
  <c r="BB76" i="189"/>
  <c r="BT76" i="189"/>
  <c r="BK76" i="189"/>
  <c r="AB76" i="189"/>
  <c r="AL76" i="189"/>
  <c r="AQ76" i="189"/>
  <c r="AJ76" i="189"/>
  <c r="AW76" i="189"/>
  <c r="BV73" i="189"/>
  <c r="BN73" i="189"/>
  <c r="BF73" i="189"/>
  <c r="AX73" i="189"/>
  <c r="AP73" i="189"/>
  <c r="AH73" i="189"/>
  <c r="Z73" i="189"/>
  <c r="R73" i="189"/>
  <c r="CC73" i="189"/>
  <c r="BU73" i="189"/>
  <c r="BM73" i="189"/>
  <c r="BE73" i="189"/>
  <c r="AW73" i="189"/>
  <c r="AO73" i="189"/>
  <c r="AG73" i="189"/>
  <c r="Y73" i="189"/>
  <c r="Q73" i="189"/>
  <c r="CA73" i="189"/>
  <c r="BQ73" i="189"/>
  <c r="BG73" i="189"/>
  <c r="AU73" i="189"/>
  <c r="AK73" i="189"/>
  <c r="AA73" i="189"/>
  <c r="CB73" i="189"/>
  <c r="BP73" i="189"/>
  <c r="BC73" i="189"/>
  <c r="AR73" i="189"/>
  <c r="AE73" i="189"/>
  <c r="T73" i="189"/>
  <c r="BZ73" i="189"/>
  <c r="BO73" i="189"/>
  <c r="BB73" i="189"/>
  <c r="AQ73" i="189"/>
  <c r="AD73" i="189"/>
  <c r="S73" i="189"/>
  <c r="BS73" i="189"/>
  <c r="BA73" i="189"/>
  <c r="AL73" i="189"/>
  <c r="V73" i="189"/>
  <c r="BR73" i="189"/>
  <c r="AZ73" i="189"/>
  <c r="AJ73" i="189"/>
  <c r="U73" i="189"/>
  <c r="BJ73" i="189"/>
  <c r="AN73" i="189"/>
  <c r="BI73" i="189"/>
  <c r="AM73" i="189"/>
  <c r="BY73" i="189"/>
  <c r="BH73" i="189"/>
  <c r="AI73" i="189"/>
  <c r="BX73" i="189"/>
  <c r="AT73" i="189"/>
  <c r="BW73" i="189"/>
  <c r="AS73" i="189"/>
  <c r="AY73" i="189"/>
  <c r="AV73" i="189"/>
  <c r="AF73" i="189"/>
  <c r="AC73" i="189"/>
  <c r="BK73" i="189"/>
  <c r="BD73" i="189"/>
  <c r="AB73" i="189"/>
  <c r="X73" i="189"/>
  <c r="BT73" i="189"/>
  <c r="BL73" i="189"/>
  <c r="W73" i="189"/>
  <c r="BF76" i="189"/>
  <c r="AZ76" i="189"/>
  <c r="R76" i="189"/>
  <c r="AC76" i="189"/>
  <c r="AI76" i="189"/>
  <c r="U76" i="189"/>
  <c r="BR76" i="189"/>
  <c r="AX76" i="189"/>
  <c r="Y76" i="189"/>
  <c r="BY76" i="189"/>
  <c r="AK76" i="189"/>
  <c r="AU76" i="189"/>
  <c r="AY76" i="189"/>
  <c r="BQ76" i="189"/>
  <c r="AP76" i="189"/>
  <c r="W76" i="189"/>
  <c r="AR76" i="189"/>
  <c r="AD76" i="189"/>
  <c r="AT76" i="189"/>
  <c r="BD76" i="189"/>
  <c r="BG76" i="189"/>
  <c r="Q76" i="189"/>
  <c r="AF76" i="189"/>
  <c r="AM76" i="189"/>
  <c r="BH76" i="189"/>
  <c r="AO76" i="189"/>
  <c r="BC76" i="189"/>
  <c r="BM76" i="189"/>
  <c r="BO76" i="189"/>
  <c r="AE76" i="189"/>
  <c r="BP76" i="189"/>
  <c r="AV76" i="189"/>
  <c r="BE76" i="189"/>
  <c r="BX76" i="189"/>
  <c r="BA76" i="189"/>
  <c r="BL76" i="189"/>
  <c r="BV76" i="189"/>
  <c r="BW76" i="189"/>
  <c r="AS76" i="189"/>
  <c r="AH76" i="189"/>
  <c r="BJ76" i="189"/>
  <c r="BS76" i="189"/>
  <c r="AN76" i="189"/>
  <c r="BN76" i="189"/>
  <c r="BU76" i="189"/>
  <c r="S76" i="189"/>
  <c r="BI76" i="189"/>
  <c r="V76" i="189"/>
  <c r="X76" i="189"/>
  <c r="Z76" i="189"/>
  <c r="BZ76" i="189"/>
  <c r="T76" i="189"/>
  <c r="AA76" i="189"/>
  <c r="BK73" i="188"/>
  <c r="AL73" i="188"/>
  <c r="AV73" i="188"/>
  <c r="BW73" i="188"/>
  <c r="U73" i="188"/>
  <c r="AW73" i="188"/>
  <c r="AY73" i="188"/>
  <c r="BR73" i="188"/>
  <c r="AQ73" i="188"/>
  <c r="R73" i="188"/>
  <c r="BA73" i="188"/>
  <c r="AD73" i="188"/>
  <c r="BT73" i="188"/>
  <c r="AU73" i="188"/>
  <c r="BN73" i="188"/>
  <c r="BE73" i="188"/>
  <c r="AJ73" i="188"/>
  <c r="AZ73" i="188"/>
  <c r="S73" i="188"/>
  <c r="Z73" i="188"/>
  <c r="AH73" i="188"/>
  <c r="AP73" i="188"/>
  <c r="BM73" i="188"/>
  <c r="BL73" i="188"/>
  <c r="BU73" i="188"/>
  <c r="BS73" i="188"/>
  <c r="V73" i="188"/>
  <c r="AA73" i="188"/>
  <c r="AI73" i="188"/>
  <c r="BO73" i="188"/>
  <c r="BJ73" i="188"/>
  <c r="CB73" i="188"/>
  <c r="BH73" i="188"/>
  <c r="AT73" i="188"/>
  <c r="AR73" i="188"/>
  <c r="BF73" i="188"/>
  <c r="X73" i="188"/>
  <c r="Q73" i="188"/>
  <c r="BP73" i="188"/>
  <c r="BB73" i="188"/>
  <c r="BI73" i="188"/>
  <c r="AG73" i="188"/>
  <c r="AM73" i="188"/>
  <c r="BQ73" i="188"/>
  <c r="CA73" i="188"/>
  <c r="AB73" i="188"/>
  <c r="BC73" i="188"/>
  <c r="BY73" i="188"/>
  <c r="AN73" i="188"/>
  <c r="AC73" i="188"/>
  <c r="T73" i="188"/>
  <c r="BZ73" i="188"/>
  <c r="AO73" i="188"/>
  <c r="BV73" i="188"/>
  <c r="AF73" i="188"/>
  <c r="Y73" i="188"/>
  <c r="AK73" i="188"/>
  <c r="BD73" i="188"/>
  <c r="W73" i="188"/>
  <c r="AE73" i="188"/>
  <c r="BG73" i="188"/>
  <c r="AS73" i="188"/>
  <c r="AX73" i="188"/>
  <c r="BX73" i="188"/>
  <c r="CC73" i="188"/>
  <c r="BY69" i="188"/>
  <c r="BY76" i="188" s="1"/>
  <c r="BQ69" i="188"/>
  <c r="BQ76" i="188" s="1"/>
  <c r="BI69" i="188"/>
  <c r="BI76" i="188" s="1"/>
  <c r="BA69" i="188"/>
  <c r="BA76" i="188" s="1"/>
  <c r="AS69" i="188"/>
  <c r="AS76" i="188" s="1"/>
  <c r="AK69" i="188"/>
  <c r="AK76" i="188" s="1"/>
  <c r="AC69" i="188"/>
  <c r="AC76" i="188" s="1"/>
  <c r="U69" i="188"/>
  <c r="U76" i="188" s="1"/>
  <c r="BV69" i="188"/>
  <c r="BV76" i="188" s="1"/>
  <c r="BM69" i="188"/>
  <c r="BM76" i="188" s="1"/>
  <c r="BD69" i="188"/>
  <c r="BD76" i="188" s="1"/>
  <c r="AU69" i="188"/>
  <c r="AU76" i="188" s="1"/>
  <c r="AL69" i="188"/>
  <c r="AL76" i="188" s="1"/>
  <c r="AB69" i="188"/>
  <c r="AB76" i="188" s="1"/>
  <c r="S69" i="188"/>
  <c r="S76" i="188" s="1"/>
  <c r="BU69" i="188"/>
  <c r="BU76" i="188" s="1"/>
  <c r="BK69" i="188"/>
  <c r="BK76" i="188" s="1"/>
  <c r="AZ69" i="188"/>
  <c r="AZ76" i="188" s="1"/>
  <c r="AP69" i="188"/>
  <c r="AP76" i="188" s="1"/>
  <c r="AF69" i="188"/>
  <c r="AF76" i="188" s="1"/>
  <c r="V69" i="188"/>
  <c r="V76" i="188" s="1"/>
  <c r="BW69" i="188"/>
  <c r="BW76" i="188" s="1"/>
  <c r="BJ69" i="188"/>
  <c r="BJ76" i="188" s="1"/>
  <c r="AX69" i="188"/>
  <c r="AX76" i="188" s="1"/>
  <c r="AM69" i="188"/>
  <c r="AM76" i="188" s="1"/>
  <c r="Z69" i="188"/>
  <c r="Z76" i="188" s="1"/>
  <c r="BT69" i="188"/>
  <c r="BT76" i="188" s="1"/>
  <c r="BH69" i="188"/>
  <c r="BH76" i="188" s="1"/>
  <c r="AW69" i="188"/>
  <c r="AW76" i="188" s="1"/>
  <c r="AJ69" i="188"/>
  <c r="AJ76" i="188" s="1"/>
  <c r="Y69" i="188"/>
  <c r="Y76" i="188" s="1"/>
  <c r="CB69" i="188"/>
  <c r="BP69" i="188"/>
  <c r="BP76" i="188" s="1"/>
  <c r="BZ69" i="188"/>
  <c r="BZ76" i="188" s="1"/>
  <c r="BF69" i="188"/>
  <c r="BF76" i="188" s="1"/>
  <c r="AQ69" i="188"/>
  <c r="AQ76" i="188" s="1"/>
  <c r="AA69" i="188"/>
  <c r="AA76" i="188" s="1"/>
  <c r="BX69" i="188"/>
  <c r="BX76" i="188" s="1"/>
  <c r="BE69" i="188"/>
  <c r="BE76" i="188" s="1"/>
  <c r="AO69" i="188"/>
  <c r="AO76" i="188" s="1"/>
  <c r="X69" i="188"/>
  <c r="X76" i="188" s="1"/>
  <c r="BS69" i="188"/>
  <c r="BS76" i="188" s="1"/>
  <c r="BC69" i="188"/>
  <c r="BC76" i="188" s="1"/>
  <c r="AN69" i="188"/>
  <c r="AN76" i="188" s="1"/>
  <c r="W69" i="188"/>
  <c r="W76" i="188" s="1"/>
  <c r="CC69" i="188"/>
  <c r="AY69" i="188"/>
  <c r="AY76" i="188" s="1"/>
  <c r="AD69" i="188"/>
  <c r="AD76" i="188" s="1"/>
  <c r="BR69" i="188"/>
  <c r="BR76" i="188" s="1"/>
  <c r="AR69" i="188"/>
  <c r="AR76" i="188" s="1"/>
  <c r="BO69" i="188"/>
  <c r="BO76" i="188" s="1"/>
  <c r="AI69" i="188"/>
  <c r="AI76" i="188" s="1"/>
  <c r="BN69" i="188"/>
  <c r="BN76" i="188" s="1"/>
  <c r="AH69" i="188"/>
  <c r="AH76" i="188" s="1"/>
  <c r="AV69" i="188"/>
  <c r="AV76" i="188" s="1"/>
  <c r="AT69" i="188"/>
  <c r="AT76" i="188" s="1"/>
  <c r="T69" i="188"/>
  <c r="T76" i="188" s="1"/>
  <c r="R69" i="188"/>
  <c r="R76" i="188" s="1"/>
  <c r="CA69" i="188"/>
  <c r="Q69" i="188"/>
  <c r="Q76" i="188" s="1"/>
  <c r="BL69" i="188"/>
  <c r="BL76" i="188" s="1"/>
  <c r="BB69" i="188"/>
  <c r="BB76" i="188" s="1"/>
  <c r="AG69" i="188"/>
  <c r="AG76" i="188" s="1"/>
  <c r="AE69" i="188"/>
  <c r="AE76" i="188" s="1"/>
  <c r="BG69" i="188"/>
  <c r="BG76" i="188" s="1"/>
  <c r="AN69" i="32"/>
  <c r="AN72" i="32" s="1"/>
  <c r="AG69" i="32"/>
  <c r="AG72" i="32" s="1"/>
  <c r="AI69" i="32"/>
  <c r="AI72" i="32" s="1"/>
  <c r="BZ69" i="32"/>
  <c r="BZ72" i="32" s="1"/>
  <c r="CA69" i="32"/>
  <c r="AZ69" i="32"/>
  <c r="AZ72" i="32" s="1"/>
  <c r="AB69" i="32"/>
  <c r="AB72" i="32" s="1"/>
  <c r="BS69" i="32"/>
  <c r="BS72" i="32" s="1"/>
  <c r="AV69" i="32"/>
  <c r="AV72" i="32" s="1"/>
  <c r="AO69" i="32"/>
  <c r="AO72" i="32" s="1"/>
  <c r="AS69" i="32"/>
  <c r="AS72" i="32" s="1"/>
  <c r="AA69" i="32"/>
  <c r="AA72" i="32" s="1"/>
  <c r="AC69" i="32"/>
  <c r="AC72" i="32" s="1"/>
  <c r="BR69" i="32"/>
  <c r="BR72" i="32" s="1"/>
  <c r="BX69" i="32"/>
  <c r="BX72" i="32" s="1"/>
  <c r="AM69" i="32"/>
  <c r="AM72" i="32" s="1"/>
  <c r="Q69" i="32"/>
  <c r="Q72" i="32" s="1"/>
  <c r="BC69" i="32"/>
  <c r="BC72" i="32" s="1"/>
  <c r="Z69" i="32"/>
  <c r="Z72" i="32" s="1"/>
  <c r="BN69" i="32"/>
  <c r="BN72" i="32" s="1"/>
  <c r="AD69" i="32"/>
  <c r="AD72" i="32" s="1"/>
  <c r="BH69" i="32"/>
  <c r="BH72" i="32" s="1"/>
  <c r="Y69" i="32"/>
  <c r="Y72" i="32" s="1"/>
  <c r="BO69" i="32"/>
  <c r="BO72" i="32" s="1"/>
  <c r="BF69" i="32"/>
  <c r="BF72" i="32" s="1"/>
  <c r="AH69" i="32"/>
  <c r="AH72" i="32" s="1"/>
  <c r="AX69" i="32"/>
  <c r="AX72" i="32" s="1"/>
  <c r="AQ69" i="32"/>
  <c r="AQ72" i="32" s="1"/>
  <c r="X69" i="32"/>
  <c r="X72" i="32" s="1"/>
  <c r="BM69" i="32"/>
  <c r="BM72" i="32" s="1"/>
  <c r="AU69" i="32"/>
  <c r="AU72" i="32" s="1"/>
  <c r="T69" i="32"/>
  <c r="T72" i="32" s="1"/>
  <c r="S69" i="32"/>
  <c r="S72" i="32" s="1"/>
  <c r="AF69" i="32"/>
  <c r="AF72" i="32" s="1"/>
  <c r="BU69" i="32"/>
  <c r="BU72" i="32" s="1"/>
  <c r="BQ69" i="32"/>
  <c r="BQ72" i="32" s="1"/>
  <c r="BA69" i="32"/>
  <c r="BA72" i="32" s="1"/>
  <c r="AL69" i="32"/>
  <c r="AL72" i="32" s="1"/>
  <c r="BL69" i="32"/>
  <c r="BL72" i="32" s="1"/>
  <c r="AJ69" i="32"/>
  <c r="AJ72" i="32" s="1"/>
  <c r="AE69" i="32"/>
  <c r="AE72" i="32" s="1"/>
  <c r="AP69" i="32"/>
  <c r="AP72" i="32" s="1"/>
  <c r="BT69" i="32"/>
  <c r="BT72" i="32" s="1"/>
  <c r="AT69" i="32"/>
  <c r="AT72" i="32" s="1"/>
  <c r="U69" i="32"/>
  <c r="U72" i="32" s="1"/>
  <c r="BI69" i="32"/>
  <c r="BI72" i="32" s="1"/>
  <c r="CB69" i="32"/>
  <c r="BP69" i="32"/>
  <c r="BP72" i="32" s="1"/>
  <c r="BB69" i="32"/>
  <c r="BB72" i="32" s="1"/>
  <c r="BD69" i="32"/>
  <c r="BD72" i="32" s="1"/>
  <c r="AR69" i="32"/>
  <c r="AR72" i="32" s="1"/>
  <c r="BE69" i="32"/>
  <c r="BE72" i="32" s="1"/>
  <c r="R69" i="32"/>
  <c r="R72" i="32" s="1"/>
  <c r="CC69" i="32"/>
  <c r="V69" i="32"/>
  <c r="V72" i="32" s="1"/>
  <c r="W69" i="32"/>
  <c r="W72" i="32" s="1"/>
  <c r="BW69" i="32"/>
  <c r="BW72" i="32" s="1"/>
  <c r="BY69" i="32"/>
  <c r="BY72" i="32" s="1"/>
  <c r="BK69" i="32"/>
  <c r="BK72" i="32" s="1"/>
  <c r="AK69" i="32"/>
  <c r="AK72" i="32" s="1"/>
  <c r="AY69" i="32"/>
  <c r="AY72" i="32" s="1"/>
  <c r="AW69" i="32"/>
  <c r="AW72" i="32" s="1"/>
  <c r="BJ69" i="32"/>
  <c r="BJ72" i="32" s="1"/>
  <c r="BG69" i="32"/>
  <c r="BG72" i="32" s="1"/>
  <c r="BV69" i="32"/>
  <c r="BV72" i="32" s="1"/>
  <c r="N6" i="193" l="1" a="1"/>
  <c r="N6" i="192" a="1"/>
  <c r="N6" i="191" a="1"/>
  <c r="N6" i="190" a="1"/>
  <c r="N6" i="189" a="1"/>
  <c r="N6" i="188" a="1"/>
  <c r="N6" i="32" a="1"/>
  <c r="N68" i="193" l="1"/>
  <c r="N60" i="193"/>
  <c r="AP71" i="43" s="1"/>
  <c r="N52" i="193"/>
  <c r="AP63" i="43" s="1"/>
  <c r="N44" i="193"/>
  <c r="AP55" i="43" s="1"/>
  <c r="N36" i="193"/>
  <c r="AP47" i="43" s="1"/>
  <c r="N28" i="193"/>
  <c r="AP39" i="43" s="1"/>
  <c r="N20" i="193"/>
  <c r="AP31" i="43" s="1"/>
  <c r="N63" i="193"/>
  <c r="AP74" i="43" s="1"/>
  <c r="N54" i="193"/>
  <c r="AP65" i="43" s="1"/>
  <c r="N45" i="193"/>
  <c r="AP56" i="43" s="1"/>
  <c r="N35" i="193"/>
  <c r="AP46" i="43" s="1"/>
  <c r="N26" i="193"/>
  <c r="AP37" i="43" s="1"/>
  <c r="N17" i="193"/>
  <c r="AP28" i="43" s="1"/>
  <c r="N9" i="193"/>
  <c r="AP20" i="43" s="1"/>
  <c r="N62" i="193"/>
  <c r="AP73" i="43" s="1"/>
  <c r="N53" i="193"/>
  <c r="AP64" i="43" s="1"/>
  <c r="N43" i="193"/>
  <c r="AP54" i="43" s="1"/>
  <c r="N34" i="193"/>
  <c r="AP45" i="43" s="1"/>
  <c r="N25" i="193"/>
  <c r="AP36" i="43" s="1"/>
  <c r="N16" i="193"/>
  <c r="AP27" i="43" s="1"/>
  <c r="N8" i="193"/>
  <c r="AP19" i="43" s="1"/>
  <c r="N65" i="193"/>
  <c r="AP76" i="43" s="1"/>
  <c r="N51" i="193"/>
  <c r="AP62" i="43" s="1"/>
  <c r="N40" i="193"/>
  <c r="AP51" i="43" s="1"/>
  <c r="N29" i="193"/>
  <c r="AP40" i="43" s="1"/>
  <c r="N15" i="193"/>
  <c r="AP26" i="43" s="1"/>
  <c r="N61" i="193"/>
  <c r="AP72" i="43" s="1"/>
  <c r="N49" i="193"/>
  <c r="AP60" i="43" s="1"/>
  <c r="N38" i="193"/>
  <c r="AP49" i="43" s="1"/>
  <c r="N24" i="193"/>
  <c r="AP35" i="43" s="1"/>
  <c r="N13" i="193"/>
  <c r="AP24" i="43" s="1"/>
  <c r="N64" i="193"/>
  <c r="AP75" i="43" s="1"/>
  <c r="N50" i="193"/>
  <c r="AP61" i="43" s="1"/>
  <c r="N39" i="193"/>
  <c r="AP50" i="43" s="1"/>
  <c r="N27" i="193"/>
  <c r="AP38" i="43" s="1"/>
  <c r="N14" i="193"/>
  <c r="AP25" i="43" s="1"/>
  <c r="N59" i="193"/>
  <c r="AP70" i="43" s="1"/>
  <c r="N48" i="193"/>
  <c r="AP59" i="43" s="1"/>
  <c r="N37" i="193"/>
  <c r="AP48" i="43" s="1"/>
  <c r="N23" i="193"/>
  <c r="AP34" i="43" s="1"/>
  <c r="N12" i="193"/>
  <c r="AP23" i="43" s="1"/>
  <c r="N46" i="193"/>
  <c r="AP57" i="43" s="1"/>
  <c r="N21" i="193"/>
  <c r="AP32" i="43" s="1"/>
  <c r="N57" i="193"/>
  <c r="AP68" i="43" s="1"/>
  <c r="N10" i="193"/>
  <c r="AP21" i="43" s="1"/>
  <c r="N55" i="193"/>
  <c r="AP66" i="43" s="1"/>
  <c r="N6" i="193"/>
  <c r="AP17" i="43" s="1"/>
  <c r="N67" i="193"/>
  <c r="AP78" i="43" s="1"/>
  <c r="N42" i="193"/>
  <c r="AP53" i="43" s="1"/>
  <c r="N19" i="193"/>
  <c r="AP30" i="43" s="1"/>
  <c r="N32" i="193"/>
  <c r="AP43" i="43" s="1"/>
  <c r="N66" i="193"/>
  <c r="AP77" i="43" s="1"/>
  <c r="N41" i="193"/>
  <c r="AP52" i="43" s="1"/>
  <c r="N18" i="193"/>
  <c r="AP29" i="43" s="1"/>
  <c r="N47" i="193"/>
  <c r="AP58" i="43" s="1"/>
  <c r="N58" i="193"/>
  <c r="AP69" i="43" s="1"/>
  <c r="N33" i="193"/>
  <c r="AP44" i="43" s="1"/>
  <c r="N11" i="193"/>
  <c r="AP22" i="43" s="1"/>
  <c r="N30" i="193"/>
  <c r="AP41" i="43" s="1"/>
  <c r="N56" i="193"/>
  <c r="AP67" i="43" s="1"/>
  <c r="N31" i="193"/>
  <c r="AP42" i="43" s="1"/>
  <c r="N7" i="193"/>
  <c r="AP18" i="43" s="1"/>
  <c r="N22" i="193"/>
  <c r="AP33" i="43" s="1"/>
  <c r="N6" i="192"/>
  <c r="AQ17" i="43" s="1"/>
  <c r="N28" i="192"/>
  <c r="AQ39" i="43" s="1"/>
  <c r="N51" i="192"/>
  <c r="AQ62" i="43" s="1"/>
  <c r="N37" i="192"/>
  <c r="AQ48" i="43" s="1"/>
  <c r="N43" i="192"/>
  <c r="AQ54" i="43" s="1"/>
  <c r="N45" i="192"/>
  <c r="AQ56" i="43" s="1"/>
  <c r="N68" i="192"/>
  <c r="N11" i="192"/>
  <c r="AQ22" i="43" s="1"/>
  <c r="N29" i="192"/>
  <c r="AQ40" i="43" s="1"/>
  <c r="N52" i="192"/>
  <c r="AQ63" i="43" s="1"/>
  <c r="N19" i="192"/>
  <c r="AQ30" i="43" s="1"/>
  <c r="N61" i="192"/>
  <c r="AQ72" i="43" s="1"/>
  <c r="N44" i="192"/>
  <c r="AQ55" i="43" s="1"/>
  <c r="N27" i="192"/>
  <c r="AQ38" i="43" s="1"/>
  <c r="N12" i="192"/>
  <c r="AQ23" i="43" s="1"/>
  <c r="N35" i="192"/>
  <c r="AQ46" i="43" s="1"/>
  <c r="N53" i="192"/>
  <c r="AQ64" i="43" s="1"/>
  <c r="N60" i="192"/>
  <c r="AQ71" i="43" s="1"/>
  <c r="N20" i="192"/>
  <c r="AQ31" i="43" s="1"/>
  <c r="N13" i="192"/>
  <c r="AQ24" i="43" s="1"/>
  <c r="N36" i="192"/>
  <c r="AQ47" i="43" s="1"/>
  <c r="N59" i="192"/>
  <c r="AQ70" i="43" s="1"/>
  <c r="N67" i="192"/>
  <c r="AQ78" i="43" s="1"/>
  <c r="N21" i="192"/>
  <c r="AQ32" i="43" s="1"/>
  <c r="N50" i="192"/>
  <c r="AQ61" i="43" s="1"/>
  <c r="N49" i="192"/>
  <c r="AQ60" i="43" s="1"/>
  <c r="N48" i="192"/>
  <c r="AQ59" i="43" s="1"/>
  <c r="N42" i="192"/>
  <c r="AQ53" i="43" s="1"/>
  <c r="N41" i="192"/>
  <c r="AQ52" i="43" s="1"/>
  <c r="N40" i="192"/>
  <c r="AQ51" i="43" s="1"/>
  <c r="N39" i="192"/>
  <c r="AQ50" i="43" s="1"/>
  <c r="N38" i="192"/>
  <c r="AQ49" i="43" s="1"/>
  <c r="N22" i="192"/>
  <c r="AQ33" i="43" s="1"/>
  <c r="N18" i="192"/>
  <c r="AQ29" i="43" s="1"/>
  <c r="N17" i="192"/>
  <c r="AQ28" i="43" s="1"/>
  <c r="N16" i="192"/>
  <c r="AQ27" i="43" s="1"/>
  <c r="N14" i="192"/>
  <c r="AQ25" i="43" s="1"/>
  <c r="N10" i="192"/>
  <c r="AQ21" i="43" s="1"/>
  <c r="N9" i="192"/>
  <c r="AQ20" i="43" s="1"/>
  <c r="N7" i="192"/>
  <c r="AQ18" i="43" s="1"/>
  <c r="N66" i="192"/>
  <c r="AQ77" i="43" s="1"/>
  <c r="N65" i="192"/>
  <c r="AQ76" i="43" s="1"/>
  <c r="N63" i="192"/>
  <c r="AQ74" i="43" s="1"/>
  <c r="N57" i="192"/>
  <c r="AQ68" i="43" s="1"/>
  <c r="N55" i="192"/>
  <c r="AQ66" i="43" s="1"/>
  <c r="N47" i="192"/>
  <c r="AQ58" i="43" s="1"/>
  <c r="N34" i="192"/>
  <c r="AQ45" i="43" s="1"/>
  <c r="N33" i="192"/>
  <c r="AQ44" i="43" s="1"/>
  <c r="N32" i="192"/>
  <c r="AQ43" i="43" s="1"/>
  <c r="N31" i="192"/>
  <c r="AQ42" i="43" s="1"/>
  <c r="N30" i="192"/>
  <c r="AQ41" i="43" s="1"/>
  <c r="N26" i="192"/>
  <c r="AQ37" i="43" s="1"/>
  <c r="N25" i="192"/>
  <c r="AQ36" i="43" s="1"/>
  <c r="N24" i="192"/>
  <c r="AQ35" i="43" s="1"/>
  <c r="N23" i="192"/>
  <c r="AQ34" i="43" s="1"/>
  <c r="N15" i="192"/>
  <c r="AQ26" i="43" s="1"/>
  <c r="N8" i="192"/>
  <c r="AQ19" i="43" s="1"/>
  <c r="N64" i="192"/>
  <c r="AQ75" i="43" s="1"/>
  <c r="N62" i="192"/>
  <c r="AQ73" i="43" s="1"/>
  <c r="N58" i="192"/>
  <c r="AQ69" i="43" s="1"/>
  <c r="N56" i="192"/>
  <c r="AQ67" i="43" s="1"/>
  <c r="N54" i="192"/>
  <c r="AQ65" i="43" s="1"/>
  <c r="N46" i="192"/>
  <c r="AQ57" i="43" s="1"/>
  <c r="N69" i="191"/>
  <c r="N61" i="191"/>
  <c r="AX72" i="43" s="1"/>
  <c r="N53" i="191"/>
  <c r="AX64" i="43" s="1"/>
  <c r="N45" i="191"/>
  <c r="AX56" i="43" s="1"/>
  <c r="N37" i="191"/>
  <c r="AX48" i="43" s="1"/>
  <c r="N29" i="191"/>
  <c r="AX40" i="43" s="1"/>
  <c r="N21" i="191"/>
  <c r="AX32" i="43" s="1"/>
  <c r="N13" i="191"/>
  <c r="AX24" i="43" s="1"/>
  <c r="N62" i="191"/>
  <c r="AX73" i="43" s="1"/>
  <c r="N52" i="191"/>
  <c r="AX63" i="43" s="1"/>
  <c r="N43" i="191"/>
  <c r="AX54" i="43" s="1"/>
  <c r="N34" i="191"/>
  <c r="AX45" i="43" s="1"/>
  <c r="N25" i="191"/>
  <c r="AX36" i="43" s="1"/>
  <c r="N16" i="191"/>
  <c r="AX27" i="43" s="1"/>
  <c r="N7" i="191"/>
  <c r="AX18" i="43" s="1"/>
  <c r="N67" i="191"/>
  <c r="AX78" i="43" s="1"/>
  <c r="N57" i="191"/>
  <c r="AX68" i="43" s="1"/>
  <c r="N47" i="191"/>
  <c r="AX58" i="43" s="1"/>
  <c r="N36" i="191"/>
  <c r="AX47" i="43" s="1"/>
  <c r="N26" i="191"/>
  <c r="AX37" i="43" s="1"/>
  <c r="N15" i="191"/>
  <c r="AX26" i="43" s="1"/>
  <c r="N55" i="191"/>
  <c r="AX66" i="43" s="1"/>
  <c r="N44" i="191"/>
  <c r="AX55" i="43" s="1"/>
  <c r="N23" i="191"/>
  <c r="AX34" i="43" s="1"/>
  <c r="N66" i="191"/>
  <c r="AX77" i="43" s="1"/>
  <c r="N56" i="191"/>
  <c r="AX67" i="43" s="1"/>
  <c r="N46" i="191"/>
  <c r="AX57" i="43" s="1"/>
  <c r="N35" i="191"/>
  <c r="AX46" i="43" s="1"/>
  <c r="N24" i="191"/>
  <c r="AX35" i="43" s="1"/>
  <c r="N14" i="191"/>
  <c r="AX25" i="43" s="1"/>
  <c r="N65" i="191"/>
  <c r="AX76" i="43" s="1"/>
  <c r="N33" i="191"/>
  <c r="AX44" i="43" s="1"/>
  <c r="N12" i="191"/>
  <c r="AX23" i="43" s="1"/>
  <c r="N59" i="191"/>
  <c r="AX70" i="43" s="1"/>
  <c r="N41" i="191"/>
  <c r="AX52" i="43" s="1"/>
  <c r="N27" i="191"/>
  <c r="AX38" i="43" s="1"/>
  <c r="N9" i="191"/>
  <c r="AX20" i="43" s="1"/>
  <c r="N22" i="191"/>
  <c r="AX33" i="43" s="1"/>
  <c r="N70" i="191"/>
  <c r="N38" i="191"/>
  <c r="AX49" i="43" s="1"/>
  <c r="N68" i="191"/>
  <c r="N11" i="191"/>
  <c r="AX22" i="43" s="1"/>
  <c r="N60" i="191"/>
  <c r="AX71" i="43" s="1"/>
  <c r="N28" i="191"/>
  <c r="AX39" i="43" s="1"/>
  <c r="N10" i="191"/>
  <c r="AX21" i="43" s="1"/>
  <c r="N58" i="191"/>
  <c r="AX69" i="43" s="1"/>
  <c r="N40" i="191"/>
  <c r="AX51" i="43" s="1"/>
  <c r="N8" i="191"/>
  <c r="AX19" i="43" s="1"/>
  <c r="N39" i="191"/>
  <c r="AX50" i="43" s="1"/>
  <c r="N20" i="191"/>
  <c r="AX31" i="43" s="1"/>
  <c r="N6" i="191"/>
  <c r="AX17" i="43" s="1"/>
  <c r="N51" i="191"/>
  <c r="AX62" i="43" s="1"/>
  <c r="N19" i="191"/>
  <c r="AX30" i="43" s="1"/>
  <c r="N32" i="191"/>
  <c r="AX43" i="43" s="1"/>
  <c r="N18" i="191"/>
  <c r="AX29" i="43" s="1"/>
  <c r="N64" i="191"/>
  <c r="AX75" i="43" s="1"/>
  <c r="N49" i="191"/>
  <c r="AX60" i="43" s="1"/>
  <c r="N31" i="191"/>
  <c r="AX42" i="43" s="1"/>
  <c r="N17" i="191"/>
  <c r="AX28" i="43" s="1"/>
  <c r="N63" i="191"/>
  <c r="AX74" i="43" s="1"/>
  <c r="N48" i="191"/>
  <c r="AX59" i="43" s="1"/>
  <c r="N30" i="191"/>
  <c r="AX41" i="43" s="1"/>
  <c r="N54" i="191"/>
  <c r="AX65" i="43" s="1"/>
  <c r="N50" i="191"/>
  <c r="AX61" i="43" s="1"/>
  <c r="N42" i="191"/>
  <c r="AX53" i="43" s="1"/>
  <c r="N67" i="190"/>
  <c r="AY78" i="43" s="1"/>
  <c r="N59" i="190"/>
  <c r="AY70" i="43" s="1"/>
  <c r="N51" i="190"/>
  <c r="AY62" i="43" s="1"/>
  <c r="N43" i="190"/>
  <c r="AY54" i="43" s="1"/>
  <c r="N35" i="190"/>
  <c r="AY46" i="43" s="1"/>
  <c r="N27" i="190"/>
  <c r="AY38" i="43" s="1"/>
  <c r="N19" i="190"/>
  <c r="AY30" i="43" s="1"/>
  <c r="N11" i="190"/>
  <c r="AY22" i="43" s="1"/>
  <c r="N62" i="190"/>
  <c r="AY73" i="43" s="1"/>
  <c r="N53" i="190"/>
  <c r="AY64" i="43" s="1"/>
  <c r="N44" i="190"/>
  <c r="AY55" i="43" s="1"/>
  <c r="N34" i="190"/>
  <c r="AY45" i="43" s="1"/>
  <c r="N25" i="190"/>
  <c r="AY36" i="43" s="1"/>
  <c r="N16" i="190"/>
  <c r="AY27" i="43" s="1"/>
  <c r="N7" i="190"/>
  <c r="AY18" i="43" s="1"/>
  <c r="N70" i="190"/>
  <c r="N61" i="190"/>
  <c r="AY72" i="43" s="1"/>
  <c r="N52" i="190"/>
  <c r="AY63" i="43" s="1"/>
  <c r="N42" i="190"/>
  <c r="AY53" i="43" s="1"/>
  <c r="N33" i="190"/>
  <c r="AY44" i="43" s="1"/>
  <c r="N24" i="190"/>
  <c r="AY35" i="43" s="1"/>
  <c r="N15" i="190"/>
  <c r="AY26" i="43" s="1"/>
  <c r="N6" i="190"/>
  <c r="AY17" i="43" s="1"/>
  <c r="N66" i="190"/>
  <c r="AY77" i="43" s="1"/>
  <c r="N55" i="190"/>
  <c r="AY66" i="43" s="1"/>
  <c r="N41" i="190"/>
  <c r="AY52" i="43" s="1"/>
  <c r="N30" i="190"/>
  <c r="AY41" i="43" s="1"/>
  <c r="N18" i="190"/>
  <c r="AY29" i="43" s="1"/>
  <c r="N65" i="190"/>
  <c r="AY76" i="43" s="1"/>
  <c r="N54" i="190"/>
  <c r="AY65" i="43" s="1"/>
  <c r="N40" i="190"/>
  <c r="AY51" i="43" s="1"/>
  <c r="N29" i="190"/>
  <c r="AY40" i="43" s="1"/>
  <c r="N17" i="190"/>
  <c r="AY28" i="43" s="1"/>
  <c r="N63" i="190"/>
  <c r="AY74" i="43" s="1"/>
  <c r="N47" i="190"/>
  <c r="AY58" i="43" s="1"/>
  <c r="N31" i="190"/>
  <c r="AY42" i="43" s="1"/>
  <c r="N13" i="190"/>
  <c r="AY24" i="43" s="1"/>
  <c r="N60" i="190"/>
  <c r="AY71" i="43" s="1"/>
  <c r="N46" i="190"/>
  <c r="AY57" i="43" s="1"/>
  <c r="N28" i="190"/>
  <c r="AY39" i="43" s="1"/>
  <c r="N12" i="190"/>
  <c r="AY23" i="43" s="1"/>
  <c r="N58" i="190"/>
  <c r="AY69" i="43" s="1"/>
  <c r="N45" i="190"/>
  <c r="AY56" i="43" s="1"/>
  <c r="N39" i="190"/>
  <c r="AY50" i="43" s="1"/>
  <c r="N9" i="190"/>
  <c r="AY20" i="43" s="1"/>
  <c r="N56" i="190"/>
  <c r="AY67" i="43" s="1"/>
  <c r="N38" i="190"/>
  <c r="AY49" i="43" s="1"/>
  <c r="N22" i="190"/>
  <c r="AY33" i="43" s="1"/>
  <c r="N69" i="190"/>
  <c r="N50" i="190"/>
  <c r="AY61" i="43" s="1"/>
  <c r="N37" i="190"/>
  <c r="AY48" i="43" s="1"/>
  <c r="N21" i="190"/>
  <c r="AY32" i="43" s="1"/>
  <c r="N68" i="190"/>
  <c r="N36" i="190"/>
  <c r="AY47" i="43" s="1"/>
  <c r="N48" i="190"/>
  <c r="AY59" i="43" s="1"/>
  <c r="N14" i="190"/>
  <c r="AY25" i="43" s="1"/>
  <c r="N26" i="190"/>
  <c r="AY37" i="43" s="1"/>
  <c r="N10" i="190"/>
  <c r="AY21" i="43" s="1"/>
  <c r="N57" i="190"/>
  <c r="AY68" i="43" s="1"/>
  <c r="N23" i="190"/>
  <c r="AY34" i="43" s="1"/>
  <c r="N8" i="190"/>
  <c r="AY19" i="43" s="1"/>
  <c r="N20" i="190"/>
  <c r="AY31" i="43" s="1"/>
  <c r="N49" i="190"/>
  <c r="AY60" i="43" s="1"/>
  <c r="N64" i="190"/>
  <c r="AY75" i="43" s="1"/>
  <c r="N32" i="190"/>
  <c r="AY43" i="43" s="1"/>
  <c r="N67" i="189"/>
  <c r="Y78" i="43" s="1"/>
  <c r="N59" i="189"/>
  <c r="Y70" i="43" s="1"/>
  <c r="N51" i="189"/>
  <c r="Y62" i="43" s="1"/>
  <c r="N43" i="189"/>
  <c r="Y54" i="43" s="1"/>
  <c r="N35" i="189"/>
  <c r="Y46" i="43" s="1"/>
  <c r="N27" i="189"/>
  <c r="Y38" i="43" s="1"/>
  <c r="N19" i="189"/>
  <c r="Y30" i="43" s="1"/>
  <c r="N11" i="189"/>
  <c r="Y22" i="43" s="1"/>
  <c r="N66" i="189"/>
  <c r="Y77" i="43" s="1"/>
  <c r="N57" i="189"/>
  <c r="Y68" i="43" s="1"/>
  <c r="N48" i="189"/>
  <c r="Y59" i="43" s="1"/>
  <c r="N39" i="189"/>
  <c r="Y50" i="43" s="1"/>
  <c r="N30" i="189"/>
  <c r="Y41" i="43" s="1"/>
  <c r="N21" i="189"/>
  <c r="Y32" i="43" s="1"/>
  <c r="N12" i="189"/>
  <c r="Y23" i="43" s="1"/>
  <c r="N65" i="189"/>
  <c r="Y76" i="43" s="1"/>
  <c r="N47" i="189"/>
  <c r="Y58" i="43" s="1"/>
  <c r="N38" i="189"/>
  <c r="Y49" i="43" s="1"/>
  <c r="N29" i="189"/>
  <c r="Y40" i="43" s="1"/>
  <c r="N20" i="189"/>
  <c r="Y31" i="43" s="1"/>
  <c r="N56" i="189"/>
  <c r="Y67" i="43" s="1"/>
  <c r="N10" i="189"/>
  <c r="Y21" i="43" s="1"/>
  <c r="N61" i="189"/>
  <c r="Y72" i="43" s="1"/>
  <c r="N49" i="189"/>
  <c r="Y60" i="43" s="1"/>
  <c r="N36" i="189"/>
  <c r="Y47" i="43" s="1"/>
  <c r="N24" i="189"/>
  <c r="Y35" i="43" s="1"/>
  <c r="N13" i="189"/>
  <c r="Y24" i="43" s="1"/>
  <c r="N60" i="189"/>
  <c r="Y71" i="43" s="1"/>
  <c r="N46" i="189"/>
  <c r="Y57" i="43" s="1"/>
  <c r="N34" i="189"/>
  <c r="Y45" i="43" s="1"/>
  <c r="N23" i="189"/>
  <c r="Y34" i="43" s="1"/>
  <c r="N9" i="189"/>
  <c r="Y20" i="43" s="1"/>
  <c r="N68" i="189"/>
  <c r="N52" i="189"/>
  <c r="Y63" i="43" s="1"/>
  <c r="N33" i="189"/>
  <c r="Y44" i="43" s="1"/>
  <c r="N17" i="189"/>
  <c r="Y28" i="43" s="1"/>
  <c r="N64" i="189"/>
  <c r="Y75" i="43" s="1"/>
  <c r="N50" i="189"/>
  <c r="Y61" i="43" s="1"/>
  <c r="N16" i="189"/>
  <c r="Y27" i="43" s="1"/>
  <c r="N63" i="189"/>
  <c r="Y74" i="43" s="1"/>
  <c r="N45" i="189"/>
  <c r="Y56" i="43" s="1"/>
  <c r="N15" i="189"/>
  <c r="Y26" i="43" s="1"/>
  <c r="N58" i="189"/>
  <c r="Y69" i="43" s="1"/>
  <c r="N8" i="189"/>
  <c r="Y19" i="43" s="1"/>
  <c r="N55" i="189"/>
  <c r="Y66" i="43" s="1"/>
  <c r="N7" i="189"/>
  <c r="Y18" i="43" s="1"/>
  <c r="N70" i="189"/>
  <c r="N54" i="189"/>
  <c r="Y65" i="43" s="1"/>
  <c r="N6" i="189"/>
  <c r="Y17" i="43" s="1"/>
  <c r="N32" i="189"/>
  <c r="Y43" i="43" s="1"/>
  <c r="N62" i="189"/>
  <c r="Y73" i="43" s="1"/>
  <c r="N44" i="189"/>
  <c r="Y55" i="43" s="1"/>
  <c r="N28" i="189"/>
  <c r="Y39" i="43" s="1"/>
  <c r="N14" i="189"/>
  <c r="Y25" i="43" s="1"/>
  <c r="N42" i="189"/>
  <c r="Y53" i="43" s="1"/>
  <c r="N25" i="189"/>
  <c r="Y36" i="43" s="1"/>
  <c r="N22" i="189"/>
  <c r="Y33" i="43" s="1"/>
  <c r="N31" i="189"/>
  <c r="Y42" i="43" s="1"/>
  <c r="N26" i="189"/>
  <c r="Y37" i="43" s="1"/>
  <c r="N40" i="189"/>
  <c r="Y51" i="43" s="1"/>
  <c r="N41" i="189"/>
  <c r="Y52" i="43" s="1"/>
  <c r="N69" i="189"/>
  <c r="N53" i="189"/>
  <c r="Y64" i="43" s="1"/>
  <c r="N37" i="189"/>
  <c r="Y48" i="43" s="1"/>
  <c r="N18" i="189"/>
  <c r="Y29" i="43" s="1"/>
  <c r="N68" i="188"/>
  <c r="N60" i="188"/>
  <c r="Z71" i="43" s="1"/>
  <c r="N52" i="188"/>
  <c r="Z63" i="43" s="1"/>
  <c r="N44" i="188"/>
  <c r="Z55" i="43" s="1"/>
  <c r="N36" i="188"/>
  <c r="Z47" i="43" s="1"/>
  <c r="N28" i="188"/>
  <c r="Z39" i="43" s="1"/>
  <c r="N20" i="188"/>
  <c r="Z31" i="43" s="1"/>
  <c r="N12" i="188"/>
  <c r="Z23" i="43" s="1"/>
  <c r="N66" i="188"/>
  <c r="Z77" i="43" s="1"/>
  <c r="N57" i="188"/>
  <c r="Z68" i="43" s="1"/>
  <c r="N48" i="188"/>
  <c r="Z59" i="43" s="1"/>
  <c r="N39" i="188"/>
  <c r="Z50" i="43" s="1"/>
  <c r="N30" i="188"/>
  <c r="Z41" i="43" s="1"/>
  <c r="N21" i="188"/>
  <c r="Z32" i="43" s="1"/>
  <c r="N11" i="188"/>
  <c r="Z22" i="43" s="1"/>
  <c r="N65" i="188"/>
  <c r="Z76" i="43" s="1"/>
  <c r="N56" i="188"/>
  <c r="Z67" i="43" s="1"/>
  <c r="N47" i="188"/>
  <c r="Z58" i="43" s="1"/>
  <c r="N38" i="188"/>
  <c r="Z49" i="43" s="1"/>
  <c r="N29" i="188"/>
  <c r="Z40" i="43" s="1"/>
  <c r="N19" i="188"/>
  <c r="Z30" i="43" s="1"/>
  <c r="N10" i="188"/>
  <c r="Z21" i="43" s="1"/>
  <c r="N63" i="188"/>
  <c r="Z74" i="43" s="1"/>
  <c r="N51" i="188"/>
  <c r="Z62" i="43" s="1"/>
  <c r="N40" i="188"/>
  <c r="Z51" i="43" s="1"/>
  <c r="N26" i="188"/>
  <c r="Z37" i="43" s="1"/>
  <c r="N15" i="188"/>
  <c r="Z26" i="43" s="1"/>
  <c r="N62" i="188"/>
  <c r="Z73" i="43" s="1"/>
  <c r="N50" i="188"/>
  <c r="Z61" i="43" s="1"/>
  <c r="N37" i="188"/>
  <c r="Z48" i="43" s="1"/>
  <c r="N25" i="188"/>
  <c r="Z36" i="43" s="1"/>
  <c r="N14" i="188"/>
  <c r="Z25" i="43" s="1"/>
  <c r="N49" i="188"/>
  <c r="Z60" i="43" s="1"/>
  <c r="N13" i="188"/>
  <c r="Z24" i="43" s="1"/>
  <c r="N59" i="188"/>
  <c r="Z70" i="43" s="1"/>
  <c r="N46" i="188"/>
  <c r="Z57" i="43" s="1"/>
  <c r="N23" i="188"/>
  <c r="Z34" i="43" s="1"/>
  <c r="N9" i="188"/>
  <c r="Z20" i="43" s="1"/>
  <c r="N61" i="188"/>
  <c r="Z72" i="43" s="1"/>
  <c r="N35" i="188"/>
  <c r="Z46" i="43" s="1"/>
  <c r="N24" i="188"/>
  <c r="Z35" i="43" s="1"/>
  <c r="N34" i="188"/>
  <c r="Z45" i="43" s="1"/>
  <c r="N54" i="188"/>
  <c r="Z65" i="43" s="1"/>
  <c r="N31" i="188"/>
  <c r="Z42" i="43" s="1"/>
  <c r="N6" i="188"/>
  <c r="Z17" i="43" s="1"/>
  <c r="N53" i="188"/>
  <c r="Z64" i="43" s="1"/>
  <c r="N27" i="188"/>
  <c r="Z38" i="43" s="1"/>
  <c r="N69" i="188"/>
  <c r="N43" i="188"/>
  <c r="Z54" i="43" s="1"/>
  <c r="N18" i="188"/>
  <c r="Z29" i="43" s="1"/>
  <c r="N67" i="188"/>
  <c r="Z78" i="43" s="1"/>
  <c r="N17" i="188"/>
  <c r="Z28" i="43" s="1"/>
  <c r="N70" i="188"/>
  <c r="N45" i="188"/>
  <c r="Z56" i="43" s="1"/>
  <c r="N22" i="188"/>
  <c r="Z33" i="43" s="1"/>
  <c r="N42" i="188"/>
  <c r="Z53" i="43" s="1"/>
  <c r="N58" i="188"/>
  <c r="Z69" i="43" s="1"/>
  <c r="N33" i="188"/>
  <c r="Z44" i="43" s="1"/>
  <c r="N8" i="188"/>
  <c r="Z19" i="43" s="1"/>
  <c r="N32" i="188"/>
  <c r="Z43" i="43" s="1"/>
  <c r="N16" i="188"/>
  <c r="Z27" i="43" s="1"/>
  <c r="N7" i="188"/>
  <c r="Z18" i="43" s="1"/>
  <c r="N64" i="188"/>
  <c r="Z75" i="43" s="1"/>
  <c r="N55" i="188"/>
  <c r="Z66" i="43" s="1"/>
  <c r="N41" i="188"/>
  <c r="Z52" i="43" s="1"/>
  <c r="N13" i="32"/>
  <c r="AI24" i="43" s="1"/>
  <c r="N21" i="32"/>
  <c r="AI32" i="43" s="1"/>
  <c r="N29" i="32"/>
  <c r="AI40" i="43" s="1"/>
  <c r="N37" i="32"/>
  <c r="AI48" i="43" s="1"/>
  <c r="N45" i="32"/>
  <c r="AI56" i="43" s="1"/>
  <c r="N53" i="32"/>
  <c r="AI64" i="43" s="1"/>
  <c r="N61" i="32"/>
  <c r="AI72" i="43" s="1"/>
  <c r="N69" i="32"/>
  <c r="N6" i="32"/>
  <c r="AI17" i="43" s="1"/>
  <c r="N14" i="32"/>
  <c r="AI25" i="43" s="1"/>
  <c r="N22" i="32"/>
  <c r="AI33" i="43" s="1"/>
  <c r="N30" i="32"/>
  <c r="AI41" i="43" s="1"/>
  <c r="N38" i="32"/>
  <c r="AI49" i="43" s="1"/>
  <c r="N46" i="32"/>
  <c r="AI57" i="43" s="1"/>
  <c r="N54" i="32"/>
  <c r="AI65" i="43" s="1"/>
  <c r="N62" i="32"/>
  <c r="AI73" i="43" s="1"/>
  <c r="N70" i="32"/>
  <c r="N7" i="32"/>
  <c r="AI18" i="43" s="1"/>
  <c r="N15" i="32"/>
  <c r="AI26" i="43" s="1"/>
  <c r="N23" i="32"/>
  <c r="AI34" i="43" s="1"/>
  <c r="N31" i="32"/>
  <c r="AI42" i="43" s="1"/>
  <c r="N39" i="32"/>
  <c r="AI50" i="43" s="1"/>
  <c r="N47" i="32"/>
  <c r="AI58" i="43" s="1"/>
  <c r="N55" i="32"/>
  <c r="AI66" i="43" s="1"/>
  <c r="N63" i="32"/>
  <c r="AI74" i="43" s="1"/>
  <c r="N8" i="32"/>
  <c r="AI19" i="43" s="1"/>
  <c r="N16" i="32"/>
  <c r="AI27" i="43" s="1"/>
  <c r="N24" i="32"/>
  <c r="AI35" i="43" s="1"/>
  <c r="N32" i="32"/>
  <c r="AI43" i="43" s="1"/>
  <c r="N40" i="32"/>
  <c r="AI51" i="43" s="1"/>
  <c r="N48" i="32"/>
  <c r="AI59" i="43" s="1"/>
  <c r="N56" i="32"/>
  <c r="AI67" i="43" s="1"/>
  <c r="N64" i="32"/>
  <c r="AI75" i="43" s="1"/>
  <c r="N9" i="32"/>
  <c r="AI20" i="43" s="1"/>
  <c r="N17" i="32"/>
  <c r="AI28" i="43" s="1"/>
  <c r="N25" i="32"/>
  <c r="AI36" i="43" s="1"/>
  <c r="N33" i="32"/>
  <c r="AI44" i="43" s="1"/>
  <c r="N41" i="32"/>
  <c r="AI52" i="43" s="1"/>
  <c r="N49" i="32"/>
  <c r="AI60" i="43" s="1"/>
  <c r="N57" i="32"/>
  <c r="AI68" i="43" s="1"/>
  <c r="N65" i="32"/>
  <c r="AI76" i="43" s="1"/>
  <c r="N10" i="32"/>
  <c r="AI21" i="43" s="1"/>
  <c r="N18" i="32"/>
  <c r="AI29" i="43" s="1"/>
  <c r="N26" i="32"/>
  <c r="AI37" i="43" s="1"/>
  <c r="N34" i="32"/>
  <c r="AI45" i="43" s="1"/>
  <c r="N42" i="32"/>
  <c r="AI53" i="43" s="1"/>
  <c r="N50" i="32"/>
  <c r="AI61" i="43" s="1"/>
  <c r="N58" i="32"/>
  <c r="AI69" i="43" s="1"/>
  <c r="N66" i="32"/>
  <c r="AI77" i="43" s="1"/>
  <c r="N11" i="32"/>
  <c r="AI22" i="43" s="1"/>
  <c r="N19" i="32"/>
  <c r="AI30" i="43" s="1"/>
  <c r="N27" i="32"/>
  <c r="AI38" i="43" s="1"/>
  <c r="N35" i="32"/>
  <c r="AI46" i="43" s="1"/>
  <c r="N43" i="32"/>
  <c r="AI54" i="43" s="1"/>
  <c r="N51" i="32"/>
  <c r="AI62" i="43" s="1"/>
  <c r="N59" i="32"/>
  <c r="AI70" i="43" s="1"/>
  <c r="N67" i="32"/>
  <c r="AI78" i="43" s="1"/>
  <c r="N12" i="32"/>
  <c r="AI23" i="43" s="1"/>
  <c r="N20" i="32"/>
  <c r="AI31" i="43" s="1"/>
  <c r="N28" i="32"/>
  <c r="AI39" i="43" s="1"/>
  <c r="N36" i="32"/>
  <c r="AI47" i="43" s="1"/>
  <c r="N44" i="32"/>
  <c r="AI55" i="43" s="1"/>
  <c r="N52" i="32"/>
  <c r="AI63" i="43" s="1"/>
  <c r="N60" i="32"/>
  <c r="AI71" i="43" s="1"/>
  <c r="N68" i="32"/>
  <c r="E41" i="43" l="1"/>
  <c r="E27" i="43"/>
  <c r="E18" i="43"/>
  <c r="E29" i="43"/>
  <c r="E32" i="43"/>
  <c r="E71" i="43"/>
  <c r="E44" i="43"/>
  <c r="E30" i="43"/>
  <c r="E54" i="43"/>
  <c r="E51" i="43"/>
  <c r="E43" i="43"/>
  <c r="E57" i="43"/>
  <c r="E60" i="43"/>
  <c r="E78" i="43"/>
  <c r="E63" i="43"/>
  <c r="E75" i="43"/>
  <c r="E72" i="43"/>
  <c r="E69" i="43"/>
  <c r="E70" i="43"/>
  <c r="E62" i="43"/>
  <c r="E61" i="43"/>
  <c r="E39" i="43"/>
  <c r="E52" i="43"/>
  <c r="E46" i="43"/>
  <c r="E50" i="43"/>
  <c r="E38" i="43"/>
  <c r="E59" i="43"/>
  <c r="E65" i="43"/>
  <c r="E47" i="43"/>
  <c r="E76" i="43"/>
  <c r="E77" i="43"/>
  <c r="E48" i="43"/>
  <c r="E37" i="43"/>
  <c r="E64" i="43"/>
  <c r="E68" i="43"/>
  <c r="E53" i="43"/>
  <c r="E36" i="43"/>
  <c r="E49" i="43"/>
  <c r="E56" i="43"/>
  <c r="E58" i="43"/>
  <c r="E74" i="43"/>
  <c r="E67" i="43"/>
  <c r="E66" i="43"/>
  <c r="E73" i="43"/>
  <c r="E55" i="43"/>
  <c r="E28" i="43"/>
  <c r="E42" i="43"/>
  <c r="E40" i="43"/>
  <c r="E33" i="43"/>
  <c r="E31" i="43"/>
  <c r="E34" i="43"/>
  <c r="E45" i="43"/>
  <c r="E35" i="43"/>
  <c r="E26" i="43"/>
  <c r="E22" i="43"/>
  <c r="E25" i="43"/>
  <c r="E23" i="43"/>
  <c r="E24" i="43"/>
  <c r="E20" i="43"/>
  <c r="E19" i="43"/>
  <c r="E21" i="43"/>
  <c r="E17" i="43"/>
  <c r="AP8" i="43"/>
  <c r="N71" i="193"/>
  <c r="N73" i="192"/>
  <c r="AW15" i="43"/>
  <c r="N76" i="191"/>
  <c r="N76" i="190"/>
  <c r="X15" i="43"/>
  <c r="N77" i="189"/>
  <c r="N77" i="188"/>
  <c r="AG15" i="43"/>
  <c r="N73" i="32"/>
  <c r="E15" i="43" l="1"/>
  <c r="AO15" i="43"/>
  <c r="G70" i="187" l="1"/>
  <c r="G22" i="187"/>
  <c r="Q22" i="187" a="1"/>
  <c r="BY22" i="187" l="1"/>
  <c r="AT22" i="187"/>
  <c r="X22" i="187"/>
  <c r="BV22" i="187"/>
  <c r="BI22" i="187"/>
  <c r="AM22" i="187"/>
  <c r="BG22" i="187"/>
  <c r="BQ22" i="187"/>
  <c r="BB22" i="187"/>
  <c r="V22" i="187"/>
  <c r="AY22" i="187"/>
  <c r="AJ22" i="187"/>
  <c r="BT22" i="187"/>
  <c r="BR22" i="187"/>
  <c r="AX22" i="187"/>
  <c r="AR22" i="187"/>
  <c r="BD22" i="187"/>
  <c r="BZ22" i="187"/>
  <c r="AH22" i="187"/>
  <c r="AK22" i="187"/>
  <c r="Z22" i="187"/>
  <c r="BO22" i="187"/>
  <c r="AW22" i="187"/>
  <c r="BH22" i="187"/>
  <c r="AI22" i="187"/>
  <c r="CC22" i="187"/>
  <c r="T22" i="187"/>
  <c r="Q22" i="187"/>
  <c r="AO22" i="187"/>
  <c r="BS22" i="187"/>
  <c r="BP22" i="187"/>
  <c r="BN22" i="187"/>
  <c r="AU22" i="187"/>
  <c r="AZ22" i="187"/>
  <c r="BU22" i="187"/>
  <c r="AE22" i="187"/>
  <c r="AV22" i="187"/>
  <c r="BK22" i="187"/>
  <c r="BW22" i="187"/>
  <c r="BX22" i="187"/>
  <c r="BJ22" i="187"/>
  <c r="Y22" i="187"/>
  <c r="BM22" i="187"/>
  <c r="AD22" i="187"/>
  <c r="CA22" i="187"/>
  <c r="W22" i="187"/>
  <c r="AB22" i="187"/>
  <c r="AG22" i="187"/>
  <c r="BF22" i="187"/>
  <c r="U22" i="187"/>
  <c r="R22" i="187"/>
  <c r="AF22" i="187"/>
  <c r="BE22" i="187"/>
  <c r="AL22" i="187"/>
  <c r="BA22" i="187"/>
  <c r="CB22" i="187"/>
  <c r="BC22" i="187"/>
  <c r="AC22" i="187"/>
  <c r="S22" i="187"/>
  <c r="BL22" i="187"/>
  <c r="AA22" i="187"/>
  <c r="AS22" i="187"/>
  <c r="AP22" i="187"/>
  <c r="AN22" i="187"/>
  <c r="AQ22" i="187"/>
  <c r="G33" i="187"/>
  <c r="Q33" i="187" a="1"/>
  <c r="BH33" i="187" l="1"/>
  <c r="Q33" i="187"/>
  <c r="AD33" i="187"/>
  <c r="BB33" i="187"/>
  <c r="BY33" i="187"/>
  <c r="AK33" i="187"/>
  <c r="BF33" i="187"/>
  <c r="BG33" i="187"/>
  <c r="AJ33" i="187"/>
  <c r="BJ33" i="187"/>
  <c r="BQ33" i="187"/>
  <c r="AR33" i="187"/>
  <c r="BT33" i="187"/>
  <c r="AL33" i="187"/>
  <c r="CC33" i="187"/>
  <c r="BV33" i="187"/>
  <c r="BZ33" i="187"/>
  <c r="AW33" i="187"/>
  <c r="AI33" i="187"/>
  <c r="AH33" i="187"/>
  <c r="AY33" i="187"/>
  <c r="BX33" i="187"/>
  <c r="AE33" i="187"/>
  <c r="BS33" i="187"/>
  <c r="AP33" i="187"/>
  <c r="AT33" i="187"/>
  <c r="Z33" i="187"/>
  <c r="AX33" i="187"/>
  <c r="BP33" i="187"/>
  <c r="AC33" i="187"/>
  <c r="AN33" i="187"/>
  <c r="BL33" i="187"/>
  <c r="X33" i="187"/>
  <c r="AU33" i="187"/>
  <c r="BR33" i="187"/>
  <c r="BO33" i="187"/>
  <c r="BN33" i="187"/>
  <c r="AO33" i="187"/>
  <c r="V33" i="187"/>
  <c r="AV33" i="187"/>
  <c r="AS33" i="187"/>
  <c r="CB33" i="187"/>
  <c r="BK33" i="187"/>
  <c r="T33" i="187"/>
  <c r="R33" i="187"/>
  <c r="AB33" i="187"/>
  <c r="W33" i="187"/>
  <c r="AG33" i="187"/>
  <c r="AQ33" i="187"/>
  <c r="AZ33" i="187"/>
  <c r="Y33" i="187"/>
  <c r="BC33" i="187"/>
  <c r="BA33" i="187"/>
  <c r="AA33" i="187"/>
  <c r="CA33" i="187"/>
  <c r="BE33" i="187"/>
  <c r="BW33" i="187"/>
  <c r="U33" i="187"/>
  <c r="BI33" i="187"/>
  <c r="AF33" i="187"/>
  <c r="AM33" i="187"/>
  <c r="S33" i="187"/>
  <c r="BU33" i="187"/>
  <c r="BM33" i="187"/>
  <c r="BD33" i="187"/>
  <c r="G57" i="187"/>
  <c r="Q57" i="187" a="1"/>
  <c r="AX57" i="187" l="1"/>
  <c r="BW57" i="187"/>
  <c r="AF57" i="187"/>
  <c r="BC57" i="187"/>
  <c r="BZ57" i="187"/>
  <c r="AL57" i="187"/>
  <c r="AY57" i="187"/>
  <c r="BE57" i="187"/>
  <c r="X57" i="187"/>
  <c r="CA57" i="187"/>
  <c r="AD57" i="187"/>
  <c r="AT57" i="187"/>
  <c r="AG57" i="187"/>
  <c r="AN57" i="187"/>
  <c r="BQ57" i="187"/>
  <c r="BU57" i="187"/>
  <c r="BT57" i="187"/>
  <c r="AC57" i="187"/>
  <c r="CC57" i="187"/>
  <c r="V57" i="187"/>
  <c r="AB57" i="187"/>
  <c r="U57" i="187"/>
  <c r="BB57" i="187"/>
  <c r="BX57" i="187"/>
  <c r="R57" i="187"/>
  <c r="AQ57" i="187"/>
  <c r="BL57" i="187"/>
  <c r="BP57" i="187"/>
  <c r="AM57" i="187"/>
  <c r="Z57" i="187"/>
  <c r="BG57" i="187"/>
  <c r="AH57" i="187"/>
  <c r="AI57" i="187"/>
  <c r="BV57" i="187"/>
  <c r="BN57" i="187"/>
  <c r="BJ57" i="187"/>
  <c r="AS57" i="187"/>
  <c r="S57" i="187"/>
  <c r="W57" i="187"/>
  <c r="BF57" i="187"/>
  <c r="T57" i="187"/>
  <c r="AR57" i="187"/>
  <c r="BO57" i="187"/>
  <c r="AA57" i="187"/>
  <c r="AV57" i="187"/>
  <c r="BI57" i="187"/>
  <c r="BM57" i="187"/>
  <c r="Y57" i="187"/>
  <c r="BH57" i="187"/>
  <c r="BY57" i="187"/>
  <c r="BR57" i="187"/>
  <c r="Q57" i="187"/>
  <c r="BK57" i="187"/>
  <c r="AJ57" i="187"/>
  <c r="AP57" i="187"/>
  <c r="BD57" i="187"/>
  <c r="BA57" i="187"/>
  <c r="AO57" i="187"/>
  <c r="BS57" i="187"/>
  <c r="AZ57" i="187"/>
  <c r="AK57" i="187"/>
  <c r="CB57" i="187"/>
  <c r="AE57" i="187"/>
  <c r="AU57" i="187"/>
  <c r="AW57" i="187"/>
  <c r="G40" i="187"/>
  <c r="Q40" i="187" a="1"/>
  <c r="AP40" i="187" l="1"/>
  <c r="BQ40" i="187"/>
  <c r="AB40" i="187"/>
  <c r="AM40" i="187"/>
  <c r="BJ40" i="187"/>
  <c r="V40" i="187"/>
  <c r="AS40" i="187"/>
  <c r="AW40" i="187"/>
  <c r="AA40" i="187"/>
  <c r="AX40" i="187"/>
  <c r="CA40" i="187"/>
  <c r="AL40" i="187"/>
  <c r="AY40" i="187"/>
  <c r="BT40" i="187"/>
  <c r="AF40" i="187"/>
  <c r="BC40" i="187"/>
  <c r="BE40" i="187"/>
  <c r="BY40" i="187"/>
  <c r="CB40" i="187"/>
  <c r="AI40" i="187"/>
  <c r="AK40" i="187"/>
  <c r="AD40" i="187"/>
  <c r="BO40" i="187"/>
  <c r="AU40" i="187"/>
  <c r="AN40" i="187"/>
  <c r="BA40" i="187"/>
  <c r="BG40" i="187"/>
  <c r="AZ40" i="187"/>
  <c r="BU40" i="187"/>
  <c r="BZ40" i="187"/>
  <c r="AQ40" i="187"/>
  <c r="CC40" i="187"/>
  <c r="AV40" i="187"/>
  <c r="X40" i="187"/>
  <c r="R40" i="187"/>
  <c r="BB40" i="187"/>
  <c r="Z40" i="187"/>
  <c r="BR40" i="187"/>
  <c r="W40" i="187"/>
  <c r="AH40" i="187"/>
  <c r="BI40" i="187"/>
  <c r="BK40" i="187"/>
  <c r="BV40" i="187"/>
  <c r="BS40" i="187"/>
  <c r="BL40" i="187"/>
  <c r="BP40" i="187"/>
  <c r="T40" i="187"/>
  <c r="AR40" i="187"/>
  <c r="BM40" i="187"/>
  <c r="AT40" i="187"/>
  <c r="S40" i="187"/>
  <c r="U40" i="187"/>
  <c r="AG40" i="187"/>
  <c r="BF40" i="187"/>
  <c r="AE40" i="187"/>
  <c r="AO40" i="187"/>
  <c r="BH40" i="187"/>
  <c r="Y40" i="187"/>
  <c r="Q40" i="187"/>
  <c r="AJ40" i="187"/>
  <c r="BW40" i="187"/>
  <c r="BN40" i="187"/>
  <c r="BD40" i="187"/>
  <c r="AC40" i="187"/>
  <c r="BX40" i="187"/>
  <c r="G15" i="187"/>
  <c r="Q15" i="187" a="1"/>
  <c r="AL15" i="187" l="1"/>
  <c r="AB15" i="187"/>
  <c r="AJ15" i="187"/>
  <c r="BL15" i="187"/>
  <c r="AE15" i="187"/>
  <c r="Y15" i="187"/>
  <c r="AI15" i="187"/>
  <c r="AK15" i="187"/>
  <c r="BV15" i="187"/>
  <c r="AT15" i="187"/>
  <c r="AX15" i="187"/>
  <c r="BF15" i="187"/>
  <c r="Z15" i="187"/>
  <c r="AM15" i="187"/>
  <c r="AG15" i="187"/>
  <c r="AQ15" i="187"/>
  <c r="AS15" i="187"/>
  <c r="BA15" i="187"/>
  <c r="AA15" i="187"/>
  <c r="BO15" i="187"/>
  <c r="BT15" i="187"/>
  <c r="AV15" i="187"/>
  <c r="BW15" i="187"/>
  <c r="R15" i="187"/>
  <c r="BS15" i="187"/>
  <c r="AO15" i="187"/>
  <c r="BX15" i="187"/>
  <c r="CA15" i="187"/>
  <c r="AD15" i="187"/>
  <c r="S15" i="187"/>
  <c r="Q15" i="187"/>
  <c r="BR15" i="187"/>
  <c r="BH15" i="187"/>
  <c r="BP15" i="187"/>
  <c r="BZ15" i="187"/>
  <c r="AR15" i="187"/>
  <c r="AW15" i="187"/>
  <c r="BN15" i="187"/>
  <c r="BG15" i="187"/>
  <c r="BI15" i="187"/>
  <c r="CB15" i="187"/>
  <c r="AZ15" i="187"/>
  <c r="BU15" i="187"/>
  <c r="BQ15" i="187"/>
  <c r="AF15" i="187"/>
  <c r="T15" i="187"/>
  <c r="W15" i="187"/>
  <c r="CC15" i="187"/>
  <c r="BY15" i="187"/>
  <c r="BE15" i="187"/>
  <c r="AN15" i="187"/>
  <c r="BK15" i="187"/>
  <c r="AY15" i="187"/>
  <c r="V15" i="187"/>
  <c r="AH15" i="187"/>
  <c r="X15" i="187"/>
  <c r="AU15" i="187"/>
  <c r="BJ15" i="187"/>
  <c r="U15" i="187"/>
  <c r="BB15" i="187"/>
  <c r="BD15" i="187"/>
  <c r="AP15" i="187"/>
  <c r="BC15" i="187"/>
  <c r="BM15" i="187"/>
  <c r="AC15" i="187"/>
  <c r="G50" i="187"/>
  <c r="Q50" i="187" a="1"/>
  <c r="BT50" i="187" l="1"/>
  <c r="BL50" i="187"/>
  <c r="T50" i="187"/>
  <c r="AN50" i="187"/>
  <c r="BB50" i="187"/>
  <c r="AP50" i="187"/>
  <c r="BG50" i="187"/>
  <c r="BS50" i="187"/>
  <c r="AA50" i="187"/>
  <c r="AT50" i="187"/>
  <c r="AJ50" i="187"/>
  <c r="CA50" i="187"/>
  <c r="AB50" i="187"/>
  <c r="AO50" i="187"/>
  <c r="BM50" i="187"/>
  <c r="Y50" i="187"/>
  <c r="AS50" i="187"/>
  <c r="AM50" i="187"/>
  <c r="AL50" i="187"/>
  <c r="X50" i="187"/>
  <c r="AH50" i="187"/>
  <c r="AV50" i="187"/>
  <c r="AY50" i="187"/>
  <c r="CB50" i="187"/>
  <c r="S50" i="187"/>
  <c r="BE50" i="187"/>
  <c r="BH50" i="187"/>
  <c r="Q50" i="187"/>
  <c r="BW50" i="187"/>
  <c r="AF50" i="187"/>
  <c r="W50" i="187"/>
  <c r="BF50" i="187"/>
  <c r="BQ50" i="187"/>
  <c r="AQ50" i="187"/>
  <c r="CC50" i="187"/>
  <c r="AK50" i="187"/>
  <c r="U50" i="187"/>
  <c r="BR50" i="187"/>
  <c r="AU50" i="187"/>
  <c r="AX50" i="187"/>
  <c r="BP50" i="187"/>
  <c r="BZ50" i="187"/>
  <c r="BU50" i="187"/>
  <c r="AC50" i="187"/>
  <c r="AW50" i="187"/>
  <c r="BJ50" i="187"/>
  <c r="BD50" i="187"/>
  <c r="BN50" i="187"/>
  <c r="BX50" i="187"/>
  <c r="BA50" i="187"/>
  <c r="BV50" i="187"/>
  <c r="BY50" i="187"/>
  <c r="BO50" i="187"/>
  <c r="AI50" i="187"/>
  <c r="V50" i="187"/>
  <c r="AR50" i="187"/>
  <c r="AD50" i="187"/>
  <c r="BC50" i="187"/>
  <c r="Z50" i="187"/>
  <c r="BK50" i="187"/>
  <c r="AZ50" i="187"/>
  <c r="R50" i="187"/>
  <c r="AE50" i="187"/>
  <c r="AG50" i="187"/>
  <c r="BI50" i="187"/>
  <c r="G59" i="187"/>
  <c r="Q59" i="187" a="1"/>
  <c r="AZ59" i="187" l="1"/>
  <c r="AR59" i="187"/>
  <c r="AC59" i="187"/>
  <c r="AF59" i="187"/>
  <c r="X59" i="187"/>
  <c r="AL59" i="187"/>
  <c r="CB59" i="187"/>
  <c r="AQ59" i="187"/>
  <c r="BP59" i="187"/>
  <c r="AM59" i="187"/>
  <c r="V59" i="187"/>
  <c r="BF59" i="187"/>
  <c r="BS59" i="187"/>
  <c r="BU59" i="187"/>
  <c r="BO59" i="187"/>
  <c r="AH59" i="187"/>
  <c r="BE59" i="187"/>
  <c r="AK59" i="187"/>
  <c r="W59" i="187"/>
  <c r="AU59" i="187"/>
  <c r="AT59" i="187"/>
  <c r="AN59" i="187"/>
  <c r="AE59" i="187"/>
  <c r="AX59" i="187"/>
  <c r="Y59" i="187"/>
  <c r="BB59" i="187"/>
  <c r="BG59" i="187"/>
  <c r="BQ59" i="187"/>
  <c r="BW59" i="187"/>
  <c r="AO59" i="187"/>
  <c r="BI59" i="187"/>
  <c r="AW59" i="187"/>
  <c r="BH59" i="187"/>
  <c r="R59" i="187"/>
  <c r="BN59" i="187"/>
  <c r="AV59" i="187"/>
  <c r="BM59" i="187"/>
  <c r="AB59" i="187"/>
  <c r="AD59" i="187"/>
  <c r="AS59" i="187"/>
  <c r="U59" i="187"/>
  <c r="BD59" i="187"/>
  <c r="BJ59" i="187"/>
  <c r="AA59" i="187"/>
  <c r="BA59" i="187"/>
  <c r="BY59" i="187"/>
  <c r="BC59" i="187"/>
  <c r="AY59" i="187"/>
  <c r="AI59" i="187"/>
  <c r="CC59" i="187"/>
  <c r="AJ59" i="187"/>
  <c r="Q59" i="187"/>
  <c r="BV59" i="187"/>
  <c r="BZ59" i="187"/>
  <c r="Z59" i="187"/>
  <c r="BT59" i="187"/>
  <c r="T59" i="187"/>
  <c r="BK59" i="187"/>
  <c r="CA59" i="187"/>
  <c r="BR59" i="187"/>
  <c r="BL59" i="187"/>
  <c r="BX59" i="187"/>
  <c r="AP59" i="187"/>
  <c r="S59" i="187"/>
  <c r="AG59" i="187"/>
  <c r="G37" i="187"/>
  <c r="Q37" i="187" a="1"/>
  <c r="AV37" i="187" l="1"/>
  <c r="AN37" i="187"/>
  <c r="AH37" i="187"/>
  <c r="BU37" i="187"/>
  <c r="BW37" i="187"/>
  <c r="U37" i="187"/>
  <c r="AD37" i="187"/>
  <c r="AM37" i="187"/>
  <c r="BQ37" i="187"/>
  <c r="BL37" i="187"/>
  <c r="AP37" i="187"/>
  <c r="BM37" i="187"/>
  <c r="BG37" i="187"/>
  <c r="BH37" i="187"/>
  <c r="BI37" i="187"/>
  <c r="BJ37" i="187"/>
  <c r="BK37" i="187"/>
  <c r="AF37" i="187"/>
  <c r="R37" i="187"/>
  <c r="BY37" i="187"/>
  <c r="Y37" i="187"/>
  <c r="BC37" i="187"/>
  <c r="AG37" i="187"/>
  <c r="X37" i="187"/>
  <c r="AY37" i="187"/>
  <c r="AW37" i="187"/>
  <c r="T37" i="187"/>
  <c r="AB37" i="187"/>
  <c r="BA37" i="187"/>
  <c r="AO37" i="187"/>
  <c r="AJ37" i="187"/>
  <c r="BB37" i="187"/>
  <c r="BD37" i="187"/>
  <c r="CB37" i="187"/>
  <c r="AR37" i="187"/>
  <c r="BR37" i="187"/>
  <c r="BT37" i="187"/>
  <c r="BV37" i="187"/>
  <c r="CC37" i="187"/>
  <c r="AC37" i="187"/>
  <c r="BZ37" i="187"/>
  <c r="AU37" i="187"/>
  <c r="BF37" i="187"/>
  <c r="S37" i="187"/>
  <c r="AK37" i="187"/>
  <c r="W37" i="187"/>
  <c r="BN37" i="187"/>
  <c r="AQ37" i="187"/>
  <c r="AS37" i="187"/>
  <c r="BP37" i="187"/>
  <c r="AX37" i="187"/>
  <c r="AA37" i="187"/>
  <c r="AZ37" i="187"/>
  <c r="AL37" i="187"/>
  <c r="BS37" i="187"/>
  <c r="Q37" i="187"/>
  <c r="AI37" i="187"/>
  <c r="AE37" i="187"/>
  <c r="AT37" i="187"/>
  <c r="CA37" i="187"/>
  <c r="Z37" i="187"/>
  <c r="BE37" i="187"/>
  <c r="BO37" i="187"/>
  <c r="BX37" i="187"/>
  <c r="V37" i="187"/>
  <c r="G47" i="187"/>
  <c r="Q47" i="187" a="1"/>
  <c r="AK47" i="187" l="1"/>
  <c r="AC47" i="187"/>
  <c r="W47" i="187"/>
  <c r="BR47" i="187"/>
  <c r="CB47" i="187"/>
  <c r="CC47" i="187"/>
  <c r="S47" i="187"/>
  <c r="AB47" i="187"/>
  <c r="Y47" i="187"/>
  <c r="AG47" i="187"/>
  <c r="AO47" i="187"/>
  <c r="AR47" i="187"/>
  <c r="CA47" i="187"/>
  <c r="BT47" i="187"/>
  <c r="BU47" i="187"/>
  <c r="BV47" i="187"/>
  <c r="BD47" i="187"/>
  <c r="BA47" i="187"/>
  <c r="AE47" i="187"/>
  <c r="BJ47" i="187"/>
  <c r="BL47" i="187"/>
  <c r="BE47" i="187"/>
  <c r="AX47" i="187"/>
  <c r="AY47" i="187"/>
  <c r="AZ47" i="187"/>
  <c r="V47" i="187"/>
  <c r="U47" i="187"/>
  <c r="Q47" i="187"/>
  <c r="AP47" i="187"/>
  <c r="AA47" i="187"/>
  <c r="AU47" i="187"/>
  <c r="AI47" i="187"/>
  <c r="AT47" i="187"/>
  <c r="BP47" i="187"/>
  <c r="AD47" i="187"/>
  <c r="BX47" i="187"/>
  <c r="AL47" i="187"/>
  <c r="AW47" i="187"/>
  <c r="AQ47" i="187"/>
  <c r="AS47" i="187"/>
  <c r="AN47" i="187"/>
  <c r="BM47" i="187"/>
  <c r="BG47" i="187"/>
  <c r="BI47" i="187"/>
  <c r="AF47" i="187"/>
  <c r="R47" i="187"/>
  <c r="BO47" i="187"/>
  <c r="BK47" i="187"/>
  <c r="BZ47" i="187"/>
  <c r="Z47" i="187"/>
  <c r="BW47" i="187"/>
  <c r="AM47" i="187"/>
  <c r="AV47" i="187"/>
  <c r="AH47" i="187"/>
  <c r="BH47" i="187"/>
  <c r="BC47" i="187"/>
  <c r="BN47" i="187"/>
  <c r="BF47" i="187"/>
  <c r="AJ47" i="187"/>
  <c r="BQ47" i="187"/>
  <c r="BS47" i="187"/>
  <c r="X47" i="187"/>
  <c r="T47" i="187"/>
  <c r="BY47" i="187"/>
  <c r="BB47" i="187"/>
  <c r="G34" i="187"/>
  <c r="Q34" i="187" a="1"/>
  <c r="AH34" i="187" l="1"/>
  <c r="AW34" i="187"/>
  <c r="BW34" i="187"/>
  <c r="AT34" i="187"/>
  <c r="AA34" i="187"/>
  <c r="BO34" i="187"/>
  <c r="AD34" i="187"/>
  <c r="AX34" i="187"/>
  <c r="BD34" i="187"/>
  <c r="BE34" i="187"/>
  <c r="AE34" i="187"/>
  <c r="BF34" i="187"/>
  <c r="AS34" i="187"/>
  <c r="Y34" i="187"/>
  <c r="BG34" i="187"/>
  <c r="AG34" i="187"/>
  <c r="BX34" i="187"/>
  <c r="BZ34" i="187"/>
  <c r="AB34" i="187"/>
  <c r="AM34" i="187"/>
  <c r="BQ34" i="187"/>
  <c r="BS34" i="187"/>
  <c r="BA34" i="187"/>
  <c r="BN34" i="187"/>
  <c r="W34" i="187"/>
  <c r="BP34" i="187"/>
  <c r="BV34" i="187"/>
  <c r="AJ34" i="187"/>
  <c r="AK34" i="187"/>
  <c r="BB34" i="187"/>
  <c r="BT34" i="187"/>
  <c r="V34" i="187"/>
  <c r="AY34" i="187"/>
  <c r="CA34" i="187"/>
  <c r="CB34" i="187"/>
  <c r="T34" i="187"/>
  <c r="BJ34" i="187"/>
  <c r="BC34" i="187"/>
  <c r="Q34" i="187"/>
  <c r="BR34" i="187"/>
  <c r="BK34" i="187"/>
  <c r="AI34" i="187"/>
  <c r="X34" i="187"/>
  <c r="CC34" i="187"/>
  <c r="U34" i="187"/>
  <c r="BY34" i="187"/>
  <c r="AR34" i="187"/>
  <c r="AF34" i="187"/>
  <c r="AU34" i="187"/>
  <c r="AZ34" i="187"/>
  <c r="AL34" i="187"/>
  <c r="AC34" i="187"/>
  <c r="R34" i="187"/>
  <c r="AN34" i="187"/>
  <c r="BM34" i="187"/>
  <c r="BI34" i="187"/>
  <c r="BH34" i="187"/>
  <c r="AO34" i="187"/>
  <c r="AQ34" i="187"/>
  <c r="Z34" i="187"/>
  <c r="BL34" i="187"/>
  <c r="BU34" i="187"/>
  <c r="S34" i="187"/>
  <c r="AP34" i="187"/>
  <c r="AV34" i="187"/>
  <c r="G63" i="187"/>
  <c r="Q63" i="187" a="1"/>
  <c r="AE63" i="187" l="1"/>
  <c r="BH63" i="187"/>
  <c r="AX63" i="187"/>
  <c r="AZ63" i="187"/>
  <c r="BF63" i="187"/>
  <c r="AN63" i="187"/>
  <c r="AG63" i="187"/>
  <c r="AD63" i="187"/>
  <c r="X63" i="187"/>
  <c r="AM63" i="187"/>
  <c r="BX63" i="187"/>
  <c r="BN63" i="187"/>
  <c r="BP63" i="187"/>
  <c r="BV63" i="187"/>
  <c r="AV63" i="187"/>
  <c r="AO63" i="187"/>
  <c r="AL63" i="187"/>
  <c r="T63" i="187"/>
  <c r="AF63" i="187"/>
  <c r="BD63" i="187"/>
  <c r="CC63" i="187"/>
  <c r="BB63" i="187"/>
  <c r="S63" i="187"/>
  <c r="BJ63" i="187"/>
  <c r="BO63" i="187"/>
  <c r="AU63" i="187"/>
  <c r="AR63" i="187"/>
  <c r="AK63" i="187"/>
  <c r="BL63" i="187"/>
  <c r="W63" i="187"/>
  <c r="AC63" i="187"/>
  <c r="BA63" i="187"/>
  <c r="BT63" i="187"/>
  <c r="CA63" i="187"/>
  <c r="AS63" i="187"/>
  <c r="BQ63" i="187"/>
  <c r="BE63" i="187"/>
  <c r="BS63" i="187"/>
  <c r="BI63" i="187"/>
  <c r="Z63" i="187"/>
  <c r="BM63" i="187"/>
  <c r="AB63" i="187"/>
  <c r="AH63" i="187"/>
  <c r="BW63" i="187"/>
  <c r="BU63" i="187"/>
  <c r="AI63" i="187"/>
  <c r="AP63" i="187"/>
  <c r="Y63" i="187"/>
  <c r="BR63" i="187"/>
  <c r="CB63" i="187"/>
  <c r="AY63" i="187"/>
  <c r="AA63" i="187"/>
  <c r="AW63" i="187"/>
  <c r="BZ63" i="187"/>
  <c r="BY63" i="187"/>
  <c r="AJ63" i="187"/>
  <c r="AQ63" i="187"/>
  <c r="BK63" i="187"/>
  <c r="V63" i="187"/>
  <c r="BC63" i="187"/>
  <c r="R63" i="187"/>
  <c r="U63" i="187"/>
  <c r="BG63" i="187"/>
  <c r="Q63" i="187"/>
  <c r="AT63" i="187"/>
  <c r="G38" i="187"/>
  <c r="Q38" i="187" a="1"/>
  <c r="U38" i="187" l="1"/>
  <c r="AM38" i="187"/>
  <c r="AD38" i="187"/>
  <c r="AF38" i="187"/>
  <c r="Y38" i="187"/>
  <c r="R38" i="187"/>
  <c r="S38" i="187"/>
  <c r="T38" i="187"/>
  <c r="AT38" i="187"/>
  <c r="AC38" i="187"/>
  <c r="AU38" i="187"/>
  <c r="AL38" i="187"/>
  <c r="AN38" i="187"/>
  <c r="AG38" i="187"/>
  <c r="Z38" i="187"/>
  <c r="AA38" i="187"/>
  <c r="AB38" i="187"/>
  <c r="V38" i="187"/>
  <c r="CB38" i="187"/>
  <c r="Q38" i="187"/>
  <c r="AO38" i="187"/>
  <c r="AI38" i="187"/>
  <c r="AQ38" i="187"/>
  <c r="BK38" i="187"/>
  <c r="AY38" i="187"/>
  <c r="BR38" i="187"/>
  <c r="BY38" i="187"/>
  <c r="BB38" i="187"/>
  <c r="BM38" i="187"/>
  <c r="AR38" i="187"/>
  <c r="BJ38" i="187"/>
  <c r="BU38" i="187"/>
  <c r="AZ38" i="187"/>
  <c r="BV38" i="187"/>
  <c r="AP38" i="187"/>
  <c r="BH38" i="187"/>
  <c r="BZ38" i="187"/>
  <c r="AX38" i="187"/>
  <c r="BP38" i="187"/>
  <c r="BC38" i="187"/>
  <c r="BT38" i="187"/>
  <c r="CA38" i="187"/>
  <c r="BX38" i="187"/>
  <c r="AK38" i="187"/>
  <c r="BS38" i="187"/>
  <c r="BD38" i="187"/>
  <c r="CC38" i="187"/>
  <c r="BG38" i="187"/>
  <c r="BI38" i="187"/>
  <c r="BF38" i="187"/>
  <c r="BL38" i="187"/>
  <c r="AH38" i="187"/>
  <c r="BO38" i="187"/>
  <c r="BQ38" i="187"/>
  <c r="W38" i="187"/>
  <c r="X38" i="187"/>
  <c r="AW38" i="187"/>
  <c r="BA38" i="187"/>
  <c r="BW38" i="187"/>
  <c r="AS38" i="187"/>
  <c r="AE38" i="187"/>
  <c r="AV38" i="187"/>
  <c r="BE38" i="187"/>
  <c r="BN38" i="187"/>
  <c r="AJ38" i="187"/>
  <c r="G51" i="187"/>
  <c r="Q51" i="187" a="1"/>
  <c r="BX51" i="187" l="1"/>
  <c r="BK51" i="187"/>
  <c r="AO51" i="187"/>
  <c r="BR51" i="187"/>
  <c r="AG51" i="187"/>
  <c r="BU51" i="187"/>
  <c r="BY51" i="187"/>
  <c r="BW51" i="187"/>
  <c r="AX51" i="187"/>
  <c r="T51" i="187"/>
  <c r="AM51" i="187"/>
  <c r="BV51" i="187"/>
  <c r="BC51" i="187"/>
  <c r="CC51" i="187"/>
  <c r="AU51" i="187"/>
  <c r="U51" i="187"/>
  <c r="S51" i="187"/>
  <c r="BI51" i="187"/>
  <c r="BP51" i="187"/>
  <c r="BL51" i="187"/>
  <c r="Q51" i="187"/>
  <c r="AE51" i="187"/>
  <c r="BE51" i="187"/>
  <c r="AS51" i="187"/>
  <c r="BA51" i="187"/>
  <c r="BF51" i="187"/>
  <c r="BZ51" i="187"/>
  <c r="BS51" i="187"/>
  <c r="AI51" i="187"/>
  <c r="AW51" i="187"/>
  <c r="V51" i="187"/>
  <c r="BO51" i="187"/>
  <c r="BM51" i="187"/>
  <c r="Z51" i="187"/>
  <c r="AB51" i="187"/>
  <c r="CA51" i="187"/>
  <c r="BT51" i="187"/>
  <c r="AZ51" i="187"/>
  <c r="CB51" i="187"/>
  <c r="AK51" i="187"/>
  <c r="BH51" i="187"/>
  <c r="BB51" i="187"/>
  <c r="AP51" i="187"/>
  <c r="W51" i="187"/>
  <c r="AQ51" i="187"/>
  <c r="AN51" i="187"/>
  <c r="BD51" i="187"/>
  <c r="BJ51" i="187"/>
  <c r="AY51" i="187"/>
  <c r="BQ51" i="187"/>
  <c r="R51" i="187"/>
  <c r="AC51" i="187"/>
  <c r="BG51" i="187"/>
  <c r="X51" i="187"/>
  <c r="AD51" i="187"/>
  <c r="AF51" i="187"/>
  <c r="AH51" i="187"/>
  <c r="Y51" i="187"/>
  <c r="AJ51" i="187"/>
  <c r="AL51" i="187"/>
  <c r="BN51" i="187"/>
  <c r="AT51" i="187"/>
  <c r="AV51" i="187"/>
  <c r="AA51" i="187"/>
  <c r="AR51" i="187"/>
  <c r="G31" i="187"/>
  <c r="Q31" i="187" a="1"/>
  <c r="V31" i="187" l="1"/>
  <c r="BA31" i="187"/>
  <c r="BY31" i="187"/>
  <c r="AK31" i="187"/>
  <c r="BH31" i="187"/>
  <c r="BS31" i="187"/>
  <c r="BU31" i="187"/>
  <c r="BN31" i="187"/>
  <c r="AW31" i="187"/>
  <c r="BV31" i="187"/>
  <c r="AN31" i="187"/>
  <c r="BK31" i="187"/>
  <c r="X31" i="187"/>
  <c r="AU31" i="187"/>
  <c r="BR31" i="187"/>
  <c r="Q31" i="187"/>
  <c r="CC31" i="187"/>
  <c r="BJ31" i="187"/>
  <c r="T31" i="187"/>
  <c r="AZ31" i="187"/>
  <c r="BO31" i="187"/>
  <c r="AJ31" i="187"/>
  <c r="BP31" i="187"/>
  <c r="AG31" i="187"/>
  <c r="AO31" i="187"/>
  <c r="BF31" i="187"/>
  <c r="BQ31" i="187"/>
  <c r="BE31" i="187"/>
  <c r="BT31" i="187"/>
  <c r="CA31" i="187"/>
  <c r="BM31" i="187"/>
  <c r="U31" i="187"/>
  <c r="AV31" i="187"/>
  <c r="AC31" i="187"/>
  <c r="AS31" i="187"/>
  <c r="CB31" i="187"/>
  <c r="BC31" i="187"/>
  <c r="S31" i="187"/>
  <c r="AF31" i="187"/>
  <c r="AE31" i="187"/>
  <c r="BZ31" i="187"/>
  <c r="AI31" i="187"/>
  <c r="R31" i="187"/>
  <c r="AR31" i="187"/>
  <c r="W31" i="187"/>
  <c r="AA31" i="187"/>
  <c r="AM31" i="187"/>
  <c r="AP31" i="187"/>
  <c r="BB31" i="187"/>
  <c r="BI31" i="187"/>
  <c r="BG31" i="187"/>
  <c r="AY31" i="187"/>
  <c r="AX31" i="187"/>
  <c r="BL31" i="187"/>
  <c r="AQ31" i="187"/>
  <c r="AT31" i="187"/>
  <c r="AB31" i="187"/>
  <c r="AD31" i="187"/>
  <c r="Z31" i="187"/>
  <c r="BX31" i="187"/>
  <c r="BW31" i="187"/>
  <c r="BD31" i="187"/>
  <c r="AL31" i="187"/>
  <c r="Y31" i="187"/>
  <c r="AH31" i="187"/>
  <c r="G24" i="187"/>
  <c r="Q24" i="187" a="1"/>
  <c r="BH24" i="187" l="1"/>
  <c r="AM24" i="187"/>
  <c r="CB24" i="187"/>
  <c r="AF24" i="187"/>
  <c r="BT24" i="187"/>
  <c r="AW24" i="187"/>
  <c r="BI24" i="187"/>
  <c r="BJ24" i="187"/>
  <c r="AJ24" i="187"/>
  <c r="BP24" i="187"/>
  <c r="AX24" i="187"/>
  <c r="Q24" i="187"/>
  <c r="AQ24" i="187"/>
  <c r="W24" i="187"/>
  <c r="BK24" i="187"/>
  <c r="BQ24" i="187"/>
  <c r="BR24" i="187"/>
  <c r="AD24" i="187"/>
  <c r="AN24" i="187"/>
  <c r="AR24" i="187"/>
  <c r="Y24" i="187"/>
  <c r="AO24" i="187"/>
  <c r="AU24" i="187"/>
  <c r="BF24" i="187"/>
  <c r="AH24" i="187"/>
  <c r="AC24" i="187"/>
  <c r="BC24" i="187"/>
  <c r="AV24" i="187"/>
  <c r="AZ24" i="187"/>
  <c r="AP24" i="187"/>
  <c r="U24" i="187"/>
  <c r="BX24" i="187"/>
  <c r="BD24" i="187"/>
  <c r="CC24" i="187"/>
  <c r="CA24" i="187"/>
  <c r="BO24" i="187"/>
  <c r="AK24" i="187"/>
  <c r="Z24" i="187"/>
  <c r="AG24" i="187"/>
  <c r="V24" i="187"/>
  <c r="BL24" i="187"/>
  <c r="BE24" i="187"/>
  <c r="BG24" i="187"/>
  <c r="AL24" i="187"/>
  <c r="BW24" i="187"/>
  <c r="R24" i="187"/>
  <c r="AI24" i="187"/>
  <c r="AT24" i="187"/>
  <c r="AA24" i="187"/>
  <c r="BU24" i="187"/>
  <c r="BV24" i="187"/>
  <c r="BB24" i="187"/>
  <c r="AS24" i="187"/>
  <c r="BZ24" i="187"/>
  <c r="AY24" i="187"/>
  <c r="BN24" i="187"/>
  <c r="BS24" i="187"/>
  <c r="AB24" i="187"/>
  <c r="BA24" i="187"/>
  <c r="T24" i="187"/>
  <c r="BM24" i="187"/>
  <c r="AE24" i="187"/>
  <c r="S24" i="187"/>
  <c r="X24" i="187"/>
  <c r="BY24" i="187"/>
  <c r="G10" i="187"/>
  <c r="Q10" i="187" a="1"/>
  <c r="AM10" i="187" l="1"/>
  <c r="BI10" i="187"/>
  <c r="AG10" i="187"/>
  <c r="BV10" i="187"/>
  <c r="AY10" i="187"/>
  <c r="Q10" i="187"/>
  <c r="AQ10" i="187"/>
  <c r="BJ10" i="187"/>
  <c r="BH10" i="187"/>
  <c r="BN10" i="187"/>
  <c r="AX10" i="187"/>
  <c r="BL10" i="187"/>
  <c r="AD10" i="187"/>
  <c r="BZ10" i="187"/>
  <c r="T10" i="187"/>
  <c r="BC10" i="187"/>
  <c r="AB10" i="187"/>
  <c r="X10" i="187"/>
  <c r="AJ10" i="187"/>
  <c r="BG10" i="187"/>
  <c r="AE10" i="187"/>
  <c r="AS10" i="187"/>
  <c r="BT10" i="187"/>
  <c r="AP10" i="187"/>
  <c r="BQ10" i="187"/>
  <c r="Z10" i="187"/>
  <c r="R10" i="187"/>
  <c r="BY10" i="187"/>
  <c r="AV10" i="187"/>
  <c r="BW10" i="187"/>
  <c r="BE10" i="187"/>
  <c r="AR10" i="187"/>
  <c r="AU10" i="187"/>
  <c r="AI10" i="187"/>
  <c r="BS10" i="187"/>
  <c r="AC10" i="187"/>
  <c r="BF10" i="187"/>
  <c r="AO10" i="187"/>
  <c r="V10" i="187"/>
  <c r="AK10" i="187"/>
  <c r="BU10" i="187"/>
  <c r="BO10" i="187"/>
  <c r="BM10" i="187"/>
  <c r="BD10" i="187"/>
  <c r="AL10" i="187"/>
  <c r="BP10" i="187"/>
  <c r="W10" i="187"/>
  <c r="AW10" i="187"/>
  <c r="CA10" i="187"/>
  <c r="U10" i="187"/>
  <c r="AT10" i="187"/>
  <c r="BX10" i="187"/>
  <c r="AH10" i="187"/>
  <c r="Y10" i="187"/>
  <c r="AA10" i="187"/>
  <c r="CC10" i="187"/>
  <c r="BR10" i="187"/>
  <c r="BA10" i="187"/>
  <c r="S10" i="187"/>
  <c r="BK10" i="187"/>
  <c r="AN10" i="187"/>
  <c r="CB10" i="187"/>
  <c r="AF10" i="187"/>
  <c r="BB10" i="187"/>
  <c r="AZ10" i="187"/>
  <c r="G66" i="187"/>
  <c r="Q66" i="187" a="1"/>
  <c r="AT66" i="187" l="1"/>
  <c r="BC66" i="187"/>
  <c r="BD66" i="187"/>
  <c r="AW66" i="187"/>
  <c r="AP66" i="187"/>
  <c r="AQ66" i="187"/>
  <c r="AR66" i="187"/>
  <c r="AS66" i="187"/>
  <c r="BS66" i="187"/>
  <c r="BB66" i="187"/>
  <c r="BK66" i="187"/>
  <c r="BL66" i="187"/>
  <c r="BE66" i="187"/>
  <c r="AX66" i="187"/>
  <c r="AY66" i="187"/>
  <c r="AZ66" i="187"/>
  <c r="BA66" i="187"/>
  <c r="Q66" i="187"/>
  <c r="AU66" i="187"/>
  <c r="CB66" i="187"/>
  <c r="BN66" i="187"/>
  <c r="AI66" i="187"/>
  <c r="BG66" i="187"/>
  <c r="V66" i="187"/>
  <c r="BR66" i="187"/>
  <c r="BF66" i="187"/>
  <c r="BO66" i="187"/>
  <c r="Y66" i="187"/>
  <c r="BX66" i="187"/>
  <c r="AG66" i="187"/>
  <c r="U66" i="187"/>
  <c r="AO66" i="187"/>
  <c r="AC66" i="187"/>
  <c r="T66" i="187"/>
  <c r="AK66" i="187"/>
  <c r="CA66" i="187"/>
  <c r="R66" i="187"/>
  <c r="BW66" i="187"/>
  <c r="AD66" i="187"/>
  <c r="X66" i="187"/>
  <c r="Z66" i="187"/>
  <c r="BM66" i="187"/>
  <c r="AL66" i="187"/>
  <c r="AF66" i="187"/>
  <c r="AH66" i="187"/>
  <c r="BP66" i="187"/>
  <c r="BJ66" i="187"/>
  <c r="W66" i="187"/>
  <c r="AN66" i="187"/>
  <c r="S66" i="187"/>
  <c r="BV66" i="187"/>
  <c r="AB66" i="187"/>
  <c r="BI66" i="187"/>
  <c r="BZ66" i="187"/>
  <c r="AE66" i="187"/>
  <c r="AV66" i="187"/>
  <c r="BU66" i="187"/>
  <c r="BY66" i="187"/>
  <c r="AJ66" i="187"/>
  <c r="BQ66" i="187"/>
  <c r="AM66" i="187"/>
  <c r="BT66" i="187"/>
  <c r="CC66" i="187"/>
  <c r="AA66" i="187"/>
  <c r="BH66" i="187"/>
  <c r="G55" i="187"/>
  <c r="Q55" i="187" a="1"/>
  <c r="AN55" i="187" l="1"/>
  <c r="BA55" i="187"/>
  <c r="BV55" i="187"/>
  <c r="AI55" i="187"/>
  <c r="BF55" i="187"/>
  <c r="BQ55" i="187"/>
  <c r="S55" i="187"/>
  <c r="AM55" i="187"/>
  <c r="BS55" i="187"/>
  <c r="CB55" i="187"/>
  <c r="AH55" i="187"/>
  <c r="BY55" i="187"/>
  <c r="AW55" i="187"/>
  <c r="AQ55" i="187"/>
  <c r="AV55" i="187"/>
  <c r="BM55" i="187"/>
  <c r="V55" i="187"/>
  <c r="AS55" i="187"/>
  <c r="BP55" i="187"/>
  <c r="CC55" i="187"/>
  <c r="AC55" i="187"/>
  <c r="AU55" i="187"/>
  <c r="BG55" i="187"/>
  <c r="Z55" i="187"/>
  <c r="AJ55" i="187"/>
  <c r="W55" i="187"/>
  <c r="AE55" i="187"/>
  <c r="Y55" i="187"/>
  <c r="CA55" i="187"/>
  <c r="BW55" i="187"/>
  <c r="AL55" i="187"/>
  <c r="X55" i="187"/>
  <c r="T55" i="187"/>
  <c r="R55" i="187"/>
  <c r="AF55" i="187"/>
  <c r="AD55" i="187"/>
  <c r="AB55" i="187"/>
  <c r="BN55" i="187"/>
  <c r="BZ55" i="187"/>
  <c r="BX55" i="187"/>
  <c r="AX55" i="187"/>
  <c r="AP55" i="187"/>
  <c r="AT55" i="187"/>
  <c r="AY55" i="187"/>
  <c r="BD55" i="187"/>
  <c r="AR55" i="187"/>
  <c r="AA55" i="187"/>
  <c r="BI55" i="187"/>
  <c r="BL55" i="187"/>
  <c r="BB55" i="187"/>
  <c r="Q55" i="187"/>
  <c r="BU55" i="187"/>
  <c r="AZ55" i="187"/>
  <c r="BE55" i="187"/>
  <c r="BR55" i="187"/>
  <c r="BH55" i="187"/>
  <c r="BC55" i="187"/>
  <c r="BT55" i="187"/>
  <c r="U55" i="187"/>
  <c r="BJ55" i="187"/>
  <c r="BO55" i="187"/>
  <c r="AK55" i="187"/>
  <c r="AG55" i="187"/>
  <c r="AO55" i="187"/>
  <c r="BK55" i="187"/>
  <c r="G61" i="187"/>
  <c r="Q61" i="187" a="1"/>
  <c r="BV61" i="187" l="1"/>
  <c r="BJ61" i="187"/>
  <c r="AU61" i="187"/>
  <c r="BD61" i="187"/>
  <c r="BE61" i="187"/>
  <c r="BF61" i="187"/>
  <c r="BG61" i="187"/>
  <c r="BH61" i="187"/>
  <c r="BI61" i="187"/>
  <c r="U61" i="187"/>
  <c r="T61" i="187"/>
  <c r="AB61" i="187"/>
  <c r="CB61" i="187"/>
  <c r="AO61" i="187"/>
  <c r="BK61" i="187"/>
  <c r="X61" i="187"/>
  <c r="Z61" i="187"/>
  <c r="AT61" i="187"/>
  <c r="AH61" i="187"/>
  <c r="AD61" i="187"/>
  <c r="BC61" i="187"/>
  <c r="AP61" i="187"/>
  <c r="AL61" i="187"/>
  <c r="BL61" i="187"/>
  <c r="BO61" i="187"/>
  <c r="AQ61" i="187"/>
  <c r="BU61" i="187"/>
  <c r="BZ61" i="187"/>
  <c r="BT61" i="187"/>
  <c r="Q61" i="187"/>
  <c r="BX61" i="187"/>
  <c r="AC61" i="187"/>
  <c r="Y61" i="187"/>
  <c r="CA61" i="187"/>
  <c r="W61" i="187"/>
  <c r="R61" i="187"/>
  <c r="BQ61" i="187"/>
  <c r="BB61" i="187"/>
  <c r="AM61" i="187"/>
  <c r="AV61" i="187"/>
  <c r="AW61" i="187"/>
  <c r="AY61" i="187"/>
  <c r="AZ61" i="187"/>
  <c r="S61" i="187"/>
  <c r="AK61" i="187"/>
  <c r="AE61" i="187"/>
  <c r="AG61" i="187"/>
  <c r="BP61" i="187"/>
  <c r="AS61" i="187"/>
  <c r="AF61" i="187"/>
  <c r="BN61" i="187"/>
  <c r="CC61" i="187"/>
  <c r="AJ61" i="187"/>
  <c r="BR61" i="187"/>
  <c r="BS61" i="187"/>
  <c r="AN61" i="187"/>
  <c r="BW61" i="187"/>
  <c r="AA61" i="187"/>
  <c r="AR61" i="187"/>
  <c r="BY61" i="187"/>
  <c r="BM61" i="187"/>
  <c r="AI61" i="187"/>
  <c r="V61" i="187"/>
  <c r="AX61" i="187"/>
  <c r="BA61" i="187"/>
  <c r="G13" i="187"/>
  <c r="Q13" i="187" a="1"/>
  <c r="BI13" i="187" l="1"/>
  <c r="BG13" i="187"/>
  <c r="BP13" i="187"/>
  <c r="BV13" i="187"/>
  <c r="Y13" i="187"/>
  <c r="BM13" i="187"/>
  <c r="BD13" i="187"/>
  <c r="AG13" i="187"/>
  <c r="AI13" i="187"/>
  <c r="BY13" i="187"/>
  <c r="AQ13" i="187"/>
  <c r="Z13" i="187"/>
  <c r="AU13" i="187"/>
  <c r="AY13" i="187"/>
  <c r="AW13" i="187"/>
  <c r="BF13" i="187"/>
  <c r="AR13" i="187"/>
  <c r="BN13" i="187"/>
  <c r="R13" i="187"/>
  <c r="BJ13" i="187"/>
  <c r="AS13" i="187"/>
  <c r="BC13" i="187"/>
  <c r="AB13" i="187"/>
  <c r="BU13" i="187"/>
  <c r="AE13" i="187"/>
  <c r="BR13" i="187"/>
  <c r="AJ13" i="187"/>
  <c r="BO13" i="187"/>
  <c r="BX13" i="187"/>
  <c r="CA13" i="187"/>
  <c r="AP13" i="187"/>
  <c r="BS13" i="187"/>
  <c r="AK13" i="187"/>
  <c r="AL13" i="187"/>
  <c r="BZ13" i="187"/>
  <c r="S13" i="187"/>
  <c r="CB13" i="187"/>
  <c r="AA13" i="187"/>
  <c r="Q13" i="187"/>
  <c r="X13" i="187"/>
  <c r="AN13" i="187"/>
  <c r="BW13" i="187"/>
  <c r="BT13" i="187"/>
  <c r="AZ13" i="187"/>
  <c r="AV13" i="187"/>
  <c r="AD13" i="187"/>
  <c r="AC13" i="187"/>
  <c r="AO13" i="187"/>
  <c r="AM13" i="187"/>
  <c r="BA13" i="187"/>
  <c r="BK13" i="187"/>
  <c r="BB13" i="187"/>
  <c r="V13" i="187"/>
  <c r="BL13" i="187"/>
  <c r="CC13" i="187"/>
  <c r="BE13" i="187"/>
  <c r="BH13" i="187"/>
  <c r="W13" i="187"/>
  <c r="AH13" i="187"/>
  <c r="AX13" i="187"/>
  <c r="U13" i="187"/>
  <c r="AT13" i="187"/>
  <c r="AF13" i="187"/>
  <c r="T13" i="187"/>
  <c r="BQ13" i="187"/>
  <c r="G45" i="187"/>
  <c r="Q45" i="187" a="1"/>
  <c r="BO45" i="187" l="1"/>
  <c r="BG45" i="187"/>
  <c r="BA45" i="187"/>
  <c r="T45" i="187"/>
  <c r="AL45" i="187"/>
  <c r="AU45" i="187"/>
  <c r="BD45" i="187"/>
  <c r="BF45" i="187"/>
  <c r="BK45" i="187"/>
  <c r="AA45" i="187"/>
  <c r="AO45" i="187"/>
  <c r="BE45" i="187"/>
  <c r="AB45" i="187"/>
  <c r="AD45" i="187"/>
  <c r="AE45" i="187"/>
  <c r="AF45" i="187"/>
  <c r="Z45" i="187"/>
  <c r="BL45" i="187"/>
  <c r="AY45" i="187"/>
  <c r="AS45" i="187"/>
  <c r="BY45" i="187"/>
  <c r="BP45" i="187"/>
  <c r="BX45" i="187"/>
  <c r="CC45" i="187"/>
  <c r="AN45" i="187"/>
  <c r="BV45" i="187"/>
  <c r="BM45" i="187"/>
  <c r="BS45" i="187"/>
  <c r="AJ45" i="187"/>
  <c r="X45" i="187"/>
  <c r="BN45" i="187"/>
  <c r="U45" i="187"/>
  <c r="V45" i="187"/>
  <c r="BC45" i="187"/>
  <c r="AR45" i="187"/>
  <c r="BT45" i="187"/>
  <c r="Y45" i="187"/>
  <c r="AZ45" i="187"/>
  <c r="AI45" i="187"/>
  <c r="BH45" i="187"/>
  <c r="AQ45" i="187"/>
  <c r="AG45" i="187"/>
  <c r="S45" i="187"/>
  <c r="AC45" i="187"/>
  <c r="BR45" i="187"/>
  <c r="CB45" i="187"/>
  <c r="BI45" i="187"/>
  <c r="BZ45" i="187"/>
  <c r="R45" i="187"/>
  <c r="BW45" i="187"/>
  <c r="W45" i="187"/>
  <c r="BU45" i="187"/>
  <c r="AT45" i="187"/>
  <c r="AH45" i="187"/>
  <c r="BJ45" i="187"/>
  <c r="Q45" i="187"/>
  <c r="AK45" i="187"/>
  <c r="BB45" i="187"/>
  <c r="CA45" i="187"/>
  <c r="AP45" i="187"/>
  <c r="AW45" i="187"/>
  <c r="AX45" i="187"/>
  <c r="BQ45" i="187"/>
  <c r="AM45" i="187"/>
  <c r="AV45" i="187"/>
  <c r="G44" i="187"/>
  <c r="Q44" i="187" a="1"/>
  <c r="Z44" i="187" l="1"/>
  <c r="Q44" i="187"/>
  <c r="S44" i="187"/>
  <c r="X44" i="187"/>
  <c r="BK44" i="187"/>
  <c r="CC44" i="187"/>
  <c r="U44" i="187"/>
  <c r="BJ44" i="187"/>
  <c r="AF44" i="187"/>
  <c r="BM44" i="187"/>
  <c r="BU44" i="187"/>
  <c r="BI44" i="187"/>
  <c r="AG44" i="187"/>
  <c r="BQ44" i="187"/>
  <c r="AX44" i="187"/>
  <c r="Y44" i="187"/>
  <c r="V44" i="187"/>
  <c r="BX44" i="187"/>
  <c r="AD44" i="187"/>
  <c r="AU44" i="187"/>
  <c r="BC44" i="187"/>
  <c r="AB44" i="187"/>
  <c r="AM44" i="187"/>
  <c r="AK44" i="187"/>
  <c r="BY44" i="187"/>
  <c r="T44" i="187"/>
  <c r="BN44" i="187"/>
  <c r="BZ44" i="187"/>
  <c r="BF44" i="187"/>
  <c r="W44" i="187"/>
  <c r="AY44" i="187"/>
  <c r="BL44" i="187"/>
  <c r="AJ44" i="187"/>
  <c r="BG44" i="187"/>
  <c r="AR44" i="187"/>
  <c r="AH44" i="187"/>
  <c r="AO44" i="187"/>
  <c r="BO44" i="187"/>
  <c r="AL44" i="187"/>
  <c r="AN44" i="187"/>
  <c r="AE44" i="187"/>
  <c r="AZ44" i="187"/>
  <c r="AW44" i="187"/>
  <c r="BW44" i="187"/>
  <c r="AT44" i="187"/>
  <c r="BH44" i="187"/>
  <c r="R44" i="187"/>
  <c r="BD44" i="187"/>
  <c r="BP44" i="187"/>
  <c r="AC44" i="187"/>
  <c r="BR44" i="187"/>
  <c r="AA44" i="187"/>
  <c r="AV44" i="187"/>
  <c r="CB44" i="187"/>
  <c r="BS44" i="187"/>
  <c r="BV44" i="187"/>
  <c r="BE44" i="187"/>
  <c r="BB44" i="187"/>
  <c r="AP44" i="187"/>
  <c r="BT44" i="187"/>
  <c r="AI44" i="187"/>
  <c r="CA44" i="187"/>
  <c r="AQ44" i="187"/>
  <c r="BA44" i="187"/>
  <c r="AS44" i="187"/>
  <c r="G36" i="187"/>
  <c r="Q36" i="187" a="1"/>
  <c r="AK36" i="187" l="1"/>
  <c r="Q36" i="187"/>
  <c r="AR36" i="187"/>
  <c r="BJ36" i="187"/>
  <c r="BS36" i="187"/>
  <c r="CB36" i="187"/>
  <c r="AP36" i="187"/>
  <c r="AY36" i="187"/>
  <c r="BP36" i="187"/>
  <c r="BW36" i="187"/>
  <c r="U36" i="187"/>
  <c r="AZ36" i="187"/>
  <c r="BB36" i="187"/>
  <c r="BC36" i="187"/>
  <c r="BD36" i="187"/>
  <c r="CC36" i="187"/>
  <c r="BV36" i="187"/>
  <c r="BA36" i="187"/>
  <c r="AM36" i="187"/>
  <c r="AA36" i="187"/>
  <c r="AI36" i="187"/>
  <c r="BH36" i="187"/>
  <c r="AU36" i="187"/>
  <c r="CA36" i="187"/>
  <c r="BL36" i="187"/>
  <c r="AW36" i="187"/>
  <c r="BN36" i="187"/>
  <c r="T36" i="187"/>
  <c r="S36" i="187"/>
  <c r="AO36" i="187"/>
  <c r="AE36" i="187"/>
  <c r="BU36" i="187"/>
  <c r="BX36" i="187"/>
  <c r="BI36" i="187"/>
  <c r="BG36" i="187"/>
  <c r="AC36" i="187"/>
  <c r="V36" i="187"/>
  <c r="BE36" i="187"/>
  <c r="AG36" i="187"/>
  <c r="W36" i="187"/>
  <c r="BM36" i="187"/>
  <c r="BQ36" i="187"/>
  <c r="AD36" i="187"/>
  <c r="X36" i="187"/>
  <c r="R36" i="187"/>
  <c r="Y36" i="187"/>
  <c r="AL36" i="187"/>
  <c r="AF36" i="187"/>
  <c r="AX36" i="187"/>
  <c r="Z36" i="187"/>
  <c r="BR36" i="187"/>
  <c r="AV36" i="187"/>
  <c r="BF36" i="187"/>
  <c r="BY36" i="187"/>
  <c r="AB36" i="187"/>
  <c r="BZ36" i="187"/>
  <c r="AN36" i="187"/>
  <c r="AQ36" i="187"/>
  <c r="BO36" i="187"/>
  <c r="AS36" i="187"/>
  <c r="AJ36" i="187"/>
  <c r="AT36" i="187"/>
  <c r="BK36" i="187"/>
  <c r="BT36" i="187"/>
  <c r="AH36" i="187"/>
  <c r="G17" i="187"/>
  <c r="Q17" i="187" a="1"/>
  <c r="AW17" i="187" l="1"/>
  <c r="X17" i="187"/>
  <c r="BE17" i="187"/>
  <c r="BM17" i="187"/>
  <c r="AT17" i="187"/>
  <c r="BX17" i="187"/>
  <c r="BK17" i="187"/>
  <c r="BA17" i="187"/>
  <c r="BH17" i="187"/>
  <c r="BU17" i="187"/>
  <c r="BN17" i="187"/>
  <c r="AR17" i="187"/>
  <c r="AK17" i="187"/>
  <c r="BO17" i="187"/>
  <c r="AN17" i="187"/>
  <c r="BC17" i="187"/>
  <c r="AP17" i="187"/>
  <c r="AE17" i="187"/>
  <c r="BB17" i="187"/>
  <c r="BS17" i="187"/>
  <c r="Y17" i="187"/>
  <c r="BZ17" i="187"/>
  <c r="AF17" i="187"/>
  <c r="CB17" i="187"/>
  <c r="AX17" i="187"/>
  <c r="BG17" i="187"/>
  <c r="AY17" i="187"/>
  <c r="BW17" i="187"/>
  <c r="BD17" i="187"/>
  <c r="BV17" i="187"/>
  <c r="BP17" i="187"/>
  <c r="AB17" i="187"/>
  <c r="BL17" i="187"/>
  <c r="T17" i="187"/>
  <c r="BQ17" i="187"/>
  <c r="AV17" i="187"/>
  <c r="U17" i="187"/>
  <c r="AJ17" i="187"/>
  <c r="BT17" i="187"/>
  <c r="AU17" i="187"/>
  <c r="AS17" i="187"/>
  <c r="Q17" i="187"/>
  <c r="AO17" i="187"/>
  <c r="AC17" i="187"/>
  <c r="Z17" i="187"/>
  <c r="CC17" i="187"/>
  <c r="S17" i="187"/>
  <c r="AI17" i="187"/>
  <c r="CA17" i="187"/>
  <c r="BY17" i="187"/>
  <c r="AG17" i="187"/>
  <c r="AD17" i="187"/>
  <c r="BR17" i="187"/>
  <c r="BI17" i="187"/>
  <c r="BF17" i="187"/>
  <c r="W17" i="187"/>
  <c r="AQ17" i="187"/>
  <c r="AH17" i="187"/>
  <c r="AZ17" i="187"/>
  <c r="V17" i="187"/>
  <c r="AA17" i="187"/>
  <c r="AL17" i="187"/>
  <c r="R17" i="187"/>
  <c r="BJ17" i="187"/>
  <c r="AM17" i="187"/>
  <c r="G62" i="187"/>
  <c r="Q62" i="187" a="1"/>
  <c r="AH62" i="187" l="1"/>
  <c r="Z62" i="187"/>
  <c r="X62" i="187"/>
  <c r="AT62" i="187"/>
  <c r="CB62" i="187"/>
  <c r="S62" i="187"/>
  <c r="AB62" i="187"/>
  <c r="AG62" i="187"/>
  <c r="AE62" i="187"/>
  <c r="BF62" i="187"/>
  <c r="BD62" i="187"/>
  <c r="BJ62" i="187"/>
  <c r="BL62" i="187"/>
  <c r="BB62" i="187"/>
  <c r="BO62" i="187"/>
  <c r="BP62" i="187"/>
  <c r="BM62" i="187"/>
  <c r="CC62" i="187"/>
  <c r="U62" i="187"/>
  <c r="AY62" i="187"/>
  <c r="BV62" i="187"/>
  <c r="BG62" i="187"/>
  <c r="BW62" i="187"/>
  <c r="AJ62" i="187"/>
  <c r="BY62" i="187"/>
  <c r="AZ62" i="187"/>
  <c r="BZ62" i="187"/>
  <c r="R62" i="187"/>
  <c r="BI62" i="187"/>
  <c r="V62" i="187"/>
  <c r="BE62" i="187"/>
  <c r="W62" i="187"/>
  <c r="AK62" i="187"/>
  <c r="AU62" i="187"/>
  <c r="AM62" i="187"/>
  <c r="BA62" i="187"/>
  <c r="AO62" i="187"/>
  <c r="AS62" i="187"/>
  <c r="BQ62" i="187"/>
  <c r="AW62" i="187"/>
  <c r="BC62" i="187"/>
  <c r="AX62" i="187"/>
  <c r="AA62" i="187"/>
  <c r="BH62" i="187"/>
  <c r="AP62" i="187"/>
  <c r="AN62" i="187"/>
  <c r="CA62" i="187"/>
  <c r="AI62" i="187"/>
  <c r="BX62" i="187"/>
  <c r="AL62" i="187"/>
  <c r="AC62" i="187"/>
  <c r="AF62" i="187"/>
  <c r="AQ62" i="187"/>
  <c r="Q62" i="187"/>
  <c r="BN62" i="187"/>
  <c r="BT62" i="187"/>
  <c r="BK62" i="187"/>
  <c r="Y62" i="187"/>
  <c r="AR62" i="187"/>
  <c r="BU62" i="187"/>
  <c r="BS62" i="187"/>
  <c r="AD62" i="187"/>
  <c r="AV62" i="187"/>
  <c r="BR62" i="187"/>
  <c r="T62" i="187"/>
  <c r="G35" i="187"/>
  <c r="Q35" i="187" a="1"/>
  <c r="AL35" i="187" l="1"/>
  <c r="BB35" i="187"/>
  <c r="AZ35" i="187"/>
  <c r="BH35" i="187"/>
  <c r="R35" i="187"/>
  <c r="W35" i="187"/>
  <c r="AO35" i="187"/>
  <c r="BF35" i="187"/>
  <c r="BA35" i="187"/>
  <c r="BJ35" i="187"/>
  <c r="BG35" i="187"/>
  <c r="BL35" i="187"/>
  <c r="AP35" i="187"/>
  <c r="AX35" i="187"/>
  <c r="Q35" i="187"/>
  <c r="AT35" i="187"/>
  <c r="AB35" i="187"/>
  <c r="AY35" i="187"/>
  <c r="AR35" i="187"/>
  <c r="BK35" i="187"/>
  <c r="CC35" i="187"/>
  <c r="AA35" i="187"/>
  <c r="BC35" i="187"/>
  <c r="BY35" i="187"/>
  <c r="AH35" i="187"/>
  <c r="AI35" i="187"/>
  <c r="BN35" i="187"/>
  <c r="BX35" i="187"/>
  <c r="BT35" i="187"/>
  <c r="BV35" i="187"/>
  <c r="X35" i="187"/>
  <c r="AU35" i="187"/>
  <c r="BQ35" i="187"/>
  <c r="AS35" i="187"/>
  <c r="AV35" i="187"/>
  <c r="BS35" i="187"/>
  <c r="AC35" i="187"/>
  <c r="BZ35" i="187"/>
  <c r="BD35" i="187"/>
  <c r="BP35" i="187"/>
  <c r="CA35" i="187"/>
  <c r="AW35" i="187"/>
  <c r="CB35" i="187"/>
  <c r="S35" i="187"/>
  <c r="BU35" i="187"/>
  <c r="BI35" i="187"/>
  <c r="Y35" i="187"/>
  <c r="AQ35" i="187"/>
  <c r="AG35" i="187"/>
  <c r="BW35" i="187"/>
  <c r="AK35" i="187"/>
  <c r="BR35" i="187"/>
  <c r="AJ35" i="187"/>
  <c r="Z35" i="187"/>
  <c r="BO35" i="187"/>
  <c r="AE35" i="187"/>
  <c r="BE35" i="187"/>
  <c r="AD35" i="187"/>
  <c r="V35" i="187"/>
  <c r="T35" i="187"/>
  <c r="AN35" i="187"/>
  <c r="AF35" i="187"/>
  <c r="AM35" i="187"/>
  <c r="BM35" i="187"/>
  <c r="U35" i="187"/>
  <c r="G65" i="187"/>
  <c r="Q65" i="187" a="1"/>
  <c r="Y65" i="187" l="1"/>
  <c r="Q65" i="187"/>
  <c r="AZ65" i="187"/>
  <c r="Z65" i="187"/>
  <c r="AQ65" i="187"/>
  <c r="AC65" i="187"/>
  <c r="BZ65" i="187"/>
  <c r="X65" i="187"/>
  <c r="AY65" i="187"/>
  <c r="AW65" i="187"/>
  <c r="BB65" i="187"/>
  <c r="AH65" i="187"/>
  <c r="AI65" i="187"/>
  <c r="BX65" i="187"/>
  <c r="BY65" i="187"/>
  <c r="BC65" i="187"/>
  <c r="BD65" i="187"/>
  <c r="BV65" i="187"/>
  <c r="BO65" i="187"/>
  <c r="BJ65" i="187"/>
  <c r="CC65" i="187"/>
  <c r="W65" i="187"/>
  <c r="BK65" i="187"/>
  <c r="AB65" i="187"/>
  <c r="AF65" i="187"/>
  <c r="BW65" i="187"/>
  <c r="BM65" i="187"/>
  <c r="S65" i="187"/>
  <c r="BU65" i="187"/>
  <c r="AP65" i="187"/>
  <c r="BQ65" i="187"/>
  <c r="BE65" i="187"/>
  <c r="AD65" i="187"/>
  <c r="AX65" i="187"/>
  <c r="AN65" i="187"/>
  <c r="AJ65" i="187"/>
  <c r="AS65" i="187"/>
  <c r="AV65" i="187"/>
  <c r="AL65" i="187"/>
  <c r="BA65" i="187"/>
  <c r="BL65" i="187"/>
  <c r="CB65" i="187"/>
  <c r="BH65" i="187"/>
  <c r="AE65" i="187"/>
  <c r="BT65" i="187"/>
  <c r="AT65" i="187"/>
  <c r="BF65" i="187"/>
  <c r="BP65" i="187"/>
  <c r="AM65" i="187"/>
  <c r="BI65" i="187"/>
  <c r="V65" i="187"/>
  <c r="BN65" i="187"/>
  <c r="AK65" i="187"/>
  <c r="AU65" i="187"/>
  <c r="AG65" i="187"/>
  <c r="AR65" i="187"/>
  <c r="BG65" i="187"/>
  <c r="CA65" i="187"/>
  <c r="BS65" i="187"/>
  <c r="AO65" i="187"/>
  <c r="T65" i="187"/>
  <c r="R65" i="187"/>
  <c r="AA65" i="187"/>
  <c r="U65" i="187"/>
  <c r="BR65" i="187"/>
  <c r="G53" i="187"/>
  <c r="Q53" i="187" a="1"/>
  <c r="AC53" i="187" l="1"/>
  <c r="AL53" i="187"/>
  <c r="BD53" i="187"/>
  <c r="AU53" i="187"/>
  <c r="AO53" i="187"/>
  <c r="AH53" i="187"/>
  <c r="AI53" i="187"/>
  <c r="AJ53" i="187"/>
  <c r="AK53" i="187"/>
  <c r="BW53" i="187"/>
  <c r="BR53" i="187"/>
  <c r="AV53" i="187"/>
  <c r="CA53" i="187"/>
  <c r="AR53" i="187"/>
  <c r="BU53" i="187"/>
  <c r="CC53" i="187"/>
  <c r="R53" i="187"/>
  <c r="BC53" i="187"/>
  <c r="T53" i="187"/>
  <c r="BS53" i="187"/>
  <c r="BO53" i="187"/>
  <c r="AD53" i="187"/>
  <c r="W53" i="187"/>
  <c r="Z53" i="187"/>
  <c r="AS53" i="187"/>
  <c r="BV53" i="187"/>
  <c r="BF53" i="187"/>
  <c r="BA53" i="187"/>
  <c r="BK53" i="187"/>
  <c r="AQ53" i="187"/>
  <c r="V53" i="187"/>
  <c r="BL53" i="187"/>
  <c r="Q53" i="187"/>
  <c r="X53" i="187"/>
  <c r="AZ53" i="187"/>
  <c r="AT53" i="187"/>
  <c r="BT53" i="187"/>
  <c r="BE53" i="187"/>
  <c r="S53" i="187"/>
  <c r="BX53" i="187"/>
  <c r="BB53" i="187"/>
  <c r="AB53" i="187"/>
  <c r="BM53" i="187"/>
  <c r="AA53" i="187"/>
  <c r="U53" i="187"/>
  <c r="BJ53" i="187"/>
  <c r="CB53" i="187"/>
  <c r="Y53" i="187"/>
  <c r="BN53" i="187"/>
  <c r="BQ53" i="187"/>
  <c r="BI53" i="187"/>
  <c r="AN53" i="187"/>
  <c r="AE53" i="187"/>
  <c r="AG53" i="187"/>
  <c r="AP53" i="187"/>
  <c r="AY53" i="187"/>
  <c r="BH53" i="187"/>
  <c r="BY53" i="187"/>
  <c r="BZ53" i="187"/>
  <c r="AF53" i="187"/>
  <c r="AM53" i="187"/>
  <c r="AW53" i="187"/>
  <c r="AX53" i="187"/>
  <c r="BG53" i="187"/>
  <c r="BP53" i="187"/>
  <c r="G19" i="187"/>
  <c r="Q19" i="187" a="1"/>
  <c r="BW19" i="187" l="1"/>
  <c r="AL19" i="187"/>
  <c r="BE19" i="187"/>
  <c r="R19" i="187"/>
  <c r="BA19" i="187"/>
  <c r="W19" i="187"/>
  <c r="BD19" i="187"/>
  <c r="BP19" i="187"/>
  <c r="BK19" i="187"/>
  <c r="AA19" i="187"/>
  <c r="AV19" i="187"/>
  <c r="BQ19" i="187"/>
  <c r="CC19" i="187"/>
  <c r="AE19" i="187"/>
  <c r="BB19" i="187"/>
  <c r="BY19" i="187"/>
  <c r="AB19" i="187"/>
  <c r="BZ19" i="187"/>
  <c r="BU19" i="187"/>
  <c r="X19" i="187"/>
  <c r="Z19" i="187"/>
  <c r="AH19" i="187"/>
  <c r="BR19" i="187"/>
  <c r="BN19" i="187"/>
  <c r="CB19" i="187"/>
  <c r="V19" i="187"/>
  <c r="AD19" i="187"/>
  <c r="AY19" i="187"/>
  <c r="AN19" i="187"/>
  <c r="BI19" i="187"/>
  <c r="BM19" i="187"/>
  <c r="AQ19" i="187"/>
  <c r="Y19" i="187"/>
  <c r="AK19" i="187"/>
  <c r="BX19" i="187"/>
  <c r="AC19" i="187"/>
  <c r="AF19" i="187"/>
  <c r="S19" i="187"/>
  <c r="AW19" i="187"/>
  <c r="AP19" i="187"/>
  <c r="AI19" i="187"/>
  <c r="Q19" i="187"/>
  <c r="AX19" i="187"/>
  <c r="BL19" i="187"/>
  <c r="T19" i="187"/>
  <c r="CA19" i="187"/>
  <c r="BJ19" i="187"/>
  <c r="AG19" i="187"/>
  <c r="AR19" i="187"/>
  <c r="AJ19" i="187"/>
  <c r="BT19" i="187"/>
  <c r="BC19" i="187"/>
  <c r="AZ19" i="187"/>
  <c r="BF19" i="187"/>
  <c r="AM19" i="187"/>
  <c r="U19" i="187"/>
  <c r="AS19" i="187"/>
  <c r="BO19" i="187"/>
  <c r="BG19" i="187"/>
  <c r="AU19" i="187"/>
  <c r="BS19" i="187"/>
  <c r="AO19" i="187"/>
  <c r="BV19" i="187"/>
  <c r="AT19" i="187"/>
  <c r="BH19" i="187"/>
  <c r="G67" i="187"/>
  <c r="Q67" i="187" a="1"/>
  <c r="BO67" i="187" l="1"/>
  <c r="BG67" i="187"/>
  <c r="U67" i="187"/>
  <c r="AL67" i="187"/>
  <c r="AU67" i="187"/>
  <c r="BD67" i="187"/>
  <c r="BE67" i="187"/>
  <c r="BF67" i="187"/>
  <c r="Z67" i="187"/>
  <c r="S67" i="187"/>
  <c r="AB67" i="187"/>
  <c r="AC67" i="187"/>
  <c r="AD67" i="187"/>
  <c r="AE67" i="187"/>
  <c r="AF67" i="187"/>
  <c r="Y67" i="187"/>
  <c r="R67" i="187"/>
  <c r="BM67" i="187"/>
  <c r="AH67" i="187"/>
  <c r="BH67" i="187"/>
  <c r="BP67" i="187"/>
  <c r="BJ67" i="187"/>
  <c r="BZ67" i="187"/>
  <c r="W67" i="187"/>
  <c r="CA67" i="187"/>
  <c r="AP67" i="187"/>
  <c r="AZ67" i="187"/>
  <c r="CC67" i="187"/>
  <c r="BB67" i="187"/>
  <c r="CB67" i="187"/>
  <c r="BW67" i="187"/>
  <c r="AK67" i="187"/>
  <c r="X67" i="187"/>
  <c r="BI67" i="187"/>
  <c r="BA67" i="187"/>
  <c r="BL67" i="187"/>
  <c r="AQ67" i="187"/>
  <c r="AT67" i="187"/>
  <c r="BT67" i="187"/>
  <c r="AY67" i="187"/>
  <c r="T67" i="187"/>
  <c r="BV67" i="187"/>
  <c r="BC67" i="187"/>
  <c r="Q67" i="187"/>
  <c r="BN67" i="187"/>
  <c r="AJ67" i="187"/>
  <c r="BQ67" i="187"/>
  <c r="BK67" i="187"/>
  <c r="AG67" i="187"/>
  <c r="AN67" i="187"/>
  <c r="AR67" i="187"/>
  <c r="BY67" i="187"/>
  <c r="BS67" i="187"/>
  <c r="AO67" i="187"/>
  <c r="AA67" i="187"/>
  <c r="AS67" i="187"/>
  <c r="BR67" i="187"/>
  <c r="AX67" i="187"/>
  <c r="BU67" i="187"/>
  <c r="AI67" i="187"/>
  <c r="BX67" i="187"/>
  <c r="V67" i="187"/>
  <c r="AM67" i="187"/>
  <c r="AV67" i="187"/>
  <c r="AW67" i="187"/>
  <c r="G28" i="187"/>
  <c r="Q28" i="187" a="1"/>
  <c r="AA28" i="187" l="1"/>
  <c r="BW28" i="187"/>
  <c r="R28" i="187"/>
  <c r="AB28" i="187"/>
  <c r="AK28" i="187"/>
  <c r="AT28" i="187"/>
  <c r="BC28" i="187"/>
  <c r="BL28" i="187"/>
  <c r="S28" i="187"/>
  <c r="CB28" i="187"/>
  <c r="Q28" i="187"/>
  <c r="CC28" i="187"/>
  <c r="BV28" i="187"/>
  <c r="BX28" i="187"/>
  <c r="BY28" i="187"/>
  <c r="BZ28" i="187"/>
  <c r="CA28" i="187"/>
  <c r="AO28" i="187"/>
  <c r="AR28" i="187"/>
  <c r="AZ28" i="187"/>
  <c r="BB28" i="187"/>
  <c r="AI28" i="187"/>
  <c r="AE28" i="187"/>
  <c r="AG28" i="187"/>
  <c r="AM28" i="187"/>
  <c r="X28" i="187"/>
  <c r="BK28" i="187"/>
  <c r="BN28" i="187"/>
  <c r="AJ28" i="187"/>
  <c r="BF28" i="187"/>
  <c r="V28" i="187"/>
  <c r="AW28" i="187"/>
  <c r="BA28" i="187"/>
  <c r="BP28" i="187"/>
  <c r="BE28" i="187"/>
  <c r="BI28" i="187"/>
  <c r="AF28" i="187"/>
  <c r="BM28" i="187"/>
  <c r="BQ28" i="187"/>
  <c r="AQ28" i="187"/>
  <c r="Z28" i="187"/>
  <c r="Y28" i="187"/>
  <c r="BJ28" i="187"/>
  <c r="AN28" i="187"/>
  <c r="AY28" i="187"/>
  <c r="AP28" i="187"/>
  <c r="U28" i="187"/>
  <c r="BR28" i="187"/>
  <c r="AV28" i="187"/>
  <c r="AD28" i="187"/>
  <c r="AX28" i="187"/>
  <c r="AS28" i="187"/>
  <c r="W28" i="187"/>
  <c r="BT28" i="187"/>
  <c r="BG28" i="187"/>
  <c r="AH28" i="187"/>
  <c r="BH28" i="187"/>
  <c r="BD28" i="187"/>
  <c r="BS28" i="187"/>
  <c r="BO28" i="187"/>
  <c r="BU28" i="187"/>
  <c r="T28" i="187"/>
  <c r="AC28" i="187"/>
  <c r="AL28" i="187"/>
  <c r="AU28" i="187"/>
  <c r="G14" i="187"/>
  <c r="Q14" i="187" a="1"/>
  <c r="BE14" i="187" l="1"/>
  <c r="AW14" i="187"/>
  <c r="AK14" i="187"/>
  <c r="AQ14" i="187"/>
  <c r="T14" i="187"/>
  <c r="BS14" i="187"/>
  <c r="AP14" i="187"/>
  <c r="BD14" i="187"/>
  <c r="BG14" i="187"/>
  <c r="BU14" i="187"/>
  <c r="AY14" i="187"/>
  <c r="AC14" i="187"/>
  <c r="BC14" i="187"/>
  <c r="AI14" i="187"/>
  <c r="BW14" i="187"/>
  <c r="BV14" i="187"/>
  <c r="CB14" i="187"/>
  <c r="AA14" i="187"/>
  <c r="Q14" i="187"/>
  <c r="Y14" i="187"/>
  <c r="BJ14" i="187"/>
  <c r="BA14" i="187"/>
  <c r="BR14" i="187"/>
  <c r="U14" i="187"/>
  <c r="AT14" i="187"/>
  <c r="V14" i="187"/>
  <c r="BN14" i="187"/>
  <c r="AL14" i="187"/>
  <c r="X14" i="187"/>
  <c r="BK14" i="187"/>
  <c r="S14" i="187"/>
  <c r="BF14" i="187"/>
  <c r="BB14" i="187"/>
  <c r="BM14" i="187"/>
  <c r="AG14" i="187"/>
  <c r="BP14" i="187"/>
  <c r="Z14" i="187"/>
  <c r="AO14" i="187"/>
  <c r="AZ14" i="187"/>
  <c r="CA14" i="187"/>
  <c r="AX14" i="187"/>
  <c r="BL14" i="187"/>
  <c r="BX14" i="187"/>
  <c r="AD14" i="187"/>
  <c r="AJ14" i="187"/>
  <c r="AF14" i="187"/>
  <c r="AB14" i="187"/>
  <c r="AR14" i="187"/>
  <c r="AU14" i="187"/>
  <c r="BI14" i="187"/>
  <c r="AM14" i="187"/>
  <c r="AE14" i="187"/>
  <c r="R14" i="187"/>
  <c r="BT14" i="187"/>
  <c r="BY14" i="187"/>
  <c r="BO14" i="187"/>
  <c r="AS14" i="187"/>
  <c r="AV14" i="187"/>
  <c r="AN14" i="187"/>
  <c r="CC14" i="187"/>
  <c r="W14" i="187"/>
  <c r="BZ14" i="187"/>
  <c r="BQ14" i="187"/>
  <c r="BH14" i="187"/>
  <c r="AH14" i="187"/>
  <c r="G29" i="187"/>
  <c r="Q29" i="187" a="1"/>
  <c r="AV29" i="187" l="1"/>
  <c r="AN29" i="187"/>
  <c r="BB29" i="187"/>
  <c r="AQ29" i="187"/>
  <c r="BO29" i="187"/>
  <c r="T29" i="187"/>
  <c r="W29" i="187"/>
  <c r="BL29" i="187"/>
  <c r="BN29" i="187"/>
  <c r="AH29" i="187"/>
  <c r="AS29" i="187"/>
  <c r="BF29" i="187"/>
  <c r="BQ29" i="187"/>
  <c r="V29" i="187"/>
  <c r="BK29" i="187"/>
  <c r="BJ29" i="187"/>
  <c r="AC29" i="187"/>
  <c r="AW29" i="187"/>
  <c r="AY29" i="187"/>
  <c r="AG29" i="187"/>
  <c r="AU29" i="187"/>
  <c r="AP29" i="187"/>
  <c r="BC29" i="187"/>
  <c r="BG29" i="187"/>
  <c r="BD29" i="187"/>
  <c r="S29" i="187"/>
  <c r="BP29" i="187"/>
  <c r="AI29" i="187"/>
  <c r="BY29" i="187"/>
  <c r="AO29" i="187"/>
  <c r="BW29" i="187"/>
  <c r="BV29" i="187"/>
  <c r="BT29" i="187"/>
  <c r="R29" i="187"/>
  <c r="CC29" i="187"/>
  <c r="CB29" i="187"/>
  <c r="AA29" i="187"/>
  <c r="BR29" i="187"/>
  <c r="BX29" i="187"/>
  <c r="CA29" i="187"/>
  <c r="AB29" i="187"/>
  <c r="U29" i="187"/>
  <c r="BS29" i="187"/>
  <c r="Q29" i="187"/>
  <c r="BA29" i="187"/>
  <c r="AK29" i="187"/>
  <c r="AX29" i="187"/>
  <c r="AL29" i="187"/>
  <c r="Z29" i="187"/>
  <c r="BM29" i="187"/>
  <c r="AT29" i="187"/>
  <c r="BH29" i="187"/>
  <c r="X29" i="187"/>
  <c r="AZ29" i="187"/>
  <c r="AJ29" i="187"/>
  <c r="BI29" i="187"/>
  <c r="AE29" i="187"/>
  <c r="AF29" i="187"/>
  <c r="AR29" i="187"/>
  <c r="Y29" i="187"/>
  <c r="BE29" i="187"/>
  <c r="AD29" i="187"/>
  <c r="BU29" i="187"/>
  <c r="AM29" i="187"/>
  <c r="BZ29" i="187"/>
  <c r="G60" i="187"/>
  <c r="Q60" i="187" a="1"/>
  <c r="AW60" i="187" l="1"/>
  <c r="BX60" i="187"/>
  <c r="V60" i="187"/>
  <c r="AE60" i="187"/>
  <c r="AV60" i="187"/>
  <c r="BU60" i="187"/>
  <c r="BC60" i="187"/>
  <c r="BD60" i="187"/>
  <c r="AA60" i="187"/>
  <c r="AO60" i="187"/>
  <c r="AQ60" i="187"/>
  <c r="BB60" i="187"/>
  <c r="AF60" i="187"/>
  <c r="BQ60" i="187"/>
  <c r="Y60" i="187"/>
  <c r="BW60" i="187"/>
  <c r="BE60" i="187"/>
  <c r="BF60" i="187"/>
  <c r="BG60" i="187"/>
  <c r="BH60" i="187"/>
  <c r="BI60" i="187"/>
  <c r="BJ60" i="187"/>
  <c r="BK60" i="187"/>
  <c r="BL60" i="187"/>
  <c r="AS60" i="187"/>
  <c r="AG60" i="187"/>
  <c r="BA60" i="187"/>
  <c r="BR60" i="187"/>
  <c r="BZ60" i="187"/>
  <c r="CB60" i="187"/>
  <c r="AI60" i="187"/>
  <c r="Q60" i="187"/>
  <c r="Z60" i="187"/>
  <c r="AK60" i="187"/>
  <c r="BT60" i="187"/>
  <c r="T60" i="187"/>
  <c r="AD60" i="187"/>
  <c r="U60" i="187"/>
  <c r="AM60" i="187"/>
  <c r="R60" i="187"/>
  <c r="AC60" i="187"/>
  <c r="BS60" i="187"/>
  <c r="AH60" i="187"/>
  <c r="AB60" i="187"/>
  <c r="AZ60" i="187"/>
  <c r="CA60" i="187"/>
  <c r="CC60" i="187"/>
  <c r="BN60" i="187"/>
  <c r="AR60" i="187"/>
  <c r="AL60" i="187"/>
  <c r="X60" i="187"/>
  <c r="S60" i="187"/>
  <c r="AP60" i="187"/>
  <c r="AT60" i="187"/>
  <c r="BV60" i="187"/>
  <c r="AJ60" i="187"/>
  <c r="AU60" i="187"/>
  <c r="BO60" i="187"/>
  <c r="AY60" i="187"/>
  <c r="BP60" i="187"/>
  <c r="BY60" i="187"/>
  <c r="W60" i="187"/>
  <c r="AN60" i="187"/>
  <c r="BM60" i="187"/>
  <c r="AX60" i="187"/>
  <c r="G41" i="187"/>
  <c r="Q41" i="187" a="1"/>
  <c r="AM41" i="187" l="1"/>
  <c r="BF41" i="187"/>
  <c r="BY41" i="187"/>
  <c r="R41" i="187"/>
  <c r="AO41" i="187"/>
  <c r="BL41" i="187"/>
  <c r="X41" i="187"/>
  <c r="AL41" i="187"/>
  <c r="AA41" i="187"/>
  <c r="AU41" i="187"/>
  <c r="BP41" i="187"/>
  <c r="Q41" i="187"/>
  <c r="AB41" i="187"/>
  <c r="AY41" i="187"/>
  <c r="BV41" i="187"/>
  <c r="AH41" i="187"/>
  <c r="AT41" i="187"/>
  <c r="BO41" i="187"/>
  <c r="AR41" i="187"/>
  <c r="BJ41" i="187"/>
  <c r="AN41" i="187"/>
  <c r="BH41" i="187"/>
  <c r="BT41" i="187"/>
  <c r="BM41" i="187"/>
  <c r="BW41" i="187"/>
  <c r="BZ41" i="187"/>
  <c r="AG41" i="187"/>
  <c r="AE41" i="187"/>
  <c r="AV41" i="187"/>
  <c r="S41" i="187"/>
  <c r="BR41" i="187"/>
  <c r="CB41" i="187"/>
  <c r="AC41" i="187"/>
  <c r="Z41" i="187"/>
  <c r="BE41" i="187"/>
  <c r="U41" i="187"/>
  <c r="W41" i="187"/>
  <c r="AK41" i="187"/>
  <c r="T41" i="187"/>
  <c r="BD41" i="187"/>
  <c r="BS41" i="187"/>
  <c r="Y41" i="187"/>
  <c r="AW41" i="187"/>
  <c r="AF41" i="187"/>
  <c r="BN41" i="187"/>
  <c r="AJ41" i="187"/>
  <c r="BG41" i="187"/>
  <c r="AP41" i="187"/>
  <c r="BB41" i="187"/>
  <c r="AQ41" i="187"/>
  <c r="AX41" i="187"/>
  <c r="AZ41" i="187"/>
  <c r="BX41" i="187"/>
  <c r="CA41" i="187"/>
  <c r="AI41" i="187"/>
  <c r="BQ41" i="187"/>
  <c r="BI41" i="187"/>
  <c r="BK41" i="187"/>
  <c r="V41" i="187"/>
  <c r="BC41" i="187"/>
  <c r="AS41" i="187"/>
  <c r="CC41" i="187"/>
  <c r="BU41" i="187"/>
  <c r="BA41" i="187"/>
  <c r="AD41" i="187"/>
  <c r="G64" i="187"/>
  <c r="Q64" i="187" a="1"/>
  <c r="AB64" i="187" l="1"/>
  <c r="BN64" i="187"/>
  <c r="BU64" i="187"/>
  <c r="CA64" i="187"/>
  <c r="AE64" i="187"/>
  <c r="BI64" i="187"/>
  <c r="BJ64" i="187"/>
  <c r="AA64" i="187"/>
  <c r="BY64" i="187"/>
  <c r="AJ64" i="187"/>
  <c r="Q64" i="187"/>
  <c r="W64" i="187"/>
  <c r="Y64" i="187"/>
  <c r="AU64" i="187"/>
  <c r="BQ64" i="187"/>
  <c r="BR64" i="187"/>
  <c r="AI64" i="187"/>
  <c r="AX64" i="187"/>
  <c r="V64" i="187"/>
  <c r="BG64" i="187"/>
  <c r="AG64" i="187"/>
  <c r="AW64" i="187"/>
  <c r="BW64" i="187"/>
  <c r="AH64" i="187"/>
  <c r="T64" i="187"/>
  <c r="BF64" i="187"/>
  <c r="BH64" i="187"/>
  <c r="AP64" i="187"/>
  <c r="AC64" i="187"/>
  <c r="Z64" i="187"/>
  <c r="AY64" i="187"/>
  <c r="AM64" i="187"/>
  <c r="AT64" i="187"/>
  <c r="AF64" i="187"/>
  <c r="BZ64" i="187"/>
  <c r="CC64" i="187"/>
  <c r="BD64" i="187"/>
  <c r="BV64" i="187"/>
  <c r="AK64" i="187"/>
  <c r="BL64" i="187"/>
  <c r="BP64" i="187"/>
  <c r="AQ64" i="187"/>
  <c r="X64" i="187"/>
  <c r="AS64" i="187"/>
  <c r="BT64" i="187"/>
  <c r="BX64" i="187"/>
  <c r="AV64" i="187"/>
  <c r="AO64" i="187"/>
  <c r="BA64" i="187"/>
  <c r="AD64" i="187"/>
  <c r="BC64" i="187"/>
  <c r="BK64" i="187"/>
  <c r="BB64" i="187"/>
  <c r="BO64" i="187"/>
  <c r="BS64" i="187"/>
  <c r="AN64" i="187"/>
  <c r="BM64" i="187"/>
  <c r="AZ64" i="187"/>
  <c r="CB64" i="187"/>
  <c r="AR64" i="187"/>
  <c r="R64" i="187"/>
  <c r="BE64" i="187"/>
  <c r="U64" i="187"/>
  <c r="AL64" i="187"/>
  <c r="S64" i="187"/>
  <c r="G42" i="187"/>
  <c r="Q42" i="187" a="1"/>
  <c r="T42" i="187" l="1"/>
  <c r="BC42" i="187"/>
  <c r="BF42" i="187"/>
  <c r="BO42" i="187"/>
  <c r="BS42" i="187"/>
  <c r="BG42" i="187"/>
  <c r="CC42" i="187"/>
  <c r="BW42" i="187"/>
  <c r="Y42" i="187"/>
  <c r="AI42" i="187"/>
  <c r="AQ42" i="187"/>
  <c r="BK42" i="187"/>
  <c r="Z42" i="187"/>
  <c r="BL42" i="187"/>
  <c r="AE42" i="187"/>
  <c r="AY42" i="187"/>
  <c r="Q42" i="187"/>
  <c r="AB42" i="187"/>
  <c r="BM42" i="187"/>
  <c r="BH42" i="187"/>
  <c r="BE42" i="187"/>
  <c r="AP42" i="187"/>
  <c r="BB42" i="187"/>
  <c r="BI42" i="187"/>
  <c r="BV42" i="187"/>
  <c r="AC42" i="187"/>
  <c r="AL42" i="187"/>
  <c r="AX42" i="187"/>
  <c r="V42" i="187"/>
  <c r="AG42" i="187"/>
  <c r="R42" i="187"/>
  <c r="BP42" i="187"/>
  <c r="CB42" i="187"/>
  <c r="BA42" i="187"/>
  <c r="BX42" i="187"/>
  <c r="BJ42" i="187"/>
  <c r="BR42" i="187"/>
  <c r="BT42" i="187"/>
  <c r="X42" i="187"/>
  <c r="AO42" i="187"/>
  <c r="BD42" i="187"/>
  <c r="AV42" i="187"/>
  <c r="AU42" i="187"/>
  <c r="AF42" i="187"/>
  <c r="BN42" i="187"/>
  <c r="AZ42" i="187"/>
  <c r="W42" i="187"/>
  <c r="BZ42" i="187"/>
  <c r="AW42" i="187"/>
  <c r="BQ42" i="187"/>
  <c r="U42" i="187"/>
  <c r="AD42" i="187"/>
  <c r="CA42" i="187"/>
  <c r="AN42" i="187"/>
  <c r="S42" i="187"/>
  <c r="AH42" i="187"/>
  <c r="AM42" i="187"/>
  <c r="BU42" i="187"/>
  <c r="AR42" i="187"/>
  <c r="AJ42" i="187"/>
  <c r="AK42" i="187"/>
  <c r="AA42" i="187"/>
  <c r="AT42" i="187"/>
  <c r="AS42" i="187"/>
  <c r="BY42" i="187"/>
  <c r="G52" i="187"/>
  <c r="Q52" i="187" a="1"/>
  <c r="CC52" i="187" l="1"/>
  <c r="BK52" i="187"/>
  <c r="AD52" i="187"/>
  <c r="BR52" i="187"/>
  <c r="AU52" i="187"/>
  <c r="R52" i="187"/>
  <c r="X52" i="187"/>
  <c r="Q52" i="187"/>
  <c r="AP52" i="187"/>
  <c r="Y52" i="187"/>
  <c r="AM52" i="187"/>
  <c r="BY52" i="187"/>
  <c r="AR52" i="187"/>
  <c r="U52" i="187"/>
  <c r="BI52" i="187"/>
  <c r="Z52" i="187"/>
  <c r="AF52" i="187"/>
  <c r="AL52" i="187"/>
  <c r="T52" i="187"/>
  <c r="AS52" i="187"/>
  <c r="AX52" i="187"/>
  <c r="BT52" i="187"/>
  <c r="CB52" i="187"/>
  <c r="BC52" i="187"/>
  <c r="BQ52" i="187"/>
  <c r="BJ52" i="187"/>
  <c r="AH52" i="187"/>
  <c r="BH52" i="187"/>
  <c r="AW52" i="187"/>
  <c r="BA52" i="187"/>
  <c r="BW52" i="187"/>
  <c r="BE52" i="187"/>
  <c r="BO52" i="187"/>
  <c r="BP52" i="187"/>
  <c r="BM52" i="187"/>
  <c r="AC52" i="187"/>
  <c r="BS52" i="187"/>
  <c r="BF52" i="187"/>
  <c r="BB52" i="187"/>
  <c r="V52" i="187"/>
  <c r="AN52" i="187"/>
  <c r="AQ52" i="187"/>
  <c r="AJ52" i="187"/>
  <c r="BD52" i="187"/>
  <c r="AZ52" i="187"/>
  <c r="AE52" i="187"/>
  <c r="W52" i="187"/>
  <c r="AV52" i="187"/>
  <c r="BU52" i="187"/>
  <c r="BN52" i="187"/>
  <c r="BG52" i="187"/>
  <c r="BX52" i="187"/>
  <c r="BL52" i="187"/>
  <c r="BZ52" i="187"/>
  <c r="CA52" i="187"/>
  <c r="AI52" i="187"/>
  <c r="AK52" i="187"/>
  <c r="AB52" i="187"/>
  <c r="AG52" i="187"/>
  <c r="S52" i="187"/>
  <c r="AT52" i="187"/>
  <c r="AY52" i="187"/>
  <c r="BV52" i="187"/>
  <c r="AO52" i="187"/>
  <c r="AA52" i="187"/>
  <c r="G32" i="187"/>
  <c r="Q32" i="187" a="1"/>
  <c r="U32" i="187" l="1"/>
  <c r="CC32" i="187"/>
  <c r="BP32" i="187"/>
  <c r="BE32" i="187"/>
  <c r="BW32" i="187"/>
  <c r="AV32" i="187"/>
  <c r="CB32" i="187"/>
  <c r="S32" i="187"/>
  <c r="BV32" i="187"/>
  <c r="BC32" i="187"/>
  <c r="BG32" i="187"/>
  <c r="AK32" i="187"/>
  <c r="AM32" i="187"/>
  <c r="T32" i="187"/>
  <c r="BB32" i="187"/>
  <c r="BZ32" i="187"/>
  <c r="AE32" i="187"/>
  <c r="AY32" i="187"/>
  <c r="AJ32" i="187"/>
  <c r="BK32" i="187"/>
  <c r="R32" i="187"/>
  <c r="BS32" i="187"/>
  <c r="AU32" i="187"/>
  <c r="AF32" i="187"/>
  <c r="V32" i="187"/>
  <c r="AR32" i="187"/>
  <c r="AD32" i="187"/>
  <c r="AX32" i="187"/>
  <c r="Z32" i="187"/>
  <c r="AB32" i="187"/>
  <c r="AP32" i="187"/>
  <c r="Q32" i="187"/>
  <c r="BQ32" i="187"/>
  <c r="BN32" i="187"/>
  <c r="BD32" i="187"/>
  <c r="BU32" i="187"/>
  <c r="W32" i="187"/>
  <c r="BM32" i="187"/>
  <c r="Y32" i="187"/>
  <c r="BI32" i="187"/>
  <c r="BH32" i="187"/>
  <c r="X32" i="187"/>
  <c r="BA32" i="187"/>
  <c r="AQ32" i="187"/>
  <c r="AZ32" i="187"/>
  <c r="BX32" i="187"/>
  <c r="BY32" i="187"/>
  <c r="BJ32" i="187"/>
  <c r="BF32" i="187"/>
  <c r="AN32" i="187"/>
  <c r="AW32" i="187"/>
  <c r="CA32" i="187"/>
  <c r="AO32" i="187"/>
  <c r="BL32" i="187"/>
  <c r="BO32" i="187"/>
  <c r="BR32" i="187"/>
  <c r="AI32" i="187"/>
  <c r="AC32" i="187"/>
  <c r="AL32" i="187"/>
  <c r="AH32" i="187"/>
  <c r="AA32" i="187"/>
  <c r="AT32" i="187"/>
  <c r="AS32" i="187"/>
  <c r="AG32" i="187"/>
  <c r="BT32" i="187"/>
  <c r="G8" i="187"/>
  <c r="Q8" i="187" a="1"/>
  <c r="BW8" i="187" l="1"/>
  <c r="AE8" i="187"/>
  <c r="BC8" i="187"/>
  <c r="AG8" i="187"/>
  <c r="Y8" i="187"/>
  <c r="Q8" i="187"/>
  <c r="AR8" i="187"/>
  <c r="BN8" i="187"/>
  <c r="AF8" i="187"/>
  <c r="AQ8" i="187"/>
  <c r="CC8" i="187"/>
  <c r="V8" i="187"/>
  <c r="BI8" i="187"/>
  <c r="AW8" i="187"/>
  <c r="BZ8" i="187"/>
  <c r="AB8" i="187"/>
  <c r="AP8" i="187"/>
  <c r="BM8" i="187"/>
  <c r="U8" i="187"/>
  <c r="T8" i="187"/>
  <c r="BE8" i="187"/>
  <c r="BD8" i="187"/>
  <c r="X8" i="187"/>
  <c r="AZ8" i="187"/>
  <c r="BH8" i="187"/>
  <c r="BP8" i="187"/>
  <c r="BX8" i="187"/>
  <c r="R8" i="187"/>
  <c r="BQ8" i="187"/>
  <c r="BA8" i="187"/>
  <c r="AM8" i="187"/>
  <c r="AV8" i="187"/>
  <c r="BV8" i="187"/>
  <c r="BY8" i="187"/>
  <c r="AS8" i="187"/>
  <c r="Z8" i="187"/>
  <c r="AT8" i="187"/>
  <c r="AD8" i="187"/>
  <c r="AA8" i="187"/>
  <c r="AU8" i="187"/>
  <c r="AC8" i="187"/>
  <c r="AY8" i="187"/>
  <c r="BT8" i="187"/>
  <c r="CA8" i="187"/>
  <c r="BG8" i="187"/>
  <c r="BR8" i="187"/>
  <c r="AK8" i="187"/>
  <c r="AN8" i="187"/>
  <c r="CB8" i="187"/>
  <c r="AI8" i="187"/>
  <c r="BK8" i="187"/>
  <c r="BS8" i="187"/>
  <c r="S8" i="187"/>
  <c r="BB8" i="187"/>
  <c r="BJ8" i="187"/>
  <c r="BO8" i="187"/>
  <c r="AX8" i="187"/>
  <c r="AO8" i="187"/>
  <c r="W8" i="187"/>
  <c r="BU8" i="187"/>
  <c r="BL8" i="187"/>
  <c r="AJ8" i="187"/>
  <c r="BF8" i="187"/>
  <c r="AH8" i="187"/>
  <c r="AL8" i="187"/>
  <c r="G39" i="187"/>
  <c r="Q39" i="187" a="1"/>
  <c r="BQ39" i="187" l="1"/>
  <c r="BX39" i="187"/>
  <c r="S39" i="187"/>
  <c r="AC39" i="187"/>
  <c r="AL39" i="187"/>
  <c r="BK39" i="187"/>
  <c r="Q39" i="187"/>
  <c r="Z39" i="187"/>
  <c r="BB39" i="187"/>
  <c r="BN39" i="187"/>
  <c r="AR39" i="187"/>
  <c r="AQ39" i="187"/>
  <c r="AS39" i="187"/>
  <c r="AT39" i="187"/>
  <c r="BC39" i="187"/>
  <c r="BL39" i="187"/>
  <c r="BM39" i="187"/>
  <c r="BH39" i="187"/>
  <c r="AG39" i="187"/>
  <c r="BI39" i="187"/>
  <c r="BE39" i="187"/>
  <c r="BW39" i="187"/>
  <c r="AH39" i="187"/>
  <c r="AA39" i="187"/>
  <c r="BO39" i="187"/>
  <c r="AM39" i="187"/>
  <c r="Y39" i="187"/>
  <c r="BT39" i="187"/>
  <c r="AB39" i="187"/>
  <c r="W39" i="187"/>
  <c r="AZ39" i="187"/>
  <c r="AE39" i="187"/>
  <c r="CA39" i="187"/>
  <c r="BS39" i="187"/>
  <c r="AX39" i="187"/>
  <c r="AK39" i="187"/>
  <c r="AF39" i="187"/>
  <c r="BY39" i="187"/>
  <c r="BA39" i="187"/>
  <c r="AV39" i="187"/>
  <c r="BR39" i="187"/>
  <c r="AY39" i="187"/>
  <c r="AN39" i="187"/>
  <c r="AP39" i="187"/>
  <c r="AI39" i="187"/>
  <c r="BJ39" i="187"/>
  <c r="BD39" i="187"/>
  <c r="BF39" i="187"/>
  <c r="AJ39" i="187"/>
  <c r="X39" i="187"/>
  <c r="CC39" i="187"/>
  <c r="BU39" i="187"/>
  <c r="AO39" i="187"/>
  <c r="BZ39" i="187"/>
  <c r="T39" i="187"/>
  <c r="BG39" i="187"/>
  <c r="V39" i="187"/>
  <c r="R39" i="187"/>
  <c r="AW39" i="187"/>
  <c r="BP39" i="187"/>
  <c r="CB39" i="187"/>
  <c r="U39" i="187"/>
  <c r="AD39" i="187"/>
  <c r="AU39" i="187"/>
  <c r="BV39" i="187"/>
  <c r="G18" i="187"/>
  <c r="Q18" i="187" a="1"/>
  <c r="BJ18" i="187" l="1"/>
  <c r="BB18" i="187"/>
  <c r="AA18" i="187"/>
  <c r="AY18" i="187"/>
  <c r="U18" i="187"/>
  <c r="BN18" i="187"/>
  <c r="AJ18" i="187"/>
  <c r="BC18" i="187"/>
  <c r="AQ18" i="187"/>
  <c r="AD18" i="187"/>
  <c r="AX18" i="187"/>
  <c r="BG18" i="187"/>
  <c r="BU18" i="187"/>
  <c r="AG18" i="187"/>
  <c r="BD18" i="187"/>
  <c r="BY18" i="187"/>
  <c r="AE18" i="187"/>
  <c r="CB18" i="187"/>
  <c r="BM18" i="187"/>
  <c r="W18" i="187"/>
  <c r="AM18" i="187"/>
  <c r="BK18" i="187"/>
  <c r="S18" i="187"/>
  <c r="AZ18" i="187"/>
  <c r="BQ18" i="187"/>
  <c r="Y18" i="187"/>
  <c r="AB18" i="187"/>
  <c r="BW18" i="187"/>
  <c r="BH18" i="187"/>
  <c r="BX18" i="187"/>
  <c r="BT18" i="187"/>
  <c r="BP18" i="187"/>
  <c r="AC18" i="187"/>
  <c r="BZ18" i="187"/>
  <c r="AL18" i="187"/>
  <c r="BI18" i="187"/>
  <c r="AI18" i="187"/>
  <c r="BR18" i="187"/>
  <c r="AN18" i="187"/>
  <c r="T18" i="187"/>
  <c r="BE18" i="187"/>
  <c r="AT18" i="187"/>
  <c r="R18" i="187"/>
  <c r="BL18" i="187"/>
  <c r="AS18" i="187"/>
  <c r="BS18" i="187"/>
  <c r="CC18" i="187"/>
  <c r="BA18" i="187"/>
  <c r="BO18" i="187"/>
  <c r="AH18" i="187"/>
  <c r="AK18" i="187"/>
  <c r="AF18" i="187"/>
  <c r="X18" i="187"/>
  <c r="AV18" i="187"/>
  <c r="CA18" i="187"/>
  <c r="AW18" i="187"/>
  <c r="AP18" i="187"/>
  <c r="AU18" i="187"/>
  <c r="BF18" i="187"/>
  <c r="V18" i="187"/>
  <c r="Q18" i="187"/>
  <c r="AO18" i="187"/>
  <c r="BV18" i="187"/>
  <c r="AR18" i="187"/>
  <c r="Z18" i="187"/>
  <c r="G21" i="187"/>
  <c r="Q21" i="187" a="1"/>
  <c r="BA21" i="187" l="1"/>
  <c r="AS21" i="187"/>
  <c r="AI21" i="187"/>
  <c r="BW21" i="187"/>
  <c r="AO21" i="187"/>
  <c r="W21" i="187"/>
  <c r="BT21" i="187"/>
  <c r="AU21" i="187"/>
  <c r="AP21" i="187"/>
  <c r="U21" i="187"/>
  <c r="Z21" i="187"/>
  <c r="BU21" i="187"/>
  <c r="AB21" i="187"/>
  <c r="AZ21" i="187"/>
  <c r="CC21" i="187"/>
  <c r="AR21" i="187"/>
  <c r="BJ21" i="187"/>
  <c r="AM21" i="187"/>
  <c r="BD21" i="187"/>
  <c r="AG21" i="187"/>
  <c r="BR21" i="187"/>
  <c r="AJ21" i="187"/>
  <c r="BX21" i="187"/>
  <c r="BS21" i="187"/>
  <c r="BN21" i="187"/>
  <c r="AQ21" i="187"/>
  <c r="BB21" i="187"/>
  <c r="AW21" i="187"/>
  <c r="AV21" i="187"/>
  <c r="AL21" i="187"/>
  <c r="Q21" i="187"/>
  <c r="AT21" i="187"/>
  <c r="AX21" i="187"/>
  <c r="BG21" i="187"/>
  <c r="AC21" i="187"/>
  <c r="AY21" i="187"/>
  <c r="BE21" i="187"/>
  <c r="BI21" i="187"/>
  <c r="BM21" i="187"/>
  <c r="V21" i="187"/>
  <c r="BQ21" i="187"/>
  <c r="BH21" i="187"/>
  <c r="S21" i="187"/>
  <c r="BP21" i="187"/>
  <c r="CA21" i="187"/>
  <c r="AA21" i="187"/>
  <c r="CB21" i="187"/>
  <c r="AD21" i="187"/>
  <c r="AK21" i="187"/>
  <c r="AF21" i="187"/>
  <c r="R21" i="187"/>
  <c r="T21" i="187"/>
  <c r="X21" i="187"/>
  <c r="BC21" i="187"/>
  <c r="BY21" i="187"/>
  <c r="BV21" i="187"/>
  <c r="AN21" i="187"/>
  <c r="BZ21" i="187"/>
  <c r="AH21" i="187"/>
  <c r="BK21" i="187"/>
  <c r="Y21" i="187"/>
  <c r="BL21" i="187"/>
  <c r="AE21" i="187"/>
  <c r="BO21" i="187"/>
  <c r="BF21" i="187"/>
  <c r="G48" i="187"/>
  <c r="Q48" i="187" a="1"/>
  <c r="AR48" i="187" l="1"/>
  <c r="BX48" i="187"/>
  <c r="BO48" i="187"/>
  <c r="BY48" i="187"/>
  <c r="AE48" i="187"/>
  <c r="AN48" i="187"/>
  <c r="AO48" i="187"/>
  <c r="AP48" i="187"/>
  <c r="BJ48" i="187"/>
  <c r="BV48" i="187"/>
  <c r="S48" i="187"/>
  <c r="U48" i="187"/>
  <c r="V48" i="187"/>
  <c r="W48" i="187"/>
  <c r="X48" i="187"/>
  <c r="Q48" i="187"/>
  <c r="CC48" i="187"/>
  <c r="BE48" i="187"/>
  <c r="BR48" i="187"/>
  <c r="AM48" i="187"/>
  <c r="BM48" i="187"/>
  <c r="AZ48" i="187"/>
  <c r="BH48" i="187"/>
  <c r="AT48" i="187"/>
  <c r="BA48" i="187"/>
  <c r="AU48" i="187"/>
  <c r="T48" i="187"/>
  <c r="BL48" i="187"/>
  <c r="AA48" i="187"/>
  <c r="BT48" i="187"/>
  <c r="BW48" i="187"/>
  <c r="AW48" i="187"/>
  <c r="AC48" i="187"/>
  <c r="BI48" i="187"/>
  <c r="R48" i="187"/>
  <c r="AK48" i="187"/>
  <c r="BS48" i="187"/>
  <c r="BN48" i="187"/>
  <c r="AS48" i="187"/>
  <c r="AV48" i="187"/>
  <c r="AB48" i="187"/>
  <c r="AD48" i="187"/>
  <c r="CA48" i="187"/>
  <c r="BU48" i="187"/>
  <c r="AI48" i="187"/>
  <c r="BB48" i="187"/>
  <c r="BD48" i="187"/>
  <c r="Z48" i="187"/>
  <c r="AQ48" i="187"/>
  <c r="Y48" i="187"/>
  <c r="BC48" i="187"/>
  <c r="CB48" i="187"/>
  <c r="AX48" i="187"/>
  <c r="AJ48" i="187"/>
  <c r="AY48" i="187"/>
  <c r="AL48" i="187"/>
  <c r="BK48" i="187"/>
  <c r="AH48" i="187"/>
  <c r="BF48" i="187"/>
  <c r="BP48" i="187"/>
  <c r="BG48" i="187"/>
  <c r="BQ48" i="187"/>
  <c r="BZ48" i="187"/>
  <c r="AF48" i="187"/>
  <c r="AG48" i="187"/>
  <c r="G23" i="187"/>
  <c r="Q23" i="187" a="1"/>
  <c r="AM23" i="187" l="1"/>
  <c r="AE23" i="187"/>
  <c r="AY23" i="187"/>
  <c r="BN23" i="187"/>
  <c r="AQ23" i="187"/>
  <c r="AS23" i="187"/>
  <c r="AF23" i="187"/>
  <c r="AG23" i="187"/>
  <c r="BQ23" i="187"/>
  <c r="BS23" i="187"/>
  <c r="AX23" i="187"/>
  <c r="AB23" i="187"/>
  <c r="BB23" i="187"/>
  <c r="AH23" i="187"/>
  <c r="BV23" i="187"/>
  <c r="CB23" i="187"/>
  <c r="BU23" i="187"/>
  <c r="Z23" i="187"/>
  <c r="V23" i="187"/>
  <c r="BF23" i="187"/>
  <c r="AA23" i="187"/>
  <c r="Q23" i="187"/>
  <c r="BY23" i="187"/>
  <c r="AO23" i="187"/>
  <c r="BP23" i="187"/>
  <c r="AW23" i="187"/>
  <c r="AP23" i="187"/>
  <c r="CA23" i="187"/>
  <c r="AU23" i="187"/>
  <c r="BA23" i="187"/>
  <c r="AT23" i="187"/>
  <c r="BK23" i="187"/>
  <c r="BX23" i="187"/>
  <c r="BO23" i="187"/>
  <c r="AN23" i="187"/>
  <c r="BC23" i="187"/>
  <c r="S23" i="187"/>
  <c r="BH23" i="187"/>
  <c r="BM23" i="187"/>
  <c r="AL23" i="187"/>
  <c r="AR23" i="187"/>
  <c r="AV23" i="187"/>
  <c r="BD23" i="187"/>
  <c r="R23" i="187"/>
  <c r="Y23" i="187"/>
  <c r="W23" i="187"/>
  <c r="AZ23" i="187"/>
  <c r="T23" i="187"/>
  <c r="CC23" i="187"/>
  <c r="BL23" i="187"/>
  <c r="AK23" i="187"/>
  <c r="AC23" i="187"/>
  <c r="X23" i="187"/>
  <c r="BE23" i="187"/>
  <c r="U23" i="187"/>
  <c r="BT23" i="187"/>
  <c r="BJ23" i="187"/>
  <c r="AD23" i="187"/>
  <c r="AI23" i="187"/>
  <c r="AJ23" i="187"/>
  <c r="BR23" i="187"/>
  <c r="BI23" i="187"/>
  <c r="BZ23" i="187"/>
  <c r="BG23" i="187"/>
  <c r="BW23" i="187"/>
  <c r="G46" i="187"/>
  <c r="Q46" i="187" a="1"/>
  <c r="BR46" i="187" l="1"/>
  <c r="BL46" i="187"/>
  <c r="AX46" i="187"/>
  <c r="AO46" i="187"/>
  <c r="AI46" i="187"/>
  <c r="AJ46" i="187"/>
  <c r="AK46" i="187"/>
  <c r="BJ46" i="187"/>
  <c r="BK46" i="187"/>
  <c r="AZ46" i="187"/>
  <c r="BP46" i="187"/>
  <c r="BB46" i="187"/>
  <c r="AD46" i="187"/>
  <c r="Z46" i="187"/>
  <c r="R46" i="187"/>
  <c r="V46" i="187"/>
  <c r="BH46" i="187"/>
  <c r="BX46" i="187"/>
  <c r="AG46" i="187"/>
  <c r="AE46" i="187"/>
  <c r="AQ46" i="187"/>
  <c r="AM46" i="187"/>
  <c r="BG46" i="187"/>
  <c r="BS46" i="187"/>
  <c r="AW46" i="187"/>
  <c r="BF46" i="187"/>
  <c r="AN46" i="187"/>
  <c r="BU46" i="187"/>
  <c r="U46" i="187"/>
  <c r="BD46" i="187"/>
  <c r="CC46" i="187"/>
  <c r="BY46" i="187"/>
  <c r="BT46" i="187"/>
  <c r="AL46" i="187"/>
  <c r="AY46" i="187"/>
  <c r="AC46" i="187"/>
  <c r="CA46" i="187"/>
  <c r="BN46" i="187"/>
  <c r="BO46" i="187"/>
  <c r="AT46" i="187"/>
  <c r="AV46" i="187"/>
  <c r="T46" i="187"/>
  <c r="BE46" i="187"/>
  <c r="BW46" i="187"/>
  <c r="BI46" i="187"/>
  <c r="AU46" i="187"/>
  <c r="CB46" i="187"/>
  <c r="AP46" i="187"/>
  <c r="BM46" i="187"/>
  <c r="BZ46" i="187"/>
  <c r="BQ46" i="187"/>
  <c r="BC46" i="187"/>
  <c r="BV46" i="187"/>
  <c r="Q46" i="187"/>
  <c r="S46" i="187"/>
  <c r="AB46" i="187"/>
  <c r="AS46" i="187"/>
  <c r="AF46" i="187"/>
  <c r="X46" i="187"/>
  <c r="AH46" i="187"/>
  <c r="Y46" i="187"/>
  <c r="AA46" i="187"/>
  <c r="AR46" i="187"/>
  <c r="BA46" i="187"/>
  <c r="W46" i="187"/>
  <c r="G30" i="187"/>
  <c r="Q30" i="187" a="1"/>
  <c r="U30" i="187" l="1"/>
  <c r="BX30" i="187"/>
  <c r="AQ30" i="187"/>
  <c r="BU30" i="187"/>
  <c r="AT30" i="187"/>
  <c r="Z30" i="187"/>
  <c r="AW30" i="187"/>
  <c r="BT30" i="187"/>
  <c r="AD30" i="187"/>
  <c r="BA30" i="187"/>
  <c r="BW30" i="187"/>
  <c r="AF30" i="187"/>
  <c r="BD30" i="187"/>
  <c r="CA30" i="187"/>
  <c r="AA30" i="187"/>
  <c r="AN30" i="187"/>
  <c r="AZ30" i="187"/>
  <c r="BC30" i="187"/>
  <c r="AX30" i="187"/>
  <c r="AJ30" i="187"/>
  <c r="BM30" i="187"/>
  <c r="S30" i="187"/>
  <c r="AO30" i="187"/>
  <c r="BB30" i="187"/>
  <c r="BF30" i="187"/>
  <c r="BR30" i="187"/>
  <c r="AV30" i="187"/>
  <c r="BN30" i="187"/>
  <c r="AR30" i="187"/>
  <c r="BH30" i="187"/>
  <c r="AU30" i="187"/>
  <c r="AL30" i="187"/>
  <c r="BL30" i="187"/>
  <c r="AE30" i="187"/>
  <c r="AC30" i="187"/>
  <c r="BV30" i="187"/>
  <c r="BG30" i="187"/>
  <c r="BQ30" i="187"/>
  <c r="X30" i="187"/>
  <c r="CC30" i="187"/>
  <c r="BY30" i="187"/>
  <c r="V30" i="187"/>
  <c r="BZ30" i="187"/>
  <c r="BS30" i="187"/>
  <c r="BP30" i="187"/>
  <c r="AY30" i="187"/>
  <c r="BE30" i="187"/>
  <c r="R30" i="187"/>
  <c r="AK30" i="187"/>
  <c r="Q30" i="187"/>
  <c r="Y30" i="187"/>
  <c r="CB30" i="187"/>
  <c r="T30" i="187"/>
  <c r="AS30" i="187"/>
  <c r="W30" i="187"/>
  <c r="AP30" i="187"/>
  <c r="AI30" i="187"/>
  <c r="BJ30" i="187"/>
  <c r="AB30" i="187"/>
  <c r="BI30" i="187"/>
  <c r="AG30" i="187"/>
  <c r="BK30" i="187"/>
  <c r="AH30" i="187"/>
  <c r="BO30" i="187"/>
  <c r="AM30" i="187"/>
  <c r="G16" i="187"/>
  <c r="Q16" i="187" a="1"/>
  <c r="CB16" i="187" l="1"/>
  <c r="BC16" i="187"/>
  <c r="X16" i="187"/>
  <c r="AG16" i="187"/>
  <c r="AP16" i="187"/>
  <c r="BI16" i="187"/>
  <c r="BR16" i="187"/>
  <c r="BQ16" i="187"/>
  <c r="BG16" i="187"/>
  <c r="BY16" i="187"/>
  <c r="BT16" i="187"/>
  <c r="BJ16" i="187"/>
  <c r="BL16" i="187"/>
  <c r="BV16" i="187"/>
  <c r="Q16" i="187"/>
  <c r="R16" i="187"/>
  <c r="S16" i="187"/>
  <c r="BN16" i="187"/>
  <c r="CA16" i="187"/>
  <c r="U16" i="187"/>
  <c r="BA16" i="187"/>
  <c r="CC16" i="187"/>
  <c r="AE16" i="187"/>
  <c r="AX16" i="187"/>
  <c r="BK16" i="187"/>
  <c r="BW16" i="187"/>
  <c r="AA16" i="187"/>
  <c r="AU16" i="187"/>
  <c r="AI16" i="187"/>
  <c r="AF16" i="187"/>
  <c r="BB16" i="187"/>
  <c r="AN16" i="187"/>
  <c r="V16" i="187"/>
  <c r="AW16" i="187"/>
  <c r="BP16" i="187"/>
  <c r="AD16" i="187"/>
  <c r="AO16" i="187"/>
  <c r="AL16" i="187"/>
  <c r="BF16" i="187"/>
  <c r="AC16" i="187"/>
  <c r="AM16" i="187"/>
  <c r="AV16" i="187"/>
  <c r="AQ16" i="187"/>
  <c r="BS16" i="187"/>
  <c r="BD16" i="187"/>
  <c r="BO16" i="187"/>
  <c r="BX16" i="187"/>
  <c r="T16" i="187"/>
  <c r="BU16" i="187"/>
  <c r="AS16" i="187"/>
  <c r="BZ16" i="187"/>
  <c r="AZ16" i="187"/>
  <c r="AB16" i="187"/>
  <c r="W16" i="187"/>
  <c r="BE16" i="187"/>
  <c r="Z16" i="187"/>
  <c r="BH16" i="187"/>
  <c r="AR16" i="187"/>
  <c r="AJ16" i="187"/>
  <c r="AT16" i="187"/>
  <c r="BM16" i="187"/>
  <c r="Y16" i="187"/>
  <c r="AH16" i="187"/>
  <c r="AY16" i="187"/>
  <c r="AK16" i="187"/>
  <c r="G11" i="187"/>
  <c r="Q11" i="187" a="1"/>
  <c r="Z11" i="187" l="1"/>
  <c r="R11" i="187"/>
  <c r="BT11" i="187"/>
  <c r="BJ11" i="187"/>
  <c r="BA11" i="187"/>
  <c r="AR11" i="187"/>
  <c r="S11" i="187"/>
  <c r="Y11" i="187"/>
  <c r="BK11" i="187"/>
  <c r="AH11" i="187"/>
  <c r="BI11" i="187"/>
  <c r="AK11" i="187"/>
  <c r="BY11" i="187"/>
  <c r="BP11" i="187"/>
  <c r="T11" i="187"/>
  <c r="AQ11" i="187"/>
  <c r="AO11" i="187"/>
  <c r="BH11" i="187"/>
  <c r="CB11" i="187"/>
  <c r="BX11" i="187"/>
  <c r="BL11" i="187"/>
  <c r="AS11" i="187"/>
  <c r="BO11" i="187"/>
  <c r="AT11" i="187"/>
  <c r="BW11" i="187"/>
  <c r="BQ11" i="187"/>
  <c r="AG11" i="187"/>
  <c r="BZ11" i="187"/>
  <c r="AW11" i="187"/>
  <c r="V11" i="187"/>
  <c r="BC11" i="187"/>
  <c r="BU11" i="187"/>
  <c r="AJ11" i="187"/>
  <c r="BS11" i="187"/>
  <c r="BF11" i="187"/>
  <c r="X11" i="187"/>
  <c r="AE11" i="187"/>
  <c r="CC11" i="187"/>
  <c r="AB11" i="187"/>
  <c r="BD11" i="187"/>
  <c r="BN11" i="187"/>
  <c r="U11" i="187"/>
  <c r="AC11" i="187"/>
  <c r="AY11" i="187"/>
  <c r="AP11" i="187"/>
  <c r="W11" i="187"/>
  <c r="BB11" i="187"/>
  <c r="BG11" i="187"/>
  <c r="AX11" i="187"/>
  <c r="AN11" i="187"/>
  <c r="AL11" i="187"/>
  <c r="CA11" i="187"/>
  <c r="AA11" i="187"/>
  <c r="BE11" i="187"/>
  <c r="BV11" i="187"/>
  <c r="AF11" i="187"/>
  <c r="AZ11" i="187"/>
  <c r="Q11" i="187"/>
  <c r="AI11" i="187"/>
  <c r="BM11" i="187"/>
  <c r="AU11" i="187"/>
  <c r="AV11" i="187"/>
  <c r="AM11" i="187"/>
  <c r="AD11" i="187"/>
  <c r="BR11" i="187"/>
  <c r="G27" i="187"/>
  <c r="Q27" i="187" a="1"/>
  <c r="S27" i="187" l="1"/>
  <c r="BV27" i="187"/>
  <c r="BB27" i="187"/>
  <c r="AZ27" i="187"/>
  <c r="BI27" i="187"/>
  <c r="BS27" i="187"/>
  <c r="CB27" i="187"/>
  <c r="CC27" i="187"/>
  <c r="BR27" i="187"/>
  <c r="AA27" i="187"/>
  <c r="AT27" i="187"/>
  <c r="AJ27" i="187"/>
  <c r="AK27" i="187"/>
  <c r="AM27" i="187"/>
  <c r="AN27" i="187"/>
  <c r="AG27" i="187"/>
  <c r="Z27" i="187"/>
  <c r="BX27" i="187"/>
  <c r="V27" i="187"/>
  <c r="BE27" i="187"/>
  <c r="BO27" i="187"/>
  <c r="BJ27" i="187"/>
  <c r="Q27" i="187"/>
  <c r="BZ27" i="187"/>
  <c r="BF27" i="187"/>
  <c r="BY27" i="187"/>
  <c r="CA27" i="187"/>
  <c r="X27" i="187"/>
  <c r="AF27" i="187"/>
  <c r="AC27" i="187"/>
  <c r="BM27" i="187"/>
  <c r="BQ27" i="187"/>
  <c r="AP27" i="187"/>
  <c r="T27" i="187"/>
  <c r="AX27" i="187"/>
  <c r="U27" i="187"/>
  <c r="AV27" i="187"/>
  <c r="BN27" i="187"/>
  <c r="AS27" i="187"/>
  <c r="Y27" i="187"/>
  <c r="BW27" i="187"/>
  <c r="BH27" i="187"/>
  <c r="AU27" i="187"/>
  <c r="AO27" i="187"/>
  <c r="AI27" i="187"/>
  <c r="AB27" i="187"/>
  <c r="BC27" i="187"/>
  <c r="AW27" i="187"/>
  <c r="AQ27" i="187"/>
  <c r="BL27" i="187"/>
  <c r="W27" i="187"/>
  <c r="BD27" i="187"/>
  <c r="R27" i="187"/>
  <c r="AY27" i="187"/>
  <c r="AL27" i="187"/>
  <c r="BP27" i="187"/>
  <c r="AE27" i="187"/>
  <c r="BU27" i="187"/>
  <c r="AH27" i="187"/>
  <c r="BG27" i="187"/>
  <c r="AD27" i="187"/>
  <c r="AR27" i="187"/>
  <c r="BA27" i="187"/>
  <c r="BK27" i="187"/>
  <c r="BT27" i="187"/>
  <c r="G9" i="187"/>
  <c r="Q9" i="187" a="1"/>
  <c r="CA9" i="187" l="1"/>
  <c r="CB9" i="187"/>
  <c r="BG9" i="187"/>
  <c r="AI9" i="187"/>
  <c r="Z9" i="187"/>
  <c r="BN9" i="187"/>
  <c r="BB9" i="187"/>
  <c r="BU9" i="187"/>
  <c r="R9" i="187"/>
  <c r="X9" i="187"/>
  <c r="BR9" i="187"/>
  <c r="BQ9" i="187"/>
  <c r="AX9" i="187"/>
  <c r="AL9" i="187"/>
  <c r="BO9" i="187"/>
  <c r="Y9" i="187"/>
  <c r="W9" i="187"/>
  <c r="S9" i="187"/>
  <c r="AB9" i="187"/>
  <c r="BX9" i="187"/>
  <c r="AP9" i="187"/>
  <c r="T9" i="187"/>
  <c r="AM9" i="187"/>
  <c r="AH9" i="187"/>
  <c r="AU9" i="187"/>
  <c r="AJ9" i="187"/>
  <c r="BC9" i="187"/>
  <c r="BJ9" i="187"/>
  <c r="BL9" i="187"/>
  <c r="AD9" i="187"/>
  <c r="BP9" i="187"/>
  <c r="BV9" i="187"/>
  <c r="CC9" i="187"/>
  <c r="AT9" i="187"/>
  <c r="AE9" i="187"/>
  <c r="V9" i="187"/>
  <c r="AC9" i="187"/>
  <c r="BK9" i="187"/>
  <c r="BI9" i="187"/>
  <c r="Q9" i="187"/>
  <c r="BT9" i="187"/>
  <c r="AR9" i="187"/>
  <c r="AZ9" i="187"/>
  <c r="AG9" i="187"/>
  <c r="AV9" i="187"/>
  <c r="BH9" i="187"/>
  <c r="BY9" i="187"/>
  <c r="AO9" i="187"/>
  <c r="BD9" i="187"/>
  <c r="BE9" i="187"/>
  <c r="AK9" i="187"/>
  <c r="BA9" i="187"/>
  <c r="AW9" i="187"/>
  <c r="AF9" i="187"/>
  <c r="BF9" i="187"/>
  <c r="AY9" i="187"/>
  <c r="BZ9" i="187"/>
  <c r="BS9" i="187"/>
  <c r="AN9" i="187"/>
  <c r="AS9" i="187"/>
  <c r="U9" i="187"/>
  <c r="BW9" i="187"/>
  <c r="AA9" i="187"/>
  <c r="AQ9" i="187"/>
  <c r="BM9" i="187"/>
  <c r="G68" i="187"/>
  <c r="Q68" i="187" a="1"/>
  <c r="BW68" i="187" l="1"/>
  <c r="AR68" i="187"/>
  <c r="BA68" i="187"/>
  <c r="BZ68" i="187"/>
  <c r="AF68" i="187"/>
  <c r="Q68" i="187"/>
  <c r="CC68" i="187"/>
  <c r="BV68" i="187"/>
  <c r="AX68" i="187"/>
  <c r="BT68" i="187"/>
  <c r="BX68" i="187"/>
  <c r="V68" i="187"/>
  <c r="AE68" i="187"/>
  <c r="AN68" i="187"/>
  <c r="BQ68" i="187"/>
  <c r="BR68" i="187"/>
  <c r="BS68" i="187"/>
  <c r="BP68" i="187"/>
  <c r="BG68" i="187"/>
  <c r="BC68" i="187"/>
  <c r="AG68" i="187"/>
  <c r="AU68" i="187"/>
  <c r="AQ68" i="187"/>
  <c r="AV68" i="187"/>
  <c r="BO68" i="187"/>
  <c r="BI68" i="187"/>
  <c r="W68" i="187"/>
  <c r="AM68" i="187"/>
  <c r="AO68" i="187"/>
  <c r="U68" i="187"/>
  <c r="BM68" i="187"/>
  <c r="AC68" i="187"/>
  <c r="BU68" i="187"/>
  <c r="AT68" i="187"/>
  <c r="BF68" i="187"/>
  <c r="AK68" i="187"/>
  <c r="BD68" i="187"/>
  <c r="AY68" i="187"/>
  <c r="BY68" i="187"/>
  <c r="AH68" i="187"/>
  <c r="T68" i="187"/>
  <c r="AZ68" i="187"/>
  <c r="BL68" i="187"/>
  <c r="AP68" i="187"/>
  <c r="AB68" i="187"/>
  <c r="BB68" i="187"/>
  <c r="CB68" i="187"/>
  <c r="AW68" i="187"/>
  <c r="BN68" i="187"/>
  <c r="R68" i="187"/>
  <c r="AD68" i="187"/>
  <c r="BK68" i="187"/>
  <c r="BE68" i="187"/>
  <c r="S68" i="187"/>
  <c r="BH68" i="187"/>
  <c r="AL68" i="187"/>
  <c r="CA68" i="187"/>
  <c r="AI68" i="187"/>
  <c r="AA68" i="187"/>
  <c r="AJ68" i="187"/>
  <c r="AS68" i="187"/>
  <c r="BJ68" i="187"/>
  <c r="X68" i="187"/>
  <c r="Y68" i="187"/>
  <c r="Z68" i="187"/>
  <c r="G43" i="187"/>
  <c r="Q43" i="187" a="1"/>
  <c r="AG43" i="187" l="1"/>
  <c r="Q43" i="187"/>
  <c r="BJ43" i="187"/>
  <c r="AZ43" i="187"/>
  <c r="AC43" i="187"/>
  <c r="T43" i="187"/>
  <c r="BS43" i="187"/>
  <c r="AF43" i="187"/>
  <c r="AA43" i="187"/>
  <c r="BM43" i="187"/>
  <c r="AJ43" i="187"/>
  <c r="BY43" i="187"/>
  <c r="AQ43" i="187"/>
  <c r="BQ43" i="187"/>
  <c r="AT43" i="187"/>
  <c r="BN43" i="187"/>
  <c r="BT43" i="187"/>
  <c r="S43" i="187"/>
  <c r="AN43" i="187"/>
  <c r="AO43" i="187"/>
  <c r="AH43" i="187"/>
  <c r="Y43" i="187"/>
  <c r="AL43" i="187"/>
  <c r="BU43" i="187"/>
  <c r="R43" i="187"/>
  <c r="Z43" i="187"/>
  <c r="AR43" i="187"/>
  <c r="W43" i="187"/>
  <c r="BC43" i="187"/>
  <c r="CC43" i="187"/>
  <c r="BI43" i="187"/>
  <c r="BH43" i="187"/>
  <c r="BW43" i="187"/>
  <c r="BD43" i="187"/>
  <c r="BB43" i="187"/>
  <c r="AP43" i="187"/>
  <c r="AK43" i="187"/>
  <c r="AD43" i="187"/>
  <c r="AV43" i="187"/>
  <c r="AM43" i="187"/>
  <c r="U43" i="187"/>
  <c r="AW43" i="187"/>
  <c r="BA43" i="187"/>
  <c r="AI43" i="187"/>
  <c r="BL43" i="187"/>
  <c r="V43" i="187"/>
  <c r="BO43" i="187"/>
  <c r="AE43" i="187"/>
  <c r="BV43" i="187"/>
  <c r="BP43" i="187"/>
  <c r="AU43" i="187"/>
  <c r="BZ43" i="187"/>
  <c r="AS43" i="187"/>
  <c r="X43" i="187"/>
  <c r="BE43" i="187"/>
  <c r="AY43" i="187"/>
  <c r="BK43" i="187"/>
  <c r="BF43" i="187"/>
  <c r="BG43" i="187"/>
  <c r="AX43" i="187"/>
  <c r="CB43" i="187"/>
  <c r="BX43" i="187"/>
  <c r="AB43" i="187"/>
  <c r="CA43" i="187"/>
  <c r="BR43" i="187"/>
  <c r="G12" i="187"/>
  <c r="Q12" i="187" a="1"/>
  <c r="W12" i="187" l="1"/>
  <c r="CA12" i="187"/>
  <c r="AX12" i="187"/>
  <c r="AK12" i="187"/>
  <c r="Q12" i="187"/>
  <c r="BP12" i="187"/>
  <c r="BG12" i="187"/>
  <c r="CB12" i="187"/>
  <c r="AQ12" i="187"/>
  <c r="BC12" i="187"/>
  <c r="U12" i="187"/>
  <c r="BM12" i="187"/>
  <c r="AB12" i="187"/>
  <c r="BE12" i="187"/>
  <c r="AH12" i="187"/>
  <c r="BD12" i="187"/>
  <c r="BB12" i="187"/>
  <c r="BN12" i="187"/>
  <c r="V12" i="187"/>
  <c r="BY12" i="187"/>
  <c r="BT12" i="187"/>
  <c r="BR12" i="187"/>
  <c r="AO12" i="187"/>
  <c r="AE12" i="187"/>
  <c r="AZ12" i="187"/>
  <c r="BZ12" i="187"/>
  <c r="BF12" i="187"/>
  <c r="BI12" i="187"/>
  <c r="BU12" i="187"/>
  <c r="BX12" i="187"/>
  <c r="X12" i="187"/>
  <c r="BW12" i="187"/>
  <c r="S12" i="187"/>
  <c r="AW12" i="187"/>
  <c r="AA12" i="187"/>
  <c r="BQ12" i="187"/>
  <c r="AM12" i="187"/>
  <c r="AI12" i="187"/>
  <c r="R12" i="187"/>
  <c r="AV12" i="187"/>
  <c r="AU12" i="187"/>
  <c r="BV12" i="187"/>
  <c r="AC12" i="187"/>
  <c r="BL12" i="187"/>
  <c r="BK12" i="187"/>
  <c r="BH12" i="187"/>
  <c r="BO12" i="187"/>
  <c r="T12" i="187"/>
  <c r="AD12" i="187"/>
  <c r="AF12" i="187"/>
  <c r="CC12" i="187"/>
  <c r="AS12" i="187"/>
  <c r="AL12" i="187"/>
  <c r="AJ12" i="187"/>
  <c r="Z12" i="187"/>
  <c r="AP12" i="187"/>
  <c r="AG12" i="187"/>
  <c r="BJ12" i="187"/>
  <c r="AT12" i="187"/>
  <c r="BS12" i="187"/>
  <c r="Y12" i="187"/>
  <c r="AY12" i="187"/>
  <c r="BA12" i="187"/>
  <c r="AR12" i="187"/>
  <c r="AN12" i="187"/>
  <c r="G25" i="187"/>
  <c r="Q25" i="187" a="1"/>
  <c r="Q25" i="187" l="1"/>
  <c r="AM25" i="187"/>
  <c r="BH25" i="187"/>
  <c r="AU25" i="187"/>
  <c r="AI25" i="187"/>
  <c r="X25" i="187"/>
  <c r="AR25" i="187"/>
  <c r="AX25" i="187"/>
  <c r="AT25" i="187"/>
  <c r="AW25" i="187"/>
  <c r="BR25" i="187"/>
  <c r="AF25" i="187"/>
  <c r="AY25" i="187"/>
  <c r="W25" i="187"/>
  <c r="V25" i="187"/>
  <c r="CA25" i="187"/>
  <c r="BW25" i="187"/>
  <c r="AG25" i="187"/>
  <c r="U25" i="187"/>
  <c r="BU25" i="187"/>
  <c r="BN25" i="187"/>
  <c r="BX25" i="187"/>
  <c r="BB25" i="187"/>
  <c r="AN25" i="187"/>
  <c r="R25" i="187"/>
  <c r="S25" i="187"/>
  <c r="AO25" i="187"/>
  <c r="AL25" i="187"/>
  <c r="AS25" i="187"/>
  <c r="BZ25" i="187"/>
  <c r="AD25" i="187"/>
  <c r="AK25" i="187"/>
  <c r="BS25" i="187"/>
  <c r="BI25" i="187"/>
  <c r="AH25" i="187"/>
  <c r="CC25" i="187"/>
  <c r="AQ25" i="187"/>
  <c r="BV25" i="187"/>
  <c r="T25" i="187"/>
  <c r="AB25" i="187"/>
  <c r="CB25" i="187"/>
  <c r="BY25" i="187"/>
  <c r="BK25" i="187"/>
  <c r="BQ25" i="187"/>
  <c r="AA25" i="187"/>
  <c r="BP25" i="187"/>
  <c r="BA25" i="187"/>
  <c r="AC25" i="187"/>
  <c r="Z25" i="187"/>
  <c r="BJ25" i="187"/>
  <c r="BC25" i="187"/>
  <c r="BE25" i="187"/>
  <c r="Y25" i="187"/>
  <c r="AV25" i="187"/>
  <c r="AP25" i="187"/>
  <c r="AJ25" i="187"/>
  <c r="BL25" i="187"/>
  <c r="BO25" i="187"/>
  <c r="BG25" i="187"/>
  <c r="BD25" i="187"/>
  <c r="BT25" i="187"/>
  <c r="AE25" i="187"/>
  <c r="BM25" i="187"/>
  <c r="AZ25" i="187"/>
  <c r="BF25" i="187"/>
  <c r="G20" i="187"/>
  <c r="Q20" i="187" a="1"/>
  <c r="CB20" i="187" l="1"/>
  <c r="AK20" i="187"/>
  <c r="BF20" i="187"/>
  <c r="S20" i="187"/>
  <c r="BJ20" i="187"/>
  <c r="AH20" i="187"/>
  <c r="BO20" i="187"/>
  <c r="BU20" i="187"/>
  <c r="AL20" i="187"/>
  <c r="AN20" i="187"/>
  <c r="BG20" i="187"/>
  <c r="BZ20" i="187"/>
  <c r="AC20" i="187"/>
  <c r="AZ20" i="187"/>
  <c r="BW20" i="187"/>
  <c r="AI20" i="187"/>
  <c r="AO20" i="187"/>
  <c r="BE20" i="187"/>
  <c r="BI20" i="187"/>
  <c r="X20" i="187"/>
  <c r="CC20" i="187"/>
  <c r="AX20" i="187"/>
  <c r="U20" i="187"/>
  <c r="BK20" i="187"/>
  <c r="AG20" i="187"/>
  <c r="AW20" i="187"/>
  <c r="AA20" i="187"/>
  <c r="V20" i="187"/>
  <c r="R20" i="187"/>
  <c r="BN20" i="187"/>
  <c r="AB20" i="187"/>
  <c r="BX20" i="187"/>
  <c r="BS20" i="187"/>
  <c r="BP20" i="187"/>
  <c r="AU20" i="187"/>
  <c r="AE20" i="187"/>
  <c r="BM20" i="187"/>
  <c r="AT20" i="187"/>
  <c r="T20" i="187"/>
  <c r="W20" i="187"/>
  <c r="BT20" i="187"/>
  <c r="CA20" i="187"/>
  <c r="AD20" i="187"/>
  <c r="AS20" i="187"/>
  <c r="BQ20" i="187"/>
  <c r="AM20" i="187"/>
  <c r="AQ20" i="187"/>
  <c r="BC20" i="187"/>
  <c r="BD20" i="187"/>
  <c r="AR20" i="187"/>
  <c r="AY20" i="187"/>
  <c r="BA20" i="187"/>
  <c r="BY20" i="187"/>
  <c r="BL20" i="187"/>
  <c r="Z20" i="187"/>
  <c r="BH20" i="187"/>
  <c r="AP20" i="187"/>
  <c r="AV20" i="187"/>
  <c r="Q20" i="187"/>
  <c r="AF20" i="187"/>
  <c r="AJ20" i="187"/>
  <c r="BR20" i="187"/>
  <c r="BV20" i="187"/>
  <c r="BB20" i="187"/>
  <c r="Y20" i="187"/>
  <c r="G26" i="187"/>
  <c r="Q26" i="187" a="1"/>
  <c r="BR26" i="187" l="1"/>
  <c r="V26" i="187"/>
  <c r="Q26" i="187"/>
  <c r="W26" i="187"/>
  <c r="AN26" i="187"/>
  <c r="AP26" i="187"/>
  <c r="AY26" i="187"/>
  <c r="BH26" i="187"/>
  <c r="BD26" i="187"/>
  <c r="AI26" i="187"/>
  <c r="T26" i="187"/>
  <c r="AD26" i="187"/>
  <c r="AG26" i="187"/>
  <c r="CC26" i="187"/>
  <c r="AE26" i="187"/>
  <c r="AF26" i="187"/>
  <c r="Z26" i="187"/>
  <c r="AA26" i="187"/>
  <c r="AB26" i="187"/>
  <c r="AU26" i="187"/>
  <c r="BV26" i="187"/>
  <c r="BI26" i="187"/>
  <c r="AJ26" i="187"/>
  <c r="AK26" i="187"/>
  <c r="AM26" i="187"/>
  <c r="R26" i="187"/>
  <c r="BP26" i="187"/>
  <c r="AW26" i="187"/>
  <c r="BK26" i="187"/>
  <c r="BF26" i="187"/>
  <c r="AL26" i="187"/>
  <c r="AV26" i="187"/>
  <c r="BL26" i="187"/>
  <c r="BM26" i="187"/>
  <c r="AS26" i="187"/>
  <c r="BA26" i="187"/>
  <c r="AQ26" i="187"/>
  <c r="S26" i="187"/>
  <c r="CA26" i="187"/>
  <c r="BZ26" i="187"/>
  <c r="U26" i="187"/>
  <c r="BS26" i="187"/>
  <c r="BN26" i="187"/>
  <c r="AR26" i="187"/>
  <c r="AO26" i="187"/>
  <c r="BE26" i="187"/>
  <c r="BB26" i="187"/>
  <c r="BQ26" i="187"/>
  <c r="BC26" i="187"/>
  <c r="BT26" i="187"/>
  <c r="Y26" i="187"/>
  <c r="CB26" i="187"/>
  <c r="BO26" i="187"/>
  <c r="AH26" i="187"/>
  <c r="BG26" i="187"/>
  <c r="BX26" i="187"/>
  <c r="BU26" i="187"/>
  <c r="AC26" i="187"/>
  <c r="X26" i="187"/>
  <c r="AX26" i="187"/>
  <c r="BW26" i="187"/>
  <c r="BY26" i="187"/>
  <c r="AZ26" i="187"/>
  <c r="AT26" i="187"/>
  <c r="BJ26" i="187"/>
  <c r="G56" i="187"/>
  <c r="Q56" i="187" a="1"/>
  <c r="AF56" i="187" l="1"/>
  <c r="AY56" i="187"/>
  <c r="BW56" i="187"/>
  <c r="AI56" i="187"/>
  <c r="BF56" i="187"/>
  <c r="BS56" i="187"/>
  <c r="T56" i="187"/>
  <c r="BI56" i="187"/>
  <c r="AA56" i="187"/>
  <c r="BK56" i="187"/>
  <c r="BU56" i="187"/>
  <c r="AT56" i="187"/>
  <c r="S56" i="187"/>
  <c r="Y56" i="187"/>
  <c r="AX56" i="187"/>
  <c r="BA56" i="187"/>
  <c r="AH56" i="187"/>
  <c r="BE56" i="187"/>
  <c r="BJ56" i="187"/>
  <c r="BQ56" i="187"/>
  <c r="AQ56" i="187"/>
  <c r="BO56" i="187"/>
  <c r="BG56" i="187"/>
  <c r="BX56" i="187"/>
  <c r="CA56" i="187"/>
  <c r="BY56" i="187"/>
  <c r="AG56" i="187"/>
  <c r="BR56" i="187"/>
  <c r="AR56" i="187"/>
  <c r="AL56" i="187"/>
  <c r="AJ56" i="187"/>
  <c r="BL56" i="187"/>
  <c r="AK56" i="187"/>
  <c r="X56" i="187"/>
  <c r="AS56" i="187"/>
  <c r="Q56" i="187"/>
  <c r="U56" i="187"/>
  <c r="BV56" i="187"/>
  <c r="BT56" i="187"/>
  <c r="BC56" i="187"/>
  <c r="CC56" i="187"/>
  <c r="AC56" i="187"/>
  <c r="AP56" i="187"/>
  <c r="BN56" i="187"/>
  <c r="V56" i="187"/>
  <c r="Z56" i="187"/>
  <c r="AM56" i="187"/>
  <c r="BH56" i="187"/>
  <c r="AW56" i="187"/>
  <c r="BD56" i="187"/>
  <c r="AB56" i="187"/>
  <c r="R56" i="187"/>
  <c r="BZ56" i="187"/>
  <c r="AV56" i="187"/>
  <c r="BP56" i="187"/>
  <c r="AE56" i="187"/>
  <c r="BM56" i="187"/>
  <c r="AU56" i="187"/>
  <c r="CB56" i="187"/>
  <c r="AD56" i="187"/>
  <c r="AZ56" i="187"/>
  <c r="AN56" i="187"/>
  <c r="AO56" i="187"/>
  <c r="W56" i="187"/>
  <c r="BB56" i="187"/>
  <c r="G58" i="187"/>
  <c r="Q58" i="187" a="1"/>
  <c r="AF58" i="187" l="1"/>
  <c r="W58" i="187"/>
  <c r="BX58" i="187"/>
  <c r="AJ58" i="187"/>
  <c r="AW58" i="187"/>
  <c r="BH58" i="187"/>
  <c r="BR58" i="187"/>
  <c r="BS58" i="187"/>
  <c r="R58" i="187"/>
  <c r="AP58" i="187"/>
  <c r="BN58" i="187"/>
  <c r="AC58" i="187"/>
  <c r="AN58" i="187"/>
  <c r="T58" i="187"/>
  <c r="BD58" i="187"/>
  <c r="AX58" i="187"/>
  <c r="V58" i="187"/>
  <c r="BE58" i="187"/>
  <c r="CA58" i="187"/>
  <c r="AO58" i="187"/>
  <c r="BM58" i="187"/>
  <c r="Y58" i="187"/>
  <c r="AV58" i="187"/>
  <c r="BG58" i="187"/>
  <c r="BT58" i="187"/>
  <c r="BZ58" i="187"/>
  <c r="BY58" i="187"/>
  <c r="AM58" i="187"/>
  <c r="Z58" i="187"/>
  <c r="AQ58" i="187"/>
  <c r="AK58" i="187"/>
  <c r="CC58" i="187"/>
  <c r="BI58" i="187"/>
  <c r="AD58" i="187"/>
  <c r="AB58" i="187"/>
  <c r="AI58" i="187"/>
  <c r="AE58" i="187"/>
  <c r="BW58" i="187"/>
  <c r="X58" i="187"/>
  <c r="BJ58" i="187"/>
  <c r="BA58" i="187"/>
  <c r="AY58" i="187"/>
  <c r="U58" i="187"/>
  <c r="AL58" i="187"/>
  <c r="AG58" i="187"/>
  <c r="AT58" i="187"/>
  <c r="AZ58" i="187"/>
  <c r="BO58" i="187"/>
  <c r="BL58" i="187"/>
  <c r="AA58" i="187"/>
  <c r="AR58" i="187"/>
  <c r="AU58" i="187"/>
  <c r="S58" i="187"/>
  <c r="Q58" i="187"/>
  <c r="BC58" i="187"/>
  <c r="BQ58" i="187"/>
  <c r="CB58" i="187"/>
  <c r="AS58" i="187"/>
  <c r="BF58" i="187"/>
  <c r="BB58" i="187"/>
  <c r="BV58" i="187"/>
  <c r="AH58" i="187"/>
  <c r="BK58" i="187"/>
  <c r="BU58" i="187"/>
  <c r="BP58" i="187"/>
  <c r="G54" i="187"/>
  <c r="Q54" i="187" a="1"/>
  <c r="BG54" i="187" l="1"/>
  <c r="BX54" i="187"/>
  <c r="V54" i="187"/>
  <c r="AE54" i="187"/>
  <c r="AO54" i="187"/>
  <c r="AP54" i="187"/>
  <c r="AR54" i="187"/>
  <c r="AS54" i="187"/>
  <c r="AV54" i="187"/>
  <c r="BV54" i="187"/>
  <c r="Z54" i="187"/>
  <c r="AU54" i="187"/>
  <c r="AY54" i="187"/>
  <c r="BY54" i="187"/>
  <c r="BQ54" i="187"/>
  <c r="Y54" i="187"/>
  <c r="CA54" i="187"/>
  <c r="BD54" i="187"/>
  <c r="AG54" i="187"/>
  <c r="AC54" i="187"/>
  <c r="AK54" i="187"/>
  <c r="S54" i="187"/>
  <c r="AL54" i="187"/>
  <c r="BM54" i="187"/>
  <c r="AH54" i="187"/>
  <c r="AF54" i="187"/>
  <c r="BC54" i="187"/>
  <c r="BP54" i="187"/>
  <c r="BR54" i="187"/>
  <c r="BL54" i="187"/>
  <c r="U54" i="187"/>
  <c r="AB54" i="187"/>
  <c r="BH54" i="187"/>
  <c r="BJ54" i="187"/>
  <c r="R54" i="187"/>
  <c r="BO54" i="187"/>
  <c r="T54" i="187"/>
  <c r="AD54" i="187"/>
  <c r="AN54" i="187"/>
  <c r="AX54" i="187"/>
  <c r="AZ54" i="187"/>
  <c r="BA54" i="187"/>
  <c r="BB54" i="187"/>
  <c r="BE54" i="187"/>
  <c r="AI54" i="187"/>
  <c r="BU54" i="187"/>
  <c r="BN54" i="187"/>
  <c r="AA54" i="187"/>
  <c r="X54" i="187"/>
  <c r="CC54" i="187"/>
  <c r="AJ54" i="187"/>
  <c r="CB54" i="187"/>
  <c r="W54" i="187"/>
  <c r="BS54" i="187"/>
  <c r="BW54" i="187"/>
  <c r="AT54" i="187"/>
  <c r="BT54" i="187"/>
  <c r="BF54" i="187"/>
  <c r="AQ54" i="187"/>
  <c r="AM54" i="187"/>
  <c r="BZ54" i="187"/>
  <c r="Q54" i="187"/>
  <c r="AW54" i="187"/>
  <c r="BI54" i="187"/>
  <c r="BK54" i="187"/>
  <c r="G49" i="187"/>
  <c r="Q49" i="187" a="1"/>
  <c r="BE49" i="187" l="1"/>
  <c r="BJ49" i="187"/>
  <c r="BR49" i="187"/>
  <c r="BT49" i="187"/>
  <c r="T49" i="187"/>
  <c r="AD49" i="187"/>
  <c r="AN49" i="187"/>
  <c r="AY49" i="187"/>
  <c r="V49" i="187"/>
  <c r="BM49" i="187"/>
  <c r="BS49" i="187"/>
  <c r="CA49" i="187"/>
  <c r="S49" i="187"/>
  <c r="AC49" i="187"/>
  <c r="AM49" i="187"/>
  <c r="AX49" i="187"/>
  <c r="BH49" i="187"/>
  <c r="BZ49" i="187"/>
  <c r="BV49" i="187"/>
  <c r="AF49" i="187"/>
  <c r="BC49" i="187"/>
  <c r="BL49" i="187"/>
  <c r="X49" i="187"/>
  <c r="AP49" i="187"/>
  <c r="AA49" i="187"/>
  <c r="U49" i="187"/>
  <c r="AJ49" i="187"/>
  <c r="Y49" i="187"/>
  <c r="Z49" i="187"/>
  <c r="AU49" i="187"/>
  <c r="AQ49" i="187"/>
  <c r="AE49" i="187"/>
  <c r="AZ49" i="187"/>
  <c r="AT49" i="187"/>
  <c r="BI49" i="187"/>
  <c r="BF49" i="187"/>
  <c r="Q49" i="187"/>
  <c r="AK49" i="187"/>
  <c r="BO49" i="187"/>
  <c r="AG49" i="187"/>
  <c r="AI49" i="187"/>
  <c r="BA49" i="187"/>
  <c r="BX49" i="187"/>
  <c r="AW49" i="187"/>
  <c r="AR49" i="187"/>
  <c r="AS49" i="187"/>
  <c r="BD49" i="187"/>
  <c r="BY49" i="187"/>
  <c r="CC49" i="187"/>
  <c r="AO49" i="187"/>
  <c r="BB49" i="187"/>
  <c r="BW49" i="187"/>
  <c r="W49" i="187"/>
  <c r="AH49" i="187"/>
  <c r="BK49" i="187"/>
  <c r="BN49" i="187"/>
  <c r="BP49" i="187"/>
  <c r="BU49" i="187"/>
  <c r="CB49" i="187"/>
  <c r="R49" i="187"/>
  <c r="AB49" i="187"/>
  <c r="AL49" i="187"/>
  <c r="AV49" i="187"/>
  <c r="BG49" i="187"/>
  <c r="BQ49" i="187"/>
  <c r="G7" i="187"/>
  <c r="Q7" i="187" a="1"/>
  <c r="AT7" i="187" l="1"/>
  <c r="BW7" i="187"/>
  <c r="X7" i="187"/>
  <c r="AS7" i="187"/>
  <c r="BP7" i="187"/>
  <c r="BQ7" i="187"/>
  <c r="AC7" i="187"/>
  <c r="AU7" i="187"/>
  <c r="BM7" i="187"/>
  <c r="BB7" i="187"/>
  <c r="U7" i="187"/>
  <c r="AH7" i="187"/>
  <c r="BE7" i="187"/>
  <c r="CB7" i="187"/>
  <c r="R7" i="187"/>
  <c r="AO7" i="187"/>
  <c r="BC7" i="187"/>
  <c r="Q7" i="187"/>
  <c r="BR7" i="187"/>
  <c r="AL7" i="187"/>
  <c r="BZ7" i="187"/>
  <c r="AZ7" i="187"/>
  <c r="Y7" i="187"/>
  <c r="BY7" i="187"/>
  <c r="CC7" i="187"/>
  <c r="Z7" i="187"/>
  <c r="AN7" i="187"/>
  <c r="S7" i="187"/>
  <c r="AF7" i="187"/>
  <c r="AX7" i="187"/>
  <c r="BL7" i="187"/>
  <c r="BU7" i="187"/>
  <c r="BA7" i="187"/>
  <c r="BX7" i="187"/>
  <c r="W7" i="187"/>
  <c r="AQ7" i="187"/>
  <c r="AJ7" i="187"/>
  <c r="AE7" i="187"/>
  <c r="BN7" i="187"/>
  <c r="AW7" i="187"/>
  <c r="AM7" i="187"/>
  <c r="BD7" i="187"/>
  <c r="BG7" i="187"/>
  <c r="BS7" i="187"/>
  <c r="BV7" i="187"/>
  <c r="AV7" i="187"/>
  <c r="BH7" i="187"/>
  <c r="CA7" i="187"/>
  <c r="AG7" i="187"/>
  <c r="AD7" i="187"/>
  <c r="BF7" i="187"/>
  <c r="BT7" i="187"/>
  <c r="V7" i="187"/>
  <c r="AP7" i="187"/>
  <c r="AI7" i="187"/>
  <c r="AA7" i="187"/>
  <c r="BI7" i="187"/>
  <c r="BJ7" i="187"/>
  <c r="T7" i="187"/>
  <c r="AR7" i="187"/>
  <c r="BO7" i="187"/>
  <c r="AK7" i="187"/>
  <c r="AB7" i="187"/>
  <c r="AY7" i="187"/>
  <c r="BK7" i="187"/>
  <c r="G69" i="187"/>
  <c r="Q69" i="187" a="1"/>
  <c r="AW69" i="187" l="1"/>
  <c r="AP69" i="187"/>
  <c r="AQ69" i="187"/>
  <c r="AR69" i="187"/>
  <c r="AK69" i="187"/>
  <c r="AT69" i="187"/>
  <c r="AU69" i="187"/>
  <c r="AV69" i="187"/>
  <c r="BE69" i="187"/>
  <c r="AX69" i="187"/>
  <c r="AY69" i="187"/>
  <c r="AZ69" i="187"/>
  <c r="AS69" i="187"/>
  <c r="BB69" i="187"/>
  <c r="BC69" i="187"/>
  <c r="BD69" i="187"/>
  <c r="BM69" i="187"/>
  <c r="BF69" i="187"/>
  <c r="BG69" i="187"/>
  <c r="BH69" i="187"/>
  <c r="BA69" i="187"/>
  <c r="BJ69" i="187"/>
  <c r="BK69" i="187"/>
  <c r="BL69" i="187"/>
  <c r="BQ69" i="187"/>
  <c r="V69" i="187"/>
  <c r="X69" i="187"/>
  <c r="CC69" i="187"/>
  <c r="CA69" i="187"/>
  <c r="BI69" i="187"/>
  <c r="BR69" i="187"/>
  <c r="BS69" i="187"/>
  <c r="BT69" i="187"/>
  <c r="R69" i="187"/>
  <c r="T69" i="187"/>
  <c r="AB69" i="187"/>
  <c r="CB69" i="187"/>
  <c r="BW69" i="187"/>
  <c r="BZ69" i="187"/>
  <c r="BU69" i="187"/>
  <c r="BN69" i="187"/>
  <c r="AN69" i="187"/>
  <c r="Y69" i="187"/>
  <c r="U69" i="187"/>
  <c r="AO69" i="187"/>
  <c r="AA69" i="187"/>
  <c r="AD69" i="187"/>
  <c r="BX69" i="187"/>
  <c r="AJ69" i="187"/>
  <c r="W69" i="187"/>
  <c r="AG69" i="187"/>
  <c r="BO69" i="187"/>
  <c r="AL69" i="187"/>
  <c r="AH69" i="187"/>
  <c r="S69" i="187"/>
  <c r="AF69" i="187"/>
  <c r="AE69" i="187"/>
  <c r="AC69" i="187"/>
  <c r="Q69" i="187"/>
  <c r="BV69" i="187"/>
  <c r="BP69" i="187"/>
  <c r="Z69" i="187"/>
  <c r="BY69" i="187"/>
  <c r="AM69" i="187"/>
  <c r="AI69" i="187"/>
  <c r="G6" i="187"/>
  <c r="Q6" i="187" a="1"/>
  <c r="AE6" i="187" l="1"/>
  <c r="AE72" i="187" s="1"/>
  <c r="AC6" i="187"/>
  <c r="AC72" i="187" s="1"/>
  <c r="BU6" i="187"/>
  <c r="BU72" i="187" s="1"/>
  <c r="AH6" i="187"/>
  <c r="AH72" i="187" s="1"/>
  <c r="AT6" i="187"/>
  <c r="AT72" i="187" s="1"/>
  <c r="BM6" i="187"/>
  <c r="BM72" i="187" s="1"/>
  <c r="AD6" i="187"/>
  <c r="AD72" i="187" s="1"/>
  <c r="AJ6" i="187"/>
  <c r="AJ72" i="187" s="1"/>
  <c r="Y6" i="187"/>
  <c r="Y72" i="187" s="1"/>
  <c r="Z6" i="187"/>
  <c r="Z72" i="187" s="1"/>
  <c r="AP6" i="187"/>
  <c r="AP72" i="187" s="1"/>
  <c r="X6" i="187"/>
  <c r="X72" i="187" s="1"/>
  <c r="BJ6" i="187"/>
  <c r="BJ72" i="187" s="1"/>
  <c r="S6" i="187"/>
  <c r="S72" i="187" s="1"/>
  <c r="BC6" i="187"/>
  <c r="BC72" i="187" s="1"/>
  <c r="AO6" i="187"/>
  <c r="AO72" i="187" s="1"/>
  <c r="BH6" i="187"/>
  <c r="BH72" i="187" s="1"/>
  <c r="AQ6" i="187"/>
  <c r="AQ72" i="187" s="1"/>
  <c r="CC6" i="187"/>
  <c r="CC72" i="187" s="1"/>
  <c r="BS6" i="187"/>
  <c r="BS72" i="187" s="1"/>
  <c r="AB6" i="187"/>
  <c r="AB72" i="187" s="1"/>
  <c r="AW6" i="187"/>
  <c r="AW72" i="187" s="1"/>
  <c r="BY6" i="187"/>
  <c r="BY72" i="187" s="1"/>
  <c r="BA6" i="187"/>
  <c r="BA72" i="187" s="1"/>
  <c r="AR6" i="187"/>
  <c r="AR72" i="187" s="1"/>
  <c r="AF6" i="187"/>
  <c r="AF72" i="187" s="1"/>
  <c r="V6" i="187"/>
  <c r="V72" i="187" s="1"/>
  <c r="Q6" i="187"/>
  <c r="Q72" i="187" s="1"/>
  <c r="AV6" i="187"/>
  <c r="AV72" i="187" s="1"/>
  <c r="U6" i="187"/>
  <c r="U72" i="187" s="1"/>
  <c r="AL6" i="187"/>
  <c r="AL72" i="187" s="1"/>
  <c r="AA6" i="187"/>
  <c r="AA72" i="187" s="1"/>
  <c r="BO6" i="187"/>
  <c r="BO72" i="187" s="1"/>
  <c r="T6" i="187"/>
  <c r="T72" i="187" s="1"/>
  <c r="BN6" i="187"/>
  <c r="BN72" i="187" s="1"/>
  <c r="BV6" i="187"/>
  <c r="BV72" i="187" s="1"/>
  <c r="R6" i="187"/>
  <c r="R72" i="187" s="1"/>
  <c r="AK6" i="187"/>
  <c r="AK72" i="187" s="1"/>
  <c r="CB6" i="187"/>
  <c r="CB72" i="187" s="1"/>
  <c r="BZ6" i="187"/>
  <c r="BZ72" i="187" s="1"/>
  <c r="AI6" i="187"/>
  <c r="AI72" i="187" s="1"/>
  <c r="AM6" i="187"/>
  <c r="AM72" i="187" s="1"/>
  <c r="BK6" i="187"/>
  <c r="BK72" i="187" s="1"/>
  <c r="BD6" i="187"/>
  <c r="BD72" i="187" s="1"/>
  <c r="AZ6" i="187"/>
  <c r="AZ72" i="187" s="1"/>
  <c r="CA6" i="187"/>
  <c r="CA72" i="187" s="1"/>
  <c r="BE6" i="187"/>
  <c r="BE72" i="187" s="1"/>
  <c r="BR6" i="187"/>
  <c r="BR72" i="187" s="1"/>
  <c r="BB6" i="187"/>
  <c r="BB72" i="187" s="1"/>
  <c r="BQ6" i="187"/>
  <c r="BQ72" i="187" s="1"/>
  <c r="BF6" i="187"/>
  <c r="BF72" i="187" s="1"/>
  <c r="BW6" i="187"/>
  <c r="BW72" i="187" s="1"/>
  <c r="AU6" i="187"/>
  <c r="AU72" i="187" s="1"/>
  <c r="BI6" i="187"/>
  <c r="BI72" i="187" s="1"/>
  <c r="BX6" i="187"/>
  <c r="BX72" i="187" s="1"/>
  <c r="BL6" i="187"/>
  <c r="BL72" i="187" s="1"/>
  <c r="BP6" i="187"/>
  <c r="BP72" i="187" s="1"/>
  <c r="AG6" i="187"/>
  <c r="AG72" i="187" s="1"/>
  <c r="AN6" i="187"/>
  <c r="AN72" i="187" s="1"/>
  <c r="AY6" i="187"/>
  <c r="AY72" i="187" s="1"/>
  <c r="AX6" i="187"/>
  <c r="AX72" i="187" s="1"/>
  <c r="AS6" i="187"/>
  <c r="AS72" i="187" s="1"/>
  <c r="W6" i="187"/>
  <c r="W72" i="187" s="1"/>
  <c r="BT6" i="187"/>
  <c r="BT72" i="187" s="1"/>
  <c r="BG6" i="187"/>
  <c r="BG72" i="187" s="1"/>
  <c r="N6" i="187" l="1" a="1"/>
  <c r="N15" i="187" l="1"/>
  <c r="N49" i="187"/>
  <c r="N62" i="187"/>
  <c r="N20" i="187"/>
  <c r="N48" i="187"/>
  <c r="N10" i="187"/>
  <c r="N36" i="187"/>
  <c r="N29" i="187"/>
  <c r="N19" i="187"/>
  <c r="N52" i="187"/>
  <c r="N38" i="187"/>
  <c r="N24" i="187"/>
  <c r="N9" i="187"/>
  <c r="N53" i="187"/>
  <c r="N59" i="187"/>
  <c r="N42" i="187"/>
  <c r="N33" i="187"/>
  <c r="N27" i="187"/>
  <c r="N22" i="187"/>
  <c r="N64" i="187"/>
  <c r="N17" i="187"/>
  <c r="N60" i="187"/>
  <c r="N46" i="187"/>
  <c r="N6" i="187"/>
  <c r="AH17" i="43" s="1"/>
  <c r="N13" i="187"/>
  <c r="N37" i="187"/>
  <c r="N26" i="187"/>
  <c r="N58" i="187"/>
  <c r="N55" i="187"/>
  <c r="N43" i="187"/>
  <c r="N44" i="187"/>
  <c r="N11" i="187"/>
  <c r="N68" i="187"/>
  <c r="N57" i="187"/>
  <c r="N39" i="187"/>
  <c r="N70" i="187"/>
  <c r="N56" i="187"/>
  <c r="N28" i="187"/>
  <c r="N69" i="187"/>
  <c r="N25" i="187"/>
  <c r="N41" i="187"/>
  <c r="N12" i="187"/>
  <c r="N47" i="187"/>
  <c r="N63" i="187"/>
  <c r="N67" i="187"/>
  <c r="N50" i="187"/>
  <c r="N45" i="187"/>
  <c r="N35" i="187"/>
  <c r="N32" i="187"/>
  <c r="N7" i="187"/>
  <c r="N21" i="187"/>
  <c r="N40" i="187"/>
  <c r="N16" i="187"/>
  <c r="N18" i="187"/>
  <c r="N14" i="187"/>
  <c r="N30" i="187"/>
  <c r="N8" i="187"/>
  <c r="N61" i="187"/>
  <c r="N31" i="187"/>
  <c r="N66" i="187"/>
  <c r="N34" i="187"/>
  <c r="N51" i="187"/>
  <c r="N65" i="187"/>
  <c r="N23" i="187"/>
  <c r="N54" i="187"/>
  <c r="D17" i="43" l="1"/>
  <c r="AH34" i="43"/>
  <c r="D34" i="43" s="1"/>
  <c r="AH41" i="43"/>
  <c r="D41" i="43" s="1"/>
  <c r="AH46" i="43"/>
  <c r="D46" i="43" s="1"/>
  <c r="AH36" i="43"/>
  <c r="D36" i="43" s="1"/>
  <c r="AH22" i="43"/>
  <c r="D22" i="43" s="1"/>
  <c r="AH53" i="43"/>
  <c r="D53" i="43" s="1"/>
  <c r="AH40" i="43"/>
  <c r="D40" i="43" s="1"/>
  <c r="AH76" i="43"/>
  <c r="D76" i="43" s="1"/>
  <c r="AH25" i="43"/>
  <c r="D25" i="43" s="1"/>
  <c r="AH56" i="43"/>
  <c r="D56" i="43" s="1"/>
  <c r="AH55" i="43"/>
  <c r="D55" i="43" s="1"/>
  <c r="AH57" i="43"/>
  <c r="AH70" i="43"/>
  <c r="D70" i="43" s="1"/>
  <c r="AH47" i="43"/>
  <c r="D47" i="43" s="1"/>
  <c r="AH62" i="43"/>
  <c r="D62" i="43" s="1"/>
  <c r="AH29" i="43"/>
  <c r="D29" i="43" s="1"/>
  <c r="AH61" i="43"/>
  <c r="D61" i="43" s="1"/>
  <c r="AH39" i="43"/>
  <c r="D39" i="43" s="1"/>
  <c r="AH54" i="43"/>
  <c r="D54" i="43" s="1"/>
  <c r="AH71" i="43"/>
  <c r="D71" i="43" s="1"/>
  <c r="AH64" i="43"/>
  <c r="D64" i="43" s="1"/>
  <c r="AH21" i="43"/>
  <c r="D21" i="43" s="1"/>
  <c r="AH45" i="43"/>
  <c r="D45" i="43" s="1"/>
  <c r="AH27" i="43"/>
  <c r="D27" i="43" s="1"/>
  <c r="AH78" i="43"/>
  <c r="D78" i="43" s="1"/>
  <c r="AH67" i="43"/>
  <c r="D67" i="43" s="1"/>
  <c r="AH66" i="43"/>
  <c r="D66" i="43" s="1"/>
  <c r="AH28" i="43"/>
  <c r="D28" i="43" s="1"/>
  <c r="AH20" i="43"/>
  <c r="D20" i="43" s="1"/>
  <c r="AH59" i="43"/>
  <c r="D59" i="43" s="1"/>
  <c r="AH77" i="43"/>
  <c r="D77" i="43" s="1"/>
  <c r="AH51" i="43"/>
  <c r="D51" i="43" s="1"/>
  <c r="AH74" i="43"/>
  <c r="D74" i="43" s="1"/>
  <c r="AH69" i="43"/>
  <c r="D69" i="43" s="1"/>
  <c r="AH75" i="43"/>
  <c r="D75" i="43" s="1"/>
  <c r="AH35" i="43"/>
  <c r="D35" i="43" s="1"/>
  <c r="AH31" i="43"/>
  <c r="D31" i="43" s="1"/>
  <c r="AH42" i="43"/>
  <c r="D42" i="43" s="1"/>
  <c r="AH32" i="43"/>
  <c r="D32" i="43" s="1"/>
  <c r="AH58" i="43"/>
  <c r="D58" i="43" s="1"/>
  <c r="AH50" i="43"/>
  <c r="D50" i="43" s="1"/>
  <c r="AH37" i="43"/>
  <c r="AH33" i="43"/>
  <c r="D33" i="43" s="1"/>
  <c r="AH49" i="43"/>
  <c r="D49" i="43" s="1"/>
  <c r="AH73" i="43"/>
  <c r="D73" i="43" s="1"/>
  <c r="AH72" i="43"/>
  <c r="D72" i="43" s="1"/>
  <c r="AH18" i="43"/>
  <c r="D18" i="43" s="1"/>
  <c r="AH23" i="43"/>
  <c r="D23" i="43" s="1"/>
  <c r="AH68" i="43"/>
  <c r="D68" i="43" s="1"/>
  <c r="AH48" i="43"/>
  <c r="AH38" i="43"/>
  <c r="D38" i="43" s="1"/>
  <c r="AH63" i="43"/>
  <c r="D63" i="43" s="1"/>
  <c r="AH60" i="43"/>
  <c r="D60" i="43" s="1"/>
  <c r="AH65" i="43"/>
  <c r="AH19" i="43"/>
  <c r="D19" i="43" s="1"/>
  <c r="AH43" i="43"/>
  <c r="D43" i="43" s="1"/>
  <c r="AH52" i="43"/>
  <c r="AH24" i="43"/>
  <c r="D24" i="43" s="1"/>
  <c r="AH44" i="43"/>
  <c r="D44" i="43" s="1"/>
  <c r="AH30" i="43"/>
  <c r="D30" i="43" s="1"/>
  <c r="AH26" i="43"/>
  <c r="D26" i="43" s="1"/>
  <c r="N73" i="187"/>
  <c r="D52" i="43" l="1"/>
  <c r="D65" i="43"/>
  <c r="D48" i="43"/>
  <c r="D37" i="43"/>
  <c r="D57" i="43"/>
  <c r="AA43" i="88"/>
  <c r="Y43" i="88"/>
  <c r="AC22" i="88"/>
  <c r="AD38" i="88"/>
  <c r="Z38" i="88"/>
  <c r="AD33" i="88"/>
  <c r="AB33" i="88"/>
  <c r="AD32" i="88"/>
  <c r="AB32" i="88"/>
  <c r="AD20" i="88"/>
  <c r="AB44" i="88"/>
  <c r="AC40" i="88"/>
  <c r="AD40" i="88"/>
  <c r="AB25" i="88"/>
  <c r="AD37" i="88"/>
  <c r="Z19" i="88"/>
  <c r="AB19" i="88"/>
  <c r="AD39" i="88"/>
  <c r="AD28" i="88"/>
  <c r="AA34" i="88"/>
  <c r="AD30" i="88"/>
  <c r="Z42" i="88"/>
  <c r="AD42" i="88"/>
  <c r="Y18" i="88"/>
  <c r="AD18" i="88"/>
  <c r="AD31" i="88"/>
  <c r="Y31" i="88"/>
  <c r="AD35" i="88"/>
  <c r="A15" i="43" l="1"/>
  <c r="AB29" i="88"/>
  <c r="AB40" i="88"/>
  <c r="AA21" i="88"/>
  <c r="AD44" i="88"/>
  <c r="AD36" i="88"/>
  <c r="AB43" i="88"/>
  <c r="AA38" i="88"/>
  <c r="Z43" i="88"/>
  <c r="Y30" i="88"/>
  <c r="Y37" i="88"/>
  <c r="AC32" i="88"/>
  <c r="AB20" i="88"/>
  <c r="AC34" i="88"/>
  <c r="AC29" i="88"/>
  <c r="Z34" i="88"/>
  <c r="AC28" i="88"/>
  <c r="AC43" i="88"/>
  <c r="Y34" i="88"/>
  <c r="AB35" i="88"/>
  <c r="AC42" i="88"/>
  <c r="AD23" i="88"/>
  <c r="AB45" i="88"/>
  <c r="Z40" i="88"/>
  <c r="AA20" i="88"/>
  <c r="AA42" i="88"/>
  <c r="Z30" i="88"/>
  <c r="AB30" i="88"/>
  <c r="Y45" i="88"/>
  <c r="Y20" i="88"/>
  <c r="AA35" i="88"/>
  <c r="AB42" i="88"/>
  <c r="AA40" i="88"/>
  <c r="AA45" i="88"/>
  <c r="AC20" i="88"/>
  <c r="Y38" i="88"/>
  <c r="AB22" i="88"/>
  <c r="AC27" i="88"/>
  <c r="AC30" i="88"/>
  <c r="Y23" i="88"/>
  <c r="AC45" i="88"/>
  <c r="Z20" i="88"/>
  <c r="Z22" i="88"/>
  <c r="AC44" i="88"/>
  <c r="AC41" i="88"/>
  <c r="AC31" i="88"/>
  <c r="AB24" i="88"/>
  <c r="Z44" i="88"/>
  <c r="Y27" i="88"/>
  <c r="AA44" i="88"/>
  <c r="Z31" i="88"/>
  <c r="AB34" i="88"/>
  <c r="AA27" i="88"/>
  <c r="AA23" i="88"/>
  <c r="AA32" i="88"/>
  <c r="AB38" i="88"/>
  <c r="AA41" i="88"/>
  <c r="AA24" i="88"/>
  <c r="AA29" i="88"/>
  <c r="AC25" i="88"/>
  <c r="AD29" i="88"/>
  <c r="AB27" i="88"/>
  <c r="AB37" i="88"/>
  <c r="Z32" i="88"/>
  <c r="AB26" i="88"/>
  <c r="Z24" i="88"/>
  <c r="AB31" i="88"/>
  <c r="AD45" i="88"/>
  <c r="Y41" i="88"/>
  <c r="Y32" i="88"/>
  <c r="AA26" i="88"/>
  <c r="Y35" i="88"/>
  <c r="Y24" i="88"/>
  <c r="Z29" i="88"/>
  <c r="Y42" i="88"/>
  <c r="AA30" i="88"/>
  <c r="Y40" i="88"/>
  <c r="AC35" i="88"/>
  <c r="AA18" i="88"/>
  <c r="Y29" i="88"/>
  <c r="AD27" i="88"/>
  <c r="AA19" i="88"/>
  <c r="AA25" i="88"/>
  <c r="AB23" i="88"/>
  <c r="Y44" i="88"/>
  <c r="Z33" i="88"/>
  <c r="AD22" i="88"/>
  <c r="Z26" i="88"/>
  <c r="AA36" i="88"/>
  <c r="AD34" i="88"/>
  <c r="AA39" i="88"/>
  <c r="AC39" i="88"/>
  <c r="AD21" i="88"/>
  <c r="AB21" i="88"/>
  <c r="AD41" i="88"/>
  <c r="AD26" i="88"/>
  <c r="AD19" i="88"/>
  <c r="AC36" i="88"/>
  <c r="AB36" i="88"/>
  <c r="Y39" i="88"/>
  <c r="AD25" i="88"/>
  <c r="AC21" i="88"/>
  <c r="AA22" i="88"/>
  <c r="Y21" i="88"/>
  <c r="AD43" i="88"/>
  <c r="AB39" i="88"/>
  <c r="AC24" i="88"/>
  <c r="Y19" i="88"/>
  <c r="AD24" i="88"/>
  <c r="Y36" i="88"/>
  <c r="AB28" i="88"/>
  <c r="Z39" i="88"/>
  <c r="Z23" i="88"/>
  <c r="AB41" i="88"/>
  <c r="AC33" i="88"/>
  <c r="Z36" i="88"/>
  <c r="Z28" i="88"/>
  <c r="Z18" i="88"/>
  <c r="AA37" i="88"/>
  <c r="Z25" i="88"/>
  <c r="Z41" i="88"/>
  <c r="Y33" i="88"/>
  <c r="AA33" i="88"/>
  <c r="Y22" i="88"/>
  <c r="AC26" i="88"/>
  <c r="AC18" i="88"/>
  <c r="AA28" i="88"/>
  <c r="Y28" i="88"/>
  <c r="Y25" i="88"/>
  <c r="Z35" i="88"/>
  <c r="AA31" i="88"/>
  <c r="AB18" i="88"/>
  <c r="Z27" i="88"/>
  <c r="AC19" i="88"/>
  <c r="AC37" i="88"/>
  <c r="Z37" i="88"/>
  <c r="Z21" i="88"/>
  <c r="AC23" i="88"/>
  <c r="Z45" i="88"/>
  <c r="AC38" i="88"/>
  <c r="Y26" i="88"/>
  <c r="Z2" i="54" l="1" a="1"/>
  <c r="Z18" i="54" a="1"/>
  <c r="Z14" i="54"/>
  <c r="Z27" i="54"/>
  <c r="Z30" i="54"/>
  <c r="Z11" i="54"/>
  <c r="Z35" i="54"/>
  <c r="Z31" i="54"/>
  <c r="Z2" i="54"/>
  <c r="Z16" i="54"/>
  <c r="Z43" i="54"/>
  <c r="Z25" i="54"/>
  <c r="Z28" i="54"/>
  <c r="Z15" i="54"/>
  <c r="Z6" i="54"/>
  <c r="Z41" i="54"/>
  <c r="Z22" i="54"/>
  <c r="Z18" i="54"/>
  <c r="Z3" i="54"/>
  <c r="Z42" i="54"/>
  <c r="Z23" i="54"/>
  <c r="Z10" i="54"/>
  <c r="Z7" i="54"/>
  <c r="Z38" i="54"/>
  <c r="Z39" i="54"/>
  <c r="Z8" i="54"/>
  <c r="Z34" i="54"/>
  <c r="Z33" i="54"/>
  <c r="Z12" i="54"/>
  <c r="Z44" i="54"/>
  <c r="Z37" i="54"/>
  <c r="Z5" i="54"/>
  <c r="Z19" i="54"/>
  <c r="Z24" i="54"/>
  <c r="Z13" i="54"/>
  <c r="Z45" i="54"/>
  <c r="Z29" i="54"/>
  <c r="Z20" i="54"/>
  <c r="Z40" i="54"/>
  <c r="Z4" i="54"/>
  <c r="Z26" i="54"/>
  <c r="Z9" i="54"/>
  <c r="Z36" i="54"/>
  <c r="Z21" i="54"/>
  <c r="Z32" i="54"/>
  <c r="X27" i="54"/>
  <c r="AO27" i="54"/>
  <c r="T19" i="54"/>
  <c r="AK19" i="54"/>
  <c r="S37" i="54"/>
  <c r="AB37" i="54"/>
  <c r="V12" i="54"/>
  <c r="AM12" i="54"/>
  <c r="S32" i="54"/>
  <c r="AB32" i="54"/>
  <c r="U21" i="54"/>
  <c r="AL21" i="54"/>
  <c r="V9" i="54"/>
  <c r="AM9" i="54"/>
  <c r="S42" i="54"/>
  <c r="AB42" i="54"/>
  <c r="S45" i="54"/>
  <c r="AB45" i="54"/>
  <c r="S33" i="54"/>
  <c r="AB33" i="54"/>
  <c r="V18" i="54"/>
  <c r="AM18" i="54"/>
  <c r="S29" i="54"/>
  <c r="AB29" i="54"/>
  <c r="V38" i="54"/>
  <c r="AM38" i="54"/>
  <c r="S10" i="54"/>
  <c r="AB10" i="54"/>
  <c r="X41" i="54"/>
  <c r="AO41" i="54"/>
  <c r="V15" i="54"/>
  <c r="V43" i="54"/>
  <c r="AM43" i="54"/>
  <c r="T30" i="54"/>
  <c r="AK30" i="54"/>
  <c r="T35" i="54"/>
  <c r="AK35" i="54"/>
  <c r="S26" i="54"/>
  <c r="AB26" i="54"/>
  <c r="T33" i="54"/>
  <c r="AK33" i="54"/>
  <c r="T7" i="54"/>
  <c r="AK7" i="54"/>
  <c r="S43" i="54"/>
  <c r="AB43" i="54"/>
  <c r="W27" i="54"/>
  <c r="AN27" i="54"/>
  <c r="W19" i="54"/>
  <c r="AN19" i="54"/>
  <c r="V37" i="54"/>
  <c r="AM37" i="54"/>
  <c r="U12" i="54"/>
  <c r="AL12" i="54"/>
  <c r="X32" i="54"/>
  <c r="AO32" i="54"/>
  <c r="V21" i="54"/>
  <c r="AM21" i="54"/>
  <c r="U9" i="54"/>
  <c r="AL9" i="54"/>
  <c r="V23" i="54"/>
  <c r="AM23" i="54"/>
  <c r="U28" i="54"/>
  <c r="AL28" i="54"/>
  <c r="T34" i="54"/>
  <c r="AK34" i="54"/>
  <c r="S8" i="54"/>
  <c r="AB8" i="54"/>
  <c r="T29" i="54"/>
  <c r="AK29" i="54"/>
  <c r="X38" i="54"/>
  <c r="AO38" i="54"/>
  <c r="U10" i="54"/>
  <c r="AL10" i="54"/>
  <c r="S22" i="54"/>
  <c r="AB22" i="54"/>
  <c r="S6" i="54"/>
  <c r="AB6" i="54"/>
  <c r="U43" i="54"/>
  <c r="AL43" i="54"/>
  <c r="V30" i="54"/>
  <c r="AM30" i="54"/>
  <c r="S5" i="54"/>
  <c r="AB5" i="54"/>
  <c r="V40" i="54"/>
  <c r="AM40" i="54"/>
  <c r="W21" i="54"/>
  <c r="AN21" i="54"/>
  <c r="W28" i="54"/>
  <c r="AN28" i="54"/>
  <c r="V34" i="54"/>
  <c r="AM34" i="54"/>
  <c r="S31" i="54"/>
  <c r="AB31" i="54"/>
  <c r="U44" i="54"/>
  <c r="AL44" i="54"/>
  <c r="V28" i="54"/>
  <c r="AM28" i="54"/>
  <c r="W39" i="54"/>
  <c r="AN39" i="54"/>
  <c r="U25" i="54"/>
  <c r="AL25" i="54"/>
  <c r="V7" i="54"/>
  <c r="AM7" i="54"/>
  <c r="V16" i="54"/>
  <c r="W44" i="54"/>
  <c r="AN44" i="54"/>
  <c r="X36" i="54"/>
  <c r="AO36" i="54"/>
  <c r="V42" i="54"/>
  <c r="AM42" i="54"/>
  <c r="W29" i="54"/>
  <c r="AN29" i="54"/>
  <c r="V41" i="54"/>
  <c r="AM41" i="54"/>
  <c r="U16" i="54"/>
  <c r="V35" i="54"/>
  <c r="AM35" i="54"/>
  <c r="W42" i="54"/>
  <c r="AN42" i="54"/>
  <c r="V29" i="54"/>
  <c r="AM29" i="54"/>
  <c r="T43" i="54"/>
  <c r="AK43" i="54"/>
  <c r="U35" i="54"/>
  <c r="AL35" i="54"/>
  <c r="V26" i="54"/>
  <c r="AM26" i="54"/>
  <c r="X18" i="54"/>
  <c r="AO18" i="54"/>
  <c r="U27" i="54"/>
  <c r="AL27" i="54"/>
  <c r="U24" i="54"/>
  <c r="AL24" i="54"/>
  <c r="U5" i="54"/>
  <c r="AL5" i="54"/>
  <c r="X37" i="54"/>
  <c r="AO37" i="54"/>
  <c r="T12" i="54"/>
  <c r="AK12" i="54"/>
  <c r="W32" i="54"/>
  <c r="AN32" i="54"/>
  <c r="T21" i="54"/>
  <c r="AK21" i="54"/>
  <c r="T9" i="54"/>
  <c r="AK9" i="54"/>
  <c r="X23" i="54"/>
  <c r="AO23" i="54"/>
  <c r="S28" i="54"/>
  <c r="AB28" i="54"/>
  <c r="X34" i="54"/>
  <c r="AO34" i="54"/>
  <c r="V8" i="54"/>
  <c r="AM8" i="54"/>
  <c r="T38" i="54"/>
  <c r="AK38" i="54"/>
  <c r="T22" i="54"/>
  <c r="AK22" i="54"/>
  <c r="V6" i="54"/>
  <c r="AM6" i="54"/>
  <c r="V31" i="54"/>
  <c r="AM31" i="54"/>
  <c r="T25" i="54"/>
  <c r="AK25" i="54"/>
  <c r="AK16" i="54"/>
  <c r="U14" i="54"/>
  <c r="AL14" i="54"/>
  <c r="W37" i="54"/>
  <c r="AN37" i="54"/>
  <c r="W36" i="54"/>
  <c r="AN36" i="54"/>
  <c r="S23" i="54"/>
  <c r="AB23" i="54"/>
  <c r="T8" i="54"/>
  <c r="AK8" i="54"/>
  <c r="S38" i="54"/>
  <c r="AB38" i="54"/>
  <c r="T6" i="54"/>
  <c r="AK6" i="54"/>
  <c r="AJ16" i="54"/>
  <c r="U40" i="54"/>
  <c r="AL40" i="54"/>
  <c r="S13" i="54"/>
  <c r="AB13" i="54"/>
  <c r="S34" i="54"/>
  <c r="AB34" i="54"/>
  <c r="U7" i="54"/>
  <c r="AL7" i="54"/>
  <c r="U31" i="54"/>
  <c r="AL31" i="54"/>
  <c r="S44" i="54"/>
  <c r="AB44" i="54"/>
  <c r="X42" i="54"/>
  <c r="AO42" i="54"/>
  <c r="S39" i="54"/>
  <c r="AB39" i="54"/>
  <c r="W31" i="54"/>
  <c r="AN31" i="54"/>
  <c r="U19" i="54"/>
  <c r="AL19" i="54"/>
  <c r="U20" i="54"/>
  <c r="AL20" i="54"/>
  <c r="S18" i="54"/>
  <c r="AB18" i="54"/>
  <c r="AM15" i="54"/>
  <c r="X19" i="54"/>
  <c r="AO19" i="54"/>
  <c r="W40" i="54"/>
  <c r="AN40" i="54"/>
  <c r="T18" i="54"/>
  <c r="AK18" i="54"/>
  <c r="U41" i="54"/>
  <c r="AL41" i="54"/>
  <c r="T27" i="54"/>
  <c r="AK27" i="54"/>
  <c r="X20" i="54"/>
  <c r="AO20" i="54"/>
  <c r="U33" i="54"/>
  <c r="AL33" i="54"/>
  <c r="T41" i="54"/>
  <c r="AK41" i="54"/>
  <c r="S30" i="54"/>
  <c r="AB30" i="54"/>
  <c r="V14" i="54"/>
  <c r="AM14" i="54"/>
  <c r="S24" i="54"/>
  <c r="AB24" i="54"/>
  <c r="V5" i="54"/>
  <c r="AM5" i="54"/>
  <c r="T37" i="54"/>
  <c r="AK37" i="54"/>
  <c r="S12" i="54"/>
  <c r="AB12" i="54"/>
  <c r="V32" i="54"/>
  <c r="AM32" i="54"/>
  <c r="X21" i="54"/>
  <c r="AO21" i="54"/>
  <c r="V13" i="54"/>
  <c r="AM13" i="54"/>
  <c r="W23" i="54"/>
  <c r="AN23" i="54"/>
  <c r="T28" i="54"/>
  <c r="AK28" i="54"/>
  <c r="W34" i="54"/>
  <c r="AN34" i="54"/>
  <c r="U8" i="54"/>
  <c r="AL8" i="54"/>
  <c r="U38" i="54"/>
  <c r="AL38" i="54"/>
  <c r="V11" i="54"/>
  <c r="AM11" i="54"/>
  <c r="U22" i="54"/>
  <c r="AL22" i="54"/>
  <c r="U6" i="54"/>
  <c r="AL6" i="54"/>
  <c r="T31" i="54"/>
  <c r="AK31" i="54"/>
  <c r="X25" i="54"/>
  <c r="AO25" i="54"/>
  <c r="AL16" i="54"/>
  <c r="U13" i="54"/>
  <c r="AL13" i="54"/>
  <c r="U11" i="54"/>
  <c r="AL11" i="54"/>
  <c r="W25" i="54"/>
  <c r="AN25" i="54"/>
  <c r="X35" i="54"/>
  <c r="AO35" i="54"/>
  <c r="T26" i="54"/>
  <c r="AK26" i="54"/>
  <c r="S11" i="54"/>
  <c r="AB11" i="54"/>
  <c r="S40" i="54"/>
  <c r="AB40" i="54"/>
  <c r="U18" i="54"/>
  <c r="AL18" i="54"/>
  <c r="AK15" i="54"/>
  <c r="U39" i="54"/>
  <c r="AL39" i="54"/>
  <c r="S20" i="54"/>
  <c r="AB20" i="54"/>
  <c r="X33" i="54"/>
  <c r="AO33" i="54"/>
  <c r="S7" i="54"/>
  <c r="AB7" i="54"/>
  <c r="S19" i="54"/>
  <c r="AB19" i="54"/>
  <c r="T45" i="54"/>
  <c r="AK45" i="54"/>
  <c r="V10" i="54"/>
  <c r="AM10" i="54"/>
  <c r="X43" i="54"/>
  <c r="AO43" i="54"/>
  <c r="V24" i="54"/>
  <c r="AM24" i="54"/>
  <c r="X22" i="54"/>
  <c r="AO22" i="54"/>
  <c r="V22" i="54"/>
  <c r="AM22" i="54"/>
  <c r="T16" i="54"/>
  <c r="S36" i="54"/>
  <c r="AB36" i="54"/>
  <c r="V33" i="54"/>
  <c r="AM33" i="54"/>
  <c r="X40" i="54"/>
  <c r="AO40" i="54"/>
  <c r="V45" i="54"/>
  <c r="AM45" i="54"/>
  <c r="S27" i="54"/>
  <c r="AB27" i="54"/>
  <c r="V44" i="54"/>
  <c r="AM44" i="54"/>
  <c r="T36" i="54"/>
  <c r="AK36" i="54"/>
  <c r="X26" i="54"/>
  <c r="AO26" i="54"/>
  <c r="U45" i="54"/>
  <c r="AL45" i="54"/>
  <c r="V39" i="54"/>
  <c r="AM39" i="54"/>
  <c r="U15" i="54"/>
  <c r="S16" i="54"/>
  <c r="T32" i="54"/>
  <c r="AK32" i="54"/>
  <c r="T42" i="54"/>
  <c r="AK42" i="54"/>
  <c r="T39" i="54"/>
  <c r="AK39" i="54"/>
  <c r="T15" i="54"/>
  <c r="U30" i="54"/>
  <c r="AL30" i="54"/>
  <c r="T14" i="54"/>
  <c r="AK14" i="54"/>
  <c r="T24" i="54"/>
  <c r="AK24" i="54"/>
  <c r="T5" i="54"/>
  <c r="AK5" i="54"/>
  <c r="U37" i="54"/>
  <c r="AL37" i="54"/>
  <c r="S35" i="54"/>
  <c r="AB35" i="54"/>
  <c r="T40" i="54"/>
  <c r="AK40" i="54"/>
  <c r="V36" i="54"/>
  <c r="AM36" i="54"/>
  <c r="V20" i="54"/>
  <c r="AM20" i="54"/>
  <c r="W26" i="54"/>
  <c r="AN26" i="54"/>
  <c r="T13" i="54"/>
  <c r="AK13" i="54"/>
  <c r="T23" i="54"/>
  <c r="AK23" i="54"/>
  <c r="X28" i="54"/>
  <c r="AO28" i="54"/>
  <c r="U34" i="54"/>
  <c r="AL34" i="54"/>
  <c r="W38" i="54"/>
  <c r="AN38" i="54"/>
  <c r="T11" i="54"/>
  <c r="AK11" i="54"/>
  <c r="W22" i="54"/>
  <c r="AN22" i="54"/>
  <c r="AJ15" i="54"/>
  <c r="X31" i="54"/>
  <c r="AO31" i="54"/>
  <c r="V25" i="54"/>
  <c r="AM25" i="54"/>
  <c r="AM16" i="54"/>
  <c r="X30" i="54"/>
  <c r="AO30" i="54"/>
  <c r="S14" i="54"/>
  <c r="X24" i="54"/>
  <c r="AO24" i="54"/>
  <c r="U36" i="54"/>
  <c r="AL36" i="54"/>
  <c r="W20" i="54"/>
  <c r="AN20" i="54"/>
  <c r="U23" i="54"/>
  <c r="AL23" i="54"/>
  <c r="AL15" i="54"/>
  <c r="W30" i="54"/>
  <c r="AN30" i="54"/>
  <c r="W24" i="54"/>
  <c r="AN24" i="54"/>
  <c r="W35" i="54"/>
  <c r="AN35" i="54"/>
  <c r="T20" i="54"/>
  <c r="AK20" i="54"/>
  <c r="U26" i="54"/>
  <c r="AL26" i="54"/>
  <c r="X45" i="54"/>
  <c r="AO45" i="54"/>
  <c r="W41" i="54"/>
  <c r="AN41" i="54"/>
  <c r="S25" i="54"/>
  <c r="AB25" i="54"/>
  <c r="T44" i="54"/>
  <c r="AK44" i="54"/>
  <c r="X29" i="54"/>
  <c r="AO29" i="54"/>
  <c r="U29" i="54"/>
  <c r="AL29" i="54"/>
  <c r="S41" i="54"/>
  <c r="AB41" i="54"/>
  <c r="S21" i="54"/>
  <c r="AB21" i="54"/>
  <c r="S9" i="54"/>
  <c r="AB9" i="54"/>
  <c r="W43" i="54"/>
  <c r="AN43" i="54"/>
  <c r="U42" i="54"/>
  <c r="AL42" i="54"/>
  <c r="V27" i="54"/>
  <c r="AM27" i="54"/>
  <c r="X44" i="54"/>
  <c r="AO44" i="54"/>
  <c r="X39" i="54"/>
  <c r="AO39" i="54"/>
  <c r="T10" i="54"/>
  <c r="AK10" i="54"/>
  <c r="S15" i="54"/>
  <c r="W18" i="54"/>
  <c r="AN18" i="54"/>
  <c r="U32" i="54"/>
  <c r="AL32" i="54"/>
  <c r="W45" i="54"/>
  <c r="AN45" i="54"/>
  <c r="W33" i="54"/>
  <c r="AN33" i="54"/>
  <c r="V19" i="54"/>
  <c r="AM19" i="54"/>
  <c r="AJ5" i="54"/>
  <c r="AJ44" i="54"/>
  <c r="AJ20" i="54"/>
  <c r="AJ26" i="54"/>
  <c r="AJ37" i="54"/>
  <c r="AJ35" i="54"/>
  <c r="AJ32" i="54"/>
  <c r="AJ19" i="54"/>
  <c r="AJ41" i="54"/>
  <c r="AJ29" i="54"/>
  <c r="AJ24" i="54"/>
  <c r="AJ33" i="54"/>
  <c r="AJ36" i="54"/>
  <c r="AJ22" i="54"/>
  <c r="AJ34" i="54"/>
  <c r="AJ23" i="54"/>
  <c r="AJ21" i="54"/>
  <c r="AJ38" i="54"/>
  <c r="AJ39" i="54"/>
  <c r="AJ13" i="54"/>
  <c r="AJ25" i="54"/>
  <c r="AJ27" i="54"/>
  <c r="AJ18" i="54"/>
  <c r="AJ31" i="54"/>
  <c r="AJ28" i="54"/>
  <c r="AJ30" i="54"/>
  <c r="AJ43" i="54"/>
  <c r="AJ42" i="54"/>
  <c r="AJ10" i="54"/>
  <c r="AJ40" i="54"/>
  <c r="AJ45" i="54"/>
  <c r="AJ11" i="54"/>
  <c r="AJ6" i="54"/>
  <c r="AJ9" i="54"/>
  <c r="AJ8" i="54"/>
  <c r="AJ14" i="54"/>
  <c r="AJ7" i="54"/>
  <c r="AJ12" i="54"/>
  <c r="AF18" i="54"/>
  <c r="AF31" i="54"/>
  <c r="AF23" i="54"/>
  <c r="AE19" i="54"/>
  <c r="AF28" i="54"/>
  <c r="AF24" i="54"/>
  <c r="AF20" i="54"/>
  <c r="AF32" i="54"/>
  <c r="AF38" i="54"/>
  <c r="AF29" i="54"/>
  <c r="AF30" i="54"/>
  <c r="AF36" i="54"/>
  <c r="AF39" i="54"/>
  <c r="AF22" i="54"/>
  <c r="AF42" i="54"/>
  <c r="AF44" i="54"/>
  <c r="AD19" i="54"/>
  <c r="AE20" i="54"/>
  <c r="AF21" i="54"/>
  <c r="AF26" i="54"/>
  <c r="AF41" i="54"/>
  <c r="AF34" i="54"/>
  <c r="AF35" i="54"/>
  <c r="AF25" i="54"/>
  <c r="AF40" i="54"/>
  <c r="AF33" i="54"/>
  <c r="AE18" i="54"/>
  <c r="AF43" i="54"/>
  <c r="AF37" i="54"/>
  <c r="AF19" i="54"/>
  <c r="AD20" i="54"/>
  <c r="AF27" i="54"/>
  <c r="AF45" i="54"/>
  <c r="AD18" i="54"/>
  <c r="AD34" i="54"/>
  <c r="AD29" i="54"/>
  <c r="AD33" i="54"/>
  <c r="AE22" i="54"/>
  <c r="AE27" i="54"/>
  <c r="AE35" i="54"/>
  <c r="AE32" i="54"/>
  <c r="AE29" i="54"/>
  <c r="AD38" i="54"/>
  <c r="AE24" i="54"/>
  <c r="AE36" i="54"/>
  <c r="AE38" i="54"/>
  <c r="AD22" i="54"/>
  <c r="AE37" i="54"/>
  <c r="AE26" i="54"/>
  <c r="AD41" i="54"/>
  <c r="AD32" i="54"/>
  <c r="AE28" i="54"/>
  <c r="AD42" i="54"/>
  <c r="AE34" i="54"/>
  <c r="AD21" i="54"/>
  <c r="AE30" i="54"/>
  <c r="AD23" i="54"/>
  <c r="AE42" i="54"/>
  <c r="AE43" i="54"/>
  <c r="AE33" i="54"/>
  <c r="AD24" i="54"/>
  <c r="AD35" i="54"/>
  <c r="AD45" i="54"/>
  <c r="AE21" i="54"/>
  <c r="AE23" i="54"/>
  <c r="AD31" i="54"/>
  <c r="AE44" i="54"/>
  <c r="AD39" i="54"/>
  <c r="AD36" i="54"/>
  <c r="AD44" i="54"/>
  <c r="AD27" i="54"/>
  <c r="AD28" i="54"/>
  <c r="AD40" i="54"/>
  <c r="AE41" i="54"/>
  <c r="AD25" i="54"/>
  <c r="AD26" i="54"/>
  <c r="AE25" i="54"/>
  <c r="AE45" i="54"/>
  <c r="AE40" i="54"/>
  <c r="AD37" i="54"/>
  <c r="AD30" i="54"/>
  <c r="AE39" i="54"/>
  <c r="AE31" i="54"/>
  <c r="AD43" i="54"/>
  <c r="AG44" i="54"/>
  <c r="AH31" i="54"/>
  <c r="AH40" i="54"/>
  <c r="AG18" i="54"/>
  <c r="AH18" i="54"/>
  <c r="AH35" i="54"/>
  <c r="AH36" i="54"/>
  <c r="AG22" i="54"/>
  <c r="AG24" i="54"/>
  <c r="AH39" i="54"/>
  <c r="AG39" i="54"/>
  <c r="AH25" i="54"/>
  <c r="AH27" i="54"/>
  <c r="AH32" i="54"/>
  <c r="AG23" i="54"/>
  <c r="AG29" i="54"/>
  <c r="AH44" i="54"/>
  <c r="AG31" i="54"/>
  <c r="AG40" i="54"/>
  <c r="AH21" i="54"/>
  <c r="AG42" i="54"/>
  <c r="AH42" i="54"/>
  <c r="AG38" i="54"/>
  <c r="AH38" i="54"/>
  <c r="AG33" i="54"/>
  <c r="AG41" i="54"/>
  <c r="AG30" i="54"/>
  <c r="AH28" i="54"/>
  <c r="AH29" i="54"/>
  <c r="AG35" i="54"/>
  <c r="AG21" i="54"/>
  <c r="AG36" i="54"/>
  <c r="AH24" i="54"/>
  <c r="AG37" i="54"/>
  <c r="AH22" i="54"/>
  <c r="AG19" i="54"/>
  <c r="AH19" i="54"/>
  <c r="AG27" i="54"/>
  <c r="AH20" i="54"/>
  <c r="AH23" i="54"/>
  <c r="AG45" i="54"/>
  <c r="AH37" i="54"/>
  <c r="AH33" i="54"/>
  <c r="AG20" i="54"/>
  <c r="AG28" i="54"/>
  <c r="AH45" i="54"/>
  <c r="AH41" i="54"/>
  <c r="AG25" i="54"/>
  <c r="AH30" i="54"/>
  <c r="AD14" i="54"/>
  <c r="AD16" i="54"/>
  <c r="AC21" i="54"/>
  <c r="AC23" i="54"/>
  <c r="AH43" i="54"/>
  <c r="AH26" i="54"/>
  <c r="AC40" i="54"/>
  <c r="AE7" i="54"/>
  <c r="AE14" i="54"/>
  <c r="AF16" i="54"/>
  <c r="AC42" i="54"/>
  <c r="AC28" i="54"/>
  <c r="AG26" i="54"/>
  <c r="AC38" i="54"/>
  <c r="AF7" i="54"/>
  <c r="AC18" i="54"/>
  <c r="AF15" i="54"/>
  <c r="AF9" i="54"/>
  <c r="AD13" i="54"/>
  <c r="AC39" i="54"/>
  <c r="AC19" i="54"/>
  <c r="AD11" i="54"/>
  <c r="AD12" i="54"/>
  <c r="AE16" i="54"/>
  <c r="AC25" i="54"/>
  <c r="AC44" i="54"/>
  <c r="AG43" i="54"/>
  <c r="AC24" i="54"/>
  <c r="AE15" i="54"/>
  <c r="AC22" i="54"/>
  <c r="AC36" i="54"/>
  <c r="AC31" i="54"/>
  <c r="AE11" i="54"/>
  <c r="AC35" i="54"/>
  <c r="AC33" i="54"/>
  <c r="AE5" i="54"/>
  <c r="AD7" i="54"/>
  <c r="AC29" i="54"/>
  <c r="AC41" i="54"/>
  <c r="AC32" i="54"/>
  <c r="AC37" i="54"/>
  <c r="AC27" i="54"/>
  <c r="AC7" i="54"/>
  <c r="AF11" i="54"/>
  <c r="AC30" i="54"/>
  <c r="AD15" i="54"/>
  <c r="AH34" i="54"/>
  <c r="AC20" i="54"/>
  <c r="AC5" i="54"/>
  <c r="AC45" i="54"/>
  <c r="AG34" i="54"/>
  <c r="AG32" i="54"/>
  <c r="AC15" i="54"/>
  <c r="AF5" i="54"/>
  <c r="AC10" i="54"/>
  <c r="AF13" i="54"/>
  <c r="AF12" i="54"/>
  <c r="AC12" i="54"/>
  <c r="AF6" i="54"/>
  <c r="AC8" i="54"/>
  <c r="AC16" i="54"/>
  <c r="AC14" i="54"/>
  <c r="AD8" i="54"/>
  <c r="AE10" i="54"/>
  <c r="AC43" i="54"/>
  <c r="AC11" i="54"/>
  <c r="AD9" i="54"/>
  <c r="AD6" i="54"/>
  <c r="AE13" i="54"/>
  <c r="AC13" i="54"/>
  <c r="AE8" i="54"/>
  <c r="AC6" i="54"/>
  <c r="AF8" i="54"/>
  <c r="AE6" i="54"/>
  <c r="AC9" i="54"/>
  <c r="AC26" i="54"/>
  <c r="AC34" i="54"/>
  <c r="AF14" i="54"/>
  <c r="AF10" i="54"/>
  <c r="AD5" i="54"/>
  <c r="AD10" i="54"/>
  <c r="AE12" i="54"/>
  <c r="AE9" i="54"/>
</calcChain>
</file>

<file path=xl/comments1.xml><?xml version="1.0" encoding="utf-8"?>
<comments xmlns="http://schemas.openxmlformats.org/spreadsheetml/2006/main">
  <authors>
    <author>Gaetano Iaquinta</author>
  </authors>
  <commentList>
    <comment ref="Q92" authorId="0">
      <text>
        <r>
          <rPr>
            <sz val="9"/>
            <color indexed="81"/>
            <rFont val="Tahoma"/>
            <family val="2"/>
          </rPr>
          <t>1 = before futures curve secton
2 = inner futures curve section
3= after futures curve section 
4= no instrument</t>
        </r>
      </text>
    </comment>
  </commentList>
</comments>
</file>

<file path=xl/comments2.xml><?xml version="1.0" encoding="utf-8"?>
<comments xmlns="http://schemas.openxmlformats.org/spreadsheetml/2006/main">
  <authors>
    <author>MISTE' LUCA ALDO</author>
  </authors>
  <commentList>
    <comment ref="S30" authorId="0">
      <text>
        <r>
          <rPr>
            <b/>
            <sz val="9"/>
            <color indexed="81"/>
            <rFont val="Tahoma"/>
            <family val="2"/>
          </rPr>
          <t>MISTE' LUCA ALDO:</t>
        </r>
        <r>
          <rPr>
            <sz val="9"/>
            <color indexed="81"/>
            <rFont val="Tahoma"/>
            <family val="2"/>
          </rPr>
          <t xml:space="preserve">
6 fut
da SI_SwapDeskFut o IMI_IRD_PV01</t>
        </r>
      </text>
    </comment>
  </commentList>
</comments>
</file>

<file path=xl/sharedStrings.xml><?xml version="1.0" encoding="utf-8"?>
<sst xmlns="http://schemas.openxmlformats.org/spreadsheetml/2006/main" count="22753" uniqueCount="5184">
  <si>
    <t>Std</t>
  </si>
  <si>
    <t>LIF EURIBOR 3M</t>
  </si>
  <si>
    <t>Price</t>
  </si>
  <si>
    <t>O/N</t>
  </si>
  <si>
    <t>T/N</t>
  </si>
  <si>
    <t>1W</t>
  </si>
  <si>
    <t>2W</t>
  </si>
  <si>
    <t>1M</t>
  </si>
  <si>
    <t>2M</t>
  </si>
  <si>
    <t>2Y</t>
  </si>
  <si>
    <t>3Y</t>
  </si>
  <si>
    <t>4Y</t>
  </si>
  <si>
    <t>5Y</t>
  </si>
  <si>
    <t>6Y</t>
  </si>
  <si>
    <t>7Y</t>
  </si>
  <si>
    <t>8Y</t>
  </si>
  <si>
    <t>9Y</t>
  </si>
  <si>
    <t>10Y</t>
  </si>
  <si>
    <t>12Y</t>
  </si>
  <si>
    <t>15Y</t>
  </si>
  <si>
    <t>20Y</t>
  </si>
  <si>
    <t>25Y</t>
  </si>
  <si>
    <t>30Y</t>
  </si>
  <si>
    <t>S/N</t>
  </si>
  <si>
    <t>3W</t>
  </si>
  <si>
    <t>3M</t>
  </si>
  <si>
    <t>4M</t>
  </si>
  <si>
    <t>5M</t>
  </si>
  <si>
    <t>6M</t>
  </si>
  <si>
    <t>7M</t>
  </si>
  <si>
    <t>8M</t>
  </si>
  <si>
    <t>11Y</t>
  </si>
  <si>
    <t>13Y</t>
  </si>
  <si>
    <t>14Y</t>
  </si>
  <si>
    <t>16Y</t>
  </si>
  <si>
    <t>17Y</t>
  </si>
  <si>
    <t>18Y</t>
  </si>
  <si>
    <t>19Y</t>
  </si>
  <si>
    <t>21Y</t>
  </si>
  <si>
    <t>22Y</t>
  </si>
  <si>
    <t>23Y</t>
  </si>
  <si>
    <t>24Y</t>
  </si>
  <si>
    <t>26Y</t>
  </si>
  <si>
    <t>27Y</t>
  </si>
  <si>
    <t>28Y</t>
  </si>
  <si>
    <t>29Y</t>
  </si>
  <si>
    <t>40Y</t>
  </si>
  <si>
    <t>50Y</t>
  </si>
  <si>
    <t>60Y</t>
  </si>
  <si>
    <t>9M</t>
  </si>
  <si>
    <t>10M</t>
  </si>
  <si>
    <t>11M</t>
  </si>
  <si>
    <t>12M</t>
  </si>
  <si>
    <t>15M</t>
  </si>
  <si>
    <t>18M</t>
  </si>
  <si>
    <t>21M</t>
  </si>
  <si>
    <t>1Y</t>
  </si>
  <si>
    <t>13M</t>
  </si>
  <si>
    <t>14M</t>
  </si>
  <si>
    <t>16M</t>
  </si>
  <si>
    <t>17M</t>
  </si>
  <si>
    <t>19M</t>
  </si>
  <si>
    <t>20M</t>
  </si>
  <si>
    <t>22M</t>
  </si>
  <si>
    <t>23M</t>
  </si>
  <si>
    <t/>
  </si>
  <si>
    <t>eur 6m</t>
  </si>
  <si>
    <t>eur 1m</t>
  </si>
  <si>
    <t>eur 1y</t>
  </si>
  <si>
    <t>ois</t>
  </si>
  <si>
    <t>BID</t>
  </si>
  <si>
    <t>ASK</t>
  </si>
  <si>
    <t>MID</t>
  </si>
  <si>
    <t>bid</t>
  </si>
  <si>
    <t>ask</t>
  </si>
  <si>
    <t>mid</t>
  </si>
  <si>
    <t>FGBL</t>
  </si>
  <si>
    <t>FGBM</t>
  </si>
  <si>
    <t>FGBS</t>
  </si>
  <si>
    <t>US</t>
  </si>
  <si>
    <t>TY</t>
  </si>
  <si>
    <t>FV</t>
  </si>
  <si>
    <t>TU</t>
  </si>
  <si>
    <t>Position</t>
  </si>
  <si>
    <t>chg bps</t>
  </si>
  <si>
    <t>p&amp;l</t>
  </si>
  <si>
    <t>OIS</t>
  </si>
  <si>
    <t>EUR 1Y</t>
  </si>
  <si>
    <t>EUR 3M</t>
  </si>
  <si>
    <t>EUR 6M</t>
  </si>
  <si>
    <t>label</t>
  </si>
  <si>
    <t>reference</t>
  </si>
  <si>
    <t>STUB</t>
  </si>
  <si>
    <t>FUTURES</t>
  </si>
  <si>
    <t>1Y3M</t>
  </si>
  <si>
    <t>1Y6M</t>
  </si>
  <si>
    <t>1Y9M</t>
  </si>
  <si>
    <t>2Y3M</t>
  </si>
  <si>
    <t>2Y6M</t>
  </si>
  <si>
    <t>2Y9M</t>
  </si>
  <si>
    <t>EURYC1M_OND</t>
  </si>
  <si>
    <t>EURYC1M_TND</t>
  </si>
  <si>
    <t>EURYC1M_SND</t>
  </si>
  <si>
    <t>EURYC1M_SWD</t>
  </si>
  <si>
    <t>EURYC1M_2WD</t>
  </si>
  <si>
    <t>EURYC1M_3WD</t>
  </si>
  <si>
    <t>EURYC1M_1MD</t>
  </si>
  <si>
    <t>EURX1S2M=</t>
  </si>
  <si>
    <t>EURX1S3M=</t>
  </si>
  <si>
    <t>EURX1S4M=</t>
  </si>
  <si>
    <t>EURX1S5M=</t>
  </si>
  <si>
    <t>EURX1S6M=</t>
  </si>
  <si>
    <t>EURX1S7M=</t>
  </si>
  <si>
    <t>EURX1S8M=</t>
  </si>
  <si>
    <t>EURX1S9M=</t>
  </si>
  <si>
    <t>EURX1S10M=</t>
  </si>
  <si>
    <t>EURX1S11M=</t>
  </si>
  <si>
    <t>EURX1S12M=</t>
  </si>
  <si>
    <t>EURYC1M_AB1E_1Y3M</t>
  </si>
  <si>
    <t>EURYC1M_AB1E_1Y6M</t>
  </si>
  <si>
    <t>EURYC1M_AB1E_1Y9M</t>
  </si>
  <si>
    <t>EURYC1M_AB1E_2Y</t>
  </si>
  <si>
    <t>EURYC1M_AB1E_2Y3M</t>
  </si>
  <si>
    <t>EURYC1M_AB1E_2Y6M</t>
  </si>
  <si>
    <t>EURYC1M_AB1E_2Y9M</t>
  </si>
  <si>
    <t>EURYC1M_AB1E_3Y</t>
  </si>
  <si>
    <t>EURYC1M_AB1E_4Y</t>
  </si>
  <si>
    <t>EURYC1M_AB1E_5Y</t>
  </si>
  <si>
    <t>EURYC1M_AB1E_6Y</t>
  </si>
  <si>
    <t>EURYC1M_AB1E_7Y</t>
  </si>
  <si>
    <t>EURYC1M_AB1E_8Y</t>
  </si>
  <si>
    <t>EURYC1M_AB1E_9Y</t>
  </si>
  <si>
    <t>EURYC1M_AB1E_10Y</t>
  </si>
  <si>
    <t>EURYC1M_AB1E_11Y</t>
  </si>
  <si>
    <t>EURYC1M_AB1E_12Y</t>
  </si>
  <si>
    <t>EURYC1M_AB1E_13Y</t>
  </si>
  <si>
    <t>EURYC1M_AB1E_14Y</t>
  </si>
  <si>
    <t>EURYC1M_AB1E_15Y</t>
  </si>
  <si>
    <t>EURYC1M_AB1E_16Y</t>
  </si>
  <si>
    <t>EURYC1M_AB1E_17Y</t>
  </si>
  <si>
    <t>EURYC1M_AB1E_18Y</t>
  </si>
  <si>
    <t>EURYC1M_AB1E_19Y</t>
  </si>
  <si>
    <t>EURYC1M_AB1E_20Y</t>
  </si>
  <si>
    <t>EURYC1M_AB1E_21Y</t>
  </si>
  <si>
    <t>EURYC1M_AB1E_22Y</t>
  </si>
  <si>
    <t>EURYC1M_AB1E_23Y</t>
  </si>
  <si>
    <t>EURYC1M_AB1E_24Y</t>
  </si>
  <si>
    <t>EURYC1M_AB1E_25Y</t>
  </si>
  <si>
    <t>EURYC1M_AB1E_26Y</t>
  </si>
  <si>
    <t>EURYC1M_AB1E_27Y</t>
  </si>
  <si>
    <t>EURYC1M_AB1E_28Y</t>
  </si>
  <si>
    <t>EURYC1M_AB1E_29Y</t>
  </si>
  <si>
    <t>EURYC1M_AB1E_30Y</t>
  </si>
  <si>
    <t>EURYC1M_AB1E_40Y</t>
  </si>
  <si>
    <t>EURYC1M_AB1E_50Y</t>
  </si>
  <si>
    <t>EURYC1M_AB1E_60Y</t>
  </si>
  <si>
    <t>today</t>
  </si>
  <si>
    <t>future</t>
  </si>
  <si>
    <t>Maturity</t>
  </si>
  <si>
    <t>P&amp;L</t>
  </si>
  <si>
    <t>euribor cvnx spread</t>
  </si>
  <si>
    <t>ref price</t>
  </si>
  <si>
    <t>\\Mxgui.ux.imilan.it\excel_file</t>
  </si>
  <si>
    <t>31Y</t>
  </si>
  <si>
    <t>32Y</t>
  </si>
  <si>
    <t>33Y</t>
  </si>
  <si>
    <t>34Y</t>
  </si>
  <si>
    <t>35Y</t>
  </si>
  <si>
    <t>36Y</t>
  </si>
  <si>
    <t>37Y</t>
  </si>
  <si>
    <t>38Y</t>
  </si>
  <si>
    <t>39Y</t>
  </si>
  <si>
    <t>EUR-OIS DISC</t>
  </si>
  <si>
    <t>EUR-OIS</t>
  </si>
  <si>
    <t>EURYC1M_AB1E_31Y</t>
  </si>
  <si>
    <t>EURYC1M_AB1E_32Y</t>
  </si>
  <si>
    <t>EURYC1M_AB1E_33Y</t>
  </si>
  <si>
    <t>EURYC1M_AB1E_34Y</t>
  </si>
  <si>
    <t>EURYC1M_AB1E_35Y</t>
  </si>
  <si>
    <t>EURYC1M_AB1E_36Y</t>
  </si>
  <si>
    <t>EURYC1M_AB1E_37Y</t>
  </si>
  <si>
    <t>EURYC1M_AB1E_38Y</t>
  </si>
  <si>
    <t>EURYC1M_AB1E_39Y</t>
  </si>
  <si>
    <t>0#FEI:</t>
  </si>
  <si>
    <t>FEIZ3</t>
  </si>
  <si>
    <t>FEIH4</t>
  </si>
  <si>
    <t>FEIM4</t>
  </si>
  <si>
    <t>FEIU4</t>
  </si>
  <si>
    <t>FEIZ4</t>
  </si>
  <si>
    <t>FEIH5</t>
  </si>
  <si>
    <t>FEIM5</t>
  </si>
  <si>
    <t>X_RIC_NAME</t>
  </si>
  <si>
    <t>Z3</t>
  </si>
  <si>
    <t>FEIU5</t>
  </si>
  <si>
    <t>ref close</t>
  </si>
  <si>
    <t>EUR 1M</t>
  </si>
  <si>
    <t>EUR :STD</t>
  </si>
  <si>
    <t>EUREX BOBL 5Y</t>
  </si>
  <si>
    <t>EUREX BUND 10Y</t>
  </si>
  <si>
    <t>MAR 14</t>
  </si>
  <si>
    <t>JUN 14</t>
  </si>
  <si>
    <t>SEP 14</t>
  </si>
  <si>
    <t>DEC 14</t>
  </si>
  <si>
    <t>MAR 15</t>
  </si>
  <si>
    <t>JUN 15</t>
  </si>
  <si>
    <t>DEC 13</t>
  </si>
  <si>
    <t>Bucket</t>
  </si>
  <si>
    <t>IR risk (par)</t>
  </si>
  <si>
    <t>EUR</t>
  </si>
  <si>
    <t>EUR;EUR 1M;</t>
  </si>
  <si>
    <t>EUR;EUR-OIS;</t>
  </si>
  <si>
    <t>EUR;EUR-OIS DISC;</t>
  </si>
  <si>
    <t>RealTime</t>
  </si>
  <si>
    <t>H4</t>
  </si>
  <si>
    <t>M4</t>
  </si>
  <si>
    <t>U4</t>
  </si>
  <si>
    <t>Z4</t>
  </si>
  <si>
    <t>H5</t>
  </si>
  <si>
    <t>M5</t>
  </si>
  <si>
    <t>U5</t>
  </si>
  <si>
    <t>FGBLZ3</t>
  </si>
  <si>
    <t>FGBMZ3</t>
  </si>
  <si>
    <t>FGBSZ3</t>
  </si>
  <si>
    <t>SEP 15</t>
  </si>
  <si>
    <t>DEC</t>
  </si>
  <si>
    <t>Data Snapshot</t>
  </si>
  <si>
    <t>Refresh Reuters f.</t>
  </si>
  <si>
    <t>Control Panel</t>
  </si>
  <si>
    <t>Code</t>
  </si>
  <si>
    <t>Instrument</t>
  </si>
  <si>
    <t>Crv</t>
  </si>
  <si>
    <t>Date</t>
  </si>
  <si>
    <t>INPUT</t>
  </si>
  <si>
    <t>Source Bucket</t>
  </si>
  <si>
    <t>Destination Bucket</t>
  </si>
  <si>
    <t>Expirable</t>
  </si>
  <si>
    <t>ndx</t>
  </si>
  <si>
    <t>Sens</t>
  </si>
  <si>
    <t>IRD</t>
  </si>
  <si>
    <t>OUTPUT</t>
  </si>
  <si>
    <t>D/W/M</t>
  </si>
  <si>
    <t>LIF EURIBOR 3M;</t>
  </si>
  <si>
    <t>Common Buckets</t>
  </si>
  <si>
    <t>CurveName</t>
  </si>
  <si>
    <t>EUR;EUR 1Y;</t>
  </si>
  <si>
    <t>EURXOND=</t>
  </si>
  <si>
    <t>EURXTND=</t>
  </si>
  <si>
    <t>EUR_CURVE_DEP6M_SN</t>
  </si>
  <si>
    <t>RtGet Code</t>
  </si>
  <si>
    <t>DTSIMI1</t>
  </si>
  <si>
    <t>EUR_CURVE_DEP3M_SN</t>
  </si>
  <si>
    <t>EUR_CURVE_DEP12M_SN</t>
  </si>
  <si>
    <t>EURXSND=</t>
  </si>
  <si>
    <t>EURXSWD=</t>
  </si>
  <si>
    <t>EURXSTUBD=</t>
  </si>
  <si>
    <t>RtChannel</t>
  </si>
  <si>
    <t>EUR_CURVE_DEP6M_1W</t>
  </si>
  <si>
    <t>EUR_CURVE_DEP3M_1W</t>
  </si>
  <si>
    <t>EUR_CURVE_DEP12M_1W</t>
  </si>
  <si>
    <t>EUROISDDS1W</t>
  </si>
  <si>
    <t>EUR_CURVE_DEP6M_2W</t>
  </si>
  <si>
    <t>EUR_CURVE_DEP3M_2W</t>
  </si>
  <si>
    <t>EUR_CURVE_DEP12M_2W</t>
  </si>
  <si>
    <t>EURX2WD=</t>
  </si>
  <si>
    <t>EUROISDDS2W</t>
  </si>
  <si>
    <t>EUR_CURVE_DEP6M_3W</t>
  </si>
  <si>
    <t>EUR_CURVE_DEP3M_3W</t>
  </si>
  <si>
    <t>EUR_CURVE_DEP12M_3W</t>
  </si>
  <si>
    <t>EURX3WD=</t>
  </si>
  <si>
    <t>EUROISDDS3W</t>
  </si>
  <si>
    <t>EUR_CURVE_DEP6M_1M</t>
  </si>
  <si>
    <t>EUR_CURVE_DEP3M_1M</t>
  </si>
  <si>
    <t>EUR_CURVE_DEP12M_1M</t>
  </si>
  <si>
    <t>EURX1MD=</t>
  </si>
  <si>
    <t>EUROISDDS1M</t>
  </si>
  <si>
    <t>EUR_CURVE_DEP6M_2M</t>
  </si>
  <si>
    <t>EUR_CURVE_DEP3M_2M</t>
  </si>
  <si>
    <t>EUR_CURVE_DEP12M_2M</t>
  </si>
  <si>
    <t>EURX2MD=</t>
  </si>
  <si>
    <t>EUROISDDS2M</t>
  </si>
  <si>
    <t>EUR_CURVE_DEP6M_3M</t>
  </si>
  <si>
    <t>EUR_CURVE_DEP3M_3M</t>
  </si>
  <si>
    <t>EUR_CURVE_DEP12M_3M</t>
  </si>
  <si>
    <t>EURX3MD=</t>
  </si>
  <si>
    <t>EUROISDDS3M</t>
  </si>
  <si>
    <t>EUR_CURVE_DEP6M_4M</t>
  </si>
  <si>
    <t>EUR_CURVE_DEP3M_4M</t>
  </si>
  <si>
    <t>EUR_CURVE_DEP12M_4M</t>
  </si>
  <si>
    <t>EURX4MD=</t>
  </si>
  <si>
    <t>EUROISDDS4M</t>
  </si>
  <si>
    <t>EUR_CURVE_DEP6M_5M</t>
  </si>
  <si>
    <t>EUR_CURVE_DEP3M_5M</t>
  </si>
  <si>
    <t>EUR_CURVE_DEP12M_5M</t>
  </si>
  <si>
    <t>EURX5MD=</t>
  </si>
  <si>
    <t>EUROISDDS5M</t>
  </si>
  <si>
    <t>EUR_CURVE_DEP6M_6M</t>
  </si>
  <si>
    <t>EUR_CURVE_DEP3M_6M</t>
  </si>
  <si>
    <t>EUR_CURVE_DEP12M_6M</t>
  </si>
  <si>
    <t>EURX6MD=</t>
  </si>
  <si>
    <t>EUROISDDS6M</t>
  </si>
  <si>
    <t>EUROISDDS7M</t>
  </si>
  <si>
    <t>EUROISDDS8M</t>
  </si>
  <si>
    <t>EUROISDDS9M</t>
  </si>
  <si>
    <t>EUROISDDS10M</t>
  </si>
  <si>
    <t>EUROISDDS11M</t>
  </si>
  <si>
    <t>EUROISDDS1Y</t>
  </si>
  <si>
    <t>EUROISDDS13M</t>
  </si>
  <si>
    <t>EUROISDDS14M</t>
  </si>
  <si>
    <t>EUROISDDS15M</t>
  </si>
  <si>
    <t>EUR_CURVE_FUT6M_Z4</t>
  </si>
  <si>
    <t>EUR_CURVE_FUT3M_Z4</t>
  </si>
  <si>
    <t>EUR_CURVE_FUT12M_Z4</t>
  </si>
  <si>
    <t>EUROISDDS16M</t>
  </si>
  <si>
    <t>EUR_CURVE_FUT6M_H5</t>
  </si>
  <si>
    <t>EUR_CURVE_FUT3M_H5</t>
  </si>
  <si>
    <t>EUR_CURVE_FUT12M_H5</t>
  </si>
  <si>
    <t>EUROISDDS17M</t>
  </si>
  <si>
    <t>EUR_CURVE_FUT6M_M5</t>
  </si>
  <si>
    <t>EUR_CURVE_FUT3M_M5</t>
  </si>
  <si>
    <t>EUR_CURVE_FUT12M_M5</t>
  </si>
  <si>
    <t>EUROISDDS18M</t>
  </si>
  <si>
    <t>EURAB6R3Y=</t>
  </si>
  <si>
    <t>EUR_CURVE_3M_3Y</t>
  </si>
  <si>
    <t>EUR_CURVE_12M_3Y</t>
  </si>
  <si>
    <t>EUROISDDS19M</t>
  </si>
  <si>
    <t>EURAB6R4Y=</t>
  </si>
  <si>
    <t>EUR_CURVE_3M_4Y</t>
  </si>
  <si>
    <t>EUR_CURVE_12M_4Y</t>
  </si>
  <si>
    <t>EUROISDDS20M</t>
  </si>
  <si>
    <t>EURAB6R5Y=</t>
  </si>
  <si>
    <t>EUR_CURVE_3M_5Y</t>
  </si>
  <si>
    <t>EUR_CURVE_12M_5Y</t>
  </si>
  <si>
    <t>EUROISDDS21M</t>
  </si>
  <si>
    <t>EURAB6R6Y=</t>
  </si>
  <si>
    <t>EUR_CURVE_3M_6Y</t>
  </si>
  <si>
    <t>EUR_CURVE_12M_6Y</t>
  </si>
  <si>
    <t>EUROISDDS22M</t>
  </si>
  <si>
    <t>EURAB6R7Y=</t>
  </si>
  <si>
    <t>EUR_CURVE_3M_7Y</t>
  </si>
  <si>
    <t>EUR_CURVE_12M_7Y</t>
  </si>
  <si>
    <t>EUROISDDS23M</t>
  </si>
  <si>
    <t>EURAB6R8Y=</t>
  </si>
  <si>
    <t>EUR_CURVE_3M_8Y</t>
  </si>
  <si>
    <t>EUR_CURVE_12M_8Y</t>
  </si>
  <si>
    <t>EUROISDDS2Y</t>
  </si>
  <si>
    <t>EURAB6R9Y=</t>
  </si>
  <si>
    <t>EUR_CURVE_3M_9Y</t>
  </si>
  <si>
    <t>EUR_CURVE_12M_9Y</t>
  </si>
  <si>
    <t>EUROISDDS3Y</t>
  </si>
  <si>
    <t>EURAB6R10Y=</t>
  </si>
  <si>
    <t>EUR_CURVE_3M_10Y</t>
  </si>
  <si>
    <t>EUR_CURVE_12M_10Y</t>
  </si>
  <si>
    <t>EUROISDDS4Y</t>
  </si>
  <si>
    <t>EURAB6R11Y=</t>
  </si>
  <si>
    <t>EUR_CURVE_3M_11Y</t>
  </si>
  <si>
    <t>EUR_CURVE_12M_11Y</t>
  </si>
  <si>
    <t>EUROISDDS5Y</t>
  </si>
  <si>
    <t>EURAB6R12Y=</t>
  </si>
  <si>
    <t>EUR_CURVE_3M_12Y</t>
  </si>
  <si>
    <t>EUR_CURVE_12M_12Y</t>
  </si>
  <si>
    <t>EUROISDDS6Y</t>
  </si>
  <si>
    <t>EURAB6R13Y=</t>
  </si>
  <si>
    <t>EUR_CURVE_3M_13Y</t>
  </si>
  <si>
    <t>EUR_CURVE_12M_13Y</t>
  </si>
  <si>
    <t>EUROISDDS7Y</t>
  </si>
  <si>
    <t>EURAB6R14Y=</t>
  </si>
  <si>
    <t>EUR_CURVE_3M_14Y</t>
  </si>
  <si>
    <t>EUR_CURVE_12M_14Y</t>
  </si>
  <si>
    <t>EUROISDDS8Y</t>
  </si>
  <si>
    <t>EURAB6R15Y=</t>
  </si>
  <si>
    <t>EUR_CURVE_3M_15Y</t>
  </si>
  <si>
    <t>EUR_CURVE_12M_15Y</t>
  </si>
  <si>
    <t>EUROISDDS9Y</t>
  </si>
  <si>
    <t>EURAB6R16Y=</t>
  </si>
  <si>
    <t>EUR_CURVE_3M_16Y</t>
  </si>
  <si>
    <t>EUR_CURVE_12M_16Y</t>
  </si>
  <si>
    <t>EUROISDDS10Y</t>
  </si>
  <si>
    <t>EURAB6R17Y=</t>
  </si>
  <si>
    <t>EUR_CURVE_3M_17Y</t>
  </si>
  <si>
    <t>EUR_CURVE_12M_17Y</t>
  </si>
  <si>
    <t>EUROISDDS11Y</t>
  </si>
  <si>
    <t>EURAB6R18Y=</t>
  </si>
  <si>
    <t>EUR_CURVE_3M_18Y</t>
  </si>
  <si>
    <t>EUR_CURVE_12M_18Y</t>
  </si>
  <si>
    <t>EUROISDDS12Y</t>
  </si>
  <si>
    <t>EURAB6R19Y=</t>
  </si>
  <si>
    <t>EUR_CURVE_3M_19Y</t>
  </si>
  <si>
    <t>EUR_CURVE_12M_19Y</t>
  </si>
  <si>
    <t>EUROISDDS13Y</t>
  </si>
  <si>
    <t>EURAB6R20Y=</t>
  </si>
  <si>
    <t>EUR_CURVE_3M_20Y</t>
  </si>
  <si>
    <t>EUR_CURVE_12M_20Y</t>
  </si>
  <si>
    <t>EUROISDDS14Y</t>
  </si>
  <si>
    <t>EURAB6R21Y=</t>
  </si>
  <si>
    <t>EUR_CURVE_3M_21Y</t>
  </si>
  <si>
    <t>EUR_CURVE_12M_21Y</t>
  </si>
  <si>
    <t>EUROISDDS15Y</t>
  </si>
  <si>
    <t>EURAB6R22Y=</t>
  </si>
  <si>
    <t>EUR_CURVE_3M_22Y</t>
  </si>
  <si>
    <t>EUR_CURVE_12M_22Y</t>
  </si>
  <si>
    <t>EUROISDDS16Y</t>
  </si>
  <si>
    <t>EURAB6R23Y=</t>
  </si>
  <si>
    <t>EUR_CURVE_3M_23Y</t>
  </si>
  <si>
    <t>EUR_CURVE_12M_23Y</t>
  </si>
  <si>
    <t>EUROISDDS17Y</t>
  </si>
  <si>
    <t>EURAB6R24Y=</t>
  </si>
  <si>
    <t>EUR_CURVE_3M_24Y</t>
  </si>
  <si>
    <t>EUR_CURVE_12M_24Y</t>
  </si>
  <si>
    <t>EUROISDDS18Y</t>
  </si>
  <si>
    <t>EURAB6R25Y=</t>
  </si>
  <si>
    <t>EUR_CURVE_3M_25Y</t>
  </si>
  <si>
    <t>EUR_CURVE_12M_25Y</t>
  </si>
  <si>
    <t>EUROISDDS19Y</t>
  </si>
  <si>
    <t>EURAB6R26Y=</t>
  </si>
  <si>
    <t>EUR_CURVE_3M_26Y</t>
  </si>
  <si>
    <t>EUR_CURVE_12M_26Y</t>
  </si>
  <si>
    <t>EUROISDDS20Y</t>
  </si>
  <si>
    <t>EURAB6R27Y=</t>
  </si>
  <si>
    <t>EUR_CURVE_3M_27Y</t>
  </si>
  <si>
    <t>EUR_CURVE_12M_27Y</t>
  </si>
  <si>
    <t>EUROISDDS21Y</t>
  </si>
  <si>
    <t>EURAB6R28Y=</t>
  </si>
  <si>
    <t>EUR_CURVE_3M_28Y</t>
  </si>
  <si>
    <t>EUR_CURVE_12M_28Y</t>
  </si>
  <si>
    <t>EUROISDDS22Y</t>
  </si>
  <si>
    <t>EURAB6R29Y=</t>
  </si>
  <si>
    <t>EUR_CURVE_3M_29Y</t>
  </si>
  <si>
    <t>EUR_CURVE_12M_29Y</t>
  </si>
  <si>
    <t>EUROISDDS23Y</t>
  </si>
  <si>
    <t>EURAB6R30Y=</t>
  </si>
  <si>
    <t>EUR_CURVE_3M_30Y</t>
  </si>
  <si>
    <t>EUR_CURVE_12M_30Y</t>
  </si>
  <si>
    <t>EUROISDDS24Y</t>
  </si>
  <si>
    <t>EURAB6R31Y=</t>
  </si>
  <si>
    <t>EUR_CURVE_3M_31Y</t>
  </si>
  <si>
    <t>EUR_CURVE_12M_31Y</t>
  </si>
  <si>
    <t>EUROISDDS25Y</t>
  </si>
  <si>
    <t>EURAB6R32Y=</t>
  </si>
  <si>
    <t>EUR_CURVE_3M_32Y</t>
  </si>
  <si>
    <t>EUR_CURVE_12M_32Y</t>
  </si>
  <si>
    <t>EUROISDDS26Y</t>
  </si>
  <si>
    <t>EURAB6R33Y=</t>
  </si>
  <si>
    <t>EUR_CURVE_3M_33Y</t>
  </si>
  <si>
    <t>EUR_CURVE_12M_33Y</t>
  </si>
  <si>
    <t>EUROISDDS27Y</t>
  </si>
  <si>
    <t>EURAB6R34Y=</t>
  </si>
  <si>
    <t>EUR_CURVE_3M_34Y</t>
  </si>
  <si>
    <t>EUR_CURVE_12M_34Y</t>
  </si>
  <si>
    <t>EUROISDDS28Y</t>
  </si>
  <si>
    <t>EURAB6R35Y=</t>
  </si>
  <si>
    <t>EUR_CURVE_3M_35Y</t>
  </si>
  <si>
    <t>EUR_CURVE_12M_35Y</t>
  </si>
  <si>
    <t>EUROISDDS29Y</t>
  </si>
  <si>
    <t>EURAB6R36Y=</t>
  </si>
  <si>
    <t>EUR_CURVE_3M_36Y</t>
  </si>
  <si>
    <t>EUR_CURVE_12M_36Y</t>
  </si>
  <si>
    <t>EUROISDDS30Y</t>
  </si>
  <si>
    <t>EURAB6R37Y=</t>
  </si>
  <si>
    <t>EUR_CURVE_3M_37Y</t>
  </si>
  <si>
    <t>EUR_CURVE_12M_37Y</t>
  </si>
  <si>
    <t>EUROISDDS35Y</t>
  </si>
  <si>
    <t>EURAB6R38Y=</t>
  </si>
  <si>
    <t>EUR_CURVE_3M_38Y</t>
  </si>
  <si>
    <t>EUR_CURVE_12M_38Y</t>
  </si>
  <si>
    <t>EUROISDDS40Y</t>
  </si>
  <si>
    <t>EURAB6R39Y=</t>
  </si>
  <si>
    <t>EUR_CURVE_3M_39Y</t>
  </si>
  <si>
    <t>EUR_CURVE_12M_39Y</t>
  </si>
  <si>
    <t>EUROISDDS50Y</t>
  </si>
  <si>
    <t>EURAB6R40Y=</t>
  </si>
  <si>
    <t>EUR_CURVE_3M_40Y</t>
  </si>
  <si>
    <t>EUR_CURVE_12M_40Y</t>
  </si>
  <si>
    <t>EUROISDDS60Y</t>
  </si>
  <si>
    <t>EURAB6R50Y=</t>
  </si>
  <si>
    <t>EUR_CURVE_3M_50Y</t>
  </si>
  <si>
    <t>EUR_CURVE_12M_50Y</t>
  </si>
  <si>
    <t>EURAB6R60Y=</t>
  </si>
  <si>
    <t>EUR_CURVE_3M_60Y</t>
  </si>
  <si>
    <t>EUR_CURVE_12M_60Y</t>
  </si>
  <si>
    <t>std</t>
  </si>
  <si>
    <t>FUT3M</t>
  </si>
  <si>
    <t>Expiration</t>
  </si>
  <si>
    <t>F1</t>
  </si>
  <si>
    <t>F2</t>
  </si>
  <si>
    <t>1D</t>
  </si>
  <si>
    <t>2D</t>
  </si>
  <si>
    <t>3D</t>
  </si>
  <si>
    <t>Z5</t>
  </si>
  <si>
    <t>FEIZ5</t>
  </si>
  <si>
    <t>DEC 15</t>
  </si>
  <si>
    <t>H6</t>
  </si>
  <si>
    <t>FEIH6</t>
  </si>
  <si>
    <t>MAR 16</t>
  </si>
  <si>
    <t>FEIM6</t>
  </si>
  <si>
    <t>JUN 16</t>
  </si>
  <si>
    <t>Case</t>
  </si>
  <si>
    <t>F0</t>
  </si>
  <si>
    <t>between two Deps or Swaps or between Dep and Stub</t>
  </si>
  <si>
    <t>Subcase</t>
  </si>
  <si>
    <t>in Future period</t>
  </si>
  <si>
    <t>F1.1</t>
  </si>
  <si>
    <t>between Stub/Future and before last future</t>
  </si>
  <si>
    <t>F1.2</t>
  </si>
  <si>
    <t>between Last Future and first swap</t>
  </si>
  <si>
    <t>D</t>
  </si>
  <si>
    <t>F</t>
  </si>
  <si>
    <t>bucket</t>
  </si>
  <si>
    <t>S</t>
  </si>
  <si>
    <t>W</t>
  </si>
  <si>
    <t>EUR_CURVE_DEP6M_</t>
  </si>
  <si>
    <t>EUR_CURVE_FUT6M_</t>
  </si>
  <si>
    <t>EURAB6R</t>
  </si>
  <si>
    <t>Prefix</t>
  </si>
  <si>
    <t>suffix</t>
  </si>
  <si>
    <t>=</t>
  </si>
  <si>
    <t>EUR_CURVE_DEP3M_</t>
  </si>
  <si>
    <t>EUR_CURVE_FUT3M_</t>
  </si>
  <si>
    <t>EUR_CURVE_3M_</t>
  </si>
  <si>
    <t>EUR_CURVE_DEP12M_</t>
  </si>
  <si>
    <t>EUR_CURVE_FUT12M_</t>
  </si>
  <si>
    <t>EUR_CURVE_12M_</t>
  </si>
  <si>
    <t>EURX</t>
  </si>
  <si>
    <t>D=</t>
  </si>
  <si>
    <t>All buckets</t>
  </si>
  <si>
    <t>Include</t>
  </si>
  <si>
    <t>Table Header</t>
  </si>
  <si>
    <t>Col.Head</t>
  </si>
  <si>
    <t>Col.Head.Code</t>
  </si>
  <si>
    <t>Row.Head</t>
  </si>
  <si>
    <t>SettingName</t>
  </si>
  <si>
    <t>SettingValue</t>
  </si>
  <si>
    <t>Row.Head.Code</t>
  </si>
  <si>
    <t>Input</t>
  </si>
  <si>
    <t>Input value</t>
  </si>
  <si>
    <t>PropInputValue</t>
  </si>
  <si>
    <t>Override value</t>
  </si>
  <si>
    <t>Contribution set</t>
  </si>
  <si>
    <t>InputConfig</t>
  </si>
  <si>
    <t>Output</t>
  </si>
  <si>
    <t>Output value</t>
  </si>
  <si>
    <t>Output R/T</t>
  </si>
  <si>
    <t>Linked Input value</t>
  </si>
  <si>
    <t>OutputConfig</t>
  </si>
  <si>
    <t>NoteForUser</t>
  </si>
  <si>
    <t>NoteForDvlp</t>
  </si>
  <si>
    <t>MxSearch</t>
  </si>
  <si>
    <t>EUR_CURVE_FUT6M_U4</t>
  </si>
  <si>
    <t>EUR_CURVE_FUT3M_U4</t>
  </si>
  <si>
    <t>EUR_CURVE_FUT12M_U4</t>
  </si>
  <si>
    <t>#N/A NA</t>
  </si>
  <si>
    <t>FGBLH4</t>
  </si>
  <si>
    <t>FGBMH4</t>
  </si>
  <si>
    <t>FGBSH4</t>
  </si>
  <si>
    <t>MAR</t>
  </si>
  <si>
    <t>Eur Total</t>
  </si>
  <si>
    <t>mkt data</t>
  </si>
  <si>
    <t>Ord</t>
  </si>
  <si>
    <t>RtCode</t>
  </si>
  <si>
    <t>Reuters</t>
  </si>
  <si>
    <t>Instr.N.</t>
  </si>
  <si>
    <t>D1</t>
  </si>
  <si>
    <t>D2</t>
  </si>
  <si>
    <t>D3</t>
  </si>
  <si>
    <t>D4</t>
  </si>
  <si>
    <t>D5</t>
  </si>
  <si>
    <t>D6</t>
  </si>
  <si>
    <t>D7</t>
  </si>
  <si>
    <t>D8</t>
  </si>
  <si>
    <t>D9</t>
  </si>
  <si>
    <t>D10</t>
  </si>
  <si>
    <t>D11</t>
  </si>
  <si>
    <t>D12</t>
  </si>
  <si>
    <t>S1</t>
  </si>
  <si>
    <t>F3</t>
  </si>
  <si>
    <t>F4</t>
  </si>
  <si>
    <t>F5</t>
  </si>
  <si>
    <t>W1</t>
  </si>
  <si>
    <t>W2</t>
  </si>
  <si>
    <t>W3</t>
  </si>
  <si>
    <t>W4</t>
  </si>
  <si>
    <t>W5</t>
  </si>
  <si>
    <t>W6</t>
  </si>
  <si>
    <t>W7</t>
  </si>
  <si>
    <t>W8</t>
  </si>
  <si>
    <t>W9</t>
  </si>
  <si>
    <t>W10</t>
  </si>
  <si>
    <t>W11</t>
  </si>
  <si>
    <t>W12</t>
  </si>
  <si>
    <t>W13</t>
  </si>
  <si>
    <t>W14</t>
  </si>
  <si>
    <t>W15</t>
  </si>
  <si>
    <t>W16</t>
  </si>
  <si>
    <t>W17</t>
  </si>
  <si>
    <t>W18</t>
  </si>
  <si>
    <t>W19</t>
  </si>
  <si>
    <t>W20</t>
  </si>
  <si>
    <t>W21</t>
  </si>
  <si>
    <t>W22</t>
  </si>
  <si>
    <t>W23</t>
  </si>
  <si>
    <t>W24</t>
  </si>
  <si>
    <t>W25</t>
  </si>
  <si>
    <t>W26</t>
  </si>
  <si>
    <t>W27</t>
  </si>
  <si>
    <t>W28</t>
  </si>
  <si>
    <t>W29</t>
  </si>
  <si>
    <t>W30</t>
  </si>
  <si>
    <t>W31</t>
  </si>
  <si>
    <t>W32</t>
  </si>
  <si>
    <t>W33</t>
  </si>
  <si>
    <t>W34</t>
  </si>
  <si>
    <t>W35</t>
  </si>
  <si>
    <t>W36</t>
  </si>
  <si>
    <t>W37</t>
  </si>
  <si>
    <t>W38</t>
  </si>
  <si>
    <t>W39</t>
  </si>
  <si>
    <t>W40</t>
  </si>
  <si>
    <t>Color Legend</t>
  </si>
  <si>
    <t>Pos</t>
  </si>
  <si>
    <t>EUR;EUR 6M;</t>
  </si>
  <si>
    <t>EUR;EUR :STD;</t>
  </si>
  <si>
    <t>EUR;EUR 3M;</t>
  </si>
  <si>
    <t>EUR;Total EUR;</t>
  </si>
  <si>
    <t>Bucket Sheet Details (Bucket_1M, Bucket_OIS)</t>
  </si>
  <si>
    <t>Today</t>
  </si>
  <si>
    <t>Real time</t>
  </si>
  <si>
    <t>D13</t>
  </si>
  <si>
    <t>EUR_CURVE_DEP6M_7M</t>
  </si>
  <si>
    <t>EUR_CURVE_DEP3M_7M</t>
  </si>
  <si>
    <t>EUR_CURVE_DEP12M_7M</t>
  </si>
  <si>
    <t>EURX7MD=</t>
  </si>
  <si>
    <t>#20140618</t>
  </si>
  <si>
    <t>18/06/14</t>
  </si>
  <si>
    <t>EUR_CURVE_DEP6M_#20140618</t>
  </si>
  <si>
    <t>EUR_CURVE_DEP3M_#20140618</t>
  </si>
  <si>
    <t>EUR_CURVE_DEP12M_#20140618</t>
  </si>
  <si>
    <t>USD</t>
  </si>
  <si>
    <t>Total</t>
  </si>
  <si>
    <t>Ccy</t>
  </si>
  <si>
    <t>Currency</t>
  </si>
  <si>
    <t>Curve name</t>
  </si>
  <si>
    <t>Total EUR</t>
  </si>
  <si>
    <t>Total EUR 1M</t>
  </si>
  <si>
    <t>Total EUR 1Y</t>
  </si>
  <si>
    <t>Total EUR 3M</t>
  </si>
  <si>
    <t>Total EUR 6M</t>
  </si>
  <si>
    <t>Total EUR :STD</t>
  </si>
  <si>
    <t>Total EUR-OIS</t>
  </si>
  <si>
    <t>Total EUR-OIS DISC</t>
  </si>
  <si>
    <t>Total USD</t>
  </si>
  <si>
    <t>USD 1M</t>
  </si>
  <si>
    <t>Total USD 1M</t>
  </si>
  <si>
    <t>USD 3M</t>
  </si>
  <si>
    <t>Total USD 3M</t>
  </si>
  <si>
    <t>USD 6M</t>
  </si>
  <si>
    <t>Total USD 6M</t>
  </si>
  <si>
    <t>USD :STD</t>
  </si>
  <si>
    <t>Total USD :STD</t>
  </si>
  <si>
    <t>USD FOREX</t>
  </si>
  <si>
    <t>Total USD FOREX</t>
  </si>
  <si>
    <t>24M</t>
  </si>
  <si>
    <t>Lbl</t>
  </si>
  <si>
    <t>Instr</t>
  </si>
  <si>
    <t>Label</t>
  </si>
  <si>
    <t>Yield</t>
  </si>
  <si>
    <t>EvSpread</t>
  </si>
  <si>
    <t>Eval spread</t>
  </si>
  <si>
    <t>Fut mat</t>
  </si>
  <si>
    <t>Sec code</t>
  </si>
  <si>
    <t>Notional</t>
  </si>
  <si>
    <t>P&amp;L (Abs)</t>
  </si>
  <si>
    <t>DV01 (par)</t>
  </si>
  <si>
    <t>PVBP</t>
  </si>
  <si>
    <t>Duration</t>
  </si>
  <si>
    <t>Sensitivity</t>
  </si>
  <si>
    <t>Convexity</t>
  </si>
  <si>
    <t>Bond Future</t>
  </si>
  <si>
    <t>DE0009652651</t>
  </si>
  <si>
    <t>DE0009652644</t>
  </si>
  <si>
    <t>IR Future</t>
  </si>
  <si>
    <t>CME EURO USD 3M</t>
  </si>
  <si>
    <t>Total CME EURO USD 3M</t>
  </si>
  <si>
    <t>Total LIF EURIBOR 3M</t>
  </si>
  <si>
    <t>ER</t>
  </si>
  <si>
    <t>PV01 (par)</t>
  </si>
  <si>
    <t>GBP</t>
  </si>
  <si>
    <t>Curve name/ Total EUR</t>
  </si>
  <si>
    <t>Curve name/ Total GBP</t>
  </si>
  <si>
    <t>GBP 3M</t>
  </si>
  <si>
    <t>GBP 6M</t>
  </si>
  <si>
    <t>GBP :STD</t>
  </si>
  <si>
    <t>GBP FOREX</t>
  </si>
  <si>
    <t>Curve name/ Total USD</t>
  </si>
  <si>
    <t>Com Bckt</t>
  </si>
  <si>
    <t>Fut3M</t>
  </si>
  <si>
    <t>EUR_CURVE_FUT6M_M4</t>
  </si>
  <si>
    <t>EUR_CURVE_FUT3M_M4</t>
  </si>
  <si>
    <t>EUR_CURVE_FUT12M_M4</t>
  </si>
  <si>
    <t>Future</t>
  </si>
  <si>
    <t>Third Wednesday</t>
  </si>
  <si>
    <t>Futures (Curve)</t>
  </si>
  <si>
    <t>Next Fut Dates</t>
  </si>
  <si>
    <t>STUB Period</t>
  </si>
  <si>
    <t>Quarter (0..4) (M,J,S,D)</t>
  </si>
  <si>
    <t>Quarter begin date</t>
  </si>
  <si>
    <t>Next Fut Date (first)</t>
  </si>
  <si>
    <t>End Quarter (M,J,S,D)</t>
  </si>
  <si>
    <t xml:space="preserve">Today EOM </t>
  </si>
  <si>
    <t>LIF EURIBOR 3M;DEC 13</t>
  </si>
  <si>
    <t>LIF EURIBOR 3M;MAR 14</t>
  </si>
  <si>
    <t>LIF EURIBOR 3M;JUN 14</t>
  </si>
  <si>
    <t>LIF EURIBOR 3M;SEP 14</t>
  </si>
  <si>
    <t>LIF EURIBOR 3M;DEC 14</t>
  </si>
  <si>
    <t>LIF EURIBOR 3M;MAR 15</t>
  </si>
  <si>
    <t>LIF EURIBOR 3M;JUN 15</t>
  </si>
  <si>
    <t>LIF EURIBOR 3M;SEP 15</t>
  </si>
  <si>
    <t>LIF EURIBOR 3M;DEC 15</t>
  </si>
  <si>
    <t>LIF EURIBOR 3M;MAR 16</t>
  </si>
  <si>
    <t>LIF EURIBOR 3M;JUN 16</t>
  </si>
  <si>
    <t>F6</t>
  </si>
  <si>
    <t>EUR_CURVE_FUT6M_U5</t>
  </si>
  <si>
    <t>EUR_CURVE_FUT3M_U5</t>
  </si>
  <si>
    <t>EUR_CURVE_FUT12M_U5</t>
  </si>
  <si>
    <t>Fut.Code</t>
  </si>
  <si>
    <t>MMM YY</t>
  </si>
  <si>
    <t>Dep</t>
  </si>
  <si>
    <t>Stub</t>
  </si>
  <si>
    <t>Swap</t>
  </si>
  <si>
    <t>Constants</t>
  </si>
  <si>
    <t>NA</t>
  </si>
  <si>
    <t>MktBOBL1</t>
  </si>
  <si>
    <t>MktBOBL2</t>
  </si>
  <si>
    <t>MktBUND1</t>
  </si>
  <si>
    <t>MktBUND2</t>
  </si>
  <si>
    <t>BOBL,BUND First Dates</t>
  </si>
  <si>
    <t>RtData</t>
  </si>
  <si>
    <t>Max Liffe Fut.</t>
  </si>
  <si>
    <t>Alias</t>
  </si>
  <si>
    <t>Reuters param.</t>
  </si>
  <si>
    <t>Futures from IRD table</t>
  </si>
  <si>
    <t>Key</t>
  </si>
  <si>
    <t>↙ Buttons</t>
  </si>
  <si>
    <r>
      <rPr>
        <b/>
        <sz val="10"/>
        <color indexed="43"/>
        <rFont val="Calibri"/>
        <family val="2"/>
      </rPr>
      <t>←</t>
    </r>
    <r>
      <rPr>
        <b/>
        <sz val="10"/>
        <color indexed="43"/>
        <rFont val="Calibri"/>
        <family val="2"/>
        <scheme val="minor"/>
      </rPr>
      <t xml:space="preserve"> Checks</t>
    </r>
  </si>
  <si>
    <t>← Config</t>
  </si>
  <si>
    <t>Next Fut Date</t>
  </si>
  <si>
    <t>BOBL,BUND Next Dates</t>
  </si>
  <si>
    <t>M6</t>
  </si>
  <si>
    <t>DSFW</t>
  </si>
  <si>
    <t>Instr.Codes</t>
  </si>
  <si>
    <t>Value Date</t>
  </si>
  <si>
    <t>EurBucketStd</t>
  </si>
  <si>
    <t>FutCheck</t>
  </si>
  <si>
    <t>EURBucketStd</t>
  </si>
  <si>
    <t>Config Settings</t>
  </si>
  <si>
    <t>Recalc = 1M e OIS Sensitivities are computed by bucket approximation</t>
  </si>
  <si>
    <t>CSVDir</t>
  </si>
  <si>
    <t>CSVName</t>
  </si>
  <si>
    <t>DATE</t>
  </si>
  <si>
    <t>CURRENCY</t>
  </si>
  <si>
    <t>CURVE</t>
  </si>
  <si>
    <t>TYPE</t>
  </si>
  <si>
    <t>START_DATE</t>
  </si>
  <si>
    <t>GENERATOR</t>
  </si>
  <si>
    <t>MAT_LABEL</t>
  </si>
  <si>
    <t>MATURITY</t>
  </si>
  <si>
    <t>DF_BID</t>
  </si>
  <si>
    <t>DF_ASK</t>
  </si>
  <si>
    <t>DR_BID</t>
  </si>
  <si>
    <t>DR_ASK</t>
  </si>
  <si>
    <t>MQ_BID</t>
  </si>
  <si>
    <t>MQ_ASK</t>
  </si>
  <si>
    <t>CNV_SPR_BID</t>
  </si>
  <si>
    <t>CNV_SPR_ASK</t>
  </si>
  <si>
    <t>Query</t>
  </si>
  <si>
    <t>OutputFirstCell</t>
  </si>
  <si>
    <t>RefDB_firstCell</t>
  </si>
  <si>
    <t>Import Method</t>
  </si>
  <si>
    <t>FromCsv</t>
  </si>
  <si>
    <t>Method 1</t>
  </si>
  <si>
    <t>Method 2</t>
  </si>
  <si>
    <t>ref.mix</t>
  </si>
  <si>
    <t>Fields</t>
  </si>
  <si>
    <t>text</t>
  </si>
  <si>
    <t>long</t>
  </si>
  <si>
    <t>double</t>
  </si>
  <si>
    <t>Schema</t>
  </si>
  <si>
    <t>TmpDir</t>
  </si>
  <si>
    <t>.</t>
  </si>
  <si>
    <t>D=Deposits, S=Stub, F=Futures, W= Swaps</t>
  </si>
  <si>
    <t>CSV Schema definition</t>
  </si>
  <si>
    <t>Sensitivities 1M/OIS calc mode</t>
  </si>
  <si>
    <t>Default = 1M e OIS Sensitivities are given in IRD table</t>
  </si>
  <si>
    <t>CSV settings</t>
  </si>
  <si>
    <t>CSV vlookup</t>
  </si>
  <si>
    <t>#N/A</t>
  </si>
  <si>
    <t>0#ED:</t>
  </si>
  <si>
    <t>EDV3</t>
  </si>
  <si>
    <t>EDX3</t>
  </si>
  <si>
    <t>EDZ3</t>
  </si>
  <si>
    <t>EDF4</t>
  </si>
  <si>
    <t>EDG4</t>
  </si>
  <si>
    <t>EDH4</t>
  </si>
  <si>
    <t>EDM4</t>
  </si>
  <si>
    <t>EDU4</t>
  </si>
  <si>
    <t>EDZ4</t>
  </si>
  <si>
    <t>EDH5</t>
  </si>
  <si>
    <t>EDM5</t>
  </si>
  <si>
    <t>EDU5</t>
  </si>
  <si>
    <t xml:space="preserve"> cvnx spread</t>
  </si>
  <si>
    <t>USDXOND=</t>
  </si>
  <si>
    <t>USDXTND=</t>
  </si>
  <si>
    <t>USDXSND=</t>
  </si>
  <si>
    <t>ED</t>
  </si>
  <si>
    <t>USD_CURVE_3M_</t>
  </si>
  <si>
    <t>USD_CURVE_DEP12M_</t>
  </si>
  <si>
    <t>USD_CURVE_FUT12M_</t>
  </si>
  <si>
    <t>USD_CURVE_12M_</t>
  </si>
  <si>
    <t>USD_CURVE_DEP1M_</t>
  </si>
  <si>
    <t>USD_CURVE_DEP3M_</t>
  </si>
  <si>
    <t>USD_CURVE_DEP6M_</t>
  </si>
  <si>
    <t>USD_CURVE_6M_</t>
  </si>
  <si>
    <t>NOTE 5Y</t>
  </si>
  <si>
    <t>MktNOTE10Y_1</t>
  </si>
  <si>
    <t>MktNOTE10Y_2</t>
  </si>
  <si>
    <t>MktNOTE5Y_2</t>
  </si>
  <si>
    <t>CBOT NOTE 5Y</t>
  </si>
  <si>
    <t>CBOT NOTE 10Y</t>
  </si>
  <si>
    <t>CBOT NOTE Next Dates</t>
  </si>
  <si>
    <t>CBOT NOTE First Dates</t>
  </si>
  <si>
    <t>USD;Total USD;</t>
  </si>
  <si>
    <t>USD 12M</t>
  </si>
  <si>
    <t>MQMID</t>
  </si>
  <si>
    <t>Usd Total</t>
  </si>
  <si>
    <t>USD;USD :STD;</t>
  </si>
  <si>
    <t>UsdStd noFut</t>
  </si>
  <si>
    <t>Usd3m noFut</t>
  </si>
  <si>
    <t>USD;USD 3M;</t>
  </si>
  <si>
    <t>USD;USD 1M;</t>
  </si>
  <si>
    <t>USD;USD 6M;</t>
  </si>
  <si>
    <t>10Y,30Y</t>
  </si>
  <si>
    <t>MktNOTE30Y_1</t>
  </si>
  <si>
    <t>MktNOTE30Y_2</t>
  </si>
  <si>
    <t>Usd 12M</t>
  </si>
  <si>
    <t>Usd 1m</t>
  </si>
  <si>
    <t>Usd 6m</t>
  </si>
  <si>
    <t>First Future</t>
  </si>
  <si>
    <t>Last Future</t>
  </si>
  <si>
    <t xml:space="preserve">Instr. </t>
  </si>
  <si>
    <t>Dest.Ord.</t>
  </si>
  <si>
    <t>Dest.bucket</t>
  </si>
  <si>
    <t>Check PL Futures</t>
  </si>
  <si>
    <t>CME EURO USD 3M;</t>
  </si>
  <si>
    <t>V3</t>
  </si>
  <si>
    <t>X3</t>
  </si>
  <si>
    <t>NOV 13</t>
  </si>
  <si>
    <t>CME EURO USD 3M;NOV 13</t>
  </si>
  <si>
    <t>USD_CURVE_DEP12M_1W</t>
  </si>
  <si>
    <t>USD_CURVE_DEP1M_1W</t>
  </si>
  <si>
    <t>USD_CURVE_DEP3M_1W</t>
  </si>
  <si>
    <t>USD_CURVE_DEP6M_1W</t>
  </si>
  <si>
    <t>CME EURO USD 3M;DEC 13</t>
  </si>
  <si>
    <t>USD_CURVE_DEP12M_2W</t>
  </si>
  <si>
    <t>USD_CURVE_DEP1M_2W</t>
  </si>
  <si>
    <t>USD_CURVE_DEP3M_2W</t>
  </si>
  <si>
    <t>USD_CURVE_DEP6M_2W</t>
  </si>
  <si>
    <t>JAN 14</t>
  </si>
  <si>
    <t>CME EURO USD 3M;JAN 14</t>
  </si>
  <si>
    <t>USD_CURVE_DEP12M_3W</t>
  </si>
  <si>
    <t>USD_CURVE_DEP1M_3W</t>
  </si>
  <si>
    <t>USD_CURVE_DEP3M_3W</t>
  </si>
  <si>
    <t>USD_CURVE_DEP6M_3W</t>
  </si>
  <si>
    <t>G4</t>
  </si>
  <si>
    <t>FEB 14</t>
  </si>
  <si>
    <t>CME EURO USD 3M;FEB 14</t>
  </si>
  <si>
    <t>USD_CURVE_DEP12M_1M</t>
  </si>
  <si>
    <t>USD_CURVE_DEP1M_1M</t>
  </si>
  <si>
    <t>USD_CURVE_DEP3M_1M</t>
  </si>
  <si>
    <t>USD_CURVE_DEP6M_1M</t>
  </si>
  <si>
    <t>CME EURO USD 3M;MAR 14</t>
  </si>
  <si>
    <t>USD_CURVE_DEP12M_2M</t>
  </si>
  <si>
    <t>USD_CURVE_DEP1M_2M</t>
  </si>
  <si>
    <t>USD_CURVE_DEP3M_2M</t>
  </si>
  <si>
    <t>USD_CURVE_DEP6M_2M</t>
  </si>
  <si>
    <t>CME EURO USD 3M;JUN 14</t>
  </si>
  <si>
    <t>USD_CURVE_DEP12M_3M</t>
  </si>
  <si>
    <t>USD_CURVE_DEP1M_3M</t>
  </si>
  <si>
    <t>USD_CURVE_DEP3M_3M</t>
  </si>
  <si>
    <t>USD_CURVE_DEP6M_3M</t>
  </si>
  <si>
    <t>CME EURO USD 3M;SEP 14</t>
  </si>
  <si>
    <t>USD_CURVE_DEP12M_4M</t>
  </si>
  <si>
    <t>USD_CURVE_DEP1M_4M</t>
  </si>
  <si>
    <t>USD_CURVE_DEP3M_4M</t>
  </si>
  <si>
    <t>USD_CURVE_DEP6M_4M</t>
  </si>
  <si>
    <t>CME EURO USD 3M;DEC 14</t>
  </si>
  <si>
    <t>USD_CURVE_DEP12M_5M</t>
  </si>
  <si>
    <t>USD_CURVE_DEP1M_5M</t>
  </si>
  <si>
    <t>USD_CURVE_DEP3M_5M</t>
  </si>
  <si>
    <t>USD_CURVE_DEP6M_5M</t>
  </si>
  <si>
    <t>CME EURO USD 3M;MAR 15</t>
  </si>
  <si>
    <t>USD_CURVE_DEP12M_6M</t>
  </si>
  <si>
    <t>USD_CURVE_DEP1M_6M</t>
  </si>
  <si>
    <t>USD_CURVE_DEP3M_6M</t>
  </si>
  <si>
    <t>USD_CURVE_DEP6M_6M</t>
  </si>
  <si>
    <t>CME EURO USD 3M;JUN 15</t>
  </si>
  <si>
    <t>USD_CURVE_DEP12M_7M</t>
  </si>
  <si>
    <t>USD_CURVE_DEP1M_7M</t>
  </si>
  <si>
    <t>USD_CURVE_DEP3M_7M</t>
  </si>
  <si>
    <t>USD_CURVE_DEP6M_7M</t>
  </si>
  <si>
    <t>CME EURO USD 3M;SEP 15</t>
  </si>
  <si>
    <t>USD_CURVE_DEP12M_#20140618</t>
  </si>
  <si>
    <t>USD_CURVE_DEP1M_#20140618</t>
  </si>
  <si>
    <t>USD_CURVE_DEP3M_#20140618</t>
  </si>
  <si>
    <t>USD_CURVE_DEP6M_#20140618</t>
  </si>
  <si>
    <t>USD_CURVE_FUT12M_M4</t>
  </si>
  <si>
    <t>USD_CURVE_FUT12M_U4</t>
  </si>
  <si>
    <t>USD_CURVE_FUT12M_Z4</t>
  </si>
  <si>
    <t>USD_CURVE_FUT12M_H5</t>
  </si>
  <si>
    <t>USD_CURVE_FUT12M_M5</t>
  </si>
  <si>
    <t>USD_CURVE_FUT12M_U5</t>
  </si>
  <si>
    <t>USD_CURVE_12M_3Y</t>
  </si>
  <si>
    <t>USD_CURVE_3M_3Y</t>
  </si>
  <si>
    <t>USD_CURVE_6M_3Y</t>
  </si>
  <si>
    <t>USD_CURVE_12M_4Y</t>
  </si>
  <si>
    <t>USD_CURVE_3M_4Y</t>
  </si>
  <si>
    <t>USD_CURVE_6M_4Y</t>
  </si>
  <si>
    <t>USD_CURVE_12M_5Y</t>
  </si>
  <si>
    <t>USD_CURVE_3M_5Y</t>
  </si>
  <si>
    <t>USD_CURVE_6M_5Y</t>
  </si>
  <si>
    <t>USD_CURVE_12M_6Y</t>
  </si>
  <si>
    <t>USD_CURVE_3M_6Y</t>
  </si>
  <si>
    <t>USD_CURVE_6M_6Y</t>
  </si>
  <si>
    <t>USD_CURVE_12M_7Y</t>
  </si>
  <si>
    <t>USD_CURVE_3M_7Y</t>
  </si>
  <si>
    <t>USD_CURVE_6M_7Y</t>
  </si>
  <si>
    <t>USD_CURVE_12M_8Y</t>
  </si>
  <si>
    <t>USD_CURVE_3M_8Y</t>
  </si>
  <si>
    <t>USD_CURVE_6M_8Y</t>
  </si>
  <si>
    <t>USD_CURVE_12M_9Y</t>
  </si>
  <si>
    <t>USD_CURVE_3M_9Y</t>
  </si>
  <si>
    <t>USD_CURVE_6M_9Y</t>
  </si>
  <si>
    <t>USD_CURVE_12M_10Y</t>
  </si>
  <si>
    <t>USD_CURVE_3M_10Y</t>
  </si>
  <si>
    <t>USD_CURVE_6M_10Y</t>
  </si>
  <si>
    <t>USD_CURVE_12M_11Y</t>
  </si>
  <si>
    <t>USD_CURVE_3M_11Y</t>
  </si>
  <si>
    <t>USD_CURVE_6M_11Y</t>
  </si>
  <si>
    <t>USD_CURVE_12M_12Y</t>
  </si>
  <si>
    <t>USD_CURVE_3M_12Y</t>
  </si>
  <si>
    <t>USD_CURVE_6M_12Y</t>
  </si>
  <si>
    <t>USD_CURVE_12M_13Y</t>
  </si>
  <si>
    <t>USD_CURVE_3M_13Y</t>
  </si>
  <si>
    <t>USD_CURVE_6M_13Y</t>
  </si>
  <si>
    <t>USD_CURVE_12M_14Y</t>
  </si>
  <si>
    <t>USD_CURVE_3M_14Y</t>
  </si>
  <si>
    <t>USD_CURVE_6M_14Y</t>
  </si>
  <si>
    <t>USD_CURVE_12M_15Y</t>
  </si>
  <si>
    <t>USD_CURVE_3M_15Y</t>
  </si>
  <si>
    <t>USD_CURVE_6M_15Y</t>
  </si>
  <si>
    <t>USD_CURVE_12M_16Y</t>
  </si>
  <si>
    <t>USD_CURVE_3M_16Y</t>
  </si>
  <si>
    <t>USD_CURVE_6M_16Y</t>
  </si>
  <si>
    <t>USD_CURVE_12M_17Y</t>
  </si>
  <si>
    <t>USD_CURVE_3M_17Y</t>
  </si>
  <si>
    <t>USD_CURVE_6M_17Y</t>
  </si>
  <si>
    <t>USD_CURVE_12M_18Y</t>
  </si>
  <si>
    <t>USD_CURVE_3M_18Y</t>
  </si>
  <si>
    <t>USD_CURVE_6M_18Y</t>
  </si>
  <si>
    <t>USD_CURVE_12M_19Y</t>
  </si>
  <si>
    <t>USD_CURVE_3M_19Y</t>
  </si>
  <si>
    <t>USD_CURVE_6M_19Y</t>
  </si>
  <si>
    <t>USD_CURVE_12M_20Y</t>
  </si>
  <si>
    <t>USD_CURVE_3M_20Y</t>
  </si>
  <si>
    <t>USD_CURVE_6M_20Y</t>
  </si>
  <si>
    <t>USD_CURVE_12M_21Y</t>
  </si>
  <si>
    <t>USD_CURVE_3M_21Y</t>
  </si>
  <si>
    <t>USD_CURVE_6M_21Y</t>
  </si>
  <si>
    <t>USD_CURVE_12M_22Y</t>
  </si>
  <si>
    <t>USD_CURVE_3M_22Y</t>
  </si>
  <si>
    <t>USD_CURVE_6M_22Y</t>
  </si>
  <si>
    <t>USD_CURVE_12M_23Y</t>
  </si>
  <si>
    <t>USD_CURVE_3M_23Y</t>
  </si>
  <si>
    <t>USD_CURVE_6M_23Y</t>
  </si>
  <si>
    <t>USD_CURVE_12M_24Y</t>
  </si>
  <si>
    <t>USD_CURVE_3M_24Y</t>
  </si>
  <si>
    <t>USD_CURVE_6M_24Y</t>
  </si>
  <si>
    <t>USD_CURVE_12M_25Y</t>
  </si>
  <si>
    <t>USD_CURVE_3M_25Y</t>
  </si>
  <si>
    <t>USD_CURVE_6M_25Y</t>
  </si>
  <si>
    <t>USD_CURVE_12M_26Y</t>
  </si>
  <si>
    <t>USD_CURVE_3M_26Y</t>
  </si>
  <si>
    <t>USD_CURVE_6M_26Y</t>
  </si>
  <si>
    <t>USD_CURVE_12M_27Y</t>
  </si>
  <si>
    <t>USD_CURVE_3M_27Y</t>
  </si>
  <si>
    <t>USD_CURVE_6M_27Y</t>
  </si>
  <si>
    <t>USD_CURVE_12M_28Y</t>
  </si>
  <si>
    <t>USD_CURVE_3M_28Y</t>
  </si>
  <si>
    <t>USD_CURVE_6M_28Y</t>
  </si>
  <si>
    <t>USD_CURVE_12M_29Y</t>
  </si>
  <si>
    <t>USD_CURVE_3M_29Y</t>
  </si>
  <si>
    <t>USD_CURVE_6M_29Y</t>
  </si>
  <si>
    <t>USD_CURVE_12M_30Y</t>
  </si>
  <si>
    <t>USD_CURVE_3M_30Y</t>
  </si>
  <si>
    <t>USD_CURVE_6M_30Y</t>
  </si>
  <si>
    <t>USD_CURVE_12M_40Y</t>
  </si>
  <si>
    <t>USD_CURVE_3M_40Y</t>
  </si>
  <si>
    <t>USD_CURVE_6M_40Y</t>
  </si>
  <si>
    <t>USD_CURVE_12M_50Y</t>
  </si>
  <si>
    <t>USD_CURVE_3M_50Y</t>
  </si>
  <si>
    <t>USD_CURVE_6M_50Y</t>
  </si>
  <si>
    <t>USD_CURVE_12M_60Y</t>
  </si>
  <si>
    <t>USD_CURVE_3M_60Y</t>
  </si>
  <si>
    <t>USD_CURVE_6M_60Y</t>
  </si>
  <si>
    <t>Total EUREX BOBL 5Y</t>
  </si>
  <si>
    <t>Total EUREX BUND 10Y</t>
  </si>
  <si>
    <t>CBOT BOND 30Y</t>
  </si>
  <si>
    <t>CHECKS</t>
  </si>
  <si>
    <t>EDZ5</t>
  </si>
  <si>
    <t>EDH6</t>
  </si>
  <si>
    <t>EDM6</t>
  </si>
  <si>
    <t>EDU6</t>
  </si>
  <si>
    <t>EDZ6</t>
  </si>
  <si>
    <t>EDH7</t>
  </si>
  <si>
    <t>EDM7</t>
  </si>
  <si>
    <t>EDU7</t>
  </si>
  <si>
    <t>FEIV3</t>
  </si>
  <si>
    <t>FEIX3</t>
  </si>
  <si>
    <t>FEIF4</t>
  </si>
  <si>
    <t>FEIG4</t>
  </si>
  <si>
    <t>FEIU6</t>
  </si>
  <si>
    <t>FEIZ6</t>
  </si>
  <si>
    <t>FEIH7</t>
  </si>
  <si>
    <t>FEIM7</t>
  </si>
  <si>
    <t>FEIU7</t>
  </si>
  <si>
    <t>X:\Apps\Appsscript\spazioIXP\SSL00\out\desk_tasso</t>
  </si>
  <si>
    <t>MX3_Rate_Curves.csv</t>
  </si>
  <si>
    <t>USDX</t>
  </si>
  <si>
    <t>USDXSWD=</t>
  </si>
  <si>
    <t>USDXSTUB</t>
  </si>
  <si>
    <t>USD_CURVE_FUT1M_</t>
  </si>
  <si>
    <t>USD_CURVE_1M_</t>
  </si>
  <si>
    <t>USD_CURVE_FUT3M_</t>
  </si>
  <si>
    <t>USD_CURVE_FUT6M_</t>
  </si>
  <si>
    <t>Check NOTE</t>
  </si>
  <si>
    <t>EUREX SCHATZ 2Y</t>
  </si>
  <si>
    <t>EUREX BTP 10Y</t>
  </si>
  <si>
    <t>BOBL/BUND</t>
  </si>
  <si>
    <t>BTP/SCHATZ</t>
  </si>
  <si>
    <t>FBTP</t>
  </si>
  <si>
    <t>MktBTP10Y1</t>
  </si>
  <si>
    <t>MktSCHATZ2Y1</t>
  </si>
  <si>
    <t>MktBTP10Y2</t>
  </si>
  <si>
    <t>MktSCHATZ2Y2</t>
  </si>
  <si>
    <t>perfect bucket data matching (Future section excluded)</t>
  </si>
  <si>
    <t>Remove Copy of Source data after Ref.Curve import</t>
  </si>
  <si>
    <t>LIF EURIBOR 3M;NOV 13</t>
  </si>
  <si>
    <t>LIF EURIBOR 3M;JAN 14</t>
  </si>
  <si>
    <t>LIF EURIBOR 3M;FEB 14</t>
  </si>
  <si>
    <t>U6</t>
  </si>
  <si>
    <t>SEP 16</t>
  </si>
  <si>
    <t>LIF EURIBOR 3M;SEP 16</t>
  </si>
  <si>
    <t>Z6</t>
  </si>
  <si>
    <t>DEC 16</t>
  </si>
  <si>
    <t>LIF EURIBOR 3M;DEC 16</t>
  </si>
  <si>
    <t>H7</t>
  </si>
  <si>
    <t>MAR 17</t>
  </si>
  <si>
    <t>LIF EURIBOR 3M;MAR 17</t>
  </si>
  <si>
    <t>M7</t>
  </si>
  <si>
    <t>JUN 17</t>
  </si>
  <si>
    <t>LIF EURIBOR 3M;JUN 17</t>
  </si>
  <si>
    <t>U7</t>
  </si>
  <si>
    <t>SEP 17</t>
  </si>
  <si>
    <t>LIF EURIBOR 3M;SEP 17</t>
  </si>
  <si>
    <t>FBTPZ3</t>
  </si>
  <si>
    <t>FBTPH4</t>
  </si>
  <si>
    <t>USDX2WD=</t>
  </si>
  <si>
    <t>USDX3WD=</t>
  </si>
  <si>
    <t>USDX1MD=</t>
  </si>
  <si>
    <t>USDX2MD=</t>
  </si>
  <si>
    <t>USDX3MD=</t>
  </si>
  <si>
    <t>USDX4MD=</t>
  </si>
  <si>
    <t>USDX5MD=</t>
  </si>
  <si>
    <t>USDX6MD=</t>
  </si>
  <si>
    <t>USDX7MD=</t>
  </si>
  <si>
    <t>USDXSTUBD=</t>
  </si>
  <si>
    <t>CME EURO USD 3M;DEC 15</t>
  </si>
  <si>
    <t>USD_CURVE_FUT1M_M4</t>
  </si>
  <si>
    <t>USD_CURVE_FUT3M_M4</t>
  </si>
  <si>
    <t>USD_CURVE_FUT6M_M4</t>
  </si>
  <si>
    <t>CME EURO USD 3M;MAR 16</t>
  </si>
  <si>
    <t>USD_CURVE_FUT1M_U4</t>
  </si>
  <si>
    <t>USD_CURVE_FUT3M_U4</t>
  </si>
  <si>
    <t>USD_CURVE_FUT6M_U4</t>
  </si>
  <si>
    <t>CME EURO USD 3M;JUN 16</t>
  </si>
  <si>
    <t>USD_CURVE_FUT1M_Z4</t>
  </si>
  <si>
    <t>USD_CURVE_FUT3M_Z4</t>
  </si>
  <si>
    <t>USD_CURVE_FUT6M_Z4</t>
  </si>
  <si>
    <t>CME EURO USD 3M;SEP 16</t>
  </si>
  <si>
    <t>USD_CURVE_FUT1M_H5</t>
  </si>
  <si>
    <t>USD_CURVE_FUT3M_H5</t>
  </si>
  <si>
    <t>USD_CURVE_FUT6M_H5</t>
  </si>
  <si>
    <t>CME EURO USD 3M;DEC 16</t>
  </si>
  <si>
    <t>USD_CURVE_FUT1M_M5</t>
  </si>
  <si>
    <t>USD_CURVE_FUT3M_M5</t>
  </si>
  <si>
    <t>USD_CURVE_FUT6M_M5</t>
  </si>
  <si>
    <t>CME EURO USD 3M;MAR 17</t>
  </si>
  <si>
    <t>USD_CURVE_FUT1M_U5</t>
  </si>
  <si>
    <t>USD_CURVE_FUT3M_U5</t>
  </si>
  <si>
    <t>USD_CURVE_FUT6M_U5</t>
  </si>
  <si>
    <t>CME EURO USD 3M;JUN 17</t>
  </si>
  <si>
    <t>USD_CURVE_1M_3Y</t>
  </si>
  <si>
    <t>CME EURO USD 3M;SEP 17</t>
  </si>
  <si>
    <t>USD_CURVE_1M_4Y</t>
  </si>
  <si>
    <t>USD_CURVE_1M_5Y</t>
  </si>
  <si>
    <t>USD_CURVE_1M_6Y</t>
  </si>
  <si>
    <t>USD_CURVE_1M_7Y</t>
  </si>
  <si>
    <t>USD_CURVE_1M_8Y</t>
  </si>
  <si>
    <t>USZ3</t>
  </si>
  <si>
    <t>#N/A Access Denied: User req to IDN for Unsubscribed Exch - HOSTALL</t>
  </si>
  <si>
    <t>#N/</t>
  </si>
  <si>
    <t>USD_CURVE_1M_9Y</t>
  </si>
  <si>
    <t>TYZ3</t>
  </si>
  <si>
    <t>USD_CURVE_1M_10Y</t>
  </si>
  <si>
    <t>FVZ3</t>
  </si>
  <si>
    <t>USD_CURVE_1M_11Y</t>
  </si>
  <si>
    <t>TUZ3</t>
  </si>
  <si>
    <t>USD_CURVE_1M_12Y</t>
  </si>
  <si>
    <t>USD_CURVE_1M_13Y</t>
  </si>
  <si>
    <t>USD_CURVE_1M_14Y</t>
  </si>
  <si>
    <t>USH4</t>
  </si>
  <si>
    <t>USD_CURVE_1M_15Y</t>
  </si>
  <si>
    <t>TYH4</t>
  </si>
  <si>
    <t>USD_CURVE_1M_16Y</t>
  </si>
  <si>
    <t>FVH4</t>
  </si>
  <si>
    <t>USD_CURVE_1M_17Y</t>
  </si>
  <si>
    <t>TUH4</t>
  </si>
  <si>
    <t>USD_CURVE_1M_18Y</t>
  </si>
  <si>
    <t>USD_CURVE_1M_19Y</t>
  </si>
  <si>
    <t>USD_CURVE_1M_20Y</t>
  </si>
  <si>
    <t>USD_CURVE_1M_21Y</t>
  </si>
  <si>
    <t>USD_CURVE_1M_22Y</t>
  </si>
  <si>
    <t>USD_CURVE_1M_23Y</t>
  </si>
  <si>
    <t>USD_CURVE_1M_24Y</t>
  </si>
  <si>
    <t>USD_CURVE_1M_25Y</t>
  </si>
  <si>
    <t>USD_CURVE_1M_26Y</t>
  </si>
  <si>
    <t>USD_CURVE_1M_27Y</t>
  </si>
  <si>
    <t>USD_CURVE_1M_28Y</t>
  </si>
  <si>
    <t>USD_CURVE_1M_29Y</t>
  </si>
  <si>
    <t>USD_CURVE_1M_30Y</t>
  </si>
  <si>
    <t>USD_CURVE_1M_40Y</t>
  </si>
  <si>
    <t>USD_CURVE_1M_50Y</t>
  </si>
  <si>
    <t>USD_CURVE_1M_60Y</t>
  </si>
  <si>
    <t>Eur3M</t>
  </si>
  <si>
    <t>Eur6M</t>
  </si>
  <si>
    <t>Eur1Y</t>
  </si>
  <si>
    <t>Eur1M</t>
  </si>
  <si>
    <t>EurOIS</t>
  </si>
  <si>
    <t>Chg_bps</t>
  </si>
  <si>
    <t>Mkt Values</t>
  </si>
  <si>
    <t>Dates</t>
  </si>
  <si>
    <t>Usd3M</t>
  </si>
  <si>
    <t>UsdStd</t>
  </si>
  <si>
    <t>Usd12M</t>
  </si>
  <si>
    <t>Usd1M</t>
  </si>
  <si>
    <t>Usd6M</t>
  </si>
  <si>
    <t>EurStd</t>
  </si>
  <si>
    <t>USD OIS</t>
  </si>
  <si>
    <t>Total USD OIS</t>
  </si>
  <si>
    <t>GBP SONIA</t>
  </si>
  <si>
    <t>USD;USD OIS;</t>
  </si>
  <si>
    <t xml:space="preserve"> Empty cell</t>
  </si>
  <si>
    <t>USD;USD 12M;</t>
  </si>
  <si>
    <t>UsdOIS</t>
  </si>
  <si>
    <t>USDOND=TTKL</t>
  </si>
  <si>
    <t>USDTND=TTKL</t>
  </si>
  <si>
    <t>USDSND=TTKL</t>
  </si>
  <si>
    <t>=IF($B96&lt;&gt;5,VLOOKUP(AT96,'\\Mxgui.ux.imilan.it\excel_file\[USDOIS.xls]USD6M'!$E$2:$H$100,4,FALSE),"")</t>
  </si>
  <si>
    <t>UsdBucketStd</t>
  </si>
  <si>
    <t>AUD</t>
  </si>
  <si>
    <t>Total AUD</t>
  </si>
  <si>
    <t>AUD FOREX</t>
  </si>
  <si>
    <t>Total AUD FOREX</t>
  </si>
  <si>
    <t>BRL</t>
  </si>
  <si>
    <t>Total BRL</t>
  </si>
  <si>
    <t>BRL FOREX</t>
  </si>
  <si>
    <t>Total BRL FOREX</t>
  </si>
  <si>
    <t>CAD</t>
  </si>
  <si>
    <t>Total CAD</t>
  </si>
  <si>
    <t>CAD FOREX</t>
  </si>
  <si>
    <t>Total CAD FOREX</t>
  </si>
  <si>
    <t>CHF</t>
  </si>
  <si>
    <t>Total CHF</t>
  </si>
  <si>
    <t>CHF 3M</t>
  </si>
  <si>
    <t>Total CHF 3M</t>
  </si>
  <si>
    <t>CHF 6M</t>
  </si>
  <si>
    <t>Total CHF 6M</t>
  </si>
  <si>
    <t>6M-12M</t>
  </si>
  <si>
    <t>9M-15M</t>
  </si>
  <si>
    <t>12M-18M</t>
  </si>
  <si>
    <t>CHF :STD</t>
  </si>
  <si>
    <t>Total CHF :STD</t>
  </si>
  <si>
    <t>CHF FOREX</t>
  </si>
  <si>
    <t>Total CHF FOREX</t>
  </si>
  <si>
    <t>CLP</t>
  </si>
  <si>
    <t>Total CLP</t>
  </si>
  <si>
    <t>CLP FOREX</t>
  </si>
  <si>
    <t>Total CLP FOREX</t>
  </si>
  <si>
    <t>COP</t>
  </si>
  <si>
    <t>Total COP</t>
  </si>
  <si>
    <t>COP :STD</t>
  </si>
  <si>
    <t>Total COP :STD</t>
  </si>
  <si>
    <t>COP FOREX</t>
  </si>
  <si>
    <t>Total COP FOREX</t>
  </si>
  <si>
    <t>CZK</t>
  </si>
  <si>
    <t>Total CZK</t>
  </si>
  <si>
    <t>3M-6M</t>
  </si>
  <si>
    <t>6M-9M</t>
  </si>
  <si>
    <t>9M-12M</t>
  </si>
  <si>
    <t>CZK FOREX</t>
  </si>
  <si>
    <t>Total CZK FOREX</t>
  </si>
  <si>
    <t>Total GBP</t>
  </si>
  <si>
    <t>Total GBP 3M</t>
  </si>
  <si>
    <t>Total GBP 6M</t>
  </si>
  <si>
    <t>1M-7M</t>
  </si>
  <si>
    <t>2M-8M</t>
  </si>
  <si>
    <t>3M-9M</t>
  </si>
  <si>
    <t>4M-10M</t>
  </si>
  <si>
    <t>5M-11M</t>
  </si>
  <si>
    <t>7M-13M</t>
  </si>
  <si>
    <t>8M-14M</t>
  </si>
  <si>
    <t>10M-16M</t>
  </si>
  <si>
    <t>11M-17M</t>
  </si>
  <si>
    <t>13M-19M</t>
  </si>
  <si>
    <t>14M-20M</t>
  </si>
  <si>
    <t>15M-21M</t>
  </si>
  <si>
    <t>16M-22M</t>
  </si>
  <si>
    <t>17M-23M</t>
  </si>
  <si>
    <t>18M-24M</t>
  </si>
  <si>
    <t>Total GBP FOREX</t>
  </si>
  <si>
    <t>Total GBP SONIA</t>
  </si>
  <si>
    <t>HKD</t>
  </si>
  <si>
    <t>Total HKD</t>
  </si>
  <si>
    <t>HKD FOREX</t>
  </si>
  <si>
    <t>Total HKD FOREX</t>
  </si>
  <si>
    <t>HUF</t>
  </si>
  <si>
    <t>Total HUF</t>
  </si>
  <si>
    <t>HUF FOREX</t>
  </si>
  <si>
    <t>Total HUF FOREX</t>
  </si>
  <si>
    <t>IDR</t>
  </si>
  <si>
    <t>Total IDR</t>
  </si>
  <si>
    <t>IDR FOREX</t>
  </si>
  <si>
    <t>Total IDR FOREX</t>
  </si>
  <si>
    <t>ILS</t>
  </si>
  <si>
    <t>Total ILS</t>
  </si>
  <si>
    <t>ILS :STD</t>
  </si>
  <si>
    <t>Total ILS :STD</t>
  </si>
  <si>
    <t>ILS FOREX</t>
  </si>
  <si>
    <t>Total ILS FOREX</t>
  </si>
  <si>
    <t>INR</t>
  </si>
  <si>
    <t>Total INR</t>
  </si>
  <si>
    <t>INR FOREX</t>
  </si>
  <si>
    <t>Total INR FOREX</t>
  </si>
  <si>
    <t>INR USD BASIS</t>
  </si>
  <si>
    <t>Total INR USD BASIS</t>
  </si>
  <si>
    <t>ITL</t>
  </si>
  <si>
    <t>ITL :Std</t>
  </si>
  <si>
    <t>Total ITL :Std</t>
  </si>
  <si>
    <t>JPY</t>
  </si>
  <si>
    <t>Total JPY</t>
  </si>
  <si>
    <t>JPY FOREX</t>
  </si>
  <si>
    <t>Total JPY FOREX</t>
  </si>
  <si>
    <t>KRW</t>
  </si>
  <si>
    <t>KRW FOREX</t>
  </si>
  <si>
    <t>Total KRW FOREX</t>
  </si>
  <si>
    <t>MXN</t>
  </si>
  <si>
    <t>Total MXN</t>
  </si>
  <si>
    <t>MXN :STD</t>
  </si>
  <si>
    <t>Total MXN :STD</t>
  </si>
  <si>
    <t>364D</t>
  </si>
  <si>
    <t>728D</t>
  </si>
  <si>
    <t>1092D</t>
  </si>
  <si>
    <t>1456D</t>
  </si>
  <si>
    <t>1820D</t>
  </si>
  <si>
    <t>2548D</t>
  </si>
  <si>
    <t>3640D</t>
  </si>
  <si>
    <t>5460D</t>
  </si>
  <si>
    <t>7280D</t>
  </si>
  <si>
    <t>MXN FOREX</t>
  </si>
  <si>
    <t>Total MXN FOREX</t>
  </si>
  <si>
    <t>1008D</t>
  </si>
  <si>
    <t>1344D</t>
  </si>
  <si>
    <t>1680D</t>
  </si>
  <si>
    <t>2016D</t>
  </si>
  <si>
    <t>2352D</t>
  </si>
  <si>
    <t>2688D</t>
  </si>
  <si>
    <t>3024D</t>
  </si>
  <si>
    <t>3360D</t>
  </si>
  <si>
    <t>MYR</t>
  </si>
  <si>
    <t>Total MYR</t>
  </si>
  <si>
    <t>MYR FOREX</t>
  </si>
  <si>
    <t>Total MYR FOREX</t>
  </si>
  <si>
    <t>NOK</t>
  </si>
  <si>
    <t>Total NOK</t>
  </si>
  <si>
    <t>NOK 3M</t>
  </si>
  <si>
    <t>Total NOK 3M</t>
  </si>
  <si>
    <t>NOK :STD</t>
  </si>
  <si>
    <t>Total NOK :STD</t>
  </si>
  <si>
    <t>NOK FOREX</t>
  </si>
  <si>
    <t>Total NOK FOREX</t>
  </si>
  <si>
    <t>NZD</t>
  </si>
  <si>
    <t>Total NZD</t>
  </si>
  <si>
    <t>NZD :STD</t>
  </si>
  <si>
    <t>Total NZD :STD</t>
  </si>
  <si>
    <t>NZD FOREX</t>
  </si>
  <si>
    <t>Total NZD FOREX</t>
  </si>
  <si>
    <t>PEN</t>
  </si>
  <si>
    <t>Total PEN</t>
  </si>
  <si>
    <t>PEN :Std</t>
  </si>
  <si>
    <t>Total PEN :Std</t>
  </si>
  <si>
    <t>PEN FOREX</t>
  </si>
  <si>
    <t>Total PEN FOREX</t>
  </si>
  <si>
    <t>PHP</t>
  </si>
  <si>
    <t>PHP :STD</t>
  </si>
  <si>
    <t>Total PHP :STD</t>
  </si>
  <si>
    <t>PLN</t>
  </si>
  <si>
    <t>Total PLN</t>
  </si>
  <si>
    <t>PLN FOREX</t>
  </si>
  <si>
    <t>Total PLN FOREX</t>
  </si>
  <si>
    <t>RON</t>
  </si>
  <si>
    <t>Total RON</t>
  </si>
  <si>
    <t>RON FOREX</t>
  </si>
  <si>
    <t>Total RON FOREX</t>
  </si>
  <si>
    <t>RUB</t>
  </si>
  <si>
    <t>Total RUB</t>
  </si>
  <si>
    <t>RUB :STD</t>
  </si>
  <si>
    <t>Total RUB :STD</t>
  </si>
  <si>
    <t>RUB FOREX</t>
  </si>
  <si>
    <t>Total RUB FOREX</t>
  </si>
  <si>
    <t>SEK</t>
  </si>
  <si>
    <t>Total SEK</t>
  </si>
  <si>
    <t>SEK FOREX</t>
  </si>
  <si>
    <t>Total SEK FOREX</t>
  </si>
  <si>
    <t>TRY</t>
  </si>
  <si>
    <t>Total TRY</t>
  </si>
  <si>
    <t>TRY :STD</t>
  </si>
  <si>
    <t>Total TRY :STD</t>
  </si>
  <si>
    <t>TRY FOREX</t>
  </si>
  <si>
    <t>Total TRY FOREX</t>
  </si>
  <si>
    <t>ZAR</t>
  </si>
  <si>
    <t>Total ZAR</t>
  </si>
  <si>
    <t>ZAR :STD</t>
  </si>
  <si>
    <t>Total ZAR :STD</t>
  </si>
  <si>
    <t>1M-4M</t>
  </si>
  <si>
    <t>2M-5M</t>
  </si>
  <si>
    <t>4M-7M</t>
  </si>
  <si>
    <t>5M-8M</t>
  </si>
  <si>
    <t>7M-10M</t>
  </si>
  <si>
    <t>8M-11M</t>
  </si>
  <si>
    <t>ZAR FOREX</t>
  </si>
  <si>
    <t>Total ZAR FOREX</t>
  </si>
  <si>
    <t>STUB Date Method</t>
  </si>
  <si>
    <t>fromCsv</t>
  </si>
  <si>
    <t>Calc</t>
  </si>
  <si>
    <t>STUB Date Calc</t>
  </si>
  <si>
    <t>Stub Date(csv)</t>
  </si>
  <si>
    <t>CODE</t>
  </si>
  <si>
    <t>EUR 1M|S/N</t>
  </si>
  <si>
    <t>EUR 1M|1W</t>
  </si>
  <si>
    <t>EUR 1M|2W</t>
  </si>
  <si>
    <t>EUR 1M|3W</t>
  </si>
  <si>
    <t>EUR 1M|1M</t>
  </si>
  <si>
    <t>EUR 1M|2M</t>
  </si>
  <si>
    <t>EUR 1M|3M</t>
  </si>
  <si>
    <t>EUR 1M|4M</t>
  </si>
  <si>
    <t>EUR 1M|5M</t>
  </si>
  <si>
    <t>EUR 1M|6M</t>
  </si>
  <si>
    <t>EUR 1M|7M</t>
  </si>
  <si>
    <t>EUR 1M|8M</t>
  </si>
  <si>
    <t>EUR 1M|9M</t>
  </si>
  <si>
    <t>EUR 1M|10M</t>
  </si>
  <si>
    <t>EUR 1M|11M</t>
  </si>
  <si>
    <t>EUR 1M|12M</t>
  </si>
  <si>
    <t>EUR 1M|2Y</t>
  </si>
  <si>
    <t>EUR 1M|2Y3M</t>
  </si>
  <si>
    <t>EUR 1M|2Y6M</t>
  </si>
  <si>
    <t>EUR 1M|2Y9M</t>
  </si>
  <si>
    <t>EUR 1M|3Y</t>
  </si>
  <si>
    <t>EUR 1M|4Y</t>
  </si>
  <si>
    <t>EUR 1M|5Y</t>
  </si>
  <si>
    <t>EUR 1M|6Y</t>
  </si>
  <si>
    <t>EUR 1M|7Y</t>
  </si>
  <si>
    <t>EUR 1M|8Y</t>
  </si>
  <si>
    <t>EUR 1M|9Y</t>
  </si>
  <si>
    <t>EUR 1M|10Y</t>
  </si>
  <si>
    <t>EUR 1M|11Y</t>
  </si>
  <si>
    <t>EUR 1M|12Y</t>
  </si>
  <si>
    <t>EUR 1M|13Y</t>
  </si>
  <si>
    <t>EUR 1M|14Y</t>
  </si>
  <si>
    <t>EUR 1M|15Y</t>
  </si>
  <si>
    <t>EUR 1M|16Y</t>
  </si>
  <si>
    <t>EUR 1M|17Y</t>
  </si>
  <si>
    <t>EUR 1M|18Y</t>
  </si>
  <si>
    <t>EUR 1M|19Y</t>
  </si>
  <si>
    <t>EUR 1M|20Y</t>
  </si>
  <si>
    <t>EUR 1M|21Y</t>
  </si>
  <si>
    <t>EUR 1M|22Y</t>
  </si>
  <si>
    <t>EUR 1M|23Y</t>
  </si>
  <si>
    <t>EUR 1M|24Y</t>
  </si>
  <si>
    <t>EUR 1M|25Y</t>
  </si>
  <si>
    <t>EUR 1M|26Y</t>
  </si>
  <si>
    <t>EUR 1M|27Y</t>
  </si>
  <si>
    <t>EUR 1M|28Y</t>
  </si>
  <si>
    <t>EUR 1M|29Y</t>
  </si>
  <si>
    <t>EUR 1M|30Y</t>
  </si>
  <si>
    <t>EUR 1M|31Y</t>
  </si>
  <si>
    <t>EUR 1M|32Y</t>
  </si>
  <si>
    <t>EUR 1M|33Y</t>
  </si>
  <si>
    <t>EUR 1M|34Y</t>
  </si>
  <si>
    <t>EUR 1M|35Y</t>
  </si>
  <si>
    <t>EUR 1M|36Y</t>
  </si>
  <si>
    <t>EUR 1M|37Y</t>
  </si>
  <si>
    <t>EUR 1M|38Y</t>
  </si>
  <si>
    <t>EUR 1M|39Y</t>
  </si>
  <si>
    <t>EUR 1M|40Y</t>
  </si>
  <si>
    <t>EUR 1M|50Y</t>
  </si>
  <si>
    <t>EUR 1M|60Y</t>
  </si>
  <si>
    <t>EUR 1WEEK|O/N</t>
  </si>
  <si>
    <t>EUR 1WEEK</t>
  </si>
  <si>
    <t>EUR 1Y|S/N</t>
  </si>
  <si>
    <t>EUR 1Y|1W</t>
  </si>
  <si>
    <t>EUR 1Y|2W</t>
  </si>
  <si>
    <t>EUR 1Y|3W</t>
  </si>
  <si>
    <t>EUR 1Y|1M</t>
  </si>
  <si>
    <t>EUR 1Y|2M</t>
  </si>
  <si>
    <t>EUR 1Y|3M</t>
  </si>
  <si>
    <t>EUR 1Y|4M</t>
  </si>
  <si>
    <t>EUR 1Y|5M</t>
  </si>
  <si>
    <t>EUR 1Y|6M</t>
  </si>
  <si>
    <t>EUR 1Y|7M</t>
  </si>
  <si>
    <t>EUR 1Y|8M</t>
  </si>
  <si>
    <t>EUR 1Y|9M</t>
  </si>
  <si>
    <t>EUR 1Y|3Y</t>
  </si>
  <si>
    <t>EUR 1Y|4Y</t>
  </si>
  <si>
    <t>EUR 1Y|5Y</t>
  </si>
  <si>
    <t>EUR 1Y|6Y</t>
  </si>
  <si>
    <t>EUR 1Y|7Y</t>
  </si>
  <si>
    <t>EUR 1Y|8Y</t>
  </si>
  <si>
    <t>EUR 1Y|9Y</t>
  </si>
  <si>
    <t>EUR 1Y|10Y</t>
  </si>
  <si>
    <t>EUR 1Y|11Y</t>
  </si>
  <si>
    <t>EUR 1Y|12Y</t>
  </si>
  <si>
    <t>EUR 1Y|13Y</t>
  </si>
  <si>
    <t>EUR 1Y|14Y</t>
  </si>
  <si>
    <t>EUR 1Y|15Y</t>
  </si>
  <si>
    <t>EUR 1Y|16Y</t>
  </si>
  <si>
    <t>EUR 1Y|17Y</t>
  </si>
  <si>
    <t>EUR 1Y|18Y</t>
  </si>
  <si>
    <t>EUR 1Y|19Y</t>
  </si>
  <si>
    <t>EUR 1Y|20Y</t>
  </si>
  <si>
    <t>EUR 1Y|21Y</t>
  </si>
  <si>
    <t>EUR 1Y|22Y</t>
  </si>
  <si>
    <t>EUR 1Y|23Y</t>
  </si>
  <si>
    <t>EUR 1Y|24Y</t>
  </si>
  <si>
    <t>EUR 1Y|25Y</t>
  </si>
  <si>
    <t>EUR 1Y|26Y</t>
  </si>
  <si>
    <t>EUR 1Y|27Y</t>
  </si>
  <si>
    <t>EUR 1Y|28Y</t>
  </si>
  <si>
    <t>EUR 1Y|29Y</t>
  </si>
  <si>
    <t>EUR 1Y|30Y</t>
  </si>
  <si>
    <t>EUR 1Y|31Y</t>
  </si>
  <si>
    <t>EUR 1Y|32Y</t>
  </si>
  <si>
    <t>EUR 1Y|33Y</t>
  </si>
  <si>
    <t>EUR 1Y|34Y</t>
  </si>
  <si>
    <t>EUR 1Y|35Y</t>
  </si>
  <si>
    <t>EUR 1Y|36Y</t>
  </si>
  <si>
    <t>EUR 1Y|37Y</t>
  </si>
  <si>
    <t>EUR 1Y|38Y</t>
  </si>
  <si>
    <t>EUR 1Y|39Y</t>
  </si>
  <si>
    <t>EUR 1Y|40Y</t>
  </si>
  <si>
    <t>EUR 1Y|50Y</t>
  </si>
  <si>
    <t>EUR 1Y|60Y</t>
  </si>
  <si>
    <t>EUR 3M|S/N</t>
  </si>
  <si>
    <t>EUR 3M|1W</t>
  </si>
  <si>
    <t>EUR 3M|2W</t>
  </si>
  <si>
    <t>EUR 3M|3W</t>
  </si>
  <si>
    <t>EUR 3M|1M</t>
  </si>
  <si>
    <t>EUR 3M|2M</t>
  </si>
  <si>
    <t>EUR 3M|3M</t>
  </si>
  <si>
    <t>EUR 3M|3Y</t>
  </si>
  <si>
    <t>EUR 3M|4Y</t>
  </si>
  <si>
    <t>EUR 3M|5Y</t>
  </si>
  <si>
    <t>EUR 3M|6Y</t>
  </si>
  <si>
    <t>EUR 3M|7Y</t>
  </si>
  <si>
    <t>EUR 3M|8Y</t>
  </si>
  <si>
    <t>EUR 3M|9Y</t>
  </si>
  <si>
    <t>EUR 3M|10Y</t>
  </si>
  <si>
    <t>EUR 3M|11Y</t>
  </si>
  <si>
    <t>EUR 3M|12Y</t>
  </si>
  <si>
    <t>EUR 3M|13Y</t>
  </si>
  <si>
    <t>EUR 3M|14Y</t>
  </si>
  <si>
    <t>EUR 3M|15Y</t>
  </si>
  <si>
    <t>EUR 3M|16Y</t>
  </si>
  <si>
    <t>EUR 3M|17Y</t>
  </si>
  <si>
    <t>EUR 3M|18Y</t>
  </si>
  <si>
    <t>EUR 3M|19Y</t>
  </si>
  <si>
    <t>EUR 3M|20Y</t>
  </si>
  <si>
    <t>EUR 3M|21Y</t>
  </si>
  <si>
    <t>EUR 3M|22Y</t>
  </si>
  <si>
    <t>EUR 3M|23Y</t>
  </si>
  <si>
    <t>EUR 3M|24Y</t>
  </si>
  <si>
    <t>EUR 3M|25Y</t>
  </si>
  <si>
    <t>EUR 3M|26Y</t>
  </si>
  <si>
    <t>EUR 3M|27Y</t>
  </si>
  <si>
    <t>EUR 3M|28Y</t>
  </si>
  <si>
    <t>EUR 3M|29Y</t>
  </si>
  <si>
    <t>EUR 3M|30Y</t>
  </si>
  <si>
    <t>EUR 3M|31Y</t>
  </si>
  <si>
    <t>EUR 3M|32Y</t>
  </si>
  <si>
    <t>EUR 3M|33Y</t>
  </si>
  <si>
    <t>EUR 3M|34Y</t>
  </si>
  <si>
    <t>EUR 3M|35Y</t>
  </si>
  <si>
    <t>EUR 3M|36Y</t>
  </si>
  <si>
    <t>EUR 3M|37Y</t>
  </si>
  <si>
    <t>EUR 3M|38Y</t>
  </si>
  <si>
    <t>EUR 3M|39Y</t>
  </si>
  <si>
    <t>EUR 3M|40Y</t>
  </si>
  <si>
    <t>EUR 3M|50Y</t>
  </si>
  <si>
    <t>EUR 3M|60Y</t>
  </si>
  <si>
    <t>EUR 6M|S/N</t>
  </si>
  <si>
    <t>EUR 6M|1W</t>
  </si>
  <si>
    <t>EUR 6M|2W</t>
  </si>
  <si>
    <t>EUR 6M|3W</t>
  </si>
  <si>
    <t>EUR 6M|1M</t>
  </si>
  <si>
    <t>EUR 6M|2M</t>
  </si>
  <si>
    <t>EUR 6M|3M</t>
  </si>
  <si>
    <t>EUR 6M|4M</t>
  </si>
  <si>
    <t>EUR 6M|5M</t>
  </si>
  <si>
    <t>EUR 6M|6M</t>
  </si>
  <si>
    <t>EUR 6M|3Y</t>
  </si>
  <si>
    <t>EUR 6M|4Y</t>
  </si>
  <si>
    <t>EUR 6M|5Y</t>
  </si>
  <si>
    <t>EUR 6M|6Y</t>
  </si>
  <si>
    <t>EUR 6M|7Y</t>
  </si>
  <si>
    <t>EUR 6M|8Y</t>
  </si>
  <si>
    <t>EUR 6M|9Y</t>
  </si>
  <si>
    <t>EUR 6M|10Y</t>
  </si>
  <si>
    <t>EUR 6M|11Y</t>
  </si>
  <si>
    <t>EUR 6M|12Y</t>
  </si>
  <si>
    <t>EUR 6M|13Y</t>
  </si>
  <si>
    <t>EUR 6M|14Y</t>
  </si>
  <si>
    <t>EUR 6M|15Y</t>
  </si>
  <si>
    <t>EUR 6M|16Y</t>
  </si>
  <si>
    <t>EUR 6M|17Y</t>
  </si>
  <si>
    <t>EUR 6M|18Y</t>
  </si>
  <si>
    <t>EUR 6M|19Y</t>
  </si>
  <si>
    <t>EUR 6M|20Y</t>
  </si>
  <si>
    <t>EUR 6M|21Y</t>
  </si>
  <si>
    <t>EUR 6M|22Y</t>
  </si>
  <si>
    <t>EUR 6M|23Y</t>
  </si>
  <si>
    <t>EUR 6M|24Y</t>
  </si>
  <si>
    <t>EUR 6M|25Y</t>
  </si>
  <si>
    <t>EUR 6M|26Y</t>
  </si>
  <si>
    <t>EUR 6M|27Y</t>
  </si>
  <si>
    <t>EUR 6M|28Y</t>
  </si>
  <si>
    <t>EUR 6M|29Y</t>
  </si>
  <si>
    <t>EUR 6M|30Y</t>
  </si>
  <si>
    <t>EUR 6M|31Y</t>
  </si>
  <si>
    <t>EUR 6M|32Y</t>
  </si>
  <si>
    <t>EUR 6M|33Y</t>
  </si>
  <si>
    <t>EUR 6M|34Y</t>
  </si>
  <si>
    <t>EUR 6M|35Y</t>
  </si>
  <si>
    <t>EUR 6M|36Y</t>
  </si>
  <si>
    <t>EUR 6M|37Y</t>
  </si>
  <si>
    <t>EUR 6M|38Y</t>
  </si>
  <si>
    <t>EUR 6M|39Y</t>
  </si>
  <si>
    <t>EUR 6M|40Y</t>
  </si>
  <si>
    <t>EUR 6M|50Y</t>
  </si>
  <si>
    <t>EUR 6M|60Y</t>
  </si>
  <si>
    <t>EUR :STD|O/N</t>
  </si>
  <si>
    <t>EUR :STD|T/N</t>
  </si>
  <si>
    <t>EUR :STD|S/N</t>
  </si>
  <si>
    <t>EUR :STD|1W</t>
  </si>
  <si>
    <t>EUR :STD|2W</t>
  </si>
  <si>
    <t>EUR :STD|3W</t>
  </si>
  <si>
    <t>EUR :STD|1M</t>
  </si>
  <si>
    <t>EUR :STD|2M</t>
  </si>
  <si>
    <t>EUR :STD|3M</t>
  </si>
  <si>
    <t>EUR :STD|4M</t>
  </si>
  <si>
    <t>EUR :STD|5M</t>
  </si>
  <si>
    <t>EUR :STD|6M</t>
  </si>
  <si>
    <t>EUR :STD|7M</t>
  </si>
  <si>
    <t>EUR :STD|8M</t>
  </si>
  <si>
    <t>EUR :STD|9M</t>
  </si>
  <si>
    <t>EUR :STD|1Y</t>
  </si>
  <si>
    <t>EUR :STD|2Y</t>
  </si>
  <si>
    <t>EUR :STD|3Y</t>
  </si>
  <si>
    <t>EUR :STD|4Y</t>
  </si>
  <si>
    <t>EUR :STD|5Y</t>
  </si>
  <si>
    <t>EUR :STD|6Y</t>
  </si>
  <si>
    <t>EUR :STD|7Y</t>
  </si>
  <si>
    <t>EUR :STD|8Y</t>
  </si>
  <si>
    <t>EUR :STD|9Y</t>
  </si>
  <si>
    <t>EUR :STD|10Y</t>
  </si>
  <si>
    <t>EUR :STD|11Y</t>
  </si>
  <si>
    <t>EUR :STD|12Y</t>
  </si>
  <si>
    <t>EUR :STD|13Y</t>
  </si>
  <si>
    <t>EUR :STD|14Y</t>
  </si>
  <si>
    <t>EUR :STD|15Y</t>
  </si>
  <si>
    <t>EUR :STD|16Y</t>
  </si>
  <si>
    <t>EUR :STD|17Y</t>
  </si>
  <si>
    <t>EUR :STD|18Y</t>
  </si>
  <si>
    <t>EUR :STD|19Y</t>
  </si>
  <si>
    <t>EUR :STD|20Y</t>
  </si>
  <si>
    <t>EUR :STD|21Y</t>
  </si>
  <si>
    <t>EUR :STD|22Y</t>
  </si>
  <si>
    <t>EUR :STD|23Y</t>
  </si>
  <si>
    <t>EUR :STD|24Y</t>
  </si>
  <si>
    <t>EUR :STD|25Y</t>
  </si>
  <si>
    <t>EUR :STD|26Y</t>
  </si>
  <si>
    <t>EUR :STD|27Y</t>
  </si>
  <si>
    <t>EUR :STD|28Y</t>
  </si>
  <si>
    <t>EUR :STD|29Y</t>
  </si>
  <si>
    <t>EUR :STD|30Y</t>
  </si>
  <si>
    <t>EUR :STD|31Y</t>
  </si>
  <si>
    <t>EUR :STD|32Y</t>
  </si>
  <si>
    <t>EUR :STD|33Y</t>
  </si>
  <si>
    <t>EUR :STD|34Y</t>
  </si>
  <si>
    <t>EUR :STD|35Y</t>
  </si>
  <si>
    <t>EUR :STD|36Y</t>
  </si>
  <si>
    <t>EUR :STD|37Y</t>
  </si>
  <si>
    <t>EUR :STD|38Y</t>
  </si>
  <si>
    <t>EUR :STD|39Y</t>
  </si>
  <si>
    <t>EUR :STD|40Y</t>
  </si>
  <si>
    <t>EUR :STD|50Y</t>
  </si>
  <si>
    <t>EUR :STD|60Y</t>
  </si>
  <si>
    <t>EUR ALGO BUND|1Y</t>
  </si>
  <si>
    <t>EUR ALGO BUND</t>
  </si>
  <si>
    <t>EUR BASIS 3M|1W</t>
  </si>
  <si>
    <t>EUR BASIS 3M</t>
  </si>
  <si>
    <t>EUR BASIS 3M|2W</t>
  </si>
  <si>
    <t>EUR BASIS 3M|3W</t>
  </si>
  <si>
    <t>EUR BASIS 3M|1M</t>
  </si>
  <si>
    <t>EUR BASIS 3M|2M</t>
  </si>
  <si>
    <t>EUR BASIS 3M|3M</t>
  </si>
  <si>
    <t>EUR BASIS 3M|4M</t>
  </si>
  <si>
    <t>EUR BASIS 3M|5M</t>
  </si>
  <si>
    <t>EUR BASIS 3M|6M</t>
  </si>
  <si>
    <t>EUR BASIS 3M|9M</t>
  </si>
  <si>
    <t>EUR BASIS 3M|1Y</t>
  </si>
  <si>
    <t>EUR BASIS 3M|18M</t>
  </si>
  <si>
    <t>EUR BASIS 3M|2Y</t>
  </si>
  <si>
    <t>EUR BASIS 3M|3Y</t>
  </si>
  <si>
    <t>EUR BASIS 3M|4Y</t>
  </si>
  <si>
    <t>EUR BASIS 3M|5Y</t>
  </si>
  <si>
    <t>EUR BASIS 3M|7Y</t>
  </si>
  <si>
    <t>EUR BASIS 3M|10Y</t>
  </si>
  <si>
    <t>EUR BASIS 3M|15Y</t>
  </si>
  <si>
    <t>EUR BASIS 3M|20Y</t>
  </si>
  <si>
    <t>EUR BASIS 3M|30Y</t>
  </si>
  <si>
    <t>EUR BCE|O/N</t>
  </si>
  <si>
    <t>EUR BCE</t>
  </si>
  <si>
    <t>EUR BCE|T/N</t>
  </si>
  <si>
    <t>EUR BCE|S/N</t>
  </si>
  <si>
    <t>EUR BCE|3Y</t>
  </si>
  <si>
    <t>EUR BCE|4Y</t>
  </si>
  <si>
    <t>EUR BCE|5Y</t>
  </si>
  <si>
    <t>EUR BCE|6Y</t>
  </si>
  <si>
    <t>EUR BCE|7Y</t>
  </si>
  <si>
    <t>EUR BCE|8Y</t>
  </si>
  <si>
    <t>EUR BCE|9Y</t>
  </si>
  <si>
    <t>EUR BCE|10Y</t>
  </si>
  <si>
    <t>EUR BCE|11Y</t>
  </si>
  <si>
    <t>EUR BCE|12Y</t>
  </si>
  <si>
    <t>EUR BCE|13Y</t>
  </si>
  <si>
    <t>EUR BCE|14Y</t>
  </si>
  <si>
    <t>EUR BCE|15Y</t>
  </si>
  <si>
    <t>EUR BCE|16Y</t>
  </si>
  <si>
    <t>EUR BCE|17Y</t>
  </si>
  <si>
    <t>EUR BCE|18Y</t>
  </si>
  <si>
    <t>EUR BCE|19Y</t>
  </si>
  <si>
    <t>EUR BCE|20Y</t>
  </si>
  <si>
    <t>EUR BCE|21Y</t>
  </si>
  <si>
    <t>EUR BCE|22Y</t>
  </si>
  <si>
    <t>EUR BCE|23Y</t>
  </si>
  <si>
    <t>EUR BCE|24Y</t>
  </si>
  <si>
    <t>EUR BCE|25Y</t>
  </si>
  <si>
    <t>EUR BCE|26Y</t>
  </si>
  <si>
    <t>EUR BCE|27Y</t>
  </si>
  <si>
    <t>EUR BCE|28Y</t>
  </si>
  <si>
    <t>EUR BCE|29Y</t>
  </si>
  <si>
    <t>EUR BCE|30Y</t>
  </si>
  <si>
    <t>EUR BCE|40Y</t>
  </si>
  <si>
    <t>EUR BCE|50Y</t>
  </si>
  <si>
    <t>EUR BCE|60Y</t>
  </si>
  <si>
    <t>EUR BCE 3M|O/N</t>
  </si>
  <si>
    <t>EUR BCE 3M</t>
  </si>
  <si>
    <t>EUR BCE 3M|T/N</t>
  </si>
  <si>
    <t>EUR BCE 3M|S/N</t>
  </si>
  <si>
    <t>EUR BCE 3M|1W</t>
  </si>
  <si>
    <t>EUR BCE 3M|2W</t>
  </si>
  <si>
    <t>EUR BCE 3M|3W</t>
  </si>
  <si>
    <t>EUR BCE 3M|1M</t>
  </si>
  <si>
    <t>EUR BCE 3M|2M</t>
  </si>
  <si>
    <t>EUR BCE 3M|3M</t>
  </si>
  <si>
    <t>EUR BCE 3M|4M</t>
  </si>
  <si>
    <t>EUR BCE 3M|5M</t>
  </si>
  <si>
    <t>EUR BCE 3M|6M</t>
  </si>
  <si>
    <t>EUR BCE 3M|7M</t>
  </si>
  <si>
    <t>EUR BCE 3M|8M</t>
  </si>
  <si>
    <t>EUR BCE 3M|9M</t>
  </si>
  <si>
    <t>EUR BCE 3M|1Y</t>
  </si>
  <si>
    <t>EUR BCE 3M|2Y</t>
  </si>
  <si>
    <t>EUR BCE 3M|3Y</t>
  </si>
  <si>
    <t>EUR BCE 3M|4Y</t>
  </si>
  <si>
    <t>EUR BCE 3M|5Y</t>
  </si>
  <si>
    <t>EUR BCE 3M|6Y</t>
  </si>
  <si>
    <t>EUR BCE 3M|7Y</t>
  </si>
  <si>
    <t>EUR BCE 3M|8Y</t>
  </si>
  <si>
    <t>EUR BCE 3M|9Y</t>
  </si>
  <si>
    <t>EUR BCE 3M|10Y</t>
  </si>
  <si>
    <t>EUR BCE 3M|11Y</t>
  </si>
  <si>
    <t>EUR BCE 3M|12Y</t>
  </si>
  <si>
    <t>EUR BCE 3M|13Y</t>
  </si>
  <si>
    <t>EUR BCE 3M|14Y</t>
  </si>
  <si>
    <t>EUR BCE 3M|15Y</t>
  </si>
  <si>
    <t>EUR BCE 3M|16Y</t>
  </si>
  <si>
    <t>EUR BCE 3M|17Y</t>
  </si>
  <si>
    <t>EUR BCE 3M|18Y</t>
  </si>
  <si>
    <t>EUR BCE 3M|19Y</t>
  </si>
  <si>
    <t>EUR BCE 3M|20Y</t>
  </si>
  <si>
    <t>EUR BCE 3M|21Y</t>
  </si>
  <si>
    <t>EUR BCE 3M|22Y</t>
  </si>
  <si>
    <t>EUR BCE 3M|23Y</t>
  </si>
  <si>
    <t>EUR BCE 3M|24Y</t>
  </si>
  <si>
    <t>EUR BCE 3M|25Y</t>
  </si>
  <si>
    <t>EUR BCE 3M|26Y</t>
  </si>
  <si>
    <t>EUR BCE 3M|27Y</t>
  </si>
  <si>
    <t>EUR BCE 3M|28Y</t>
  </si>
  <si>
    <t>EUR BCE 3M|29Y</t>
  </si>
  <si>
    <t>EUR BCE 3M|30Y</t>
  </si>
  <si>
    <t>EUR BCE 3M|40Y</t>
  </si>
  <si>
    <t>EUR BCE 3M|50Y</t>
  </si>
  <si>
    <t>EUR BCE 3M|60Y</t>
  </si>
  <si>
    <t>EUR BOT 1Y|O/N</t>
  </si>
  <si>
    <t>EUR BOT 1Y</t>
  </si>
  <si>
    <t>EUR BOT 1Y|T/N</t>
  </si>
  <si>
    <t>EUR BOT 1Y|S/N</t>
  </si>
  <si>
    <t>EUR BOT 1Y|1W</t>
  </si>
  <si>
    <t>EUR BOT 1Y|2W</t>
  </si>
  <si>
    <t>EUR BOT 1Y|3W</t>
  </si>
  <si>
    <t>EUR BOT 1Y|1M</t>
  </si>
  <si>
    <t>EUR BOT 1Y|2M</t>
  </si>
  <si>
    <t>EUR BOT 1Y|3M</t>
  </si>
  <si>
    <t>EUR BOT 1Y|4M</t>
  </si>
  <si>
    <t>EUR BOT 1Y|5M</t>
  </si>
  <si>
    <t>EUR BOT 1Y|6M</t>
  </si>
  <si>
    <t>EUR BOT 1Y|7M</t>
  </si>
  <si>
    <t>EUR BOT 1Y|8M</t>
  </si>
  <si>
    <t>EUR BOT 1Y|9M</t>
  </si>
  <si>
    <t>EUR BOT 1Y|3Y</t>
  </si>
  <si>
    <t>EUR BOT 1Y|4Y</t>
  </si>
  <si>
    <t>EUR BOT 1Y|5Y</t>
  </si>
  <si>
    <t>EUR BOT 1Y|6Y</t>
  </si>
  <si>
    <t>EUR BOT 1Y|7Y</t>
  </si>
  <si>
    <t>EUR BOT 1Y|8Y</t>
  </si>
  <si>
    <t>EUR BOT 1Y|9Y</t>
  </si>
  <si>
    <t>EUR BOT 1Y|10Y</t>
  </si>
  <si>
    <t>EUR BOT 1Y|11Y</t>
  </si>
  <si>
    <t>EUR BOT 1Y|12Y</t>
  </si>
  <si>
    <t>EUR BOT 1Y|13Y</t>
  </si>
  <si>
    <t>EUR BOT 1Y|14Y</t>
  </si>
  <si>
    <t>EUR BOT 1Y|15Y</t>
  </si>
  <si>
    <t>EUR BOT 1Y|16Y</t>
  </si>
  <si>
    <t>EUR BOT 1Y|17Y</t>
  </si>
  <si>
    <t>EUR BOT 1Y|18Y</t>
  </si>
  <si>
    <t>EUR BOT 1Y|19Y</t>
  </si>
  <si>
    <t>EUR BOT 1Y|20Y</t>
  </si>
  <si>
    <t>EUR BOT 1Y|21Y</t>
  </si>
  <si>
    <t>EUR BOT 1Y|22Y</t>
  </si>
  <si>
    <t>EUR BOT 1Y|23Y</t>
  </si>
  <si>
    <t>EUR BOT 1Y|24Y</t>
  </si>
  <si>
    <t>EUR BOT 1Y|25Y</t>
  </si>
  <si>
    <t>EUR BOT 1Y|26Y</t>
  </si>
  <si>
    <t>EUR BOT 1Y|27Y</t>
  </si>
  <si>
    <t>EUR BOT 1Y|28Y</t>
  </si>
  <si>
    <t>EUR BOT 1Y|29Y</t>
  </si>
  <si>
    <t>EUR BOT 1Y|30Y</t>
  </si>
  <si>
    <t>EUR BOT 1Y|40Y</t>
  </si>
  <si>
    <t>EUR BOT 1Y|50Y</t>
  </si>
  <si>
    <t>EUR BOT 1Y|60Y</t>
  </si>
  <si>
    <t>EUR BOT 3M|O/N</t>
  </si>
  <si>
    <t>EUR BOT 3M</t>
  </si>
  <si>
    <t>EUR BOT 3M|T/N</t>
  </si>
  <si>
    <t>EUR BOT 3M|S/N</t>
  </si>
  <si>
    <t>EUR BOT 3M|1W</t>
  </si>
  <si>
    <t>EUR BOT 3M|2W</t>
  </si>
  <si>
    <t>EUR BOT 3M|3W</t>
  </si>
  <si>
    <t>EUR BOT 3M|1M</t>
  </si>
  <si>
    <t>EUR BOT 3M|2M</t>
  </si>
  <si>
    <t>EUR BOT 3M|3M</t>
  </si>
  <si>
    <t>EUR BOT 3M|4M</t>
  </si>
  <si>
    <t>EUR BOT 3M|5M</t>
  </si>
  <si>
    <t>EUR BOT 3M|6M</t>
  </si>
  <si>
    <t>EUR BOT 3M|7M</t>
  </si>
  <si>
    <t>EUR BOT 3M|8M</t>
  </si>
  <si>
    <t>EUR BOT 3M|9M</t>
  </si>
  <si>
    <t>EUR BOT 3M|3Y</t>
  </si>
  <si>
    <t>EUR BOT 3M|4Y</t>
  </si>
  <si>
    <t>EUR BOT 3M|5Y</t>
  </si>
  <si>
    <t>EUR BOT 3M|6Y</t>
  </si>
  <si>
    <t>EUR BOT 3M|7Y</t>
  </si>
  <si>
    <t>EUR BOT 3M|8Y</t>
  </si>
  <si>
    <t>EUR BOT 3M|9Y</t>
  </si>
  <si>
    <t>EUR BOT 3M|10Y</t>
  </si>
  <si>
    <t>EUR BOT 3M|11Y</t>
  </si>
  <si>
    <t>EUR BOT 3M|12Y</t>
  </si>
  <si>
    <t>EUR BOT 3M|13Y</t>
  </si>
  <si>
    <t>EUR BOT 3M|14Y</t>
  </si>
  <si>
    <t>EUR BOT 3M|15Y</t>
  </si>
  <si>
    <t>EUR BOT 3M|16Y</t>
  </si>
  <si>
    <t>EUR BOT 3M|17Y</t>
  </si>
  <si>
    <t>EUR BOT 3M|18Y</t>
  </si>
  <si>
    <t>EUR BOT 3M|19Y</t>
  </si>
  <si>
    <t>EUR BOT 3M|20Y</t>
  </si>
  <si>
    <t>EUR BOT 3M|21Y</t>
  </si>
  <si>
    <t>EUR BOT 3M|22Y</t>
  </si>
  <si>
    <t>EUR BOT 3M|23Y</t>
  </si>
  <si>
    <t>EUR BOT 3M|24Y</t>
  </si>
  <si>
    <t>EUR BOT 3M|25Y</t>
  </si>
  <si>
    <t>EUR BOT 3M|26Y</t>
  </si>
  <si>
    <t>EUR BOT 3M|27Y</t>
  </si>
  <si>
    <t>EUR BOT 3M|28Y</t>
  </si>
  <si>
    <t>EUR BOT 3M|29Y</t>
  </si>
  <si>
    <t>EUR BOT 3M|30Y</t>
  </si>
  <si>
    <t>EUR BOT 3M|40Y</t>
  </si>
  <si>
    <t>EUR BOT 3M|50Y</t>
  </si>
  <si>
    <t>EUR BOT 3M|60Y</t>
  </si>
  <si>
    <t>EUR BOT 6M|O/N</t>
  </si>
  <si>
    <t>EUR BOT 6M</t>
  </si>
  <si>
    <t>EUR BOT 6M|T/N</t>
  </si>
  <si>
    <t>EUR BOT 6M|S/N</t>
  </si>
  <si>
    <t>EUR BOT 6M|1W</t>
  </si>
  <si>
    <t>EUR BOT 6M|2W</t>
  </si>
  <si>
    <t>EUR BOT 6M|3W</t>
  </si>
  <si>
    <t>EUR BOT 6M|1M</t>
  </si>
  <si>
    <t>EUR BOT 6M|2M</t>
  </si>
  <si>
    <t>EUR BOT 6M|3M</t>
  </si>
  <si>
    <t>EUR BOT 6M|4M</t>
  </si>
  <si>
    <t>EUR BOT 6M|5M</t>
  </si>
  <si>
    <t>EUR BOT 6M|6M</t>
  </si>
  <si>
    <t>EUR BOT 6M|7M</t>
  </si>
  <si>
    <t>EUR BOT 6M|8M</t>
  </si>
  <si>
    <t>EUR BOT 6M|9M</t>
  </si>
  <si>
    <t>EUR BOT 6M|3Y</t>
  </si>
  <si>
    <t>EUR BOT 6M|4Y</t>
  </si>
  <si>
    <t>EUR BOT 6M|5Y</t>
  </si>
  <si>
    <t>EUR BOT 6M|6Y</t>
  </si>
  <si>
    <t>EUR BOT 6M|7Y</t>
  </si>
  <si>
    <t>EUR BOT 6M|8Y</t>
  </si>
  <si>
    <t>EUR BOT 6M|9Y</t>
  </si>
  <si>
    <t>EUR BOT 6M|10Y</t>
  </si>
  <si>
    <t>EUR BOT 6M|11Y</t>
  </si>
  <si>
    <t>EUR BOT 6M|12Y</t>
  </si>
  <si>
    <t>EUR BOT 6M|13Y</t>
  </si>
  <si>
    <t>EUR BOT 6M|14Y</t>
  </si>
  <si>
    <t>EUR BOT 6M|15Y</t>
  </si>
  <si>
    <t>EUR BOT 6M|16Y</t>
  </si>
  <si>
    <t>EUR BOT 6M|17Y</t>
  </si>
  <si>
    <t>EUR BOT 6M|18Y</t>
  </si>
  <si>
    <t>EUR BOT 6M|19Y</t>
  </si>
  <si>
    <t>EUR BOT 6M|20Y</t>
  </si>
  <si>
    <t>EUR BOT 6M|21Y</t>
  </si>
  <si>
    <t>EUR BOT 6M|22Y</t>
  </si>
  <si>
    <t>EUR BOT 6M|23Y</t>
  </si>
  <si>
    <t>EUR BOT 6M|24Y</t>
  </si>
  <si>
    <t>EUR BOT 6M|25Y</t>
  </si>
  <si>
    <t>EUR BOT 6M|26Y</t>
  </si>
  <si>
    <t>EUR BOT 6M|27Y</t>
  </si>
  <si>
    <t>EUR BOT 6M|28Y</t>
  </si>
  <si>
    <t>EUR BOT 6M|29Y</t>
  </si>
  <si>
    <t>EUR BOT 6M|30Y</t>
  </si>
  <si>
    <t>EUR BOT 6M|40Y</t>
  </si>
  <si>
    <t>EUR BOT 6M|50Y</t>
  </si>
  <si>
    <t>EUR BOT 6M|60Y</t>
  </si>
  <si>
    <t>EUR BTP 10Y|O/N</t>
  </si>
  <si>
    <t>EUR BTP 10Y</t>
  </si>
  <si>
    <t>EUR BTP 10Y|T/N</t>
  </si>
  <si>
    <t>EUR BTP 10Y|S/N</t>
  </si>
  <si>
    <t>EUR BTP 10Y|1W</t>
  </si>
  <si>
    <t>EUR BTP 10Y|1M</t>
  </si>
  <si>
    <t>EUR BTP 10Y|2M</t>
  </si>
  <si>
    <t>EUR BTP 10Y|3M</t>
  </si>
  <si>
    <t>EUR BTP 10Y|1Y</t>
  </si>
  <si>
    <t>EUR BTP 10Y|2Y</t>
  </si>
  <si>
    <t>EUR BTP 10Y|3Y</t>
  </si>
  <si>
    <t>EUR BTP 10Y|4Y</t>
  </si>
  <si>
    <t>EUR BTP 10Y|5Y</t>
  </si>
  <si>
    <t>EUR BTP 10Y|6Y</t>
  </si>
  <si>
    <t>EUR BTP 10Y|7Y</t>
  </si>
  <si>
    <t>EUR BTP 10Y|8Y</t>
  </si>
  <si>
    <t>EUR BTP 10Y|9Y</t>
  </si>
  <si>
    <t>EUR BTP 10Y|10Y</t>
  </si>
  <si>
    <t>EUR BTP 10Y|11Y</t>
  </si>
  <si>
    <t>EUR BTP 10Y|12Y</t>
  </si>
  <si>
    <t>EUR BTP 10Y|13Y</t>
  </si>
  <si>
    <t>EUR BTP 10Y|14Y</t>
  </si>
  <si>
    <t>EUR BTP 10Y|15Y</t>
  </si>
  <si>
    <t>EUR BTP 10Y|16Y</t>
  </si>
  <si>
    <t>EUR BTP 10Y|17Y</t>
  </si>
  <si>
    <t>EUR BTP 10Y|18Y</t>
  </si>
  <si>
    <t>EUR BTP 10Y|19Y</t>
  </si>
  <si>
    <t>EUR BTP 10Y|20Y</t>
  </si>
  <si>
    <t>EUR BTP 10Y|21Y</t>
  </si>
  <si>
    <t>EUR BTP 10Y|22Y</t>
  </si>
  <si>
    <t>EUR BTP 10Y|23Y</t>
  </si>
  <si>
    <t>EUR BTP 10Y|24Y</t>
  </si>
  <si>
    <t>EUR BTP 10Y|25Y</t>
  </si>
  <si>
    <t>EUR BTP 10Y|26Y</t>
  </si>
  <si>
    <t>EUR BTP 10Y|27Y</t>
  </si>
  <si>
    <t>EUR BTP 10Y|28Y</t>
  </si>
  <si>
    <t>EUR BTP 10Y|29Y</t>
  </si>
  <si>
    <t>EUR BTP 10Y|30Y</t>
  </si>
  <si>
    <t>EUR BTP YIELD|1M</t>
  </si>
  <si>
    <t>EUR BTP YIELD</t>
  </si>
  <si>
    <t>EUR BTP YIELD|2M</t>
  </si>
  <si>
    <t>EUR BTP YIELD|3M</t>
  </si>
  <si>
    <t>EUR BTP YIELD|6M</t>
  </si>
  <si>
    <t>EUR BTP YIELD|9M</t>
  </si>
  <si>
    <t>EUR BTP YIELD|1Y</t>
  </si>
  <si>
    <t>EUR BTP YIELD|2Y</t>
  </si>
  <si>
    <t>EUR BTP YIELD|3Y</t>
  </si>
  <si>
    <t>EUR BTP YIELD|4Y</t>
  </si>
  <si>
    <t>EUR BTP YIELD|5Y</t>
  </si>
  <si>
    <t>EUR BTP YIELD|6Y</t>
  </si>
  <si>
    <t>EUR BTP YIELD|7Y</t>
  </si>
  <si>
    <t>EUR BTP YIELD|8Y</t>
  </si>
  <si>
    <t>EUR BTP YIELD|9Y</t>
  </si>
  <si>
    <t>EUR BTP YIELD|10Y</t>
  </si>
  <si>
    <t>EUR BTP YIELD|11Y</t>
  </si>
  <si>
    <t>EUR BTP YIELD|12Y</t>
  </si>
  <si>
    <t>EUR BTP YIELD|13Y</t>
  </si>
  <si>
    <t>EUR BTP YIELD|14Y</t>
  </si>
  <si>
    <t>EUR BTP YIELD|15Y</t>
  </si>
  <si>
    <t>EUR BTP YIELD|16Y</t>
  </si>
  <si>
    <t>EUR BTP YIELD|17Y</t>
  </si>
  <si>
    <t>EUR BTP YIELD|18Y</t>
  </si>
  <si>
    <t>EUR BTP YIELD|19Y</t>
  </si>
  <si>
    <t>EUR BTP YIELD|20Y</t>
  </si>
  <si>
    <t>EUR BTP YIELD|21Y</t>
  </si>
  <si>
    <t>EUR BTP YIELD|22Y</t>
  </si>
  <si>
    <t>EUR BTP YIELD|23Y</t>
  </si>
  <si>
    <t>EUR BTP YIELD|24Y</t>
  </si>
  <si>
    <t>EUR BTP YIELD|25Y</t>
  </si>
  <si>
    <t>EUR BTP YIELD|26Y</t>
  </si>
  <si>
    <t>EUR BTP YIELD|27Y</t>
  </si>
  <si>
    <t>EUR BTP YIELD|28Y</t>
  </si>
  <si>
    <t>EUR BTP YIELD|29Y</t>
  </si>
  <si>
    <t>EUR BTP YIELD|30Y</t>
  </si>
  <si>
    <t>EUR ECB MRO|O/N</t>
  </si>
  <si>
    <t>EUR ECB MRO</t>
  </si>
  <si>
    <t>EUR ECB MRO|T/N</t>
  </si>
  <si>
    <t>EUR ECB MRO|S/N</t>
  </si>
  <si>
    <t>EUR ECB MRO|1W</t>
  </si>
  <si>
    <t>EUR ECB MRO|2W</t>
  </si>
  <si>
    <t>EUR ECB MRO|3W</t>
  </si>
  <si>
    <t>EUR ECB MRO|1M</t>
  </si>
  <si>
    <t>EUR ECB MRO|2M</t>
  </si>
  <si>
    <t>EUR ECB MRO|3M</t>
  </si>
  <si>
    <t>EUR ECB MRO|4M</t>
  </si>
  <si>
    <t>EUR ECB MRO|5M</t>
  </si>
  <si>
    <t>EUR ECB MRO|6M</t>
  </si>
  <si>
    <t>EUR ECB MRO|7M</t>
  </si>
  <si>
    <t>EUR ECB MRO|8M</t>
  </si>
  <si>
    <t>EUR ECB MRO|9M</t>
  </si>
  <si>
    <t>EUR ECB MRO|10M</t>
  </si>
  <si>
    <t>EUR ECB MRO|11M</t>
  </si>
  <si>
    <t>EUR ECB MRO|1Y</t>
  </si>
  <si>
    <t>EUR ECB MRO|13M</t>
  </si>
  <si>
    <t>EUR ECB MRO|14M</t>
  </si>
  <si>
    <t>EUR ECB MRO|15M</t>
  </si>
  <si>
    <t>EUR ECB MRO|16M</t>
  </si>
  <si>
    <t>EUR ECB MRO|17M</t>
  </si>
  <si>
    <t>EUR ECB MRO|18M</t>
  </si>
  <si>
    <t>EUR ECB MRO|19M</t>
  </si>
  <si>
    <t>EUR ECB MRO|20M</t>
  </si>
  <si>
    <t>EUR ECB MRO|21M</t>
  </si>
  <si>
    <t>EUR ECB MRO|22M</t>
  </si>
  <si>
    <t>EUR ECB MRO|23M</t>
  </si>
  <si>
    <t>EUR ECB MRO|2Y</t>
  </si>
  <si>
    <t>EUR ECB MRO|3Y</t>
  </si>
  <si>
    <t>EUR ECB MRO|4Y</t>
  </si>
  <si>
    <t>EUR ECB MRO|5Y</t>
  </si>
  <si>
    <t>EUR ECB MRO|6Y</t>
  </si>
  <si>
    <t>EUR ECB MRO|7Y</t>
  </si>
  <si>
    <t>EUR ECB MRO|8Y</t>
  </si>
  <si>
    <t>EUR ECB MRO|9Y</t>
  </si>
  <si>
    <t>EUR ECB MRO|10Y</t>
  </si>
  <si>
    <t>EUR ECB MRO|12Y</t>
  </si>
  <si>
    <t>EUR ECB MRO|13Y</t>
  </si>
  <si>
    <t>EUR ECB MRO|14Y</t>
  </si>
  <si>
    <t>EUR ECB MRO|15Y</t>
  </si>
  <si>
    <t>EUR ECB MRO|16Y</t>
  </si>
  <si>
    <t>EUR ECB MRO|17Y</t>
  </si>
  <si>
    <t>EUR ECB MRO|18Y</t>
  </si>
  <si>
    <t>EUR ECB MRO|19Y</t>
  </si>
  <si>
    <t>EUR ECB MRO|20Y</t>
  </si>
  <si>
    <t>EUR ECB MRO|21Y</t>
  </si>
  <si>
    <t>EUR ECB MRO|22Y</t>
  </si>
  <si>
    <t>EUR ECB MRO|23Y</t>
  </si>
  <si>
    <t>EUR ECB MRO|24Y</t>
  </si>
  <si>
    <t>EUR ECB MRO|25Y</t>
  </si>
  <si>
    <t>EUR ECB MRO|26Y</t>
  </si>
  <si>
    <t>EUR ECB MRO|27Y</t>
  </si>
  <si>
    <t>EUR ECB MRO|28Y</t>
  </si>
  <si>
    <t>EUR ECB MRO|29Y</t>
  </si>
  <si>
    <t>EUR ECB MRO|30Y</t>
  </si>
  <si>
    <t>EUR EXPORT|O/N</t>
  </si>
  <si>
    <t>EUR EXPORT</t>
  </si>
  <si>
    <t>EUR EXPORT|T/N</t>
  </si>
  <si>
    <t>EUR EXPORT|S/N</t>
  </si>
  <si>
    <t>EUR EXPORT|1W</t>
  </si>
  <si>
    <t>EUR EXPORT|2W</t>
  </si>
  <si>
    <t>EUR EXPORT|3W</t>
  </si>
  <si>
    <t>EUR EXPORT|1M</t>
  </si>
  <si>
    <t>EUR EXPORT|2M</t>
  </si>
  <si>
    <t>EUR EXPORT|3M</t>
  </si>
  <si>
    <t>EUR EXPORT|4M</t>
  </si>
  <si>
    <t>EUR EXPORT|5M</t>
  </si>
  <si>
    <t>EUR EXPORT|6M</t>
  </si>
  <si>
    <t>EUR EXPORT|7M</t>
  </si>
  <si>
    <t>EUR EXPORT|8M</t>
  </si>
  <si>
    <t>EUR EXPORT|9M</t>
  </si>
  <si>
    <t>EUR EXPORT|1Y</t>
  </si>
  <si>
    <t>EUR EXPORT|2Y</t>
  </si>
  <si>
    <t>EUR EXPORT|3Y</t>
  </si>
  <si>
    <t>EUR EXPORT|4Y</t>
  </si>
  <si>
    <t>EUR EXPORT|5Y</t>
  </si>
  <si>
    <t>EUR EXPORT|6Y</t>
  </si>
  <si>
    <t>EUR EXPORT|7Y</t>
  </si>
  <si>
    <t>EUR EXPORT|8Y</t>
  </si>
  <si>
    <t>EUR EXPORT|9Y</t>
  </si>
  <si>
    <t>EUR EXPORT|10Y</t>
  </si>
  <si>
    <t>EUR EXPORT|11Y</t>
  </si>
  <si>
    <t>EUR EXPORT|12Y</t>
  </si>
  <si>
    <t>EUR EXPORT|13Y</t>
  </si>
  <si>
    <t>EUR EXPORT|14Y</t>
  </si>
  <si>
    <t>EUR EXPORT|15Y</t>
  </si>
  <si>
    <t>EUR EXPORT|16Y</t>
  </si>
  <si>
    <t>EUR EXPORT|17Y</t>
  </si>
  <si>
    <t>EUR EXPORT|18Y</t>
  </si>
  <si>
    <t>EUR EXPORT|19Y</t>
  </si>
  <si>
    <t>EUR EXPORT|20Y</t>
  </si>
  <si>
    <t>EUR EXPORT|21Y</t>
  </si>
  <si>
    <t>EUR EXPORT|22Y</t>
  </si>
  <si>
    <t>EUR EXPORT|23Y</t>
  </si>
  <si>
    <t>EUR EXPORT|24Y</t>
  </si>
  <si>
    <t>EUR EXPORT|25Y</t>
  </si>
  <si>
    <t>EUR EXPORT|26Y</t>
  </si>
  <si>
    <t>EUR EXPORT|27Y</t>
  </si>
  <si>
    <t>EUR EXPORT|28Y</t>
  </si>
  <si>
    <t>EUR EXPORT|29Y</t>
  </si>
  <si>
    <t>EUR EXPORT|30Y</t>
  </si>
  <si>
    <t>EUR EXPORT|31Y</t>
  </si>
  <si>
    <t>EUR EXPORT|32Y</t>
  </si>
  <si>
    <t>EUR EXPORT|33Y</t>
  </si>
  <si>
    <t>EUR EXPORT|34Y</t>
  </si>
  <si>
    <t>EUR EXPORT|35Y</t>
  </si>
  <si>
    <t>EUR EXPORT|36Y</t>
  </si>
  <si>
    <t>EUR EXPORT|37Y</t>
  </si>
  <si>
    <t>EUR EXPORT|38Y</t>
  </si>
  <si>
    <t>EUR EXPORT|39Y</t>
  </si>
  <si>
    <t>EUR EXPORT|40Y</t>
  </si>
  <si>
    <t>EUR EXPORT|50Y</t>
  </si>
  <si>
    <t>EUR EXPORT|60Y</t>
  </si>
  <si>
    <t>EUR EXPORT-OIS|O/N</t>
  </si>
  <si>
    <t>EUR EXPORT-OIS</t>
  </si>
  <si>
    <t>EUR EXPORT-OIS|T/N</t>
  </si>
  <si>
    <t>EUR EXPORT-OIS|S/N</t>
  </si>
  <si>
    <t>EUR EXPORT-OIS|1W</t>
  </si>
  <si>
    <t>EUR EXPORT-OIS|2W</t>
  </si>
  <si>
    <t>EUR EXPORT-OIS|3W</t>
  </si>
  <si>
    <t>EUR EXPORT-OIS|1M</t>
  </si>
  <si>
    <t>EUR EXPORT-OIS|2M</t>
  </si>
  <si>
    <t>EUR EXPORT-OIS|3M</t>
  </si>
  <si>
    <t>EUR EXPORT-OIS|4M</t>
  </si>
  <si>
    <t>EUR EXPORT-OIS|5M</t>
  </si>
  <si>
    <t>EUR EXPORT-OIS|6M</t>
  </si>
  <si>
    <t>EUR EXPORT-OIS|7M</t>
  </si>
  <si>
    <t>EUR EXPORT-OIS|8M</t>
  </si>
  <si>
    <t>EUR EXPORT-OIS|9M</t>
  </si>
  <si>
    <t>EUR EXPORT-OIS|10M</t>
  </si>
  <si>
    <t>EUR EXPORT-OIS|11M</t>
  </si>
  <si>
    <t>EUR EXPORT-OIS|1Y</t>
  </si>
  <si>
    <t>EUR EXPORT-OIS|13M</t>
  </si>
  <si>
    <t>EUR EXPORT-OIS|14M</t>
  </si>
  <si>
    <t>EUR EXPORT-OIS|15M</t>
  </si>
  <si>
    <t>EUR EXPORT-OIS|16M</t>
  </si>
  <si>
    <t>EUR EXPORT-OIS|17M</t>
  </si>
  <si>
    <t>EUR EXPORT-OIS|18M</t>
  </si>
  <si>
    <t>EUR EXPORT-OIS|19M</t>
  </si>
  <si>
    <t>EUR EXPORT-OIS|20M</t>
  </si>
  <si>
    <t>EUR EXPORT-OIS|21M</t>
  </si>
  <si>
    <t>EUR EXPORT-OIS|22M</t>
  </si>
  <si>
    <t>EUR EXPORT-OIS|23M</t>
  </si>
  <si>
    <t>EUR EXPORT-OIS|2Y</t>
  </si>
  <si>
    <t>EUR EXPORT-OIS|3Y</t>
  </si>
  <si>
    <t>EUR EXPORT-OIS|4Y</t>
  </si>
  <si>
    <t>EUR EXPORT-OIS|5Y</t>
  </si>
  <si>
    <t>EUR EXPORT-OIS|6Y</t>
  </si>
  <si>
    <t>EUR EXPORT-OIS|7Y</t>
  </si>
  <si>
    <t>EUR EXPORT-OIS|8Y</t>
  </si>
  <si>
    <t>EUR EXPORT-OIS|9Y</t>
  </si>
  <si>
    <t>EUR EXPORT-OIS|10Y</t>
  </si>
  <si>
    <t>EUR EXPORT-OIS|11Y</t>
  </si>
  <si>
    <t>EUR EXPORT-OIS|12Y</t>
  </si>
  <si>
    <t>EUR EXPORT-OIS|13Y</t>
  </si>
  <si>
    <t>EUR EXPORT-OIS|14Y</t>
  </si>
  <si>
    <t>EUR EXPORT-OIS|15Y</t>
  </si>
  <si>
    <t>EUR EXPORT-OIS|16Y</t>
  </si>
  <si>
    <t>EUR EXPORT-OIS|17Y</t>
  </si>
  <si>
    <t>EUR EXPORT-OIS|18Y</t>
  </si>
  <si>
    <t>EUR EXPORT-OIS|19Y</t>
  </si>
  <si>
    <t>EUR EXPORT-OIS|20Y</t>
  </si>
  <si>
    <t>EUR EXPORT-OIS|21Y</t>
  </si>
  <si>
    <t>EUR EXPORT-OIS|22Y</t>
  </si>
  <si>
    <t>EUR EXPORT-OIS|23Y</t>
  </si>
  <si>
    <t>EUR EXPORT-OIS|24Y</t>
  </si>
  <si>
    <t>EUR EXPORT-OIS|25Y</t>
  </si>
  <si>
    <t>EUR EXPORT-OIS|26Y</t>
  </si>
  <si>
    <t>EUR EXPORT-OIS|27Y</t>
  </si>
  <si>
    <t>EUR EXPORT-OIS|28Y</t>
  </si>
  <si>
    <t>EUR EXPORT-OIS|29Y</t>
  </si>
  <si>
    <t>EUR EXPORT-OIS|30Y</t>
  </si>
  <si>
    <t>EUR EXPORT-OIS|35Y</t>
  </si>
  <si>
    <t>EUR EXPORT-OIS|40Y</t>
  </si>
  <si>
    <t>EUR EXPORT-OIS|50Y</t>
  </si>
  <si>
    <t>EUR EXPORT-OIS|60Y</t>
  </si>
  <si>
    <t>EUR FRA 3M|O/N</t>
  </si>
  <si>
    <t>EUR FRA 3M</t>
  </si>
  <si>
    <t>EUR FRA 3M|T/N</t>
  </si>
  <si>
    <t>EUR FRA 3M|S/N</t>
  </si>
  <si>
    <t>EUR FRA 3M|3M</t>
  </si>
  <si>
    <t>EUR FRA 3M|1M-4M</t>
  </si>
  <si>
    <t>EUR FRA 3M|2M-5M</t>
  </si>
  <si>
    <t>EUR FRA 3M|3Y</t>
  </si>
  <si>
    <t>EUR FRA 3M|4Y</t>
  </si>
  <si>
    <t>EUR FRA 3M|5Y</t>
  </si>
  <si>
    <t>EUR FRA 3M|6Y</t>
  </si>
  <si>
    <t>EUR FRA 3M|7Y</t>
  </si>
  <si>
    <t>EUR FRA 3M|8Y</t>
  </si>
  <si>
    <t>EUR FRA 3M|9Y</t>
  </si>
  <si>
    <t>EUR FRA 3M|10Y</t>
  </si>
  <si>
    <t>EUR FRA 3M|11Y</t>
  </si>
  <si>
    <t>EUR FRA 3M|12Y</t>
  </si>
  <si>
    <t>EUR FRA 3M|13Y</t>
  </si>
  <si>
    <t>EUR FRA 3M|14Y</t>
  </si>
  <si>
    <t>EUR FRA 3M|15Y</t>
  </si>
  <si>
    <t>EUR FRA 3M|16Y</t>
  </si>
  <si>
    <t>EUR FRA 3M|17Y</t>
  </si>
  <si>
    <t>EUR FRA 3M|18Y</t>
  </si>
  <si>
    <t>EUR FRA 3M|19Y</t>
  </si>
  <si>
    <t>EUR FRA 3M|20Y</t>
  </si>
  <si>
    <t>EUR FRA 3M|21Y</t>
  </si>
  <si>
    <t>EUR FRA 3M|22Y</t>
  </si>
  <si>
    <t>EUR FRA 3M|23Y</t>
  </si>
  <si>
    <t>EUR FRA 3M|24Y</t>
  </si>
  <si>
    <t>EUR FRA 3M|25Y</t>
  </si>
  <si>
    <t>EUR FRA 3M|26Y</t>
  </si>
  <si>
    <t>EUR FRA 3M|27Y</t>
  </si>
  <si>
    <t>EUR FRA 3M|28Y</t>
  </si>
  <si>
    <t>EUR FRA 3M|29Y</t>
  </si>
  <si>
    <t>EUR FRA 3M|30Y</t>
  </si>
  <si>
    <t>EUR FRA 3M|40Y</t>
  </si>
  <si>
    <t>EUR FRA 3M|50Y</t>
  </si>
  <si>
    <t>EUR FRA 3M|60Y</t>
  </si>
  <si>
    <t>EUR FRA 3M PRIC|3M</t>
  </si>
  <si>
    <t>EUR FRA 3M PRIC</t>
  </si>
  <si>
    <t>EUR FRA 3M PRIC|3M-6M</t>
  </si>
  <si>
    <t>EUR FRA 3M PRIC|6M-9M</t>
  </si>
  <si>
    <t>EUR FRA 3M PRIC|9M-12M</t>
  </si>
  <si>
    <t>EUR FRA 3M PRIC|12M-15M</t>
  </si>
  <si>
    <t>12M-15M</t>
  </si>
  <si>
    <t>EUR FRA 3M PRIC|18M</t>
  </si>
  <si>
    <t>EUR FRA 3M PRIC|21M</t>
  </si>
  <si>
    <t>EUR FRA 3M PRIC|2Y</t>
  </si>
  <si>
    <t>EUR FRA 3M PRIC|3Y</t>
  </si>
  <si>
    <t>EUR FRA 3M PRIC|4Y</t>
  </si>
  <si>
    <t>EUR FRA 3M PRIC|5Y</t>
  </si>
  <si>
    <t>EUR FRA 3M PRIC|6Y</t>
  </si>
  <si>
    <t>EUR FRA 3M PRIC|7Y</t>
  </si>
  <si>
    <t>EUR FRA 3M PRIC|8Y</t>
  </si>
  <si>
    <t>EUR FRA 3M PRIC|9Y</t>
  </si>
  <si>
    <t>EUR FRA 3M PRIC|10Y</t>
  </si>
  <si>
    <t>EUR FRA 3M PRIC|11Y</t>
  </si>
  <si>
    <t>EUR FRA 3M PRIC|12Y</t>
  </si>
  <si>
    <t>EUR FRA 3M PRIC|13Y</t>
  </si>
  <si>
    <t>EUR FRA 3M PRIC|14Y</t>
  </si>
  <si>
    <t>EUR FRA 3M PRIC|15Y</t>
  </si>
  <si>
    <t>EUR FRA 3M PRIC|16Y</t>
  </si>
  <si>
    <t>EUR FRA 3M PRIC|17Y</t>
  </si>
  <si>
    <t>EUR FRA 3M PRIC|18Y</t>
  </si>
  <si>
    <t>EUR FRA 3M PRIC|19Y</t>
  </si>
  <si>
    <t>EUR FRA 3M PRIC|20Y</t>
  </si>
  <si>
    <t>EUR FRA 3M PRIC|21Y</t>
  </si>
  <si>
    <t>EUR FRA 3M PRIC|22Y</t>
  </si>
  <si>
    <t>EUR FRA 3M PRIC|23Y</t>
  </si>
  <si>
    <t>EUR FRA 3M PRIC|24Y</t>
  </si>
  <si>
    <t>EUR FRA 3M PRIC|25Y</t>
  </si>
  <si>
    <t>EUR FRA 3M PRIC|26Y</t>
  </si>
  <si>
    <t>EUR FRA 3M PRIC|27Y</t>
  </si>
  <si>
    <t>EUR FRA 3M PRIC|28Y</t>
  </si>
  <si>
    <t>EUR FRA 3M PRIC|29Y</t>
  </si>
  <si>
    <t>EUR FRA 3M PRIC|30Y</t>
  </si>
  <si>
    <t>EUR FRA 3M PRIC|31Y</t>
  </si>
  <si>
    <t>EUR FRA 3M PRIC|32Y</t>
  </si>
  <si>
    <t>EUR FRA 3M PRIC|33Y</t>
  </si>
  <si>
    <t>EUR FRA 3M PRIC|34Y</t>
  </si>
  <si>
    <t>EUR FRA 3M PRIC|35Y</t>
  </si>
  <si>
    <t>EUR FRA 3M PRIC|36Y</t>
  </si>
  <si>
    <t>EUR FRA 3M PRIC|37Y</t>
  </si>
  <si>
    <t>EUR FRA 3M PRIC|38Y</t>
  </si>
  <si>
    <t>EUR FRA 3M PRIC|39Y</t>
  </si>
  <si>
    <t>EUR FRA 3M PRIC|40Y</t>
  </si>
  <si>
    <t>EUR FRA 3M PRIC|50Y</t>
  </si>
  <si>
    <t>EUR FRA 3M PRIC|60Y</t>
  </si>
  <si>
    <t>EUR FRA 6M|O/N</t>
  </si>
  <si>
    <t>EUR FRA 6M</t>
  </si>
  <si>
    <t>EUR FRA 6M|T/N</t>
  </si>
  <si>
    <t>EUR FRA 6M|S/N</t>
  </si>
  <si>
    <t>EUR FRA 6M|1W</t>
  </si>
  <si>
    <t>EUR FRA 6M|2W</t>
  </si>
  <si>
    <t>EUR FRA 6M|3W</t>
  </si>
  <si>
    <t>EUR FRA 6M|1M</t>
  </si>
  <si>
    <t>EUR FRA 6M|2M</t>
  </si>
  <si>
    <t>EUR FRA 6M|3M</t>
  </si>
  <si>
    <t>EUR FRA 6M|3Y</t>
  </si>
  <si>
    <t>EUR FRA 6M|4Y</t>
  </si>
  <si>
    <t>EUR FRA 6M|5Y</t>
  </si>
  <si>
    <t>EUR FRA 6M|6Y</t>
  </si>
  <si>
    <t>EUR FRA 6M|7Y</t>
  </si>
  <si>
    <t>EUR FRA 6M|8Y</t>
  </si>
  <si>
    <t>EUR FRA 6M|9Y</t>
  </si>
  <si>
    <t>EUR FRA 6M|10Y</t>
  </si>
  <si>
    <t>EUR FRA 6M|11Y</t>
  </si>
  <si>
    <t>EUR FRA 6M|12Y</t>
  </si>
  <si>
    <t>EUR FRA 6M|13Y</t>
  </si>
  <si>
    <t>EUR FRA 6M|14Y</t>
  </si>
  <si>
    <t>EUR FRA 6M|15Y</t>
  </si>
  <si>
    <t>EUR FRA 6M|16Y</t>
  </si>
  <si>
    <t>EUR FRA 6M|17Y</t>
  </si>
  <si>
    <t>EUR FRA 6M|18Y</t>
  </si>
  <si>
    <t>EUR FRA 6M|19Y</t>
  </si>
  <si>
    <t>EUR FRA 6M|20Y</t>
  </si>
  <si>
    <t>EUR FRA 6M|21Y</t>
  </si>
  <si>
    <t>EUR FRA 6M|22Y</t>
  </si>
  <si>
    <t>EUR FRA 6M|23Y</t>
  </si>
  <si>
    <t>EUR FRA 6M|24Y</t>
  </si>
  <si>
    <t>EUR FRA 6M|25Y</t>
  </si>
  <si>
    <t>EUR FRA 6M|26Y</t>
  </si>
  <si>
    <t>EUR FRA 6M|27Y</t>
  </si>
  <si>
    <t>EUR FRA 6M|28Y</t>
  </si>
  <si>
    <t>EUR FRA 6M|29Y</t>
  </si>
  <si>
    <t>EUR FRA 6M|40Y</t>
  </si>
  <si>
    <t>EUR FRA 6M|50Y</t>
  </si>
  <si>
    <t>EUR FRA 6M|60Y</t>
  </si>
  <si>
    <t>EUR FRA 6M QUAR|6M</t>
  </si>
  <si>
    <t>EUR FRA 6M QUAR</t>
  </si>
  <si>
    <t>EUR FRA 6M QUAR|6M-12M</t>
  </si>
  <si>
    <t>EUR FRA 6M QUAR|12M-18M</t>
  </si>
  <si>
    <t>EUR FRA 6M QUAR|18M-24M</t>
  </si>
  <si>
    <t>EUR FRA 6M QUAR|3Y</t>
  </si>
  <si>
    <t>EUR FRA 6M QUAR|4Y</t>
  </si>
  <si>
    <t>EUR FRA 6M QUAR|5Y</t>
  </si>
  <si>
    <t>EUR FRA 6M QUAR|6Y</t>
  </si>
  <si>
    <t>EUR FRA 6M QUAR|7Y</t>
  </si>
  <si>
    <t>EUR FRA 6M QUAR|8Y</t>
  </si>
  <si>
    <t>EUR FRA 6M QUAR|9Y</t>
  </si>
  <si>
    <t>EUR FRA 6M QUAR|10Y</t>
  </si>
  <si>
    <t>EUR FRA 6M QUAR|11Y</t>
  </si>
  <si>
    <t>EUR FRA 6M QUAR|12Y</t>
  </si>
  <si>
    <t>EUR FRA 6M QUAR|13Y</t>
  </si>
  <si>
    <t>EUR FRA 6M QUAR|14Y</t>
  </si>
  <si>
    <t>EUR FRA 6M QUAR|15Y</t>
  </si>
  <si>
    <t>EUR FRA 6M QUAR|16Y</t>
  </si>
  <si>
    <t>EUR FRA 6M QUAR|17Y</t>
  </si>
  <si>
    <t>EUR FRA 6M QUAR|18Y</t>
  </si>
  <si>
    <t>EUR FRA 6M QUAR|19Y</t>
  </si>
  <si>
    <t>EUR FRA 6M QUAR|20Y</t>
  </si>
  <si>
    <t>EUR FRA 6M QUAR|21Y</t>
  </si>
  <si>
    <t>EUR FRA 6M QUAR|22Y</t>
  </si>
  <si>
    <t>EUR FRA 6M QUAR|23Y</t>
  </si>
  <si>
    <t>EUR FRA 6M QUAR|24Y</t>
  </si>
  <si>
    <t>EUR FRA 6M QUAR|25Y</t>
  </si>
  <si>
    <t>EUR FRA 6M QUAR|27Y</t>
  </si>
  <si>
    <t>EUR FRA 6M QUAR|28Y</t>
  </si>
  <si>
    <t>EUR FRA 6M QUAR|29Y</t>
  </si>
  <si>
    <t>EUR FRA 6M QUAR|30Y</t>
  </si>
  <si>
    <t>EUR FRA 6M QUAR|31Y</t>
  </si>
  <si>
    <t>EUR FRA 6M QUAR|32Y</t>
  </si>
  <si>
    <t>EUR FRA 6M QUAR|33Y</t>
  </si>
  <si>
    <t>EUR FRA 6M QUAR|34Y</t>
  </si>
  <si>
    <t>EUR FRA 6M QUAR|35Y</t>
  </si>
  <si>
    <t>EUR FRA 6M QUAR|36Y</t>
  </si>
  <si>
    <t>EUR FRA 6M QUAR|37Y</t>
  </si>
  <si>
    <t>EUR FRA 6M QUAR|38Y</t>
  </si>
  <si>
    <t>EUR FRA 6M QUAR|39Y</t>
  </si>
  <si>
    <t>EUR FRA 6M QUAR|40Y</t>
  </si>
  <si>
    <t>EUR FRA 6M QUAR|50Y</t>
  </si>
  <si>
    <t>EUR FRA 6M QUAR|60Y</t>
  </si>
  <si>
    <t>EUR FX|O/N</t>
  </si>
  <si>
    <t>EUR FX</t>
  </si>
  <si>
    <t>EUR FX|T/N</t>
  </si>
  <si>
    <t>EUR FX|S/N</t>
  </si>
  <si>
    <t>EUR FX|1W</t>
  </si>
  <si>
    <t>EUR FX|2W</t>
  </si>
  <si>
    <t>EUR FX|3W</t>
  </si>
  <si>
    <t>EUR FX|1M</t>
  </si>
  <si>
    <t>EUR FX|2M</t>
  </si>
  <si>
    <t>EUR FX|3M</t>
  </si>
  <si>
    <t>EUR FX|4M</t>
  </si>
  <si>
    <t>EUR FX|5M</t>
  </si>
  <si>
    <t>EUR FX|6M</t>
  </si>
  <si>
    <t>EUR FX|7M</t>
  </si>
  <si>
    <t>EUR FX|8M</t>
  </si>
  <si>
    <t>EUR FX|9M</t>
  </si>
  <si>
    <t>EUR FX|10M</t>
  </si>
  <si>
    <t>EUR FX|11M</t>
  </si>
  <si>
    <t>EUR FX|1Y</t>
  </si>
  <si>
    <t>EUR FX|2Y</t>
  </si>
  <si>
    <t>EUR FX|3Y</t>
  </si>
  <si>
    <t>EUR FX|4Y</t>
  </si>
  <si>
    <t>EUR FX|5Y</t>
  </si>
  <si>
    <t>EUR FX|7Y</t>
  </si>
  <si>
    <t>EUR FX|8Y</t>
  </si>
  <si>
    <t>EUR FX|9Y</t>
  </si>
  <si>
    <t>EUR FX|10Y</t>
  </si>
  <si>
    <t>EUR FX|11Y</t>
  </si>
  <si>
    <t>EUR FX|12Y</t>
  </si>
  <si>
    <t>EUR FX|13Y</t>
  </si>
  <si>
    <t>EUR FX|14Y</t>
  </si>
  <si>
    <t>EUR FX|15Y</t>
  </si>
  <si>
    <t>EUR FX|20Y</t>
  </si>
  <si>
    <t>EUR FX|25Y</t>
  </si>
  <si>
    <t>EUR FX|30Y</t>
  </si>
  <si>
    <t>EUR GRECIA BOND|O/N</t>
  </si>
  <si>
    <t>EUR GRECIA BOND</t>
  </si>
  <si>
    <t>EUR GRECIA BOND|1W</t>
  </si>
  <si>
    <t>EUR GRECIA BOND|2W</t>
  </si>
  <si>
    <t>EUR GRECIA BOND|3W</t>
  </si>
  <si>
    <t>EUR GRECIA BOND|1M</t>
  </si>
  <si>
    <t>EUR GRECIA BOND|2M</t>
  </si>
  <si>
    <t>EUR GRECIA BOND|3M</t>
  </si>
  <si>
    <t>EUR GRECIA BOND|4M</t>
  </si>
  <si>
    <t>EUR GRECIA BOND|5M</t>
  </si>
  <si>
    <t>EUR GRECIA BOND|6M</t>
  </si>
  <si>
    <t>EUR GRECIA BOND|7M</t>
  </si>
  <si>
    <t>EUR GRECIA BOND|8M</t>
  </si>
  <si>
    <t>EUR GRECIA BOND|9M</t>
  </si>
  <si>
    <t>EUR GRECIA BOND|10M</t>
  </si>
  <si>
    <t>EUR GRECIA BOND|11M</t>
  </si>
  <si>
    <t>EUR GRECIA BOND|1Y</t>
  </si>
  <si>
    <t>EUR GRECIA BOND|22/10/19</t>
  </si>
  <si>
    <t>22/10/19</t>
  </si>
  <si>
    <t>EUR GRECIA BOND|24/10/22</t>
  </si>
  <si>
    <t>24/10/22</t>
  </si>
  <si>
    <t>EUR GRECIA BOND|21/09/37</t>
  </si>
  <si>
    <t>21/09/37</t>
  </si>
  <si>
    <t>EUR NO FUT STD|O/N</t>
  </si>
  <si>
    <t>EUR NO FUT STD</t>
  </si>
  <si>
    <t>EUR NO FUT STD|1W</t>
  </si>
  <si>
    <t>EUR NO FUT STD|1M</t>
  </si>
  <si>
    <t>EUR NO FUT STD|2M</t>
  </si>
  <si>
    <t>EUR NO FUT STD|3M</t>
  </si>
  <si>
    <t>EUR NO FUT STD|6M</t>
  </si>
  <si>
    <t>EUR NO FUT STD|9M</t>
  </si>
  <si>
    <t>EUR NO FUT STD|1Y</t>
  </si>
  <si>
    <t>EUR NO FUT STD|2Y</t>
  </si>
  <si>
    <t>EUR NO FUT STD|3Y</t>
  </si>
  <si>
    <t>EUR NO FUT STD|4Y</t>
  </si>
  <si>
    <t>EUR NO FUT STD|5Y</t>
  </si>
  <si>
    <t>EUR NO FUT STD|6Y</t>
  </si>
  <si>
    <t>EUR NO FUT STD|7Y</t>
  </si>
  <si>
    <t>EUR NO FUT STD|8Y</t>
  </si>
  <si>
    <t>EUR NO FUT STD|9Y</t>
  </si>
  <si>
    <t>EUR NO FUT STD|10Y</t>
  </si>
  <si>
    <t>EUR NO FUT STD|12Y</t>
  </si>
  <si>
    <t>EUR NO FUT STD|15Y</t>
  </si>
  <si>
    <t>EUR NO FUT STD|20Y</t>
  </si>
  <si>
    <t>EUR NO FUT STD|25Y</t>
  </si>
  <si>
    <t>EUR NO FUT STD|30Y</t>
  </si>
  <si>
    <t>EUR NO FUT STD|40Y</t>
  </si>
  <si>
    <t>EUR NO FUT STD|50Y</t>
  </si>
  <si>
    <t>EUR NO FUT STD|60Y</t>
  </si>
  <si>
    <t>EUR NO FUT STD2|O/N</t>
  </si>
  <si>
    <t>EUR NO FUT STD2</t>
  </si>
  <si>
    <t>EUR NO FUT STD2|1W</t>
  </si>
  <si>
    <t>EUR NO FUT STD2|1M</t>
  </si>
  <si>
    <t>EUR NO FUT STD2|2M</t>
  </si>
  <si>
    <t>EUR NO FUT STD2|3M</t>
  </si>
  <si>
    <t>EUR NO FUT STD2|6M</t>
  </si>
  <si>
    <t>EUR NO FUT STD2|9M</t>
  </si>
  <si>
    <t>EUR NO FUT STD2|1Y</t>
  </si>
  <si>
    <t>EUR NO FUT STD2|2Y</t>
  </si>
  <si>
    <t>EUR NO FUT STD2|3Y</t>
  </si>
  <si>
    <t>EUR NO FUT STD2|4Y</t>
  </si>
  <si>
    <t>EUR NO FUT STD2|5Y</t>
  </si>
  <si>
    <t>EUR NO FUT STD2|6Y</t>
  </si>
  <si>
    <t>EUR NO FUT STD2|7Y</t>
  </si>
  <si>
    <t>EUR NO FUT STD2|8Y</t>
  </si>
  <si>
    <t>EUR NO FUT STD2|9Y</t>
  </si>
  <si>
    <t>EUR NO FUT STD2|10Y</t>
  </si>
  <si>
    <t>EUR NO FUT STD2|11Y</t>
  </si>
  <si>
    <t>EUR NO FUT STD2|12Y</t>
  </si>
  <si>
    <t>EUR NO FUT STD2|13Y</t>
  </si>
  <si>
    <t>EUR NO FUT STD2|14Y</t>
  </si>
  <si>
    <t>EUR NO FUT STD2|15Y</t>
  </si>
  <si>
    <t>EUR NO FUT STD2|16Y</t>
  </si>
  <si>
    <t>EUR NO FUT STD2|17Y</t>
  </si>
  <si>
    <t>EUR NO FUT STD2|18Y</t>
  </si>
  <si>
    <t>EUR NO FUT STD2|19Y</t>
  </si>
  <si>
    <t>EUR NO FUT STD2|20Y</t>
  </si>
  <si>
    <t>EUR NO FUT STD2|21Y</t>
  </si>
  <si>
    <t>EUR NO FUT STD2|22Y</t>
  </si>
  <si>
    <t>EUR NO FUT STD2|23Y</t>
  </si>
  <si>
    <t>EUR NO FUT STD2|24Y</t>
  </si>
  <si>
    <t>EUR NO FUT STD2|25Y</t>
  </si>
  <si>
    <t>EUR NO FUT STD2|26Y</t>
  </si>
  <si>
    <t>EUR NO FUT STD2|27Y</t>
  </si>
  <si>
    <t>EUR NO FUT STD2|28Y</t>
  </si>
  <si>
    <t>EUR NO FUT STD2|29Y</t>
  </si>
  <si>
    <t>EUR NO FUT STD2|30Y</t>
  </si>
  <si>
    <t>EUR NO FUT STD2|40Y</t>
  </si>
  <si>
    <t>EUR NO FUT STD2|50Y</t>
  </si>
  <si>
    <t>EUR NO FUT STD2|60Y</t>
  </si>
  <si>
    <t>EUR PRIME RATE|O/N</t>
  </si>
  <si>
    <t>EUR PRIME RATE</t>
  </si>
  <si>
    <t>EUR PRIME RATE|T/N</t>
  </si>
  <si>
    <t>EUR PRIME RATE|S/N</t>
  </si>
  <si>
    <t>EUR PRIME RATE|1W</t>
  </si>
  <si>
    <t>EUR PRIME RATE|2W</t>
  </si>
  <si>
    <t>EUR PRIME RATE|3W</t>
  </si>
  <si>
    <t>EUR PRIME RATE|1M</t>
  </si>
  <si>
    <t>EUR PRIME RATE|2M</t>
  </si>
  <si>
    <t>EUR PRIME RATE|3M</t>
  </si>
  <si>
    <t>EUR PRIME RATE|4M</t>
  </si>
  <si>
    <t>EUR PRIME RATE|5M</t>
  </si>
  <si>
    <t>EUR PRIME RATE|6M</t>
  </si>
  <si>
    <t>EUR PRIME RATE|7M</t>
  </si>
  <si>
    <t>EUR PRIME RATE|8M</t>
  </si>
  <si>
    <t>EUR PRIME RATE|9M</t>
  </si>
  <si>
    <t>EUR PRIME RATE|3Y</t>
  </si>
  <si>
    <t>EUR PRIME RATE|4Y</t>
  </si>
  <si>
    <t>EUR PRIME RATE|5Y</t>
  </si>
  <si>
    <t>EUR PRIME RATE|6Y</t>
  </si>
  <si>
    <t>EUR PRIME RATE|7Y</t>
  </si>
  <si>
    <t>EUR PRIME RATE|8Y</t>
  </si>
  <si>
    <t>EUR PRIME RATE|9Y</t>
  </si>
  <si>
    <t>EUR PRIME RATE|10Y</t>
  </si>
  <si>
    <t>EUR PRIME RATE|11Y</t>
  </si>
  <si>
    <t>EUR PRIME RATE|12Y</t>
  </si>
  <si>
    <t>EUR PRIME RATE|13Y</t>
  </si>
  <si>
    <t>EUR PRIME RATE|14Y</t>
  </si>
  <si>
    <t>EUR PRIME RATE|15Y</t>
  </si>
  <si>
    <t>EUR PRIME RATE|16Y</t>
  </si>
  <si>
    <t>EUR PRIME RATE|17Y</t>
  </si>
  <si>
    <t>EUR PRIME RATE|18Y</t>
  </si>
  <si>
    <t>EUR PRIME RATE|19Y</t>
  </si>
  <si>
    <t>EUR PRIME RATE|20Y</t>
  </si>
  <si>
    <t>EUR PRIME RATE|21Y</t>
  </si>
  <si>
    <t>EUR PRIME RATE|22Y</t>
  </si>
  <si>
    <t>EUR PRIME RATE|23Y</t>
  </si>
  <si>
    <t>EUR PRIME RATE|24Y</t>
  </si>
  <si>
    <t>EUR PRIME RATE|25Y</t>
  </si>
  <si>
    <t>EUR PRIME RATE|26Y</t>
  </si>
  <si>
    <t>EUR PRIME RATE|27Y</t>
  </si>
  <si>
    <t>EUR PRIME RATE|28Y</t>
  </si>
  <si>
    <t>EUR PRIME RATE|29Y</t>
  </si>
  <si>
    <t>EUR PRIME RATE|30Y</t>
  </si>
  <si>
    <t>EUR PRIME RATE|40Y</t>
  </si>
  <si>
    <t>EUR PRIME RATE|50Y</t>
  </si>
  <si>
    <t>EUR PRIME RATE|60Y</t>
  </si>
  <si>
    <t>EUR RENDIOB|T/N</t>
  </si>
  <si>
    <t>EUR RENDIOB</t>
  </si>
  <si>
    <t>EUR RENDIOB|S/N</t>
  </si>
  <si>
    <t>EUR RENDIOB|1W</t>
  </si>
  <si>
    <t>EUR RENDIOB|1M</t>
  </si>
  <si>
    <t>EUR RENDIOB|2M</t>
  </si>
  <si>
    <t>EUR RENDIOB|3M</t>
  </si>
  <si>
    <t>EUR RENDIOB|01/08/17</t>
  </si>
  <si>
    <t>01/08/17</t>
  </si>
  <si>
    <t>EUR RENDIOB|01/02/19</t>
  </si>
  <si>
    <t>01/02/19</t>
  </si>
  <si>
    <t>EUR RENDIOB|03/02/20</t>
  </si>
  <si>
    <t>03/02/20</t>
  </si>
  <si>
    <t>EUR RENDIOB|01/11/23</t>
  </si>
  <si>
    <t>01/11/23</t>
  </si>
  <si>
    <t>EUR RENDIOB|01/11/29</t>
  </si>
  <si>
    <t>01/11/29</t>
  </si>
  <si>
    <t>EUR RENDIOB|01/02/33</t>
  </si>
  <si>
    <t>01/02/33</t>
  </si>
  <si>
    <t>EUR RENDIOB|01/08/34</t>
  </si>
  <si>
    <t>01/08/34</t>
  </si>
  <si>
    <t>EUR RENDIS K|1Y</t>
  </si>
  <si>
    <t>EUR RENDIS K</t>
  </si>
  <si>
    <t>EUR RENDISTATO|O/N</t>
  </si>
  <si>
    <t>EUR RENDISTATO</t>
  </si>
  <si>
    <t>EUR RENDISTATO|T/N</t>
  </si>
  <si>
    <t>EUR RENDISTATO|S/N</t>
  </si>
  <si>
    <t>EUR RENDISTATO|1W</t>
  </si>
  <si>
    <t>EUR RENDISTATO|2W</t>
  </si>
  <si>
    <t>EUR RENDISTATO|3W</t>
  </si>
  <si>
    <t>EUR RENDISTATO|1M</t>
  </si>
  <si>
    <t>EUR RENDISTATO|2M</t>
  </si>
  <si>
    <t>EUR RENDISTATO|3M</t>
  </si>
  <si>
    <t>EUR RENDISTATO|4M</t>
  </si>
  <si>
    <t>EUR RENDISTATO|5M</t>
  </si>
  <si>
    <t>EUR RENDISTATO|6M</t>
  </si>
  <si>
    <t>EUR RENDISTATO|7M</t>
  </si>
  <si>
    <t>EUR RENDISTATO|8M</t>
  </si>
  <si>
    <t>EUR RENDISTATO|9M</t>
  </si>
  <si>
    <t>EUR RENDISTATO|10M</t>
  </si>
  <si>
    <t>EUR RENDISTATO|11M</t>
  </si>
  <si>
    <t>EUR RENDISTATO|1Y</t>
  </si>
  <si>
    <t>EUR RENDISTATO|01/02/17</t>
  </si>
  <si>
    <t>01/02/17</t>
  </si>
  <si>
    <t>EUR RENDISTATO|01/08/17</t>
  </si>
  <si>
    <t>EUR RENDISTATO|01/02/18</t>
  </si>
  <si>
    <t>01/02/18</t>
  </si>
  <si>
    <t>EUR RENDISTATO|01/08/18</t>
  </si>
  <si>
    <t>01/08/18</t>
  </si>
  <si>
    <t>EUR RENDISTATO|01/02/19</t>
  </si>
  <si>
    <t>EUR RENDISTATO|01/03/19</t>
  </si>
  <si>
    <t>01/03/19</t>
  </si>
  <si>
    <t>EUR RENDISTATO|02/09/19</t>
  </si>
  <si>
    <t>02/09/19</t>
  </si>
  <si>
    <t>EUR RENDISTATO|03/02/20</t>
  </si>
  <si>
    <t>EUR RENDISTATO|02/03/20</t>
  </si>
  <si>
    <t>02/03/20</t>
  </si>
  <si>
    <t>EUR RENDISTATO|01/09/20</t>
  </si>
  <si>
    <t>01/09/20</t>
  </si>
  <si>
    <t>EUR RENDISTATO|02/08/21</t>
  </si>
  <si>
    <t>02/08/21</t>
  </si>
  <si>
    <t>EUR RENDISTATO|01/08/23</t>
  </si>
  <si>
    <t>01/08/23</t>
  </si>
  <si>
    <t>EUR RENDISTATO|01/11/23</t>
  </si>
  <si>
    <t>EUR RENDISTATO|03/03/25</t>
  </si>
  <si>
    <t>03/03/25</t>
  </si>
  <si>
    <t>EUR RENDISTATO|02/11/26</t>
  </si>
  <si>
    <t>02/11/26</t>
  </si>
  <si>
    <t>EUR RENDISTATO|01/11/27</t>
  </si>
  <si>
    <t>01/11/27</t>
  </si>
  <si>
    <t>EUR RENDISTATO|01/11/29</t>
  </si>
  <si>
    <t>EUR RENDISTATO|02/05/31</t>
  </si>
  <si>
    <t>02/05/31</t>
  </si>
  <si>
    <t>EUR RENDISTATO|01/02/33</t>
  </si>
  <si>
    <t>EUR RENDISTATO|01/08/34</t>
  </si>
  <si>
    <t>EUR RENDISTATO|02/02/37</t>
  </si>
  <si>
    <t>02/02/37</t>
  </si>
  <si>
    <t>EUR RENDISTATO|01/08/39</t>
  </si>
  <si>
    <t>01/08/39</t>
  </si>
  <si>
    <t>EUR RENDISTATO|03/09/40</t>
  </si>
  <si>
    <t>03/09/40</t>
  </si>
  <si>
    <t>EUR TEC 10</t>
  </si>
  <si>
    <t>EUR TEC 10|25/04/19</t>
  </si>
  <si>
    <t>25/04/19</t>
  </si>
  <si>
    <t>EUR TEC 10|27/10/25</t>
  </si>
  <si>
    <t>27/10/25</t>
  </si>
  <si>
    <t>EUR TEC 10|25/04/35</t>
  </si>
  <si>
    <t>25/04/35</t>
  </si>
  <si>
    <t>EUR TEC 10|26/04/55</t>
  </si>
  <si>
    <t>26/04/55</t>
  </si>
  <si>
    <t>EUR TUS|O/N</t>
  </si>
  <si>
    <t>EUR TUS</t>
  </si>
  <si>
    <t>EUR TUS|T/N</t>
  </si>
  <si>
    <t>EUR TUS|S/N</t>
  </si>
  <si>
    <t>EUR TUS|1W</t>
  </si>
  <si>
    <t>EUR TUS|2W</t>
  </si>
  <si>
    <t>EUR TUS|3W</t>
  </si>
  <si>
    <t>EUR TUS|1M</t>
  </si>
  <si>
    <t>EUR TUS|2M</t>
  </si>
  <si>
    <t>EUR TUS|3M</t>
  </si>
  <si>
    <t>EUR TUS|4M</t>
  </si>
  <si>
    <t>EUR TUS|5M</t>
  </si>
  <si>
    <t>EUR TUS|6M</t>
  </si>
  <si>
    <t>EUR TUS|7M</t>
  </si>
  <si>
    <t>EUR TUS|8M</t>
  </si>
  <si>
    <t>EUR TUS|9M</t>
  </si>
  <si>
    <t>EUR TUS|3Y</t>
  </si>
  <si>
    <t>EUR TUS|4Y</t>
  </si>
  <si>
    <t>EUR TUS|5Y</t>
  </si>
  <si>
    <t>EUR TUS|6Y</t>
  </si>
  <si>
    <t>EUR TUS|7Y</t>
  </si>
  <si>
    <t>EUR TUS|8Y</t>
  </si>
  <si>
    <t>EUR TUS|9Y</t>
  </si>
  <si>
    <t>EUR TUS|10Y</t>
  </si>
  <si>
    <t>EUR TUS|11Y</t>
  </si>
  <si>
    <t>EUR TUS|12Y</t>
  </si>
  <si>
    <t>EUR TUS|13Y</t>
  </si>
  <si>
    <t>EUR TUS|14Y</t>
  </si>
  <si>
    <t>EUR TUS|15Y</t>
  </si>
  <si>
    <t>EUR TUS|16Y</t>
  </si>
  <si>
    <t>EUR TUS|17Y</t>
  </si>
  <si>
    <t>EUR TUS|18Y</t>
  </si>
  <si>
    <t>EUR TUS|19Y</t>
  </si>
  <si>
    <t>EUR TUS|20Y</t>
  </si>
  <si>
    <t>EUR TUS|21Y</t>
  </si>
  <si>
    <t>EUR TUS|22Y</t>
  </si>
  <si>
    <t>EUR TUS|23Y</t>
  </si>
  <si>
    <t>EUR TUS|24Y</t>
  </si>
  <si>
    <t>EUR TUS|25Y</t>
  </si>
  <si>
    <t>EUR TUS|26Y</t>
  </si>
  <si>
    <t>EUR TUS|27Y</t>
  </si>
  <si>
    <t>EUR TUS|28Y</t>
  </si>
  <si>
    <t>EUR TUS|29Y</t>
  </si>
  <si>
    <t>EUR TUS|30Y</t>
  </si>
  <si>
    <t>EUR USD BASIS|2Y</t>
  </si>
  <si>
    <t>EUR USD BASIS</t>
  </si>
  <si>
    <t>EUR USD BASIS|3Y</t>
  </si>
  <si>
    <t>EUR USD BASIS|4Y</t>
  </si>
  <si>
    <t>EUR USD BASIS|5Y</t>
  </si>
  <si>
    <t>EUR USD BASIS|7Y</t>
  </si>
  <si>
    <t>EUR USD BASIS|10Y</t>
  </si>
  <si>
    <t>EUR USD BASIS|15Y</t>
  </si>
  <si>
    <t>EUR USD BASIS|20Y</t>
  </si>
  <si>
    <t>EUR USD BASIS|30Y</t>
  </si>
  <si>
    <t>EUR-OIS|O/N</t>
  </si>
  <si>
    <t>EUR-OIS|T/N</t>
  </si>
  <si>
    <t>EUR-OIS|S/N</t>
  </si>
  <si>
    <t>EUR-OIS|1W</t>
  </si>
  <si>
    <t>EUR-OIS|2W</t>
  </si>
  <si>
    <t>EUR-OIS|3W</t>
  </si>
  <si>
    <t>EUR-OIS|1M</t>
  </si>
  <si>
    <t>EUR-OIS|2M</t>
  </si>
  <si>
    <t>EUR-OIS|3M</t>
  </si>
  <si>
    <t>EUR-OIS|4M</t>
  </si>
  <si>
    <t>EUR-OIS|5M</t>
  </si>
  <si>
    <t>EUR-OIS|6M</t>
  </si>
  <si>
    <t>EUR-OIS|7M</t>
  </si>
  <si>
    <t>EUR-OIS|8M</t>
  </si>
  <si>
    <t>EUR-OIS|9M</t>
  </si>
  <si>
    <t>EUR-OIS|10M</t>
  </si>
  <si>
    <t>EUR-OIS|11M</t>
  </si>
  <si>
    <t>EUR-OIS|1Y</t>
  </si>
  <si>
    <t>EUR-OIS|13M</t>
  </si>
  <si>
    <t>EUR-OIS|14M</t>
  </si>
  <si>
    <t>EUR-OIS|15M</t>
  </si>
  <si>
    <t>EUR-OIS|16M</t>
  </si>
  <si>
    <t>EUR-OIS|17M</t>
  </si>
  <si>
    <t>EUR-OIS|18M</t>
  </si>
  <si>
    <t>EUR-OIS|19M</t>
  </si>
  <si>
    <t>EUR-OIS|20M</t>
  </si>
  <si>
    <t>EUR-OIS|21M</t>
  </si>
  <si>
    <t>EUR-OIS|22M</t>
  </si>
  <si>
    <t>EUR-OIS|23M</t>
  </si>
  <si>
    <t>EUR-OIS|2Y</t>
  </si>
  <si>
    <t>EUR-OIS|3Y</t>
  </si>
  <si>
    <t>EUR-OIS|4Y</t>
  </si>
  <si>
    <t>EUR-OIS|5Y</t>
  </si>
  <si>
    <t>EUR-OIS|6Y</t>
  </si>
  <si>
    <t>EUR-OIS|7Y</t>
  </si>
  <si>
    <t>EUR-OIS|8Y</t>
  </si>
  <si>
    <t>EUR-OIS|9Y</t>
  </si>
  <si>
    <t>EUR-OIS|10Y</t>
  </si>
  <si>
    <t>EUR-OIS|11Y</t>
  </si>
  <si>
    <t>EUR-OIS|12Y</t>
  </si>
  <si>
    <t>EUR-OIS|13Y</t>
  </si>
  <si>
    <t>EUR-OIS|14Y</t>
  </si>
  <si>
    <t>EUR-OIS|15Y</t>
  </si>
  <si>
    <t>EUR-OIS|16Y</t>
  </si>
  <si>
    <t>EUR-OIS|17Y</t>
  </si>
  <si>
    <t>EUR-OIS|18Y</t>
  </si>
  <si>
    <t>EUR-OIS|19Y</t>
  </si>
  <si>
    <t>EUR-OIS|20Y</t>
  </si>
  <si>
    <t>EUR-OIS|21Y</t>
  </si>
  <si>
    <t>EUR-OIS|22Y</t>
  </si>
  <si>
    <t>EUR-OIS|23Y</t>
  </si>
  <si>
    <t>EUR-OIS|24Y</t>
  </si>
  <si>
    <t>EUR-OIS|25Y</t>
  </si>
  <si>
    <t>EUR-OIS|26Y</t>
  </si>
  <si>
    <t>EUR-OIS|27Y</t>
  </si>
  <si>
    <t>EUR-OIS|28Y</t>
  </si>
  <si>
    <t>EUR-OIS|29Y</t>
  </si>
  <si>
    <t>EUR-OIS|30Y</t>
  </si>
  <si>
    <t>EUR-OIS|35Y</t>
  </si>
  <si>
    <t>EUR-OIS|40Y</t>
  </si>
  <si>
    <t>EUR-OIS|50Y</t>
  </si>
  <si>
    <t>EUR-OIS|60Y</t>
  </si>
  <si>
    <t>EUR-OIS DISC|O/N</t>
  </si>
  <si>
    <t>EUR-OIS DISC|T/N</t>
  </si>
  <si>
    <t>EUR-OIS DISC|S/N</t>
  </si>
  <si>
    <t>EUR-OIS DISC|1W</t>
  </si>
  <si>
    <t>EUR-OIS DISC|2W</t>
  </si>
  <si>
    <t>EUR-OIS DISC|3W</t>
  </si>
  <si>
    <t>EUR-OIS DISC|1M</t>
  </si>
  <si>
    <t>EUR-OIS DISC|2M</t>
  </si>
  <si>
    <t>EUR-OIS DISC|3M</t>
  </si>
  <si>
    <t>EUR-OIS DISC|4M</t>
  </si>
  <si>
    <t>EUR-OIS DISC|5M</t>
  </si>
  <si>
    <t>EUR-OIS DISC|6M</t>
  </si>
  <si>
    <t>EUR-OIS DISC|7M</t>
  </si>
  <si>
    <t>EUR-OIS DISC|8M</t>
  </si>
  <si>
    <t>EUR-OIS DISC|9M</t>
  </si>
  <si>
    <t>EUR-OIS DISC|10M</t>
  </si>
  <si>
    <t>EUR-OIS DISC|11M</t>
  </si>
  <si>
    <t>EUR-OIS DISC|1Y</t>
  </si>
  <si>
    <t>EUR-OIS DISC|13M</t>
  </si>
  <si>
    <t>EUR-OIS DISC|14M</t>
  </si>
  <si>
    <t>EUR-OIS DISC|15M</t>
  </si>
  <si>
    <t>EUR-OIS DISC|16M</t>
  </si>
  <si>
    <t>EUR-OIS DISC|17M</t>
  </si>
  <si>
    <t>EUR-OIS DISC|18M</t>
  </si>
  <si>
    <t>EUR-OIS DISC|19M</t>
  </si>
  <si>
    <t>EUR-OIS DISC|20M</t>
  </si>
  <si>
    <t>EUR-OIS DISC|21M</t>
  </si>
  <si>
    <t>EUR-OIS DISC|22M</t>
  </si>
  <si>
    <t>EUR-OIS DISC|23M</t>
  </si>
  <si>
    <t>EUR-OIS DISC|2Y</t>
  </si>
  <si>
    <t>EUR-OIS DISC|3Y</t>
  </si>
  <si>
    <t>EUR-OIS DISC|4Y</t>
  </si>
  <si>
    <t>EUR-OIS DISC|5Y</t>
  </si>
  <si>
    <t>EUR-OIS DISC|6Y</t>
  </si>
  <si>
    <t>EUR-OIS DISC|7Y</t>
  </si>
  <si>
    <t>EUR-OIS DISC|8Y</t>
  </si>
  <si>
    <t>EUR-OIS DISC|9Y</t>
  </si>
  <si>
    <t>EUR-OIS DISC|10Y</t>
  </si>
  <si>
    <t>EUR-OIS DISC|11Y</t>
  </si>
  <si>
    <t>EUR-OIS DISC|12Y</t>
  </si>
  <si>
    <t>EUR-OIS DISC|13Y</t>
  </si>
  <si>
    <t>EUR-OIS DISC|14Y</t>
  </si>
  <si>
    <t>EUR-OIS DISC|15Y</t>
  </si>
  <si>
    <t>EUR-OIS DISC|16Y</t>
  </si>
  <si>
    <t>EUR-OIS DISC|17Y</t>
  </si>
  <si>
    <t>EUR-OIS DISC|18Y</t>
  </si>
  <si>
    <t>EUR-OIS DISC|19Y</t>
  </si>
  <si>
    <t>EUR-OIS DISC|20Y</t>
  </si>
  <si>
    <t>EUR-OIS DISC|21Y</t>
  </si>
  <si>
    <t>EUR-OIS DISC|22Y</t>
  </si>
  <si>
    <t>EUR-OIS DISC|23Y</t>
  </si>
  <si>
    <t>EUR-OIS DISC|24Y</t>
  </si>
  <si>
    <t>EUR-OIS DISC|25Y</t>
  </si>
  <si>
    <t>EUR-OIS DISC|26Y</t>
  </si>
  <si>
    <t>EUR-OIS DISC|27Y</t>
  </si>
  <si>
    <t>EUR-OIS DISC|28Y</t>
  </si>
  <si>
    <t>EUR-OIS DISC|29Y</t>
  </si>
  <si>
    <t>EUR-OIS DISC|30Y</t>
  </si>
  <si>
    <t>EUR-OIS DISC|35Y</t>
  </si>
  <si>
    <t>EUR-OIS DISC|40Y</t>
  </si>
  <si>
    <t>EUR-OIS DISC|50Y</t>
  </si>
  <si>
    <t>EUR-OIS DISC|60Y</t>
  </si>
  <si>
    <t>EUR-ZC|O/N</t>
  </si>
  <si>
    <t>EUR-ZC</t>
  </si>
  <si>
    <t>EUR-ZC|T/N</t>
  </si>
  <si>
    <t>EUR-ZC|S/N</t>
  </si>
  <si>
    <t>EUR-ZC|1W</t>
  </si>
  <si>
    <t>EUR-ZC|2W</t>
  </si>
  <si>
    <t>EUR-ZC|3W</t>
  </si>
  <si>
    <t>EUR-ZC|1M</t>
  </si>
  <si>
    <t>EUR-ZC|2M</t>
  </si>
  <si>
    <t>EUR-ZC|3M</t>
  </si>
  <si>
    <t>EUR-ZC|4M</t>
  </si>
  <si>
    <t>EUR-ZC|5M</t>
  </si>
  <si>
    <t>EUR-ZC|6M</t>
  </si>
  <si>
    <t>EUR-ZC|7M</t>
  </si>
  <si>
    <t>EUR-ZC|8M</t>
  </si>
  <si>
    <t>EUR-ZC|9M</t>
  </si>
  <si>
    <t>EUR-ZC|1Y</t>
  </si>
  <si>
    <t>EUR-ZC|2Y</t>
  </si>
  <si>
    <t>EUR-ZC|3Y</t>
  </si>
  <si>
    <t>EUR-ZC|4Y</t>
  </si>
  <si>
    <t>EUR-ZC|5Y</t>
  </si>
  <si>
    <t>EUR-ZC|6Y</t>
  </si>
  <si>
    <t>EUR-ZC|7Y</t>
  </si>
  <si>
    <t>EUR-ZC|8Y</t>
  </si>
  <si>
    <t>EUR-ZC|9Y</t>
  </si>
  <si>
    <t>EUR-ZC|10Y</t>
  </si>
  <si>
    <t>EUR-ZC|11Y</t>
  </si>
  <si>
    <t>EUR-ZC|12Y</t>
  </si>
  <si>
    <t>EUR-ZC|13Y</t>
  </si>
  <si>
    <t>EUR-ZC|14Y</t>
  </si>
  <si>
    <t>EUR-ZC|15Y</t>
  </si>
  <si>
    <t>EUR-ZC|16Y</t>
  </si>
  <si>
    <t>EUR-ZC|17Y</t>
  </si>
  <si>
    <t>EUR-ZC|18Y</t>
  </si>
  <si>
    <t>EUR-ZC|19Y</t>
  </si>
  <si>
    <t>EUR-ZC|20Y</t>
  </si>
  <si>
    <t>EUR-ZC|21Y</t>
  </si>
  <si>
    <t>EUR-ZC|22Y</t>
  </si>
  <si>
    <t>EUR-ZC|23Y</t>
  </si>
  <si>
    <t>EUR-ZC|24Y</t>
  </si>
  <si>
    <t>EUR-ZC|25Y</t>
  </si>
  <si>
    <t>EUR-ZC|26Y</t>
  </si>
  <si>
    <t>EUR-ZC|27Y</t>
  </si>
  <si>
    <t>EUR-ZC|28Y</t>
  </si>
  <si>
    <t>EUR-ZC|29Y</t>
  </si>
  <si>
    <t>EUR-ZC|30Y</t>
  </si>
  <si>
    <t>EUR-ZC|40Y</t>
  </si>
  <si>
    <t>EUR-ZC|50Y</t>
  </si>
  <si>
    <t>EUR-ZC|60Y</t>
  </si>
  <si>
    <t>LCH EUR 1M|1M</t>
  </si>
  <si>
    <t>LCH EUR 1M</t>
  </si>
  <si>
    <t>LCH EUR 1M|2Y</t>
  </si>
  <si>
    <t>LCH EUR 1M|3Y</t>
  </si>
  <si>
    <t>LCH EUR 1M|4Y</t>
  </si>
  <si>
    <t>LCH EUR 1M|5Y</t>
  </si>
  <si>
    <t>LCH EUR 1M|6Y</t>
  </si>
  <si>
    <t>LCH EUR 1M|7Y</t>
  </si>
  <si>
    <t>LCH EUR 1M|8Y</t>
  </si>
  <si>
    <t>LCH EUR 1M|9Y</t>
  </si>
  <si>
    <t>LCH EUR 1M|10Y</t>
  </si>
  <si>
    <t>LCH EUR 1M|12Y</t>
  </si>
  <si>
    <t>LCH EUR 1M|15Y</t>
  </si>
  <si>
    <t>LCH EUR 1M|20Y</t>
  </si>
  <si>
    <t>LCH EUR 1M|25Y</t>
  </si>
  <si>
    <t>LCH EUR 1M|30Y</t>
  </si>
  <si>
    <t>LCH EUR 1M|40Y</t>
  </si>
  <si>
    <t>LCH EUR 1M|50Y</t>
  </si>
  <si>
    <t>LCH EUR 1Y|1Y</t>
  </si>
  <si>
    <t>LCH EUR 1Y</t>
  </si>
  <si>
    <t>LCH EUR 1Y|1M-13M</t>
  </si>
  <si>
    <t>1M-13M</t>
  </si>
  <si>
    <t>LCH EUR 1Y|2M-14M</t>
  </si>
  <si>
    <t>2M-14M</t>
  </si>
  <si>
    <t>LCH EUR 1Y|3M-15M</t>
  </si>
  <si>
    <t>3M-15M</t>
  </si>
  <si>
    <t>LCH EUR 1Y|4M-16M</t>
  </si>
  <si>
    <t>4M-16M</t>
  </si>
  <si>
    <t>LCH EUR 1Y|5M-17M</t>
  </si>
  <si>
    <t>5M-17M</t>
  </si>
  <si>
    <t>LCH EUR 1Y|6M-18M</t>
  </si>
  <si>
    <t>6M-18M</t>
  </si>
  <si>
    <t>LCH EUR 1Y|7M-19M</t>
  </si>
  <si>
    <t>7M-19M</t>
  </si>
  <si>
    <t>LCH EUR 1Y|8M-20M</t>
  </si>
  <si>
    <t>8M-20M</t>
  </si>
  <si>
    <t>LCH EUR 1Y|9M-21M</t>
  </si>
  <si>
    <t>9M-21M</t>
  </si>
  <si>
    <t>LCH EUR 1Y|10M-22M</t>
  </si>
  <si>
    <t>10M-22M</t>
  </si>
  <si>
    <t>LCH EUR 1Y|11M-23M</t>
  </si>
  <si>
    <t>11M-23M</t>
  </si>
  <si>
    <t>LCH EUR 1Y|2Y</t>
  </si>
  <si>
    <t>LCH EUR 1Y|3Y</t>
  </si>
  <si>
    <t>LCH EUR 1Y|4Y</t>
  </si>
  <si>
    <t>LCH EUR 1Y|5Y</t>
  </si>
  <si>
    <t>LCH EUR 1Y|6Y</t>
  </si>
  <si>
    <t>LCH EUR 1Y|7Y</t>
  </si>
  <si>
    <t>LCH EUR 1Y|8Y</t>
  </si>
  <si>
    <t>LCH EUR 1Y|9Y</t>
  </si>
  <si>
    <t>LCH EUR 1Y|10Y</t>
  </si>
  <si>
    <t>LCH EUR 1Y|12Y</t>
  </si>
  <si>
    <t>LCH EUR 1Y|15Y</t>
  </si>
  <si>
    <t>LCH EUR 1Y|20Y</t>
  </si>
  <si>
    <t>LCH EUR 1Y|25Y</t>
  </si>
  <si>
    <t>LCH EUR 1Y|30Y</t>
  </si>
  <si>
    <t>LCH EUR 1Y|40Y</t>
  </si>
  <si>
    <t>LCH EUR 1Y|50Y</t>
  </si>
  <si>
    <t>LCH EUR 3M|3M</t>
  </si>
  <si>
    <t>LCH EUR 3M</t>
  </si>
  <si>
    <t>LCH EUR 3M|4Y</t>
  </si>
  <si>
    <t>LCH EUR 3M|5Y</t>
  </si>
  <si>
    <t>LCH EUR 3M|6Y</t>
  </si>
  <si>
    <t>LCH EUR 3M|7Y</t>
  </si>
  <si>
    <t>LCH EUR 3M|8Y</t>
  </si>
  <si>
    <t>LCH EUR 3M|9Y</t>
  </si>
  <si>
    <t>LCH EUR 3M|10Y</t>
  </si>
  <si>
    <t>LCH EUR 3M|12Y</t>
  </si>
  <si>
    <t>LCH EUR 3M|15Y</t>
  </si>
  <si>
    <t>LCH EUR 3M|20Y</t>
  </si>
  <si>
    <t>LCH EUR 3M|25Y</t>
  </si>
  <si>
    <t>LCH EUR 3M|30Y</t>
  </si>
  <si>
    <t>LCH EUR 3M|40Y</t>
  </si>
  <si>
    <t>LCH EUR 3M|50Y</t>
  </si>
  <si>
    <t>LCH EUR 6M|6M</t>
  </si>
  <si>
    <t>LCH EUR 6M</t>
  </si>
  <si>
    <t>LCH EUR 6M|1M-7M</t>
  </si>
  <si>
    <t>LCH EUR 6M|2M-8M</t>
  </si>
  <si>
    <t>LCH EUR 6M|3M-9M</t>
  </si>
  <si>
    <t>LCH EUR 6M|4M-10M</t>
  </si>
  <si>
    <t>LCH EUR 6M|5M-11M</t>
  </si>
  <si>
    <t>LCH EUR 6M|6M-12M</t>
  </si>
  <si>
    <t>LCH EUR 6M|12M-18M</t>
  </si>
  <si>
    <t>LCH EUR 6M|2Y</t>
  </si>
  <si>
    <t>LCH EUR 6M|3Y</t>
  </si>
  <si>
    <t>LCH EUR 6M|4Y</t>
  </si>
  <si>
    <t>LCH EUR 6M|5Y</t>
  </si>
  <si>
    <t>LCH EUR 6M|6Y</t>
  </si>
  <si>
    <t>LCH EUR 6M|7Y</t>
  </si>
  <si>
    <t>LCH EUR 6M|8Y</t>
  </si>
  <si>
    <t>LCH EUR 6M|9Y</t>
  </si>
  <si>
    <t>LCH EUR 6M|10Y</t>
  </si>
  <si>
    <t>LCH EUR 6M|12Y</t>
  </si>
  <si>
    <t>LCH EUR 6M|15Y</t>
  </si>
  <si>
    <t>LCH EUR 6M|20Y</t>
  </si>
  <si>
    <t>LCH EUR 6M|25Y</t>
  </si>
  <si>
    <t>LCH EUR 6M|30Y</t>
  </si>
  <si>
    <t>LCH EUR 6M|40Y</t>
  </si>
  <si>
    <t>LCH EUR 6M|50Y</t>
  </si>
  <si>
    <t>LCH EUR OIS|O/N</t>
  </si>
  <si>
    <t>LCH EUR OIS</t>
  </si>
  <si>
    <t>LCH EUR OIS|T/N</t>
  </si>
  <si>
    <t>LCH EUR OIS|1W</t>
  </si>
  <si>
    <t>LCH EUR OIS|2W</t>
  </si>
  <si>
    <t>LCH EUR OIS|3W</t>
  </si>
  <si>
    <t>LCH EUR OIS|1M</t>
  </si>
  <si>
    <t>LCH EUR OIS|2M</t>
  </si>
  <si>
    <t>LCH EUR OIS|3M</t>
  </si>
  <si>
    <t>LCH EUR OIS|4M</t>
  </si>
  <si>
    <t>LCH EUR OIS|5M</t>
  </si>
  <si>
    <t>LCH EUR OIS|6M</t>
  </si>
  <si>
    <t>LCH EUR OIS|7M</t>
  </si>
  <si>
    <t>LCH EUR OIS|8M</t>
  </si>
  <si>
    <t>LCH EUR OIS|9M</t>
  </si>
  <si>
    <t>LCH EUR OIS|10M</t>
  </si>
  <si>
    <t>LCH EUR OIS|11M</t>
  </si>
  <si>
    <t>LCH EUR OIS|1Y</t>
  </si>
  <si>
    <t>LCH EUR OIS|15M</t>
  </si>
  <si>
    <t>LCH EUR OIS|18M</t>
  </si>
  <si>
    <t>LCH EUR OIS|21M</t>
  </si>
  <si>
    <t>LCH EUR OIS|2Y</t>
  </si>
  <si>
    <t>LCH EUR OIS|3Y</t>
  </si>
  <si>
    <t>LCH EUR OIS|4Y</t>
  </si>
  <si>
    <t>LCH EUR OIS|5Y</t>
  </si>
  <si>
    <t>LCH EUR OIS|6Y</t>
  </si>
  <si>
    <t>LCH EUR OIS|7Y</t>
  </si>
  <si>
    <t>LCH EUR OIS|8Y</t>
  </si>
  <si>
    <t>LCH EUR OIS|9Y</t>
  </si>
  <si>
    <t>LCH EUR OIS|10Y</t>
  </si>
  <si>
    <t>LCH EUR OIS|12Y</t>
  </si>
  <si>
    <t>LCH EUR OIS|15Y</t>
  </si>
  <si>
    <t>LCH EUR OIS|20Y</t>
  </si>
  <si>
    <t>LCH EUR OIS|25Y</t>
  </si>
  <si>
    <t>LCH EUR OIS|30Y</t>
  </si>
  <si>
    <t>LCH EUR OIS|40Y</t>
  </si>
  <si>
    <t>LCH EUR OIS|50Y</t>
  </si>
  <si>
    <t>LCH EUR STD|O/N</t>
  </si>
  <si>
    <t>LCH EUR STD</t>
  </si>
  <si>
    <t>LCH EUR STD|T/N</t>
  </si>
  <si>
    <t>LCH EUR STD|1W</t>
  </si>
  <si>
    <t>LCH EUR STD|1M</t>
  </si>
  <si>
    <t>LCH EUR STD|4Y</t>
  </si>
  <si>
    <t>LCH EUR STD|5Y</t>
  </si>
  <si>
    <t>LCH EUR STD|6Y</t>
  </si>
  <si>
    <t>LCH EUR STD|7Y</t>
  </si>
  <si>
    <t>LCH EUR STD|8Y</t>
  </si>
  <si>
    <t>LCH EUR STD|9Y</t>
  </si>
  <si>
    <t>LCH EUR STD|10Y</t>
  </si>
  <si>
    <t>LCH EUR STD|12Y</t>
  </si>
  <si>
    <t>LCH EUR STD|15Y</t>
  </si>
  <si>
    <t>LCH EUR STD|20Y</t>
  </si>
  <si>
    <t>LCH EUR STD|25Y</t>
  </si>
  <si>
    <t>LCH EUR STD|30Y</t>
  </si>
  <si>
    <t>LCH EUR STD|40Y</t>
  </si>
  <si>
    <t>LCH EUR STD|50Y</t>
  </si>
  <si>
    <t>LCH USD 1M|1M</t>
  </si>
  <si>
    <t>LCH USD 1M</t>
  </si>
  <si>
    <t>LCH USD 1M|2Y</t>
  </si>
  <si>
    <t>LCH USD 1M|3Y</t>
  </si>
  <si>
    <t>LCH USD 1M|4Y</t>
  </si>
  <si>
    <t>LCH USD 1M|5Y</t>
  </si>
  <si>
    <t>LCH USD 1M|6Y</t>
  </si>
  <si>
    <t>LCH USD 1M|7Y</t>
  </si>
  <si>
    <t>LCH USD 1M|8Y</t>
  </si>
  <si>
    <t>LCH USD 1M|9Y</t>
  </si>
  <si>
    <t>LCH USD 1M|10Y</t>
  </si>
  <si>
    <t>LCH USD 1M|12Y</t>
  </si>
  <si>
    <t>LCH USD 1M|15Y</t>
  </si>
  <si>
    <t>LCH USD 1M|20Y</t>
  </si>
  <si>
    <t>LCH USD 1M|25Y</t>
  </si>
  <si>
    <t>LCH USD 1M|30Y</t>
  </si>
  <si>
    <t>LCH USD 1M|40Y</t>
  </si>
  <si>
    <t>LCH USD 1M|50Y</t>
  </si>
  <si>
    <t>LCH USD 1Y|12M</t>
  </si>
  <si>
    <t>LCH USD 1Y</t>
  </si>
  <si>
    <t>LCH USD 1Y|1M-13M</t>
  </si>
  <si>
    <t>LCH USD 1Y|2M-14M</t>
  </si>
  <si>
    <t>LCH USD 1Y|3M-15M</t>
  </si>
  <si>
    <t>LCH USD 1Y|4M-16M</t>
  </si>
  <si>
    <t>LCH USD 1Y|5M-17M</t>
  </si>
  <si>
    <t>LCH USD 1Y|6M-18M</t>
  </si>
  <si>
    <t>LCH USD 1Y|7M-19M</t>
  </si>
  <si>
    <t>LCH USD 1Y|8M-20M</t>
  </si>
  <si>
    <t>LCH USD 1Y|9M-21M</t>
  </si>
  <si>
    <t>LCH USD 1Y|10M-22M</t>
  </si>
  <si>
    <t>LCH USD 1Y|11M-23M</t>
  </si>
  <si>
    <t>LCH USD 1Y|2Y</t>
  </si>
  <si>
    <t>LCH USD 1Y|3Y</t>
  </si>
  <si>
    <t>LCH USD 1Y|4Y</t>
  </si>
  <si>
    <t>LCH USD 1Y|5Y</t>
  </si>
  <si>
    <t>LCH USD 1Y|6Y</t>
  </si>
  <si>
    <t>LCH USD 1Y|7Y</t>
  </si>
  <si>
    <t>LCH USD 1Y|8Y</t>
  </si>
  <si>
    <t>LCH USD 1Y|9Y</t>
  </si>
  <si>
    <t>LCH USD 1Y|10Y</t>
  </si>
  <si>
    <t>LCH USD 1Y|12Y</t>
  </si>
  <si>
    <t>LCH USD 1Y|15Y</t>
  </si>
  <si>
    <t>LCH USD 1Y|20Y</t>
  </si>
  <si>
    <t>LCH USD 1Y|25Y</t>
  </si>
  <si>
    <t>LCH USD 1Y|30Y</t>
  </si>
  <si>
    <t>LCH USD 1Y|40Y</t>
  </si>
  <si>
    <t>LCH USD 1Y|50Y</t>
  </si>
  <si>
    <t>LCH USD 3M|3M</t>
  </si>
  <si>
    <t>LCH USD 3M</t>
  </si>
  <si>
    <t>LCH USD 3M|4Y</t>
  </si>
  <si>
    <t>LCH USD 3M|5Y</t>
  </si>
  <si>
    <t>LCH USD 3M|6Y</t>
  </si>
  <si>
    <t>LCH USD 3M|7Y</t>
  </si>
  <si>
    <t>LCH USD 3M|8Y</t>
  </si>
  <si>
    <t>LCH USD 3M|9Y</t>
  </si>
  <si>
    <t>LCH USD 3M|10Y</t>
  </si>
  <si>
    <t>LCH USD 3M|12Y</t>
  </si>
  <si>
    <t>LCH USD 3M|15Y</t>
  </si>
  <si>
    <t>LCH USD 3M|20Y</t>
  </si>
  <si>
    <t>LCH USD 3M|25Y</t>
  </si>
  <si>
    <t>LCH USD 3M|30Y</t>
  </si>
  <si>
    <t>LCH USD 3M|40Y</t>
  </si>
  <si>
    <t>LCH USD 3M|50Y</t>
  </si>
  <si>
    <t>LCH USD 6M|6M</t>
  </si>
  <si>
    <t>LCH USD 6M</t>
  </si>
  <si>
    <t>LCH USD 6M|1M-7M</t>
  </si>
  <si>
    <t>LCH USD 6M|2M-8M</t>
  </si>
  <si>
    <t>LCH USD 6M|3M-9M</t>
  </si>
  <si>
    <t>LCH USD 6M|4M-10M</t>
  </si>
  <si>
    <t>LCH USD 6M|5M-11M</t>
  </si>
  <si>
    <t>LCH USD 6M|6M-12M</t>
  </si>
  <si>
    <t>LCH USD 6M|12M-18M</t>
  </si>
  <si>
    <t>LCH USD 6M|2Y</t>
  </si>
  <si>
    <t>LCH USD 6M|3Y</t>
  </si>
  <si>
    <t>LCH USD 6M|4Y</t>
  </si>
  <si>
    <t>LCH USD 6M|5Y</t>
  </si>
  <si>
    <t>LCH USD 6M|6Y</t>
  </si>
  <si>
    <t>LCH USD 6M|7Y</t>
  </si>
  <si>
    <t>LCH USD 6M|8Y</t>
  </si>
  <si>
    <t>LCH USD 6M|9Y</t>
  </si>
  <si>
    <t>LCH USD 6M|10Y</t>
  </si>
  <si>
    <t>LCH USD 6M|12Y</t>
  </si>
  <si>
    <t>LCH USD 6M|15Y</t>
  </si>
  <si>
    <t>LCH USD 6M|20Y</t>
  </si>
  <si>
    <t>LCH USD 6M|25Y</t>
  </si>
  <si>
    <t>LCH USD 6M|30Y</t>
  </si>
  <si>
    <t>LCH USD 6M|40Y</t>
  </si>
  <si>
    <t>LCH USD 6M|50Y</t>
  </si>
  <si>
    <t>LCH USD OIS|O/N</t>
  </si>
  <si>
    <t>LCH USD OIS</t>
  </si>
  <si>
    <t>LCH USD OIS|T/N</t>
  </si>
  <si>
    <t>LCH USD OIS|1W</t>
  </si>
  <si>
    <t>LCH USD OIS|2W</t>
  </si>
  <si>
    <t>LCH USD OIS|3W</t>
  </si>
  <si>
    <t>LCH USD OIS|1M</t>
  </si>
  <si>
    <t>LCH USD OIS|2M</t>
  </si>
  <si>
    <t>LCH USD OIS|3M</t>
  </si>
  <si>
    <t>LCH USD OIS|4M</t>
  </si>
  <si>
    <t>LCH USD OIS|5M</t>
  </si>
  <si>
    <t>LCH USD OIS|6M</t>
  </si>
  <si>
    <t>LCH USD OIS|7M</t>
  </si>
  <si>
    <t>LCH USD OIS|8M</t>
  </si>
  <si>
    <t>LCH USD OIS|9M</t>
  </si>
  <si>
    <t>LCH USD OIS|10M</t>
  </si>
  <si>
    <t>LCH USD OIS|11M</t>
  </si>
  <si>
    <t>LCH USD OIS|1Y</t>
  </si>
  <si>
    <t>LCH USD OIS|18M</t>
  </si>
  <si>
    <t>LCH USD OIS|2Y</t>
  </si>
  <si>
    <t>LCH USD OIS|3Y</t>
  </si>
  <si>
    <t>LCH USD OIS|4Y</t>
  </si>
  <si>
    <t>LCH USD OIS|5Y</t>
  </si>
  <si>
    <t>LCH USD OIS|6Y</t>
  </si>
  <si>
    <t>LCH USD OIS|7Y</t>
  </si>
  <si>
    <t>LCH USD OIS|8Y</t>
  </si>
  <si>
    <t>LCH USD OIS|9Y</t>
  </si>
  <si>
    <t>LCH USD OIS|10Y</t>
  </si>
  <si>
    <t>LCH USD OIS|12Y</t>
  </si>
  <si>
    <t>LCH USD OIS|15Y</t>
  </si>
  <si>
    <t>LCH USD OIS|20Y</t>
  </si>
  <si>
    <t>LCH USD OIS|25Y</t>
  </si>
  <si>
    <t>LCH USD OIS|30Y</t>
  </si>
  <si>
    <t>LCH USD OIS|40Y</t>
  </si>
  <si>
    <t>LCH USD OIS|50Y</t>
  </si>
  <si>
    <t>LCH USD STD|O/N</t>
  </si>
  <si>
    <t>LCH USD STD</t>
  </si>
  <si>
    <t>LCH USD STD|T/N</t>
  </si>
  <si>
    <t>LCH USD STD|1W</t>
  </si>
  <si>
    <t>LCH USD STD|1M</t>
  </si>
  <si>
    <t>LCH USD STD|4Y</t>
  </si>
  <si>
    <t>LCH USD STD|5Y</t>
  </si>
  <si>
    <t>LCH USD STD|6Y</t>
  </si>
  <si>
    <t>LCH USD STD|7Y</t>
  </si>
  <si>
    <t>LCH USD STD|8Y</t>
  </si>
  <si>
    <t>LCH USD STD|9Y</t>
  </si>
  <si>
    <t>LCH USD STD|10Y</t>
  </si>
  <si>
    <t>LCH USD STD|12Y</t>
  </si>
  <si>
    <t>LCH USD STD|15Y</t>
  </si>
  <si>
    <t>LCH USD STD|20Y</t>
  </si>
  <si>
    <t>LCH USD STD|25Y</t>
  </si>
  <si>
    <t>LCH USD STD|30Y</t>
  </si>
  <si>
    <t>LCH USD STD|40Y</t>
  </si>
  <si>
    <t>LCH USD STD|50Y</t>
  </si>
  <si>
    <t>USD 12M|O/N</t>
  </si>
  <si>
    <t>USD 12M|T/N</t>
  </si>
  <si>
    <t>USD 12M|S/N</t>
  </si>
  <si>
    <t>USD 12M|1W</t>
  </si>
  <si>
    <t>USD 12M|2W</t>
  </si>
  <si>
    <t>USD 12M|3W</t>
  </si>
  <si>
    <t>USD 12M|1M</t>
  </si>
  <si>
    <t>USD 12M|2M</t>
  </si>
  <si>
    <t>USD 12M|3M</t>
  </si>
  <si>
    <t>USD 12M|4M</t>
  </si>
  <si>
    <t>USD 12M|5M</t>
  </si>
  <si>
    <t>USD 12M|6M</t>
  </si>
  <si>
    <t>USD 12M|7M</t>
  </si>
  <si>
    <t>USD 12M|8M</t>
  </si>
  <si>
    <t>USD 12M|9M</t>
  </si>
  <si>
    <t>USD 12M|1Y</t>
  </si>
  <si>
    <t>USD 12M|2Y</t>
  </si>
  <si>
    <t>USD 12M|3Y</t>
  </si>
  <si>
    <t>USD 12M|4Y</t>
  </si>
  <si>
    <t>USD 12M|5Y</t>
  </si>
  <si>
    <t>USD 12M|6Y</t>
  </si>
  <si>
    <t>USD 12M|7Y</t>
  </si>
  <si>
    <t>USD 12M|8Y</t>
  </si>
  <si>
    <t>USD 12M|9Y</t>
  </si>
  <si>
    <t>USD 12M|10Y</t>
  </si>
  <si>
    <t>USD 12M|11Y</t>
  </si>
  <si>
    <t>USD 12M|12Y</t>
  </si>
  <si>
    <t>USD 12M|13Y</t>
  </si>
  <si>
    <t>USD 12M|14Y</t>
  </si>
  <si>
    <t>USD 12M|15Y</t>
  </si>
  <si>
    <t>USD 12M|16Y</t>
  </si>
  <si>
    <t>USD 12M|17Y</t>
  </si>
  <si>
    <t>USD 12M|18Y</t>
  </si>
  <si>
    <t>USD 12M|19Y</t>
  </si>
  <si>
    <t>USD 12M|20Y</t>
  </si>
  <si>
    <t>USD 12M|21Y</t>
  </si>
  <si>
    <t>USD 12M|22Y</t>
  </si>
  <si>
    <t>USD 12M|23Y</t>
  </si>
  <si>
    <t>USD 12M|24Y</t>
  </si>
  <si>
    <t>USD 12M|25Y</t>
  </si>
  <si>
    <t>USD 12M|26Y</t>
  </si>
  <si>
    <t>USD 12M|27Y</t>
  </si>
  <si>
    <t>USD 12M|28Y</t>
  </si>
  <si>
    <t>USD 12M|29Y</t>
  </si>
  <si>
    <t>USD 12M|30Y</t>
  </si>
  <si>
    <t>USD 12M|40Y</t>
  </si>
  <si>
    <t>USD 12M|50Y</t>
  </si>
  <si>
    <t>USD 12M|60Y</t>
  </si>
  <si>
    <t>USD 1M|O/N</t>
  </si>
  <si>
    <t>USD 1M|T/N</t>
  </si>
  <si>
    <t>USD 1M|S/N</t>
  </si>
  <si>
    <t>USD 1M|1W</t>
  </si>
  <si>
    <t>USD 1M|2W</t>
  </si>
  <si>
    <t>USD 1M|3W</t>
  </si>
  <si>
    <t>USD 1M|1M</t>
  </si>
  <si>
    <t>USD 1M|2M</t>
  </si>
  <si>
    <t>USD 1M|3M</t>
  </si>
  <si>
    <t>USD 1M|4M</t>
  </si>
  <si>
    <t>USD 1M|5M</t>
  </si>
  <si>
    <t>USD 1M|6M</t>
  </si>
  <si>
    <t>USD 1M|7M</t>
  </si>
  <si>
    <t>USD 1M|8M</t>
  </si>
  <si>
    <t>USD 1M|9M</t>
  </si>
  <si>
    <t>USD 1M|1Y</t>
  </si>
  <si>
    <t>USD 1M|2Y</t>
  </si>
  <si>
    <t>USD 1M|3Y</t>
  </si>
  <si>
    <t>USD 1M|4Y</t>
  </si>
  <si>
    <t>USD 1M|5Y</t>
  </si>
  <si>
    <t>USD 1M|6Y</t>
  </si>
  <si>
    <t>USD 1M|7Y</t>
  </si>
  <si>
    <t>USD 1M|8Y</t>
  </si>
  <si>
    <t>USD 1M|9Y</t>
  </si>
  <si>
    <t>USD 1M|10Y</t>
  </si>
  <si>
    <t>USD 1M|11Y</t>
  </si>
  <si>
    <t>USD 1M|12Y</t>
  </si>
  <si>
    <t>USD 1M|13Y</t>
  </si>
  <si>
    <t>USD 1M|14Y</t>
  </si>
  <si>
    <t>USD 1M|15Y</t>
  </si>
  <si>
    <t>USD 1M|16Y</t>
  </si>
  <si>
    <t>USD 1M|17Y</t>
  </si>
  <si>
    <t>USD 1M|18Y</t>
  </si>
  <si>
    <t>USD 1M|19Y</t>
  </si>
  <si>
    <t>USD 1M|20Y</t>
  </si>
  <si>
    <t>USD 1M|21Y</t>
  </si>
  <si>
    <t>USD 1M|22Y</t>
  </si>
  <si>
    <t>USD 1M|23Y</t>
  </si>
  <si>
    <t>USD 1M|24Y</t>
  </si>
  <si>
    <t>USD 1M|25Y</t>
  </si>
  <si>
    <t>USD 1M|26Y</t>
  </si>
  <si>
    <t>USD 1M|27Y</t>
  </si>
  <si>
    <t>USD 1M|28Y</t>
  </si>
  <si>
    <t>USD 1M|29Y</t>
  </si>
  <si>
    <t>USD 1M|30Y</t>
  </si>
  <si>
    <t>USD 1M|40Y</t>
  </si>
  <si>
    <t>USD 1M|50Y</t>
  </si>
  <si>
    <t>USD 1M|60Y</t>
  </si>
  <si>
    <t>USD 3M|O/N</t>
  </si>
  <si>
    <t>USD 3M|T/N</t>
  </si>
  <si>
    <t>USD 3M|S/N</t>
  </si>
  <si>
    <t>USD 3M|1W</t>
  </si>
  <si>
    <t>USD 3M|2W</t>
  </si>
  <si>
    <t>USD 3M|3W</t>
  </si>
  <si>
    <t>USD 3M|1M</t>
  </si>
  <si>
    <t>USD 3M|2M</t>
  </si>
  <si>
    <t>USD 3M|3M</t>
  </si>
  <si>
    <t>USD 3M|4M</t>
  </si>
  <si>
    <t>USD 3M|5M</t>
  </si>
  <si>
    <t>USD 3M|6M</t>
  </si>
  <si>
    <t>USD 3M|7M</t>
  </si>
  <si>
    <t>USD 3M|8M</t>
  </si>
  <si>
    <t>USD 3M|9M</t>
  </si>
  <si>
    <t>USD 3M|1Y</t>
  </si>
  <si>
    <t>USD 3M|2Y</t>
  </si>
  <si>
    <t>USD 3M|3Y</t>
  </si>
  <si>
    <t>USD 3M|4Y</t>
  </si>
  <si>
    <t>USD 3M|5Y</t>
  </si>
  <si>
    <t>USD 3M|6Y</t>
  </si>
  <si>
    <t>USD 3M|7Y</t>
  </si>
  <si>
    <t>USD 3M|8Y</t>
  </si>
  <si>
    <t>USD 3M|9Y</t>
  </si>
  <si>
    <t>USD 3M|10Y</t>
  </si>
  <si>
    <t>USD 3M|11Y</t>
  </si>
  <si>
    <t>USD 3M|12Y</t>
  </si>
  <si>
    <t>USD 3M|13Y</t>
  </si>
  <si>
    <t>USD 3M|14Y</t>
  </si>
  <si>
    <t>USD 3M|15Y</t>
  </si>
  <si>
    <t>USD 3M|16Y</t>
  </si>
  <si>
    <t>USD 3M|17Y</t>
  </si>
  <si>
    <t>USD 3M|18Y</t>
  </si>
  <si>
    <t>USD 3M|19Y</t>
  </si>
  <si>
    <t>USD 3M|20Y</t>
  </si>
  <si>
    <t>USD 3M|21Y</t>
  </si>
  <si>
    <t>USD 3M|22Y</t>
  </si>
  <si>
    <t>USD 3M|23Y</t>
  </si>
  <si>
    <t>USD 3M|24Y</t>
  </si>
  <si>
    <t>USD 3M|25Y</t>
  </si>
  <si>
    <t>USD 3M|26Y</t>
  </si>
  <si>
    <t>USD 3M|27Y</t>
  </si>
  <si>
    <t>USD 3M|28Y</t>
  </si>
  <si>
    <t>USD 3M|29Y</t>
  </si>
  <si>
    <t>USD 3M|30Y</t>
  </si>
  <si>
    <t>USD 3M|40Y</t>
  </si>
  <si>
    <t>USD 3M|50Y</t>
  </si>
  <si>
    <t>USD 3M|60Y</t>
  </si>
  <si>
    <t>USD 6M|O/N</t>
  </si>
  <si>
    <t>USD 6M|T/N</t>
  </si>
  <si>
    <t>USD 6M|S/N</t>
  </si>
  <si>
    <t>USD 6M|1W</t>
  </si>
  <si>
    <t>USD 6M|2W</t>
  </si>
  <si>
    <t>USD 6M|3W</t>
  </si>
  <si>
    <t>USD 6M|1M</t>
  </si>
  <si>
    <t>USD 6M|2M</t>
  </si>
  <si>
    <t>USD 6M|3M</t>
  </si>
  <si>
    <t>USD 6M|4M</t>
  </si>
  <si>
    <t>USD 6M|5M</t>
  </si>
  <si>
    <t>USD 6M|6M</t>
  </si>
  <si>
    <t>USD 6M|7M</t>
  </si>
  <si>
    <t>USD 6M|8M</t>
  </si>
  <si>
    <t>USD 6M|9M</t>
  </si>
  <si>
    <t>USD 6M|1Y</t>
  </si>
  <si>
    <t>USD 6M|2Y</t>
  </si>
  <si>
    <t>USD 6M|3Y</t>
  </si>
  <si>
    <t>USD 6M|4Y</t>
  </si>
  <si>
    <t>USD 6M|5Y</t>
  </si>
  <si>
    <t>USD 6M|6Y</t>
  </si>
  <si>
    <t>USD 6M|7Y</t>
  </si>
  <si>
    <t>USD 6M|8Y</t>
  </si>
  <si>
    <t>USD 6M|9Y</t>
  </si>
  <si>
    <t>USD 6M|10Y</t>
  </si>
  <si>
    <t>USD 6M|11Y</t>
  </si>
  <si>
    <t>USD 6M|12Y</t>
  </si>
  <si>
    <t>USD 6M|13Y</t>
  </si>
  <si>
    <t>USD 6M|14Y</t>
  </si>
  <si>
    <t>USD 6M|15Y</t>
  </si>
  <si>
    <t>USD 6M|16Y</t>
  </si>
  <si>
    <t>USD 6M|17Y</t>
  </si>
  <si>
    <t>USD 6M|18Y</t>
  </si>
  <si>
    <t>USD 6M|19Y</t>
  </si>
  <si>
    <t>USD 6M|20Y</t>
  </si>
  <si>
    <t>USD 6M|21Y</t>
  </si>
  <si>
    <t>USD 6M|22Y</t>
  </si>
  <si>
    <t>USD 6M|23Y</t>
  </si>
  <si>
    <t>USD 6M|24Y</t>
  </si>
  <si>
    <t>USD 6M|25Y</t>
  </si>
  <si>
    <t>USD 6M|26Y</t>
  </si>
  <si>
    <t>USD 6M|27Y</t>
  </si>
  <si>
    <t>USD 6M|28Y</t>
  </si>
  <si>
    <t>USD 6M|29Y</t>
  </si>
  <si>
    <t>USD 6M|30Y</t>
  </si>
  <si>
    <t>USD 6M|40Y</t>
  </si>
  <si>
    <t>USD 6M|50Y</t>
  </si>
  <si>
    <t>USD 6M|60Y</t>
  </si>
  <si>
    <t>USD :STD|O/N</t>
  </si>
  <si>
    <t>USD :STD|T/N</t>
  </si>
  <si>
    <t>USD :STD|S/N</t>
  </si>
  <si>
    <t>USD :STD|1W</t>
  </si>
  <si>
    <t>USD :STD|2W</t>
  </si>
  <si>
    <t>USD :STD|3W</t>
  </si>
  <si>
    <t>USD :STD|1M</t>
  </si>
  <si>
    <t>USD :STD|2M</t>
  </si>
  <si>
    <t>USD :STD|3M</t>
  </si>
  <si>
    <t>USD :STD|4M</t>
  </si>
  <si>
    <t>USD :STD|5M</t>
  </si>
  <si>
    <t>USD :STD|6M</t>
  </si>
  <si>
    <t>USD :STD|7M</t>
  </si>
  <si>
    <t>USD :STD|8M</t>
  </si>
  <si>
    <t>USD :STD|9M</t>
  </si>
  <si>
    <t>USD :STD|1Y</t>
  </si>
  <si>
    <t>USD :STD|2Y</t>
  </si>
  <si>
    <t>USD :STD|3Y</t>
  </si>
  <si>
    <t>USD :STD|4Y</t>
  </si>
  <si>
    <t>USD :STD|5Y</t>
  </si>
  <si>
    <t>USD :STD|6Y</t>
  </si>
  <si>
    <t>USD :STD|7Y</t>
  </si>
  <si>
    <t>USD :STD|8Y</t>
  </si>
  <si>
    <t>USD :STD|9Y</t>
  </si>
  <si>
    <t>USD :STD|10Y</t>
  </si>
  <si>
    <t>USD :STD|11Y</t>
  </si>
  <si>
    <t>USD :STD|12Y</t>
  </si>
  <si>
    <t>USD :STD|13Y</t>
  </si>
  <si>
    <t>USD :STD|14Y</t>
  </si>
  <si>
    <t>USD :STD|15Y</t>
  </si>
  <si>
    <t>USD :STD|16Y</t>
  </si>
  <si>
    <t>USD :STD|17Y</t>
  </si>
  <si>
    <t>USD :STD|18Y</t>
  </si>
  <si>
    <t>USD :STD|19Y</t>
  </si>
  <si>
    <t>USD :STD|20Y</t>
  </si>
  <si>
    <t>USD :STD|21Y</t>
  </si>
  <si>
    <t>USD :STD|22Y</t>
  </si>
  <si>
    <t>USD :STD|23Y</t>
  </si>
  <si>
    <t>USD :STD|24Y</t>
  </si>
  <si>
    <t>USD :STD|25Y</t>
  </si>
  <si>
    <t>USD :STD|26Y</t>
  </si>
  <si>
    <t>USD :STD|27Y</t>
  </si>
  <si>
    <t>USD :STD|28Y</t>
  </si>
  <si>
    <t>USD :STD|29Y</t>
  </si>
  <si>
    <t>USD :STD|30Y</t>
  </si>
  <si>
    <t>USD :STD|40Y</t>
  </si>
  <si>
    <t>USD :STD|50Y</t>
  </si>
  <si>
    <t>USD :STD|60Y</t>
  </si>
  <si>
    <t>USD BASIS 3M|1W</t>
  </si>
  <si>
    <t>USD BASIS 3M</t>
  </si>
  <si>
    <t>USD BASIS 3M|2W</t>
  </si>
  <si>
    <t>USD BASIS 3M|3W</t>
  </si>
  <si>
    <t>USD BASIS 3M|1M</t>
  </si>
  <si>
    <t>USD BASIS 3M|2M</t>
  </si>
  <si>
    <t>USD BASIS 3M|3M</t>
  </si>
  <si>
    <t>USD BASIS 3M|4M</t>
  </si>
  <si>
    <t>USD BASIS 3M|5M</t>
  </si>
  <si>
    <t>USD BASIS 3M|6M</t>
  </si>
  <si>
    <t>USD BASIS 3M|7M</t>
  </si>
  <si>
    <t>USD BASIS 3M|8M</t>
  </si>
  <si>
    <t>USD BASIS 3M|9M</t>
  </si>
  <si>
    <t>USD BASIS 3M|1Y</t>
  </si>
  <si>
    <t>USD BASIS 3M|18M</t>
  </si>
  <si>
    <t>USD BASIS 3M|2Y</t>
  </si>
  <si>
    <t>USD BASIS 3M|3Y</t>
  </si>
  <si>
    <t>USD BASIS 3M|4Y</t>
  </si>
  <si>
    <t>USD BASIS 3M|5Y</t>
  </si>
  <si>
    <t>USD BASIS 3M|7Y</t>
  </si>
  <si>
    <t>USD BASIS 3M|10Y</t>
  </si>
  <si>
    <t>USD BASIS 3M|15Y</t>
  </si>
  <si>
    <t>USD BASIS 3M|20Y</t>
  </si>
  <si>
    <t>USD BASIS 3M|30Y</t>
  </si>
  <si>
    <t>USD BASIS3M_STD|1W</t>
  </si>
  <si>
    <t>USD BASIS3M_STD</t>
  </si>
  <si>
    <t>USD BASIS3M_STD|2W</t>
  </si>
  <si>
    <t>USD BASIS3M_STD|3W</t>
  </si>
  <si>
    <t>USD BASIS3M_STD|1M</t>
  </si>
  <si>
    <t>USD BASIS3M_STD|2M</t>
  </si>
  <si>
    <t>USD BASIS3M_STD|3M</t>
  </si>
  <si>
    <t>USD BASIS3M_STD|4M</t>
  </si>
  <si>
    <t>USD BASIS3M_STD|5M</t>
  </si>
  <si>
    <t>USD BASIS3M_STD|6M</t>
  </si>
  <si>
    <t>USD BASIS3M_STD|7M</t>
  </si>
  <si>
    <t>USD BASIS3M_STD|8M</t>
  </si>
  <si>
    <t>USD BASIS3M_STD|9M</t>
  </si>
  <si>
    <t>USD BASIS3M_STD|1Y</t>
  </si>
  <si>
    <t>USD BASIS3M_STD|18M</t>
  </si>
  <si>
    <t>USD BASIS3M_STD|2Y</t>
  </si>
  <si>
    <t>USD BASIS3M_STD|3Y</t>
  </si>
  <si>
    <t>USD BASIS3M_STD|4Y</t>
  </si>
  <si>
    <t>USD BASIS3M_STD|5Y</t>
  </si>
  <si>
    <t>USD BASIS3M_STD|7Y</t>
  </si>
  <si>
    <t>USD BASIS3M_STD|10Y</t>
  </si>
  <si>
    <t>USD BASIS3M_STD|15Y</t>
  </si>
  <si>
    <t>USD BASIS3M_STD|20Y</t>
  </si>
  <si>
    <t>USD BASIS3M_STD|30Y</t>
  </si>
  <si>
    <t>USD BMA|8D</t>
  </si>
  <si>
    <t>USD BMA</t>
  </si>
  <si>
    <t>8D</t>
  </si>
  <si>
    <t>USD BMA|1Y</t>
  </si>
  <si>
    <t>USD BMA|2Y</t>
  </si>
  <si>
    <t>USD BMA|3Y</t>
  </si>
  <si>
    <t>USD BMA|4Y</t>
  </si>
  <si>
    <t>USD BMA|5Y</t>
  </si>
  <si>
    <t>USD BMA|7Y</t>
  </si>
  <si>
    <t>USD BMA|10Y</t>
  </si>
  <si>
    <t>USD BMA|12Y</t>
  </si>
  <si>
    <t>USD BMA|15Y</t>
  </si>
  <si>
    <t>USD BMA|20Y</t>
  </si>
  <si>
    <t>USD BMA|30Y</t>
  </si>
  <si>
    <t>USD EXPORT|O/N</t>
  </si>
  <si>
    <t>USD EXPORT</t>
  </si>
  <si>
    <t>USD EXPORT|T/N</t>
  </si>
  <si>
    <t>USD EXPORT|S/N</t>
  </si>
  <si>
    <t>USD EXPORT|1W</t>
  </si>
  <si>
    <t>USD EXPORT|2W</t>
  </si>
  <si>
    <t>USD EXPORT|3W</t>
  </si>
  <si>
    <t>USD EXPORT|1M</t>
  </si>
  <si>
    <t>USD EXPORT|2M</t>
  </si>
  <si>
    <t>USD EXPORT|3M</t>
  </si>
  <si>
    <t>USD EXPORT|4M</t>
  </si>
  <si>
    <t>USD EXPORT|5M</t>
  </si>
  <si>
    <t>USD EXPORT|6M</t>
  </si>
  <si>
    <t>USD EXPORT|7M</t>
  </si>
  <si>
    <t>USD EXPORT|8M</t>
  </si>
  <si>
    <t>USD EXPORT|9M</t>
  </si>
  <si>
    <t>USD EXPORT|1Y</t>
  </si>
  <si>
    <t>USD EXPORT|2Y</t>
  </si>
  <si>
    <t>USD EXPORT|3Y</t>
  </si>
  <si>
    <t>USD EXPORT|4Y</t>
  </si>
  <si>
    <t>USD EXPORT|5Y</t>
  </si>
  <si>
    <t>USD EXPORT|6Y</t>
  </si>
  <si>
    <t>USD EXPORT|7Y</t>
  </si>
  <si>
    <t>USD EXPORT|8Y</t>
  </si>
  <si>
    <t>USD EXPORT|9Y</t>
  </si>
  <si>
    <t>USD EXPORT|10Y</t>
  </si>
  <si>
    <t>USD EXPORT|11Y</t>
  </si>
  <si>
    <t>USD EXPORT|12Y</t>
  </si>
  <si>
    <t>USD EXPORT|13Y</t>
  </si>
  <si>
    <t>USD EXPORT|14Y</t>
  </si>
  <si>
    <t>USD EXPORT|15Y</t>
  </si>
  <si>
    <t>USD EXPORT|16Y</t>
  </si>
  <si>
    <t>USD EXPORT|17Y</t>
  </si>
  <si>
    <t>USD EXPORT|18Y</t>
  </si>
  <si>
    <t>USD EXPORT|19Y</t>
  </si>
  <si>
    <t>USD EXPORT|20Y</t>
  </si>
  <si>
    <t>USD EXPORT|21Y</t>
  </si>
  <si>
    <t>USD EXPORT|22Y</t>
  </si>
  <si>
    <t>USD EXPORT|23Y</t>
  </si>
  <si>
    <t>USD EXPORT|24Y</t>
  </si>
  <si>
    <t>USD EXPORT|25Y</t>
  </si>
  <si>
    <t>USD EXPORT|26Y</t>
  </si>
  <si>
    <t>USD EXPORT|27Y</t>
  </si>
  <si>
    <t>USD EXPORT|28Y</t>
  </si>
  <si>
    <t>USD EXPORT|29Y</t>
  </si>
  <si>
    <t>USD EXPORT|30Y</t>
  </si>
  <si>
    <t>USD EXPORT|40Y</t>
  </si>
  <si>
    <t>USD EXPORT|50Y</t>
  </si>
  <si>
    <t>USD EXPORT|60Y</t>
  </si>
  <si>
    <t>USD EXPORT-OIS|O/N</t>
  </si>
  <si>
    <t>USD EXPORT-OIS</t>
  </si>
  <si>
    <t>USD EXPORT-OIS|T/N</t>
  </si>
  <si>
    <t>USD EXPORT-OIS|S/N</t>
  </si>
  <si>
    <t>USD EXPORT-OIS|1W</t>
  </si>
  <si>
    <t>USD EXPORT-OIS|2W</t>
  </si>
  <si>
    <t>USD EXPORT-OIS|3W</t>
  </si>
  <si>
    <t>USD EXPORT-OIS|1M</t>
  </si>
  <si>
    <t>USD EXPORT-OIS|2M</t>
  </si>
  <si>
    <t>USD EXPORT-OIS|3M</t>
  </si>
  <si>
    <t>USD EXPORT-OIS|4M</t>
  </si>
  <si>
    <t>USD EXPORT-OIS|5M</t>
  </si>
  <si>
    <t>USD EXPORT-OIS|6M</t>
  </si>
  <si>
    <t>USD EXPORT-OIS|7M</t>
  </si>
  <si>
    <t>USD EXPORT-OIS|8M</t>
  </si>
  <si>
    <t>USD EXPORT-OIS|9M</t>
  </si>
  <si>
    <t>USD EXPORT-OIS|10M</t>
  </si>
  <si>
    <t>USD EXPORT-OIS|11M</t>
  </si>
  <si>
    <t>USD EXPORT-OIS|1Y</t>
  </si>
  <si>
    <t>USD EXPORT-OIS|15M</t>
  </si>
  <si>
    <t>USD EXPORT-OIS|18M</t>
  </si>
  <si>
    <t>USD EXPORT-OIS|21M</t>
  </si>
  <si>
    <t>USD EXPORT-OIS|2Y</t>
  </si>
  <si>
    <t>USD EXPORT-OIS|3Y</t>
  </si>
  <si>
    <t>USD EXPORT-OIS|4Y</t>
  </si>
  <si>
    <t>USD EXPORT-OIS|5Y</t>
  </si>
  <si>
    <t>USD EXPORT-OIS|6Y</t>
  </si>
  <si>
    <t>USD EXPORT-OIS|7Y</t>
  </si>
  <si>
    <t>USD EXPORT-OIS|8Y</t>
  </si>
  <si>
    <t>USD EXPORT-OIS|9Y</t>
  </si>
  <si>
    <t>USD EXPORT-OIS|10Y</t>
  </si>
  <si>
    <t>USD EXPORT-OIS|11Y</t>
  </si>
  <si>
    <t>USD EXPORT-OIS|12Y</t>
  </si>
  <si>
    <t>USD EXPORT-OIS|13Y</t>
  </si>
  <si>
    <t>USD EXPORT-OIS|14Y</t>
  </si>
  <si>
    <t>USD EXPORT-OIS|15Y</t>
  </si>
  <si>
    <t>USD EXPORT-OIS|16Y</t>
  </si>
  <si>
    <t>USD EXPORT-OIS|17Y</t>
  </si>
  <si>
    <t>USD EXPORT-OIS|18Y</t>
  </si>
  <si>
    <t>USD EXPORT-OIS|19Y</t>
  </si>
  <si>
    <t>USD EXPORT-OIS|20Y</t>
  </si>
  <si>
    <t>USD EXPORT-OIS|21Y</t>
  </si>
  <si>
    <t>USD EXPORT-OIS|22Y</t>
  </si>
  <si>
    <t>USD EXPORT-OIS|23Y</t>
  </si>
  <si>
    <t>USD EXPORT-OIS|24Y</t>
  </si>
  <si>
    <t>USD EXPORT-OIS|25Y</t>
  </si>
  <si>
    <t>USD EXPORT-OIS|26Y</t>
  </si>
  <si>
    <t>USD EXPORT-OIS|27Y</t>
  </si>
  <si>
    <t>USD EXPORT-OIS|28Y</t>
  </si>
  <si>
    <t>USD EXPORT-OIS|29Y</t>
  </si>
  <si>
    <t>USD EXPORT-OIS|30Y</t>
  </si>
  <si>
    <t>USD EXPORT-OIS|40Y</t>
  </si>
  <si>
    <t>USD EXPORT-OIS|50Y</t>
  </si>
  <si>
    <t>USD EXPORT-OIS|60Y</t>
  </si>
  <si>
    <t>USD FEDFUND|O/N</t>
  </si>
  <si>
    <t>USD FEDFUND</t>
  </si>
  <si>
    <t>USD FEDFUND|1M</t>
  </si>
  <si>
    <t>USD FEDFUND|2M</t>
  </si>
  <si>
    <t>USD FEDFUND|3M</t>
  </si>
  <si>
    <t>USD FEDFUND|4M</t>
  </si>
  <si>
    <t>USD FEDFUND|5M</t>
  </si>
  <si>
    <t>USD FEDFUND|6M</t>
  </si>
  <si>
    <t>USD FEDFUND|7M</t>
  </si>
  <si>
    <t>USD FEDFUND|8M</t>
  </si>
  <si>
    <t>USD FEDFUND|9M</t>
  </si>
  <si>
    <t>USD FEDFUND|10M</t>
  </si>
  <si>
    <t>USD FEDFUND|11M</t>
  </si>
  <si>
    <t>USD FEDFUND|1Y</t>
  </si>
  <si>
    <t>USD FEDFUND|15M</t>
  </si>
  <si>
    <t>USD FEDFUND|18M</t>
  </si>
  <si>
    <t>USD FEDFUND|21M</t>
  </si>
  <si>
    <t>USD FEDFUND|2Y</t>
  </si>
  <si>
    <t>USD FF VS 3M|3M</t>
  </si>
  <si>
    <t>USD FF VS 3M</t>
  </si>
  <si>
    <t>USD FF VS 3M|6M</t>
  </si>
  <si>
    <t>USD FF VS 3M|9M</t>
  </si>
  <si>
    <t>USD FF VS 3M|1Y</t>
  </si>
  <si>
    <t>USD FF VS 3M|18M</t>
  </si>
  <si>
    <t>USD FF VS 3M|2Y</t>
  </si>
  <si>
    <t>USD FF VS 3M|3Y</t>
  </si>
  <si>
    <t>USD FF VS 3M|4Y</t>
  </si>
  <si>
    <t>USD FF VS 3M|5Y</t>
  </si>
  <si>
    <t>USD FF VS 3M|7Y</t>
  </si>
  <si>
    <t>USD FF VS 3M|10Y</t>
  </si>
  <si>
    <t>USD FIX 1M|O/N</t>
  </si>
  <si>
    <t>USD FIX 1M</t>
  </si>
  <si>
    <t>USD FIX 1M|T/N</t>
  </si>
  <si>
    <t>USD FIX 1M|S/N</t>
  </si>
  <si>
    <t>USD FIX 1M|1W</t>
  </si>
  <si>
    <t>USD FIX 1M|2W</t>
  </si>
  <si>
    <t>USD FIX 1M|3W</t>
  </si>
  <si>
    <t>USD FIX 1M|1M</t>
  </si>
  <si>
    <t>USD FIX 1M|2M</t>
  </si>
  <si>
    <t>USD FIX 1M|3M</t>
  </si>
  <si>
    <t>USD FIX 1M|4M</t>
  </si>
  <si>
    <t>USD FIX 1M|5M</t>
  </si>
  <si>
    <t>USD FIX 1M|6M</t>
  </si>
  <si>
    <t>USD FIX 1M|7M</t>
  </si>
  <si>
    <t>USD FIX 1M|8M</t>
  </si>
  <si>
    <t>USD FIX 1M|9M</t>
  </si>
  <si>
    <t>USD FIX 1M|10M</t>
  </si>
  <si>
    <t>USD FIX 1M|11M</t>
  </si>
  <si>
    <t>USD FIX 1M|1Y</t>
  </si>
  <si>
    <t>USD FIX 1M|1Y3M</t>
  </si>
  <si>
    <t>USD FIX 1M|1Y6M</t>
  </si>
  <si>
    <t>USD FIX 1M|1Y9M</t>
  </si>
  <si>
    <t>USD FIX 1M|2Y</t>
  </si>
  <si>
    <t>USD FIX 1M|2Y3M</t>
  </si>
  <si>
    <t>USD FIX 1M|2Y6M</t>
  </si>
  <si>
    <t>USD FIX 1M|2Y9M</t>
  </si>
  <si>
    <t>USD FIX 1M|3Y</t>
  </si>
  <si>
    <t>USD FIX 1M|4Y</t>
  </si>
  <si>
    <t>USD FIX 1M|5Y</t>
  </si>
  <si>
    <t>USD FIX 1M|6Y</t>
  </si>
  <si>
    <t>USD FIX 1M|7Y</t>
  </si>
  <si>
    <t>USD FIX 1M|8Y</t>
  </si>
  <si>
    <t>USD FIX 1M|9Y</t>
  </si>
  <si>
    <t>USD FIX 1M|10Y</t>
  </si>
  <si>
    <t>USD FIX 1M|11Y</t>
  </si>
  <si>
    <t>USD FIX 1M|12Y</t>
  </si>
  <si>
    <t>USD FIX 1M|13Y</t>
  </si>
  <si>
    <t>USD FIX 1M|14Y</t>
  </si>
  <si>
    <t>USD FIX 1M|15Y</t>
  </si>
  <si>
    <t>USD FIX 1M|16Y</t>
  </si>
  <si>
    <t>USD FIX 1M|17Y</t>
  </si>
  <si>
    <t>USD FIX 1M|18Y</t>
  </si>
  <si>
    <t>USD FIX 1M|19Y</t>
  </si>
  <si>
    <t>USD FIX 1M|20Y</t>
  </si>
  <si>
    <t>USD FIX 1M|21Y</t>
  </si>
  <si>
    <t>USD FIX 1M|22Y</t>
  </si>
  <si>
    <t>USD FIX 1M|23Y</t>
  </si>
  <si>
    <t>USD FIX 1M|24Y</t>
  </si>
  <si>
    <t>USD FIX 1M|25Y</t>
  </si>
  <si>
    <t>USD FIX 1M|26Y</t>
  </si>
  <si>
    <t>USD FIX 1M|27Y</t>
  </si>
  <si>
    <t>USD FIX 1M|28Y</t>
  </si>
  <si>
    <t>USD FIX 1M|29Y</t>
  </si>
  <si>
    <t>USD FIX 1M|30Y</t>
  </si>
  <si>
    <t>USD FIX 1M|31Y</t>
  </si>
  <si>
    <t>USD FIX 1M|32Y</t>
  </si>
  <si>
    <t>USD FIX 1M|33Y</t>
  </si>
  <si>
    <t>USD FIX 1M|34Y</t>
  </si>
  <si>
    <t>USD FIX 1M|35Y</t>
  </si>
  <si>
    <t>USD FIX 1M|36Y</t>
  </si>
  <si>
    <t>USD FIX 1M|37Y</t>
  </si>
  <si>
    <t>USD FIX 1M|38Y</t>
  </si>
  <si>
    <t>USD FIX 1M|39Y</t>
  </si>
  <si>
    <t>USD FIX 1M|40Y</t>
  </si>
  <si>
    <t>USD FIX 1M|50Y</t>
  </si>
  <si>
    <t>USD FIX 1M|60Y</t>
  </si>
  <si>
    <t>USD FOREX|O/N</t>
  </si>
  <si>
    <t>USD FOREX|T/N</t>
  </si>
  <si>
    <t>USD FOREX|S/N</t>
  </si>
  <si>
    <t>USD FOREX|1W</t>
  </si>
  <si>
    <t>USD FOREX|2W</t>
  </si>
  <si>
    <t>USD FOREX|3W</t>
  </si>
  <si>
    <t>USD FOREX|1M</t>
  </si>
  <si>
    <t>USD FOREX|2M</t>
  </si>
  <si>
    <t>USD FOREX|3M</t>
  </si>
  <si>
    <t>USD FOREX|4M</t>
  </si>
  <si>
    <t>USD FOREX|5M</t>
  </si>
  <si>
    <t>USD FOREX|6M</t>
  </si>
  <si>
    <t>USD FOREX|7M</t>
  </si>
  <si>
    <t>USD FOREX|8M</t>
  </si>
  <si>
    <t>USD FOREX|9M</t>
  </si>
  <si>
    <t>USD FOREX|10M</t>
  </si>
  <si>
    <t>USD FOREX|11M</t>
  </si>
  <si>
    <t>USD FOREX|12M</t>
  </si>
  <si>
    <t>USD FOREX|15M</t>
  </si>
  <si>
    <t>USD FOREX|18M</t>
  </si>
  <si>
    <t>USD FOREX|24M</t>
  </si>
  <si>
    <t>USD FOREX|3Y</t>
  </si>
  <si>
    <t>USD FOREX|4Y</t>
  </si>
  <si>
    <t>USD FOREX|5Y</t>
  </si>
  <si>
    <t>USD FOREX|6Y</t>
  </si>
  <si>
    <t>USD FOREX|7Y</t>
  </si>
  <si>
    <t>USD FOREX|8Y</t>
  </si>
  <si>
    <t>USD FOREX|9Y</t>
  </si>
  <si>
    <t>USD FOREX|10Y</t>
  </si>
  <si>
    <t>USD FOREX|11Y</t>
  </si>
  <si>
    <t>USD FOREX|12Y</t>
  </si>
  <si>
    <t>USD FOREX|13Y</t>
  </si>
  <si>
    <t>USD FOREX|14Y</t>
  </si>
  <si>
    <t>USD FOREX|15Y</t>
  </si>
  <si>
    <t>USD FOREX|16Y</t>
  </si>
  <si>
    <t>USD FOREX|17Y</t>
  </si>
  <si>
    <t>USD FOREX|18Y</t>
  </si>
  <si>
    <t>USD FOREX|19Y</t>
  </si>
  <si>
    <t>USD FOREX|20Y</t>
  </si>
  <si>
    <t>USD FOREX|21Y</t>
  </si>
  <si>
    <t>USD FOREX|22Y</t>
  </si>
  <si>
    <t>USD FOREX|23Y</t>
  </si>
  <si>
    <t>USD FOREX|24Y</t>
  </si>
  <si>
    <t>USD FOREX|25Y</t>
  </si>
  <si>
    <t>USD FOREX|26Y</t>
  </si>
  <si>
    <t>USD FOREX|27Y</t>
  </si>
  <si>
    <t>USD FOREX|28Y</t>
  </si>
  <si>
    <t>USD FOREX|29Y</t>
  </si>
  <si>
    <t>USD FOREX|30Y</t>
  </si>
  <si>
    <t>USD FOREX|40Y</t>
  </si>
  <si>
    <t>USD FOREX|50Y</t>
  </si>
  <si>
    <t>USD GC|O/N</t>
  </si>
  <si>
    <t>USD GC</t>
  </si>
  <si>
    <t>USD GC|1W</t>
  </si>
  <si>
    <t>USD GC|2W</t>
  </si>
  <si>
    <t>USD GC|1M</t>
  </si>
  <si>
    <t>USD GC|2M</t>
  </si>
  <si>
    <t>USD GC|3M</t>
  </si>
  <si>
    <t>USD GC|6M</t>
  </si>
  <si>
    <t>USD GC|9M</t>
  </si>
  <si>
    <t>USD GC|1Y</t>
  </si>
  <si>
    <t>USD OIS|O/N</t>
  </si>
  <si>
    <t>USD OIS|T/N</t>
  </si>
  <si>
    <t>USD OIS|S/N</t>
  </si>
  <si>
    <t>USD OIS|1W</t>
  </si>
  <si>
    <t>USD OIS|2W</t>
  </si>
  <si>
    <t>USD OIS|3W</t>
  </si>
  <si>
    <t>USD OIS|1M</t>
  </si>
  <si>
    <t>USD OIS|2M</t>
  </si>
  <si>
    <t>USD OIS|3M</t>
  </si>
  <si>
    <t>USD OIS|4M</t>
  </si>
  <si>
    <t>USD OIS|5M</t>
  </si>
  <si>
    <t>USD OIS|6M</t>
  </si>
  <si>
    <t>USD OIS|7M</t>
  </si>
  <si>
    <t>USD OIS|8M</t>
  </si>
  <si>
    <t>USD OIS|9M</t>
  </si>
  <si>
    <t>USD OIS|10M</t>
  </si>
  <si>
    <t>USD OIS|11M</t>
  </si>
  <si>
    <t>USD OIS|1Y</t>
  </si>
  <si>
    <t>USD OIS|15M</t>
  </si>
  <si>
    <t>USD OIS|18M</t>
  </si>
  <si>
    <t>USD OIS|21M</t>
  </si>
  <si>
    <t>USD OIS|2Y</t>
  </si>
  <si>
    <t>USD OIS|3Y</t>
  </si>
  <si>
    <t>USD OIS|4Y</t>
  </si>
  <si>
    <t>USD OIS|5Y</t>
  </si>
  <si>
    <t>USD OIS|6Y</t>
  </si>
  <si>
    <t>USD OIS|7Y</t>
  </si>
  <si>
    <t>USD OIS|8Y</t>
  </si>
  <si>
    <t>USD OIS|9Y</t>
  </si>
  <si>
    <t>USD OIS|10Y</t>
  </si>
  <si>
    <t>USD OIS|12Y</t>
  </si>
  <si>
    <t>USD OIS|15Y</t>
  </si>
  <si>
    <t>USD OIS|20Y</t>
  </si>
  <si>
    <t>USD OIS|25Y</t>
  </si>
  <si>
    <t>USD OIS|30Y</t>
  </si>
  <si>
    <t>USD OIS|40Y</t>
  </si>
  <si>
    <t>USD OIS|50Y</t>
  </si>
  <si>
    <t>USD OIS|60Y</t>
  </si>
  <si>
    <t>USD T-BOND</t>
  </si>
  <si>
    <t>USD T-BOND|18/02/31</t>
  </si>
  <si>
    <t>18/02/31</t>
  </si>
  <si>
    <t>USD T-NOTES|S/N</t>
  </si>
  <si>
    <t>USD T-NOTES</t>
  </si>
  <si>
    <t>USD T-NOTES|1M</t>
  </si>
  <si>
    <t>USD T-NOTES|2M</t>
  </si>
  <si>
    <t>USD T-NOTES|3M</t>
  </si>
  <si>
    <t>USD T-NOTES|1Y</t>
  </si>
  <si>
    <t>USD T-NOTES|2Y</t>
  </si>
  <si>
    <t>USD T-NOTES|3Y</t>
  </si>
  <si>
    <t>USD T-NOTES|4Y</t>
  </si>
  <si>
    <t>USD T-NOTES|5Y</t>
  </si>
  <si>
    <t>USD T-NOTES|6Y</t>
  </si>
  <si>
    <t>USD T-NOTES|7Y</t>
  </si>
  <si>
    <t>USD T-NOTES|8Y</t>
  </si>
  <si>
    <t>USD T-NOTES|9Y</t>
  </si>
  <si>
    <t>USD T-NOTES|10Y</t>
  </si>
  <si>
    <t>USD T-NOTES|12Y</t>
  </si>
  <si>
    <t>USD T-NOTES|15Y</t>
  </si>
  <si>
    <t>USD T-NOTES|20Y</t>
  </si>
  <si>
    <t>USD T-NOTES|25Y</t>
  </si>
  <si>
    <t>USD T-NOTES|30Y</t>
  </si>
  <si>
    <t>USD-ZC|O/N</t>
  </si>
  <si>
    <t>USD-ZC</t>
  </si>
  <si>
    <t>USD-ZC|T/N</t>
  </si>
  <si>
    <t>USD-ZC|S/N</t>
  </si>
  <si>
    <t>USD-ZC|1W</t>
  </si>
  <si>
    <t>USD-ZC|2W</t>
  </si>
  <si>
    <t>USD-ZC|3W</t>
  </si>
  <si>
    <t>USD-ZC|1M</t>
  </si>
  <si>
    <t>USD-ZC|2M</t>
  </si>
  <si>
    <t>USD-ZC|3M</t>
  </si>
  <si>
    <t>USD-ZC|4M</t>
  </si>
  <si>
    <t>USD-ZC|5M</t>
  </si>
  <si>
    <t>USD-ZC|6M</t>
  </si>
  <si>
    <t>USD-ZC|7M</t>
  </si>
  <si>
    <t>USD-ZC|8M</t>
  </si>
  <si>
    <t>USD-ZC|9M</t>
  </si>
  <si>
    <t>USD-ZC|1Y</t>
  </si>
  <si>
    <t>USD-ZC|2Y</t>
  </si>
  <si>
    <t>USD-ZC|3Y</t>
  </si>
  <si>
    <t>USD-ZC|4Y</t>
  </si>
  <si>
    <t>USD-ZC|5Y</t>
  </si>
  <si>
    <t>USD-ZC|6Y</t>
  </si>
  <si>
    <t>USD-ZC|7Y</t>
  </si>
  <si>
    <t>USD-ZC|8Y</t>
  </si>
  <si>
    <t>USD-ZC|9Y</t>
  </si>
  <si>
    <t>USD-ZC|10Y</t>
  </si>
  <si>
    <t>USD-ZC|11Y</t>
  </si>
  <si>
    <t>USD-ZC|12Y</t>
  </si>
  <si>
    <t>USD-ZC|13Y</t>
  </si>
  <si>
    <t>USD-ZC|14Y</t>
  </si>
  <si>
    <t>USD-ZC|15Y</t>
  </si>
  <si>
    <t>USD-ZC|16Y</t>
  </si>
  <si>
    <t>USD-ZC|17Y</t>
  </si>
  <si>
    <t>USD-ZC|18Y</t>
  </si>
  <si>
    <t>USD-ZC|19Y</t>
  </si>
  <si>
    <t>USD-ZC|20Y</t>
  </si>
  <si>
    <t>USD-ZC|21Y</t>
  </si>
  <si>
    <t>USD-ZC|22Y</t>
  </si>
  <si>
    <t>USD-ZC|23Y</t>
  </si>
  <si>
    <t>USD-ZC|24Y</t>
  </si>
  <si>
    <t>USD-ZC|25Y</t>
  </si>
  <si>
    <t>USD-ZC|26Y</t>
  </si>
  <si>
    <t>USD-ZC|27Y</t>
  </si>
  <si>
    <t>USD-ZC|28Y</t>
  </si>
  <si>
    <t>USD-ZC|29Y</t>
  </si>
  <si>
    <t>USD-ZC|30Y</t>
  </si>
  <si>
    <t>USD-ZC|40Y</t>
  </si>
  <si>
    <t>USD-ZC|50Y</t>
  </si>
  <si>
    <t>USD-ZC|60Y</t>
  </si>
  <si>
    <t>JPY 3M</t>
  </si>
  <si>
    <t>Total JPY 3M</t>
  </si>
  <si>
    <t>JPY 6M</t>
  </si>
  <si>
    <t>Total JPY 6M</t>
  </si>
  <si>
    <t>JPY OIS</t>
  </si>
  <si>
    <t>Total JPY OIS</t>
  </si>
  <si>
    <t>EUR DBFRUQ|1Y</t>
  </si>
  <si>
    <t>EUR DBFRUQ</t>
  </si>
  <si>
    <t>EUR DBFRUQ|2Y</t>
  </si>
  <si>
    <t>EUR DBFRUQ|3Y</t>
  </si>
  <si>
    <t>EUR DBFRUQ|4Y</t>
  </si>
  <si>
    <t>EUR DBFRUQ|5Y</t>
  </si>
  <si>
    <t>EUR FRA 3M PRIC|Start 1-4</t>
  </si>
  <si>
    <t>Start 1-4</t>
  </si>
  <si>
    <t>EUR FRA 3M PRIC|Start 2-5</t>
  </si>
  <si>
    <t>Start 2-5</t>
  </si>
  <si>
    <t>EUR FRA 3M PRIC|Start 4-7</t>
  </si>
  <si>
    <t>Start 4-7</t>
  </si>
  <si>
    <t>EUR FRA 3M PRIC|Start 5-8</t>
  </si>
  <si>
    <t>Start 5-8</t>
  </si>
  <si>
    <t>EUR FRA 3M PRIC|Start 7-10</t>
  </si>
  <si>
    <t>Start 7-10</t>
  </si>
  <si>
    <t>EUR FRA 3M PRIC|Start 8-11</t>
  </si>
  <si>
    <t>Start 8-11</t>
  </si>
  <si>
    <t>EUR FRA 3M PRIC|Start10-13</t>
  </si>
  <si>
    <t>Start10-13</t>
  </si>
  <si>
    <t>EUR FRA 3M PRIC|Start11-14</t>
  </si>
  <si>
    <t>Start11-14</t>
  </si>
  <si>
    <t>EUR FRA 6M QUAR|Start 1-7</t>
  </si>
  <si>
    <t>Start 1-7</t>
  </si>
  <si>
    <t>EUR FRA 6M QUAR|Start 2-8</t>
  </si>
  <si>
    <t>Start 2-8</t>
  </si>
  <si>
    <t>EUR FRA 6M QUAR|Start 3-9</t>
  </si>
  <si>
    <t>Start 3-9</t>
  </si>
  <si>
    <t>EUR FRA 6M QUAR|Start 4-10</t>
  </si>
  <si>
    <t>Start 4-10</t>
  </si>
  <si>
    <t>EUR FRA 6M QUAR|Start 5-11</t>
  </si>
  <si>
    <t>Start 5-11</t>
  </si>
  <si>
    <t>EUR FRA 6M QUAR|Start 7-13</t>
  </si>
  <si>
    <t>Start 7-13</t>
  </si>
  <si>
    <t>EUR FRA 6M QUAR|Start 8-14</t>
  </si>
  <si>
    <t>Start 8-14</t>
  </si>
  <si>
    <t>EUR FRA 6M QUAR|Start 9-15</t>
  </si>
  <si>
    <t>Start 9-15</t>
  </si>
  <si>
    <t>EUR FRA 6M QUAR|Start10-16</t>
  </si>
  <si>
    <t>Start10-16</t>
  </si>
  <si>
    <t>EUR FRA 6M QUAR|Start11-17</t>
  </si>
  <si>
    <t>Start11-17</t>
  </si>
  <si>
    <t>EUR FRA 6M QUAR|Start13-19</t>
  </si>
  <si>
    <t>Start13-19</t>
  </si>
  <si>
    <t>EUR FRA 6M QUAR|Start14-20</t>
  </si>
  <si>
    <t>Start14-20</t>
  </si>
  <si>
    <t>EUR FRA 6M QUAR|Start15-21</t>
  </si>
  <si>
    <t>Start15-21</t>
  </si>
  <si>
    <t>EUR FRA 6M QUAR|Start16-22</t>
  </si>
  <si>
    <t>Start16-22</t>
  </si>
  <si>
    <t>EUR FRA 6M QUAR|Start17-23</t>
  </si>
  <si>
    <t>Start17-23</t>
  </si>
  <si>
    <t>LCH EUR 1M|2M</t>
  </si>
  <si>
    <t>LCH EUR 1M|3M</t>
  </si>
  <si>
    <t>LCH EUR 1M|6M</t>
  </si>
  <si>
    <t>LCH EUR 1M|9M</t>
  </si>
  <si>
    <t>LCH EUR 1M|1Y</t>
  </si>
  <si>
    <t>LCH EUR 3M|DEC 16</t>
  </si>
  <si>
    <t>LCH EUR 3M|MAR 17</t>
  </si>
  <si>
    <t>LCH EUR STD|2M</t>
  </si>
  <si>
    <t>LCH EUR STD|DEC 16</t>
  </si>
  <si>
    <t>LCH EUR STD|MAR 17</t>
  </si>
  <si>
    <t>LCH USD 1M|2M</t>
  </si>
  <si>
    <t>LCH USD 1M|3M</t>
  </si>
  <si>
    <t>LCH USD 1M|6M</t>
  </si>
  <si>
    <t>LCH USD 1M|9M</t>
  </si>
  <si>
    <t>LCH USD 1M|1Y</t>
  </si>
  <si>
    <t>LCH USD 3M|DEC 16</t>
  </si>
  <si>
    <t>LCH USD 3M|MAR 17</t>
  </si>
  <si>
    <t>LCH USD STD|2M</t>
  </si>
  <si>
    <t>LCH USD STD|DEC 16</t>
  </si>
  <si>
    <t>LCH USD STD|MAR 17</t>
  </si>
  <si>
    <t>AUD 3M</t>
  </si>
  <si>
    <t>Total AUD 3M</t>
  </si>
  <si>
    <t>AUD OIS</t>
  </si>
  <si>
    <t>Total AUD OIS</t>
  </si>
  <si>
    <t>EDZ7</t>
  </si>
  <si>
    <t>EDH8</t>
  </si>
  <si>
    <t>EDM8</t>
  </si>
  <si>
    <t>EDU8</t>
  </si>
  <si>
    <t>EDZ8</t>
  </si>
  <si>
    <t>EDH9</t>
  </si>
  <si>
    <t>EDM9</t>
  </si>
  <si>
    <t>EDU9</t>
  </si>
  <si>
    <t>FEIZ7</t>
  </si>
  <si>
    <t>FEIH8</t>
  </si>
  <si>
    <t>FEIM8</t>
  </si>
  <si>
    <t>FEIU8</t>
  </si>
  <si>
    <t>FEIZ8</t>
  </si>
  <si>
    <t>FEIH9</t>
  </si>
  <si>
    <t>FEIM9</t>
  </si>
  <si>
    <t>FEIU9</t>
  </si>
  <si>
    <t>EDZ9</t>
  </si>
  <si>
    <t>FEIZ9</t>
  </si>
  <si>
    <t>DEC 17</t>
  </si>
  <si>
    <t>MAR 18</t>
  </si>
  <si>
    <t>CAD 3M</t>
  </si>
  <si>
    <t>Total CAD 3M</t>
  </si>
  <si>
    <t>CAD OIS</t>
  </si>
  <si>
    <t>Total CAD OIS</t>
  </si>
  <si>
    <t>CHF TOIS</t>
  </si>
  <si>
    <t>Total CHF TOIS</t>
  </si>
  <si>
    <t>CZK 3M</t>
  </si>
  <si>
    <t>Total CZK 3M</t>
  </si>
  <si>
    <t>15M-18M</t>
  </si>
  <si>
    <t>CZK OIS</t>
  </si>
  <si>
    <t>Total CZK OIS</t>
  </si>
  <si>
    <t>DKK</t>
  </si>
  <si>
    <t>Total DKK</t>
  </si>
  <si>
    <t>DKK 3M</t>
  </si>
  <si>
    <t>Total DKK 3M</t>
  </si>
  <si>
    <t>DKK FOREX</t>
  </si>
  <si>
    <t>Total DKK FOREX</t>
  </si>
  <si>
    <t>DKK OIS</t>
  </si>
  <si>
    <t>Total DKK OIS</t>
  </si>
  <si>
    <t>12M-24M</t>
  </si>
  <si>
    <t>10M-13M</t>
  </si>
  <si>
    <t>11M-14M</t>
  </si>
  <si>
    <t>JUN 18</t>
  </si>
  <si>
    <t>SEP 18</t>
  </si>
  <si>
    <t>24M-30M</t>
  </si>
  <si>
    <t>HKD USD BAS EONIA</t>
  </si>
  <si>
    <t>Total HKD USD BAS EONIA</t>
  </si>
  <si>
    <t>HUF 3M</t>
  </si>
  <si>
    <t>Total HUF 3M</t>
  </si>
  <si>
    <t>HUF 6M</t>
  </si>
  <si>
    <t>Total HUF 6M</t>
  </si>
  <si>
    <t>HUF OIS</t>
  </si>
  <si>
    <t>Total HUF OIS</t>
  </si>
  <si>
    <t>PLN 3M</t>
  </si>
  <si>
    <t>Total PLN 3M</t>
  </si>
  <si>
    <t>PLN OIS</t>
  </si>
  <si>
    <t>Total PLN OIS</t>
  </si>
  <si>
    <t>RON :Std</t>
  </si>
  <si>
    <t>Total RON :Std</t>
  </si>
  <si>
    <t>SEK 3M</t>
  </si>
  <si>
    <t>Total SEK 3M</t>
  </si>
  <si>
    <t>SEK OIS</t>
  </si>
  <si>
    <t>Total SEK OIS</t>
  </si>
  <si>
    <t>LIFFE EUROGBP</t>
  </si>
  <si>
    <t>Total LIFFE EUROGBP</t>
  </si>
  <si>
    <t>LIFFE EUROCHF</t>
  </si>
  <si>
    <t>Total LIFFE EUROCHF</t>
  </si>
  <si>
    <t>ES</t>
  </si>
  <si>
    <t>FEIH0</t>
  </si>
  <si>
    <t>EUR6MDPSN=</t>
  </si>
  <si>
    <t>EUR6MDPSW=</t>
  </si>
  <si>
    <t>EUR6MDP2W=</t>
  </si>
  <si>
    <t>EUR6MDP3W=</t>
  </si>
  <si>
    <t>EUR6MDP1M=</t>
  </si>
  <si>
    <t>EUR6MDP2M=</t>
  </si>
  <si>
    <t>EUR6MDP3M=</t>
  </si>
  <si>
    <t>EUR6MDP4M=</t>
  </si>
  <si>
    <t>EUR6MDP5M=</t>
  </si>
  <si>
    <t>EUR6MDP6M=</t>
  </si>
  <si>
    <t>EUR6MFRA1X7F=</t>
  </si>
  <si>
    <t>EUR6MFRA2X8F=</t>
  </si>
  <si>
    <t>EUR6MFRA3X9F=</t>
  </si>
  <si>
    <t>EUR6MFRA4X10F=</t>
  </si>
  <si>
    <t>EUR6MFRA5X11F=</t>
  </si>
  <si>
    <t>EUR6MFRA6X12F=</t>
  </si>
  <si>
    <t>EUR6MFRA7X13F=</t>
  </si>
  <si>
    <t>EUR6MFRA8X14F=</t>
  </si>
  <si>
    <t>EUR6MFRA9X15F=</t>
  </si>
  <si>
    <t>EUR6MFRA10X16F=</t>
  </si>
  <si>
    <t>EUR6MFRA11X17F=</t>
  </si>
  <si>
    <t>EUR6MFRA12X18F=</t>
  </si>
  <si>
    <t>EUR6MFRA13X19F=</t>
  </si>
  <si>
    <t>EUR6MFRA14X20F=</t>
  </si>
  <si>
    <t>EUR6MFRA15X21F=</t>
  </si>
  <si>
    <t>EUR6MFRA16X22F=</t>
  </si>
  <si>
    <t>EUR6MFRA17X23F=</t>
  </si>
  <si>
    <t>EUR6MFRA18X24F=</t>
  </si>
  <si>
    <t>EUR6MFRA24X30F=</t>
  </si>
  <si>
    <t>EUR6MSW3Y=</t>
  </si>
  <si>
    <t>EUR6MSW4Y=</t>
  </si>
  <si>
    <t>EUR6MSW5Y=</t>
  </si>
  <si>
    <t>EUR6MSW6Y=</t>
  </si>
  <si>
    <t>EUR6MSW7Y=</t>
  </si>
  <si>
    <t>EUR6MSW8Y=</t>
  </si>
  <si>
    <t>EUR6MSW9Y=</t>
  </si>
  <si>
    <t>EUR6MSW10Y=</t>
  </si>
  <si>
    <t>EUR6MSW11Y=</t>
  </si>
  <si>
    <t>EUR6MSW12Y=</t>
  </si>
  <si>
    <t>EUR6MSW13Y=</t>
  </si>
  <si>
    <t>EUR6MSW14Y=</t>
  </si>
  <si>
    <t>EUR6MSW15Y=</t>
  </si>
  <si>
    <t>EUR6MSW16Y=</t>
  </si>
  <si>
    <t>EUR6MSW17Y=</t>
  </si>
  <si>
    <t>EUR6MSW18Y=</t>
  </si>
  <si>
    <t>EUR6MSW19Y=</t>
  </si>
  <si>
    <t>EUR6MSW20Y=</t>
  </si>
  <si>
    <t>EUR6MSW21Y=</t>
  </si>
  <si>
    <t>EUR6MSW22Y=</t>
  </si>
  <si>
    <t>EUR6MSW23Y=</t>
  </si>
  <si>
    <t>EUR6MSW24Y=</t>
  </si>
  <si>
    <t>EUR6MSW25Y=</t>
  </si>
  <si>
    <t>EUR6MSW26Y=</t>
  </si>
  <si>
    <t>EUR6MSW27Y=</t>
  </si>
  <si>
    <t>EUR6MSW28Y=</t>
  </si>
  <si>
    <t>EUR6MSW29Y=</t>
  </si>
  <si>
    <t>EUR6MSW30Y=</t>
  </si>
  <si>
    <t>EUR6MSW31Y=</t>
  </si>
  <si>
    <t>EUR6MSW32Y=</t>
  </si>
  <si>
    <t>EUR6MSW33Y=</t>
  </si>
  <si>
    <t>EUR6MSW34Y=</t>
  </si>
  <si>
    <t>EUR6MSW35Y=</t>
  </si>
  <si>
    <t>EUR6MSW36Y=</t>
  </si>
  <si>
    <t>EUR6MSW37Y=</t>
  </si>
  <si>
    <t>EUR6MSW38Y=</t>
  </si>
  <si>
    <t>EUR6MSW39Y=</t>
  </si>
  <si>
    <t>EUR6MSW40Y=</t>
  </si>
  <si>
    <t>EUR6MSW50Y=</t>
  </si>
  <si>
    <t>EUR6MSW60Y=</t>
  </si>
  <si>
    <t>EUR1YDPSN=</t>
  </si>
  <si>
    <t>EUR1YDPSW=</t>
  </si>
  <si>
    <t>EUR1YDP2W=</t>
  </si>
  <si>
    <t>EUR1YDP3W=</t>
  </si>
  <si>
    <t>EUR1YDP1M=</t>
  </si>
  <si>
    <t>EUR1YDP2M=</t>
  </si>
  <si>
    <t>EUR1YDP3M=</t>
  </si>
  <si>
    <t>EUR1YDP4M=</t>
  </si>
  <si>
    <t>EUR1YDP5M=</t>
  </si>
  <si>
    <t>EUR1YDP6M=</t>
  </si>
  <si>
    <t>EUR1YDP7M=</t>
  </si>
  <si>
    <t>EUR1YDP8M=</t>
  </si>
  <si>
    <t>EUR1YDP9M=</t>
  </si>
  <si>
    <t>EUR1YDP10M=</t>
  </si>
  <si>
    <t>EUR1YDP11M=</t>
  </si>
  <si>
    <t>EUR1YDP12M=</t>
  </si>
  <si>
    <t>EUR1YFRA1X13F=</t>
  </si>
  <si>
    <t>EUR1YFRA2X14F=</t>
  </si>
  <si>
    <t>EUR1YFRA3X15F=</t>
  </si>
  <si>
    <t>EUR1YFRA4X16F=</t>
  </si>
  <si>
    <t>EUR1YFRA5X17F=</t>
  </si>
  <si>
    <t>EUR1YFRA6X18F=</t>
  </si>
  <si>
    <t>EUR1YFRA7X19F=</t>
  </si>
  <si>
    <t>EUR1YFRA8X20F=</t>
  </si>
  <si>
    <t>EUR1YFRA9X21F=</t>
  </si>
  <si>
    <t>EUR1YFRA10X22F=</t>
  </si>
  <si>
    <t>EUR1YFRA11X23F=</t>
  </si>
  <si>
    <t>EUR1YFRA12X24F=</t>
  </si>
  <si>
    <t>EUR1YSW3Y=</t>
  </si>
  <si>
    <t>EUR1YSW4Y=</t>
  </si>
  <si>
    <t>EUR1YSW5Y=</t>
  </si>
  <si>
    <t>EUR1YSW6Y=</t>
  </si>
  <si>
    <t>EUR1YSW7Y=</t>
  </si>
  <si>
    <t>EUR1YSW8Y=</t>
  </si>
  <si>
    <t>EUR1YSW9Y=</t>
  </si>
  <si>
    <t>EUR1YSW10Y=</t>
  </si>
  <si>
    <t>EUR1YSW11Y=</t>
  </si>
  <si>
    <t>EUR1YSW12Y=</t>
  </si>
  <si>
    <t>EUR1YSW13Y=</t>
  </si>
  <si>
    <t>EUR1YSW14Y=</t>
  </si>
  <si>
    <t>EUR1YSW15Y=</t>
  </si>
  <si>
    <t>EUR1YSW16Y=</t>
  </si>
  <si>
    <t>EUR1YSW17Y=</t>
  </si>
  <si>
    <t>EUR1YSW18Y=</t>
  </si>
  <si>
    <t>EUR1YSW19Y=</t>
  </si>
  <si>
    <t>EUR1YSW20Y=</t>
  </si>
  <si>
    <t>EUR1YSW21Y=</t>
  </si>
  <si>
    <t>EUR1YSW22Y=</t>
  </si>
  <si>
    <t>EUR1YSW23Y=</t>
  </si>
  <si>
    <t>EUR1YSW24Y=</t>
  </si>
  <si>
    <t>EUR1YSW25Y=</t>
  </si>
  <si>
    <t>EUR1YSW26Y=</t>
  </si>
  <si>
    <t>EUR1YSW27Y=</t>
  </si>
  <si>
    <t>EUR1YSW28Y=</t>
  </si>
  <si>
    <t>EUR1YSW29Y=</t>
  </si>
  <si>
    <t>EUR1YSW30Y=</t>
  </si>
  <si>
    <t>EUR1YSW31Y=</t>
  </si>
  <si>
    <t>EUR1YSW32Y=</t>
  </si>
  <si>
    <t>EUR1YSW33Y=</t>
  </si>
  <si>
    <t>EUR1YSW34Y=</t>
  </si>
  <si>
    <t>EUR1YSW35Y=</t>
  </si>
  <si>
    <t>EUR1YSW36Y=</t>
  </si>
  <si>
    <t>EUR1YSW37Y=</t>
  </si>
  <si>
    <t>EUR1YSW38Y=</t>
  </si>
  <si>
    <t>EUR1YSW39Y=</t>
  </si>
  <si>
    <t>EUR1YSW40Y=</t>
  </si>
  <si>
    <t>EUR1YSW50Y=</t>
  </si>
  <si>
    <t>EUR1YSW60Y=</t>
  </si>
  <si>
    <t>EUR3MDPSN=</t>
  </si>
  <si>
    <t>EUR3MDPSW=</t>
  </si>
  <si>
    <t>EUR 1M|15M</t>
  </si>
  <si>
    <t>EUR 1M|18M</t>
  </si>
  <si>
    <t>EUR 1M|21M</t>
  </si>
  <si>
    <t>EUR 1M INT ZC|O/N</t>
  </si>
  <si>
    <t>EUR 1M INT ZC</t>
  </si>
  <si>
    <t>EUR 1M INT ZC|T/N</t>
  </si>
  <si>
    <t>EUR 1M INT ZC|S/N</t>
  </si>
  <si>
    <t>EUR 1M INT ZC|1W</t>
  </si>
  <si>
    <t>EUR 1M INT ZC|2W</t>
  </si>
  <si>
    <t>EUR 1M INT ZC|3W</t>
  </si>
  <si>
    <t>EUR 1M INT ZC|1M</t>
  </si>
  <si>
    <t>EUR 1M INT ZC|2M</t>
  </si>
  <si>
    <t>EUR 1M INT ZC|3M</t>
  </si>
  <si>
    <t>EUR 1M INT ZC|4M</t>
  </si>
  <si>
    <t>EUR 1M INT ZC|5M</t>
  </si>
  <si>
    <t>EUR 1M INT ZC|6M</t>
  </si>
  <si>
    <t>EUR 1M INT ZC|7M</t>
  </si>
  <si>
    <t>EUR 1M INT ZC|8M</t>
  </si>
  <si>
    <t>EUR 1M INT ZC|9M</t>
  </si>
  <si>
    <t>EUR 1M INT ZC|10M</t>
  </si>
  <si>
    <t>EUR 1M INT ZC|11M</t>
  </si>
  <si>
    <t>EUR 1M INT ZC|12M</t>
  </si>
  <si>
    <t>EUR 1M INT ZC|1Y3M</t>
  </si>
  <si>
    <t>EUR 1M INT ZC|1Y6M</t>
  </si>
  <si>
    <t>EUR 1M INT ZC|1Y9M</t>
  </si>
  <si>
    <t>EUR 1M INT ZC|2Y</t>
  </si>
  <si>
    <t>EUR 1M INT ZC|2Y3M</t>
  </si>
  <si>
    <t>EUR 1M INT ZC|2Y6M</t>
  </si>
  <si>
    <t>EUR 1M INT ZC|2Y9M</t>
  </si>
  <si>
    <t>EUR 1M INT ZC|3Y</t>
  </si>
  <si>
    <t>EUR 1M INT ZC|4Y</t>
  </si>
  <si>
    <t>EUR 1M INT ZC|5Y</t>
  </si>
  <si>
    <t>EUR 1M INT ZC|6Y</t>
  </si>
  <si>
    <t>EUR 1M INT ZC|7Y</t>
  </si>
  <si>
    <t>EUR 1M INT ZC|8Y</t>
  </si>
  <si>
    <t>EUR 1M INT ZC|9Y</t>
  </si>
  <si>
    <t>EUR 1M INT ZC|10Y</t>
  </si>
  <si>
    <t>EUR 1M INT ZC|11Y</t>
  </si>
  <si>
    <t>EUR 1M INT ZC|12Y</t>
  </si>
  <si>
    <t>EUR 1M INT ZC|13Y</t>
  </si>
  <si>
    <t>EUR 1M INT ZC|14Y</t>
  </si>
  <si>
    <t>EUR 1M INT ZC|15Y</t>
  </si>
  <si>
    <t>EUR 1M INT ZC|16Y</t>
  </si>
  <si>
    <t>EUR 1M INT ZC|17Y</t>
  </si>
  <si>
    <t>EUR 1M INT ZC|18Y</t>
  </si>
  <si>
    <t>EUR 1M INT ZC|19Y</t>
  </si>
  <si>
    <t>EUR 1M INT ZC|20Y</t>
  </si>
  <si>
    <t>EUR 1M INT ZC|21Y</t>
  </si>
  <si>
    <t>EUR 1M INT ZC|22Y</t>
  </si>
  <si>
    <t>EUR 1M INT ZC|23Y</t>
  </si>
  <si>
    <t>EUR 1M INT ZC|24Y</t>
  </si>
  <si>
    <t>EUR 1M INT ZC|25Y</t>
  </si>
  <si>
    <t>EUR 1M INT ZC|26Y</t>
  </si>
  <si>
    <t>EUR 1M INT ZC|27Y</t>
  </si>
  <si>
    <t>EUR 1M INT ZC|28Y</t>
  </si>
  <si>
    <t>EUR 1M INT ZC|29Y</t>
  </si>
  <si>
    <t>EUR 1M INT ZC|30Y</t>
  </si>
  <si>
    <t>EUR 1M INT ZC|31Y</t>
  </si>
  <si>
    <t>EUR 1M INT ZC|32Y</t>
  </si>
  <si>
    <t>EUR 1M INT ZC|33Y</t>
  </si>
  <si>
    <t>EUR 1M INT ZC|34Y</t>
  </si>
  <si>
    <t>EUR 1M INT ZC|35Y</t>
  </si>
  <si>
    <t>EUR 1M INT ZC|36Y</t>
  </si>
  <si>
    <t>EUR 1M INT ZC|37Y</t>
  </si>
  <si>
    <t>EUR 1M INT ZC|38Y</t>
  </si>
  <si>
    <t>EUR 1M INT ZC|39Y</t>
  </si>
  <si>
    <t>EUR 1M INT ZC|40Y</t>
  </si>
  <si>
    <t>EUR 1M INT ZC|50Y</t>
  </si>
  <si>
    <t>EUR 1M INT ZC|60Y</t>
  </si>
  <si>
    <t>EUR 1Y|10M</t>
  </si>
  <si>
    <t>EUR 1Y|11M</t>
  </si>
  <si>
    <t>EUR 1Y|12M</t>
  </si>
  <si>
    <t>EUR 1Y|1M-13M</t>
  </si>
  <si>
    <t>EUR 1Y|2M-14M</t>
  </si>
  <si>
    <t>EUR 1Y|3M-15M</t>
  </si>
  <si>
    <t>EUR 1Y|4M-16M</t>
  </si>
  <si>
    <t>EUR 1Y|5M-17M</t>
  </si>
  <si>
    <t>EUR 1Y|6M-18M</t>
  </si>
  <si>
    <t>EUR 1Y|7M-19M</t>
  </si>
  <si>
    <t>EUR 1Y|8M-20M</t>
  </si>
  <si>
    <t>EUR 1Y|9M-21M</t>
  </si>
  <si>
    <t>EUR 1Y|10M-22M</t>
  </si>
  <si>
    <t>EUR 1Y|11M-23M</t>
  </si>
  <si>
    <t>EUR 1Y|12M-24M</t>
  </si>
  <si>
    <t>EUR 3M|1M-4M</t>
  </si>
  <si>
    <t>EUR 3M|2M-5M</t>
  </si>
  <si>
    <t>EUR 3M|3M-6M</t>
  </si>
  <si>
    <t>EUR 3M|4M-7M</t>
  </si>
  <si>
    <t>EUR 3M|5M-8M</t>
  </si>
  <si>
    <t>EUR 3M|6M-9M</t>
  </si>
  <si>
    <t>EUR 3M|7M-10M</t>
  </si>
  <si>
    <t>EUR 3M|8M-11M</t>
  </si>
  <si>
    <t>EUR 3M|9M-12M</t>
  </si>
  <si>
    <t>EUR 3M|10M-13M</t>
  </si>
  <si>
    <t>EUR 3M|MAR 17</t>
  </si>
  <si>
    <t>EUR 3M|11M-14M</t>
  </si>
  <si>
    <t>EUR 3M|12M-15M</t>
  </si>
  <si>
    <t>EUR 3M|JUN 17</t>
  </si>
  <si>
    <t>EUR 3M|SEP 17</t>
  </si>
  <si>
    <t>EUR 3M|DEC 17</t>
  </si>
  <si>
    <t>EUR 3M|MAR 18</t>
  </si>
  <si>
    <t>EUR 3M|JUN 18</t>
  </si>
  <si>
    <t>EUR 3M|SEP 18</t>
  </si>
  <si>
    <t>EUR 6M|1M-7M</t>
  </si>
  <si>
    <t>EUR 6M|2M-8M</t>
  </si>
  <si>
    <t>EUR 6M|3M-9M</t>
  </si>
  <si>
    <t>EUR 6M|4M-10M</t>
  </si>
  <si>
    <t>EUR 6M|5M-11M</t>
  </si>
  <si>
    <t>EUR 6M|6M-12M</t>
  </si>
  <si>
    <t>EUR 6M|7M-13M</t>
  </si>
  <si>
    <t>EUR 6M|8M-14M</t>
  </si>
  <si>
    <t>EUR 6M|9M-15M</t>
  </si>
  <si>
    <t>EUR 6M|10M-16M</t>
  </si>
  <si>
    <t>EUR 6M|11M-17M</t>
  </si>
  <si>
    <t>EUR 6M|12M-18M</t>
  </si>
  <si>
    <t>EUR 6M|13M-19M</t>
  </si>
  <si>
    <t>EUR 6M|14M-20M</t>
  </si>
  <si>
    <t>EUR 6M|15M-21M</t>
  </si>
  <si>
    <t>EUR 6M|16M-22M</t>
  </si>
  <si>
    <t>EUR 6M|17M-23M</t>
  </si>
  <si>
    <t>EUR 6M|18M-24M</t>
  </si>
  <si>
    <t>EUR 6M|24M-30M</t>
  </si>
  <si>
    <t>EUR :STD|JUN 17</t>
  </si>
  <si>
    <t>EUR :STD|SEP 17</t>
  </si>
  <si>
    <t>EUR :STD|DEC 17</t>
  </si>
  <si>
    <t>EUR :STD|MAR 18</t>
  </si>
  <si>
    <t>EUR BASIS 3M|6Y</t>
  </si>
  <si>
    <t>EUR BASIS 3M|8Y</t>
  </si>
  <si>
    <t>EUR BASIS 3M|9Y</t>
  </si>
  <si>
    <t>EUR BASIS 3M|12Y</t>
  </si>
  <si>
    <t>EUR BASIS 3M|25Y</t>
  </si>
  <si>
    <t>EUR BASIS 3M|40Y</t>
  </si>
  <si>
    <t>EUR BASIS 3M|50Y</t>
  </si>
  <si>
    <t>EUR BCE 3M|JUN 17</t>
  </si>
  <si>
    <t>EUR BCE 3M|SEP 17</t>
  </si>
  <si>
    <t>EUR BCE 3M|DEC 17</t>
  </si>
  <si>
    <t>EUR BCE 3M|MAR 18</t>
  </si>
  <si>
    <t>EUR BPFU|O/N</t>
  </si>
  <si>
    <t>EUR BPFU</t>
  </si>
  <si>
    <t>EUR BPFU|T/N</t>
  </si>
  <si>
    <t>EUR BPFU|S/N</t>
  </si>
  <si>
    <t>EUR BPFU|1W</t>
  </si>
  <si>
    <t>EUR BPFU|2W</t>
  </si>
  <si>
    <t>EUR BPFU|3W</t>
  </si>
  <si>
    <t>EUR BPFU|1M</t>
  </si>
  <si>
    <t>EUR BPFU|2M</t>
  </si>
  <si>
    <t>EUR BPFU|3M</t>
  </si>
  <si>
    <t>EUR BPFU|4M</t>
  </si>
  <si>
    <t>EUR BPFU|5M</t>
  </si>
  <si>
    <t>EUR BPFU|6M</t>
  </si>
  <si>
    <t>EUR BPFU|7M</t>
  </si>
  <si>
    <t>EUR BPFU|8M</t>
  </si>
  <si>
    <t>EUR BPFU|9M</t>
  </si>
  <si>
    <t>EUR BPFU|1Y</t>
  </si>
  <si>
    <t>EUR BPFU|JUN 17</t>
  </si>
  <si>
    <t>EUR BPFU|SEP 17</t>
  </si>
  <si>
    <t>EUR BPFU|DEC 17</t>
  </si>
  <si>
    <t>EUR BPFU|2Y</t>
  </si>
  <si>
    <t>EUR BPFU|3Y</t>
  </si>
  <si>
    <t>EUR BPFU|4Y</t>
  </si>
  <si>
    <t>EUR BPFU|5Y</t>
  </si>
  <si>
    <t>EUR BPFU|6Y</t>
  </si>
  <si>
    <t>EUR BPFU|7Y</t>
  </si>
  <si>
    <t>EUR BPFU|8Y</t>
  </si>
  <si>
    <t>EUR BPFU|9Y</t>
  </si>
  <si>
    <t>EUR BPFU|10Y</t>
  </si>
  <si>
    <t>EUR BPFU|11Y</t>
  </si>
  <si>
    <t>EUR BPFU|12Y</t>
  </si>
  <si>
    <t>EUR BPFU|13Y</t>
  </si>
  <si>
    <t>EUR BPFU|14Y</t>
  </si>
  <si>
    <t>EUR BPFU|15Y</t>
  </si>
  <si>
    <t>EUR BPFU|16Y</t>
  </si>
  <si>
    <t>EUR BPFU|17Y</t>
  </si>
  <si>
    <t>EUR BPFU|18Y</t>
  </si>
  <si>
    <t>EUR BPFU|19Y</t>
  </si>
  <si>
    <t>EUR BPFU|20Y</t>
  </si>
  <si>
    <t>EUR BPFU|21Y</t>
  </si>
  <si>
    <t>EUR BPFU|22Y</t>
  </si>
  <si>
    <t>EUR BPFU|23Y</t>
  </si>
  <si>
    <t>EUR BPFU|24Y</t>
  </si>
  <si>
    <t>EUR BPFU|25Y</t>
  </si>
  <si>
    <t>EUR BPFU|26Y</t>
  </si>
  <si>
    <t>EUR BPFU|27Y</t>
  </si>
  <si>
    <t>EUR BPFU|28Y</t>
  </si>
  <si>
    <t>EUR BPFU|29Y</t>
  </si>
  <si>
    <t>EUR BPFU|30Y</t>
  </si>
  <si>
    <t>EUR BPFU|40Y</t>
  </si>
  <si>
    <t>EUR BPFU|50Y</t>
  </si>
  <si>
    <t>EUR BPFU|60Y</t>
  </si>
  <si>
    <t>EUR EXPORT|JUN 17</t>
  </si>
  <si>
    <t>EUR EXPORT|SEP 17</t>
  </si>
  <si>
    <t>EUR EXPORT|DEC 17</t>
  </si>
  <si>
    <t>EUR EXPORT|MAR 18</t>
  </si>
  <si>
    <t>EUR ISDA CONVERTER|1M</t>
  </si>
  <si>
    <t>EUR ISDA CONVERTER</t>
  </si>
  <si>
    <t>EUR ISDA CONVERTER|2M</t>
  </si>
  <si>
    <t>EUR ISDA CONVERTER|3M</t>
  </si>
  <si>
    <t>EUR ISDA CONVERTER|6M</t>
  </si>
  <si>
    <t>EUR ISDA CONVERTER|9M</t>
  </si>
  <si>
    <t>EUR ISDA CONVERTER|1Y</t>
  </si>
  <si>
    <t>EUR ISDA CONVERTER|2Y</t>
  </si>
  <si>
    <t>EUR ISDA CONVERTER|3Y</t>
  </si>
  <si>
    <t>EUR ISDA CONVERTER|4Y</t>
  </si>
  <si>
    <t>EUR ISDA CONVERTER|5Y</t>
  </si>
  <si>
    <t>EUR ISDA CONVERTER|6Y</t>
  </si>
  <si>
    <t>EUR ISDA CONVERTER|7Y</t>
  </si>
  <si>
    <t>EUR ISDA CONVERTER|8Y</t>
  </si>
  <si>
    <t>EUR ISDA CONVERTER|9Y</t>
  </si>
  <si>
    <t>EUR ISDA CONVERTER|10Y</t>
  </si>
  <si>
    <t>EUR ISDA CONVERTER|12Y</t>
  </si>
  <si>
    <t>EUR ISDA CONVERTER|15Y</t>
  </si>
  <si>
    <t>EUR ISDA CONVERTER|20Y</t>
  </si>
  <si>
    <t>EUR ISDA CONVERTER|30Y</t>
  </si>
  <si>
    <t>EUR USD BAS OIS|1W</t>
  </si>
  <si>
    <t>EUR USD BAS OIS</t>
  </si>
  <si>
    <t>EUR USD BAS OIS|2W</t>
  </si>
  <si>
    <t>EUR USD BAS OIS|3W</t>
  </si>
  <si>
    <t>EUR USD BAS OIS|1M</t>
  </si>
  <si>
    <t>EUR USD BAS OIS|2M</t>
  </si>
  <si>
    <t>EUR USD BAS OIS|3M</t>
  </si>
  <si>
    <t>EUR USD BAS OIS|4M</t>
  </si>
  <si>
    <t>EUR USD BAS OIS|5M</t>
  </si>
  <si>
    <t>EUR USD BAS OIS|6M</t>
  </si>
  <si>
    <t>EUR USD BAS OIS|9M</t>
  </si>
  <si>
    <t>EUR USD BAS OIS|1Y</t>
  </si>
  <si>
    <t>EUR USD BAS OIS|18M</t>
  </si>
  <si>
    <t>EUR USD BAS OIS|2Y</t>
  </si>
  <si>
    <t>EUR USD BAS OIS|3Y</t>
  </si>
  <si>
    <t>EUR USD BAS OIS|4Y</t>
  </si>
  <si>
    <t>EUR USD BAS OIS|5Y</t>
  </si>
  <si>
    <t>EUR USD BAS OIS|6Y</t>
  </si>
  <si>
    <t>EUR USD BAS OIS|7Y</t>
  </si>
  <si>
    <t>EUR USD BAS OIS|8Y</t>
  </si>
  <si>
    <t>EUR USD BAS OIS|9Y</t>
  </si>
  <si>
    <t>EUR USD BAS OIS|10Y</t>
  </si>
  <si>
    <t>EUR USD BAS OIS|12Y</t>
  </si>
  <si>
    <t>EUR USD BAS OIS|15Y</t>
  </si>
  <si>
    <t>EUR USD BAS OIS|20Y</t>
  </si>
  <si>
    <t>EUR USD BAS OIS|25Y</t>
  </si>
  <si>
    <t>EUR USD BAS OIS|30Y</t>
  </si>
  <si>
    <t>EUR USD BAS OIS|40Y</t>
  </si>
  <si>
    <t>EUR USD BAS OIS|50Y</t>
  </si>
  <si>
    <t>EUR USD BASIS|6Y</t>
  </si>
  <si>
    <t>EUR USD BASIS|8Y</t>
  </si>
  <si>
    <t>EUR USD BASIS|9Y</t>
  </si>
  <si>
    <t>EUR USD BASIS|12Y</t>
  </si>
  <si>
    <t>EUR USD BASIS|25Y</t>
  </si>
  <si>
    <t>EUR USD BASIS|40Y</t>
  </si>
  <si>
    <t>EUR USD BASIS|50Y</t>
  </si>
  <si>
    <t>EUR-OIS DISC INT ZC|O/N</t>
  </si>
  <si>
    <t>EUR-OIS DISC INT ZC</t>
  </si>
  <si>
    <t>EUR-OIS DISC INT ZC|T/N</t>
  </si>
  <si>
    <t>EUR-OIS DISC INT ZC|S/N</t>
  </si>
  <si>
    <t>EUR-OIS DISC INT ZC|1W</t>
  </si>
  <si>
    <t>EUR-OIS DISC INT ZC|2W</t>
  </si>
  <si>
    <t>EUR-OIS DISC INT ZC|3W</t>
  </si>
  <si>
    <t>EUR-OIS DISC INT ZC|1M</t>
  </si>
  <si>
    <t>EUR-OIS DISC INT ZC|2M</t>
  </si>
  <si>
    <t>EUR-OIS DISC INT ZC|3M</t>
  </si>
  <si>
    <t>EUR-OIS DISC INT ZC|4M</t>
  </si>
  <si>
    <t>EUR-OIS DISC INT ZC|5M</t>
  </si>
  <si>
    <t>EUR-OIS DISC INT ZC|6M</t>
  </si>
  <si>
    <t>EUR-OIS DISC INT ZC|7M</t>
  </si>
  <si>
    <t>EUR-OIS DISC INT ZC|8M</t>
  </si>
  <si>
    <t>EUR-OIS DISC INT ZC|9M</t>
  </si>
  <si>
    <t>EUR-OIS DISC INT ZC|10M</t>
  </si>
  <si>
    <t>EUR-OIS DISC INT ZC|11M</t>
  </si>
  <si>
    <t>EUR-OIS DISC INT ZC|1Y</t>
  </si>
  <si>
    <t>EUR-OIS DISC INT ZC|13M</t>
  </si>
  <si>
    <t>EUR-OIS DISC INT ZC|14M</t>
  </si>
  <si>
    <t>EUR-OIS DISC INT ZC|15M</t>
  </si>
  <si>
    <t>EUR-OIS DISC INT ZC|16M</t>
  </si>
  <si>
    <t>EUR-OIS DISC INT ZC|17M</t>
  </si>
  <si>
    <t>EUR-OIS DISC INT ZC|18M</t>
  </si>
  <si>
    <t>EUR-OIS DISC INT ZC|19M</t>
  </si>
  <si>
    <t>EUR-OIS DISC INT ZC|20M</t>
  </si>
  <si>
    <t>EUR-OIS DISC INT ZC|21M</t>
  </si>
  <si>
    <t>EUR-OIS DISC INT ZC|22M</t>
  </si>
  <si>
    <t>EUR-OIS DISC INT ZC|23M</t>
  </si>
  <si>
    <t>EUR-OIS DISC INT ZC|2Y</t>
  </si>
  <si>
    <t>EUR-OIS DISC INT ZC|3Y</t>
  </si>
  <si>
    <t>EUR-OIS DISC INT ZC|4Y</t>
  </si>
  <si>
    <t>EUR-OIS DISC INT ZC|5Y</t>
  </si>
  <si>
    <t>EUR-OIS DISC INT ZC|6Y</t>
  </si>
  <si>
    <t>EUR-OIS DISC INT ZC|7Y</t>
  </si>
  <si>
    <t>EUR-OIS DISC INT ZC|8Y</t>
  </si>
  <si>
    <t>EUR-OIS DISC INT ZC|9Y</t>
  </si>
  <si>
    <t>EUR-OIS DISC INT ZC|10Y</t>
  </si>
  <si>
    <t>EUR-OIS DISC INT ZC|11Y</t>
  </si>
  <si>
    <t>EUR-OIS DISC INT ZC|12Y</t>
  </si>
  <si>
    <t>EUR-OIS DISC INT ZC|13Y</t>
  </si>
  <si>
    <t>EUR-OIS DISC INT ZC|14Y</t>
  </si>
  <si>
    <t>EUR-OIS DISC INT ZC|15Y</t>
  </si>
  <si>
    <t>EUR-OIS DISC INT ZC|16Y</t>
  </si>
  <si>
    <t>EUR-OIS DISC INT ZC|17Y</t>
  </si>
  <si>
    <t>EUR-OIS DISC INT ZC|18Y</t>
  </si>
  <si>
    <t>EUR-OIS DISC INT ZC|19Y</t>
  </si>
  <si>
    <t>EUR-OIS DISC INT ZC|20Y</t>
  </si>
  <si>
    <t>EUR-OIS DISC INT ZC|21Y</t>
  </si>
  <si>
    <t>EUR-OIS DISC INT ZC|22Y</t>
  </si>
  <si>
    <t>EUR-OIS DISC INT ZC|23Y</t>
  </si>
  <si>
    <t>EUR-OIS DISC INT ZC|24Y</t>
  </si>
  <si>
    <t>EUR-OIS DISC INT ZC|25Y</t>
  </si>
  <si>
    <t>EUR-OIS DISC INT ZC|26Y</t>
  </si>
  <si>
    <t>EUR-OIS DISC INT ZC|27Y</t>
  </si>
  <si>
    <t>EUR-OIS DISC INT ZC|28Y</t>
  </si>
  <si>
    <t>EUR-OIS DISC INT ZC|29Y</t>
  </si>
  <si>
    <t>EUR-OIS DISC INT ZC|30Y</t>
  </si>
  <si>
    <t>EUR-OIS DISC INT ZC|35Y</t>
  </si>
  <si>
    <t>EUR-OIS DISC INT ZC|40Y</t>
  </si>
  <si>
    <t>EUR-OIS DISC INT ZC|50Y</t>
  </si>
  <si>
    <t>EUR-OIS DISC INT ZC|60Y</t>
  </si>
  <si>
    <t>EUR-OIS INT ZC|O/N</t>
  </si>
  <si>
    <t>EUR-OIS INT ZC</t>
  </si>
  <si>
    <t>EUR-OIS INT ZC|T/N</t>
  </si>
  <si>
    <t>EUR-OIS INT ZC|S/N</t>
  </si>
  <si>
    <t>EUR-OIS INT ZC|1W</t>
  </si>
  <si>
    <t>EUR-OIS INT ZC|2W</t>
  </si>
  <si>
    <t>EUR-OIS INT ZC|3W</t>
  </si>
  <si>
    <t>EUR-OIS INT ZC|1M</t>
  </si>
  <si>
    <t>EUR-OIS INT ZC|2M</t>
  </si>
  <si>
    <t>EUR-OIS INT ZC|3M</t>
  </si>
  <si>
    <t>EUR-OIS INT ZC|4M</t>
  </si>
  <si>
    <t>EUR-OIS INT ZC|5M</t>
  </si>
  <si>
    <t>EUR-OIS INT ZC|6M</t>
  </si>
  <si>
    <t>EUR-OIS INT ZC|7M</t>
  </si>
  <si>
    <t>EUR-OIS INT ZC|8M</t>
  </si>
  <si>
    <t>EUR-OIS INT ZC|9M</t>
  </si>
  <si>
    <t>EUR-OIS INT ZC|10M</t>
  </si>
  <si>
    <t>EUR-OIS INT ZC|11M</t>
  </si>
  <si>
    <t>EUR-OIS INT ZC|1Y</t>
  </si>
  <si>
    <t>EUR-OIS INT ZC|13M</t>
  </si>
  <si>
    <t>EUR-OIS INT ZC|14M</t>
  </si>
  <si>
    <t>EUR-OIS INT ZC|15M</t>
  </si>
  <si>
    <t>EUR-OIS INT ZC|16M</t>
  </si>
  <si>
    <t>EUR-OIS INT ZC|17M</t>
  </si>
  <si>
    <t>EUR-OIS INT ZC|18M</t>
  </si>
  <si>
    <t>EUR-OIS INT ZC|19M</t>
  </si>
  <si>
    <t>EUR-OIS INT ZC|20M</t>
  </si>
  <si>
    <t>EUR-OIS INT ZC|21M</t>
  </si>
  <si>
    <t>EUR-OIS INT ZC|22M</t>
  </si>
  <si>
    <t>EUR-OIS INT ZC|23M</t>
  </si>
  <si>
    <t>EUR-OIS INT ZC|2Y</t>
  </si>
  <si>
    <t>EUR-OIS INT ZC|3Y</t>
  </si>
  <si>
    <t>EUR-OIS INT ZC|4Y</t>
  </si>
  <si>
    <t>EUR-OIS INT ZC|5Y</t>
  </si>
  <si>
    <t>EUR-OIS INT ZC|6Y</t>
  </si>
  <si>
    <t>EUR-OIS INT ZC|7Y</t>
  </si>
  <si>
    <t>EUR-OIS INT ZC|8Y</t>
  </si>
  <si>
    <t>EUR-OIS INT ZC|9Y</t>
  </si>
  <si>
    <t>EUR-OIS INT ZC|10Y</t>
  </si>
  <si>
    <t>EUR-OIS INT ZC|11Y</t>
  </si>
  <si>
    <t>EUR-OIS INT ZC|12Y</t>
  </si>
  <si>
    <t>EUR-OIS INT ZC|13Y</t>
  </si>
  <si>
    <t>EUR-OIS INT ZC|14Y</t>
  </si>
  <si>
    <t>EUR-OIS INT ZC|15Y</t>
  </si>
  <si>
    <t>EUR-OIS INT ZC|16Y</t>
  </si>
  <si>
    <t>EUR-OIS INT ZC|17Y</t>
  </si>
  <si>
    <t>EUR-OIS INT ZC|18Y</t>
  </si>
  <si>
    <t>EUR-OIS INT ZC|19Y</t>
  </si>
  <si>
    <t>EUR-OIS INT ZC|20Y</t>
  </si>
  <si>
    <t>EUR-OIS INT ZC|21Y</t>
  </si>
  <si>
    <t>EUR-OIS INT ZC|22Y</t>
  </si>
  <si>
    <t>EUR-OIS INT ZC|23Y</t>
  </si>
  <si>
    <t>EUR-OIS INT ZC|24Y</t>
  </si>
  <si>
    <t>EUR-OIS INT ZC|25Y</t>
  </si>
  <si>
    <t>EUR-OIS INT ZC|26Y</t>
  </si>
  <si>
    <t>EUR-OIS INT ZC|27Y</t>
  </si>
  <si>
    <t>EUR-OIS INT ZC|28Y</t>
  </si>
  <si>
    <t>EUR-OIS INT ZC|29Y</t>
  </si>
  <si>
    <t>EUR-OIS INT ZC|30Y</t>
  </si>
  <si>
    <t>EUR-OIS INT ZC|35Y</t>
  </si>
  <si>
    <t>EUR-OIS INT ZC|40Y</t>
  </si>
  <si>
    <t>EUR-OIS INT ZC|50Y</t>
  </si>
  <si>
    <t>EUR-OIS INT ZC|60Y</t>
  </si>
  <si>
    <t>EUR-ZC|JUN 17</t>
  </si>
  <si>
    <t>EUR-ZC|SEP 17</t>
  </si>
  <si>
    <t>EUR-ZC|DEC 17</t>
  </si>
  <si>
    <t>EUR-ZC|MAR 18</t>
  </si>
  <si>
    <t>EUR1M DEMO|O/N</t>
  </si>
  <si>
    <t>EUR1M DEMO</t>
  </si>
  <si>
    <t>EUR1M DEMO|T/N</t>
  </si>
  <si>
    <t>EUR1M DEMO|S/N</t>
  </si>
  <si>
    <t>EUR1M DEMO|1W</t>
  </si>
  <si>
    <t>EUR1M DEMO|2W</t>
  </si>
  <si>
    <t>EUR1M DEMO|3W</t>
  </si>
  <si>
    <t>EUR1M DEMO|1M</t>
  </si>
  <si>
    <t>EUR1M DEMO|2M</t>
  </si>
  <si>
    <t>EUR1M DEMO|3M</t>
  </si>
  <si>
    <t>EUR1M DEMO|4M</t>
  </si>
  <si>
    <t>EUR1M DEMO|5M</t>
  </si>
  <si>
    <t>EUR1M DEMO|6M</t>
  </si>
  <si>
    <t>EUR1M DEMO|7M</t>
  </si>
  <si>
    <t>EUR1M DEMO|8M</t>
  </si>
  <si>
    <t>EUR1M DEMO|9M</t>
  </si>
  <si>
    <t>EUR1M DEMO|10M</t>
  </si>
  <si>
    <t>EUR1M DEMO|11M</t>
  </si>
  <si>
    <t>EUR1M DEMO|12M</t>
  </si>
  <si>
    <t>EUR1M DEMO|1Y3M</t>
  </si>
  <si>
    <t>EUR1M DEMO|1Y6M</t>
  </si>
  <si>
    <t>EUR1M DEMO|1Y9M</t>
  </si>
  <si>
    <t>EUR1M DEMO|2Y</t>
  </si>
  <si>
    <t>EUR1M DEMO|2Y3M</t>
  </si>
  <si>
    <t>EUR1M DEMO|2Y6M</t>
  </si>
  <si>
    <t>EUR1M DEMO|2Y9M</t>
  </si>
  <si>
    <t>EUR1M DEMO|3Y</t>
  </si>
  <si>
    <t>EUR1M DEMO|4Y</t>
  </si>
  <si>
    <t>EUR1M DEMO|5Y</t>
  </si>
  <si>
    <t>EUR1M DEMO|6Y</t>
  </si>
  <si>
    <t>EUR1M DEMO|7Y</t>
  </si>
  <si>
    <t>EUR1M DEMO|8Y</t>
  </si>
  <si>
    <t>EUR1M DEMO|9Y</t>
  </si>
  <si>
    <t>EUR1M DEMO|10Y</t>
  </si>
  <si>
    <t>EUR1M DEMO|11Y</t>
  </si>
  <si>
    <t>EUR1M DEMO|12Y</t>
  </si>
  <si>
    <t>EUR1M DEMO|13Y</t>
  </si>
  <si>
    <t>EUR1M DEMO|14Y</t>
  </si>
  <si>
    <t>EUR1M DEMO|15Y</t>
  </si>
  <si>
    <t>EUR1M DEMO|16Y</t>
  </si>
  <si>
    <t>EUR1M DEMO|17Y</t>
  </si>
  <si>
    <t>EUR1M DEMO|18Y</t>
  </si>
  <si>
    <t>EUR1M DEMO|19Y</t>
  </si>
  <si>
    <t>EUR1M DEMO|20Y</t>
  </si>
  <si>
    <t>EUR1M DEMO|21Y</t>
  </si>
  <si>
    <t>EUR1M DEMO|22Y</t>
  </si>
  <si>
    <t>EUR1M DEMO|23Y</t>
  </si>
  <si>
    <t>EUR1M DEMO|24Y</t>
  </si>
  <si>
    <t>EUR1M DEMO|25Y</t>
  </si>
  <si>
    <t>EUR1M DEMO|26Y</t>
  </si>
  <si>
    <t>EUR1M DEMO|27Y</t>
  </si>
  <si>
    <t>EUR1M DEMO|28Y</t>
  </si>
  <si>
    <t>EUR1M DEMO|29Y</t>
  </si>
  <si>
    <t>EUR1M DEMO|30Y</t>
  </si>
  <si>
    <t>EUR1M DEMO|31Y</t>
  </si>
  <si>
    <t>EUR1M DEMO|32Y</t>
  </si>
  <si>
    <t>EUR1M DEMO|33Y</t>
  </si>
  <si>
    <t>EUR1M DEMO|34Y</t>
  </si>
  <si>
    <t>EUR1M DEMO|35Y</t>
  </si>
  <si>
    <t>EUR1M DEMO|36Y</t>
  </si>
  <si>
    <t>EUR1M DEMO|37Y</t>
  </si>
  <si>
    <t>EUR1M DEMO|38Y</t>
  </si>
  <si>
    <t>EUR1M DEMO|39Y</t>
  </si>
  <si>
    <t>EUR1M DEMO|40Y</t>
  </si>
  <si>
    <t>EUR1M DEMO|50Y</t>
  </si>
  <si>
    <t>EUR1M DEMO|60Y</t>
  </si>
  <si>
    <t>EUR1Y DEMO|O/N</t>
  </si>
  <si>
    <t>EUR1Y DEMO</t>
  </si>
  <si>
    <t>EUR1Y DEMO|T/N</t>
  </si>
  <si>
    <t>EUR1Y DEMO|S/N</t>
  </si>
  <si>
    <t>EUR1Y DEMO|1W</t>
  </si>
  <si>
    <t>EUR1Y DEMO|2W</t>
  </si>
  <si>
    <t>EUR1Y DEMO|3W</t>
  </si>
  <si>
    <t>EUR1Y DEMO|1M</t>
  </si>
  <si>
    <t>EUR1Y DEMO|2M</t>
  </si>
  <si>
    <t>EUR1Y DEMO|3M</t>
  </si>
  <si>
    <t>EUR1Y DEMO|4M</t>
  </si>
  <si>
    <t>EUR1Y DEMO|5M</t>
  </si>
  <si>
    <t>EUR1Y DEMO|6M</t>
  </si>
  <si>
    <t>EUR1Y DEMO|7M</t>
  </si>
  <si>
    <t>EUR1Y DEMO|8M</t>
  </si>
  <si>
    <t>EUR1Y DEMO|9M</t>
  </si>
  <si>
    <t>EUR1Y DEMO|1Y</t>
  </si>
  <si>
    <t>EUR1Y DEMO|JUN 17</t>
  </si>
  <si>
    <t>EUR1Y DEMO|SEP 17</t>
  </si>
  <si>
    <t>EUR1Y DEMO|DEC 17</t>
  </si>
  <si>
    <t>EUR1Y DEMO|2Y</t>
  </si>
  <si>
    <t>EUR1Y DEMO|MAR 18</t>
  </si>
  <si>
    <t>EUR1Y DEMO|3Y</t>
  </si>
  <si>
    <t>EUR1Y DEMO|4Y</t>
  </si>
  <si>
    <t>EUR1Y DEMO|5Y</t>
  </si>
  <si>
    <t>EUR1Y DEMO|6Y</t>
  </si>
  <si>
    <t>EUR1Y DEMO|7Y</t>
  </si>
  <si>
    <t>EUR1Y DEMO|8Y</t>
  </si>
  <si>
    <t>EUR1Y DEMO|9Y</t>
  </si>
  <si>
    <t>EUR1Y DEMO|10Y</t>
  </si>
  <si>
    <t>EUR1Y DEMO|11Y</t>
  </si>
  <si>
    <t>EUR1Y DEMO|12Y</t>
  </si>
  <si>
    <t>EUR1Y DEMO|13Y</t>
  </si>
  <si>
    <t>EUR1Y DEMO|14Y</t>
  </si>
  <si>
    <t>EUR1Y DEMO|15Y</t>
  </si>
  <si>
    <t>EUR1Y DEMO|16Y</t>
  </si>
  <si>
    <t>EUR1Y DEMO|17Y</t>
  </si>
  <si>
    <t>EUR1Y DEMO|18Y</t>
  </si>
  <si>
    <t>EUR1Y DEMO|19Y</t>
  </si>
  <si>
    <t>EUR1Y DEMO|20Y</t>
  </si>
  <si>
    <t>EUR1Y DEMO|21Y</t>
  </si>
  <si>
    <t>EUR1Y DEMO|22Y</t>
  </si>
  <si>
    <t>EUR1Y DEMO|23Y</t>
  </si>
  <si>
    <t>EUR1Y DEMO|24Y</t>
  </si>
  <si>
    <t>EUR1Y DEMO|25Y</t>
  </si>
  <si>
    <t>EUR1Y DEMO|26Y</t>
  </si>
  <si>
    <t>EUR1Y DEMO|27Y</t>
  </si>
  <si>
    <t>EUR1Y DEMO|28Y</t>
  </si>
  <si>
    <t>EUR1Y DEMO|29Y</t>
  </si>
  <si>
    <t>EUR1Y DEMO|30Y</t>
  </si>
  <si>
    <t>EUR1Y DEMO|31Y</t>
  </si>
  <si>
    <t>EUR1Y DEMO|32Y</t>
  </si>
  <si>
    <t>EUR1Y DEMO|33Y</t>
  </si>
  <si>
    <t>EUR1Y DEMO|34Y</t>
  </si>
  <si>
    <t>EUR1Y DEMO|35Y</t>
  </si>
  <si>
    <t>EUR1Y DEMO|36Y</t>
  </si>
  <si>
    <t>EUR1Y DEMO|37Y</t>
  </si>
  <si>
    <t>EUR1Y DEMO|38Y</t>
  </si>
  <si>
    <t>EUR1Y DEMO|39Y</t>
  </si>
  <si>
    <t>EUR1Y DEMO|40Y</t>
  </si>
  <si>
    <t>EUR1Y DEMO|50Y</t>
  </si>
  <si>
    <t>EUR1Y DEMO|60Y</t>
  </si>
  <si>
    <t>EUR3M DEMO|O/N</t>
  </si>
  <si>
    <t>EUR3M DEMO</t>
  </si>
  <si>
    <t>EUR3M DEMO|T/N</t>
  </si>
  <si>
    <t>EUR3M DEMO|S/N</t>
  </si>
  <si>
    <t>EUR3M DEMO|1W</t>
  </si>
  <si>
    <t>EUR3M DEMO|2W</t>
  </si>
  <si>
    <t>EUR3M DEMO|3W</t>
  </si>
  <si>
    <t>EUR3M DEMO|1M</t>
  </si>
  <si>
    <t>EUR3M DEMO|2M</t>
  </si>
  <si>
    <t>EUR3M DEMO|3M</t>
  </si>
  <si>
    <t>EUR3M DEMO|4M</t>
  </si>
  <si>
    <t>EUR3M DEMO|5M</t>
  </si>
  <si>
    <t>EUR3M DEMO|6M</t>
  </si>
  <si>
    <t>EUR3M DEMO|7M</t>
  </si>
  <si>
    <t>EUR3M DEMO|8M</t>
  </si>
  <si>
    <t>EUR3M DEMO|9M</t>
  </si>
  <si>
    <t>EUR3M DEMO|1Y</t>
  </si>
  <si>
    <t>EUR3M DEMO|JUN 17</t>
  </si>
  <si>
    <t>EUR3M DEMO|SEP 17</t>
  </si>
  <si>
    <t>EUR3M DEMO|DEC 17</t>
  </si>
  <si>
    <t>EUR3M DEMO|2Y</t>
  </si>
  <si>
    <t>EUR3M DEMO|MAR 18</t>
  </si>
  <si>
    <t>EUR3M DEMO|3Y</t>
  </si>
  <si>
    <t>EUR3M DEMO|4Y</t>
  </si>
  <si>
    <t>EUR3M DEMO|5Y</t>
  </si>
  <si>
    <t>EUR3M DEMO|6Y</t>
  </si>
  <si>
    <t>EUR3M DEMO|7Y</t>
  </si>
  <si>
    <t>EUR3M DEMO|8Y</t>
  </si>
  <si>
    <t>EUR3M DEMO|9Y</t>
  </si>
  <si>
    <t>EUR3M DEMO|10Y</t>
  </si>
  <si>
    <t>EUR3M DEMO|11Y</t>
  </si>
  <si>
    <t>EUR3M DEMO|12Y</t>
  </si>
  <si>
    <t>EUR3M DEMO|13Y</t>
  </si>
  <si>
    <t>EUR3M DEMO|14Y</t>
  </si>
  <si>
    <t>EUR3M DEMO|15Y</t>
  </si>
  <si>
    <t>EUR3M DEMO|16Y</t>
  </si>
  <si>
    <t>EUR3M DEMO|17Y</t>
  </si>
  <si>
    <t>EUR3M DEMO|18Y</t>
  </si>
  <si>
    <t>EUR3M DEMO|19Y</t>
  </si>
  <si>
    <t>EUR3M DEMO|20Y</t>
  </si>
  <si>
    <t>EUR3M DEMO|21Y</t>
  </si>
  <si>
    <t>EUR3M DEMO|22Y</t>
  </si>
  <si>
    <t>EUR3M DEMO|23Y</t>
  </si>
  <si>
    <t>EUR3M DEMO|24Y</t>
  </si>
  <si>
    <t>EUR3M DEMO|25Y</t>
  </si>
  <si>
    <t>EUR3M DEMO|26Y</t>
  </si>
  <si>
    <t>EUR3M DEMO|27Y</t>
  </si>
  <si>
    <t>EUR3M DEMO|28Y</t>
  </si>
  <si>
    <t>EUR3M DEMO|29Y</t>
  </si>
  <si>
    <t>EUR3M DEMO|30Y</t>
  </si>
  <si>
    <t>EUR3M DEMO|31Y</t>
  </si>
  <si>
    <t>EUR3M DEMO|32Y</t>
  </si>
  <si>
    <t>EUR3M DEMO|33Y</t>
  </si>
  <si>
    <t>EUR3M DEMO|34Y</t>
  </si>
  <si>
    <t>EUR3M DEMO|35Y</t>
  </si>
  <si>
    <t>EUR3M DEMO|36Y</t>
  </si>
  <si>
    <t>EUR3M DEMO|37Y</t>
  </si>
  <si>
    <t>EUR3M DEMO|38Y</t>
  </si>
  <si>
    <t>EUR3M DEMO|39Y</t>
  </si>
  <si>
    <t>EUR3M DEMO|40Y</t>
  </si>
  <si>
    <t>EUR3M DEMO|50Y</t>
  </si>
  <si>
    <t>EUR3M DEMO|60Y</t>
  </si>
  <si>
    <t>EUR6M DEMO|O/N</t>
  </si>
  <si>
    <t>EUR6M DEMO</t>
  </si>
  <si>
    <t>EUR6M DEMO|T/N</t>
  </si>
  <si>
    <t>EUR6M DEMO|S/N</t>
  </si>
  <si>
    <t>EUR6M DEMO|1W</t>
  </si>
  <si>
    <t>EUR6M DEMO|2W</t>
  </si>
  <si>
    <t>EUR6M DEMO|3W</t>
  </si>
  <si>
    <t>EUR6M DEMO|1M</t>
  </si>
  <si>
    <t>EUR6M DEMO|2M</t>
  </si>
  <si>
    <t>EUR6M DEMO|3M</t>
  </si>
  <si>
    <t>EUR6M DEMO|4M</t>
  </si>
  <si>
    <t>EUR6M DEMO|5M</t>
  </si>
  <si>
    <t>EUR6M DEMO|6M</t>
  </si>
  <si>
    <t>EUR6M DEMO|7M</t>
  </si>
  <si>
    <t>EUR6M DEMO|8M</t>
  </si>
  <si>
    <t>EUR6M DEMO|9M</t>
  </si>
  <si>
    <t>EUR6M DEMO|1Y</t>
  </si>
  <si>
    <t>EUR6M DEMO|JUN 17</t>
  </si>
  <si>
    <t>EUR6M DEMO|SEP 17</t>
  </si>
  <si>
    <t>EUR6M DEMO|DEC 17</t>
  </si>
  <si>
    <t>EUR6M DEMO|2Y</t>
  </si>
  <si>
    <t>EUR6M DEMO|MAR 18</t>
  </si>
  <si>
    <t>EUR6M DEMO|3Y</t>
  </si>
  <si>
    <t>EUR6M DEMO|4Y</t>
  </si>
  <si>
    <t>EUR6M DEMO|5Y</t>
  </si>
  <si>
    <t>EUR6M DEMO|6Y</t>
  </si>
  <si>
    <t>EUR6M DEMO|7Y</t>
  </si>
  <si>
    <t>EUR6M DEMO|8Y</t>
  </si>
  <si>
    <t>EUR6M DEMO|9Y</t>
  </si>
  <si>
    <t>EUR6M DEMO|10Y</t>
  </si>
  <si>
    <t>EUR6M DEMO|11Y</t>
  </si>
  <si>
    <t>EUR6M DEMO|12Y</t>
  </si>
  <si>
    <t>EUR6M DEMO|13Y</t>
  </si>
  <si>
    <t>EUR6M DEMO|14Y</t>
  </si>
  <si>
    <t>EUR6M DEMO|15Y</t>
  </si>
  <si>
    <t>EUR6M DEMO|16Y</t>
  </si>
  <si>
    <t>EUR6M DEMO|17Y</t>
  </si>
  <si>
    <t>EUR6M DEMO|18Y</t>
  </si>
  <si>
    <t>EUR6M DEMO|19Y</t>
  </si>
  <si>
    <t>EUR6M DEMO|20Y</t>
  </si>
  <si>
    <t>EUR6M DEMO|21Y</t>
  </si>
  <si>
    <t>EUR6M DEMO|22Y</t>
  </si>
  <si>
    <t>EUR6M DEMO|23Y</t>
  </si>
  <si>
    <t>EUR6M DEMO|24Y</t>
  </si>
  <si>
    <t>EUR6M DEMO|25Y</t>
  </si>
  <si>
    <t>EUR6M DEMO|26Y</t>
  </si>
  <si>
    <t>EUR6M DEMO|27Y</t>
  </si>
  <si>
    <t>EUR6M DEMO|28Y</t>
  </si>
  <si>
    <t>EUR6M DEMO|29Y</t>
  </si>
  <si>
    <t>EUR6M DEMO|30Y</t>
  </si>
  <si>
    <t>EUR6M DEMO|31Y</t>
  </si>
  <si>
    <t>EUR6M DEMO|32Y</t>
  </si>
  <si>
    <t>EUR6M DEMO|33Y</t>
  </si>
  <si>
    <t>EUR6M DEMO|34Y</t>
  </si>
  <si>
    <t>EUR6M DEMO|35Y</t>
  </si>
  <si>
    <t>EUR6M DEMO|36Y</t>
  </si>
  <si>
    <t>EUR6M DEMO|37Y</t>
  </si>
  <si>
    <t>EUR6M DEMO|38Y</t>
  </si>
  <si>
    <t>EUR6M DEMO|39Y</t>
  </si>
  <si>
    <t>EUR6M DEMO|40Y</t>
  </si>
  <si>
    <t>EUR6M DEMO|50Y</t>
  </si>
  <si>
    <t>EUR6M DEMO|60Y</t>
  </si>
  <si>
    <t>EURON DEMO|O/N</t>
  </si>
  <si>
    <t>EURON DEMO</t>
  </si>
  <si>
    <t>EURON DEMO|T/N</t>
  </si>
  <si>
    <t>EURON DEMO|S/N</t>
  </si>
  <si>
    <t>EURON DEMO|1W</t>
  </si>
  <si>
    <t>EURON DEMO|2W</t>
  </si>
  <si>
    <t>EURON DEMO|3W</t>
  </si>
  <si>
    <t>EURON DEMO|1M</t>
  </si>
  <si>
    <t>EURON DEMO|2M</t>
  </si>
  <si>
    <t>EURON DEMO|3M</t>
  </si>
  <si>
    <t>EURON DEMO|4M</t>
  </si>
  <si>
    <t>EURON DEMO|5M</t>
  </si>
  <si>
    <t>EURON DEMO|6M</t>
  </si>
  <si>
    <t>EURON DEMO|7M</t>
  </si>
  <si>
    <t>EURON DEMO|8M</t>
  </si>
  <si>
    <t>EURON DEMO|9M</t>
  </si>
  <si>
    <t>EURON DEMO|10M</t>
  </si>
  <si>
    <t>EURON DEMO|11M</t>
  </si>
  <si>
    <t>EURON DEMO|1Y</t>
  </si>
  <si>
    <t>EURON DEMO|13M</t>
  </si>
  <si>
    <t>EURON DEMO|14M</t>
  </si>
  <si>
    <t>EURON DEMO|15M</t>
  </si>
  <si>
    <t>EURON DEMO|16M</t>
  </si>
  <si>
    <t>EURON DEMO|17M</t>
  </si>
  <si>
    <t>EURON DEMO|18M</t>
  </si>
  <si>
    <t>EURON DEMO|19M</t>
  </si>
  <si>
    <t>EURON DEMO|20M</t>
  </si>
  <si>
    <t>EURON DEMO|21M</t>
  </si>
  <si>
    <t>EURON DEMO|22M</t>
  </si>
  <si>
    <t>EURON DEMO|23M</t>
  </si>
  <si>
    <t>EURON DEMO|2Y</t>
  </si>
  <si>
    <t>EURON DEMO|3Y</t>
  </si>
  <si>
    <t>EURON DEMO|4Y</t>
  </si>
  <si>
    <t>EURON DEMO|5Y</t>
  </si>
  <si>
    <t>EURON DEMO|6Y</t>
  </si>
  <si>
    <t>EURON DEMO|7Y</t>
  </si>
  <si>
    <t>EURON DEMO|8Y</t>
  </si>
  <si>
    <t>EURON DEMO|9Y</t>
  </si>
  <si>
    <t>EURON DEMO|10Y</t>
  </si>
  <si>
    <t>EURON DEMO|11Y</t>
  </si>
  <si>
    <t>EURON DEMO|12Y</t>
  </si>
  <si>
    <t>EURON DEMO|13Y</t>
  </si>
  <si>
    <t>EURON DEMO|14Y</t>
  </si>
  <si>
    <t>EURON DEMO|15Y</t>
  </si>
  <si>
    <t>EURON DEMO|16Y</t>
  </si>
  <si>
    <t>EURON DEMO|17Y</t>
  </si>
  <si>
    <t>EURON DEMO|18Y</t>
  </si>
  <si>
    <t>EURON DEMO|19Y</t>
  </si>
  <si>
    <t>EURON DEMO|20Y</t>
  </si>
  <si>
    <t>EURON DEMO|21Y</t>
  </si>
  <si>
    <t>EURON DEMO|22Y</t>
  </si>
  <si>
    <t>EURON DEMO|23Y</t>
  </si>
  <si>
    <t>EURON DEMO|24Y</t>
  </si>
  <si>
    <t>EURON DEMO|25Y</t>
  </si>
  <si>
    <t>EURON DEMO|26Y</t>
  </si>
  <si>
    <t>EURON DEMO|27Y</t>
  </si>
  <si>
    <t>EURON DEMO|28Y</t>
  </si>
  <si>
    <t>EURON DEMO|29Y</t>
  </si>
  <si>
    <t>EURON DEMO|30Y</t>
  </si>
  <si>
    <t>EURON DEMO|35Y</t>
  </si>
  <si>
    <t>EURON DEMO|40Y</t>
  </si>
  <si>
    <t>EURON DEMO|50Y</t>
  </si>
  <si>
    <t>EURON DEMO|60Y</t>
  </si>
  <si>
    <t>EURON DISC DEMO|O/N</t>
  </si>
  <si>
    <t>EURON DISC DEMO</t>
  </si>
  <si>
    <t>EURON DISC DEMO|T/N</t>
  </si>
  <si>
    <t>EURON DISC DEMO|S/N</t>
  </si>
  <si>
    <t>EURON DISC DEMO|1W</t>
  </si>
  <si>
    <t>EURON DISC DEMO|2W</t>
  </si>
  <si>
    <t>EURON DISC DEMO|3W</t>
  </si>
  <si>
    <t>EURON DISC DEMO|1M</t>
  </si>
  <si>
    <t>EURON DISC DEMO|2M</t>
  </si>
  <si>
    <t>EURON DISC DEMO|3M</t>
  </si>
  <si>
    <t>EURON DISC DEMO|4M</t>
  </si>
  <si>
    <t>EURON DISC DEMO|5M</t>
  </si>
  <si>
    <t>EURON DISC DEMO|6M</t>
  </si>
  <si>
    <t>EURON DISC DEMO|7M</t>
  </si>
  <si>
    <t>EURON DISC DEMO|8M</t>
  </si>
  <si>
    <t>EURON DISC DEMO|9M</t>
  </si>
  <si>
    <t>EURON DISC DEMO|10M</t>
  </si>
  <si>
    <t>EURON DISC DEMO|11M</t>
  </si>
  <si>
    <t>EURON DISC DEMO|1Y</t>
  </si>
  <si>
    <t>EURON DISC DEMO|13M</t>
  </si>
  <si>
    <t>EURON DISC DEMO|14M</t>
  </si>
  <si>
    <t>EURON DISC DEMO|15M</t>
  </si>
  <si>
    <t>EURON DISC DEMO|16M</t>
  </si>
  <si>
    <t>EURON DISC DEMO|17M</t>
  </si>
  <si>
    <t>EURON DISC DEMO|18M</t>
  </si>
  <si>
    <t>EURON DISC DEMO|19M</t>
  </si>
  <si>
    <t>EURON DISC DEMO|20M</t>
  </si>
  <si>
    <t>EURON DISC DEMO|21M</t>
  </si>
  <si>
    <t>EURON DISC DEMO|22M</t>
  </si>
  <si>
    <t>EURON DISC DEMO|23M</t>
  </si>
  <si>
    <t>EURON DISC DEMO|2Y</t>
  </si>
  <si>
    <t>EURON DISC DEMO|3Y</t>
  </si>
  <si>
    <t>EURON DISC DEMO|4Y</t>
  </si>
  <si>
    <t>EURON DISC DEMO|5Y</t>
  </si>
  <si>
    <t>EURON DISC DEMO|6Y</t>
  </si>
  <si>
    <t>EURON DISC DEMO|7Y</t>
  </si>
  <si>
    <t>EURON DISC DEMO|8Y</t>
  </si>
  <si>
    <t>EURON DISC DEMO|9Y</t>
  </si>
  <si>
    <t>EURON DISC DEMO|10Y</t>
  </si>
  <si>
    <t>EURON DISC DEMO|11Y</t>
  </si>
  <si>
    <t>EURON DISC DEMO|12Y</t>
  </si>
  <si>
    <t>EURON DISC DEMO|13Y</t>
  </si>
  <si>
    <t>EURON DISC DEMO|14Y</t>
  </si>
  <si>
    <t>EURON DISC DEMO|15Y</t>
  </si>
  <si>
    <t>EURON DISC DEMO|16Y</t>
  </si>
  <si>
    <t>EURON DISC DEMO|17Y</t>
  </si>
  <si>
    <t>EURON DISC DEMO|18Y</t>
  </si>
  <si>
    <t>EURON DISC DEMO|19Y</t>
  </si>
  <si>
    <t>EURON DISC DEMO|20Y</t>
  </si>
  <si>
    <t>EURON DISC DEMO|21Y</t>
  </si>
  <si>
    <t>EURON DISC DEMO|22Y</t>
  </si>
  <si>
    <t>EURON DISC DEMO|23Y</t>
  </si>
  <si>
    <t>EURON DISC DEMO|24Y</t>
  </si>
  <si>
    <t>EURON DISC DEMO|25Y</t>
  </si>
  <si>
    <t>EURON DISC DEMO|26Y</t>
  </si>
  <si>
    <t>EURON DISC DEMO|27Y</t>
  </si>
  <si>
    <t>EURON DISC DEMO|28Y</t>
  </si>
  <si>
    <t>EURON DISC DEMO|29Y</t>
  </si>
  <si>
    <t>EURON DISC DEMO|30Y</t>
  </si>
  <si>
    <t>EURON DISC DEMO|35Y</t>
  </si>
  <si>
    <t>EURON DISC DEMO|40Y</t>
  </si>
  <si>
    <t>EURON DISC DEMO|50Y</t>
  </si>
  <si>
    <t>EURON DISC DEMO|60Y</t>
  </si>
  <si>
    <t>LCH EUR 1M|60Y</t>
  </si>
  <si>
    <t>LCH EUR 1Y|60Y</t>
  </si>
  <si>
    <t>LCH EUR 3M|JUN 17</t>
  </si>
  <si>
    <t>LCH EUR 3M|SEP 17</t>
  </si>
  <si>
    <t>LCH EUR 3M|DEC 17</t>
  </si>
  <si>
    <t>LCH EUR 3M|MAR 18</t>
  </si>
  <si>
    <t>LCH EUR 3M|JUN 18</t>
  </si>
  <si>
    <t>LCH EUR 3M|SEP 18</t>
  </si>
  <si>
    <t>LCH EUR 3M|DEC 18</t>
  </si>
  <si>
    <t>DEC 18</t>
  </si>
  <si>
    <t>LCH EUR 3M|60Y</t>
  </si>
  <si>
    <t>LCH EUR 6M|60Y</t>
  </si>
  <si>
    <t>LCH EUR OIS|60Y</t>
  </si>
  <si>
    <t>LCH EUR STD|JUN 17</t>
  </si>
  <si>
    <t>LCH EUR STD|SEP 17</t>
  </si>
  <si>
    <t>LCH EUR STD|DEC 17</t>
  </si>
  <si>
    <t>LCH EUR STD|MAR 18</t>
  </si>
  <si>
    <t>LCH EUR STD|JUN 18</t>
  </si>
  <si>
    <t>LCH EUR STD|SEP 18</t>
  </si>
  <si>
    <t>LCH EUR STD|DEC 18</t>
  </si>
  <si>
    <t>LCH EUR STD|60Y</t>
  </si>
  <si>
    <t>LCH USD 1M|60Y</t>
  </si>
  <si>
    <t>LCH USD 1Y|60Y</t>
  </si>
  <si>
    <t>LCH USD 3M|JUN 17</t>
  </si>
  <si>
    <t>LCH USD 3M|SEP 17</t>
  </si>
  <si>
    <t>LCH USD 3M|DEC 17</t>
  </si>
  <si>
    <t>LCH USD 3M|MAR 18</t>
  </si>
  <si>
    <t>LCH USD 3M|JUN 18</t>
  </si>
  <si>
    <t>LCH USD 3M|SEP 18</t>
  </si>
  <si>
    <t>LCH USD 3M|DEC 18</t>
  </si>
  <si>
    <t>LCH USD 3M|60Y</t>
  </si>
  <si>
    <t>LCH USD 6M|60Y</t>
  </si>
  <si>
    <t>LCH USD OIS|60Y</t>
  </si>
  <si>
    <t>LCH USD STD|JUN 17</t>
  </si>
  <si>
    <t>LCH USD STD|SEP 17</t>
  </si>
  <si>
    <t>LCH USD STD|DEC 17</t>
  </si>
  <si>
    <t>LCH USD STD|MAR 18</t>
  </si>
  <si>
    <t>LCH USD STD|JUN 18</t>
  </si>
  <si>
    <t>LCH USD STD|SEP 18</t>
  </si>
  <si>
    <t>LCH USD STD|DEC 18</t>
  </si>
  <si>
    <t>LCH USD STD|60Y</t>
  </si>
  <si>
    <t>USD 12M|JUN 17</t>
  </si>
  <si>
    <t>USD 12M|SEP 17</t>
  </si>
  <si>
    <t>USD 12M|DEC 17</t>
  </si>
  <si>
    <t>USD 12M|MAR 18</t>
  </si>
  <si>
    <t>USD 1M|JUN 17</t>
  </si>
  <si>
    <t>USD 1M|SEP 17</t>
  </si>
  <si>
    <t>USD 1M|DEC 17</t>
  </si>
  <si>
    <t>USD 1M|MAR 18</t>
  </si>
  <si>
    <t>USD 3M|JUN 17</t>
  </si>
  <si>
    <t>USD 3M|SEP 17</t>
  </si>
  <si>
    <t>USD 3M|DEC 17</t>
  </si>
  <si>
    <t>USD 3M|MAR 18</t>
  </si>
  <si>
    <t>USD 6M|JUN 17</t>
  </si>
  <si>
    <t>USD 6M|SEP 17</t>
  </si>
  <si>
    <t>USD 6M|DEC 17</t>
  </si>
  <si>
    <t>USD 6M|MAR 18</t>
  </si>
  <si>
    <t>USD :STD|JUN 17</t>
  </si>
  <si>
    <t>USD :STD|SEP 17</t>
  </si>
  <si>
    <t>USD :STD|DEC 17</t>
  </si>
  <si>
    <t>USD :STD|MAR 18</t>
  </si>
  <si>
    <t>USD BASIS 3M|6Y</t>
  </si>
  <si>
    <t>USD BASIS 3M|8Y</t>
  </si>
  <si>
    <t>USD BASIS 3M|9Y</t>
  </si>
  <si>
    <t>USD BASIS 3M|12Y</t>
  </si>
  <si>
    <t>USD BASIS 3M|25Y</t>
  </si>
  <si>
    <t>USD BASIS 3M|40Y</t>
  </si>
  <si>
    <t>USD BASIS 3M|50Y</t>
  </si>
  <si>
    <t>USD BASIS3M_STD|6Y</t>
  </si>
  <si>
    <t>USD BASIS3M_STD|8Y</t>
  </si>
  <si>
    <t>USD BASIS3M_STD|9Y</t>
  </si>
  <si>
    <t>USD BASIS3M_STD|12Y</t>
  </si>
  <si>
    <t>USD BASIS3M_STD|25Y</t>
  </si>
  <si>
    <t>USD BASIS3M_STD|40Y</t>
  </si>
  <si>
    <t>USD BASIS3M_STD|50Y</t>
  </si>
  <si>
    <t>USD BPFU|O/N</t>
  </si>
  <si>
    <t>USD BPFU</t>
  </si>
  <si>
    <t>USD BPFU|T/N</t>
  </si>
  <si>
    <t>USD BPFU|S/N</t>
  </si>
  <si>
    <t>USD BPFU|1W</t>
  </si>
  <si>
    <t>USD BPFU|2W</t>
  </si>
  <si>
    <t>USD BPFU|3W</t>
  </si>
  <si>
    <t>USD BPFU|1M</t>
  </si>
  <si>
    <t>USD BPFU|2M</t>
  </si>
  <si>
    <t>USD BPFU|3M</t>
  </si>
  <si>
    <t>USD BPFU|4M</t>
  </si>
  <si>
    <t>USD BPFU|5M</t>
  </si>
  <si>
    <t>USD BPFU|6M</t>
  </si>
  <si>
    <t>USD BPFU|7M</t>
  </si>
  <si>
    <t>USD BPFU|8M</t>
  </si>
  <si>
    <t>USD BPFU|9M</t>
  </si>
  <si>
    <t>USD BPFU|1Y</t>
  </si>
  <si>
    <t>USD BPFU|JUN 17</t>
  </si>
  <si>
    <t>USD BPFU|SEP 17</t>
  </si>
  <si>
    <t>USD BPFU|DEC 17</t>
  </si>
  <si>
    <t>USD BPFU|2Y</t>
  </si>
  <si>
    <t>USD BPFU|3Y</t>
  </si>
  <si>
    <t>USD BPFU|4Y</t>
  </si>
  <si>
    <t>USD BPFU|5Y</t>
  </si>
  <si>
    <t>USD BPFU|6Y</t>
  </si>
  <si>
    <t>USD BPFU|7Y</t>
  </si>
  <si>
    <t>USD BPFU|8Y</t>
  </si>
  <si>
    <t>USD BPFU|9Y</t>
  </si>
  <si>
    <t>USD BPFU|10Y</t>
  </si>
  <si>
    <t>USD BPFU|11Y</t>
  </si>
  <si>
    <t>USD BPFU|12Y</t>
  </si>
  <si>
    <t>USD BPFU|13Y</t>
  </si>
  <si>
    <t>USD BPFU|14Y</t>
  </si>
  <si>
    <t>USD BPFU|15Y</t>
  </si>
  <si>
    <t>USD BPFU|16Y</t>
  </si>
  <si>
    <t>USD BPFU|17Y</t>
  </si>
  <si>
    <t>USD BPFU|18Y</t>
  </si>
  <si>
    <t>USD BPFU|19Y</t>
  </si>
  <si>
    <t>USD BPFU|20Y</t>
  </si>
  <si>
    <t>USD BPFU|21Y</t>
  </si>
  <si>
    <t>USD BPFU|22Y</t>
  </si>
  <si>
    <t>USD BPFU|23Y</t>
  </si>
  <si>
    <t>USD BPFU|24Y</t>
  </si>
  <si>
    <t>USD BPFU|25Y</t>
  </si>
  <si>
    <t>USD BPFU|26Y</t>
  </si>
  <si>
    <t>USD BPFU|27Y</t>
  </si>
  <si>
    <t>USD BPFU|28Y</t>
  </si>
  <si>
    <t>USD BPFU|29Y</t>
  </si>
  <si>
    <t>USD BPFU|30Y</t>
  </si>
  <si>
    <t>USD BPFU|40Y</t>
  </si>
  <si>
    <t>USD BPFU|50Y</t>
  </si>
  <si>
    <t>USD BPFU|60Y</t>
  </si>
  <si>
    <t>USD EXPORT|JUN 17</t>
  </si>
  <si>
    <t>USD EXPORT|SEP 17</t>
  </si>
  <si>
    <t>USD EXPORT|DEC 17</t>
  </si>
  <si>
    <t>USD EXPORT|MAR 18</t>
  </si>
  <si>
    <t>USD ISDA CONVERTER|1M</t>
  </si>
  <si>
    <t>USD ISDA CONVERTER</t>
  </si>
  <si>
    <t>USD ISDA CONVERTER|2M</t>
  </si>
  <si>
    <t>USD ISDA CONVERTER|3M</t>
  </si>
  <si>
    <t>USD ISDA CONVERTER|6M</t>
  </si>
  <si>
    <t>USD ISDA CONVERTER|9M</t>
  </si>
  <si>
    <t>USD ISDA CONVERTER|1Y</t>
  </si>
  <si>
    <t>USD ISDA CONVERTER|2Y</t>
  </si>
  <si>
    <t>USD ISDA CONVERTER|3Y</t>
  </si>
  <si>
    <t>USD ISDA CONVERTER|4Y</t>
  </si>
  <si>
    <t>USD ISDA CONVERTER|5Y</t>
  </si>
  <si>
    <t>USD ISDA CONVERTER|6Y</t>
  </si>
  <si>
    <t>USD ISDA CONVERTER|7Y</t>
  </si>
  <si>
    <t>USD ISDA CONVERTER|8Y</t>
  </si>
  <si>
    <t>USD ISDA CONVERTER|9Y</t>
  </si>
  <si>
    <t>USD ISDA CONVERTER|10Y</t>
  </si>
  <si>
    <t>USD ISDA CONVERTER|12Y</t>
  </si>
  <si>
    <t>USD ISDA CONVERTER|15Y</t>
  </si>
  <si>
    <t>USD ISDA CONVERTER|20Y</t>
  </si>
  <si>
    <t>USD ISDA CONVERTER|25Y</t>
  </si>
  <si>
    <t>USD ISDA CONVERTER|30Y</t>
  </si>
  <si>
    <t>USD-ZC|JUN 17</t>
  </si>
  <si>
    <t>USD-ZC|SEP 17</t>
  </si>
  <si>
    <t>USD-ZC|DEC 17</t>
  </si>
  <si>
    <t>USD-ZC|MAR 18</t>
  </si>
  <si>
    <t>12m-15m</t>
  </si>
  <si>
    <t>Fut</t>
  </si>
  <si>
    <t>filtered</t>
  </si>
  <si>
    <t xml:space="preserve">future </t>
  </si>
  <si>
    <t>EUR3MDP</t>
  </si>
  <si>
    <t>EUR3MFRA</t>
  </si>
  <si>
    <t>EUR3MFUT</t>
  </si>
  <si>
    <t>EUR3MSW</t>
  </si>
  <si>
    <t>F=</t>
  </si>
  <si>
    <t>instr</t>
  </si>
  <si>
    <t>EURONOISSW=</t>
  </si>
  <si>
    <t>EUR1MDPSN=</t>
  </si>
  <si>
    <t>EUR1MDPSW=</t>
  </si>
  <si>
    <t>EUR BCE|14/12/16</t>
  </si>
  <si>
    <t>14/12/16</t>
  </si>
  <si>
    <t>EUR BCE|25/01/17</t>
  </si>
  <si>
    <t>25/01/17</t>
  </si>
  <si>
    <t>EUR BCE|15/03/17</t>
  </si>
  <si>
    <t>15/03/17</t>
  </si>
  <si>
    <t>EUR BCE|26/04/17</t>
  </si>
  <si>
    <t>26/04/17</t>
  </si>
  <si>
    <t>eur</t>
  </si>
  <si>
    <t>3m</t>
  </si>
  <si>
    <t>6m</t>
  </si>
  <si>
    <t>1y</t>
  </si>
  <si>
    <t>EUREX BUXL 30Y</t>
  </si>
  <si>
    <t>BUXL</t>
  </si>
  <si>
    <t>BOBL,BUND,BUXL Next Dates</t>
  </si>
  <si>
    <t>BOBL,BUND,BUXL First Dates</t>
  </si>
  <si>
    <t>FGBX</t>
  </si>
  <si>
    <t>BUND/BOBL..</t>
  </si>
  <si>
    <t>EDH0</t>
  </si>
  <si>
    <t>EUR USD BAS SONIA|1W</t>
  </si>
  <si>
    <t>EUR USD BAS SONIA</t>
  </si>
  <si>
    <t>EUR USD BAS SONIA|2W</t>
  </si>
  <si>
    <t>EUR USD BAS SONIA|3W</t>
  </si>
  <si>
    <t>EUR USD BAS SONIA|1M</t>
  </si>
  <si>
    <t>EUR USD BAS SONIA|2M</t>
  </si>
  <si>
    <t>EUR USD BAS SONIA|3M</t>
  </si>
  <si>
    <t>EUR USD BAS SONIA|4M</t>
  </si>
  <si>
    <t>EUR USD BAS SONIA|5M</t>
  </si>
  <si>
    <t>EUR USD BAS SONIA|6M</t>
  </si>
  <si>
    <t>EUR USD BAS SONIA|9M</t>
  </si>
  <si>
    <t>EUR USD BAS SONIA|1Y</t>
  </si>
  <si>
    <t>EUR USD BAS SONIA|18M</t>
  </si>
  <si>
    <t>EUR USD BAS SONIA|2Y</t>
  </si>
  <si>
    <t>EUR USD BAS SONIA|3Y</t>
  </si>
  <si>
    <t>EUR USD BAS SONIA|4Y</t>
  </si>
  <si>
    <t>EUR USD BAS SONIA|5Y</t>
  </si>
  <si>
    <t>EUR USD BAS SONIA|6Y</t>
  </si>
  <si>
    <t>EUR USD BAS SONIA|7Y</t>
  </si>
  <si>
    <t>EUR USD BAS SONIA|8Y</t>
  </si>
  <si>
    <t>EUR USD BAS SONIA|9Y</t>
  </si>
  <si>
    <t>EUR USD BAS SONIA|10Y</t>
  </si>
  <si>
    <t>EUR USD BAS SONIA|12Y</t>
  </si>
  <si>
    <t>EUR USD BAS SONIA|15Y</t>
  </si>
  <si>
    <t>EUR USD BAS SONIA|20Y</t>
  </si>
  <si>
    <t>EUR USD BAS SONIA|25Y</t>
  </si>
  <si>
    <t>EUR USD BAS SONIA|30Y</t>
  </si>
  <si>
    <t>EUR USD BAS SONIA|40Y</t>
  </si>
  <si>
    <t>EUR USD BAS SONIA|50Y</t>
  </si>
  <si>
    <t>USD GBP BAS SONIA|1W</t>
  </si>
  <si>
    <t>USD GBP BAS SONIA</t>
  </si>
  <si>
    <t>USD GBP BAS SONIA|2W</t>
  </si>
  <si>
    <t>USD GBP BAS SONIA|3W</t>
  </si>
  <si>
    <t>USD GBP BAS SONIA|1M</t>
  </si>
  <si>
    <t>USD GBP BAS SONIA|2M</t>
  </si>
  <si>
    <t>USD GBP BAS SONIA|3M</t>
  </si>
  <si>
    <t>USD GBP BAS SONIA|4M</t>
  </si>
  <si>
    <t>USD GBP BAS SONIA|5M</t>
  </si>
  <si>
    <t>USD GBP BAS SONIA|6M</t>
  </si>
  <si>
    <t>USD GBP BAS SONIA|9M</t>
  </si>
  <si>
    <t>USD GBP BAS SONIA|1Y</t>
  </si>
  <si>
    <t>USD GBP BAS SONIA|18M</t>
  </si>
  <si>
    <t>USD GBP BAS SONIA|2Y</t>
  </si>
  <si>
    <t>USD GBP BAS SONIA|3Y</t>
  </si>
  <si>
    <t>USD GBP BAS SONIA|4Y</t>
  </si>
  <si>
    <t>USD GBP BAS SONIA|5Y</t>
  </si>
  <si>
    <t>USD GBP BAS SONIA|6Y</t>
  </si>
  <si>
    <t>USD GBP BAS SONIA|7Y</t>
  </si>
  <si>
    <t>USD GBP BAS SONIA|8Y</t>
  </si>
  <si>
    <t>USD GBP BAS SONIA|9Y</t>
  </si>
  <si>
    <t>USD GBP BAS SONIA|10Y</t>
  </si>
  <si>
    <t>USD GBP BAS SONIA|12Y</t>
  </si>
  <si>
    <t>USD GBP BAS SONIA|15Y</t>
  </si>
  <si>
    <t>USD GBP BAS SONIA|20Y</t>
  </si>
  <si>
    <t>USD GBP BAS SONIA|25Y</t>
  </si>
  <si>
    <t>USD GBP BAS SONIA|30Y</t>
  </si>
  <si>
    <t>USD GBP BAS SONIA|40Y</t>
  </si>
  <si>
    <t>USD GBP BAS SONIA|50Y</t>
  </si>
  <si>
    <t>EUR6MSW</t>
  </si>
  <si>
    <t>EDM0</t>
  </si>
  <si>
    <t>FEIM0</t>
  </si>
  <si>
    <t>EUR 3M|DEC 18</t>
  </si>
  <si>
    <t>EUR :STD|JUN 18</t>
  </si>
  <si>
    <t>EUR BCE|07/06/17</t>
  </si>
  <si>
    <t>07/06/17</t>
  </si>
  <si>
    <t>EUR BCE|26/07/17</t>
  </si>
  <si>
    <t>26/07/17</t>
  </si>
  <si>
    <t>EUR BCE|13/09/17</t>
  </si>
  <si>
    <t>13/09/17</t>
  </si>
  <si>
    <t>EUR BCE|25/10/17</t>
  </si>
  <si>
    <t>25/10/17</t>
  </si>
  <si>
    <t>EUR BCE|13/12/17</t>
  </si>
  <si>
    <t>13/12/17</t>
  </si>
  <si>
    <t>EUR BCE 3M|JUN 18</t>
  </si>
  <si>
    <t>EUR EXPORT|JUN 18</t>
  </si>
  <si>
    <t>EUR-ZC|JUN 18</t>
  </si>
  <si>
    <t>EUR1Y DEMO|JUN 18</t>
  </si>
  <si>
    <t>EUR3M DEMO|JUN 18</t>
  </si>
  <si>
    <t>EUR6M DEMO|JUN 18</t>
  </si>
  <si>
    <t>USD 12M|JUN 18</t>
  </si>
  <si>
    <t>USD 1M|JUN 18</t>
  </si>
  <si>
    <t>USD 3M|JUN 18</t>
  </si>
  <si>
    <t>USD 6M|JUN 18</t>
  </si>
  <si>
    <t>USD :STD|JUN 18</t>
  </si>
  <si>
    <t>USD EXPORT|JUN 18</t>
  </si>
  <si>
    <t>USD-ZC|JUN 18</t>
  </si>
  <si>
    <t>BRL OIS ND</t>
  </si>
  <si>
    <t>Total BRL OIS ND</t>
  </si>
  <si>
    <t>02/01/17</t>
  </si>
  <si>
    <t>02/01/18</t>
  </si>
  <si>
    <t>02/01/19</t>
  </si>
  <si>
    <t>04/01/21</t>
  </si>
  <si>
    <t>CNH</t>
  </si>
  <si>
    <t>Total CNH</t>
  </si>
  <si>
    <t>CNH FOREX</t>
  </si>
  <si>
    <t>Total CNH FOREX</t>
  </si>
  <si>
    <t>CNH USD BAS EONIA</t>
  </si>
  <si>
    <t>Total CNH USD BAS EONIA</t>
  </si>
  <si>
    <t>EDF7</t>
  </si>
  <si>
    <t>FEIF7</t>
  </si>
  <si>
    <t>MAR 19</t>
  </si>
  <si>
    <t>21/06/17</t>
  </si>
  <si>
    <t>EDG7</t>
  </si>
  <si>
    <t>FEIG7</t>
  </si>
  <si>
    <t>FEIU0</t>
  </si>
  <si>
    <t>EUR 3M|MAR 19</t>
  </si>
  <si>
    <t>EUR :STD|21/06/17</t>
  </si>
  <si>
    <t>EUR :STD|SEP 18</t>
  </si>
  <si>
    <t>EUR BCE 3M|21/06/17</t>
  </si>
  <si>
    <t>EUR BCE 3M|SEP 18</t>
  </si>
  <si>
    <t>EUR BPFU|21/06/17</t>
  </si>
  <si>
    <t>EUR BPFU|MAR 18</t>
  </si>
  <si>
    <t>EUR BPFU|JUN 18</t>
  </si>
  <si>
    <t>EUR BPFU|SEP 18</t>
  </si>
  <si>
    <t>EUR EXPORT|21/06/17</t>
  </si>
  <si>
    <t>EUR EXPORT|SEP 18</t>
  </si>
  <si>
    <t>EUR-ZC|21/06/17</t>
  </si>
  <si>
    <t>EUR-ZC|SEP 18</t>
  </si>
  <si>
    <t>EUR1Y DEMO|21/06/17</t>
  </si>
  <si>
    <t>EUR1Y DEMO|SEP 18</t>
  </si>
  <si>
    <t>EUR3M DEMO|21/06/17</t>
  </si>
  <si>
    <t>EUR3M DEMO|SEP 18</t>
  </si>
  <si>
    <t>EUR6M DEMO|21/06/17</t>
  </si>
  <si>
    <t>EUR6M DEMO|SEP 18</t>
  </si>
  <si>
    <t>USD 12M|21/06/17</t>
  </si>
  <si>
    <t>USD 12M|SEP 18</t>
  </si>
  <si>
    <t>USD 1M|21/06/17</t>
  </si>
  <si>
    <t>USD 1M|SEP 18</t>
  </si>
  <si>
    <t>USD 3M|21/06/17</t>
  </si>
  <si>
    <t>USD 3M|SEP 18</t>
  </si>
  <si>
    <t>USD 6M|21/06/17</t>
  </si>
  <si>
    <t>USD 6M|SEP 18</t>
  </si>
  <si>
    <t>USD :STD|21/06/17</t>
  </si>
  <si>
    <t>USD :STD|SEP 18</t>
  </si>
  <si>
    <t>USD BPFU|21/06/17</t>
  </si>
  <si>
    <t>USD BPFU|MAR 18</t>
  </si>
  <si>
    <t>USD BPFU|JUN 18</t>
  </si>
  <si>
    <t>USD BPFU|SEP 18</t>
  </si>
  <si>
    <t>USD EXPORT|21/06/17</t>
  </si>
  <si>
    <t>USD EXPORT|SEP 18</t>
  </si>
  <si>
    <t>USD-ZC|21/06/17</t>
  </si>
  <si>
    <t>USD-ZC|SEP 18</t>
  </si>
  <si>
    <t>EUR OIS</t>
  </si>
  <si>
    <t>EndDate</t>
  </si>
  <si>
    <t>StartDate</t>
  </si>
  <si>
    <t>Quote</t>
  </si>
  <si>
    <t>P&amp;L SUM</t>
  </si>
  <si>
    <t>ReMapped P&amp;L</t>
  </si>
  <si>
    <t>EDJ7</t>
  </si>
  <si>
    <t>Calendar</t>
  </si>
  <si>
    <t>TARGET</t>
  </si>
  <si>
    <t>Quote%</t>
  </si>
  <si>
    <t>EDU0</t>
  </si>
  <si>
    <t>FEIJ7</t>
  </si>
  <si>
    <t>ReMapped Sens</t>
  </si>
  <si>
    <t>SUM</t>
  </si>
  <si>
    <t xml:space="preserve">eur 3m </t>
  </si>
  <si>
    <t>eur Std</t>
  </si>
  <si>
    <t>Default</t>
  </si>
  <si>
    <t>TableName</t>
  </si>
  <si>
    <t>FUT</t>
  </si>
  <si>
    <t>Column name</t>
  </si>
  <si>
    <t>Aux Columns</t>
  </si>
  <si>
    <t>D/W/M or DATE</t>
  </si>
  <si>
    <t>Instrum.</t>
  </si>
  <si>
    <t>BEGIN</t>
  </si>
  <si>
    <t>LastFut</t>
  </si>
  <si>
    <t>END</t>
  </si>
  <si>
    <t>CLP NDIRS</t>
  </si>
  <si>
    <t>Total CLP NDIRS</t>
  </si>
  <si>
    <t>IDR :STD</t>
  </si>
  <si>
    <t>Total IDR :STD</t>
  </si>
  <si>
    <t>INR OIS</t>
  </si>
  <si>
    <t>Total INR OIS</t>
  </si>
  <si>
    <t>MYR USD BAS EONIA</t>
  </si>
  <si>
    <t>Total MYR USD BAS EONIA</t>
  </si>
  <si>
    <t>GBP EUR BAS OIS</t>
  </si>
  <si>
    <t>STDBuckets</t>
  </si>
  <si>
    <t>Instr_N</t>
  </si>
  <si>
    <t>days</t>
  </si>
  <si>
    <t>mth fut + 3</t>
  </si>
  <si>
    <t>FEIK7</t>
  </si>
  <si>
    <t>EDK7</t>
  </si>
  <si>
    <t>Import file date: Nov,17 2016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</si>
</sst>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0">
    <numFmt numFmtId="164" formatCode="_-* #,##0_-;\-* #,##0_-;_-* &quot;-&quot;_-;_-@_-"/>
    <numFmt numFmtId="165" formatCode="_-* #,##0.00_-;\-* #,##0.00_-;_-* &quot;-&quot;??_-;_-@_-"/>
    <numFmt numFmtId="166" formatCode="#,##0.0000"/>
    <numFmt numFmtId="167" formatCode="[$-409]dd\-mmm\-yy;@"/>
    <numFmt numFmtId="168" formatCode="#,##0.000"/>
    <numFmt numFmtId="169" formatCode="0.0000"/>
    <numFmt numFmtId="170" formatCode="#\ ??/32"/>
    <numFmt numFmtId="171" formatCode="_(* #,##0_);_(* \(#,##0\);_(* &quot;-&quot;??_);_(@_)"/>
    <numFmt numFmtId="172" formatCode="[$-409]d\-mmm\-yy;@"/>
    <numFmt numFmtId="173" formatCode="[$-409]dd/mm/yy;@"/>
    <numFmt numFmtId="174" formatCode="dd\ mmm\ yyyy"/>
    <numFmt numFmtId="175" formatCode="ddmmmyy"/>
    <numFmt numFmtId="176" formatCode="_-&quot;€&quot;\ * #,##0.00_-;\-&quot;€&quot;\ * #,##0.00_-;_-&quot;€&quot;\ * &quot;-&quot;??_-;_-@_-"/>
    <numFmt numFmtId="177" formatCode="_-&quot;€&quot;\ * #,##0_-;\-&quot;€&quot;\ * #,##0_-;_-&quot;€&quot;\ * &quot;-&quot;_-;_-@_-"/>
    <numFmt numFmtId="178" formatCode="_(* #,##0.00_);_(* \(#,##0.00\);_(* &quot;&quot;??_);_(@_)"/>
    <numFmt numFmtId="179" formatCode="mmm\ yyyy"/>
    <numFmt numFmtId="180" formatCode="d\ mmm\ yyyy"/>
    <numFmt numFmtId="181" formatCode=";;;"/>
    <numFmt numFmtId="182" formatCode="0.000"/>
    <numFmt numFmtId="183" formatCode="#,##0.0"/>
    <numFmt numFmtId="184" formatCode="mmm\,yyyy"/>
    <numFmt numFmtId="185" formatCode="&quot;£&quot;#,##0;[Red]\-&quot;£&quot;#,##0"/>
    <numFmt numFmtId="186" formatCode="#,##0.0;#,##0.0"/>
    <numFmt numFmtId="187" formatCode="_([$€-2]* #,##0.00_);_([$€-2]* \(#,##0.00\);_([$€-2]* &quot;-&quot;??_)"/>
    <numFmt numFmtId="188" formatCode="#,##0_ ;\(#,##0\)\ "/>
    <numFmt numFmtId="189" formatCode="##,#0_;\(#,##0\)\ "/>
    <numFmt numFmtId="190" formatCode="0.000000"/>
    <numFmt numFmtId="191" formatCode="_(* #,##0.00_);_(* \(#,##0.00\);_(* &quot;-&quot;_);_(@_)"/>
    <numFmt numFmtId="192" formatCode="0.0000%"/>
    <numFmt numFmtId="193" formatCode="0.00000000"/>
  </numFmts>
  <fonts count="133">
    <font>
      <sz val="10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u/>
      <sz val="10"/>
      <color indexed="12"/>
      <name val="Arial"/>
      <family val="2"/>
    </font>
    <font>
      <b/>
      <sz val="9"/>
      <color indexed="9"/>
      <name val="Arial"/>
      <family val="2"/>
    </font>
    <font>
      <b/>
      <sz val="9"/>
      <name val="Arial"/>
      <family val="2"/>
    </font>
    <font>
      <b/>
      <sz val="9"/>
      <color indexed="8"/>
      <name val="Arial"/>
      <family val="2"/>
    </font>
    <font>
      <sz val="9"/>
      <name val="Arial"/>
      <family val="2"/>
    </font>
    <font>
      <b/>
      <i/>
      <sz val="9"/>
      <color indexed="8"/>
      <name val="Arial"/>
      <family val="2"/>
    </font>
    <font>
      <sz val="9"/>
      <name val="Arial"/>
      <family val="2"/>
    </font>
    <font>
      <b/>
      <i/>
      <sz val="9"/>
      <name val="Arial"/>
      <family val="2"/>
    </font>
    <font>
      <sz val="10"/>
      <color rgb="FF000000"/>
      <name val="Arial"/>
      <family val="2"/>
    </font>
    <font>
      <b/>
      <sz val="12"/>
      <name val="Arial"/>
      <family val="2"/>
    </font>
    <font>
      <b/>
      <sz val="10"/>
      <color indexed="43"/>
      <name val="Arial"/>
      <family val="2"/>
    </font>
    <font>
      <sz val="10"/>
      <color indexed="13"/>
      <name val="Calibri"/>
      <family val="2"/>
    </font>
    <font>
      <sz val="10"/>
      <name val="Calibri"/>
      <family val="2"/>
    </font>
    <font>
      <b/>
      <sz val="10"/>
      <color indexed="16"/>
      <name val="Calibri"/>
      <family val="2"/>
    </font>
    <font>
      <i/>
      <sz val="10"/>
      <color rgb="FF002060"/>
      <name val="Arial"/>
      <family val="2"/>
    </font>
    <font>
      <i/>
      <sz val="10"/>
      <color rgb="FF7030A0"/>
      <name val="Arial"/>
      <family val="2"/>
    </font>
    <font>
      <i/>
      <sz val="9"/>
      <name val="Cambria"/>
      <family val="1"/>
    </font>
    <font>
      <i/>
      <sz val="8"/>
      <name val="Calibri"/>
      <family val="2"/>
    </font>
    <font>
      <sz val="11"/>
      <color theme="0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0"/>
      <color rgb="FF7030A0"/>
      <name val="Calibri"/>
      <family val="2"/>
    </font>
    <font>
      <i/>
      <sz val="10"/>
      <name val="Calibri"/>
      <family val="2"/>
    </font>
    <font>
      <b/>
      <sz val="10"/>
      <name val="Calibri"/>
      <family val="2"/>
    </font>
    <font>
      <b/>
      <sz val="10"/>
      <color indexed="13"/>
      <name val="Calibri"/>
      <family val="2"/>
    </font>
    <font>
      <sz val="10"/>
      <color indexed="52"/>
      <name val="Calibri"/>
      <family val="2"/>
    </font>
    <font>
      <sz val="9"/>
      <name val="Courier New"/>
      <family val="3"/>
    </font>
    <font>
      <sz val="8"/>
      <name val="Calibri"/>
      <family val="2"/>
    </font>
    <font>
      <b/>
      <sz val="14"/>
      <color indexed="43"/>
      <name val="Arial"/>
      <family val="2"/>
    </font>
    <font>
      <u/>
      <sz val="9"/>
      <color indexed="12"/>
      <name val="Arial"/>
      <family val="2"/>
    </font>
    <font>
      <b/>
      <sz val="10"/>
      <color indexed="51"/>
      <name val="Arial"/>
      <family val="2"/>
    </font>
    <font>
      <sz val="10"/>
      <color theme="0" tint="-0.14999847407452621"/>
      <name val="Arial"/>
      <family val="2"/>
    </font>
    <font>
      <b/>
      <sz val="9"/>
      <color indexed="9"/>
      <name val="Verdana"/>
      <family val="2"/>
    </font>
    <font>
      <b/>
      <sz val="9"/>
      <color indexed="10"/>
      <name val="Arial"/>
      <family val="2"/>
    </font>
    <font>
      <b/>
      <sz val="9"/>
      <color indexed="8"/>
      <name val="Verdana"/>
      <family val="2"/>
    </font>
    <font>
      <sz val="9"/>
      <color indexed="63"/>
      <name val="Arial"/>
      <family val="2"/>
    </font>
    <font>
      <sz val="9"/>
      <color indexed="10"/>
      <name val="Arial"/>
      <family val="2"/>
    </font>
    <font>
      <b/>
      <sz val="9"/>
      <color indexed="8"/>
      <name val="Dialog"/>
    </font>
    <font>
      <b/>
      <sz val="9"/>
      <color indexed="16"/>
      <name val="Arial"/>
      <family val="2"/>
    </font>
    <font>
      <b/>
      <sz val="9"/>
      <color indexed="18"/>
      <name val="Arial"/>
      <family val="2"/>
    </font>
    <font>
      <b/>
      <sz val="9"/>
      <color indexed="16"/>
      <name val="Default"/>
    </font>
    <font>
      <b/>
      <i/>
      <sz val="9"/>
      <color indexed="62"/>
      <name val="Arial"/>
      <family val="2"/>
    </font>
    <font>
      <b/>
      <sz val="9"/>
      <color indexed="62"/>
      <name val="Dialog"/>
    </font>
    <font>
      <b/>
      <sz val="9"/>
      <color indexed="18"/>
      <name val="Default"/>
    </font>
    <font>
      <b/>
      <sz val="9"/>
      <color indexed="63"/>
      <name val="Arial"/>
      <family val="2"/>
    </font>
    <font>
      <b/>
      <sz val="9"/>
      <color indexed="63"/>
      <name val="Default"/>
    </font>
    <font>
      <b/>
      <sz val="9"/>
      <color indexed="10"/>
      <name val="Default"/>
    </font>
    <font>
      <b/>
      <sz val="10"/>
      <color indexed="43"/>
      <name val="Calibri"/>
      <family val="2"/>
      <scheme val="minor"/>
    </font>
    <font>
      <sz val="9"/>
      <color indexed="81"/>
      <name val="Tahoma"/>
      <family val="2"/>
    </font>
    <font>
      <sz val="9"/>
      <name val="Calibri"/>
      <family val="2"/>
    </font>
    <font>
      <b/>
      <sz val="10"/>
      <color indexed="43"/>
      <name val="Calibri"/>
      <family val="2"/>
    </font>
    <font>
      <sz val="8"/>
      <color indexed="52"/>
      <name val="Calibri"/>
      <family val="2"/>
    </font>
    <font>
      <b/>
      <sz val="8"/>
      <color indexed="16"/>
      <name val="Calibri"/>
      <family val="2"/>
    </font>
    <font>
      <sz val="8"/>
      <color indexed="13"/>
      <name val="Calibri"/>
      <family val="2"/>
    </font>
    <font>
      <b/>
      <sz val="9"/>
      <color indexed="16"/>
      <name val="Calibri"/>
      <family val="2"/>
    </font>
    <font>
      <i/>
      <sz val="8"/>
      <color rgb="FF7030A0"/>
      <name val="Arial"/>
      <family val="2"/>
    </font>
    <font>
      <sz val="9"/>
      <color theme="1"/>
      <name val="Arial"/>
      <family val="2"/>
    </font>
    <font>
      <sz val="10"/>
      <name val="Helv"/>
    </font>
    <font>
      <b/>
      <sz val="12"/>
      <color indexed="16"/>
      <name val="MS Sans Serif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sz val="12"/>
      <name val="Times New Roman"/>
      <family val="1"/>
    </font>
    <font>
      <sz val="10"/>
      <color indexed="9"/>
      <name val="Arial"/>
      <family val="2"/>
    </font>
    <font>
      <b/>
      <sz val="11"/>
      <color indexed="12"/>
      <name val="Arial"/>
      <family val="2"/>
    </font>
    <font>
      <b/>
      <i/>
      <sz val="10"/>
      <color rgb="FF7030A0"/>
      <name val="Calibri"/>
      <family val="2"/>
    </font>
    <font>
      <sz val="18"/>
      <color rgb="FFFF0000"/>
      <name val="Calibri"/>
      <family val="2"/>
    </font>
    <font>
      <b/>
      <sz val="9"/>
      <color indexed="81"/>
      <name val="Tahoma"/>
      <family val="2"/>
    </font>
    <font>
      <b/>
      <sz val="12"/>
      <color indexed="43"/>
      <name val="Arial"/>
      <family val="2"/>
    </font>
  </fonts>
  <fills count="10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21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22"/>
        <bgColor indexed="64"/>
      </patternFill>
    </fill>
    <fill>
      <patternFill patternType="gray125">
        <bgColor indexed="9"/>
      </patternFill>
    </fill>
    <fill>
      <patternFill patternType="solid">
        <fgColor indexed="41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5" tint="0.59996337778862885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theme="5" tint="0.39994506668294322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FC7CE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C6EFCE"/>
      </patternFill>
    </fill>
    <fill>
      <patternFill patternType="solid">
        <fgColor rgb="FFFFCC99"/>
      </patternFill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theme="0" tint="-0.2499465926084170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rgb="FF1F497D"/>
        <bgColor indexed="64"/>
      </patternFill>
    </fill>
    <fill>
      <patternFill patternType="solid">
        <fgColor rgb="FF95B3D7"/>
        <bgColor indexed="64"/>
      </patternFill>
    </fill>
    <fill>
      <patternFill patternType="solid">
        <fgColor rgb="FFEBEBEB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999FF"/>
        <bgColor indexed="64"/>
      </patternFill>
    </fill>
    <fill>
      <patternFill patternType="solid">
        <fgColor rgb="FFBBBBFF"/>
        <bgColor indexed="64"/>
      </patternFill>
    </fill>
    <fill>
      <patternFill patternType="solid">
        <fgColor rgb="FFDDDD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2D2D7D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EFEFFF"/>
        <bgColor indexed="64"/>
      </patternFill>
    </fill>
    <fill>
      <patternFill patternType="gray0625">
        <fgColor indexed="22"/>
        <bgColor indexed="9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5"/>
        <bgColor indexed="64"/>
      </patternFill>
    </fill>
    <fill>
      <patternFill patternType="solid">
        <fgColor indexed="18"/>
        <bgColor indexed="64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lightUp"/>
    </fill>
    <fill>
      <patternFill patternType="lightUp">
        <bgColor theme="0"/>
      </patternFill>
    </fill>
    <fill>
      <patternFill patternType="solid">
        <fgColor rgb="FFFFFF00"/>
        <bgColor indexed="64"/>
      </patternFill>
    </fill>
  </fills>
  <borders count="70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/>
      <top style="thin">
        <color theme="4" tint="0.79995117038483843"/>
      </top>
      <bottom/>
      <diagonal/>
    </border>
    <border>
      <left/>
      <right style="thin">
        <color theme="4" tint="0.79995117038483843"/>
      </right>
      <top style="thin">
        <color theme="4" tint="0.79995117038483843"/>
      </top>
      <bottom/>
      <diagonal/>
    </border>
    <border>
      <left/>
      <right/>
      <top/>
      <bottom style="thin">
        <color theme="4" tint="0.79995117038483843"/>
      </bottom>
      <diagonal/>
    </border>
    <border>
      <left style="thin">
        <color theme="4" tint="0.79992065187536243"/>
      </left>
      <right/>
      <top style="thin">
        <color theme="4" tint="0.79995117038483843"/>
      </top>
      <bottom/>
      <diagonal/>
    </border>
    <border>
      <left style="thin">
        <color theme="4" tint="0.79992065187536243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4" tint="-0.24994659260841701"/>
      </left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/>
      <top/>
      <bottom style="thick">
        <color rgb="FFC00000"/>
      </bottom>
      <diagonal/>
    </border>
    <border>
      <left/>
      <right style="thin">
        <color indexed="64"/>
      </right>
      <top/>
      <bottom style="thick">
        <color rgb="FFC00000"/>
      </bottom>
      <diagonal/>
    </border>
    <border>
      <left style="thin">
        <color indexed="64"/>
      </left>
      <right style="thin">
        <color indexed="64"/>
      </right>
      <top/>
      <bottom style="thick">
        <color rgb="FFC00000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/>
      <diagonal/>
    </border>
    <border>
      <left/>
      <right style="thick">
        <color indexed="64"/>
      </right>
      <top/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/>
      <diagonal/>
    </border>
    <border>
      <left style="thin">
        <color indexed="64"/>
      </left>
      <right style="thick">
        <color indexed="64"/>
      </right>
      <top/>
      <bottom/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double">
        <color indexed="52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ck">
        <color rgb="FFFF0000"/>
      </top>
      <bottom/>
      <diagonal/>
    </border>
    <border>
      <left/>
      <right/>
      <top style="thin">
        <color theme="4" tint="0.79998168889431442"/>
      </top>
      <bottom/>
      <diagonal/>
    </border>
    <border>
      <left/>
      <right style="thin">
        <color theme="4" tint="0.79995117038483843"/>
      </right>
      <top/>
      <bottom/>
      <diagonal/>
    </border>
    <border>
      <left style="thin">
        <color indexed="64"/>
      </left>
      <right style="thin">
        <color theme="4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4" tint="-0.24994659260841701"/>
      </right>
      <top/>
      <bottom/>
      <diagonal/>
    </border>
  </borders>
  <cellStyleXfs count="177">
    <xf numFmtId="0" fontId="0" fillId="0" borderId="0"/>
    <xf numFmtId="0" fontId="36" fillId="25" borderId="0" applyNumberFormat="0" applyBorder="0" applyAlignment="0" applyProtection="0"/>
    <xf numFmtId="0" fontId="36" fillId="26" borderId="0" applyNumberFormat="0" applyBorder="0" applyAlignment="0" applyProtection="0"/>
    <xf numFmtId="0" fontId="36" fillId="27" borderId="0" applyNumberFormat="0" applyBorder="0" applyAlignment="0" applyProtection="0"/>
    <xf numFmtId="0" fontId="36" fillId="28" borderId="0" applyNumberFormat="0" applyBorder="0" applyAlignment="0" applyProtection="0"/>
    <xf numFmtId="0" fontId="36" fillId="29" borderId="0" applyNumberFormat="0" applyBorder="0" applyAlignment="0" applyProtection="0"/>
    <xf numFmtId="0" fontId="36" fillId="30" borderId="0" applyNumberFormat="0" applyBorder="0" applyAlignment="0" applyProtection="0"/>
    <xf numFmtId="0" fontId="36" fillId="31" borderId="0" applyNumberFormat="0" applyBorder="0" applyAlignment="0" applyProtection="0"/>
    <xf numFmtId="0" fontId="36" fillId="32" borderId="0" applyNumberFormat="0" applyBorder="0" applyAlignment="0" applyProtection="0"/>
    <xf numFmtId="0" fontId="36" fillId="33" borderId="0" applyNumberFormat="0" applyBorder="0" applyAlignment="0" applyProtection="0"/>
    <xf numFmtId="0" fontId="36" fillId="34" borderId="0" applyNumberFormat="0" applyBorder="0" applyAlignment="0" applyProtection="0"/>
    <xf numFmtId="0" fontId="36" fillId="35" borderId="0" applyNumberFormat="0" applyBorder="0" applyAlignment="0" applyProtection="0"/>
    <xf numFmtId="0" fontId="36" fillId="36" borderId="0" applyNumberFormat="0" applyBorder="0" applyAlignment="0" applyProtection="0"/>
    <xf numFmtId="0" fontId="57" fillId="37" borderId="0" applyNumberFormat="0" applyBorder="0" applyAlignment="0" applyProtection="0"/>
    <xf numFmtId="0" fontId="57" fillId="38" borderId="0" applyNumberFormat="0" applyBorder="0" applyAlignment="0" applyProtection="0"/>
    <xf numFmtId="0" fontId="57" fillId="39" borderId="0" applyNumberFormat="0" applyBorder="0" applyAlignment="0" applyProtection="0"/>
    <xf numFmtId="0" fontId="57" fillId="40" borderId="0" applyNumberFormat="0" applyBorder="0" applyAlignment="0" applyProtection="0"/>
    <xf numFmtId="0" fontId="57" fillId="41" borderId="0" applyNumberFormat="0" applyBorder="0" applyAlignment="0" applyProtection="0"/>
    <xf numFmtId="0" fontId="57" fillId="42" borderId="0" applyNumberFormat="0" applyBorder="0" applyAlignment="0" applyProtection="0"/>
    <xf numFmtId="0" fontId="57" fillId="43" borderId="0" applyNumberFormat="0" applyBorder="0" applyAlignment="0" applyProtection="0"/>
    <xf numFmtId="0" fontId="57" fillId="44" borderId="0" applyNumberFormat="0" applyBorder="0" applyAlignment="0" applyProtection="0"/>
    <xf numFmtId="0" fontId="57" fillId="45" borderId="0" applyNumberFormat="0" applyBorder="0" applyAlignment="0" applyProtection="0"/>
    <xf numFmtId="0" fontId="57" fillId="46" borderId="0" applyNumberFormat="0" applyBorder="0" applyAlignment="0" applyProtection="0"/>
    <xf numFmtId="0" fontId="57" fillId="47" borderId="0" applyNumberFormat="0" applyBorder="0" applyAlignment="0" applyProtection="0"/>
    <xf numFmtId="0" fontId="57" fillId="48" borderId="0" applyNumberFormat="0" applyBorder="0" applyAlignment="0" applyProtection="0"/>
    <xf numFmtId="0" fontId="58" fillId="49" borderId="0" applyNumberFormat="0" applyBorder="0" applyAlignment="0" applyProtection="0"/>
    <xf numFmtId="0" fontId="59" fillId="50" borderId="36" applyNumberFormat="0" applyAlignment="0" applyProtection="0"/>
    <xf numFmtId="0" fontId="60" fillId="51" borderId="37" applyNumberFormat="0" applyAlignment="0" applyProtection="0"/>
    <xf numFmtId="165" fontId="37" fillId="0" borderId="0" applyFont="0" applyFill="0" applyBorder="0" applyAlignment="0" applyProtection="0"/>
    <xf numFmtId="0" fontId="61" fillId="0" borderId="0" applyNumberFormat="0" applyFill="0" applyBorder="0" applyAlignment="0" applyProtection="0"/>
    <xf numFmtId="0" fontId="62" fillId="52" borderId="0" applyNumberFormat="0" applyBorder="0" applyAlignment="0" applyProtection="0"/>
    <xf numFmtId="0" fontId="63" fillId="0" borderId="38" applyNumberFormat="0" applyFill="0" applyAlignment="0" applyProtection="0"/>
    <xf numFmtId="0" fontId="64" fillId="0" borderId="39" applyNumberFormat="0" applyFill="0" applyAlignment="0" applyProtection="0"/>
    <xf numFmtId="0" fontId="65" fillId="0" borderId="40" applyNumberFormat="0" applyFill="0" applyAlignment="0" applyProtection="0"/>
    <xf numFmtId="0" fontId="65" fillId="0" borderId="0" applyNumberFormat="0" applyFill="0" applyBorder="0" applyAlignment="0" applyProtection="0"/>
    <xf numFmtId="0" fontId="39" fillId="0" borderId="0" applyNumberFormat="0" applyFill="0" applyBorder="0" applyAlignment="0" applyProtection="0">
      <alignment vertical="top"/>
      <protection locked="0"/>
    </xf>
    <xf numFmtId="0" fontId="66" fillId="53" borderId="36" applyNumberFormat="0" applyAlignment="0" applyProtection="0"/>
    <xf numFmtId="0" fontId="67" fillId="0" borderId="41" applyNumberFormat="0" applyFill="0" applyAlignment="0" applyProtection="0"/>
    <xf numFmtId="0" fontId="68" fillId="54" borderId="0" applyNumberFormat="0" applyBorder="0" applyAlignment="0" applyProtection="0"/>
    <xf numFmtId="0" fontId="37" fillId="55" borderId="42" applyNumberFormat="0" applyFont="0" applyAlignment="0" applyProtection="0"/>
    <xf numFmtId="0" fontId="69" fillId="50" borderId="43" applyNumberFormat="0" applyAlignment="0" applyProtection="0"/>
    <xf numFmtId="0" fontId="70" fillId="0" borderId="0" applyNumberFormat="0" applyFill="0" applyBorder="0" applyAlignment="0" applyProtection="0"/>
    <xf numFmtId="0" fontId="71" fillId="0" borderId="44" applyNumberFormat="0" applyFill="0" applyAlignment="0" applyProtection="0"/>
    <xf numFmtId="0" fontId="72" fillId="0" borderId="0" applyNumberFormat="0" applyFill="0" applyBorder="0" applyAlignment="0" applyProtection="0"/>
    <xf numFmtId="0" fontId="49" fillId="19" borderId="13">
      <alignment horizontal="centerContinuous"/>
    </xf>
    <xf numFmtId="0" fontId="50" fillId="19" borderId="1" applyNumberFormat="0" applyBorder="0">
      <alignment horizontal="left"/>
    </xf>
    <xf numFmtId="0" fontId="51" fillId="9" borderId="0" applyNumberFormat="0" applyBorder="0" applyAlignment="0" applyProtection="0"/>
    <xf numFmtId="0" fontId="50" fillId="19" borderId="1" applyNumberFormat="0" applyBorder="0">
      <alignment horizontal="center"/>
    </xf>
    <xf numFmtId="0" fontId="51" fillId="11" borderId="0" applyNumberFormat="0" applyBorder="0" applyAlignment="0"/>
    <xf numFmtId="0" fontId="52" fillId="20" borderId="0" applyBorder="0" applyAlignment="0"/>
    <xf numFmtId="0" fontId="51" fillId="0" borderId="0" applyNumberFormat="0" applyBorder="0" applyAlignment="0"/>
    <xf numFmtId="0" fontId="53" fillId="21" borderId="0" applyNumberFormat="0" applyBorder="0" applyAlignment="0" applyProtection="0"/>
    <xf numFmtId="0" fontId="54" fillId="15" borderId="0" applyNumberFormat="0" applyBorder="0" applyAlignment="0" applyProtection="0"/>
    <xf numFmtId="0" fontId="55" fillId="22" borderId="0" applyNumberFormat="0" applyBorder="0" applyAlignment="0" applyProtection="0"/>
    <xf numFmtId="0" fontId="56" fillId="23" borderId="0" applyNumberFormat="0" applyBorder="0" applyProtection="0">
      <alignment horizontal="center" vertical="center" wrapText="1"/>
    </xf>
    <xf numFmtId="0" fontId="55" fillId="24" borderId="0" applyNumberFormat="0" applyBorder="0" applyAlignment="0" applyProtection="0"/>
    <xf numFmtId="164" fontId="37" fillId="0" borderId="0" applyFont="0" applyFill="0" applyBorder="0" applyAlignment="0" applyProtection="0"/>
    <xf numFmtId="176" fontId="37" fillId="0" borderId="0" applyFont="0" applyFill="0" applyBorder="0" applyAlignment="0" applyProtection="0"/>
    <xf numFmtId="177" fontId="37" fillId="0" borderId="0" applyFont="0" applyFill="0" applyBorder="0" applyAlignment="0" applyProtection="0"/>
    <xf numFmtId="0" fontId="73" fillId="20" borderId="0" applyBorder="0" applyAlignment="0"/>
    <xf numFmtId="0" fontId="74" fillId="11" borderId="0" applyNumberFormat="0" applyBorder="0" applyAlignment="0"/>
    <xf numFmtId="0" fontId="37" fillId="10" borderId="0" applyNumberFormat="0" applyFont="0" applyBorder="0" applyAlignment="0"/>
    <xf numFmtId="0" fontId="77" fillId="58" borderId="1" applyNumberFormat="0" applyBorder="0">
      <alignment horizontal="left"/>
    </xf>
    <xf numFmtId="0" fontId="51" fillId="11" borderId="0" applyNumberFormat="0" applyBorder="0"/>
    <xf numFmtId="0" fontId="51" fillId="59" borderId="0" applyNumberFormat="0" applyBorder="0"/>
    <xf numFmtId="0" fontId="77" fillId="58" borderId="1" applyNumberFormat="0" applyBorder="0">
      <alignment horizontal="left"/>
    </xf>
    <xf numFmtId="0" fontId="75" fillId="0" borderId="0" applyNumberFormat="0" applyBorder="0" applyAlignment="0"/>
    <xf numFmtId="0" fontId="78" fillId="9" borderId="0" applyNumberFormat="0" applyBorder="0" applyAlignment="0" applyProtection="0"/>
    <xf numFmtId="0" fontId="51" fillId="5" borderId="0" applyNumberFormat="0" applyBorder="0" applyAlignment="0" applyProtection="0"/>
    <xf numFmtId="0" fontId="51" fillId="14" borderId="0" applyNumberFormat="0" applyBorder="0" applyAlignment="0">
      <protection locked="0"/>
    </xf>
    <xf numFmtId="0" fontId="51" fillId="60" borderId="0" applyNumberFormat="0" applyBorder="0" applyAlignment="0"/>
    <xf numFmtId="0" fontId="82" fillId="12" borderId="13" applyNumberFormat="0" applyBorder="0" applyAlignment="0"/>
    <xf numFmtId="0" fontId="37" fillId="0" borderId="0"/>
    <xf numFmtId="0" fontId="35" fillId="0" borderId="0"/>
    <xf numFmtId="0" fontId="34" fillId="0" borderId="0"/>
    <xf numFmtId="0" fontId="33" fillId="0" borderId="0"/>
    <xf numFmtId="0" fontId="32" fillId="0" borderId="0"/>
    <xf numFmtId="0" fontId="31" fillId="0" borderId="0"/>
    <xf numFmtId="0" fontId="30" fillId="0" borderId="0"/>
    <xf numFmtId="0" fontId="29" fillId="0" borderId="0"/>
    <xf numFmtId="0" fontId="28" fillId="0" borderId="0"/>
    <xf numFmtId="0" fontId="27" fillId="0" borderId="0"/>
    <xf numFmtId="0" fontId="108" fillId="0" borderId="0"/>
    <xf numFmtId="0" fontId="26" fillId="0" borderId="0"/>
    <xf numFmtId="38" fontId="109" fillId="0" borderId="0" applyFont="0" applyFill="0" applyBorder="0" applyAlignment="0" applyProtection="0"/>
    <xf numFmtId="0" fontId="37" fillId="0" borderId="0"/>
    <xf numFmtId="0" fontId="37" fillId="0" borderId="0"/>
    <xf numFmtId="9" fontId="37" fillId="0" borderId="0" applyFont="0" applyFill="0" applyBorder="0" applyAlignment="0" applyProtection="0"/>
    <xf numFmtId="9" fontId="37" fillId="0" borderId="0" applyFont="0" applyFill="0" applyBorder="0" applyAlignment="0" applyProtection="0"/>
    <xf numFmtId="9" fontId="37" fillId="0" borderId="0" applyFont="0" applyFill="0" applyBorder="0" applyAlignment="0" applyProtection="0"/>
    <xf numFmtId="186" fontId="110" fillId="74" borderId="0">
      <alignment horizontal="center" vertical="center"/>
    </xf>
    <xf numFmtId="185" fontId="109" fillId="0" borderId="0" applyFont="0" applyFill="0" applyBorder="0" applyAlignment="0" applyProtection="0"/>
    <xf numFmtId="9" fontId="26" fillId="0" borderId="0" applyFont="0" applyFill="0" applyBorder="0" applyAlignment="0" applyProtection="0"/>
    <xf numFmtId="187" fontId="37" fillId="0" borderId="0" applyFont="0" applyFill="0" applyBorder="0" applyAlignment="0" applyProtection="0"/>
    <xf numFmtId="0" fontId="26" fillId="0" borderId="0"/>
    <xf numFmtId="9" fontId="26" fillId="0" borderId="0" applyFont="0" applyFill="0" applyBorder="0" applyAlignment="0" applyProtection="0"/>
    <xf numFmtId="0" fontId="37" fillId="0" borderId="0"/>
    <xf numFmtId="0" fontId="111" fillId="75" borderId="0" applyNumberFormat="0" applyBorder="0" applyAlignment="0" applyProtection="0"/>
    <xf numFmtId="0" fontId="111" fillId="76" borderId="0" applyNumberFormat="0" applyBorder="0" applyAlignment="0" applyProtection="0"/>
    <xf numFmtId="0" fontId="111" fillId="77" borderId="0" applyNumberFormat="0" applyBorder="0" applyAlignment="0" applyProtection="0"/>
    <xf numFmtId="0" fontId="111" fillId="78" borderId="0" applyNumberFormat="0" applyBorder="0" applyAlignment="0" applyProtection="0"/>
    <xf numFmtId="0" fontId="111" fillId="79" borderId="0" applyNumberFormat="0" applyBorder="0" applyAlignment="0" applyProtection="0"/>
    <xf numFmtId="0" fontId="111" fillId="80" borderId="0" applyNumberFormat="0" applyBorder="0" applyAlignment="0" applyProtection="0"/>
    <xf numFmtId="0" fontId="111" fillId="81" borderId="0" applyNumberFormat="0" applyBorder="0" applyAlignment="0" applyProtection="0"/>
    <xf numFmtId="0" fontId="111" fillId="82" borderId="0" applyNumberFormat="0" applyBorder="0" applyAlignment="0" applyProtection="0"/>
    <xf numFmtId="0" fontId="111" fillId="83" borderId="0" applyNumberFormat="0" applyBorder="0" applyAlignment="0" applyProtection="0"/>
    <xf numFmtId="0" fontId="111" fillId="78" borderId="0" applyNumberFormat="0" applyBorder="0" applyAlignment="0" applyProtection="0"/>
    <xf numFmtId="0" fontId="111" fillId="81" borderId="0" applyNumberFormat="0" applyBorder="0" applyAlignment="0" applyProtection="0"/>
    <xf numFmtId="0" fontId="111" fillId="84" borderId="0" applyNumberFormat="0" applyBorder="0" applyAlignment="0" applyProtection="0"/>
    <xf numFmtId="0" fontId="112" fillId="85" borderId="0" applyNumberFormat="0" applyBorder="0" applyAlignment="0" applyProtection="0"/>
    <xf numFmtId="0" fontId="112" fillId="82" borderId="0" applyNumberFormat="0" applyBorder="0" applyAlignment="0" applyProtection="0"/>
    <xf numFmtId="0" fontId="112" fillId="83" borderId="0" applyNumberFormat="0" applyBorder="0" applyAlignment="0" applyProtection="0"/>
    <xf numFmtId="0" fontId="112" fillId="86" borderId="0" applyNumberFormat="0" applyBorder="0" applyAlignment="0" applyProtection="0"/>
    <xf numFmtId="0" fontId="112" fillId="87" borderId="0" applyNumberFormat="0" applyBorder="0" applyAlignment="0" applyProtection="0"/>
    <xf numFmtId="0" fontId="112" fillId="88" borderId="0" applyNumberFormat="0" applyBorder="0" applyAlignment="0" applyProtection="0"/>
    <xf numFmtId="0" fontId="114" fillId="93" borderId="57" applyNumberFormat="0" applyAlignment="0" applyProtection="0"/>
    <xf numFmtId="0" fontId="121" fillId="0" borderId="58" applyNumberFormat="0" applyFill="0" applyAlignment="0" applyProtection="0"/>
    <xf numFmtId="0" fontId="115" fillId="94" borderId="59" applyNumberFormat="0" applyAlignment="0" applyProtection="0"/>
    <xf numFmtId="188" fontId="126" fillId="0" borderId="0"/>
    <xf numFmtId="0" fontId="112" fillId="89" borderId="0" applyNumberFormat="0" applyBorder="0" applyAlignment="0" applyProtection="0"/>
    <xf numFmtId="0" fontId="112" fillId="90" borderId="0" applyNumberFormat="0" applyBorder="0" applyAlignment="0" applyProtection="0"/>
    <xf numFmtId="0" fontId="112" fillId="91" borderId="0" applyNumberFormat="0" applyBorder="0" applyAlignment="0" applyProtection="0"/>
    <xf numFmtId="0" fontId="112" fillId="86" borderId="0" applyNumberFormat="0" applyBorder="0" applyAlignment="0" applyProtection="0"/>
    <xf numFmtId="0" fontId="112" fillId="87" borderId="0" applyNumberFormat="0" applyBorder="0" applyAlignment="0" applyProtection="0"/>
    <xf numFmtId="0" fontId="112" fillId="92" borderId="0" applyNumberFormat="0" applyBorder="0" applyAlignment="0" applyProtection="0"/>
    <xf numFmtId="0" fontId="128" fillId="0" borderId="0">
      <alignment horizontal="left" vertical="center" indent="1"/>
    </xf>
    <xf numFmtId="0" fontId="37" fillId="95" borderId="0" applyNumberFormat="0" applyBorder="0" applyAlignment="0" applyProtection="0"/>
    <xf numFmtId="187" fontId="37" fillId="0" borderId="0" applyFont="0" applyFill="0" applyBorder="0" applyAlignment="0" applyProtection="0"/>
    <xf numFmtId="0" fontId="127" fillId="96" borderId="9" applyNumberFormat="0" applyBorder="0" applyAlignment="0" applyProtection="0">
      <alignment textRotation="90"/>
    </xf>
    <xf numFmtId="0" fontId="122" fillId="97" borderId="0" applyNumberFormat="0" applyBorder="0" applyAlignment="0" applyProtection="0"/>
    <xf numFmtId="0" fontId="37" fillId="98" borderId="63" applyNumberFormat="0" applyFont="0" applyAlignment="0" applyProtection="0"/>
    <xf numFmtId="9" fontId="111" fillId="0" borderId="0" applyFont="0" applyFill="0" applyBorder="0" applyAlignment="0" applyProtection="0"/>
    <xf numFmtId="189" fontId="126" fillId="0" borderId="0"/>
    <xf numFmtId="186" fontId="110" fillId="74" borderId="0">
      <alignment horizontal="center" vertical="center"/>
    </xf>
    <xf numFmtId="0" fontId="37" fillId="99" borderId="0" applyNumberFormat="0" applyBorder="0" applyAlignment="0">
      <protection locked="0"/>
    </xf>
    <xf numFmtId="0" fontId="125" fillId="0" borderId="0" applyNumberFormat="0" applyFill="0" applyBorder="0" applyAlignment="0" applyProtection="0"/>
    <xf numFmtId="0" fontId="116" fillId="0" borderId="0" applyNumberFormat="0" applyFill="0" applyBorder="0" applyAlignment="0" applyProtection="0"/>
    <xf numFmtId="0" fontId="123" fillId="0" borderId="0" applyNumberFormat="0" applyFill="0" applyBorder="0" applyAlignment="0" applyProtection="0"/>
    <xf numFmtId="0" fontId="118" fillId="0" borderId="60" applyNumberFormat="0" applyFill="0" applyAlignment="0" applyProtection="0"/>
    <xf numFmtId="0" fontId="119" fillId="0" borderId="61" applyNumberFormat="0" applyFill="0" applyAlignment="0" applyProtection="0"/>
    <xf numFmtId="0" fontId="120" fillId="0" borderId="62" applyNumberFormat="0" applyFill="0" applyAlignment="0" applyProtection="0"/>
    <xf numFmtId="0" fontId="120" fillId="0" borderId="0" applyNumberFormat="0" applyFill="0" applyBorder="0" applyAlignment="0" applyProtection="0"/>
    <xf numFmtId="0" fontId="124" fillId="0" borderId="64" applyNumberFormat="0" applyFill="0" applyAlignment="0" applyProtection="0"/>
    <xf numFmtId="0" fontId="37" fillId="13" borderId="7" applyNumberFormat="0" applyFont="0" applyBorder="0" applyAlignment="0" applyProtection="0">
      <alignment horizontal="left"/>
    </xf>
    <xf numFmtId="0" fontId="37" fillId="100" borderId="0" applyNumberFormat="0" applyBorder="0" applyAlignment="0">
      <protection locked="0"/>
    </xf>
    <xf numFmtId="0" fontId="113" fillId="76" borderId="0" applyNumberFormat="0" applyBorder="0" applyAlignment="0" applyProtection="0"/>
    <xf numFmtId="0" fontId="117" fillId="77" borderId="0" applyNumberFormat="0" applyBorder="0" applyAlignment="0" applyProtection="0"/>
    <xf numFmtId="0" fontId="37" fillId="7" borderId="0" applyNumberFormat="0" applyFont="0" applyFill="0" applyBorder="0" applyProtection="0">
      <alignment horizontal="center" textRotation="90" wrapText="1"/>
    </xf>
    <xf numFmtId="0" fontId="25" fillId="0" borderId="0"/>
    <xf numFmtId="0" fontId="24" fillId="0" borderId="0"/>
    <xf numFmtId="0" fontId="23" fillId="0" borderId="0"/>
    <xf numFmtId="0" fontId="22" fillId="0" borderId="0"/>
    <xf numFmtId="0" fontId="21" fillId="0" borderId="0"/>
    <xf numFmtId="0" fontId="21" fillId="0" borderId="0"/>
    <xf numFmtId="0" fontId="20" fillId="0" borderId="0"/>
    <xf numFmtId="0" fontId="19" fillId="0" borderId="0"/>
    <xf numFmtId="0" fontId="18" fillId="0" borderId="0"/>
    <xf numFmtId="0" fontId="17" fillId="0" borderId="0"/>
    <xf numFmtId="0" fontId="16" fillId="0" borderId="0"/>
    <xf numFmtId="0" fontId="15" fillId="0" borderId="0"/>
    <xf numFmtId="0" fontId="14" fillId="0" borderId="0"/>
    <xf numFmtId="0" fontId="13" fillId="0" borderId="0"/>
    <xf numFmtId="0" fontId="12" fillId="0" borderId="0"/>
    <xf numFmtId="0" fontId="12" fillId="0" borderId="0"/>
    <xf numFmtId="0" fontId="11" fillId="0" borderId="0"/>
    <xf numFmtId="0" fontId="11" fillId="0" borderId="0"/>
    <xf numFmtId="0" fontId="10" fillId="0" borderId="0"/>
    <xf numFmtId="0" fontId="10" fillId="0" borderId="0"/>
    <xf numFmtId="0" fontId="9" fillId="0" borderId="0"/>
    <xf numFmtId="0" fontId="8" fillId="0" borderId="0"/>
    <xf numFmtId="0" fontId="7" fillId="0" borderId="0"/>
    <xf numFmtId="0" fontId="6" fillId="0" borderId="0"/>
    <xf numFmtId="0" fontId="5" fillId="0" borderId="0"/>
    <xf numFmtId="0" fontId="4" fillId="0" borderId="0"/>
    <xf numFmtId="0" fontId="3" fillId="0" borderId="0"/>
    <xf numFmtId="0" fontId="2" fillId="0" borderId="0"/>
    <xf numFmtId="0" fontId="1" fillId="0" borderId="0"/>
  </cellStyleXfs>
  <cellXfs count="670">
    <xf numFmtId="0" fontId="0" fillId="0" borderId="0" xfId="0"/>
    <xf numFmtId="0" fontId="52" fillId="20" borderId="2" xfId="49" applyBorder="1" applyAlignment="1"/>
    <xf numFmtId="0" fontId="41" fillId="2" borderId="0" xfId="0" applyFont="1" applyFill="1" applyAlignment="1">
      <alignment horizontal="center" vertical="center"/>
    </xf>
    <xf numFmtId="0" fontId="41" fillId="2" borderId="0" xfId="0" applyFont="1" applyFill="1" applyBorder="1" applyAlignment="1">
      <alignment horizontal="center" vertical="center"/>
    </xf>
    <xf numFmtId="0" fontId="42" fillId="2" borderId="0" xfId="0" applyFont="1" applyFill="1" applyAlignment="1">
      <alignment horizontal="center" vertical="center"/>
    </xf>
    <xf numFmtId="0" fontId="43" fillId="2" borderId="0" xfId="0" applyFont="1" applyFill="1" applyAlignment="1">
      <alignment horizontal="center" vertical="center"/>
    </xf>
    <xf numFmtId="0" fontId="43" fillId="2" borderId="0" xfId="0" applyFont="1" applyFill="1" applyBorder="1" applyAlignment="1">
      <alignment horizontal="center" vertical="center"/>
    </xf>
    <xf numFmtId="0" fontId="41" fillId="2" borderId="6" xfId="0" applyFont="1" applyFill="1" applyBorder="1" applyAlignment="1">
      <alignment horizontal="center" vertical="center"/>
    </xf>
    <xf numFmtId="0" fontId="41" fillId="2" borderId="7" xfId="0" applyFont="1" applyFill="1" applyBorder="1" applyAlignment="1">
      <alignment horizontal="center" vertical="center"/>
    </xf>
    <xf numFmtId="0" fontId="41" fillId="5" borderId="8" xfId="0" applyFont="1" applyFill="1" applyBorder="1" applyAlignment="1">
      <alignment horizontal="center" vertical="center"/>
    </xf>
    <xf numFmtId="0" fontId="41" fillId="5" borderId="9" xfId="0" applyFont="1" applyFill="1" applyBorder="1" applyAlignment="1">
      <alignment horizontal="center" vertical="center"/>
    </xf>
    <xf numFmtId="0" fontId="41" fillId="5" borderId="10" xfId="0" applyFont="1" applyFill="1" applyBorder="1" applyAlignment="1">
      <alignment horizontal="center" vertical="center"/>
    </xf>
    <xf numFmtId="0" fontId="41" fillId="5" borderId="11" xfId="0" applyFont="1" applyFill="1" applyBorder="1" applyAlignment="1">
      <alignment horizontal="center" vertical="center"/>
    </xf>
    <xf numFmtId="0" fontId="41" fillId="5" borderId="12" xfId="0" applyFont="1" applyFill="1" applyBorder="1" applyAlignment="1">
      <alignment horizontal="center" vertical="center"/>
    </xf>
    <xf numFmtId="0" fontId="40" fillId="6" borderId="13" xfId="0" applyFont="1" applyFill="1" applyBorder="1" applyAlignment="1">
      <alignment horizontal="center" vertical="center"/>
    </xf>
    <xf numFmtId="0" fontId="41" fillId="5" borderId="1" xfId="0" applyFont="1" applyFill="1" applyBorder="1" applyAlignment="1">
      <alignment horizontal="center" vertical="center"/>
    </xf>
    <xf numFmtId="3" fontId="40" fillId="6" borderId="0" xfId="0" applyNumberFormat="1" applyFont="1" applyFill="1" applyAlignment="1">
      <alignment horizontal="center" vertical="center"/>
    </xf>
    <xf numFmtId="0" fontId="40" fillId="6" borderId="0" xfId="0" applyFont="1" applyFill="1" applyAlignment="1">
      <alignment horizontal="center" vertical="center"/>
    </xf>
    <xf numFmtId="0" fontId="44" fillId="2" borderId="2" xfId="0" applyFont="1" applyFill="1" applyBorder="1" applyAlignment="1">
      <alignment horizontal="center" vertical="center"/>
    </xf>
    <xf numFmtId="0" fontId="41" fillId="5" borderId="16" xfId="0" applyFont="1" applyFill="1" applyBorder="1" applyAlignment="1">
      <alignment horizontal="center" vertical="center"/>
    </xf>
    <xf numFmtId="0" fontId="44" fillId="2" borderId="17" xfId="0" applyFont="1" applyFill="1" applyBorder="1" applyAlignment="1">
      <alignment horizontal="center" vertical="center"/>
    </xf>
    <xf numFmtId="0" fontId="41" fillId="2" borderId="18" xfId="0" applyFont="1" applyFill="1" applyBorder="1" applyAlignment="1">
      <alignment horizontal="center" vertical="center"/>
    </xf>
    <xf numFmtId="3" fontId="41" fillId="2" borderId="6" xfId="0" applyNumberFormat="1" applyFont="1" applyFill="1" applyBorder="1" applyAlignment="1">
      <alignment horizontal="center" vertical="center"/>
    </xf>
    <xf numFmtId="4" fontId="41" fillId="2" borderId="6" xfId="0" applyNumberFormat="1" applyFont="1" applyFill="1" applyBorder="1" applyAlignment="1">
      <alignment horizontal="center" vertical="center"/>
    </xf>
    <xf numFmtId="4" fontId="41" fillId="2" borderId="15" xfId="0" applyNumberFormat="1" applyFont="1" applyFill="1" applyBorder="1" applyAlignment="1">
      <alignment horizontal="center" vertical="center"/>
    </xf>
    <xf numFmtId="0" fontId="41" fillId="7" borderId="1" xfId="0" applyFont="1" applyFill="1" applyBorder="1" applyAlignment="1">
      <alignment horizontal="center" vertical="center"/>
    </xf>
    <xf numFmtId="3" fontId="41" fillId="7" borderId="2" xfId="0" applyNumberFormat="1" applyFont="1" applyFill="1" applyBorder="1" applyAlignment="1">
      <alignment horizontal="center" vertical="center"/>
    </xf>
    <xf numFmtId="3" fontId="41" fillId="7" borderId="5" xfId="0" applyNumberFormat="1" applyFont="1" applyFill="1" applyBorder="1" applyAlignment="1">
      <alignment horizontal="center" vertical="center"/>
    </xf>
    <xf numFmtId="0" fontId="40" fillId="6" borderId="9" xfId="0" applyFont="1" applyFill="1" applyBorder="1" applyAlignment="1">
      <alignment horizontal="center" vertical="center"/>
    </xf>
    <xf numFmtId="0" fontId="40" fillId="3" borderId="12" xfId="0" applyFont="1" applyFill="1" applyBorder="1" applyAlignment="1">
      <alignment horizontal="center" vertical="center"/>
    </xf>
    <xf numFmtId="0" fontId="42" fillId="2" borderId="0" xfId="0" applyFont="1" applyFill="1" applyBorder="1" applyAlignment="1">
      <alignment horizontal="center" vertical="center"/>
    </xf>
    <xf numFmtId="0" fontId="42" fillId="8" borderId="0" xfId="0" applyFont="1" applyFill="1" applyAlignment="1">
      <alignment horizontal="center" vertical="center"/>
    </xf>
    <xf numFmtId="0" fontId="40" fillId="6" borderId="6" xfId="0" applyFont="1" applyFill="1" applyBorder="1" applyAlignment="1">
      <alignment horizontal="center" vertical="center"/>
    </xf>
    <xf numFmtId="3" fontId="40" fillId="6" borderId="6" xfId="0" applyNumberFormat="1" applyFont="1" applyFill="1" applyBorder="1" applyAlignment="1">
      <alignment horizontal="center" vertical="center"/>
    </xf>
    <xf numFmtId="3" fontId="40" fillId="6" borderId="15" xfId="0" applyNumberFormat="1" applyFont="1" applyFill="1" applyBorder="1" applyAlignment="1">
      <alignment horizontal="center" vertical="center"/>
    </xf>
    <xf numFmtId="0" fontId="41" fillId="8" borderId="1" xfId="0" applyFont="1" applyFill="1" applyBorder="1" applyAlignment="1">
      <alignment horizontal="center" vertical="center"/>
    </xf>
    <xf numFmtId="0" fontId="41" fillId="8" borderId="2" xfId="0" applyFont="1" applyFill="1" applyBorder="1" applyAlignment="1">
      <alignment horizontal="center" vertical="center"/>
    </xf>
    <xf numFmtId="0" fontId="41" fillId="8" borderId="3" xfId="0" applyFont="1" applyFill="1" applyBorder="1" applyAlignment="1">
      <alignment horizontal="center" vertical="center"/>
    </xf>
    <xf numFmtId="0" fontId="41" fillId="8" borderId="5" xfId="0" applyFont="1" applyFill="1" applyBorder="1" applyAlignment="1">
      <alignment horizontal="center" vertical="center"/>
    </xf>
    <xf numFmtId="0" fontId="41" fillId="8" borderId="0" xfId="0" applyFont="1" applyFill="1" applyBorder="1" applyAlignment="1">
      <alignment horizontal="center" vertical="center"/>
    </xf>
    <xf numFmtId="0" fontId="41" fillId="8" borderId="4" xfId="0" applyFont="1" applyFill="1" applyBorder="1" applyAlignment="1">
      <alignment horizontal="center" vertical="center"/>
    </xf>
    <xf numFmtId="169" fontId="42" fillId="2" borderId="0" xfId="0" applyNumberFormat="1" applyFont="1" applyFill="1" applyAlignment="1">
      <alignment horizontal="center" vertical="center"/>
    </xf>
    <xf numFmtId="169" fontId="40" fillId="6" borderId="7" xfId="0" applyNumberFormat="1" applyFont="1" applyFill="1" applyBorder="1" applyAlignment="1">
      <alignment horizontal="center" vertical="center"/>
    </xf>
    <xf numFmtId="169" fontId="43" fillId="2" borderId="6" xfId="0" applyNumberFormat="1" applyFont="1" applyFill="1" applyBorder="1" applyAlignment="1">
      <alignment horizontal="center" vertical="center"/>
    </xf>
    <xf numFmtId="169" fontId="43" fillId="2" borderId="15" xfId="0" applyNumberFormat="1" applyFont="1" applyFill="1" applyBorder="1" applyAlignment="1">
      <alignment horizontal="center" vertical="center"/>
    </xf>
    <xf numFmtId="169" fontId="43" fillId="2" borderId="0" xfId="0" applyNumberFormat="1" applyFont="1" applyFill="1" applyBorder="1" applyAlignment="1">
      <alignment horizontal="center" vertical="center"/>
    </xf>
    <xf numFmtId="169" fontId="43" fillId="2" borderId="0" xfId="0" applyNumberFormat="1" applyFont="1" applyFill="1" applyAlignment="1">
      <alignment horizontal="center" vertical="center"/>
    </xf>
    <xf numFmtId="2" fontId="43" fillId="2" borderId="6" xfId="0" applyNumberFormat="1" applyFont="1" applyFill="1" applyBorder="1" applyAlignment="1">
      <alignment horizontal="center" vertical="center"/>
    </xf>
    <xf numFmtId="2" fontId="43" fillId="2" borderId="15" xfId="0" applyNumberFormat="1" applyFont="1" applyFill="1" applyBorder="1" applyAlignment="1">
      <alignment horizontal="center" vertical="center"/>
    </xf>
    <xf numFmtId="3" fontId="40" fillId="6" borderId="4" xfId="0" applyNumberFormat="1" applyFont="1" applyFill="1" applyBorder="1" applyAlignment="1">
      <alignment horizontal="center" vertical="center"/>
    </xf>
    <xf numFmtId="3" fontId="40" fillId="6" borderId="3" xfId="0" applyNumberFormat="1" applyFont="1" applyFill="1" applyBorder="1" applyAlignment="1">
      <alignment horizontal="center" vertical="center"/>
    </xf>
    <xf numFmtId="3" fontId="0" fillId="0" borderId="0" xfId="0" applyNumberFormat="1"/>
    <xf numFmtId="169" fontId="0" fillId="0" borderId="0" xfId="0" applyNumberFormat="1"/>
    <xf numFmtId="1" fontId="0" fillId="0" borderId="0" xfId="0" applyNumberFormat="1"/>
    <xf numFmtId="2" fontId="0" fillId="0" borderId="0" xfId="0" applyNumberFormat="1"/>
    <xf numFmtId="168" fontId="0" fillId="0" borderId="0" xfId="0" applyNumberFormat="1"/>
    <xf numFmtId="3" fontId="41" fillId="7" borderId="0" xfId="0" applyNumberFormat="1" applyFont="1" applyFill="1" applyBorder="1" applyAlignment="1">
      <alignment horizontal="center" vertical="center"/>
    </xf>
    <xf numFmtId="3" fontId="41" fillId="7" borderId="4" xfId="0" applyNumberFormat="1" applyFont="1" applyFill="1" applyBorder="1" applyAlignment="1">
      <alignment horizontal="center" vertical="center"/>
    </xf>
    <xf numFmtId="0" fontId="46" fillId="13" borderId="1" xfId="0" applyFont="1" applyFill="1" applyBorder="1" applyAlignment="1">
      <alignment horizontal="left" vertical="center"/>
    </xf>
    <xf numFmtId="166" fontId="41" fillId="7" borderId="2" xfId="0" applyNumberFormat="1" applyFont="1" applyFill="1" applyBorder="1" applyAlignment="1">
      <alignment horizontal="center" vertical="center"/>
    </xf>
    <xf numFmtId="0" fontId="40" fillId="3" borderId="11" xfId="0" applyFont="1" applyFill="1" applyBorder="1" applyAlignment="1">
      <alignment horizontal="center" vertical="center"/>
    </xf>
    <xf numFmtId="0" fontId="44" fillId="2" borderId="0" xfId="0" applyFont="1" applyFill="1" applyBorder="1" applyAlignment="1">
      <alignment horizontal="center" vertical="center"/>
    </xf>
    <xf numFmtId="0" fontId="44" fillId="2" borderId="24" xfId="0" applyFont="1" applyFill="1" applyBorder="1" applyAlignment="1">
      <alignment horizontal="center" vertical="center"/>
    </xf>
    <xf numFmtId="0" fontId="41" fillId="2" borderId="8" xfId="0" applyFont="1" applyFill="1" applyBorder="1" applyAlignment="1">
      <alignment horizontal="center" vertical="center"/>
    </xf>
    <xf numFmtId="0" fontId="41" fillId="2" borderId="12" xfId="0" applyFont="1" applyFill="1" applyBorder="1" applyAlignment="1">
      <alignment horizontal="center" vertical="center"/>
    </xf>
    <xf numFmtId="0" fontId="41" fillId="2" borderId="1" xfId="0" applyFont="1" applyFill="1" applyBorder="1" applyAlignment="1">
      <alignment horizontal="center" vertical="center"/>
    </xf>
    <xf numFmtId="0" fontId="41" fillId="2" borderId="2" xfId="0" applyFont="1" applyFill="1" applyBorder="1" applyAlignment="1">
      <alignment horizontal="center" vertical="center"/>
    </xf>
    <xf numFmtId="0" fontId="41" fillId="2" borderId="17" xfId="0" applyFont="1" applyFill="1" applyBorder="1" applyAlignment="1">
      <alignment horizontal="center" vertical="center"/>
    </xf>
    <xf numFmtId="0" fontId="43" fillId="2" borderId="0" xfId="0" quotePrefix="1" applyFont="1" applyFill="1" applyAlignment="1">
      <alignment horizontal="center" vertical="center"/>
    </xf>
    <xf numFmtId="3" fontId="45" fillId="7" borderId="0" xfId="0" applyNumberFormat="1" applyFont="1" applyFill="1" applyBorder="1" applyAlignment="1">
      <alignment horizontal="center" vertical="center"/>
    </xf>
    <xf numFmtId="0" fontId="43" fillId="2" borderId="0" xfId="0" quotePrefix="1" applyFont="1" applyFill="1" applyBorder="1" applyAlignment="1">
      <alignment horizontal="center" vertical="center"/>
    </xf>
    <xf numFmtId="0" fontId="43" fillId="2" borderId="2" xfId="0" quotePrefix="1" applyFont="1" applyFill="1" applyBorder="1" applyAlignment="1">
      <alignment horizontal="center" vertical="center"/>
    </xf>
    <xf numFmtId="0" fontId="43" fillId="2" borderId="4" xfId="0" quotePrefix="1" applyFont="1" applyFill="1" applyBorder="1" applyAlignment="1">
      <alignment horizontal="center" vertical="center"/>
    </xf>
    <xf numFmtId="0" fontId="43" fillId="2" borderId="5" xfId="0" quotePrefix="1" applyFont="1" applyFill="1" applyBorder="1" applyAlignment="1">
      <alignment horizontal="center" vertical="center"/>
    </xf>
    <xf numFmtId="0" fontId="41" fillId="5" borderId="11" xfId="0" quotePrefix="1" applyFont="1" applyFill="1" applyBorder="1" applyAlignment="1">
      <alignment horizontal="center" vertical="center"/>
    </xf>
    <xf numFmtId="0" fontId="41" fillId="5" borderId="12" xfId="0" quotePrefix="1" applyFont="1" applyFill="1" applyBorder="1" applyAlignment="1">
      <alignment horizontal="center" vertical="center"/>
    </xf>
    <xf numFmtId="0" fontId="43" fillId="2" borderId="3" xfId="0" quotePrefix="1" applyFont="1" applyFill="1" applyBorder="1" applyAlignment="1">
      <alignment horizontal="center" vertical="center"/>
    </xf>
    <xf numFmtId="0" fontId="43" fillId="2" borderId="8" xfId="0" quotePrefix="1" applyFont="1" applyFill="1" applyBorder="1" applyAlignment="1">
      <alignment horizontal="center" vertical="center"/>
    </xf>
    <xf numFmtId="0" fontId="43" fillId="2" borderId="12" xfId="0" quotePrefix="1" applyFont="1" applyFill="1" applyBorder="1" applyAlignment="1">
      <alignment horizontal="center" vertical="center"/>
    </xf>
    <xf numFmtId="0" fontId="43" fillId="2" borderId="1" xfId="0" quotePrefix="1" applyFont="1" applyFill="1" applyBorder="1" applyAlignment="1">
      <alignment horizontal="center" vertical="center"/>
    </xf>
    <xf numFmtId="173" fontId="0" fillId="0" borderId="0" xfId="0" applyNumberFormat="1"/>
    <xf numFmtId="170" fontId="0" fillId="0" borderId="0" xfId="0" applyNumberFormat="1"/>
    <xf numFmtId="3" fontId="41" fillId="7" borderId="3" xfId="0" applyNumberFormat="1" applyFont="1" applyFill="1" applyBorder="1" applyAlignment="1">
      <alignment horizontal="center" vertical="center"/>
    </xf>
    <xf numFmtId="3" fontId="41" fillId="7" borderId="12" xfId="0" applyNumberFormat="1" applyFont="1" applyFill="1" applyBorder="1" applyAlignment="1">
      <alignment horizontal="center" vertical="center"/>
    </xf>
    <xf numFmtId="3" fontId="41" fillId="2" borderId="2" xfId="0" applyNumberFormat="1" applyFont="1" applyFill="1" applyBorder="1" applyAlignment="1">
      <alignment horizontal="center" vertical="center"/>
    </xf>
    <xf numFmtId="0" fontId="0" fillId="18" borderId="1" xfId="0" applyFill="1" applyBorder="1"/>
    <xf numFmtId="0" fontId="0" fillId="18" borderId="0" xfId="0" applyFill="1" applyBorder="1"/>
    <xf numFmtId="0" fontId="0" fillId="18" borderId="2" xfId="0" applyFill="1" applyBorder="1"/>
    <xf numFmtId="0" fontId="37" fillId="17" borderId="1" xfId="0" applyFont="1" applyFill="1" applyBorder="1"/>
    <xf numFmtId="0" fontId="0" fillId="0" borderId="0" xfId="0" applyBorder="1"/>
    <xf numFmtId="0" fontId="0" fillId="18" borderId="3" xfId="0" applyFill="1" applyBorder="1"/>
    <xf numFmtId="0" fontId="0" fillId="18" borderId="4" xfId="0" applyFill="1" applyBorder="1"/>
    <xf numFmtId="0" fontId="0" fillId="18" borderId="5" xfId="0" applyFill="1" applyBorder="1"/>
    <xf numFmtId="0" fontId="0" fillId="0" borderId="0" xfId="0"/>
    <xf numFmtId="172" fontId="0" fillId="0" borderId="0" xfId="0" applyNumberFormat="1"/>
    <xf numFmtId="0" fontId="50" fillId="19" borderId="0" xfId="45" applyBorder="1" applyAlignment="1">
      <alignment horizontal="right"/>
    </xf>
    <xf numFmtId="0" fontId="50" fillId="19" borderId="0" xfId="47" applyBorder="1">
      <alignment horizontal="center"/>
    </xf>
    <xf numFmtId="0" fontId="50" fillId="19" borderId="0" xfId="47" applyBorder="1" applyAlignment="1">
      <alignment horizontal="center"/>
    </xf>
    <xf numFmtId="0" fontId="50" fillId="19" borderId="0" xfId="47" applyBorder="1" applyAlignment="1">
      <alignment horizontal="center"/>
    </xf>
    <xf numFmtId="0" fontId="50" fillId="19" borderId="0" xfId="47" applyNumberFormat="1" applyBorder="1">
      <alignment horizontal="center"/>
    </xf>
    <xf numFmtId="0" fontId="50" fillId="19" borderId="0" xfId="47" applyNumberFormat="1" applyBorder="1" applyAlignment="1">
      <alignment horizontal="center" vertical="center"/>
    </xf>
    <xf numFmtId="0" fontId="50" fillId="19" borderId="0" xfId="47" applyBorder="1" applyAlignment="1">
      <alignment horizontal="center" vertical="center"/>
    </xf>
    <xf numFmtId="0" fontId="52" fillId="20" borderId="0" xfId="49" applyBorder="1" applyAlignment="1">
      <alignment horizontal="center" vertical="center"/>
    </xf>
    <xf numFmtId="0" fontId="52" fillId="20" borderId="0" xfId="49" applyBorder="1" applyAlignment="1">
      <alignment horizontal="center"/>
    </xf>
    <xf numFmtId="175" fontId="50" fillId="19" borderId="0" xfId="47" applyNumberFormat="1" applyBorder="1" applyAlignment="1">
      <alignment horizontal="center" textRotation="90"/>
    </xf>
    <xf numFmtId="0" fontId="51" fillId="11" borderId="0" xfId="48"/>
    <xf numFmtId="172" fontId="51" fillId="11" borderId="0" xfId="48" applyNumberFormat="1"/>
    <xf numFmtId="0" fontId="51" fillId="11" borderId="0" xfId="48" applyNumberFormat="1" applyBorder="1" applyAlignment="1">
      <alignment horizontal="left" vertical="center"/>
    </xf>
    <xf numFmtId="0" fontId="50" fillId="19" borderId="0" xfId="47" applyNumberFormat="1" applyBorder="1" applyAlignment="1">
      <alignment horizontal="center" textRotation="90"/>
    </xf>
    <xf numFmtId="0" fontId="50" fillId="19" borderId="0" xfId="47" applyBorder="1" applyAlignment="1">
      <alignment horizontal="center" vertical="center" wrapText="1"/>
    </xf>
    <xf numFmtId="0" fontId="52" fillId="20" borderId="0" xfId="49"/>
    <xf numFmtId="0" fontId="51" fillId="11" borderId="0" xfId="48" applyBorder="1"/>
    <xf numFmtId="0" fontId="51" fillId="11" borderId="35" xfId="48" applyNumberFormat="1" applyBorder="1" applyAlignment="1">
      <alignment horizontal="left" vertical="center"/>
    </xf>
    <xf numFmtId="0" fontId="0" fillId="0" borderId="0" xfId="0"/>
    <xf numFmtId="0" fontId="52" fillId="20" borderId="0" xfId="49" applyAlignment="1">
      <alignment horizontal="center" vertical="center"/>
    </xf>
    <xf numFmtId="0" fontId="73" fillId="20" borderId="0" xfId="59" applyAlignment="1">
      <alignment horizontal="center" vertical="center"/>
    </xf>
    <xf numFmtId="0" fontId="41" fillId="7" borderId="45" xfId="0" applyFont="1" applyFill="1" applyBorder="1" applyAlignment="1">
      <alignment horizontal="center" vertical="center"/>
    </xf>
    <xf numFmtId="3" fontId="41" fillId="7" borderId="46" xfId="0" applyNumberFormat="1" applyFont="1" applyFill="1" applyBorder="1" applyAlignment="1">
      <alignment horizontal="center" vertical="center"/>
    </xf>
    <xf numFmtId="4" fontId="41" fillId="2" borderId="47" xfId="0" applyNumberFormat="1" applyFont="1" applyFill="1" applyBorder="1" applyAlignment="1">
      <alignment horizontal="center" vertical="center"/>
    </xf>
    <xf numFmtId="3" fontId="41" fillId="2" borderId="47" xfId="0" applyNumberFormat="1" applyFont="1" applyFill="1" applyBorder="1" applyAlignment="1">
      <alignment horizontal="center" vertical="center"/>
    </xf>
    <xf numFmtId="178" fontId="41" fillId="16" borderId="1" xfId="0" applyNumberFormat="1" applyFont="1" applyFill="1" applyBorder="1" applyAlignment="1">
      <alignment horizontal="center" vertical="center"/>
    </xf>
    <xf numFmtId="0" fontId="0" fillId="57" borderId="0" xfId="0" applyFill="1"/>
    <xf numFmtId="0" fontId="37" fillId="17" borderId="7" xfId="0" applyFont="1" applyFill="1" applyBorder="1"/>
    <xf numFmtId="174" fontId="51" fillId="11" borderId="15" xfId="48" applyNumberFormat="1" applyBorder="1"/>
    <xf numFmtId="0" fontId="51" fillId="11" borderId="19" xfId="48" applyBorder="1" applyAlignment="1">
      <alignment horizontal="center" vertical="center"/>
    </xf>
    <xf numFmtId="0" fontId="51" fillId="11" borderId="21" xfId="48" applyBorder="1" applyAlignment="1">
      <alignment horizontal="center" vertical="center"/>
    </xf>
    <xf numFmtId="0" fontId="51" fillId="11" borderId="22" xfId="48" applyBorder="1" applyAlignment="1">
      <alignment horizontal="center" vertical="center"/>
    </xf>
    <xf numFmtId="0" fontId="74" fillId="11" borderId="20" xfId="60" applyBorder="1" applyAlignment="1">
      <alignment horizontal="center" vertical="center"/>
    </xf>
    <xf numFmtId="0" fontId="74" fillId="11" borderId="0" xfId="60" applyBorder="1" applyAlignment="1">
      <alignment horizontal="center" vertical="center"/>
    </xf>
    <xf numFmtId="0" fontId="74" fillId="11" borderId="23" xfId="60" applyBorder="1" applyAlignment="1">
      <alignment horizontal="center" vertical="center"/>
    </xf>
    <xf numFmtId="0" fontId="51" fillId="11" borderId="0" xfId="48" applyBorder="1" applyAlignment="1">
      <alignment horizontal="center" vertical="center"/>
    </xf>
    <xf numFmtId="168" fontId="51" fillId="11" borderId="25" xfId="48" applyNumberFormat="1" applyBorder="1" applyAlignment="1">
      <alignment horizontal="center" vertical="center"/>
    </xf>
    <xf numFmtId="168" fontId="51" fillId="11" borderId="2" xfId="48" applyNumberFormat="1" applyBorder="1" applyAlignment="1">
      <alignment horizontal="center" vertical="center"/>
    </xf>
    <xf numFmtId="168" fontId="51" fillId="11" borderId="26" xfId="48" applyNumberFormat="1" applyBorder="1" applyAlignment="1">
      <alignment horizontal="center" vertical="center"/>
    </xf>
    <xf numFmtId="0" fontId="73" fillId="20" borderId="0" xfId="59" applyBorder="1" applyAlignment="1">
      <alignment horizontal="center" vertical="center"/>
    </xf>
    <xf numFmtId="0" fontId="73" fillId="20" borderId="4" xfId="59" applyBorder="1" applyAlignment="1">
      <alignment horizontal="center" vertical="center"/>
    </xf>
    <xf numFmtId="0" fontId="51" fillId="9" borderId="1" xfId="46" applyBorder="1" applyAlignment="1">
      <alignment horizontal="center" vertical="center"/>
    </xf>
    <xf numFmtId="0" fontId="51" fillId="11" borderId="1" xfId="48" applyBorder="1" applyAlignment="1">
      <alignment horizontal="center" vertical="center"/>
    </xf>
    <xf numFmtId="0" fontId="51" fillId="11" borderId="3" xfId="48" applyBorder="1" applyAlignment="1">
      <alignment horizontal="center" vertical="center"/>
    </xf>
    <xf numFmtId="0" fontId="51" fillId="11" borderId="4" xfId="48" applyBorder="1" applyAlignment="1">
      <alignment horizontal="center" vertical="center"/>
    </xf>
    <xf numFmtId="0" fontId="51" fillId="9" borderId="3" xfId="46" applyBorder="1" applyAlignment="1">
      <alignment horizontal="center" vertical="center"/>
    </xf>
    <xf numFmtId="0" fontId="51" fillId="9" borderId="0" xfId="46" applyAlignment="1">
      <alignment horizontal="center" vertical="center"/>
    </xf>
    <xf numFmtId="0" fontId="43" fillId="57" borderId="0" xfId="0" applyFont="1" applyFill="1" applyAlignment="1">
      <alignment horizontal="center" vertical="center"/>
    </xf>
    <xf numFmtId="0" fontId="53" fillId="21" borderId="0" xfId="51" applyAlignment="1">
      <alignment horizontal="center" vertical="center"/>
    </xf>
    <xf numFmtId="0" fontId="73" fillId="20" borderId="6" xfId="59" applyBorder="1" applyAlignment="1">
      <alignment horizontal="center" vertical="center"/>
    </xf>
    <xf numFmtId="0" fontId="73" fillId="20" borderId="15" xfId="59" applyBorder="1" applyAlignment="1">
      <alignment horizontal="center" vertical="center"/>
    </xf>
    <xf numFmtId="0" fontId="51" fillId="11" borderId="6" xfId="48" applyBorder="1" applyAlignment="1">
      <alignment horizontal="center" vertical="center"/>
    </xf>
    <xf numFmtId="0" fontId="51" fillId="11" borderId="15" xfId="48" applyBorder="1" applyAlignment="1">
      <alignment horizontal="center" vertical="center"/>
    </xf>
    <xf numFmtId="0" fontId="50" fillId="57" borderId="0" xfId="47" applyFill="1" applyBorder="1">
      <alignment horizontal="center"/>
    </xf>
    <xf numFmtId="0" fontId="52" fillId="57" borderId="0" xfId="49" applyFill="1" applyAlignment="1">
      <alignment horizontal="center" vertical="center"/>
    </xf>
    <xf numFmtId="0" fontId="41" fillId="57" borderId="0" xfId="0" applyFont="1" applyFill="1" applyAlignment="1">
      <alignment horizontal="center" vertical="center"/>
    </xf>
    <xf numFmtId="0" fontId="52" fillId="20" borderId="23" xfId="49" applyBorder="1" applyAlignment="1">
      <alignment horizontal="center" vertical="center"/>
    </xf>
    <xf numFmtId="0" fontId="50" fillId="19" borderId="1" xfId="47" applyBorder="1">
      <alignment horizontal="center"/>
    </xf>
    <xf numFmtId="179" fontId="0" fillId="0" borderId="0" xfId="0" applyNumberFormat="1"/>
    <xf numFmtId="0" fontId="74" fillId="11" borderId="0" xfId="60" quotePrefix="1" applyAlignment="1">
      <alignment horizontal="center" vertical="center"/>
    </xf>
    <xf numFmtId="0" fontId="52" fillId="20" borderId="6" xfId="49" applyBorder="1" applyAlignment="1">
      <alignment horizontal="center" vertical="center"/>
    </xf>
    <xf numFmtId="0" fontId="52" fillId="20" borderId="15" xfId="49" applyBorder="1" applyAlignment="1">
      <alignment horizontal="center" vertical="center"/>
    </xf>
    <xf numFmtId="174" fontId="51" fillId="11" borderId="7" xfId="48" applyNumberFormat="1" applyBorder="1" applyAlignment="1">
      <alignment horizontal="center" vertical="center"/>
    </xf>
    <xf numFmtId="174" fontId="51" fillId="11" borderId="6" xfId="48" applyNumberFormat="1" applyBorder="1" applyAlignment="1">
      <alignment horizontal="center" vertical="center"/>
    </xf>
    <xf numFmtId="174" fontId="51" fillId="11" borderId="15" xfId="48" applyNumberFormat="1" applyBorder="1" applyAlignment="1">
      <alignment horizontal="center" vertical="center"/>
    </xf>
    <xf numFmtId="0" fontId="73" fillId="20" borderId="3" xfId="59" applyBorder="1" applyAlignment="1">
      <alignment horizontal="center" vertical="center"/>
    </xf>
    <xf numFmtId="174" fontId="51" fillId="11" borderId="11" xfId="48" applyNumberFormat="1" applyBorder="1" applyAlignment="1">
      <alignment horizontal="center" vertical="center"/>
    </xf>
    <xf numFmtId="0" fontId="52" fillId="20" borderId="11" xfId="49" applyBorder="1" applyAlignment="1">
      <alignment horizontal="center" vertical="center"/>
    </xf>
    <xf numFmtId="174" fontId="51" fillId="11" borderId="0" xfId="48" applyNumberFormat="1" applyBorder="1" applyAlignment="1">
      <alignment horizontal="center" vertical="center"/>
    </xf>
    <xf numFmtId="174" fontId="43" fillId="10" borderId="0" xfId="61" applyNumberFormat="1" applyFont="1" applyBorder="1" applyAlignment="1">
      <alignment horizontal="center" vertical="center"/>
    </xf>
    <xf numFmtId="0" fontId="43" fillId="10" borderId="0" xfId="61" applyFont="1" applyBorder="1" applyAlignment="1">
      <alignment horizontal="center" vertical="center"/>
    </xf>
    <xf numFmtId="0" fontId="43" fillId="10" borderId="4" xfId="61" applyFont="1" applyBorder="1" applyAlignment="1">
      <alignment horizontal="center" vertical="center"/>
    </xf>
    <xf numFmtId="0" fontId="51" fillId="11" borderId="11" xfId="48" applyBorder="1" applyAlignment="1">
      <alignment horizontal="center" vertical="center"/>
    </xf>
    <xf numFmtId="0" fontId="52" fillId="20" borderId="7" xfId="49" applyBorder="1" applyAlignment="1">
      <alignment horizontal="center" vertical="center"/>
    </xf>
    <xf numFmtId="0" fontId="73" fillId="20" borderId="13" xfId="59" applyBorder="1" applyAlignment="1">
      <alignment horizontal="center" vertical="center"/>
    </xf>
    <xf numFmtId="180" fontId="73" fillId="20" borderId="6" xfId="59" applyNumberFormat="1" applyBorder="1" applyAlignment="1">
      <alignment horizontal="center" vertical="center"/>
    </xf>
    <xf numFmtId="180" fontId="73" fillId="20" borderId="15" xfId="59" applyNumberFormat="1" applyBorder="1" applyAlignment="1">
      <alignment horizontal="center" vertical="center"/>
    </xf>
    <xf numFmtId="0" fontId="51" fillId="11" borderId="12" xfId="48" applyBorder="1" applyAlignment="1">
      <alignment horizontal="center" vertical="center"/>
    </xf>
    <xf numFmtId="0" fontId="51" fillId="11" borderId="2" xfId="48" applyBorder="1" applyAlignment="1">
      <alignment horizontal="center" vertical="center"/>
    </xf>
    <xf numFmtId="0" fontId="52" fillId="20" borderId="3" xfId="49" applyBorder="1" applyAlignment="1">
      <alignment horizontal="center" vertical="center"/>
    </xf>
    <xf numFmtId="174" fontId="51" fillId="11" borderId="1" xfId="48" applyNumberFormat="1" applyBorder="1" applyAlignment="1">
      <alignment horizontal="center" vertical="center"/>
    </xf>
    <xf numFmtId="174" fontId="51" fillId="11" borderId="3" xfId="48" applyNumberFormat="1" applyBorder="1" applyAlignment="1">
      <alignment horizontal="center" vertical="center"/>
    </xf>
    <xf numFmtId="174" fontId="51" fillId="11" borderId="8" xfId="48" applyNumberFormat="1" applyBorder="1" applyAlignment="1">
      <alignment horizontal="center" vertical="center"/>
    </xf>
    <xf numFmtId="0" fontId="51" fillId="11" borderId="5" xfId="48" applyBorder="1" applyAlignment="1">
      <alignment horizontal="center" vertical="center"/>
    </xf>
    <xf numFmtId="0" fontId="49" fillId="19" borderId="13" xfId="44">
      <alignment horizontal="centerContinuous"/>
    </xf>
    <xf numFmtId="0" fontId="76" fillId="19" borderId="14" xfId="0" applyFont="1" applyFill="1" applyBorder="1" applyAlignment="1">
      <alignment horizontal="centerContinuous"/>
    </xf>
    <xf numFmtId="0" fontId="50" fillId="19" borderId="1" xfId="47" applyFont="1" applyBorder="1">
      <alignment horizontal="center"/>
    </xf>
    <xf numFmtId="0" fontId="77" fillId="58" borderId="1" xfId="62" applyFont="1" applyBorder="1">
      <alignment horizontal="left"/>
    </xf>
    <xf numFmtId="0" fontId="50" fillId="19" borderId="1" xfId="45" applyBorder="1">
      <alignment horizontal="left"/>
    </xf>
    <xf numFmtId="0" fontId="51" fillId="11" borderId="0" xfId="63" applyBorder="1"/>
    <xf numFmtId="0" fontId="51" fillId="59" borderId="0" xfId="64" applyBorder="1"/>
    <xf numFmtId="0" fontId="77" fillId="58" borderId="1" xfId="65" applyBorder="1">
      <alignment horizontal="left"/>
    </xf>
    <xf numFmtId="0" fontId="51" fillId="9" borderId="0" xfId="46"/>
    <xf numFmtId="0" fontId="78" fillId="9" borderId="0" xfId="67"/>
    <xf numFmtId="0" fontId="51" fillId="5" borderId="0" xfId="68" applyFont="1"/>
    <xf numFmtId="0" fontId="51" fillId="14" borderId="0" xfId="69">
      <protection locked="0"/>
    </xf>
    <xf numFmtId="0" fontId="74" fillId="11" borderId="0" xfId="60"/>
    <xf numFmtId="0" fontId="51" fillId="60" borderId="0" xfId="70"/>
    <xf numFmtId="0" fontId="73" fillId="20" borderId="0" xfId="59"/>
    <xf numFmtId="0" fontId="54" fillId="15" borderId="0" xfId="52"/>
    <xf numFmtId="0" fontId="53" fillId="21" borderId="0" xfId="51"/>
    <xf numFmtId="0" fontId="43" fillId="2" borderId="2" xfId="0" applyFont="1" applyFill="1" applyBorder="1" applyAlignment="1">
      <alignment horizontal="center" vertical="center"/>
    </xf>
    <xf numFmtId="0" fontId="43" fillId="2" borderId="5" xfId="0" applyFont="1" applyFill="1" applyBorder="1" applyAlignment="1">
      <alignment horizontal="center" vertical="center"/>
    </xf>
    <xf numFmtId="0" fontId="51" fillId="9" borderId="6" xfId="46" applyBorder="1" applyAlignment="1">
      <alignment horizontal="center" vertical="center"/>
    </xf>
    <xf numFmtId="0" fontId="51" fillId="9" borderId="15" xfId="46" applyBorder="1" applyAlignment="1">
      <alignment horizontal="center" vertical="center"/>
    </xf>
    <xf numFmtId="0" fontId="41" fillId="5" borderId="14" xfId="0" applyFont="1" applyFill="1" applyBorder="1" applyAlignment="1">
      <alignment horizontal="center" vertical="center"/>
    </xf>
    <xf numFmtId="0" fontId="41" fillId="5" borderId="13" xfId="0" applyFont="1" applyFill="1" applyBorder="1" applyAlignment="1">
      <alignment horizontal="left" vertical="center"/>
    </xf>
    <xf numFmtId="0" fontId="0" fillId="57" borderId="0" xfId="0" applyFill="1" applyBorder="1"/>
    <xf numFmtId="0" fontId="42" fillId="5" borderId="9" xfId="0" applyFont="1" applyFill="1" applyBorder="1" applyAlignment="1">
      <alignment horizontal="center" vertical="center"/>
    </xf>
    <xf numFmtId="0" fontId="42" fillId="5" borderId="10" xfId="0" applyFont="1" applyFill="1" applyBorder="1" applyAlignment="1">
      <alignment horizontal="center" vertical="center"/>
    </xf>
    <xf numFmtId="169" fontId="42" fillId="5" borderId="13" xfId="0" applyNumberFormat="1" applyFont="1" applyFill="1" applyBorder="1" applyAlignment="1">
      <alignment horizontal="center" vertical="center"/>
    </xf>
    <xf numFmtId="0" fontId="51" fillId="11" borderId="0" xfId="48" applyAlignment="1">
      <alignment horizontal="center" vertical="center"/>
    </xf>
    <xf numFmtId="174" fontId="41" fillId="56" borderId="6" xfId="0" applyNumberFormat="1" applyFont="1" applyFill="1" applyBorder="1" applyAlignment="1">
      <alignment horizontal="center" vertical="center"/>
    </xf>
    <xf numFmtId="3" fontId="51" fillId="11" borderId="0" xfId="48" applyNumberFormat="1" applyBorder="1" applyAlignment="1">
      <alignment horizontal="center" vertical="center"/>
    </xf>
    <xf numFmtId="179" fontId="41" fillId="7" borderId="1" xfId="0" applyNumberFormat="1" applyFont="1" applyFill="1" applyBorder="1" applyAlignment="1">
      <alignment horizontal="center" vertical="center"/>
    </xf>
    <xf numFmtId="3" fontId="41" fillId="2" borderId="1" xfId="0" applyNumberFormat="1" applyFont="1" applyFill="1" applyBorder="1" applyAlignment="1">
      <alignment horizontal="center" vertical="center"/>
    </xf>
    <xf numFmtId="3" fontId="41" fillId="7" borderId="8" xfId="0" applyNumberFormat="1" applyFont="1" applyFill="1" applyBorder="1" applyAlignment="1">
      <alignment horizontal="center" vertical="center"/>
    </xf>
    <xf numFmtId="3" fontId="41" fillId="7" borderId="11" xfId="0" applyNumberFormat="1" applyFont="1" applyFill="1" applyBorder="1" applyAlignment="1">
      <alignment horizontal="center" vertical="center"/>
    </xf>
    <xf numFmtId="164" fontId="41" fillId="7" borderId="1" xfId="0" applyNumberFormat="1" applyFont="1" applyFill="1" applyBorder="1" applyAlignment="1">
      <alignment horizontal="right" vertical="center"/>
    </xf>
    <xf numFmtId="164" fontId="41" fillId="7" borderId="0" xfId="0" applyNumberFormat="1" applyFont="1" applyFill="1" applyBorder="1" applyAlignment="1">
      <alignment horizontal="right" vertical="center"/>
    </xf>
    <xf numFmtId="164" fontId="41" fillId="7" borderId="2" xfId="0" applyNumberFormat="1" applyFont="1" applyFill="1" applyBorder="1" applyAlignment="1">
      <alignment horizontal="right" vertical="center"/>
    </xf>
    <xf numFmtId="167" fontId="51" fillId="11" borderId="6" xfId="48" applyNumberFormat="1" applyBorder="1" applyAlignment="1">
      <alignment horizontal="center" vertical="center"/>
    </xf>
    <xf numFmtId="167" fontId="51" fillId="11" borderId="15" xfId="48" applyNumberFormat="1" applyBorder="1" applyAlignment="1">
      <alignment horizontal="center" vertical="center"/>
    </xf>
    <xf numFmtId="0" fontId="0" fillId="18" borderId="0" xfId="0" applyFont="1" applyFill="1" applyBorder="1"/>
    <xf numFmtId="169" fontId="51" fillId="60" borderId="6" xfId="70" applyNumberFormat="1" applyBorder="1" applyAlignment="1">
      <alignment horizontal="center" vertical="center"/>
    </xf>
    <xf numFmtId="169" fontId="51" fillId="60" borderId="15" xfId="70" applyNumberFormat="1" applyBorder="1" applyAlignment="1">
      <alignment horizontal="center" vertical="center"/>
    </xf>
    <xf numFmtId="3" fontId="41" fillId="5" borderId="13" xfId="0" applyNumberFormat="1" applyFont="1" applyFill="1" applyBorder="1" applyAlignment="1">
      <alignment vertical="center"/>
    </xf>
    <xf numFmtId="173" fontId="82" fillId="12" borderId="0" xfId="71" applyNumberFormat="1" applyBorder="1" applyAlignment="1">
      <alignment horizontal="center" vertical="center"/>
    </xf>
    <xf numFmtId="0" fontId="50" fillId="19" borderId="8" xfId="47" applyBorder="1">
      <alignment horizontal="center"/>
    </xf>
    <xf numFmtId="0" fontId="50" fillId="19" borderId="11" xfId="47" applyBorder="1">
      <alignment horizontal="center"/>
    </xf>
    <xf numFmtId="0" fontId="50" fillId="19" borderId="14" xfId="47" applyBorder="1">
      <alignment horizontal="center"/>
    </xf>
    <xf numFmtId="0" fontId="51" fillId="11" borderId="8" xfId="48" applyBorder="1" applyAlignment="1">
      <alignment horizontal="center" vertical="center"/>
    </xf>
    <xf numFmtId="0" fontId="50" fillId="19" borderId="12" xfId="47" applyBorder="1">
      <alignment horizontal="center"/>
    </xf>
    <xf numFmtId="3" fontId="0" fillId="57" borderId="0" xfId="0" applyNumberFormat="1" applyFill="1"/>
    <xf numFmtId="0" fontId="40" fillId="57" borderId="0" xfId="0" applyFont="1" applyFill="1" applyAlignment="1">
      <alignment horizontal="center" vertical="center"/>
    </xf>
    <xf numFmtId="0" fontId="82" fillId="12" borderId="0" xfId="71" applyBorder="1"/>
    <xf numFmtId="0" fontId="0" fillId="61" borderId="0" xfId="0" applyFill="1"/>
    <xf numFmtId="0" fontId="75" fillId="61" borderId="0" xfId="66" applyNumberFormat="1" applyFill="1"/>
    <xf numFmtId="0" fontId="75" fillId="61" borderId="0" xfId="66" applyNumberFormat="1" applyFont="1" applyFill="1"/>
    <xf numFmtId="0" fontId="37" fillId="61" borderId="0" xfId="0" applyFont="1" applyFill="1"/>
    <xf numFmtId="174" fontId="51" fillId="11" borderId="0" xfId="48" applyNumberFormat="1"/>
    <xf numFmtId="0" fontId="50" fillId="19" borderId="4" xfId="45" applyBorder="1" applyAlignment="1">
      <alignment horizontal="center" vertical="center"/>
    </xf>
    <xf numFmtId="3" fontId="82" fillId="12" borderId="0" xfId="71" applyNumberFormat="1" applyBorder="1"/>
    <xf numFmtId="3" fontId="83" fillId="57" borderId="0" xfId="0" applyNumberFormat="1" applyFont="1" applyFill="1"/>
    <xf numFmtId="3" fontId="83" fillId="57" borderId="0" xfId="0" quotePrefix="1" applyNumberFormat="1" applyFont="1" applyFill="1"/>
    <xf numFmtId="0" fontId="41" fillId="2" borderId="23" xfId="0" applyFont="1" applyFill="1" applyBorder="1" applyAlignment="1">
      <alignment horizontal="center" vertical="center"/>
    </xf>
    <xf numFmtId="0" fontId="41" fillId="57" borderId="23" xfId="0" applyFont="1" applyFill="1" applyBorder="1" applyAlignment="1">
      <alignment horizontal="center" vertical="center"/>
    </xf>
    <xf numFmtId="0" fontId="73" fillId="20" borderId="23" xfId="59" applyBorder="1" applyAlignment="1">
      <alignment horizontal="center" vertical="center"/>
    </xf>
    <xf numFmtId="0" fontId="50" fillId="19" borderId="23" xfId="47" applyBorder="1">
      <alignment horizontal="center"/>
    </xf>
    <xf numFmtId="0" fontId="0" fillId="57" borderId="23" xfId="0" applyFill="1" applyBorder="1" applyAlignment="1">
      <alignment horizontal="center" vertical="center"/>
    </xf>
    <xf numFmtId="0" fontId="0" fillId="0" borderId="23" xfId="0" applyBorder="1"/>
    <xf numFmtId="0" fontId="40" fillId="6" borderId="23" xfId="0" applyFont="1" applyFill="1" applyBorder="1" applyAlignment="1">
      <alignment horizontal="center" vertical="center"/>
    </xf>
    <xf numFmtId="0" fontId="0" fillId="57" borderId="23" xfId="0" applyFill="1" applyBorder="1"/>
    <xf numFmtId="0" fontId="40" fillId="6" borderId="48" xfId="0" applyFont="1" applyFill="1" applyBorder="1" applyAlignment="1">
      <alignment horizontal="center" vertical="center"/>
    </xf>
    <xf numFmtId="0" fontId="99" fillId="19" borderId="15" xfId="44" applyFont="1" applyBorder="1">
      <alignment horizontal="centerContinuous"/>
    </xf>
    <xf numFmtId="0" fontId="50" fillId="19" borderId="0" xfId="45" applyBorder="1" applyAlignment="1">
      <alignment horizontal="center"/>
    </xf>
    <xf numFmtId="0" fontId="0" fillId="10" borderId="0" xfId="61" applyFont="1"/>
    <xf numFmtId="0" fontId="40" fillId="6" borderId="14" xfId="0" applyFont="1" applyFill="1" applyBorder="1" applyAlignment="1">
      <alignment horizontal="center" vertical="center"/>
    </xf>
    <xf numFmtId="0" fontId="40" fillId="6" borderId="10" xfId="0" applyFont="1" applyFill="1" applyBorder="1" applyAlignment="1">
      <alignment horizontal="center" vertical="center"/>
    </xf>
    <xf numFmtId="0" fontId="40" fillId="6" borderId="10" xfId="0" applyFont="1" applyFill="1" applyBorder="1" applyAlignment="1" applyProtection="1">
      <alignment horizontal="center" vertical="center"/>
      <protection locked="0"/>
    </xf>
    <xf numFmtId="0" fontId="40" fillId="6" borderId="14" xfId="0" applyFont="1" applyFill="1" applyBorder="1" applyAlignment="1" applyProtection="1">
      <alignment horizontal="center" vertical="center"/>
      <protection locked="0"/>
    </xf>
    <xf numFmtId="3" fontId="41" fillId="7" borderId="6" xfId="0" applyNumberFormat="1" applyFont="1" applyFill="1" applyBorder="1" applyAlignment="1">
      <alignment horizontal="center" vertical="center"/>
    </xf>
    <xf numFmtId="0" fontId="40" fillId="2" borderId="4" xfId="0" applyFont="1" applyFill="1" applyBorder="1" applyAlignment="1">
      <alignment horizontal="center" vertical="center"/>
    </xf>
    <xf numFmtId="0" fontId="40" fillId="6" borderId="4" xfId="0" applyFont="1" applyFill="1" applyBorder="1" applyAlignment="1">
      <alignment horizontal="center" vertical="center"/>
    </xf>
    <xf numFmtId="0" fontId="40" fillId="2" borderId="15" xfId="0" applyFont="1" applyFill="1" applyBorder="1" applyAlignment="1">
      <alignment horizontal="center" vertical="center"/>
    </xf>
    <xf numFmtId="0" fontId="53" fillId="57" borderId="0" xfId="51" applyFill="1" applyAlignment="1">
      <alignment horizontal="center" vertical="center"/>
    </xf>
    <xf numFmtId="0" fontId="51" fillId="11" borderId="0" xfId="48" applyNumberFormat="1" applyBorder="1" applyAlignment="1">
      <alignment horizontal="center" vertical="center"/>
    </xf>
    <xf numFmtId="38" fontId="51" fillId="11" borderId="0" xfId="28" applyNumberFormat="1" applyFont="1" applyFill="1" applyBorder="1"/>
    <xf numFmtId="0" fontId="54" fillId="15" borderId="34" xfId="52" applyNumberFormat="1" applyBorder="1" applyAlignment="1">
      <alignment horizontal="center" vertical="center"/>
    </xf>
    <xf numFmtId="0" fontId="51" fillId="11" borderId="0" xfId="48" applyBorder="1" applyAlignment="1">
      <alignment horizontal="left"/>
    </xf>
    <xf numFmtId="180" fontId="51" fillId="11" borderId="0" xfId="48" applyNumberFormat="1" applyBorder="1" applyAlignment="1">
      <alignment horizontal="left"/>
    </xf>
    <xf numFmtId="174" fontId="51" fillId="10" borderId="0" xfId="61" applyNumberFormat="1" applyFont="1" applyBorder="1" applyAlignment="1">
      <alignment horizontal="center" vertical="center"/>
    </xf>
    <xf numFmtId="0" fontId="52" fillId="20" borderId="0" xfId="49" applyAlignment="1">
      <alignment horizontal="center"/>
    </xf>
    <xf numFmtId="0" fontId="50" fillId="19" borderId="0" xfId="47" applyBorder="1" applyAlignment="1"/>
    <xf numFmtId="180" fontId="101" fillId="11" borderId="1" xfId="48" applyNumberFormat="1" applyFont="1" applyBorder="1"/>
    <xf numFmtId="0" fontId="101" fillId="11" borderId="13" xfId="48" applyFont="1" applyBorder="1" applyAlignment="1">
      <alignment horizontal="center" vertical="center"/>
    </xf>
    <xf numFmtId="180" fontId="101" fillId="11" borderId="13" xfId="48" applyNumberFormat="1" applyFont="1" applyBorder="1"/>
    <xf numFmtId="0" fontId="54" fillId="15" borderId="0" xfId="52" applyAlignment="1">
      <alignment horizontal="left" vertical="center"/>
    </xf>
    <xf numFmtId="15" fontId="0" fillId="0" borderId="0" xfId="0" applyNumberFormat="1"/>
    <xf numFmtId="16" fontId="0" fillId="0" borderId="0" xfId="0" applyNumberFormat="1"/>
    <xf numFmtId="0" fontId="51" fillId="11" borderId="7" xfId="48" applyBorder="1" applyAlignment="1">
      <alignment horizontal="center" vertical="center"/>
    </xf>
    <xf numFmtId="0" fontId="50" fillId="19" borderId="13" xfId="47" applyBorder="1">
      <alignment horizontal="center"/>
    </xf>
    <xf numFmtId="180" fontId="51" fillId="11" borderId="1" xfId="48" applyNumberFormat="1" applyBorder="1" applyAlignment="1">
      <alignment horizontal="center"/>
    </xf>
    <xf numFmtId="0" fontId="77" fillId="58" borderId="0" xfId="65" applyBorder="1" applyAlignment="1">
      <alignment horizontal="right"/>
    </xf>
    <xf numFmtId="166" fontId="41" fillId="7" borderId="5" xfId="0" applyNumberFormat="1" applyFont="1" applyFill="1" applyBorder="1" applyAlignment="1">
      <alignment horizontal="center" vertical="center"/>
    </xf>
    <xf numFmtId="0" fontId="51" fillId="11" borderId="13" xfId="48" applyBorder="1" applyAlignment="1">
      <alignment horizontal="center" vertical="center"/>
    </xf>
    <xf numFmtId="183" fontId="41" fillId="2" borderId="49" xfId="0" applyNumberFormat="1" applyFont="1" applyFill="1" applyBorder="1" applyAlignment="1">
      <alignment horizontal="center" vertical="center"/>
    </xf>
    <xf numFmtId="0" fontId="77" fillId="58" borderId="23" xfId="65" applyBorder="1">
      <alignment horizontal="left"/>
    </xf>
    <xf numFmtId="174" fontId="51" fillId="11" borderId="12" xfId="48" applyNumberFormat="1" applyBorder="1" applyAlignment="1">
      <alignment horizontal="center" vertical="center"/>
    </xf>
    <xf numFmtId="174" fontId="51" fillId="11" borderId="2" xfId="48" applyNumberFormat="1" applyBorder="1" applyAlignment="1">
      <alignment horizontal="center" vertical="center"/>
    </xf>
    <xf numFmtId="174" fontId="51" fillId="11" borderId="5" xfId="48" applyNumberFormat="1" applyBorder="1" applyAlignment="1">
      <alignment horizontal="center" vertical="center"/>
    </xf>
    <xf numFmtId="0" fontId="50" fillId="19" borderId="50" xfId="47" applyBorder="1">
      <alignment horizontal="center"/>
    </xf>
    <xf numFmtId="0" fontId="52" fillId="20" borderId="51" xfId="49" applyBorder="1" applyAlignment="1">
      <alignment horizontal="center" vertical="center"/>
    </xf>
    <xf numFmtId="0" fontId="52" fillId="20" borderId="52" xfId="49" applyBorder="1" applyAlignment="1">
      <alignment horizontal="center" vertical="center"/>
    </xf>
    <xf numFmtId="0" fontId="73" fillId="20" borderId="53" xfId="59" applyBorder="1" applyAlignment="1">
      <alignment horizontal="center" vertical="center"/>
    </xf>
    <xf numFmtId="0" fontId="73" fillId="20" borderId="54" xfId="59" applyBorder="1" applyAlignment="1">
      <alignment horizontal="center" vertical="center"/>
    </xf>
    <xf numFmtId="0" fontId="73" fillId="20" borderId="55" xfId="59" applyBorder="1" applyAlignment="1">
      <alignment horizontal="center" vertical="center"/>
    </xf>
    <xf numFmtId="0" fontId="52" fillId="20" borderId="56" xfId="49" applyBorder="1" applyAlignment="1">
      <alignment horizontal="center" vertical="center"/>
    </xf>
    <xf numFmtId="0" fontId="50" fillId="19" borderId="0" xfId="47" applyBorder="1" applyAlignment="1">
      <alignment horizontal="right"/>
    </xf>
    <xf numFmtId="37" fontId="0" fillId="0" borderId="0" xfId="0" applyNumberFormat="1"/>
    <xf numFmtId="0" fontId="54" fillId="10" borderId="0" xfId="61" applyFont="1"/>
    <xf numFmtId="0" fontId="99" fillId="19" borderId="15" xfId="44" applyFont="1" applyBorder="1" applyAlignment="1">
      <alignment horizontal="center"/>
    </xf>
    <xf numFmtId="3" fontId="41" fillId="7" borderId="4" xfId="0" applyNumberFormat="1" applyFont="1" applyFill="1" applyBorder="1" applyAlignment="1" applyProtection="1">
      <alignment horizontal="center" vertical="center"/>
      <protection locked="0"/>
    </xf>
    <xf numFmtId="0" fontId="52" fillId="20" borderId="23" xfId="49" applyBorder="1" applyAlignment="1">
      <alignment horizontal="left" vertical="center"/>
    </xf>
    <xf numFmtId="0" fontId="0" fillId="10" borderId="23" xfId="61" applyFont="1" applyBorder="1"/>
    <xf numFmtId="0" fontId="52" fillId="20" borderId="0" xfId="49" applyBorder="1" applyAlignment="1">
      <alignment horizontal="left" vertical="center"/>
    </xf>
    <xf numFmtId="0" fontId="52" fillId="20" borderId="0" xfId="49" applyAlignment="1">
      <alignment horizontal="left" vertical="center"/>
    </xf>
    <xf numFmtId="3" fontId="41" fillId="7" borderId="2" xfId="0" applyNumberFormat="1" applyFont="1" applyFill="1" applyBorder="1" applyAlignment="1">
      <alignment horizontal="center" vertical="center"/>
    </xf>
    <xf numFmtId="0" fontId="41" fillId="8" borderId="0" xfId="0" applyFont="1" applyFill="1" applyBorder="1" applyAlignment="1">
      <alignment horizontal="center" vertical="center"/>
    </xf>
    <xf numFmtId="0" fontId="41" fillId="8" borderId="4" xfId="0" applyFont="1" applyFill="1" applyBorder="1" applyAlignment="1">
      <alignment horizontal="center" vertical="center"/>
    </xf>
    <xf numFmtId="166" fontId="41" fillId="7" borderId="2" xfId="0" applyNumberFormat="1" applyFont="1" applyFill="1" applyBorder="1" applyAlignment="1">
      <alignment horizontal="center" vertical="center"/>
    </xf>
    <xf numFmtId="0" fontId="73" fillId="20" borderId="0" xfId="59" applyAlignment="1">
      <alignment horizontal="center" vertical="center"/>
    </xf>
    <xf numFmtId="0" fontId="0" fillId="57" borderId="0" xfId="0" applyFill="1"/>
    <xf numFmtId="0" fontId="52" fillId="20" borderId="4" xfId="49" applyBorder="1" applyAlignment="1">
      <alignment horizontal="center" vertical="center"/>
    </xf>
    <xf numFmtId="3" fontId="41" fillId="7" borderId="3" xfId="0" applyNumberFormat="1" applyFont="1" applyFill="1" applyBorder="1" applyAlignment="1" applyProtection="1">
      <alignment horizontal="center" vertical="center"/>
      <protection locked="0"/>
    </xf>
    <xf numFmtId="0" fontId="40" fillId="6" borderId="10" xfId="0" applyFont="1" applyFill="1" applyBorder="1" applyAlignment="1" applyProtection="1">
      <alignment horizontal="center" vertical="center"/>
      <protection locked="0"/>
    </xf>
    <xf numFmtId="0" fontId="40" fillId="6" borderId="14" xfId="0" applyFont="1" applyFill="1" applyBorder="1" applyAlignment="1" applyProtection="1">
      <alignment horizontal="center" vertical="center"/>
      <protection locked="0"/>
    </xf>
    <xf numFmtId="0" fontId="50" fillId="19" borderId="4" xfId="47" applyBorder="1">
      <alignment horizontal="center"/>
    </xf>
    <xf numFmtId="180" fontId="51" fillId="11" borderId="13" xfId="48" applyNumberFormat="1" applyBorder="1" applyAlignment="1">
      <alignment horizontal="center"/>
    </xf>
    <xf numFmtId="0" fontId="40" fillId="6" borderId="14" xfId="0" applyFont="1" applyFill="1" applyBorder="1" applyAlignment="1">
      <alignment horizontal="center" vertical="center"/>
    </xf>
    <xf numFmtId="0" fontId="0" fillId="17" borderId="7" xfId="0" applyFont="1" applyFill="1" applyBorder="1"/>
    <xf numFmtId="0" fontId="0" fillId="0" borderId="0" xfId="0"/>
    <xf numFmtId="0" fontId="103" fillId="58" borderId="0" xfId="65" applyFont="1" applyBorder="1" applyAlignment="1"/>
    <xf numFmtId="0" fontId="104" fillId="20" borderId="0" xfId="49" applyFont="1" applyAlignment="1">
      <alignment vertical="center"/>
    </xf>
    <xf numFmtId="0" fontId="81" fillId="57" borderId="0" xfId="35" applyFont="1" applyFill="1" applyAlignment="1" applyProtection="1">
      <alignment vertical="center"/>
    </xf>
    <xf numFmtId="0" fontId="104" fillId="20" borderId="0" xfId="49" applyFont="1" applyAlignment="1">
      <alignment horizontal="center" vertical="center"/>
    </xf>
    <xf numFmtId="167" fontId="51" fillId="11" borderId="1" xfId="48" applyNumberFormat="1" applyBorder="1" applyAlignment="1">
      <alignment horizontal="center" vertical="center"/>
    </xf>
    <xf numFmtId="167" fontId="51" fillId="11" borderId="3" xfId="48" applyNumberFormat="1" applyBorder="1" applyAlignment="1">
      <alignment horizontal="center" vertical="center"/>
    </xf>
    <xf numFmtId="0" fontId="42" fillId="5" borderId="14" xfId="0" applyFont="1" applyFill="1" applyBorder="1" applyAlignment="1">
      <alignment horizontal="center" vertical="center"/>
    </xf>
    <xf numFmtId="0" fontId="73" fillId="20" borderId="1" xfId="59" applyBorder="1" applyAlignment="1">
      <alignment horizontal="center" vertical="center"/>
    </xf>
    <xf numFmtId="0" fontId="77" fillId="58" borderId="0" xfId="62" applyBorder="1" applyAlignment="1">
      <alignment horizontal="center"/>
    </xf>
    <xf numFmtId="0" fontId="42" fillId="57" borderId="0" xfId="0" applyFont="1" applyFill="1" applyAlignment="1">
      <alignment horizontal="center" vertical="center"/>
    </xf>
    <xf numFmtId="0" fontId="77" fillId="58" borderId="10" xfId="62" applyBorder="1" applyAlignment="1">
      <alignment horizontal="center"/>
    </xf>
    <xf numFmtId="0" fontId="73" fillId="57" borderId="0" xfId="59" applyFill="1" applyBorder="1" applyAlignment="1">
      <alignment horizontal="center" vertical="center"/>
    </xf>
    <xf numFmtId="0" fontId="51" fillId="57" borderId="0" xfId="48" applyFill="1" applyBorder="1" applyAlignment="1">
      <alignment horizontal="center" vertical="center"/>
    </xf>
    <xf numFmtId="0" fontId="44" fillId="5" borderId="9" xfId="0" applyFont="1" applyFill="1" applyBorder="1" applyAlignment="1">
      <alignment horizontal="center" vertical="center"/>
    </xf>
    <xf numFmtId="0" fontId="50" fillId="19" borderId="0" xfId="45" applyBorder="1">
      <alignment horizontal="left"/>
    </xf>
    <xf numFmtId="0" fontId="0" fillId="57" borderId="0" xfId="0" applyFill="1"/>
    <xf numFmtId="0" fontId="51" fillId="11" borderId="5" xfId="48" applyBorder="1" applyAlignment="1">
      <alignment horizontal="center" vertical="center"/>
    </xf>
    <xf numFmtId="0" fontId="51" fillId="60" borderId="0" xfId="70"/>
    <xf numFmtId="0" fontId="0" fillId="10" borderId="0" xfId="61" applyFont="1"/>
    <xf numFmtId="0" fontId="77" fillId="58" borderId="0" xfId="65" applyBorder="1">
      <alignment horizontal="left"/>
    </xf>
    <xf numFmtId="0" fontId="52" fillId="20" borderId="5" xfId="49" applyBorder="1" applyAlignment="1">
      <alignment horizontal="center" vertical="center"/>
    </xf>
    <xf numFmtId="0" fontId="37" fillId="17" borderId="1" xfId="0" applyFont="1" applyFill="1" applyBorder="1" applyAlignment="1"/>
    <xf numFmtId="0" fontId="37" fillId="17" borderId="0" xfId="0" applyFont="1" applyFill="1" applyBorder="1" applyAlignment="1"/>
    <xf numFmtId="0" fontId="37" fillId="17" borderId="2" xfId="0" applyFont="1" applyFill="1" applyBorder="1" applyAlignment="1"/>
    <xf numFmtId="0" fontId="37" fillId="17" borderId="3" xfId="0" applyFont="1" applyFill="1" applyBorder="1" applyAlignment="1"/>
    <xf numFmtId="0" fontId="37" fillId="17" borderId="4" xfId="0" applyFont="1" applyFill="1" applyBorder="1" applyAlignment="1"/>
    <xf numFmtId="0" fontId="37" fillId="17" borderId="5" xfId="0" applyFont="1" applyFill="1" applyBorder="1" applyAlignment="1"/>
    <xf numFmtId="0" fontId="42" fillId="2" borderId="11" xfId="0" applyFont="1" applyFill="1" applyBorder="1" applyAlignment="1">
      <alignment horizontal="center" vertical="center"/>
    </xf>
    <xf numFmtId="167" fontId="51" fillId="11" borderId="7" xfId="48" applyNumberFormat="1" applyBorder="1" applyAlignment="1">
      <alignment horizontal="center" vertical="center"/>
    </xf>
    <xf numFmtId="0" fontId="42" fillId="2" borderId="8" xfId="0" applyFont="1" applyFill="1" applyBorder="1" applyAlignment="1">
      <alignment horizontal="center" vertical="center"/>
    </xf>
    <xf numFmtId="0" fontId="42" fillId="2" borderId="12" xfId="0" applyFont="1" applyFill="1" applyBorder="1" applyAlignment="1">
      <alignment horizontal="center" vertical="center"/>
    </xf>
    <xf numFmtId="0" fontId="42" fillId="2" borderId="1" xfId="0" applyFont="1" applyFill="1" applyBorder="1" applyAlignment="1">
      <alignment horizontal="center" vertical="center"/>
    </xf>
    <xf numFmtId="0" fontId="42" fillId="2" borderId="2" xfId="0" applyFont="1" applyFill="1" applyBorder="1" applyAlignment="1">
      <alignment horizontal="center" vertical="center"/>
    </xf>
    <xf numFmtId="0" fontId="42" fillId="2" borderId="3" xfId="0" applyFont="1" applyFill="1" applyBorder="1" applyAlignment="1">
      <alignment horizontal="center" vertical="center"/>
    </xf>
    <xf numFmtId="0" fontId="42" fillId="2" borderId="4" xfId="0" applyFont="1" applyFill="1" applyBorder="1" applyAlignment="1">
      <alignment horizontal="center" vertical="center"/>
    </xf>
    <xf numFmtId="0" fontId="42" fillId="2" borderId="5" xfId="0" applyFont="1" applyFill="1" applyBorder="1" applyAlignment="1">
      <alignment horizontal="center" vertical="center"/>
    </xf>
    <xf numFmtId="0" fontId="52" fillId="20" borderId="0" xfId="49" quotePrefix="1" applyAlignment="1">
      <alignment horizontal="center"/>
    </xf>
    <xf numFmtId="0" fontId="73" fillId="20" borderId="0" xfId="59" applyAlignment="1">
      <alignment horizontal="center" vertical="center"/>
    </xf>
    <xf numFmtId="0" fontId="40" fillId="6" borderId="10" xfId="0" applyFont="1" applyFill="1" applyBorder="1" applyAlignment="1">
      <alignment horizontal="center" vertical="center"/>
    </xf>
    <xf numFmtId="0" fontId="52" fillId="20" borderId="0" xfId="49" applyAlignment="1">
      <alignment horizontal="left" vertical="center"/>
    </xf>
    <xf numFmtId="0" fontId="41" fillId="5" borderId="13" xfId="0" applyFont="1" applyFill="1" applyBorder="1" applyAlignment="1">
      <alignment horizontal="center" vertical="center"/>
    </xf>
    <xf numFmtId="167" fontId="51" fillId="11" borderId="1" xfId="48" quotePrefix="1" applyNumberFormat="1" applyBorder="1" applyAlignment="1">
      <alignment horizontal="center" vertical="center"/>
    </xf>
    <xf numFmtId="0" fontId="73" fillId="20" borderId="1" xfId="59" quotePrefix="1" applyBorder="1" applyAlignment="1">
      <alignment horizontal="center" vertical="center"/>
    </xf>
    <xf numFmtId="0" fontId="73" fillId="20" borderId="0" xfId="59" quotePrefix="1" applyBorder="1" applyAlignment="1">
      <alignment horizontal="center" vertical="center" wrapText="1"/>
    </xf>
    <xf numFmtId="0" fontId="51" fillId="11" borderId="2" xfId="48" quotePrefix="1" applyBorder="1" applyAlignment="1">
      <alignment horizontal="center" vertical="center"/>
    </xf>
    <xf numFmtId="169" fontId="51" fillId="60" borderId="6" xfId="70" quotePrefix="1" applyNumberFormat="1" applyBorder="1" applyAlignment="1">
      <alignment horizontal="center" vertical="center"/>
    </xf>
    <xf numFmtId="0" fontId="73" fillId="20" borderId="4" xfId="59" quotePrefix="1" applyBorder="1" applyAlignment="1">
      <alignment horizontal="center" vertical="center" wrapText="1"/>
    </xf>
    <xf numFmtId="0" fontId="51" fillId="11" borderId="5" xfId="48" quotePrefix="1" applyBorder="1" applyAlignment="1">
      <alignment horizontal="center" vertical="center"/>
    </xf>
    <xf numFmtId="169" fontId="51" fillId="60" borderId="15" xfId="70" quotePrefix="1" applyNumberFormat="1" applyBorder="1" applyAlignment="1">
      <alignment horizontal="center" vertical="center"/>
    </xf>
    <xf numFmtId="14" fontId="0" fillId="57" borderId="0" xfId="0" applyNumberFormat="1" applyFill="1"/>
    <xf numFmtId="0" fontId="40" fillId="6" borderId="13" xfId="0" applyFont="1" applyFill="1" applyBorder="1" applyAlignment="1">
      <alignment horizontal="left" vertical="center"/>
    </xf>
    <xf numFmtId="174" fontId="51" fillId="11" borderId="49" xfId="48" applyNumberFormat="1" applyBorder="1" applyAlignment="1">
      <alignment horizontal="center" vertical="center"/>
    </xf>
    <xf numFmtId="174" fontId="51" fillId="11" borderId="4" xfId="48" applyNumberFormat="1" applyBorder="1" applyAlignment="1">
      <alignment horizontal="center" vertical="center"/>
    </xf>
    <xf numFmtId="0" fontId="0" fillId="57" borderId="12" xfId="0" applyFill="1" applyBorder="1"/>
    <xf numFmtId="0" fontId="0" fillId="57" borderId="7" xfId="0" applyFill="1" applyBorder="1"/>
    <xf numFmtId="164" fontId="41" fillId="7" borderId="8" xfId="0" applyNumberFormat="1" applyFont="1" applyFill="1" applyBorder="1" applyAlignment="1">
      <alignment horizontal="right" vertical="center"/>
    </xf>
    <xf numFmtId="0" fontId="51" fillId="11" borderId="0" xfId="48" applyAlignment="1">
      <alignment horizontal="center"/>
    </xf>
    <xf numFmtId="0" fontId="105" fillId="19" borderId="0" xfId="47" applyFont="1" applyBorder="1">
      <alignment horizontal="center"/>
    </xf>
    <xf numFmtId="174" fontId="51" fillId="11" borderId="0" xfId="48" applyNumberFormat="1" applyBorder="1"/>
    <xf numFmtId="0" fontId="51" fillId="11" borderId="4" xfId="48" applyBorder="1"/>
    <xf numFmtId="174" fontId="51" fillId="11" borderId="11" xfId="48" applyNumberFormat="1" applyBorder="1"/>
    <xf numFmtId="0" fontId="106" fillId="20" borderId="0" xfId="49" applyFont="1" applyAlignment="1">
      <alignment horizontal="center"/>
    </xf>
    <xf numFmtId="0" fontId="104" fillId="20" borderId="0" xfId="49" applyFont="1" applyAlignment="1">
      <alignment horizontal="center"/>
    </xf>
    <xf numFmtId="0" fontId="82" fillId="12" borderId="0" xfId="71" quotePrefix="1" applyBorder="1" applyAlignment="1">
      <alignment horizontal="center"/>
    </xf>
    <xf numFmtId="0" fontId="52" fillId="20" borderId="1" xfId="49" applyBorder="1" applyAlignment="1">
      <alignment horizontal="center" vertical="center"/>
    </xf>
    <xf numFmtId="0" fontId="51" fillId="57" borderId="2" xfId="46" applyFill="1" applyBorder="1" applyAlignment="1">
      <alignment horizontal="center" vertical="center"/>
    </xf>
    <xf numFmtId="182" fontId="43" fillId="2" borderId="11" xfId="0" quotePrefix="1" applyNumberFormat="1" applyFont="1" applyFill="1" applyBorder="1" applyAlignment="1">
      <alignment horizontal="center" vertical="center"/>
    </xf>
    <xf numFmtId="182" fontId="43" fillId="2" borderId="12" xfId="0" quotePrefix="1" applyNumberFormat="1" applyFont="1" applyFill="1" applyBorder="1" applyAlignment="1">
      <alignment horizontal="center" vertical="center"/>
    </xf>
    <xf numFmtId="182" fontId="43" fillId="2" borderId="0" xfId="0" quotePrefix="1" applyNumberFormat="1" applyFont="1" applyFill="1" applyBorder="1" applyAlignment="1">
      <alignment horizontal="center" vertical="center"/>
    </xf>
    <xf numFmtId="182" fontId="43" fillId="2" borderId="2" xfId="0" quotePrefix="1" applyNumberFormat="1" applyFont="1" applyFill="1" applyBorder="1" applyAlignment="1">
      <alignment horizontal="center" vertical="center"/>
    </xf>
    <xf numFmtId="182" fontId="43" fillId="2" borderId="1" xfId="0" quotePrefix="1" applyNumberFormat="1" applyFont="1" applyFill="1" applyBorder="1" applyAlignment="1">
      <alignment horizontal="center" vertical="center"/>
    </xf>
    <xf numFmtId="182" fontId="43" fillId="2" borderId="4" xfId="0" quotePrefix="1" applyNumberFormat="1" applyFont="1" applyFill="1" applyBorder="1" applyAlignment="1">
      <alignment horizontal="center" vertical="center"/>
    </xf>
    <xf numFmtId="182" fontId="43" fillId="2" borderId="5" xfId="0" quotePrefix="1" applyNumberFormat="1" applyFont="1" applyFill="1" applyBorder="1" applyAlignment="1">
      <alignment horizontal="center" vertical="center"/>
    </xf>
    <xf numFmtId="164" fontId="0" fillId="57" borderId="0" xfId="0" applyNumberFormat="1" applyFill="1"/>
    <xf numFmtId="0" fontId="51" fillId="11" borderId="0" xfId="48" applyNumberFormat="1" applyAlignment="1">
      <alignment horizontal="center"/>
    </xf>
    <xf numFmtId="0" fontId="41" fillId="2" borderId="24" xfId="0" applyFont="1" applyFill="1" applyBorder="1" applyAlignment="1">
      <alignment horizontal="center" vertical="center"/>
    </xf>
    <xf numFmtId="0" fontId="41" fillId="2" borderId="16" xfId="0" applyFont="1" applyFill="1" applyBorder="1" applyAlignment="1">
      <alignment horizontal="center" vertical="center"/>
    </xf>
    <xf numFmtId="0" fontId="41" fillId="2" borderId="15" xfId="0" applyFont="1" applyFill="1" applyBorder="1" applyAlignment="1">
      <alignment horizontal="center" vertical="center"/>
    </xf>
    <xf numFmtId="0" fontId="41" fillId="2" borderId="4" xfId="0" applyFont="1" applyFill="1" applyBorder="1" applyAlignment="1">
      <alignment horizontal="center" vertical="center"/>
    </xf>
    <xf numFmtId="0" fontId="44" fillId="2" borderId="5" xfId="0" applyFont="1" applyFill="1" applyBorder="1" applyAlignment="1">
      <alignment horizontal="center" vertical="center"/>
    </xf>
    <xf numFmtId="0" fontId="41" fillId="2" borderId="5" xfId="0" applyFont="1" applyFill="1" applyBorder="1" applyAlignment="1">
      <alignment horizontal="center" vertical="center"/>
    </xf>
    <xf numFmtId="0" fontId="41" fillId="2" borderId="3" xfId="0" applyFont="1" applyFill="1" applyBorder="1" applyAlignment="1">
      <alignment horizontal="center" vertical="center"/>
    </xf>
    <xf numFmtId="0" fontId="44" fillId="2" borderId="4" xfId="0" applyFont="1" applyFill="1" applyBorder="1" applyAlignment="1">
      <alignment horizontal="center" vertical="center"/>
    </xf>
    <xf numFmtId="0" fontId="41" fillId="5" borderId="3" xfId="0" applyFont="1" applyFill="1" applyBorder="1" applyAlignment="1">
      <alignment horizontal="center" vertical="center"/>
    </xf>
    <xf numFmtId="0" fontId="0" fillId="57" borderId="0" xfId="0" applyFill="1"/>
    <xf numFmtId="0" fontId="51" fillId="11" borderId="7" xfId="48" applyBorder="1" applyAlignment="1">
      <alignment horizontal="center"/>
    </xf>
    <xf numFmtId="0" fontId="51" fillId="11" borderId="6" xfId="48" applyBorder="1" applyAlignment="1">
      <alignment horizontal="center"/>
    </xf>
    <xf numFmtId="0" fontId="51" fillId="11" borderId="15" xfId="48" applyBorder="1" applyAlignment="1">
      <alignment horizontal="center"/>
    </xf>
    <xf numFmtId="4" fontId="51" fillId="11" borderId="6" xfId="48" applyNumberFormat="1" applyBorder="1" applyAlignment="1">
      <alignment horizontal="center"/>
    </xf>
    <xf numFmtId="174" fontId="38" fillId="57" borderId="0" xfId="0" applyNumberFormat="1" applyFont="1" applyFill="1"/>
    <xf numFmtId="0" fontId="0" fillId="57" borderId="0" xfId="0" applyFill="1" applyAlignment="1">
      <alignment horizontal="center"/>
    </xf>
    <xf numFmtId="182" fontId="51" fillId="11" borderId="0" xfId="48" applyNumberFormat="1"/>
    <xf numFmtId="174" fontId="51" fillId="11" borderId="7" xfId="48" applyNumberFormat="1" applyBorder="1"/>
    <xf numFmtId="174" fontId="51" fillId="11" borderId="6" xfId="48" applyNumberFormat="1" applyBorder="1"/>
    <xf numFmtId="182" fontId="51" fillId="11" borderId="0" xfId="48" applyNumberFormat="1" applyBorder="1"/>
    <xf numFmtId="0" fontId="52" fillId="20" borderId="0" xfId="49" applyBorder="1" applyAlignment="1">
      <alignment horizontal="center"/>
    </xf>
    <xf numFmtId="0" fontId="73" fillId="20" borderId="0" xfId="59" applyAlignment="1">
      <alignment horizontal="center" vertical="center"/>
    </xf>
    <xf numFmtId="0" fontId="0" fillId="0" borderId="0" xfId="0"/>
    <xf numFmtId="167" fontId="73" fillId="20" borderId="1" xfId="59" quotePrefix="1" applyNumberFormat="1" applyBorder="1" applyAlignment="1">
      <alignment horizontal="center" vertical="center"/>
    </xf>
    <xf numFmtId="0" fontId="73" fillId="20" borderId="0" xfId="59" applyAlignment="1">
      <alignment horizontal="center" vertical="center"/>
    </xf>
    <xf numFmtId="0" fontId="52" fillId="20" borderId="2" xfId="49" applyBorder="1" applyAlignment="1">
      <alignment horizontal="center"/>
    </xf>
    <xf numFmtId="184" fontId="51" fillId="11" borderId="13" xfId="48" applyNumberFormat="1" applyBorder="1" applyAlignment="1">
      <alignment horizontal="center" vertical="center"/>
    </xf>
    <xf numFmtId="184" fontId="101" fillId="11" borderId="13" xfId="48" applyNumberFormat="1" applyFont="1" applyBorder="1" applyAlignment="1">
      <alignment horizontal="center" vertical="center"/>
    </xf>
    <xf numFmtId="0" fontId="107" fillId="15" borderId="0" xfId="52" applyFont="1" applyAlignment="1">
      <alignment horizontal="center" vertical="center"/>
    </xf>
    <xf numFmtId="0" fontId="105" fillId="19" borderId="1" xfId="47" applyFont="1" applyBorder="1">
      <alignment horizontal="center"/>
    </xf>
    <xf numFmtId="167" fontId="73" fillId="20" borderId="3" xfId="59" quotePrefix="1" applyNumberFormat="1" applyBorder="1" applyAlignment="1">
      <alignment horizontal="center" vertical="center"/>
    </xf>
    <xf numFmtId="167" fontId="51" fillId="11" borderId="8" xfId="48" applyNumberFormat="1" applyBorder="1" applyAlignment="1">
      <alignment horizontal="center" vertical="center"/>
    </xf>
    <xf numFmtId="16" fontId="73" fillId="20" borderId="0" xfId="59" applyNumberFormat="1" applyBorder="1" applyAlignment="1">
      <alignment horizontal="center" vertical="center"/>
    </xf>
    <xf numFmtId="167" fontId="51" fillId="11" borderId="11" xfId="48" applyNumberFormat="1" applyBorder="1" applyAlignment="1">
      <alignment horizontal="center" vertical="center"/>
    </xf>
    <xf numFmtId="167" fontId="51" fillId="11" borderId="0" xfId="48" applyNumberFormat="1" applyBorder="1" applyAlignment="1">
      <alignment horizontal="center" vertical="center"/>
    </xf>
    <xf numFmtId="167" fontId="51" fillId="11" borderId="4" xfId="48" applyNumberFormat="1" applyBorder="1" applyAlignment="1">
      <alignment horizontal="center" vertical="center"/>
    </xf>
    <xf numFmtId="165" fontId="51" fillId="11" borderId="11" xfId="28" applyFont="1" applyFill="1" applyBorder="1" applyAlignment="1">
      <alignment horizontal="center" vertical="center"/>
    </xf>
    <xf numFmtId="0" fontId="42" fillId="2" borderId="13" xfId="0" applyFont="1" applyFill="1" applyBorder="1" applyAlignment="1">
      <alignment horizontal="center" vertical="center"/>
    </xf>
    <xf numFmtId="0" fontId="52" fillId="20" borderId="0" xfId="49" quotePrefix="1" applyAlignment="1">
      <alignment horizontal="center" vertical="center"/>
    </xf>
    <xf numFmtId="0" fontId="129" fillId="20" borderId="3" xfId="59" applyFont="1" applyBorder="1" applyAlignment="1">
      <alignment horizontal="center" vertical="center"/>
    </xf>
    <xf numFmtId="14" fontId="51" fillId="11" borderId="6" xfId="48" applyNumberFormat="1" applyBorder="1" applyAlignment="1">
      <alignment horizontal="center" vertical="center"/>
    </xf>
    <xf numFmtId="0" fontId="73" fillId="20" borderId="0" xfId="59" applyAlignment="1">
      <alignment horizontal="center" vertical="center"/>
    </xf>
    <xf numFmtId="0" fontId="73" fillId="20" borderId="11" xfId="59" applyBorder="1" applyAlignment="1">
      <alignment horizontal="center" vertical="center"/>
    </xf>
    <xf numFmtId="169" fontId="43" fillId="2" borderId="0" xfId="0" quotePrefix="1" applyNumberFormat="1" applyFont="1" applyFill="1" applyBorder="1" applyAlignment="1">
      <alignment horizontal="center" vertical="center"/>
    </xf>
    <xf numFmtId="169" fontId="43" fillId="2" borderId="1" xfId="0" quotePrefix="1" applyNumberFormat="1" applyFont="1" applyFill="1" applyBorder="1" applyAlignment="1">
      <alignment horizontal="center" vertical="center"/>
    </xf>
    <xf numFmtId="169" fontId="43" fillId="2" borderId="3" xfId="0" quotePrefix="1" applyNumberFormat="1" applyFont="1" applyFill="1" applyBorder="1" applyAlignment="1">
      <alignment horizontal="center" vertical="center"/>
    </xf>
    <xf numFmtId="169" fontId="43" fillId="2" borderId="5" xfId="0" quotePrefix="1" applyNumberFormat="1" applyFont="1" applyFill="1" applyBorder="1" applyAlignment="1">
      <alignment horizontal="center" vertical="center"/>
    </xf>
    <xf numFmtId="3" fontId="41" fillId="7" borderId="7" xfId="0" applyNumberFormat="1" applyFont="1" applyFill="1" applyBorder="1" applyAlignment="1">
      <alignment horizontal="center" vertical="center"/>
    </xf>
    <xf numFmtId="164" fontId="51" fillId="11" borderId="0" xfId="48" applyNumberFormat="1"/>
    <xf numFmtId="172" fontId="51" fillId="11" borderId="0" xfId="48" applyNumberFormat="1" applyBorder="1"/>
    <xf numFmtId="0" fontId="51" fillId="11" borderId="8" xfId="48" applyBorder="1"/>
    <xf numFmtId="0" fontId="51" fillId="11" borderId="11" xfId="48" applyBorder="1"/>
    <xf numFmtId="172" fontId="51" fillId="11" borderId="11" xfId="48" applyNumberFormat="1" applyBorder="1"/>
    <xf numFmtId="0" fontId="51" fillId="11" borderId="11" xfId="48" applyNumberFormat="1" applyBorder="1" applyAlignment="1">
      <alignment horizontal="left" vertical="center"/>
    </xf>
    <xf numFmtId="172" fontId="51" fillId="11" borderId="12" xfId="48" applyNumberFormat="1" applyBorder="1"/>
    <xf numFmtId="0" fontId="51" fillId="11" borderId="1" xfId="48" applyBorder="1"/>
    <xf numFmtId="172" fontId="51" fillId="11" borderId="2" xfId="48" applyNumberFormat="1" applyBorder="1"/>
    <xf numFmtId="0" fontId="51" fillId="11" borderId="3" xfId="48" applyBorder="1"/>
    <xf numFmtId="172" fontId="51" fillId="11" borderId="4" xfId="48" applyNumberFormat="1" applyBorder="1"/>
    <xf numFmtId="0" fontId="51" fillId="11" borderId="4" xfId="48" applyNumberFormat="1" applyBorder="1" applyAlignment="1">
      <alignment horizontal="left" vertical="center"/>
    </xf>
    <xf numFmtId="172" fontId="51" fillId="11" borderId="5" xfId="48" applyNumberFormat="1" applyBorder="1"/>
    <xf numFmtId="169" fontId="51" fillId="11" borderId="0" xfId="48" applyNumberFormat="1" applyBorder="1"/>
    <xf numFmtId="169" fontId="51" fillId="11" borderId="11" xfId="48" applyNumberFormat="1" applyBorder="1"/>
    <xf numFmtId="169" fontId="51" fillId="11" borderId="4" xfId="48" applyNumberFormat="1" applyBorder="1"/>
    <xf numFmtId="190" fontId="0" fillId="0" borderId="0" xfId="0" applyNumberFormat="1"/>
    <xf numFmtId="0" fontId="51" fillId="11" borderId="8" xfId="48" applyNumberFormat="1" applyBorder="1" applyAlignment="1">
      <alignment horizontal="left" vertical="center"/>
    </xf>
    <xf numFmtId="0" fontId="51" fillId="11" borderId="1" xfId="48" applyNumberFormat="1" applyBorder="1" applyAlignment="1">
      <alignment horizontal="left" vertical="center"/>
    </xf>
    <xf numFmtId="0" fontId="51" fillId="11" borderId="3" xfId="48" applyNumberFormat="1" applyBorder="1" applyAlignment="1">
      <alignment horizontal="left" vertical="center"/>
    </xf>
    <xf numFmtId="191" fontId="79" fillId="59" borderId="0" xfId="64" applyNumberFormat="1" applyFont="1"/>
    <xf numFmtId="191" fontId="79" fillId="101" borderId="0" xfId="64" applyNumberFormat="1" applyFont="1" applyFill="1"/>
    <xf numFmtId="192" fontId="51" fillId="11" borderId="0" xfId="48" applyNumberFormat="1" applyBorder="1" applyAlignment="1">
      <alignment horizontal="center" vertical="center"/>
    </xf>
    <xf numFmtId="192" fontId="51" fillId="11" borderId="11" xfId="48" applyNumberFormat="1" applyBorder="1" applyAlignment="1">
      <alignment horizontal="center" vertical="center"/>
    </xf>
    <xf numFmtId="192" fontId="51" fillId="11" borderId="4" xfId="48" applyNumberFormat="1" applyBorder="1" applyAlignment="1">
      <alignment horizontal="center" vertical="center"/>
    </xf>
    <xf numFmtId="171" fontId="51" fillId="11" borderId="0" xfId="48" applyNumberFormat="1" applyFont="1" applyBorder="1"/>
    <xf numFmtId="171" fontId="51" fillId="11" borderId="11" xfId="48" applyNumberFormat="1" applyFont="1" applyBorder="1"/>
    <xf numFmtId="171" fontId="51" fillId="11" borderId="4" xfId="48" applyNumberFormat="1" applyFont="1" applyBorder="1"/>
    <xf numFmtId="0" fontId="37" fillId="10" borderId="0" xfId="61" applyFont="1" applyAlignment="1">
      <alignment horizontal="center"/>
    </xf>
    <xf numFmtId="0" fontId="52" fillId="20" borderId="0" xfId="49" applyBorder="1" applyAlignment="1">
      <alignment horizontal="center"/>
    </xf>
    <xf numFmtId="0" fontId="80" fillId="19" borderId="32" xfId="44" applyFont="1" applyBorder="1" applyAlignment="1">
      <alignment horizontal="center" vertical="center"/>
    </xf>
    <xf numFmtId="0" fontId="50" fillId="19" borderId="0" xfId="47" applyNumberFormat="1" applyBorder="1" applyAlignment="1">
      <alignment horizontal="center" vertical="center"/>
    </xf>
    <xf numFmtId="0" fontId="54" fillId="15" borderId="14" xfId="52" applyNumberFormat="1" applyBorder="1" applyAlignment="1">
      <alignment horizontal="center" vertical="center"/>
    </xf>
    <xf numFmtId="172" fontId="51" fillId="11" borderId="0" xfId="48" applyNumberFormat="1" applyBorder="1" applyAlignment="1">
      <alignment horizontal="right"/>
    </xf>
    <xf numFmtId="0" fontId="0" fillId="102" borderId="7" xfId="0" applyFill="1" applyBorder="1"/>
    <xf numFmtId="0" fontId="0" fillId="102" borderId="6" xfId="0" applyFill="1" applyBorder="1"/>
    <xf numFmtId="0" fontId="0" fillId="102" borderId="15" xfId="0" applyFill="1" applyBorder="1"/>
    <xf numFmtId="171" fontId="130" fillId="11" borderId="49" xfId="48" applyNumberFormat="1" applyFont="1" applyBorder="1" applyAlignment="1">
      <alignment horizontal="center" vertical="center"/>
    </xf>
    <xf numFmtId="0" fontId="50" fillId="19" borderId="49" xfId="47" applyNumberFormat="1" applyBorder="1" applyAlignment="1">
      <alignment horizontal="center" vertical="center"/>
    </xf>
    <xf numFmtId="38" fontId="51" fillId="11" borderId="11" xfId="28" applyNumberFormat="1" applyFont="1" applyFill="1" applyBorder="1"/>
    <xf numFmtId="0" fontId="40" fillId="57" borderId="4" xfId="0" applyFont="1" applyFill="1" applyBorder="1" applyAlignment="1">
      <alignment horizontal="center" vertical="center"/>
    </xf>
    <xf numFmtId="0" fontId="0" fillId="102" borderId="0" xfId="0" applyFill="1" applyBorder="1"/>
    <xf numFmtId="0" fontId="0" fillId="102" borderId="2" xfId="0" applyFill="1" applyBorder="1"/>
    <xf numFmtId="0" fontId="79" fillId="59" borderId="0" xfId="64" applyNumberFormat="1" applyFont="1"/>
    <xf numFmtId="11" fontId="0" fillId="0" borderId="0" xfId="0" applyNumberFormat="1"/>
    <xf numFmtId="0" fontId="0" fillId="103" borderId="1" xfId="61" applyFont="1" applyFill="1" applyBorder="1"/>
    <xf numFmtId="0" fontId="0" fillId="103" borderId="0" xfId="61" applyFont="1" applyFill="1" applyBorder="1"/>
    <xf numFmtId="0" fontId="0" fillId="103" borderId="0" xfId="61" applyFont="1" applyFill="1"/>
    <xf numFmtId="0" fontId="52" fillId="20" borderId="0" xfId="49" applyBorder="1" applyAlignment="1">
      <alignment horizontal="center"/>
    </xf>
    <xf numFmtId="0" fontId="73" fillId="20" borderId="0" xfId="59" applyAlignment="1">
      <alignment horizontal="center" vertical="center"/>
    </xf>
    <xf numFmtId="0" fontId="40" fillId="6" borderId="10" xfId="0" applyFont="1" applyFill="1" applyBorder="1" applyAlignment="1">
      <alignment horizontal="center" vertical="center"/>
    </xf>
    <xf numFmtId="0" fontId="51" fillId="9" borderId="7" xfId="46" applyBorder="1" applyAlignment="1">
      <alignment horizontal="center" vertical="center"/>
    </xf>
    <xf numFmtId="166" fontId="41" fillId="7" borderId="0" xfId="0" applyNumberFormat="1" applyFont="1" applyFill="1" applyBorder="1" applyAlignment="1">
      <alignment horizontal="center" vertical="center"/>
    </xf>
    <xf numFmtId="0" fontId="40" fillId="6" borderId="0" xfId="0" applyFont="1" applyFill="1" applyBorder="1" applyAlignment="1" applyProtection="1">
      <alignment horizontal="center" vertical="center"/>
      <protection locked="0"/>
    </xf>
    <xf numFmtId="0" fontId="73" fillId="20" borderId="8" xfId="59" applyBorder="1" applyAlignment="1">
      <alignment horizontal="center" vertical="center"/>
    </xf>
    <xf numFmtId="169" fontId="51" fillId="60" borderId="7" xfId="70" applyNumberFormat="1" applyBorder="1" applyAlignment="1">
      <alignment horizontal="center" vertical="center"/>
    </xf>
    <xf numFmtId="0" fontId="52" fillId="20" borderId="0" xfId="49" applyBorder="1" applyAlignment="1">
      <alignment horizontal="center"/>
    </xf>
    <xf numFmtId="0" fontId="40" fillId="6" borderId="10" xfId="0" applyFont="1" applyFill="1" applyBorder="1" applyAlignment="1">
      <alignment horizontal="center" vertical="center"/>
    </xf>
    <xf numFmtId="0" fontId="73" fillId="20" borderId="0" xfId="59" applyAlignment="1">
      <alignment horizontal="center" vertical="center"/>
    </xf>
    <xf numFmtId="0" fontId="50" fillId="19" borderId="0" xfId="47" applyNumberFormat="1" applyBorder="1" applyAlignment="1">
      <alignment horizontal="center" vertical="center"/>
    </xf>
    <xf numFmtId="0" fontId="129" fillId="20" borderId="0" xfId="59" applyFont="1" applyBorder="1" applyAlignment="1">
      <alignment horizontal="center" vertical="center"/>
    </xf>
    <xf numFmtId="0" fontId="50" fillId="10" borderId="0" xfId="61" applyFont="1" applyBorder="1" applyAlignment="1">
      <alignment horizontal="left"/>
    </xf>
    <xf numFmtId="0" fontId="53" fillId="10" borderId="0" xfId="61" applyFont="1" applyAlignment="1">
      <alignment horizontal="center"/>
    </xf>
    <xf numFmtId="0" fontId="52" fillId="10" borderId="0" xfId="61" applyFont="1" applyBorder="1" applyAlignment="1">
      <alignment horizontal="center"/>
    </xf>
    <xf numFmtId="0" fontId="50" fillId="10" borderId="0" xfId="61" applyFont="1" applyBorder="1" applyAlignment="1">
      <alignment horizontal="center"/>
    </xf>
    <xf numFmtId="0" fontId="52" fillId="10" borderId="0" xfId="61" applyFont="1"/>
    <xf numFmtId="172" fontId="51" fillId="11" borderId="0" xfId="48" applyNumberFormat="1" applyAlignment="1">
      <alignment horizontal="center"/>
    </xf>
    <xf numFmtId="0" fontId="132" fillId="19" borderId="1" xfId="44" applyFont="1" applyBorder="1" applyAlignment="1">
      <alignment horizontal="center" vertical="center"/>
    </xf>
    <xf numFmtId="0" fontId="49" fillId="19" borderId="0" xfId="44" applyBorder="1" applyAlignment="1"/>
    <xf numFmtId="0" fontId="50" fillId="19" borderId="0" xfId="47" applyBorder="1" applyAlignment="1">
      <alignment horizontal="center" textRotation="90"/>
    </xf>
    <xf numFmtId="164" fontId="51" fillId="11" borderId="0" xfId="28" applyNumberFormat="1" applyFont="1" applyFill="1" applyAlignment="1">
      <alignment horizontal="center" vertical="top" textRotation="90"/>
    </xf>
    <xf numFmtId="0" fontId="50" fillId="19" borderId="67" xfId="47" applyBorder="1" applyAlignment="1">
      <alignment horizontal="center" vertical="center"/>
    </xf>
    <xf numFmtId="171" fontId="51" fillId="11" borderId="0" xfId="48" applyNumberFormat="1" applyBorder="1"/>
    <xf numFmtId="172" fontId="51" fillId="11" borderId="68" xfId="48" applyNumberFormat="1" applyBorder="1"/>
    <xf numFmtId="172" fontId="51" fillId="11" borderId="13" xfId="48" applyNumberFormat="1" applyBorder="1"/>
    <xf numFmtId="171" fontId="51" fillId="11" borderId="0" xfId="48" applyNumberFormat="1"/>
    <xf numFmtId="37" fontId="79" fillId="59" borderId="0" xfId="64" applyNumberFormat="1" applyFont="1"/>
    <xf numFmtId="172" fontId="51" fillId="11" borderId="69" xfId="48" applyNumberFormat="1" applyBorder="1"/>
    <xf numFmtId="37" fontId="79" fillId="11" borderId="0" xfId="48" applyNumberFormat="1" applyFont="1" applyAlignment="1">
      <alignment horizontal="right"/>
    </xf>
    <xf numFmtId="193" fontId="0" fillId="0" borderId="0" xfId="28" applyNumberFormat="1" applyFont="1"/>
    <xf numFmtId="164" fontId="0" fillId="0" borderId="0" xfId="0" applyNumberFormat="1"/>
    <xf numFmtId="37" fontId="51" fillId="11" borderId="0" xfId="28" applyNumberFormat="1" applyFont="1" applyFill="1" applyAlignment="1">
      <alignment horizontal="center" vertical="top" textRotation="90"/>
    </xf>
    <xf numFmtId="38" fontId="51" fillId="11" borderId="0" xfId="48" applyNumberFormat="1"/>
    <xf numFmtId="0" fontId="42" fillId="5" borderId="8" xfId="0" applyFont="1" applyFill="1" applyBorder="1" applyAlignment="1">
      <alignment horizontal="center" vertical="center"/>
    </xf>
    <xf numFmtId="0" fontId="42" fillId="5" borderId="11" xfId="0" applyFont="1" applyFill="1" applyBorder="1" applyAlignment="1">
      <alignment horizontal="center" vertical="center"/>
    </xf>
    <xf numFmtId="0" fontId="42" fillId="5" borderId="12" xfId="0" applyFont="1" applyFill="1" applyBorder="1" applyAlignment="1">
      <alignment horizontal="center" vertical="center"/>
    </xf>
    <xf numFmtId="169" fontId="42" fillId="5" borderId="7" xfId="0" applyNumberFormat="1" applyFont="1" applyFill="1" applyBorder="1" applyAlignment="1">
      <alignment horizontal="center" vertical="center"/>
    </xf>
    <xf numFmtId="0" fontId="51" fillId="11" borderId="8" xfId="48" quotePrefix="1" applyBorder="1" applyAlignment="1">
      <alignment horizontal="center" vertical="center"/>
    </xf>
    <xf numFmtId="0" fontId="51" fillId="11" borderId="11" xfId="48" quotePrefix="1" applyBorder="1" applyAlignment="1">
      <alignment horizontal="center" vertical="center"/>
    </xf>
    <xf numFmtId="167" fontId="51" fillId="11" borderId="8" xfId="48" quotePrefix="1" applyNumberFormat="1" applyBorder="1" applyAlignment="1">
      <alignment horizontal="center" vertical="center"/>
    </xf>
    <xf numFmtId="0" fontId="73" fillId="20" borderId="8" xfId="59" quotePrefix="1" applyBorder="1" applyAlignment="1">
      <alignment horizontal="center" vertical="center"/>
    </xf>
    <xf numFmtId="0" fontId="73" fillId="20" borderId="11" xfId="59" quotePrefix="1" applyBorder="1" applyAlignment="1">
      <alignment horizontal="center" vertical="center" wrapText="1"/>
    </xf>
    <xf numFmtId="0" fontId="51" fillId="11" borderId="12" xfId="48" quotePrefix="1" applyBorder="1" applyAlignment="1">
      <alignment horizontal="center" vertical="center"/>
    </xf>
    <xf numFmtId="169" fontId="51" fillId="60" borderId="7" xfId="70" quotePrefix="1" applyNumberFormat="1" applyBorder="1" applyAlignment="1">
      <alignment horizontal="center" vertical="center"/>
    </xf>
    <xf numFmtId="0" fontId="73" fillId="20" borderId="3" xfId="59" quotePrefix="1" applyBorder="1" applyAlignment="1">
      <alignment horizontal="center" vertical="center"/>
    </xf>
    <xf numFmtId="167" fontId="73" fillId="20" borderId="8" xfId="59" quotePrefix="1" applyNumberFormat="1" applyBorder="1" applyAlignment="1">
      <alignment horizontal="center" vertical="center"/>
    </xf>
    <xf numFmtId="0" fontId="0" fillId="57" borderId="65" xfId="0" applyFill="1" applyBorder="1"/>
    <xf numFmtId="169" fontId="43" fillId="2" borderId="8" xfId="0" quotePrefix="1" applyNumberFormat="1" applyFont="1" applyFill="1" applyBorder="1" applyAlignment="1">
      <alignment horizontal="center" vertical="center"/>
    </xf>
    <xf numFmtId="169" fontId="43" fillId="2" borderId="7" xfId="0" applyNumberFormat="1" applyFont="1" applyFill="1" applyBorder="1" applyAlignment="1">
      <alignment horizontal="center" vertical="center"/>
    </xf>
    <xf numFmtId="169" fontId="43" fillId="2" borderId="4" xfId="0" quotePrefix="1" applyNumberFormat="1" applyFont="1" applyFill="1" applyBorder="1" applyAlignment="1">
      <alignment horizontal="center" vertical="center"/>
    </xf>
    <xf numFmtId="174" fontId="41" fillId="7" borderId="0" xfId="0" applyNumberFormat="1" applyFont="1" applyFill="1" applyBorder="1" applyAlignment="1">
      <alignment horizontal="right" vertical="center"/>
    </xf>
    <xf numFmtId="174" fontId="41" fillId="7" borderId="2" xfId="0" applyNumberFormat="1" applyFont="1" applyFill="1" applyBorder="1" applyAlignment="1">
      <alignment horizontal="right" vertical="center"/>
    </xf>
    <xf numFmtId="169" fontId="43" fillId="2" borderId="12" xfId="0" quotePrefix="1" applyNumberFormat="1" applyFont="1" applyFill="1" applyBorder="1" applyAlignment="1">
      <alignment horizontal="center" vertical="center"/>
    </xf>
    <xf numFmtId="169" fontId="43" fillId="2" borderId="2" xfId="0" quotePrefix="1" applyNumberFormat="1" applyFont="1" applyFill="1" applyBorder="1" applyAlignment="1">
      <alignment horizontal="center" vertical="center"/>
    </xf>
    <xf numFmtId="3" fontId="41" fillId="104" borderId="2" xfId="0" applyNumberFormat="1" applyFont="1" applyFill="1" applyBorder="1" applyAlignment="1">
      <alignment horizontal="center" vertical="center"/>
    </xf>
    <xf numFmtId="0" fontId="49" fillId="19" borderId="1" xfId="44" applyBorder="1" applyAlignment="1">
      <alignment horizontal="center"/>
    </xf>
    <xf numFmtId="0" fontId="49" fillId="19" borderId="0" xfId="44" applyBorder="1" applyAlignment="1">
      <alignment horizontal="center"/>
    </xf>
    <xf numFmtId="0" fontId="52" fillId="20" borderId="0" xfId="49" applyBorder="1" applyAlignment="1">
      <alignment horizontal="center"/>
    </xf>
    <xf numFmtId="0" fontId="48" fillId="18" borderId="27" xfId="0" applyFont="1" applyFill="1" applyBorder="1" applyAlignment="1">
      <alignment horizontal="center"/>
    </xf>
    <xf numFmtId="0" fontId="48" fillId="18" borderId="28" xfId="0" applyFont="1" applyFill="1" applyBorder="1" applyAlignment="1">
      <alignment horizontal="center"/>
    </xf>
    <xf numFmtId="0" fontId="48" fillId="18" borderId="29" xfId="0" applyFont="1" applyFill="1" applyBorder="1" applyAlignment="1">
      <alignment horizontal="center"/>
    </xf>
    <xf numFmtId="0" fontId="80" fillId="19" borderId="13" xfId="44" applyFont="1" applyBorder="1" applyAlignment="1">
      <alignment horizontal="center"/>
    </xf>
    <xf numFmtId="0" fontId="40" fillId="6" borderId="10" xfId="0" applyFont="1" applyFill="1" applyBorder="1" applyAlignment="1">
      <alignment horizontal="center" vertical="center"/>
    </xf>
    <xf numFmtId="0" fontId="73" fillId="20" borderId="0" xfId="59" applyAlignment="1">
      <alignment horizontal="center" vertical="center"/>
    </xf>
    <xf numFmtId="3" fontId="41" fillId="7" borderId="9" xfId="0" applyNumberFormat="1" applyFont="1" applyFill="1" applyBorder="1" applyAlignment="1">
      <alignment horizontal="center" vertical="center"/>
    </xf>
    <xf numFmtId="0" fontId="0" fillId="0" borderId="14" xfId="0" applyBorder="1"/>
    <xf numFmtId="3" fontId="41" fillId="5" borderId="9" xfId="0" applyNumberFormat="1" applyFont="1" applyFill="1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3" fontId="41" fillId="7" borderId="10" xfId="0" applyNumberFormat="1" applyFont="1" applyFill="1" applyBorder="1" applyAlignment="1">
      <alignment horizontal="center" vertical="center"/>
    </xf>
    <xf numFmtId="3" fontId="41" fillId="5" borderId="10" xfId="0" applyNumberFormat="1" applyFont="1" applyFill="1" applyBorder="1" applyAlignment="1">
      <alignment horizontal="center" vertical="center"/>
    </xf>
    <xf numFmtId="3" fontId="41" fillId="7" borderId="14" xfId="0" applyNumberFormat="1" applyFont="1" applyFill="1" applyBorder="1" applyAlignment="1">
      <alignment horizontal="center" vertical="center"/>
    </xf>
    <xf numFmtId="3" fontId="41" fillId="5" borderId="14" xfId="0" applyNumberFormat="1" applyFont="1" applyFill="1" applyBorder="1" applyAlignment="1">
      <alignment horizontal="center" vertical="center"/>
    </xf>
    <xf numFmtId="0" fontId="42" fillId="2" borderId="9" xfId="0" applyFont="1" applyFill="1" applyBorder="1" applyAlignment="1">
      <alignment horizontal="center" vertical="center"/>
    </xf>
    <xf numFmtId="0" fontId="42" fillId="2" borderId="14" xfId="0" applyFont="1" applyFill="1" applyBorder="1" applyAlignment="1">
      <alignment horizontal="center" vertical="center"/>
    </xf>
    <xf numFmtId="0" fontId="42" fillId="2" borderId="10" xfId="0" applyFont="1" applyFill="1" applyBorder="1" applyAlignment="1">
      <alignment horizontal="center" vertical="center"/>
    </xf>
    <xf numFmtId="0" fontId="54" fillId="15" borderId="8" xfId="52" applyBorder="1" applyAlignment="1">
      <alignment horizontal="center" vertical="center" wrapText="1"/>
    </xf>
    <xf numFmtId="0" fontId="54" fillId="15" borderId="11" xfId="52" applyBorder="1" applyAlignment="1">
      <alignment horizontal="center" vertical="center" wrapText="1"/>
    </xf>
    <xf numFmtId="0" fontId="54" fillId="15" borderId="12" xfId="52" applyBorder="1" applyAlignment="1">
      <alignment horizontal="center" vertical="center" wrapText="1"/>
    </xf>
    <xf numFmtId="0" fontId="54" fillId="15" borderId="1" xfId="52" applyBorder="1" applyAlignment="1">
      <alignment horizontal="center" vertical="center" wrapText="1"/>
    </xf>
    <xf numFmtId="0" fontId="54" fillId="15" borderId="0" xfId="52" applyBorder="1" applyAlignment="1">
      <alignment horizontal="center" vertical="center" wrapText="1"/>
    </xf>
    <xf numFmtId="0" fontId="54" fillId="15" borderId="2" xfId="52" applyBorder="1" applyAlignment="1">
      <alignment horizontal="center" vertical="center" wrapText="1"/>
    </xf>
    <xf numFmtId="0" fontId="54" fillId="15" borderId="3" xfId="52" applyBorder="1" applyAlignment="1">
      <alignment horizontal="center" vertical="center" wrapText="1"/>
    </xf>
    <xf numFmtId="0" fontId="54" fillId="15" borderId="4" xfId="52" applyBorder="1" applyAlignment="1">
      <alignment horizontal="center" vertical="center" wrapText="1"/>
    </xf>
    <xf numFmtId="0" fontId="54" fillId="15" borderId="5" xfId="52" applyBorder="1" applyAlignment="1">
      <alignment horizontal="center" vertical="center" wrapText="1"/>
    </xf>
    <xf numFmtId="0" fontId="52" fillId="20" borderId="0" xfId="49" applyAlignment="1">
      <alignment horizontal="left" vertical="center"/>
    </xf>
    <xf numFmtId="0" fontId="49" fillId="19" borderId="9" xfId="44" applyBorder="1" applyAlignment="1">
      <alignment horizontal="center"/>
    </xf>
    <xf numFmtId="0" fontId="49" fillId="19" borderId="10" xfId="44" applyBorder="1" applyAlignment="1">
      <alignment horizontal="center"/>
    </xf>
    <xf numFmtId="0" fontId="49" fillId="19" borderId="14" xfId="44" applyBorder="1" applyAlignment="1">
      <alignment horizontal="center"/>
    </xf>
    <xf numFmtId="0" fontId="81" fillId="4" borderId="0" xfId="35" applyFont="1" applyFill="1" applyAlignment="1" applyProtection="1">
      <alignment horizontal="center" vertical="center"/>
    </xf>
    <xf numFmtId="0" fontId="41" fillId="5" borderId="4" xfId="0" applyFont="1" applyFill="1" applyBorder="1" applyAlignment="1">
      <alignment horizontal="center" vertical="center"/>
    </xf>
    <xf numFmtId="0" fontId="41" fillId="5" borderId="11" xfId="0" applyFont="1" applyFill="1" applyBorder="1" applyAlignment="1">
      <alignment horizontal="center" vertical="center" wrapText="1"/>
    </xf>
    <xf numFmtId="0" fontId="41" fillId="5" borderId="0" xfId="0" applyFont="1" applyFill="1" applyBorder="1" applyAlignment="1">
      <alignment horizontal="center" vertical="center" wrapText="1"/>
    </xf>
    <xf numFmtId="0" fontId="49" fillId="19" borderId="11" xfId="44" applyBorder="1" applyAlignment="1">
      <alignment horizontal="center"/>
    </xf>
    <xf numFmtId="0" fontId="49" fillId="19" borderId="50" xfId="44" applyBorder="1" applyAlignment="1">
      <alignment horizontal="center"/>
    </xf>
    <xf numFmtId="0" fontId="54" fillId="15" borderId="4" xfId="52" applyBorder="1" applyAlignment="1">
      <alignment horizontal="center"/>
    </xf>
    <xf numFmtId="0" fontId="54" fillId="15" borderId="0" xfId="52" applyAlignment="1">
      <alignment horizontal="center" vertical="center"/>
    </xf>
    <xf numFmtId="0" fontId="49" fillId="19" borderId="2" xfId="44" applyBorder="1" applyAlignment="1">
      <alignment horizontal="center"/>
    </xf>
    <xf numFmtId="0" fontId="80" fillId="19" borderId="32" xfId="44" applyFont="1" applyBorder="1" applyAlignment="1">
      <alignment horizontal="center" vertical="center"/>
    </xf>
    <xf numFmtId="0" fontId="50" fillId="19" borderId="33" xfId="47" applyBorder="1" applyAlignment="1">
      <alignment horizontal="center"/>
    </xf>
    <xf numFmtId="0" fontId="50" fillId="19" borderId="30" xfId="47" applyBorder="1" applyAlignment="1">
      <alignment horizontal="center"/>
    </xf>
    <xf numFmtId="0" fontId="50" fillId="19" borderId="31" xfId="47" applyBorder="1" applyAlignment="1">
      <alignment horizontal="center"/>
    </xf>
    <xf numFmtId="0" fontId="50" fillId="19" borderId="0" xfId="47" applyNumberFormat="1" applyBorder="1" applyAlignment="1">
      <alignment horizontal="center" vertical="center"/>
    </xf>
    <xf numFmtId="0" fontId="50" fillId="19" borderId="66" xfId="47" applyNumberFormat="1" applyBorder="1" applyAlignment="1">
      <alignment horizontal="center" vertical="center"/>
    </xf>
    <xf numFmtId="0" fontId="50" fillId="19" borderId="9" xfId="47" applyBorder="1" applyAlignment="1">
      <alignment horizontal="center"/>
    </xf>
    <xf numFmtId="0" fontId="50" fillId="19" borderId="10" xfId="47" applyBorder="1" applyAlignment="1">
      <alignment horizontal="center"/>
    </xf>
    <xf numFmtId="0" fontId="50" fillId="19" borderId="14" xfId="47" applyBorder="1" applyAlignment="1">
      <alignment horizontal="center"/>
    </xf>
    <xf numFmtId="0" fontId="62" fillId="52" borderId="0" xfId="30" applyAlignment="1">
      <alignment horizontal="center"/>
    </xf>
    <xf numFmtId="0" fontId="84" fillId="63" borderId="0" xfId="176" applyNumberFormat="1" applyFont="1" applyFill="1" applyBorder="1" applyAlignment="1" applyProtection="1">
      <alignment horizontal="center" vertical="center"/>
    </xf>
    <xf numFmtId="0" fontId="1" fillId="0" borderId="0" xfId="176"/>
    <xf numFmtId="0" fontId="1" fillId="66" borderId="0" xfId="176" applyFill="1"/>
    <xf numFmtId="0" fontId="1" fillId="66" borderId="0" xfId="176" quotePrefix="1" applyFill="1"/>
    <xf numFmtId="0" fontId="42" fillId="67" borderId="0" xfId="176" applyNumberFormat="1" applyFont="1" applyFill="1" applyBorder="1" applyAlignment="1" applyProtection="1">
      <alignment horizontal="left" vertical="center"/>
    </xf>
    <xf numFmtId="181" fontId="96" fillId="65" borderId="0" xfId="176" applyNumberFormat="1" applyFont="1" applyFill="1" applyBorder="1" applyAlignment="1" applyProtection="1">
      <alignment horizontal="right" vertical="center"/>
    </xf>
    <xf numFmtId="0" fontId="86" fillId="67" borderId="0" xfId="176" applyNumberFormat="1" applyFont="1" applyFill="1" applyBorder="1" applyAlignment="1" applyProtection="1">
      <alignment horizontal="left" vertical="center"/>
    </xf>
    <xf numFmtId="0" fontId="86" fillId="68" borderId="0" xfId="176" applyNumberFormat="1" applyFont="1" applyFill="1" applyBorder="1" applyAlignment="1" applyProtection="1">
      <alignment horizontal="left" vertical="center"/>
    </xf>
    <xf numFmtId="0" fontId="42" fillId="69" borderId="0" xfId="176" applyNumberFormat="1" applyFont="1" applyFill="1" applyBorder="1" applyAlignment="1" applyProtection="1">
      <alignment horizontal="left" vertical="center"/>
    </xf>
    <xf numFmtId="3" fontId="88" fillId="70" borderId="0" xfId="176" applyNumberFormat="1" applyFont="1" applyFill="1" applyBorder="1" applyAlignment="1" applyProtection="1">
      <alignment horizontal="right" vertical="center"/>
    </xf>
    <xf numFmtId="0" fontId="86" fillId="69" borderId="0" xfId="176" applyNumberFormat="1" applyFont="1" applyFill="1" applyBorder="1" applyAlignment="1" applyProtection="1">
      <alignment horizontal="left" vertical="center"/>
    </xf>
    <xf numFmtId="181" fontId="87" fillId="70" borderId="0" xfId="176" applyNumberFormat="1" applyFont="1" applyFill="1" applyBorder="1" applyAlignment="1" applyProtection="1">
      <alignment horizontal="right" vertical="center"/>
    </xf>
    <xf numFmtId="0" fontId="42" fillId="68" borderId="0" xfId="176" applyNumberFormat="1" applyFont="1" applyFill="1" applyBorder="1" applyAlignment="1" applyProtection="1">
      <alignment horizontal="left" vertical="center"/>
    </xf>
    <xf numFmtId="3" fontId="96" fillId="65" borderId="0" xfId="176" applyNumberFormat="1" applyFont="1" applyFill="1" applyBorder="1" applyAlignment="1" applyProtection="1">
      <alignment horizontal="right" vertical="center"/>
    </xf>
    <xf numFmtId="3" fontId="87" fillId="70" borderId="0" xfId="176" applyNumberFormat="1" applyFont="1" applyFill="1" applyBorder="1" applyAlignment="1" applyProtection="1">
      <alignment horizontal="right" vertical="center"/>
    </xf>
    <xf numFmtId="3" fontId="85" fillId="65" borderId="0" xfId="176" applyNumberFormat="1" applyFont="1" applyFill="1" applyBorder="1" applyAlignment="1" applyProtection="1">
      <alignment horizontal="right" vertical="center"/>
    </xf>
    <xf numFmtId="0" fontId="40" fillId="71" borderId="0" xfId="176" applyNumberFormat="1" applyFont="1" applyFill="1" applyBorder="1" applyAlignment="1" applyProtection="1">
      <alignment horizontal="center" vertical="center"/>
    </xf>
    <xf numFmtId="0" fontId="40" fillId="72" borderId="0" xfId="176" applyNumberFormat="1" applyFont="1" applyFill="1" applyBorder="1" applyAlignment="1" applyProtection="1">
      <alignment horizontal="center" vertical="center"/>
    </xf>
    <xf numFmtId="0" fontId="89" fillId="70" borderId="0" xfId="176" applyNumberFormat="1" applyFont="1" applyFill="1" applyBorder="1" applyAlignment="1" applyProtection="1">
      <alignment horizontal="left" vertical="center"/>
    </xf>
    <xf numFmtId="0" fontId="94" fillId="65" borderId="0" xfId="176" applyNumberFormat="1" applyFont="1" applyFill="1" applyBorder="1" applyAlignment="1" applyProtection="1">
      <alignment horizontal="left" vertical="center"/>
    </xf>
    <xf numFmtId="4" fontId="90" fillId="65" borderId="0" xfId="176" applyNumberFormat="1" applyFont="1" applyFill="1" applyBorder="1" applyAlignment="1" applyProtection="1">
      <alignment horizontal="left" vertical="center"/>
    </xf>
    <xf numFmtId="181" fontId="91" fillId="65" borderId="0" xfId="176" applyNumberFormat="1" applyFont="1" applyFill="1" applyBorder="1" applyAlignment="1" applyProtection="1">
      <alignment horizontal="right" vertical="center"/>
    </xf>
    <xf numFmtId="168" fontId="90" fillId="65" borderId="0" xfId="176" applyNumberFormat="1" applyFont="1" applyFill="1" applyBorder="1" applyAlignment="1" applyProtection="1">
      <alignment horizontal="left" vertical="center"/>
    </xf>
    <xf numFmtId="168" fontId="92" fillId="65" borderId="0" xfId="176" applyNumberFormat="1" applyFont="1" applyFill="1" applyBorder="1" applyAlignment="1" applyProtection="1">
      <alignment horizontal="center" vertical="center"/>
    </xf>
    <xf numFmtId="168" fontId="90" fillId="65" borderId="0" xfId="176" applyNumberFormat="1" applyFont="1" applyFill="1" applyBorder="1" applyAlignment="1" applyProtection="1">
      <alignment horizontal="right" vertical="center"/>
    </xf>
    <xf numFmtId="0" fontId="93" fillId="65" borderId="0" xfId="176" applyNumberFormat="1" applyFont="1" applyFill="1" applyBorder="1" applyAlignment="1" applyProtection="1">
      <alignment horizontal="center" vertical="center"/>
    </xf>
    <xf numFmtId="0" fontId="44" fillId="65" borderId="0" xfId="176" applyNumberFormat="1" applyFont="1" applyFill="1" applyBorder="1" applyAlignment="1" applyProtection="1">
      <alignment horizontal="center" vertical="center"/>
    </xf>
    <xf numFmtId="174" fontId="93" fillId="65" borderId="0" xfId="176" applyNumberFormat="1" applyFont="1" applyFill="1" applyBorder="1" applyAlignment="1" applyProtection="1">
      <alignment horizontal="center" vertical="center"/>
    </xf>
    <xf numFmtId="0" fontId="93" fillId="65" borderId="0" xfId="176" applyNumberFormat="1" applyFont="1" applyFill="1" applyBorder="1" applyAlignment="1" applyProtection="1">
      <alignment horizontal="left" vertical="center"/>
    </xf>
    <xf numFmtId="3" fontId="42" fillId="65" borderId="0" xfId="176" applyNumberFormat="1" applyFont="1" applyFill="1" applyBorder="1" applyAlignment="1" applyProtection="1">
      <alignment horizontal="center" vertical="center"/>
    </xf>
    <xf numFmtId="3" fontId="91" fillId="65" borderId="0" xfId="176" applyNumberFormat="1" applyFont="1" applyFill="1" applyBorder="1" applyAlignment="1" applyProtection="1">
      <alignment horizontal="center" vertical="center"/>
    </xf>
    <xf numFmtId="182" fontId="90" fillId="65" borderId="0" xfId="176" applyNumberFormat="1" applyFont="1" applyFill="1" applyBorder="1" applyAlignment="1" applyProtection="1">
      <alignment horizontal="left" vertical="center"/>
    </xf>
    <xf numFmtId="2" fontId="91" fillId="65" borderId="0" xfId="176" applyNumberFormat="1" applyFont="1" applyFill="1" applyBorder="1" applyAlignment="1" applyProtection="1">
      <alignment horizontal="left" vertical="center"/>
    </xf>
    <xf numFmtId="4" fontId="90" fillId="65" borderId="0" xfId="176" applyNumberFormat="1" applyFont="1" applyFill="1" applyBorder="1" applyAlignment="1" applyProtection="1">
      <alignment horizontal="right" vertical="center"/>
    </xf>
    <xf numFmtId="4" fontId="91" fillId="65" borderId="0" xfId="176" applyNumberFormat="1" applyFont="1" applyFill="1" applyBorder="1" applyAlignment="1" applyProtection="1">
      <alignment horizontal="left" vertical="center"/>
    </xf>
    <xf numFmtId="174" fontId="89" fillId="70" borderId="0" xfId="176" applyNumberFormat="1" applyFont="1" applyFill="1" applyBorder="1" applyAlignment="1" applyProtection="1">
      <alignment horizontal="left" vertical="center"/>
    </xf>
    <xf numFmtId="4" fontId="90" fillId="70" borderId="0" xfId="176" applyNumberFormat="1" applyFont="1" applyFill="1" applyBorder="1" applyAlignment="1" applyProtection="1">
      <alignment horizontal="left" vertical="center"/>
    </xf>
    <xf numFmtId="4" fontId="91" fillId="70" borderId="0" xfId="176" applyNumberFormat="1" applyFont="1" applyFill="1" applyBorder="1" applyAlignment="1" applyProtection="1">
      <alignment horizontal="right" vertical="center"/>
    </xf>
    <xf numFmtId="168" fontId="90" fillId="70" borderId="0" xfId="176" applyNumberFormat="1" applyFont="1" applyFill="1" applyBorder="1" applyAlignment="1" applyProtection="1">
      <alignment horizontal="left" vertical="center"/>
    </xf>
    <xf numFmtId="168" fontId="92" fillId="70" borderId="0" xfId="176" applyNumberFormat="1" applyFont="1" applyFill="1" applyBorder="1" applyAlignment="1" applyProtection="1">
      <alignment horizontal="center" vertical="center"/>
    </xf>
    <xf numFmtId="168" fontId="90" fillId="70" borderId="0" xfId="176" applyNumberFormat="1" applyFont="1" applyFill="1" applyBorder="1" applyAlignment="1" applyProtection="1">
      <alignment horizontal="right" vertical="center"/>
    </xf>
    <xf numFmtId="0" fontId="93" fillId="70" borderId="0" xfId="176" applyNumberFormat="1" applyFont="1" applyFill="1" applyBorder="1" applyAlignment="1" applyProtection="1">
      <alignment horizontal="center" vertical="center"/>
    </xf>
    <xf numFmtId="0" fontId="44" fillId="73" borderId="0" xfId="176" applyNumberFormat="1" applyFont="1" applyFill="1" applyBorder="1" applyAlignment="1" applyProtection="1">
      <alignment horizontal="center" vertical="center"/>
    </xf>
    <xf numFmtId="174" fontId="93" fillId="70" borderId="0" xfId="176" applyNumberFormat="1" applyFont="1" applyFill="1" applyBorder="1" applyAlignment="1" applyProtection="1">
      <alignment horizontal="center" vertical="center"/>
    </xf>
    <xf numFmtId="0" fontId="93" fillId="70" borderId="0" xfId="176" applyNumberFormat="1" applyFont="1" applyFill="1" applyBorder="1" applyAlignment="1" applyProtection="1">
      <alignment horizontal="left" vertical="center"/>
    </xf>
    <xf numFmtId="3" fontId="42" fillId="70" borderId="0" xfId="176" applyNumberFormat="1" applyFont="1" applyFill="1" applyBorder="1" applyAlignment="1" applyProtection="1">
      <alignment horizontal="center" vertical="center"/>
    </xf>
    <xf numFmtId="3" fontId="90" fillId="70" borderId="0" xfId="176" applyNumberFormat="1" applyFont="1" applyFill="1" applyBorder="1" applyAlignment="1" applyProtection="1">
      <alignment horizontal="center" vertical="center"/>
    </xf>
    <xf numFmtId="3" fontId="91" fillId="70" borderId="0" xfId="176" applyNumberFormat="1" applyFont="1" applyFill="1" applyBorder="1" applyAlignment="1" applyProtection="1">
      <alignment horizontal="center" vertical="center"/>
    </xf>
    <xf numFmtId="182" fontId="90" fillId="70" borderId="0" xfId="176" applyNumberFormat="1" applyFont="1" applyFill="1" applyBorder="1" applyAlignment="1" applyProtection="1">
      <alignment horizontal="left" vertical="center"/>
    </xf>
    <xf numFmtId="2" fontId="91" fillId="70" borderId="0" xfId="176" applyNumberFormat="1" applyFont="1" applyFill="1" applyBorder="1" applyAlignment="1" applyProtection="1">
      <alignment horizontal="left" vertical="center"/>
    </xf>
    <xf numFmtId="4" fontId="90" fillId="70" borderId="0" xfId="176" applyNumberFormat="1" applyFont="1" applyFill="1" applyBorder="1" applyAlignment="1" applyProtection="1">
      <alignment horizontal="right" vertical="center"/>
    </xf>
    <xf numFmtId="4" fontId="91" fillId="70" borderId="0" xfId="176" applyNumberFormat="1" applyFont="1" applyFill="1" applyBorder="1" applyAlignment="1" applyProtection="1">
      <alignment horizontal="left" vertical="center"/>
    </xf>
    <xf numFmtId="168" fontId="91" fillId="65" borderId="0" xfId="176" applyNumberFormat="1" applyFont="1" applyFill="1" applyBorder="1" applyAlignment="1" applyProtection="1">
      <alignment horizontal="left" vertical="center"/>
    </xf>
    <xf numFmtId="3" fontId="90" fillId="65" borderId="0" xfId="176" applyNumberFormat="1" applyFont="1" applyFill="1" applyBorder="1" applyAlignment="1" applyProtection="1">
      <alignment horizontal="center" vertical="center"/>
    </xf>
    <xf numFmtId="168" fontId="91" fillId="70" borderId="0" xfId="176" applyNumberFormat="1" applyFont="1" applyFill="1" applyBorder="1" applyAlignment="1" applyProtection="1">
      <alignment horizontal="left" vertical="center"/>
    </xf>
    <xf numFmtId="181" fontId="91" fillId="65" borderId="0" xfId="176" applyNumberFormat="1" applyFont="1" applyFill="1" applyBorder="1" applyAlignment="1" applyProtection="1">
      <alignment horizontal="left" vertical="center"/>
    </xf>
    <xf numFmtId="181" fontId="95" fillId="65" borderId="0" xfId="176" applyNumberFormat="1" applyFont="1" applyFill="1" applyBorder="1" applyAlignment="1" applyProtection="1">
      <alignment horizontal="center" vertical="center"/>
    </xf>
    <xf numFmtId="181" fontId="91" fillId="70" borderId="0" xfId="176" applyNumberFormat="1" applyFont="1" applyFill="1" applyBorder="1" applyAlignment="1" applyProtection="1">
      <alignment horizontal="left" vertical="center"/>
    </xf>
    <xf numFmtId="181" fontId="95" fillId="70" borderId="0" xfId="176" applyNumberFormat="1" applyFont="1" applyFill="1" applyBorder="1" applyAlignment="1" applyProtection="1">
      <alignment horizontal="center" vertical="center"/>
    </xf>
    <xf numFmtId="181" fontId="91" fillId="70" borderId="0" xfId="176" applyNumberFormat="1" applyFont="1" applyFill="1" applyBorder="1" applyAlignment="1" applyProtection="1">
      <alignment horizontal="right" vertical="center"/>
    </xf>
    <xf numFmtId="0" fontId="84" fillId="62" borderId="0" xfId="176" applyNumberFormat="1" applyFont="1" applyFill="1" applyBorder="1" applyAlignment="1" applyProtection="1">
      <alignment horizontal="center" vertical="center"/>
    </xf>
    <xf numFmtId="0" fontId="1" fillId="0" borderId="0" xfId="176" applyAlignment="1">
      <alignment horizontal="center" vertical="center"/>
    </xf>
    <xf numFmtId="0" fontId="84" fillId="64" borderId="0" xfId="176" applyNumberFormat="1" applyFont="1" applyFill="1" applyBorder="1" applyAlignment="1" applyProtection="1">
      <alignment horizontal="center" vertical="center"/>
    </xf>
    <xf numFmtId="0" fontId="84" fillId="62" borderId="0" xfId="176" applyNumberFormat="1" applyFont="1" applyFill="1" applyBorder="1" applyAlignment="1" applyProtection="1">
      <alignment horizontal="center" vertical="center"/>
    </xf>
    <xf numFmtId="0" fontId="40" fillId="64" borderId="0" xfId="176" applyNumberFormat="1" applyFont="1" applyFill="1" applyBorder="1" applyAlignment="1" applyProtection="1">
      <alignment horizontal="center" vertical="center"/>
    </xf>
    <xf numFmtId="0" fontId="84" fillId="64" borderId="0" xfId="176" applyNumberFormat="1" applyFont="1" applyFill="1" applyBorder="1" applyAlignment="1" applyProtection="1">
      <alignment horizontal="center" vertical="center"/>
    </xf>
    <xf numFmtId="3" fontId="1" fillId="66" borderId="0" xfId="176" quotePrefix="1" applyNumberFormat="1" applyFill="1"/>
    <xf numFmtId="0" fontId="40" fillId="64" borderId="0" xfId="176" applyNumberFormat="1" applyFont="1" applyFill="1" applyBorder="1" applyAlignment="1" applyProtection="1">
      <alignment horizontal="left" vertical="center"/>
    </xf>
    <xf numFmtId="0" fontId="84" fillId="64" borderId="0" xfId="176" applyNumberFormat="1" applyFont="1" applyFill="1" applyBorder="1" applyAlignment="1" applyProtection="1">
      <alignment horizontal="left" vertical="center"/>
    </xf>
    <xf numFmtId="181" fontId="97" fillId="65" borderId="0" xfId="176" applyNumberFormat="1" applyFont="1" applyFill="1" applyBorder="1" applyAlignment="1" applyProtection="1">
      <alignment horizontal="right" vertical="center"/>
    </xf>
    <xf numFmtId="3" fontId="97" fillId="65" borderId="0" xfId="176" applyNumberFormat="1" applyFont="1" applyFill="1" applyBorder="1" applyAlignment="1" applyProtection="1">
      <alignment horizontal="right" vertical="center"/>
    </xf>
    <xf numFmtId="3" fontId="98" fillId="65" borderId="0" xfId="176" applyNumberFormat="1" applyFont="1" applyFill="1" applyBorder="1" applyAlignment="1" applyProtection="1">
      <alignment horizontal="right" vertical="center"/>
    </xf>
    <xf numFmtId="3" fontId="51" fillId="11" borderId="0" xfId="48" applyNumberFormat="1" applyAlignment="1">
      <alignment horizontal="center" vertical="center"/>
    </xf>
  </cellXfs>
  <cellStyles count="177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20% - Colore 1" xfId="97"/>
    <cellStyle name="20% - Colore 2" xfId="98"/>
    <cellStyle name="20% - Colore 3" xfId="99"/>
    <cellStyle name="20% - Colore 4" xfId="100"/>
    <cellStyle name="20% - Colore 5" xfId="101"/>
    <cellStyle name="20% - Colore 6" xfId="102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40% - Colore 1" xfId="103"/>
    <cellStyle name="40% - Colore 2" xfId="104"/>
    <cellStyle name="40% - Colore 3" xfId="105"/>
    <cellStyle name="40% - Colore 4" xfId="106"/>
    <cellStyle name="40% - Colore 5" xfId="107"/>
    <cellStyle name="40% - Colore 6" xfId="108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60% - Colore 1" xfId="109"/>
    <cellStyle name="60% - Colore 2" xfId="110"/>
    <cellStyle name="60% - Colore 3" xfId="111"/>
    <cellStyle name="60% - Colore 4" xfId="112"/>
    <cellStyle name="60% - Colore 5" xfId="113"/>
    <cellStyle name="60% - Colore 6" xfId="114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am_BasicStyle" xfId="50"/>
    <cellStyle name="am_BasicStyleBold" xfId="66"/>
    <cellStyle name="am_Check1" xfId="71"/>
    <cellStyle name="am_ContributionSet" xfId="69"/>
    <cellStyle name="am_EmptyCell" xfId="61"/>
    <cellStyle name="am_HeaderCol" xfId="47"/>
    <cellStyle name="am_HeaderColCode" xfId="62"/>
    <cellStyle name="am_HeaderRow" xfId="45"/>
    <cellStyle name="am_HeaderRowCode" xfId="65"/>
    <cellStyle name="am_inputconfig" xfId="49"/>
    <cellStyle name="am_inputvalue" xfId="46"/>
    <cellStyle name="am_inputvalueProp" xfId="67"/>
    <cellStyle name="am_LinkedInputvalue" xfId="70"/>
    <cellStyle name="am_output" xfId="48"/>
    <cellStyle name="am_OutputConfig" xfId="59"/>
    <cellStyle name="am_outputRT" xfId="60"/>
    <cellStyle name="am_override" xfId="68"/>
    <cellStyle name="am_SettingName" xfId="63"/>
    <cellStyle name="am_SettingValue" xfId="64"/>
    <cellStyle name="am_TableHeader" xfId="44"/>
    <cellStyle name="Bad" xfId="25" builtinId="27" customBuiltin="1"/>
    <cellStyle name="Calcolo" xfId="115"/>
    <cellStyle name="Calculation" xfId="26" builtinId="22" customBuiltin="1"/>
    <cellStyle name="Cella collegata" xfId="116"/>
    <cellStyle name="Cella da controllare" xfId="117"/>
    <cellStyle name="Check Cell" xfId="27" builtinId="23" customBuiltin="1"/>
    <cellStyle name="Ciccio" xfId="118"/>
    <cellStyle name="Colore 1" xfId="119"/>
    <cellStyle name="Colore 2" xfId="120"/>
    <cellStyle name="Colore 3" xfId="121"/>
    <cellStyle name="Colore 4" xfId="122"/>
    <cellStyle name="Colore 5" xfId="123"/>
    <cellStyle name="Colore 6" xfId="124"/>
    <cellStyle name="Comma" xfId="28" builtinId="3" customBuiltin="1"/>
    <cellStyle name="Comma [0]" xfId="56" builtinId="6" customBuiltin="1"/>
    <cellStyle name="ContentsHyperlink" xfId="125"/>
    <cellStyle name="Currency" xfId="57" builtinId="4" customBuiltin="1"/>
    <cellStyle name="Currency [0]" xfId="58" builtinId="7" customBuiltin="1"/>
    <cellStyle name="DataFeed" xfId="126"/>
    <cellStyle name="Euro" xfId="93"/>
    <cellStyle name="Euro 2" xfId="127"/>
    <cellStyle name="Explanatory Text" xfId="29" builtinId="53" customBuiltin="1"/>
    <cellStyle name="Good" xfId="30" builtinId="26" customBuiltin="1"/>
    <cellStyle name="Heading" xfId="128"/>
    <cellStyle name="Heading 1" xfId="31" builtinId="16" customBuiltin="1"/>
    <cellStyle name="Heading 2" xfId="32" builtinId="17" customBuiltin="1"/>
    <cellStyle name="Heading 3" xfId="33" builtinId="18" customBuiltin="1"/>
    <cellStyle name="Heading 4" xfId="34" builtinId="19" customBuiltin="1"/>
    <cellStyle name="Hyperlink" xfId="35" builtinId="8"/>
    <cellStyle name="Input" xfId="36" builtinId="20" customBuiltin="1"/>
    <cellStyle name="Linked Cell" xfId="37" builtinId="24" customBuiltin="1"/>
    <cellStyle name="Migliaia (0)_AZIONI" xfId="84"/>
    <cellStyle name="Neutral" xfId="38" builtinId="28" customBuiltin="1"/>
    <cellStyle name="Neutrale" xfId="129"/>
    <cellStyle name="Normal" xfId="0" builtinId="0" customBuiltin="1"/>
    <cellStyle name="Normal 10" xfId="80"/>
    <cellStyle name="Normal 11" xfId="81"/>
    <cellStyle name="Normal 12" xfId="82"/>
    <cellStyle name="Normal 13" xfId="148"/>
    <cellStyle name="Normal 14" xfId="149"/>
    <cellStyle name="Normal 15" xfId="150"/>
    <cellStyle name="Normal 16" xfId="151"/>
    <cellStyle name="Normal 16 2" xfId="153"/>
    <cellStyle name="Normal 17" xfId="152"/>
    <cellStyle name="Normal 18" xfId="154"/>
    <cellStyle name="Normal 19" xfId="155"/>
    <cellStyle name="Normal 2" xfId="72"/>
    <cellStyle name="Normal 2 2" xfId="85"/>
    <cellStyle name="Normal 20" xfId="156"/>
    <cellStyle name="Normal 21" xfId="157"/>
    <cellStyle name="Normal 22" xfId="158"/>
    <cellStyle name="Normal 23" xfId="159"/>
    <cellStyle name="Normal 24" xfId="160"/>
    <cellStyle name="Normal 25" xfId="161"/>
    <cellStyle name="Normal 25 2" xfId="163"/>
    <cellStyle name="Normal 25 3" xfId="165"/>
    <cellStyle name="Normal 25 4" xfId="167"/>
    <cellStyle name="Normal 26" xfId="162"/>
    <cellStyle name="Normal 27" xfId="164"/>
    <cellStyle name="Normal 28" xfId="166"/>
    <cellStyle name="Normal 29" xfId="168"/>
    <cellStyle name="Normal 3" xfId="73"/>
    <cellStyle name="Normal 3 2" xfId="86"/>
    <cellStyle name="Normal 30" xfId="169"/>
    <cellStyle name="Normal 31" xfId="170"/>
    <cellStyle name="Normal 32" xfId="171"/>
    <cellStyle name="Normal 33" xfId="172"/>
    <cellStyle name="Normal 34" xfId="173"/>
    <cellStyle name="Normal 35" xfId="174"/>
    <cellStyle name="Normal 36" xfId="175"/>
    <cellStyle name="Normal 37" xfId="176"/>
    <cellStyle name="Normal 4" xfId="74"/>
    <cellStyle name="Normal 4 2" xfId="83"/>
    <cellStyle name="Normal 5" xfId="75"/>
    <cellStyle name="Normal 5 2" xfId="94"/>
    <cellStyle name="Normal 6" xfId="76"/>
    <cellStyle name="Normal 7" xfId="77"/>
    <cellStyle name="Normal 8" xfId="78"/>
    <cellStyle name="Normal 9" xfId="79"/>
    <cellStyle name="Nota" xfId="130"/>
    <cellStyle name="Note" xfId="39" builtinId="10" customBuiltin="1"/>
    <cellStyle name="NoteForDvlp" xfId="51"/>
    <cellStyle name="NoteForUser" xfId="52"/>
    <cellStyle name="Output" xfId="40" builtinId="21" customBuiltin="1"/>
    <cellStyle name="Percent 2" xfId="87"/>
    <cellStyle name="Percent 2 2" xfId="88"/>
    <cellStyle name="Percent 3" xfId="89"/>
    <cellStyle name="Percent 4" xfId="92"/>
    <cellStyle name="Percent 5" xfId="95"/>
    <cellStyle name="Percent 6" xfId="131"/>
    <cellStyle name="Personal" xfId="132"/>
    <cellStyle name="QlCmd" xfId="53"/>
    <cellStyle name="QLerr" xfId="54"/>
    <cellStyle name="QlObj" xfId="55"/>
    <cellStyle name="result" xfId="90"/>
    <cellStyle name="result 2" xfId="133"/>
    <cellStyle name="StandingData" xfId="134"/>
    <cellStyle name="Style 1" xfId="96"/>
    <cellStyle name="Testo avviso" xfId="135"/>
    <cellStyle name="Testo descrittivo" xfId="136"/>
    <cellStyle name="Title" xfId="41" builtinId="15" customBuiltin="1"/>
    <cellStyle name="Titolo" xfId="137"/>
    <cellStyle name="Titolo 1" xfId="138"/>
    <cellStyle name="Titolo 2" xfId="139"/>
    <cellStyle name="Titolo 3" xfId="140"/>
    <cellStyle name="Titolo 4" xfId="141"/>
    <cellStyle name="Total" xfId="42" builtinId="25" customBuiltin="1"/>
    <cellStyle name="Totale" xfId="142"/>
    <cellStyle name="User" xfId="143"/>
    <cellStyle name="UserInput" xfId="144"/>
    <cellStyle name="Valore non valido" xfId="145"/>
    <cellStyle name="Valore valido" xfId="146"/>
    <cellStyle name="Valuta (0)_AZIONI" xfId="91"/>
    <cellStyle name="VerticalText" xfId="147"/>
    <cellStyle name="Warning Text" xfId="43" builtinId="11" customBuiltin="1"/>
  </cellStyles>
  <dxfs count="129">
    <dxf>
      <font>
        <b/>
        <i val="0"/>
        <color rgb="FF002060"/>
      </font>
    </dxf>
    <dxf>
      <font>
        <b/>
        <i val="0"/>
        <color rgb="FFFF0000"/>
      </font>
    </dxf>
    <dxf>
      <font>
        <color theme="0" tint="-0.24994659260841701"/>
      </font>
      <fill>
        <patternFill>
          <bgColor theme="0" tint="-0.34998626667073579"/>
        </patternFill>
      </fill>
    </dxf>
    <dxf>
      <font>
        <color rgb="FFFF0000"/>
      </font>
    </dxf>
    <dxf>
      <font>
        <b/>
        <i val="0"/>
        <color indexed="13"/>
      </font>
      <fill>
        <patternFill>
          <bgColor indexed="10"/>
        </patternFill>
      </fill>
    </dxf>
    <dxf>
      <font>
        <b/>
        <i val="0"/>
        <color indexed="13"/>
      </font>
      <fill>
        <patternFill>
          <bgColor indexed="10"/>
        </patternFill>
      </fill>
    </dxf>
    <dxf>
      <font>
        <color rgb="FFFF0000"/>
      </font>
    </dxf>
    <dxf>
      <font>
        <b/>
        <i val="0"/>
        <condense val="0"/>
        <extend val="0"/>
        <color indexed="13"/>
      </font>
      <fill>
        <patternFill>
          <bgColor indexed="1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color theme="0" tint="-0.34998626667073579"/>
      </font>
      <fill>
        <patternFill>
          <bgColor theme="0" tint="-0.14996795556505021"/>
        </patternFill>
      </fill>
    </dxf>
    <dxf>
      <font>
        <color theme="0" tint="-0.34998626667073579"/>
      </font>
      <fill>
        <patternFill>
          <bgColor theme="0" tint="-0.14996795556505021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color theme="0" tint="-0.34998626667073579"/>
      </font>
      <fill>
        <patternFill>
          <bgColor theme="0" tint="-0.14996795556505021"/>
        </patternFill>
      </fill>
    </dxf>
    <dxf>
      <font>
        <color theme="0" tint="-0.34998626667073579"/>
      </font>
      <fill>
        <patternFill>
          <bgColor theme="0" tint="-0.14996795556505021"/>
        </patternFill>
      </fill>
    </dxf>
    <dxf>
      <font>
        <color theme="0" tint="-0.34998626667073579"/>
      </font>
      <fill>
        <patternFill>
          <bgColor theme="0" tint="-0.14996795556505021"/>
        </patternFill>
      </fill>
    </dxf>
    <dxf>
      <font>
        <color theme="0" tint="-0.34998626667073579"/>
      </font>
      <fill>
        <patternFill>
          <bgColor theme="0" tint="-0.14996795556505021"/>
        </patternFill>
      </fill>
    </dxf>
    <dxf>
      <font>
        <color theme="0" tint="-0.34998626667073579"/>
      </font>
      <fill>
        <patternFill>
          <bgColor theme="0" tint="-0.14996795556505021"/>
        </patternFill>
      </fill>
    </dxf>
    <dxf>
      <font>
        <color theme="0" tint="-0.34998626667073579"/>
      </font>
      <fill>
        <patternFill>
          <bgColor theme="0" tint="-0.14996795556505021"/>
        </patternFill>
      </fill>
    </dxf>
    <dxf>
      <font>
        <color theme="0" tint="-0.34998626667073579"/>
      </font>
      <fill>
        <patternFill>
          <bgColor theme="0" tint="-0.14996795556505021"/>
        </patternFill>
      </fill>
    </dxf>
    <dxf>
      <font>
        <color theme="0" tint="-0.34998626667073579"/>
      </font>
      <fill>
        <patternFill>
          <bgColor theme="0" tint="-0.14996795556505021"/>
        </patternFill>
      </fill>
    </dxf>
    <dxf>
      <font>
        <color theme="0" tint="-0.14996795556505021"/>
      </font>
      <fill>
        <patternFill>
          <bgColor theme="0" tint="-0.24994659260841701"/>
        </patternFill>
      </fill>
    </dxf>
    <dxf>
      <font>
        <color theme="0" tint="-0.1499679555650502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34998626667073579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34998626667073579"/>
        </patternFill>
      </fill>
    </dxf>
    <dxf>
      <font>
        <color theme="0" tint="-0.1499679555650502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34998626667073579"/>
        </patternFill>
      </fill>
    </dxf>
    <dxf>
      <font>
        <color theme="0" tint="-0.14996795556505021"/>
      </font>
      <fill>
        <patternFill>
          <bgColor theme="0" tint="-0.24994659260841701"/>
        </patternFill>
      </fill>
    </dxf>
    <dxf>
      <font>
        <color theme="0" tint="-0.14996795556505021"/>
      </font>
      <fill>
        <patternFill>
          <bgColor theme="0" tint="-0.24994659260841701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34998626667073579"/>
        </patternFill>
      </fill>
    </dxf>
    <dxf>
      <font>
        <color theme="0" tint="-0.1499679555650502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34998626667073579"/>
        </patternFill>
      </fill>
    </dxf>
    <dxf>
      <font>
        <color auto="1"/>
      </font>
      <fill>
        <patternFill>
          <bgColor theme="0" tint="-0.14996795556505021"/>
        </patternFill>
      </fill>
    </dxf>
    <dxf>
      <font>
        <b/>
        <i val="0"/>
        <color rgb="FF002060"/>
      </font>
    </dxf>
    <dxf>
      <font>
        <b/>
        <i val="0"/>
        <color rgb="FFFF0000"/>
      </font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002060"/>
      </font>
    </dxf>
    <dxf>
      <font>
        <b/>
        <i val="0"/>
        <color rgb="FFFF0000"/>
      </font>
    </dxf>
    <dxf>
      <font>
        <b/>
        <i val="0"/>
        <color rgb="FF002060"/>
      </font>
    </dxf>
    <dxf>
      <font>
        <b/>
        <i val="0"/>
        <color rgb="FFFF0000"/>
      </font>
    </dxf>
    <dxf>
      <font>
        <b/>
        <i val="0"/>
        <color rgb="FF002060"/>
      </font>
    </dxf>
    <dxf>
      <font>
        <b/>
        <i val="0"/>
        <color rgb="FFFF0000"/>
      </font>
    </dxf>
    <dxf>
      <font>
        <b/>
        <i val="0"/>
        <color rgb="FF002060"/>
      </font>
    </dxf>
    <dxf>
      <font>
        <b/>
        <i val="0"/>
        <color rgb="FFFF0000"/>
      </font>
    </dxf>
    <dxf>
      <font>
        <b/>
        <i val="0"/>
        <color rgb="FF002060"/>
      </font>
    </dxf>
    <dxf>
      <font>
        <b/>
        <i val="0"/>
        <color rgb="FFFF0000"/>
      </font>
    </dxf>
    <dxf>
      <font>
        <b/>
        <i val="0"/>
        <color rgb="FF002060"/>
      </font>
    </dxf>
    <dxf>
      <font>
        <b/>
        <i val="0"/>
        <color rgb="FFFF0000"/>
      </font>
    </dxf>
    <dxf>
      <font>
        <b/>
        <i val="0"/>
        <color rgb="FF002060"/>
      </font>
    </dxf>
    <dxf>
      <font>
        <b/>
        <i val="0"/>
        <color rgb="FFFF0000"/>
      </font>
    </dxf>
    <dxf>
      <font>
        <b/>
        <i val="0"/>
        <color rgb="FF002060"/>
      </font>
    </dxf>
    <dxf>
      <font>
        <b/>
        <i val="0"/>
        <color rgb="FFFF0000"/>
      </font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002060"/>
      </font>
    </dxf>
    <dxf>
      <font>
        <b/>
        <i val="0"/>
        <color rgb="FFFF0000"/>
      </font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indexed="13"/>
      </font>
      <fill>
        <patternFill>
          <bgColor indexed="1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002060"/>
      </font>
    </dxf>
    <dxf>
      <font>
        <b/>
        <i val="0"/>
        <color rgb="FFFF000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6"/>
      </font>
    </dxf>
    <dxf>
      <font>
        <color auto="1"/>
      </font>
      <fill>
        <patternFill>
          <bgColor theme="0" tint="-0.14996795556505021"/>
        </patternFill>
      </fill>
    </dxf>
    <dxf>
      <font>
        <color auto="1"/>
      </font>
      <fill>
        <patternFill>
          <bgColor theme="0" tint="-0.14996795556505021"/>
        </patternFill>
      </fill>
    </dxf>
    <dxf>
      <font>
        <color auto="1"/>
      </font>
      <fill>
        <patternFill>
          <bgColor theme="0" tint="-0.14996795556505021"/>
        </patternFill>
      </fill>
    </dxf>
    <dxf>
      <font>
        <b/>
        <i val="0"/>
        <color rgb="FF002060"/>
      </font>
    </dxf>
    <dxf>
      <font>
        <b/>
        <i val="0"/>
        <color rgb="FFFF0000"/>
      </font>
    </dxf>
    <dxf>
      <font>
        <b/>
        <i val="0"/>
        <color rgb="FF002060"/>
      </font>
    </dxf>
    <dxf>
      <font>
        <b/>
        <i val="0"/>
        <color rgb="FFFF0000"/>
      </font>
    </dxf>
    <dxf>
      <font>
        <b/>
        <i val="0"/>
        <color rgb="FF002060"/>
      </font>
    </dxf>
    <dxf>
      <font>
        <b/>
        <i val="0"/>
        <color rgb="FFFF0000"/>
      </font>
    </dxf>
    <dxf>
      <font>
        <b/>
        <i val="0"/>
        <color rgb="FF002060"/>
      </font>
    </dxf>
    <dxf>
      <font>
        <b/>
        <i val="0"/>
        <color rgb="FFFF0000"/>
      </font>
    </dxf>
    <dxf>
      <font>
        <b/>
        <i val="0"/>
        <color rgb="FF002060"/>
      </font>
    </dxf>
    <dxf>
      <font>
        <b/>
        <i val="0"/>
        <color rgb="FFFF0000"/>
      </font>
    </dxf>
    <dxf>
      <font>
        <b/>
        <i val="0"/>
        <color rgb="FF002060"/>
      </font>
    </dxf>
    <dxf>
      <font>
        <b/>
        <i val="0"/>
        <color rgb="FFFF0000"/>
      </font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002060"/>
      </font>
    </dxf>
    <dxf>
      <font>
        <b/>
        <i val="0"/>
        <color rgb="FFFF0000"/>
      </font>
    </dxf>
    <dxf>
      <font>
        <b/>
        <i val="0"/>
        <color rgb="FF002060"/>
      </font>
    </dxf>
    <dxf>
      <font>
        <b/>
        <i val="0"/>
        <color rgb="FFFF0000"/>
      </font>
    </dxf>
    <dxf>
      <font>
        <b/>
        <i val="0"/>
        <color rgb="FF002060"/>
      </font>
    </dxf>
    <dxf>
      <font>
        <b/>
        <i val="0"/>
        <color rgb="FFFF000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6"/>
      </font>
    </dxf>
    <dxf>
      <font>
        <b/>
        <i val="0"/>
        <color rgb="FF002060"/>
      </font>
    </dxf>
    <dxf>
      <font>
        <b/>
        <i val="0"/>
        <color rgb="FFFF0000"/>
      </font>
    </dxf>
    <dxf>
      <font>
        <b/>
        <i val="0"/>
        <color rgb="FF002060"/>
      </font>
    </dxf>
    <dxf>
      <font>
        <b/>
        <i val="0"/>
        <color rgb="FFFF0000"/>
      </font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indexed="13"/>
      </font>
      <fill>
        <patternFill>
          <bgColor indexed="1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6"/>
      </font>
    </dxf>
  </dxfs>
  <tableStyles count="0" defaultTableStyle="TableStyleMedium2" defaultPivotStyle="PivotStyleLight16"/>
  <colors>
    <mruColors>
      <color rgb="FFD9F7D1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volatileDependencies.xml><?xml version="1.0" encoding="utf-8"?>
<volTypes xmlns="http://schemas.openxmlformats.org/spreadsheetml/2006/main">
  <volType type="realTimeData">
    <main first="pldatasource.rtgetrtdserver">
      <tp>
        <v>-0.28300000000000003</v>
        <stp/>
        <stp>_x000D_EUR3MFRA6X9F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25" s="202"/>
      </tp>
      <tp>
        <v>-0.29199999999999998</v>
        <stp/>
        <stp>_x000D_EUR3MFRA4X7F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23" s="202"/>
      </tp>
      <tp>
        <v>-0.28700000000000003</v>
        <stp/>
        <stp>_x000D_EUR3MFRA5X8F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24" s="202"/>
      </tp>
      <tp>
        <v>-0.30199999999999999</v>
        <stp/>
        <stp>_x000D_EUR3MFRA2X5F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21" s="202"/>
      </tp>
      <tp>
        <v>-0.29699999999999999</v>
        <stp/>
        <stp>_x000D_EUR3MFRA3X6F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22" s="202"/>
      </tp>
      <tp>
        <v>-0.307</v>
        <stp/>
        <stp>_x000D_EUR3MFRA1X4F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20" s="202"/>
      </tp>
      <tp>
        <v>-0.19900000000000001</v>
        <stp/>
        <stp>_x000D_EUR6MFRA2X8F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H24" s="202"/>
      </tp>
      <tp>
        <v>-0.192</v>
        <stp/>
        <stp>_x000D_EUR6MFRA3X9F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H25" s="202"/>
      </tp>
      <tp>
        <v>-0.20700000000000002</v>
        <stp/>
        <stp>_x000D_EUR6MFRA1X7F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H23" s="202"/>
      </tp>
      <tp>
        <v>-0.307</v>
        <stp/>
        <stp>_x000D_EUR3MFRA1X4F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T20" s="202"/>
      </tp>
      <tp>
        <v>-0.29699999999999999</v>
        <stp/>
        <stp>_x000D_EUR3MFRA3X6F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T22" s="202"/>
      </tp>
      <tp>
        <v>-0.30199999999999999</v>
        <stp/>
        <stp>_x000D_EUR3MFRA2X5F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T21" s="202"/>
      </tp>
      <tp>
        <v>-0.28700000000000003</v>
        <stp/>
        <stp>_x000D_EUR3MFRA5X8F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T24" s="202"/>
      </tp>
      <tp>
        <v>-0.29199999999999998</v>
        <stp/>
        <stp>_x000D_EUR3MFRA4X7F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T23" s="202"/>
      </tp>
      <tp>
        <v>-0.28300000000000003</v>
        <stp/>
        <stp>_x000D_EUR3MFRA6X9F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T25" s="202"/>
      </tp>
      <tp>
        <v>-0.20700000000000002</v>
        <stp/>
        <stp>_x000D_EUR6MFRA1X7F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I23" s="202"/>
      </tp>
      <tp>
        <v>-0.192</v>
        <stp/>
        <stp>_x000D_EUR6MFRA3X9F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I25" s="202"/>
      </tp>
      <tp>
        <v>-0.19900000000000001</v>
        <stp/>
        <stp>_x000D_EUR6MFRA2X8F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I24" s="202"/>
      </tp>
      <tp>
        <v>2.7542639040000001</v>
        <stp/>
        <stp>_x0011_USD_CURVE_12M_21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P50" s="70"/>
      </tp>
      <tp>
        <v>2.5873721460000003</v>
        <stp/>
        <stp>_x0011_USD_CURVE_12M_11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P40" s="70"/>
      </tp>
      <tp>
        <v>0.47700000000000004</v>
        <stp/>
        <stp xml:space="preserve">
EUR6MSW8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37" s="202"/>
        <tr r="AH47" s="202"/>
      </tp>
      <tp>
        <v>2.7669480010000003</v>
        <stp/>
        <stp>_x0011_USD_CURVE_12M_30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P59" s="70"/>
      </tp>
      <tp>
        <v>2.7472867050000001</v>
        <stp/>
        <stp>_x0011_USD_CURVE_12M_20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P49" s="70"/>
      </tp>
      <tp>
        <v>2.5521074480000001</v>
        <stp/>
        <stp>_x0011_USD_CURVE_12M_10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P39" s="70"/>
      </tp>
      <tp>
        <v>2.76569391</v>
        <stp/>
        <stp>_x0011_USD_CURVE_12M_60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P62" s="70"/>
      </tp>
      <tp>
        <v>2.767116025</v>
        <stp/>
        <stp>_x0011_USD_CURVE_12M_50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P61" s="70"/>
      </tp>
      <tp>
        <v>2.7691332970000002</v>
        <stp/>
        <stp>_x0011_USD_CURVE_12M_40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P60" s="70"/>
      </tp>
      <tp>
        <v>0.58499999999999996</v>
        <stp/>
        <stp xml:space="preserve">
EUR6MSW9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38" s="202"/>
        <tr r="AH48" s="202"/>
      </tp>
      <tp>
        <v>2.76285121</v>
        <stp/>
        <stp>_x0011_USD_CURVE_12M_23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P52" s="70"/>
      </tp>
      <tp>
        <v>2.6394364850000001</v>
        <stp/>
        <stp>_x0011_USD_CURVE_12M_13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P42" s="70"/>
      </tp>
      <tp>
        <v>0.58499999999999996</v>
        <stp/>
        <stp xml:space="preserve">
EUR6MSW9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38" s="202"/>
        <tr r="AI48" s="202"/>
      </tp>
      <tp>
        <v>2.7593226280000001</v>
        <stp/>
        <stp>_x0011_USD_CURVE_12M_22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P51" s="70"/>
      </tp>
      <tp>
        <v>2.6160828860000001</v>
        <stp/>
        <stp>_x0011_USD_CURVE_12M_12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P41" s="70"/>
      </tp>
      <tp>
        <v>0.47700000000000004</v>
        <stp/>
        <stp xml:space="preserve">
EUR6MSW8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37" s="202"/>
        <tr r="AI47" s="202"/>
      </tp>
      <tp>
        <v>2.766462309</v>
        <stp/>
        <stp>_x0011_USD_CURVE_12M_25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P54" s="70"/>
      </tp>
      <tp>
        <v>2.679785452</v>
        <stp/>
        <stp>_x0011_USD_CURVE_12M_15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P44" s="70"/>
      </tp>
      <tp>
        <v>0.45800000000000002</v>
        <stp/>
        <stp xml:space="preserve">
EUR3MSW9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44" s="202"/>
      </tp>
      <tp>
        <v>-0.373</v>
        <stp/>
        <stp xml:space="preserve">
EUR1MSW8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C26" s="202"/>
      </tp>
      <tp>
        <v>0.60799999999999998</v>
        <stp/>
        <stp xml:space="preserve">
EUR1YSW8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C46" s="202"/>
      </tp>
      <tp>
        <v>0.23300000000000001</v>
        <stp/>
        <stp xml:space="preserve">
EUR1MSW8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C43" s="202"/>
      </tp>
      <tp>
        <v>-9.4329575000000013E-2</v>
        <stp/>
        <stp xml:space="preserve">
EUR1YDP8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C24" s="202"/>
      </tp>
      <tp>
        <v>-0.33</v>
        <stp/>
        <stp>_x0008_EURX2M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20" s="202"/>
      </tp>
      <tp>
        <v>-0.37</v>
        <stp/>
        <stp>_x0008_EURX2W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17" s="202"/>
      </tp>
      <tp>
        <v>-0.30000000000000004</v>
        <stp/>
        <stp>_x0008_EURX3M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21" s="202"/>
      </tp>
      <tp>
        <v>-0.37</v>
        <stp/>
        <stp>_x0008_EURX3W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18" s="202"/>
      </tp>
      <tp>
        <v>-0.37</v>
        <stp/>
        <stp>_x0008_EURX1M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19" s="202"/>
      </tp>
      <tp>
        <v>-0.21</v>
        <stp/>
        <stp>_x0008_EURX6M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24" s="202"/>
      </tp>
      <tp>
        <v>-0.27</v>
        <stp/>
        <stp>_x0008_EURX4M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22" s="202"/>
      </tp>
      <tp>
        <v>-0.24</v>
        <stp/>
        <stp>_x0008_EURX5M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23" s="202"/>
      </tp>
      <tp>
        <v>0.69833000000000001</v>
        <stp/>
        <stp>_x0008_USDX2M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20" s="70"/>
      </tp>
      <tp>
        <v>0.48543391300000005</v>
        <stp/>
        <stp>_x0008_USDX2W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17" s="70"/>
      </tp>
      <tp>
        <v>0.90622000000000003</v>
        <stp/>
        <stp>_x0008_USDX3M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21" s="70"/>
      </tp>
      <tp>
        <v>0.51664782600000003</v>
        <stp/>
        <stp>_x0008_USDX3W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18" s="70"/>
      </tp>
      <tp>
        <v>0.55678000000000005</v>
        <stp/>
        <stp>_x0008_USDX1M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19" s="70"/>
      </tp>
      <tp>
        <v>1.2698900000000002</v>
        <stp/>
        <stp>_x0008_USDX6M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24" s="70"/>
      </tp>
      <tp>
        <v>1.0206330340000001</v>
        <stp/>
        <stp>_x0008_USDX4M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22" s="70"/>
      </tp>
      <tp>
        <v>1.1554769660000002</v>
        <stp/>
        <stp>_x0008_USDX5M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23" s="70"/>
      </tp>
      <tp>
        <v>-0.37</v>
        <stp/>
        <stp>_x0008_EURXSN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15" s="202"/>
        <tr r="BS15" s="202"/>
      </tp>
      <tp>
        <v>-0.37</v>
        <stp/>
        <stp>_x0008_EURXSW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16" s="202"/>
      </tp>
      <tp>
        <v>-0.37</v>
        <stp/>
        <stp>_x0008_EURXTN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S14" s="202"/>
        <tr r="BJ14" s="202"/>
      </tp>
      <tp>
        <v>0.65</v>
        <stp/>
        <stp>_x0008_USDXON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13" s="70"/>
        <tr r="AP13" s="70"/>
        <tr r="BO13" s="70"/>
        <tr r="BF13" s="70"/>
        <tr r="AX13" s="70"/>
      </tp>
      <tp>
        <v>0.75</v>
        <stp/>
        <stp>_x0008_USDXSN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15" s="70"/>
        <tr r="BO15" s="70"/>
        <tr r="AX15" s="70"/>
        <tr r="AP15" s="70"/>
        <tr r="BF15" s="70"/>
      </tp>
      <tp>
        <v>0.45422000000000001</v>
        <stp/>
        <stp>_x0008_USDXSW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16" s="70"/>
      </tp>
      <tp>
        <v>0.70000000000000007</v>
        <stp/>
        <stp>_x0008_USDXTN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14" s="70"/>
        <tr r="BO14" s="70"/>
        <tr r="BF14" s="70"/>
        <tr r="AX14" s="70"/>
        <tr r="AP14" s="70"/>
      </tp>
      <tp>
        <v>-0.36999989999999999</v>
        <stp/>
        <stp>_x0008_EURXON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S13" s="202"/>
        <tr r="BJ13" s="202"/>
      </tp>
      <tp>
        <v>0.53407363100000005</v>
        <stp/>
        <stp>_x0012_USD_CURVE_DEP1M_2W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X17" s="70"/>
      </tp>
      <tp>
        <v>0.75795110300000001</v>
        <stp/>
        <stp>_x0012_USD_CURVE_DEP3M_2W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F17" s="70"/>
      </tp>
      <tp>
        <v>1.0404006220000002</v>
        <stp/>
        <stp>_x0012_USD_CURVE_DEP6M_2W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O17" s="70"/>
      </tp>
      <tp>
        <v>0.87790000000000001</v>
        <stp/>
        <stp>_x0012_USD_CURVE_DEP3M_2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F20" s="70"/>
      </tp>
      <tp>
        <v>0.62863645900000009</v>
        <stp/>
        <stp>_x0012_USD_CURVE_DEP1M_2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X20" s="70"/>
      </tp>
      <tp>
        <v>1.1778</v>
        <stp/>
        <stp>_x0012_USD_CURVE_DEP6M_2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O20" s="70"/>
      </tp>
      <tp>
        <v>0.54491440700000005</v>
        <stp/>
        <stp>_x0012_USD_CURVE_DEP1M_3W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X18" s="70"/>
      </tp>
      <tp>
        <v>0.76956600800000008</v>
        <stp/>
        <stp>_x0012_USD_CURVE_DEP3M_3W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F18" s="70"/>
      </tp>
      <tp>
        <v>1.053503616</v>
        <stp/>
        <stp>_x0012_USD_CURVE_DEP6M_3W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O18" s="70"/>
      </tp>
      <tp>
        <v>0.91120000000000001</v>
        <stp/>
        <stp>_x0012_USD_CURVE_DEP3M_3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F21" s="70"/>
      </tp>
      <tp>
        <v>0.67206114300000008</v>
        <stp/>
        <stp>_x0012_USD_CURVE_DEP1M_3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X21" s="70"/>
      </tp>
      <tp>
        <v>1.2202</v>
        <stp/>
        <stp>_x0012_USD_CURVE_DEP6M_3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O21" s="70"/>
      </tp>
      <tp>
        <v>0.52580000000000005</v>
        <stp/>
        <stp>_x0012_USD_CURVE_DEP1M_1W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X16" s="70"/>
      </tp>
      <tp>
        <v>0.75096189700000004</v>
        <stp/>
        <stp>_x0012_USD_CURVE_DEP3M_1W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F16" s="70"/>
      </tp>
      <tp>
        <v>1.0324999380000002</v>
        <stp/>
        <stp>_x0012_USD_CURVE_DEP6M_1W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O16" s="70"/>
      </tp>
      <tp>
        <v>0.7913</v>
        <stp/>
        <stp>_x0012_USD_CURVE_DEP3M_1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F19" s="70"/>
      </tp>
      <tp>
        <v>0.56180000000000008</v>
        <stp/>
        <stp>_x0012_USD_CURVE_DEP1M_1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X19" s="70"/>
      </tp>
      <tp>
        <v>1.0780000000000001</v>
        <stp/>
        <stp>_x0012_USD_CURVE_DEP6M_1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O19" s="70"/>
      </tp>
      <tp>
        <v>0.95317375900000001</v>
        <stp/>
        <stp>_x0012_USD_CURVE_DEP3M_6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F24" s="70"/>
      </tp>
      <tp>
        <v>0.72115729700000009</v>
        <stp/>
        <stp>_x0012_USD_CURVE_DEP1M_6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X24" s="70"/>
      </tp>
      <tp>
        <v>1.2749000000000001</v>
        <stp/>
        <stp>_x0012_USD_CURVE_DEP6M_6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O24" s="70"/>
      </tp>
      <tp>
        <v>2.7649162220000001</v>
        <stp/>
        <stp>_x0011_USD_CURVE_12M_24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P53" s="70"/>
      </tp>
      <tp>
        <v>2.6608855170000001</v>
        <stp/>
        <stp>_x0011_USD_CURVE_12M_14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P43" s="70"/>
      </tp>
      <tp>
        <v>0.92934836700000001</v>
        <stp/>
        <stp>_x0012_USD_CURVE_DEP3M_4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F22" s="70"/>
      </tp>
      <tp>
        <v>0.69271515100000003</v>
        <stp/>
        <stp>_x0012_USD_CURVE_DEP1M_4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X22" s="70"/>
      </tp>
      <tp>
        <v>1.2444</v>
        <stp/>
        <stp>_x0012_USD_CURVE_DEP6M_4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O22" s="70"/>
      </tp>
      <tp>
        <v>0.93792661900000007</v>
        <stp/>
        <stp>_x0012_USD_CURVE_DEP3M_5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F23" s="70"/>
      </tp>
      <tp>
        <v>0.70817661100000007</v>
        <stp/>
        <stp>_x0012_USD_CURVE_DEP1M_5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X23" s="70"/>
      </tp>
      <tp>
        <v>1.2647000000000002</v>
        <stp/>
        <stp>_x0012_USD_CURVE_DEP6M_5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O23" s="70"/>
      </tp>
      <tp>
        <v>0.34400000000000003</v>
        <stp/>
        <stp xml:space="preserve">
EUR3MSW8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43" s="202"/>
      </tp>
      <tp>
        <v>-0.373</v>
        <stp/>
        <stp xml:space="preserve">
EUR1MSW9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C27" s="202"/>
      </tp>
      <tp>
        <v>0.71399999999999997</v>
        <stp/>
        <stp xml:space="preserve">
EUR1YSW9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C47" s="202"/>
      </tp>
      <tp>
        <v>0.34800000000000003</v>
        <stp/>
        <stp xml:space="preserve">
EUR1MSW9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C44" s="202"/>
      </tp>
      <tp>
        <v>-9.0400000000000008E-2</v>
        <stp/>
        <stp xml:space="preserve">
EUR1YDP9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C25" s="202"/>
      </tp>
      <tp>
        <v>2.7671544250000002</v>
        <stp/>
        <stp>_x0011_USD_CURVE_12M_27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P56" s="70"/>
      </tp>
      <tp>
        <v>2.7126230860000002</v>
        <stp/>
        <stp>_x0011_USD_CURVE_12M_17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P46" s="70"/>
      </tp>
      <tp>
        <v>1.0324999380000002</v>
        <stp/>
        <stp>_x0012_USD_CURVE_DEP6M_1W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P16" s="70"/>
      </tp>
      <tp>
        <v>0.75096189700000004</v>
        <stp/>
        <stp>_x0012_USD_CURVE_DEP3M_1W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G16" s="70"/>
      </tp>
      <tp>
        <v>0.52580000000000005</v>
        <stp/>
        <stp>_x0012_USD_CURVE_DEP1M_1W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Y16" s="70"/>
      </tp>
      <tp>
        <v>1.0780000000000001</v>
        <stp/>
        <stp>_x0012_USD_CURVE_DEP6M_1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P19" s="70"/>
      </tp>
      <tp>
        <v>0.56180000000000008</v>
        <stp/>
        <stp>_x0012_USD_CURVE_DEP1M_1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Y19" s="70"/>
      </tp>
      <tp>
        <v>0.7913</v>
        <stp/>
        <stp>_x0012_USD_CURVE_DEP3M_1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G19" s="70"/>
      </tp>
      <tp>
        <v>1.0404006220000002</v>
        <stp/>
        <stp>_x0012_USD_CURVE_DEP6M_2W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P17" s="70"/>
      </tp>
      <tp>
        <v>0.75795110300000001</v>
        <stp/>
        <stp>_x0012_USD_CURVE_DEP3M_2W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G17" s="70"/>
      </tp>
      <tp>
        <v>0.53407363100000005</v>
        <stp/>
        <stp>_x0012_USD_CURVE_DEP1M_2W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Y17" s="70"/>
      </tp>
      <tp>
        <v>1.1778</v>
        <stp/>
        <stp>_x0012_USD_CURVE_DEP6M_2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P20" s="70"/>
      </tp>
      <tp>
        <v>0.62863645900000009</v>
        <stp/>
        <stp>_x0012_USD_CURVE_DEP1M_2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Y20" s="70"/>
      </tp>
      <tp>
        <v>0.87790000000000001</v>
        <stp/>
        <stp>_x0012_USD_CURVE_DEP3M_2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G20" s="70"/>
      </tp>
      <tp>
        <v>1.053503616</v>
        <stp/>
        <stp>_x0012_USD_CURVE_DEP6M_3W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P18" s="70"/>
      </tp>
      <tp>
        <v>0.76956600800000008</v>
        <stp/>
        <stp>_x0012_USD_CURVE_DEP3M_3W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G18" s="70"/>
      </tp>
      <tp>
        <v>0.54491440700000005</v>
        <stp/>
        <stp>_x0012_USD_CURVE_DEP1M_3W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Y18" s="70"/>
      </tp>
      <tp>
        <v>1.2202</v>
        <stp/>
        <stp>_x0012_USD_CURVE_DEP6M_3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P21" s="70"/>
      </tp>
      <tp>
        <v>0.67206114300000008</v>
        <stp/>
        <stp>_x0012_USD_CURVE_DEP1M_3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Y21" s="70"/>
      </tp>
      <tp>
        <v>0.91120000000000001</v>
        <stp/>
        <stp>_x0012_USD_CURVE_DEP3M_3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G21" s="70"/>
      </tp>
      <tp>
        <v>1.2444</v>
        <stp/>
        <stp>_x0012_USD_CURVE_DEP6M_4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P22" s="70"/>
      </tp>
      <tp>
        <v>0.69271515100000003</v>
        <stp/>
        <stp>_x0012_USD_CURVE_DEP1M_4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Y22" s="70"/>
      </tp>
      <tp>
        <v>0.92934836700000001</v>
        <stp/>
        <stp>_x0012_USD_CURVE_DEP3M_4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G22" s="70"/>
      </tp>
      <tp>
        <v>1.2647000000000002</v>
        <stp/>
        <stp>_x0012_USD_CURVE_DEP6M_5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P23" s="70"/>
      </tp>
      <tp>
        <v>0.70817661100000007</v>
        <stp/>
        <stp>_x0012_USD_CURVE_DEP1M_5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Y23" s="70"/>
      </tp>
      <tp>
        <v>0.93792661900000007</v>
        <stp/>
        <stp>_x0012_USD_CURVE_DEP3M_5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G23" s="70"/>
      </tp>
      <tp>
        <v>1.2749000000000001</v>
        <stp/>
        <stp>_x0012_USD_CURVE_DEP6M_6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P24" s="70"/>
      </tp>
      <tp>
        <v>0.72115729700000009</v>
        <stp/>
        <stp>_x0012_USD_CURVE_DEP1M_6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Y24" s="70"/>
      </tp>
      <tp>
        <v>0.95317375900000001</v>
        <stp/>
        <stp>_x0012_USD_CURVE_DEP3M_6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G24" s="70"/>
      </tp>
      <tp>
        <v>0.34800000000000003</v>
        <stp/>
        <stp xml:space="preserve">
EUR1MSW9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B44" s="202"/>
      </tp>
      <tp>
        <v>-9.0400000000000008E-2</v>
        <stp/>
        <stp xml:space="preserve">
EUR1YDP9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B25" s="202"/>
      </tp>
      <tp>
        <v>-0.373</v>
        <stp/>
        <stp xml:space="preserve">
EUR1MSW9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B27" s="202"/>
      </tp>
      <tp>
        <v>0.71399999999999997</v>
        <stp/>
        <stp xml:space="preserve">
EUR1YSW9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B47" s="202"/>
      </tp>
      <tp>
        <v>0.34400000000000003</v>
        <stp/>
        <stp xml:space="preserve">
EUR3MSW8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T43" s="202"/>
      </tp>
      <tp>
        <v>2.7670431870000001</v>
        <stp/>
        <stp>_x0011_USD_CURVE_12M_26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P55" s="70"/>
      </tp>
      <tp>
        <v>2.6970000360000004</v>
        <stp/>
        <stp>_x0011_USD_CURVE_12M_16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P45" s="70"/>
      </tp>
      <tp>
        <v>0.23300000000000001</v>
        <stp/>
        <stp xml:space="preserve">
EUR1MSW8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B43" s="202"/>
      </tp>
      <tp>
        <v>-9.4329575000000013E-2</v>
        <stp/>
        <stp xml:space="preserve">
EUR1YDP8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B24" s="202"/>
      </tp>
      <tp>
        <v>-0.373</v>
        <stp/>
        <stp xml:space="preserve">
EUR1MSW8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B26" s="202"/>
      </tp>
      <tp>
        <v>0.60799999999999998</v>
        <stp/>
        <stp xml:space="preserve">
EUR1YSW8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B46" s="202"/>
      </tp>
      <tp>
        <v>0.45800000000000002</v>
        <stp/>
        <stp xml:space="preserve">
EUR3MSW9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T44" s="202"/>
      </tp>
      <tp>
        <v>2.766997398</v>
        <stp/>
        <stp>_x0011_USD_CURVE_12M_29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P58" s="70"/>
      </tp>
      <tp>
        <v>2.737590602</v>
        <stp/>
        <stp>_x0011_USD_CURVE_12M_19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P48" s="70"/>
      </tp>
      <tp>
        <v>0.115</v>
        <stp/>
        <stp xml:space="preserve">
EUR1MSW7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B42" s="202"/>
      </tp>
      <tp>
        <v>0</v>
        <stp/>
        <stp xml:space="preserve">
EUR3MSW5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40" s="202"/>
      </tp>
      <tp>
        <v>-9.8515149999999996E-2</v>
        <stp/>
        <stp xml:space="preserve">
EUR1YDP7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B23" s="202"/>
      </tp>
      <tp>
        <v>0.73760049599999999</v>
        <stp/>
        <stp>_x0019_USD_CURVE_DEP1M_#20170621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Y25" s="70"/>
      </tp>
      <tp>
        <v>0.97192101200000003</v>
        <stp/>
        <stp>_x0019_USD_CURVE_DEP3M_#20170621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G25" s="70"/>
      </tp>
      <tp>
        <v>1.279825448</v>
        <stp/>
        <stp>_x0019_USD_CURVE_DEP6M_#20170621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P25" s="70"/>
      </tp>
      <tp>
        <v>-0.374</v>
        <stp/>
        <stp xml:space="preserve">
EUR1MSW4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C22" s="202"/>
      </tp>
      <tp>
        <v>0.16400000000000001</v>
        <stp/>
        <stp xml:space="preserve">
EUR1YSW4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C42" s="202"/>
      </tp>
      <tp>
        <v>-0.22440000000000002</v>
        <stp/>
        <stp xml:space="preserve">
EUR6MDP3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I19" s="202"/>
      </tp>
      <tp>
        <v>-0.374</v>
        <stp/>
        <stp xml:space="preserve">
EUR1MSW7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B25" s="202"/>
      </tp>
      <tp>
        <v>0.497</v>
        <stp/>
        <stp xml:space="preserve">
EUR1YSW7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B45" s="202"/>
      </tp>
      <tp>
        <v>-0.23404408000000002</v>
        <stp/>
        <stp xml:space="preserve">
EUR6MDP3W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I16" s="202"/>
      </tp>
      <tp>
        <v>-0.20899999999999999</v>
        <stp/>
        <stp xml:space="preserve">
EUR1MSW4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C39" s="202"/>
      </tp>
      <tp>
        <v>0.112</v>
        <stp/>
        <stp xml:space="preserve">
EUR3MSW6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T41" s="202"/>
      </tp>
      <tp>
        <v>-0.06</v>
        <stp/>
        <stp xml:space="preserve">
EUR6MSW3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32" s="202"/>
        <tr r="AI42" s="202"/>
      </tp>
      <tp>
        <v>-0.11106135600000001</v>
        <stp/>
        <stp xml:space="preserve">
EUR1YDP4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C20" s="202"/>
      </tp>
      <tp>
        <v>2.7670685370000001</v>
        <stp/>
        <stp>_x0011_USD_CURVE_12M_28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P57" s="70"/>
      </tp>
      <tp>
        <v>2.7263245130000002</v>
        <stp/>
        <stp>_x0011_USD_CURVE_12M_18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P47" s="70"/>
      </tp>
      <tp>
        <v>-2E-3</v>
        <stp/>
        <stp xml:space="preserve">
EUR1MSW6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B41" s="202"/>
      </tp>
      <tp>
        <v>-0.10100000000000001</v>
        <stp/>
        <stp xml:space="preserve">
EUR3MSW4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39" s="202"/>
      </tp>
      <tp>
        <v>-0.10260000000000001</v>
        <stp/>
        <stp xml:space="preserve">
EUR1YDP6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B22" s="202"/>
      </tp>
      <tp>
        <v>-0.374</v>
        <stp/>
        <stp xml:space="preserve">
EUR1MSW5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C23" s="202"/>
      </tp>
      <tp>
        <v>0.27200000000000002</v>
        <stp/>
        <stp xml:space="preserve">
EUR1YSW5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C43" s="202"/>
      </tp>
      <tp>
        <v>-0.2286</v>
        <stp/>
        <stp xml:space="preserve">
EUR6MDP2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I18" s="202"/>
      </tp>
      <tp>
        <v>-0.374</v>
        <stp/>
        <stp xml:space="preserve">
EUR1MSW6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B24" s="202"/>
      </tp>
      <tp>
        <v>0.38400000000000001</v>
        <stp/>
        <stp xml:space="preserve">
EUR1YSW6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B44" s="202"/>
      </tp>
      <tp>
        <v>-0.23327804700000002</v>
        <stp/>
        <stp xml:space="preserve">
EUR6MDP2W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I15" s="202"/>
      </tp>
      <tp>
        <v>-0.23450000000000001</v>
        <stp/>
        <stp xml:space="preserve">
EUR6MDP1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H17" s="202"/>
      </tp>
      <tp>
        <v>-0.113</v>
        <stp/>
        <stp xml:space="preserve">
EUR1MSW5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C40" s="202"/>
      </tp>
      <tp>
        <v>0.22800000000000001</v>
        <stp/>
        <stp xml:space="preserve">
EUR3MSW7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T42" s="202"/>
      </tp>
      <tp>
        <v>-0.10671071400000001</v>
        <stp/>
        <stp xml:space="preserve">
EUR1YDP5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C21" s="202"/>
      </tp>
      <tp>
        <v>-0.113</v>
        <stp/>
        <stp xml:space="preserve">
EUR1MSW5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B40" s="202"/>
      </tp>
      <tp>
        <v>0.22800000000000001</v>
        <stp/>
        <stp xml:space="preserve">
EUR3MSW7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42" s="202"/>
      </tp>
      <tp>
        <v>-0.10671071400000001</v>
        <stp/>
        <stp xml:space="preserve">
EUR1YDP5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B21" s="202"/>
      </tp>
      <tp>
        <v>-0.374</v>
        <stp/>
        <stp xml:space="preserve">
EUR1MSW6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C24" s="202"/>
      </tp>
      <tp>
        <v>0.38400000000000001</v>
        <stp/>
        <stp xml:space="preserve">
EUR1YSW6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C44" s="202"/>
      </tp>
      <tp>
        <v>-0.23450000000000001</v>
        <stp/>
        <stp xml:space="preserve">
EUR6MDP1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I17" s="202"/>
      </tp>
      <tp>
        <v>-0.23327804700000002</v>
        <stp/>
        <stp xml:space="preserve">
EUR6MDP2W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H15" s="202"/>
      </tp>
      <tp>
        <v>-0.374</v>
        <stp/>
        <stp xml:space="preserve">
EUR1MSW5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B23" s="202"/>
      </tp>
      <tp>
        <v>0.27200000000000002</v>
        <stp/>
        <stp xml:space="preserve">
EUR1YSW5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B43" s="202"/>
      </tp>
      <tp>
        <v>-0.2286</v>
        <stp/>
        <stp xml:space="preserve">
EUR6MDP2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H18" s="202"/>
      </tp>
      <tp>
        <v>-2E-3</v>
        <stp/>
        <stp xml:space="preserve">
EUR1MSW6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C41" s="202"/>
      </tp>
      <tp>
        <v>-0.10100000000000001</v>
        <stp/>
        <stp xml:space="preserve">
EUR3MSW4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T39" s="202"/>
      </tp>
      <tp>
        <v>-0.10260000000000001</v>
        <stp/>
        <stp xml:space="preserve">
EUR1YDP6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C22" s="202"/>
      </tp>
      <tp>
        <v>-0.20899999999999999</v>
        <stp/>
        <stp xml:space="preserve">
EUR1MSW4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B39" s="202"/>
      </tp>
      <tp>
        <v>0.112</v>
        <stp/>
        <stp xml:space="preserve">
EUR3MSW6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41" s="202"/>
      </tp>
      <tp>
        <v>-0.06</v>
        <stp/>
        <stp xml:space="preserve">
EUR6MSW3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32" s="202"/>
        <tr r="AH42" s="202"/>
      </tp>
      <tp>
        <v>-0.11106135600000001</v>
        <stp/>
        <stp xml:space="preserve">
EUR1YDP4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B20" s="202"/>
      </tp>
      <tp>
        <v>-0.374</v>
        <stp/>
        <stp xml:space="preserve">
EUR1MSW7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C25" s="202"/>
      </tp>
      <tp>
        <v>0.497</v>
        <stp/>
        <stp xml:space="preserve">
EUR1YSW7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C45" s="202"/>
      </tp>
      <tp>
        <v>-0.23404408000000002</v>
        <stp/>
        <stp xml:space="preserve">
EUR6MDP3W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H16" s="202"/>
      </tp>
      <tp>
        <v>-0.374</v>
        <stp/>
        <stp xml:space="preserve">
EUR1MSW4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B22" s="202"/>
      </tp>
      <tp>
        <v>0.16400000000000001</v>
        <stp/>
        <stp xml:space="preserve">
EUR1YSW4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B42" s="202"/>
      </tp>
      <tp>
        <v>-0.22440000000000002</v>
        <stp/>
        <stp xml:space="preserve">
EUR6MDP3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H19" s="202"/>
      </tp>
      <tp>
        <v>0.115</v>
        <stp/>
        <stp xml:space="preserve">
EUR1MSW7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C42" s="202"/>
      </tp>
      <tp>
        <v>0</v>
        <stp/>
        <stp xml:space="preserve">
EUR3MSW5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T40" s="202"/>
      </tp>
      <tp>
        <v>-9.8515149999999996E-2</v>
        <stp/>
        <stp xml:space="preserve">
EUR1YDP7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C23" s="202"/>
      </tp>
      <tp>
        <v>-0.33</v>
        <stp/>
        <stp>_x0008_EURX2M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20" s="202"/>
      </tp>
      <tp>
        <v>-0.37</v>
        <stp/>
        <stp>_x0008_EURX2W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17" s="202"/>
      </tp>
      <tp>
        <v>-0.30000000000000004</v>
        <stp/>
        <stp>_x0008_EURX3M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21" s="202"/>
      </tp>
      <tp>
        <v>-0.37</v>
        <stp/>
        <stp>_x0008_EURX3W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18" s="202"/>
      </tp>
      <tp>
        <v>-0.37</v>
        <stp/>
        <stp>_x0008_EURX1M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19" s="202"/>
      </tp>
      <tp>
        <v>-0.21</v>
        <stp/>
        <stp>_x0008_EURX6M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24" s="202"/>
      </tp>
      <tp>
        <v>-0.27</v>
        <stp/>
        <stp>_x0008_EURX4M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22" s="202"/>
      </tp>
      <tp>
        <v>-0.24</v>
        <stp/>
        <stp>_x0008_EURX5M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23" s="202"/>
      </tp>
      <tp>
        <v>0.70833000000000002</v>
        <stp/>
        <stp>_x0008_USDX2M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H20" s="70"/>
      </tp>
      <tp>
        <v>0.495433913</v>
        <stp/>
        <stp>_x0008_USDX2W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H17" s="70"/>
      </tp>
      <tp>
        <v>0.91622000000000003</v>
        <stp/>
        <stp>_x0008_USDX3M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H21" s="70"/>
      </tp>
      <tp>
        <v>0.52664782600000004</v>
        <stp/>
        <stp>_x0008_USDX3W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H18" s="70"/>
      </tp>
      <tp>
        <v>0.56678000000000006</v>
        <stp/>
        <stp>_x0008_USDX1M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H19" s="70"/>
      </tp>
      <tp>
        <v>1.2798900000000002</v>
        <stp/>
        <stp>_x0008_USDX6M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H24" s="70"/>
      </tp>
      <tp>
        <v>1.0306330340000001</v>
        <stp/>
        <stp>_x0008_USDX4M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H22" s="70"/>
      </tp>
      <tp>
        <v>1.1654769660000002</v>
        <stp/>
        <stp>_x0008_USDX5M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H23" s="70"/>
      </tp>
      <tp>
        <v>-0.37</v>
        <stp/>
        <stp>_x0008_EURXSN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15" s="202"/>
        <tr r="BT15" s="202"/>
      </tp>
      <tp>
        <v>-0.37</v>
        <stp/>
        <stp>_x0008_EURXSW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16" s="202"/>
      </tp>
      <tp>
        <v>-0.37</v>
        <stp/>
        <stp>_x0008_EURXTN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T14" s="202"/>
        <tr r="BK14" s="202"/>
      </tp>
      <tp>
        <v>0.65</v>
        <stp/>
        <stp>_x0008_USDXON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H13" s="70"/>
        <tr r="BP13" s="70"/>
        <tr r="AQ13" s="70"/>
        <tr r="BG13" s="70"/>
        <tr r="AY13" s="70"/>
      </tp>
      <tp>
        <v>0.75</v>
        <stp/>
        <stp>_x0008_USDXSN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H15" s="70"/>
        <tr r="AY15" s="70"/>
        <tr r="BG15" s="70"/>
        <tr r="AQ15" s="70"/>
        <tr r="BP15" s="70"/>
      </tp>
      <tp>
        <v>0.46422000000000002</v>
        <stp/>
        <stp>_x0008_USDXSW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H16" s="70"/>
      </tp>
      <tp>
        <v>0.70000000000000007</v>
        <stp/>
        <stp>_x0008_USDXTN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H14" s="70"/>
        <tr r="AY14" s="70"/>
        <tr r="AQ14" s="70"/>
        <tr r="BP14" s="70"/>
        <tr r="BG14" s="70"/>
      </tp>
      <tp>
        <v>-0.36999989999999999</v>
        <stp/>
        <stp>_x0008_EURXON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T13" s="202"/>
        <tr r="BK13" s="202"/>
      </tp>
      <tp>
        <v>-0.28800000000000003</v>
        <stp/>
        <stp xml:space="preserve">
EUR1MSW3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B38" s="202"/>
      </tp>
      <tp>
        <v>3.2000000000000001E-2</v>
        <stp/>
        <stp xml:space="preserve">
EUR6MSW4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33" s="202"/>
        <tr r="AH43" s="202"/>
      </tp>
      <tp>
        <v>-0.11260000000000001</v>
        <stp/>
        <stp xml:space="preserve">
EUR1YDP3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B19" s="202"/>
      </tp>
      <tp>
        <v>-0.31609999999999999</v>
        <stp/>
        <stp xml:space="preserve">
EUR3MDP2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T18" s="202"/>
      </tp>
      <tp>
        <v>-0.371</v>
        <stp/>
        <stp xml:space="preserve">
EUR1MDP3W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B18" s="202"/>
      </tp>
      <tp>
        <v>-0.374</v>
        <stp/>
        <stp xml:space="preserve">
EUR1MSW3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B21" s="202"/>
      </tp>
      <tp>
        <v>6.9000000000000006E-2</v>
        <stp/>
        <stp xml:space="preserve">
EUR1YSW3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B41" s="202"/>
      </tp>
      <tp>
        <v>-0.320088812</v>
        <stp/>
        <stp xml:space="preserve">
EUR3MDP2W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T15" s="202"/>
      </tp>
      <tp>
        <v>-0.32130000000000003</v>
        <stp/>
        <stp xml:space="preserve">
EUR3MDP1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17" s="202"/>
      </tp>
      <tp>
        <v>-0.22160000000000002</v>
        <stp/>
        <stp xml:space="preserve">
EUR6MDP4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H20" s="202"/>
      </tp>
      <tp>
        <v>0.36399999999999999</v>
        <stp/>
        <stp xml:space="preserve">
EUR6MSW7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36" s="202"/>
        <tr r="AI46" s="202"/>
      </tp>
      <tp>
        <v>-0.112612505</v>
        <stp/>
        <stp xml:space="preserve">
EUR1YDP3W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B16" s="202"/>
      </tp>
      <tp>
        <v>-0.34700000000000003</v>
        <stp/>
        <stp xml:space="preserve">
EUR1MSW2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B34" s="202"/>
      </tp>
      <tp>
        <v>0.13800000000000001</v>
        <stp/>
        <stp xml:space="preserve">
EUR6MSW5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34" s="202"/>
        <tr r="AH44" s="202"/>
      </tp>
      <tp>
        <v>-0.112605283</v>
        <stp/>
        <stp xml:space="preserve">
EUR1YDP2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B18" s="202"/>
      </tp>
      <tp>
        <v>-0.373</v>
        <stp/>
        <stp xml:space="preserve">
EUR1MDP1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C19" s="202"/>
      </tp>
      <tp>
        <v>-0.3125</v>
        <stp/>
        <stp xml:space="preserve">
EUR3MDP3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T19" s="202"/>
      </tp>
      <tp>
        <v>-0.21450000000000002</v>
        <stp/>
        <stp xml:space="preserve">
EUR6MDP6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I22" s="202"/>
      </tp>
      <tp>
        <v>-0.36910000000000004</v>
        <stp/>
        <stp xml:space="preserve">
EUR1MDP2W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B17" s="202"/>
      </tp>
      <tp>
        <v>-0.374</v>
        <stp/>
        <stp xml:space="preserve">
EUR1MSW2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B20" s="202"/>
      </tp>
      <tp>
        <v>-0.32085013500000004</v>
        <stp/>
        <stp xml:space="preserve">
EUR3MDP3W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T16" s="202"/>
      </tp>
      <tp>
        <v>-0.2177</v>
        <stp/>
        <stp xml:space="preserve">
EUR6MDP5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H21" s="202"/>
      </tp>
      <tp>
        <v>-0.185</v>
        <stp/>
        <stp xml:space="preserve">
EUR3MSW3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T38" s="202"/>
      </tp>
      <tp>
        <v>0.25</v>
        <stp/>
        <stp xml:space="preserve">
EUR6MSW6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35" s="202"/>
        <tr r="AI45" s="202"/>
      </tp>
      <tp>
        <v>-0.11261092</v>
        <stp/>
        <stp xml:space="preserve">
EUR1YDP1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C17" s="202"/>
      </tp>
      <tp>
        <v>-0.112613738</v>
        <stp/>
        <stp xml:space="preserve">
EUR1YDP2W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B15" s="202"/>
      </tp>
      <tp>
        <v>-0.185</v>
        <stp/>
        <stp xml:space="preserve">
EUR3MSW3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38" s="202"/>
      </tp>
      <tp>
        <v>0.25</v>
        <stp/>
        <stp xml:space="preserve">
EUR6MSW6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35" s="202"/>
        <tr r="AH45" s="202"/>
      </tp>
      <tp>
        <v>-0.112613738</v>
        <stp/>
        <stp xml:space="preserve">
EUR1YDP2W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C15" s="202"/>
      </tp>
      <tp>
        <v>-0.11261092</v>
        <stp/>
        <stp xml:space="preserve">
EUR1YDP1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B17" s="202"/>
      </tp>
      <tp>
        <v>-0.374</v>
        <stp/>
        <stp xml:space="preserve">
EUR1MSW2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C20" s="202"/>
      </tp>
      <tp>
        <v>-0.2177</v>
        <stp/>
        <stp xml:space="preserve">
EUR6MDP5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I21" s="202"/>
      </tp>
      <tp>
        <v>-0.32085013500000004</v>
        <stp/>
        <stp xml:space="preserve">
EUR3MDP3W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16" s="202"/>
      </tp>
      <tp>
        <v>-0.36910000000000004</v>
        <stp/>
        <stp xml:space="preserve">
EUR1MDP2W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C17" s="202"/>
      </tp>
      <tp>
        <v>-0.373</v>
        <stp/>
        <stp xml:space="preserve">
EUR1MDP1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B19" s="202"/>
      </tp>
      <tp>
        <v>-0.3125</v>
        <stp/>
        <stp xml:space="preserve">
EUR3MDP3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19" s="202"/>
      </tp>
      <tp>
        <v>-0.21450000000000002</v>
        <stp/>
        <stp xml:space="preserve">
EUR6MDP6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H22" s="202"/>
      </tp>
      <tp>
        <v>-0.34700000000000003</v>
        <stp/>
        <stp xml:space="preserve">
EUR1MSW2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C34" s="202"/>
      </tp>
      <tp>
        <v>0.13800000000000001</v>
        <stp/>
        <stp xml:space="preserve">
EUR6MSW5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34" s="202"/>
        <tr r="AI44" s="202"/>
      </tp>
      <tp>
        <v>-0.112605283</v>
        <stp/>
        <stp xml:space="preserve">
EUR1YDP2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C18" s="202"/>
      </tp>
      <tp>
        <v>0.36399999999999999</v>
        <stp/>
        <stp xml:space="preserve">
EUR6MSW7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36" s="202"/>
        <tr r="AH46" s="202"/>
      </tp>
      <tp>
        <v>-0.112612505</v>
        <stp/>
        <stp xml:space="preserve">
EUR1YDP3W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C16" s="202"/>
      </tp>
      <tp>
        <v>-0.374</v>
        <stp/>
        <stp xml:space="preserve">
EUR1MSW3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C21" s="202"/>
      </tp>
      <tp>
        <v>6.9000000000000006E-2</v>
        <stp/>
        <stp xml:space="preserve">
EUR1YSW3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C41" s="202"/>
      </tp>
      <tp>
        <v>-0.32130000000000003</v>
        <stp/>
        <stp xml:space="preserve">
EUR3MDP1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T17" s="202"/>
      </tp>
      <tp>
        <v>-0.22160000000000002</v>
        <stp/>
        <stp xml:space="preserve">
EUR6MDP4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I20" s="202"/>
      </tp>
      <tp>
        <v>-0.320088812</v>
        <stp/>
        <stp xml:space="preserve">
EUR3MDP2W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15" s="202"/>
      </tp>
      <tp>
        <v>-0.371</v>
        <stp/>
        <stp xml:space="preserve">
EUR1MDP3W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C18" s="202"/>
      </tp>
      <tp>
        <v>-0.31609999999999999</v>
        <stp/>
        <stp xml:space="preserve">
EUR3MDP2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18" s="202"/>
      </tp>
      <tp>
        <v>-0.28800000000000003</v>
        <stp/>
        <stp xml:space="preserve">
EUR1MSW3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C38" s="202"/>
      </tp>
      <tp>
        <v>3.2000000000000001E-2</v>
        <stp/>
        <stp xml:space="preserve">
EUR6MSW4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33" s="202"/>
        <tr r="AI43" s="202"/>
      </tp>
      <tp>
        <v>-0.11260000000000001</v>
        <stp/>
        <stp xml:space="preserve">
EUR1YDP3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C19" s="202"/>
      </tp>
    </main>
    <main first="pldatasource.rtgetrtdserver">
      <tp>
        <v>2.737590602</v>
        <stp/>
        <stp>_x0011_USD_CURVE_12M_19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48" s="70"/>
      </tp>
      <tp>
        <v>2.766997398</v>
        <stp/>
        <stp>_x0011_USD_CURVE_12M_29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58" s="70"/>
      </tp>
      <tp>
        <v>0.73760049599999999</v>
        <stp/>
        <stp>_x0019_USD_CURVE_DEP1M_#20170621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X25" s="70"/>
      </tp>
      <tp>
        <v>0.97192101200000003</v>
        <stp/>
        <stp>_x0019_USD_CURVE_DEP3M_#20170621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F25" s="70"/>
      </tp>
      <tp>
        <v>1.279825448</v>
        <stp/>
        <stp>_x0019_USD_CURVE_DEP6M_#20170621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O25" s="70"/>
      </tp>
      <tp>
        <v>2.7263245130000002</v>
        <stp/>
        <stp>_x0011_USD_CURVE_12M_18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47" s="70"/>
      </tp>
      <tp>
        <v>2.7670685370000001</v>
        <stp/>
        <stp>_x0011_USD_CURVE_12M_28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57" s="70"/>
      </tp>
    </main>
    <main first="pldatasource.rtgetrtdserver">
      <tp>
        <v>-0.19096774200000002</v>
        <stp/>
        <stp xml:space="preserve">
EURXSTUB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25" s="202"/>
      </tp>
      <tp>
        <v>1.3186405430000001</v>
        <stp/>
        <stp xml:space="preserve">
USDXSTUB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25" s="70"/>
      </tp>
      <tp>
        <v>2.4648802830000003</v>
        <stp/>
        <stp>_x0010_USD_CURVE_12M_8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37" s="70"/>
      </tp>
      <tp>
        <v>2.512878035</v>
        <stp/>
        <stp>_x0010_USD_CURVE_12M_9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38" s="70"/>
      </tp>
      <tp>
        <v>2.3315723699999999</v>
        <stp/>
        <stp>_x0010_USD_CURVE_12M_6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35" s="70"/>
      </tp>
      <tp>
        <v>2.405114368</v>
        <stp/>
        <stp>_x0010_USD_CURVE_12M_7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36" s="70"/>
      </tp>
      <tp>
        <v>2.1032392290000002</v>
        <stp/>
        <stp>_x0010_USD_CURVE_12M_4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33" s="70"/>
      </tp>
      <tp>
        <v>2.2306958910000003</v>
        <stp/>
        <stp>_x0010_USD_CURVE_12M_5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34" s="70"/>
      </tp>
      <tp>
        <v>1.9537483160000002</v>
        <stp/>
        <stp>_x0010_USD_CURVE_12M_3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32" s="70"/>
      </tp>
    </main>
    <main first="pldatasource.rtgetrtdserver">
      <tp>
        <v>98.098105323000013</v>
        <stp/>
        <stp>_x0012_USD_CURVE_FUT6M_U8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O31" s="70"/>
      </tp>
      <tp>
        <v>98.341219232</v>
        <stp/>
        <stp>_x0012_USD_CURVE_FUT3M_U8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F31" s="70"/>
      </tp>
      <tp>
        <v>98.527713149000007</v>
        <stp/>
        <stp>_x0012_USD_CURVE_FUT1M_U8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X31" s="70"/>
      </tp>
      <tp>
        <v>98.972992927000007</v>
        <stp/>
        <stp>_x0012_USD_CURVE_FUT1M_U7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X27" s="70"/>
      </tp>
      <tp>
        <v>98.764846634000008</v>
        <stp/>
        <stp>_x0012_USD_CURVE_FUT3M_U7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F27" s="70"/>
      </tp>
      <tp>
        <v>98.500482147</v>
        <stp/>
        <stp>_x0012_USD_CURVE_FUT6M_U7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O27" s="70"/>
      </tp>
      <tp>
        <v>100.185</v>
        <stp/>
        <stp>_x0012_EUR_CURVE_FUT3M_M8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30" s="202"/>
      </tp>
      <tp>
        <v>100.27500000000001</v>
        <stp/>
        <stp>_x0012_EUR_CURVE_FUT3M_M7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26" s="202"/>
      </tp>
      <tp>
        <v>98.858736085000004</v>
        <stp/>
        <stp>_x0012_USD_CURVE_FUT1M_Z7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X28" s="70"/>
      </tp>
      <tp>
        <v>98.646074662000004</v>
        <stp/>
        <stp>_x0012_USD_CURVE_FUT3M_Z7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F28" s="70"/>
      </tp>
      <tp>
        <v>98.417139892000009</v>
        <stp/>
        <stp>_x0012_USD_CURVE_FUT6M_Z7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O28" s="70"/>
      </tp>
      <tp>
        <v>100.215</v>
        <stp/>
        <stp>_x0012_EUR_CURVE_FUT3M_H8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29" s="202"/>
      </tp>
      <tp>
        <v>100.15</v>
        <stp/>
        <stp>_x0012_EUR_CURVE_FUT3M_U8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31" s="202"/>
      </tp>
      <tp>
        <v>100.26</v>
        <stp/>
        <stp>_x0012_EUR_CURVE_FUT3M_U7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27" s="202"/>
      </tp>
      <tp>
        <v>98.212381155000003</v>
        <stp/>
        <stp>_x0012_USD_CURVE_FUT6M_M8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O30" s="70"/>
      </tp>
      <tp>
        <v>98.444296187000006</v>
        <stp/>
        <stp>_x0012_USD_CURVE_FUT3M_M8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F30" s="70"/>
      </tp>
      <tp>
        <v>98.634315296000011</v>
        <stp/>
        <stp>_x0012_USD_CURVE_FUT1M_M8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X30" s="70"/>
      </tp>
      <tp>
        <v>99.081993083</v>
        <stp/>
        <stp>_x0012_USD_CURVE_FUT1M_M7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X26" s="70"/>
      </tp>
      <tp>
        <v>98.868857442000007</v>
        <stp/>
        <stp>_x0012_USD_CURVE_FUT3M_M7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F26" s="70"/>
      </tp>
      <tp>
        <v>98.619098180000009</v>
        <stp/>
        <stp>_x0012_USD_CURVE_FUT6M_M7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O26" s="70"/>
      </tp>
      <tp>
        <v>100.24000000000001</v>
        <stp/>
        <stp>_x0012_EUR_CURVE_FUT3M_Z7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28" s="202"/>
      </tp>
      <tp>
        <v>98.310588285000009</v>
        <stp/>
        <stp>_x0012_USD_CURVE_FUT6M_H8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O29" s="70"/>
      </tp>
      <tp>
        <v>98.547580974000013</v>
        <stp/>
        <stp>_x0012_USD_CURVE_FUT3M_H8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F29" s="70"/>
      </tp>
      <tp>
        <v>98.744439031000013</v>
        <stp/>
        <stp>_x0012_USD_CURVE_FUT1M_H8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X29" s="70"/>
      </tp>
    </main>
    <main first="pldatasource.rtgetrtdserver">
      <tp>
        <v>98.619098180000009</v>
        <stp/>
        <stp>_x0012_USD_CURVE_FUT6M_M7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P26" s="70"/>
      </tp>
      <tp>
        <v>98.868857442000007</v>
        <stp/>
        <stp>_x0012_USD_CURVE_FUT3M_M7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G26" s="70"/>
      </tp>
      <tp>
        <v>99.081993083</v>
        <stp/>
        <stp>_x0012_USD_CURVE_FUT1M_M7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Y26" s="70"/>
      </tp>
      <tp>
        <v>98.634315296000011</v>
        <stp/>
        <stp>_x0012_USD_CURVE_FUT1M_M8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Y30" s="70"/>
      </tp>
      <tp>
        <v>98.444296187000006</v>
        <stp/>
        <stp>_x0012_USD_CURVE_FUT3M_M8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G30" s="70"/>
      </tp>
      <tp>
        <v>98.212381155000003</v>
        <stp/>
        <stp>_x0012_USD_CURVE_FUT6M_M8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P30" s="70"/>
      </tp>
      <tp>
        <v>98.744439031000013</v>
        <stp/>
        <stp>_x0012_USD_CURVE_FUT1M_H8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Y29" s="70"/>
      </tp>
      <tp>
        <v>98.547580974000013</v>
        <stp/>
        <stp>_x0012_USD_CURVE_FUT3M_H8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G29" s="70"/>
      </tp>
      <tp>
        <v>98.310588285000009</v>
        <stp/>
        <stp>_x0012_USD_CURVE_FUT6M_H8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P29" s="70"/>
      </tp>
      <tp>
        <v>100.245</v>
        <stp/>
        <stp>_x0012_EUR_CURVE_FUT3M_Z7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28" s="202"/>
      </tp>
      <tp>
        <v>100.265</v>
        <stp/>
        <stp>_x0012_EUR_CURVE_FUT3M_U7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27" s="202"/>
      </tp>
      <tp>
        <v>100.155</v>
        <stp/>
        <stp>_x0012_EUR_CURVE_FUT3M_U8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31" s="202"/>
      </tp>
      <tp>
        <v>100.28</v>
        <stp/>
        <stp>_x0012_EUR_CURVE_FUT3M_M7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26" s="202"/>
      </tp>
      <tp>
        <v>100.19</v>
        <stp/>
        <stp>_x0012_EUR_CURVE_FUT3M_M8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30" s="202"/>
      </tp>
      <tp>
        <v>100.22</v>
        <stp/>
        <stp>_x0012_EUR_CURVE_FUT3M_H8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29" s="202"/>
      </tp>
      <tp>
        <v>98.417139892000009</v>
        <stp/>
        <stp>_x0012_USD_CURVE_FUT6M_Z7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P28" s="70"/>
      </tp>
      <tp>
        <v>98.646074662000004</v>
        <stp/>
        <stp>_x0012_USD_CURVE_FUT3M_Z7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G28" s="70"/>
      </tp>
      <tp>
        <v>98.858736085000004</v>
        <stp/>
        <stp>_x0012_USD_CURVE_FUT1M_Z7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Y28" s="70"/>
      </tp>
      <tp>
        <v>98.500482147</v>
        <stp/>
        <stp>_x0012_USD_CURVE_FUT6M_U7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P27" s="70"/>
      </tp>
      <tp>
        <v>98.764846634000008</v>
        <stp/>
        <stp>_x0012_USD_CURVE_FUT3M_U7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G27" s="70"/>
      </tp>
      <tp>
        <v>98.972992927000007</v>
        <stp/>
        <stp>_x0012_USD_CURVE_FUT1M_U7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Y27" s="70"/>
      </tp>
      <tp>
        <v>98.527713149000007</v>
        <stp/>
        <stp>_x0012_USD_CURVE_FUT1M_U8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Y31" s="70"/>
      </tp>
      <tp>
        <v>98.341219232</v>
        <stp/>
        <stp>_x0012_USD_CURVE_FUT3M_U8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G31" s="70"/>
      </tp>
      <tp>
        <v>98.098105323000013</v>
        <stp/>
        <stp>_x0012_USD_CURVE_FUT6M_U8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P31" s="70"/>
      </tp>
    </main>
    <main first="pldatasource.rtgetrtdserver">
      <tp>
        <v>1.3386405430000001</v>
        <stp/>
        <stp xml:space="preserve">
USDXSTUB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H25" s="70"/>
      </tp>
      <tp>
        <v>-0.17096774200000001</v>
        <stp/>
        <stp xml:space="preserve">
EURXSTUB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25" s="202"/>
      </tp>
      <tp>
        <v>2.6394364850000001</v>
        <stp/>
        <stp>_x0011_USD_CURVE_12M_13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42" s="70"/>
      </tp>
      <tp>
        <v>2.76285121</v>
        <stp/>
        <stp>_x0011_USD_CURVE_12M_23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52" s="70"/>
      </tp>
    </main>
    <main first="pldatasource.rtgetrtdserver">
      <tp>
        <v>2.6160828860000001</v>
        <stp/>
        <stp>_x0011_USD_CURVE_12M_12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41" s="70"/>
      </tp>
      <tp>
        <v>2.7593226280000001</v>
        <stp/>
        <stp>_x0011_USD_CURVE_12M_22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51" s="70"/>
      </tp>
    </main>
    <main first="pldatasource.rtgetrtdserver">
      <tp>
        <v>1.3790676860000002</v>
        <stp/>
        <stp>_x001A_USD_CURVE_DEP12M_#20170621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P25" s="70"/>
      </tp>
      <tp>
        <v>2.5873721460000003</v>
        <stp/>
        <stp>_x0011_USD_CURVE_12M_11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40" s="70"/>
      </tp>
      <tp>
        <v>2.7542639040000001</v>
        <stp/>
        <stp>_x0011_USD_CURVE_12M_21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50" s="70"/>
      </tp>
    </main>
    <main first="pldatasource.rtgetrtdserver">
      <tp>
        <v>1.3790676860000002</v>
        <stp/>
        <stp>_x001A_USD_CURVE_DEP12M_#20170621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25" s="70"/>
      </tp>
      <tp>
        <v>2.5521074480000001</v>
        <stp/>
        <stp>_x0011_USD_CURVE_12M_10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39" s="70"/>
      </tp>
      <tp>
        <v>2.7472867050000001</v>
        <stp/>
        <stp>_x0011_USD_CURVE_12M_20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49" s="70"/>
      </tp>
      <tp>
        <v>2.7669480010000003</v>
        <stp/>
        <stp>_x0011_USD_CURVE_12M_30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59" s="70"/>
      </tp>
      <tp>
        <v>2.7691332970000002</v>
        <stp/>
        <stp>_x0011_USD_CURVE_12M_40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60" s="70"/>
      </tp>
      <tp>
        <v>2.767116025</v>
        <stp/>
        <stp>_x0011_USD_CURVE_12M_50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61" s="70"/>
      </tp>
      <tp>
        <v>2.76569391</v>
        <stp/>
        <stp>_x0011_USD_CURVE_12M_60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62" s="70"/>
      </tp>
    </main>
    <main first="pldatasource.rtgetrtdserver">
      <tp>
        <v>2.1032392290000002</v>
        <stp/>
        <stp>_x0010_USD_CURVE_12M_4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P33" s="70"/>
      </tp>
      <tp>
        <v>2.2306958910000003</v>
        <stp/>
        <stp>_x0010_USD_CURVE_12M_5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P34" s="70"/>
      </tp>
      <tp>
        <v>2.3315723699999999</v>
        <stp/>
        <stp>_x0010_USD_CURVE_12M_6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P35" s="70"/>
      </tp>
      <tp>
        <v>2.405114368</v>
        <stp/>
        <stp>_x0010_USD_CURVE_12M_7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P36" s="70"/>
      </tp>
      <tp>
        <v>1.9537483160000002</v>
        <stp/>
        <stp>_x0010_USD_CURVE_12M_3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P32" s="70"/>
      </tp>
      <tp>
        <v>2.4648802830000003</v>
        <stp/>
        <stp>_x0010_USD_CURVE_12M_8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P37" s="70"/>
      </tp>
      <tp>
        <v>2.512878035</v>
        <stp/>
        <stp>_x0010_USD_CURVE_12M_9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P38" s="70"/>
      </tp>
      <tp>
        <v>2.7126230860000002</v>
        <stp/>
        <stp>_x0011_USD_CURVE_12M_17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46" s="70"/>
      </tp>
      <tp>
        <v>2.7671544250000002</v>
        <stp/>
        <stp>_x0011_USD_CURVE_12M_27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56" s="70"/>
      </tp>
      <tp>
        <v>2.6970000360000004</v>
        <stp/>
        <stp>_x0011_USD_CURVE_12M_16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45" s="70"/>
      </tp>
      <tp>
        <v>2.7670431870000001</v>
        <stp/>
        <stp>_x0011_USD_CURVE_12M_26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55" s="70"/>
      </tp>
    </main>
    <main first="pldatasource.rtgetrtdserver">
      <tp>
        <v>2.679785452</v>
        <stp/>
        <stp>_x0011_USD_CURVE_12M_15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44" s="70"/>
      </tp>
      <tp>
        <v>2.766462309</v>
        <stp/>
        <stp>_x0011_USD_CURVE_12M_25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54" s="70"/>
      </tp>
    </main>
    <main first="pldatasource.rdatartdserver">
      <tp t="s">
        <v>Updated at 12:31:06</v>
        <stp/>
        <stp>{0A73D337-0404-4F77-86E5-E29D76EDBFA4}</stp>
        <tr r="C5" s="202"/>
      </tp>
    </main>
    <main first="pldatasource.rtgetrtdserver">
      <tp>
        <v>2.6608855170000001</v>
        <stp/>
        <stp>_x0011_USD_CURVE_12M_14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43" s="70"/>
      </tp>
      <tp>
        <v>2.7649162220000001</v>
        <stp/>
        <stp>_x0011_USD_CURVE_12M_24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53" s="70"/>
      </tp>
    </main>
    <main first="pldatasource.rtgetrtdserver">
      <tp>
        <v>0.67900000000000005</v>
        <stp/>
        <stp>_x0011_USD_CURVE_OIS_10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Z28" s="70"/>
      </tp>
      <tp>
        <v>2.0563259359999999</v>
        <stp/>
        <stp>_x0011_USD_CURVE_OIS_60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Z50" s="70"/>
      </tp>
      <tp>
        <v>2.0790000000000002</v>
        <stp/>
        <stp>_x0011_USD_CURVE_OIS_40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Z48" s="70"/>
      </tp>
      <tp>
        <v>2.0670000000000002</v>
        <stp/>
        <stp>_x0011_USD_CURVE_OIS_50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Z49" s="70"/>
      </tp>
      <tp>
        <v>2.036</v>
        <stp/>
        <stp>_x0011_USD_CURVE_OIS_20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Z45" s="70"/>
      </tp>
      <tp>
        <v>2.0750000000000002</v>
        <stp/>
        <stp>_x0011_USD_CURVE_OIS_30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Z47" s="70"/>
      </tp>
      <tp>
        <v>1.794</v>
        <stp/>
        <stp>_x0011_USD_CURVE_OIS_10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Z42" s="70"/>
      </tp>
    </main>
    <main first="pldatasource.rtgetrtdserver">
      <tp>
        <v>1.68</v>
        <stp/>
        <stp>_x0010_USD_CURVE_OIS_8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Y40" s="70"/>
      </tp>
      <tp>
        <v>1.7430000000000001</v>
        <stp/>
        <stp>_x0010_USD_CURVE_OIS_9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Y41" s="70"/>
      </tp>
      <tp>
        <v>0.92100000000000004</v>
        <stp/>
        <stp>_x0010_USD_CURVE_OIS_2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Y34" s="70"/>
      </tp>
      <tp>
        <v>1.113</v>
        <stp/>
        <stp>_x0010_USD_CURVE_OIS_3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Y35" s="70"/>
      </tp>
      <tp>
        <v>0.71499999999999997</v>
        <stp/>
        <stp>_x0010_USD_CURVE_OIS_1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Y30" s="70"/>
      </tp>
      <tp>
        <v>1.514</v>
        <stp/>
        <stp>_x0010_USD_CURVE_OIS_6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Y38" s="70"/>
      </tp>
      <tp>
        <v>1.605</v>
        <stp/>
        <stp>_x0010_USD_CURVE_OIS_7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Y39" s="70"/>
      </tp>
      <tp>
        <v>1.2710000000000001</v>
        <stp/>
        <stp>_x0010_USD_CURVE_OIS_4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Y36" s="70"/>
      </tp>
      <tp>
        <v>1.4020000000000001</v>
        <stp/>
        <stp>_x0010_USD_CURVE_OIS_5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Y37" s="70"/>
      </tp>
      <tp>
        <v>0.86899999999999999</v>
        <stp/>
        <stp>_x0011_USD_CURVE_OIS_21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Z33" s="70"/>
      </tp>
      <tp>
        <v>0.69800000000000006</v>
        <stp/>
        <stp>_x0011_USD_CURVE_OIS_11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Z29" s="70"/>
      </tp>
    </main>
    <main first="pldatasource.rdatartdserver">
      <tp t="s">
        <v>Updated at 12:31:30</v>
        <stp/>
        <stp>{59BD83AC-36F3-4800-A7DF-19090023F460}</stp>
        <tr r="C5" s="70"/>
      </tp>
    </main>
    <main first="pldatasource.rtgetrtdserver">
      <tp>
        <v>0.43057680800000003</v>
        <stp/>
        <stp>_x0010_USD_CURVE_OIS_1W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Z16" s="70"/>
      </tp>
      <tp>
        <v>0.43418442800000001</v>
        <stp/>
        <stp>_x0010_USD_CURVE_OIS_2W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Z17" s="70"/>
      </tp>
      <tp>
        <v>0.442736615</v>
        <stp/>
        <stp>_x0010_USD_CURVE_OIS_3W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Z18" s="70"/>
      </tp>
      <tp>
        <v>1.877</v>
        <stp/>
        <stp>_x0011_USD_CURVE_OIS_12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Z43" s="70"/>
      </tp>
    </main>
    <main first="pldatasource.rtgetrtdserver">
      <tp>
        <v>112.05</v>
        <stp/>
        <stp>_x0006_FGBSZ6_x0003_bid_x000E_IDN_SELECTFEED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E41" s="202"/>
        <tr r="E43" s="202"/>
      </tp>
      <tp>
        <v>131.94</v>
        <stp/>
        <stp>_x0006_FBTPH7_x0003_ask_x000E_IDN_SELECTFEED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51" s="202"/>
      </tp>
      <tp>
        <v>111.98</v>
        <stp/>
        <stp>_x0006_FGBSH7_x0003_bid_x000E_IDN_SELECTFEED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E52" s="202"/>
        <tr r="E50" s="202"/>
      </tp>
      <tp>
        <v>133.89000000000001</v>
        <stp/>
        <stp>_x0006_FBTPZ6_x0003_ask_x000E_IDN_SELECTFEED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42" s="202"/>
      </tp>
      <tp>
        <v>2.5920845080000001</v>
        <stp/>
        <stp>_x0010_USD_CURVE_6M_30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O59" s="70"/>
      </tp>
      <tp>
        <v>2.306651886</v>
        <stp/>
        <stp>_x0010_USD_CURVE_1M_30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X59" s="70"/>
      </tp>
      <tp>
        <v>2.4318406889999999</v>
        <stp/>
        <stp>_x0010_USD_CURVE_3M_30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F59" s="70"/>
        <tr r="AG59" s="70"/>
      </tp>
      <tp>
        <v>2.2991290599999998</v>
        <stp/>
        <stp>_x0010_USD_CURVE_1M_24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X53" s="70"/>
      </tp>
      <tp>
        <v>2.423566084</v>
        <stp/>
        <stp>_x0010_USD_CURVE_3M_26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F55" s="70"/>
        <tr r="AG55" s="70"/>
      </tp>
      <tp>
        <v>2.5749941299999999</v>
        <stp/>
        <stp>_x0010_USD_CURVE_6M_23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O52" s="70"/>
      </tp>
      <tp>
        <v>2.3018724390000003</v>
        <stp/>
        <stp>_x0010_USD_CURVE_1M_25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X54" s="70"/>
      </tp>
      <tp>
        <v>2.4264410940000003</v>
        <stp/>
        <stp>_x0010_USD_CURVE_3M_27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F56" s="70"/>
        <tr r="AG56" s="70"/>
      </tp>
      <tp>
        <v>2.5692007110000001</v>
        <stp/>
        <stp>_x0010_USD_CURVE_6M_22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O51" s="70"/>
      </tp>
      <tp>
        <v>2.303686006</v>
        <stp/>
        <stp>_x0010_USD_CURVE_1M_26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X55" s="70"/>
      </tp>
      <tp>
        <v>2.415482232</v>
        <stp/>
        <stp>_x0010_USD_CURVE_3M_24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53" s="70"/>
        <tr r="BF53" s="70"/>
      </tp>
      <tp>
        <v>2.562055473</v>
        <stp/>
        <stp>_x0010_USD_CURVE_6M_21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O50" s="70"/>
      </tp>
      <tp>
        <v>2.3049177370000002</v>
        <stp/>
        <stp>_x0010_USD_CURVE_1M_27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X56" s="70"/>
      </tp>
      <tp>
        <v>2.4199999890000004</v>
        <stp/>
        <stp>_x0010_USD_CURVE_3M_25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F54" s="70"/>
        <tr r="AG54" s="70"/>
      </tp>
      <tp>
        <v>2.5532863020000001</v>
        <stp/>
        <stp>_x0010_USD_CURVE_6M_20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O49" s="70"/>
      </tp>
      <tp>
        <v>2.2779721099999999</v>
        <stp/>
        <stp>_x0010_USD_CURVE_1M_20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X49" s="70"/>
      </tp>
      <tp>
        <v>2.4040574710000002</v>
        <stp/>
        <stp>_x0010_USD_CURVE_3M_22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51" s="70"/>
        <tr r="BF51" s="70"/>
      </tp>
      <tp>
        <v>2.5882594650000001</v>
        <stp/>
        <stp>_x0010_USD_CURVE_6M_27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O56" s="70"/>
      </tp>
      <tp>
        <v>2.285419101</v>
        <stp/>
        <stp>_x0010_USD_CURVE_1M_21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X50" s="70"/>
      </tp>
      <tp>
        <v>2.410427774</v>
        <stp/>
        <stp>_x0010_USD_CURVE_3M_23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52" s="70"/>
        <tr r="BF52" s="70"/>
      </tp>
      <tp>
        <v>2.5861105390000003</v>
        <stp/>
        <stp>_x0010_USD_CURVE_6M_26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O55" s="70"/>
      </tp>
      <tp>
        <v>2.2912846259999999</v>
        <stp/>
        <stp>_x0010_USD_CURVE_1M_22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X51" s="70"/>
      </tp>
      <tp>
        <v>2.3869999900000001</v>
        <stp/>
        <stp>_x0010_USD_CURVE_3M_20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49" s="70"/>
        <tr r="BF49" s="70"/>
      </tp>
      <tp>
        <v>2.5832782949999999</v>
        <stp/>
        <stp>_x0010_USD_CURVE_6M_25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O54" s="70"/>
      </tp>
      <tp>
        <v>2.2958488960000003</v>
        <stp/>
        <stp>_x0010_USD_CURVE_1M_23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X52" s="70"/>
      </tp>
      <tp>
        <v>2.3963493740000001</v>
        <stp/>
        <stp>_x0010_USD_CURVE_3M_21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F50" s="70"/>
        <tr r="AG50" s="70"/>
      </tp>
      <tp>
        <v>2.5794188670000002</v>
        <stp/>
        <stp>_x0010_USD_CURVE_6M_24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O53" s="70"/>
      </tp>
      <tp>
        <v>2.5912112070000002</v>
        <stp/>
        <stp>_x0010_USD_CURVE_6M_29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O58" s="70"/>
      </tp>
      <tp>
        <v>2.5899188319999999</v>
        <stp/>
        <stp>_x0010_USD_CURVE_6M_28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O57" s="70"/>
      </tp>
      <tp>
        <v>2.3057596550000001</v>
        <stp/>
        <stp>_x0010_USD_CURVE_1M_28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X57" s="70"/>
      </tp>
      <tp>
        <v>2.3063465519999999</v>
        <stp/>
        <stp>_x0010_USD_CURVE_1M_29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X58" s="70"/>
      </tp>
      <tp>
        <v>2.4287602170000002</v>
        <stp/>
        <stp>_x0010_USD_CURVE_3M_28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57" s="70"/>
        <tr r="BF57" s="70"/>
      </tp>
      <tp>
        <v>2.4305894350000004</v>
        <stp/>
        <stp>_x0010_USD_CURVE_3M_29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58" s="70"/>
        <tr r="BF58" s="70"/>
      </tp>
      <tp>
        <v>2.178230814</v>
        <stp/>
        <stp>_x0010_USD_CURVE_1M_14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X43" s="70"/>
      </tp>
      <tp>
        <v>2.3279873090000001</v>
        <stp/>
        <stp>_x0010_USD_CURVE_3M_16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F45" s="70"/>
        <tr r="AG45" s="70"/>
      </tp>
      <tp>
        <v>2.4270254440000003</v>
        <stp/>
        <stp>_x0010_USD_CURVE_6M_13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O42" s="70"/>
      </tp>
      <tp>
        <v>2.20406295</v>
        <stp/>
        <stp>_x0010_USD_CURVE_1M_15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X44" s="70"/>
      </tp>
      <tp>
        <v>2.3462836610000002</v>
        <stp/>
        <stp>_x0010_USD_CURVE_3M_17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46" s="70"/>
        <tr r="BF46" s="70"/>
      </tp>
      <tp>
        <v>2.3962530010000003</v>
        <stp/>
        <stp>_x0010_USD_CURVE_6M_12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O41" s="70"/>
      </tp>
      <tp>
        <v>2.2251823760000002</v>
        <stp/>
        <stp>_x0010_USD_CURVE_1M_16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X45" s="70"/>
      </tp>
      <tp>
        <v>2.282687234</v>
        <stp/>
        <stp>_x0010_USD_CURVE_3M_14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43" s="70"/>
        <tr r="BF43" s="70"/>
      </tp>
      <tp>
        <v>2.3592859170000002</v>
        <stp/>
        <stp>_x0010_USD_CURVE_6M_11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O40" s="70"/>
      </tp>
      <tp>
        <v>2.2425970799999999</v>
        <stp/>
        <stp>_x0010_USD_CURVE_1M_17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X46" s="70"/>
      </tp>
      <tp>
        <v>2.3069999920000002</v>
        <stp/>
        <stp>_x0010_USD_CURVE_3M_15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44" s="70"/>
        <tr r="BF44" s="70"/>
      </tp>
      <tp>
        <v>2.3162302660000003</v>
        <stp/>
        <stp>_x0010_USD_CURVE_6M_10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O39" s="70"/>
      </tp>
      <tp>
        <v>2.0179921420000002</v>
        <stp/>
        <stp>_x0010_USD_CURVE_1M_10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X39" s="70"/>
      </tp>
      <tp>
        <v>2.2219999960000001</v>
        <stp/>
        <stp>_x0010_USD_CURVE_3M_12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F41" s="70"/>
        <tr r="AG41" s="70"/>
      </tp>
      <tp>
        <v>2.51468055</v>
        <stp/>
        <stp>_x0010_USD_CURVE_6M_17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O46" s="70"/>
      </tp>
      <tp>
        <v>2.0679774900000001</v>
        <stp/>
        <stp>_x0010_USD_CURVE_1M_11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X40" s="70"/>
      </tp>
      <tp>
        <v>2.2543114989999999</v>
        <stp/>
        <stp>_x0010_USD_CURVE_3M_13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F42" s="70"/>
        <tr r="AG42" s="70"/>
      </tp>
      <tp>
        <v>2.4972618300000002</v>
        <stp/>
        <stp>_x0010_USD_CURVE_6M_16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O45" s="70"/>
      </tp>
      <tp>
        <v>2.1110286600000001</v>
        <stp/>
        <stp>_x0010_USD_CURVE_1M_12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X41" s="70"/>
      </tp>
      <tp>
        <v>2.1379999949999999</v>
        <stp/>
        <stp>_x0010_USD_CURVE_3M_10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39" s="70"/>
        <tr r="BF39" s="70"/>
      </tp>
      <tp>
        <v>2.477272481</v>
        <stp/>
        <stp>_x0010_USD_CURVE_6M_15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O44" s="70"/>
      </tp>
      <tp>
        <v>2.1470911999999998</v>
        <stp/>
        <stp>_x0010_USD_CURVE_1M_13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X42" s="70"/>
      </tp>
      <tp>
        <v>2.183271768</v>
        <stp/>
        <stp>_x0010_USD_CURVE_3M_11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40" s="70"/>
        <tr r="BF40" s="70"/>
      </tp>
      <tp>
        <v>2.4541139570000001</v>
        <stp/>
        <stp>_x0010_USD_CURVE_6M_14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O43" s="70"/>
      </tp>
      <tp>
        <v>2.542189751</v>
        <stp/>
        <stp>_x0010_USD_CURVE_6M_19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O48" s="70"/>
      </tp>
      <tp>
        <v>2.5296913760000002</v>
        <stp/>
        <stp>_x0010_USD_CURVE_6M_18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O47" s="70"/>
      </tp>
      <tp>
        <v>2.2568712660000001</v>
        <stp/>
        <stp>_x0010_USD_CURVE_1M_18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X47" s="70"/>
      </tp>
      <tp>
        <v>2.2682461190000001</v>
        <stp/>
        <stp>_x0010_USD_CURVE_1M_19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X48" s="70"/>
      </tp>
      <tp>
        <v>2.3620728570000002</v>
        <stp/>
        <stp>_x0010_USD_CURVE_3M_18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47" s="70"/>
        <tr r="BF47" s="70"/>
      </tp>
      <tp>
        <v>2.3752876840000003</v>
        <stp/>
        <stp>_x0010_USD_CURVE_3M_19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F48" s="70"/>
        <tr r="AG48" s="70"/>
      </tp>
      <tp>
        <v>2.5908363970000003</v>
        <stp/>
        <stp>_x0010_USD_CURVE_6M_60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O62" s="70"/>
      </tp>
      <tp>
        <v>2.3048958880000003</v>
        <stp/>
        <stp>_x0010_USD_CURVE_1M_60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X62" s="70"/>
      </tp>
      <tp>
        <v>2.4305924030000003</v>
        <stp/>
        <stp>_x0010_USD_CURVE_3M_60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F62" s="70"/>
        <tr r="AG62" s="70"/>
      </tp>
      <tp>
        <v>2.5922509499999999</v>
        <stp/>
        <stp>_x0010_USD_CURVE_6M_50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O61" s="70"/>
      </tp>
      <tp>
        <v>2.3068078130000003</v>
        <stp/>
        <stp>_x0010_USD_CURVE_1M_50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X61" s="70"/>
      </tp>
      <tp>
        <v>2.4319999890000004</v>
        <stp/>
        <stp>_x0010_USD_CURVE_3M_50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61" s="70"/>
        <tr r="BF61" s="70"/>
      </tp>
      <tp>
        <v>2.594259241</v>
        <stp/>
        <stp>_x0010_USD_CURVE_6M_40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O60" s="70"/>
      </tp>
      <tp>
        <v>2.3088000860000002</v>
        <stp/>
        <stp>_x0010_USD_CURVE_1M_40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X60" s="70"/>
      </tp>
      <tp>
        <v>2.4339999900000002</v>
        <stp/>
        <stp>_x0010_USD_CURVE_3M_40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F60" s="70"/>
        <tr r="AG60" s="70"/>
      </tp>
      <tp>
        <v>0.76700000000000002</v>
        <stp/>
        <stp>_x0011_USD_CURVE_OIS_15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Z31" s="70"/>
      </tp>
      <tp>
        <v>2.0659999999999998</v>
        <stp/>
        <stp>_x0011_USD_CURVE_OIS_25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Z46" s="70"/>
      </tp>
      <tp>
        <v>1.9590000000000001</v>
        <stp/>
        <stp>_x0011_USD_CURVE_OIS_15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Z44" s="70"/>
      </tp>
    </main>
    <main first="pldatasource.rtgetrtdserver">
      <tp>
        <v>133.88</v>
        <stp/>
        <stp>_x0006_FBTPZ6_x0003_bid_x000E_IDN_SELECTFEED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E42" s="202"/>
      </tp>
      <tp>
        <v>111.99000000000001</v>
        <stp/>
        <stp>_x0006_FGBSH7_x0003_ask_x000E_IDN_SELECTFEED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50" s="202"/>
        <tr r="F52" s="202"/>
      </tp>
      <tp>
        <v>131.92000000000002</v>
        <stp/>
        <stp>_x0006_FBTPH7_x0003_bid_x000E_IDN_SELECTFEED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E51" s="202"/>
      </tp>
      <tp>
        <v>112.05500000000001</v>
        <stp/>
        <stp>_x0006_FGBSZ6_x0003_ask_x000E_IDN_SELECTFEED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43" s="202"/>
        <tr r="F41" s="202"/>
      </tp>
    </main>
    <main first="pldatasource.rtgetrtdserver">
      <tp>
        <v>0.81800000000000006</v>
        <stp/>
        <stp>_x0011_USD_CURVE_OIS_18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Z32" s="70"/>
      </tp>
      <tp>
        <v>-0.23560214500000001</v>
        <stp/>
        <stp xml:space="preserve">
EUR6MDPSN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I13" s="202"/>
      </tp>
      <tp>
        <v>-0.23559751900000001</v>
        <stp/>
        <stp xml:space="preserve">
EUR6MDPSW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I14" s="202"/>
      </tp>
      <tp>
        <v>100.24250000000001</v>
        <stp/>
        <stp xml:space="preserve">
EUR3MFUTZ7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32" s="202"/>
      </tp>
      <tp>
        <v>100.1075</v>
        <stp/>
        <stp xml:space="preserve">
EUR3MFUTZ8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36" s="202"/>
      </tp>
      <tp>
        <v>100.1525</v>
        <stp/>
        <stp xml:space="preserve">
EUR3MFUTU8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35" s="202"/>
      </tp>
      <tp>
        <v>100.2175</v>
        <stp/>
        <stp xml:space="preserve">
EUR3MFUTH8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33" s="202"/>
      </tp>
      <tp>
        <v>100.0625</v>
        <stp/>
        <stp xml:space="preserve">
EUR3MFUTH9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37" s="202"/>
      </tp>
      <tp>
        <v>100.187500001</v>
        <stp/>
        <stp xml:space="preserve">
EUR3MFUTM8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34" s="202"/>
      </tp>
      <tp>
        <v>100.0625</v>
        <stp/>
        <stp xml:space="preserve">
EUR3MFUTH9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T37" s="202"/>
      </tp>
      <tp>
        <v>100.2175</v>
        <stp/>
        <stp xml:space="preserve">
EUR3MFUTH8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T33" s="202"/>
      </tp>
      <tp>
        <v>100.187500001</v>
        <stp/>
        <stp xml:space="preserve">
EUR3MFUTM8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T34" s="202"/>
      </tp>
      <tp>
        <v>100.1525</v>
        <stp/>
        <stp xml:space="preserve">
EUR3MFUTU8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T35" s="202"/>
      </tp>
      <tp>
        <v>100.1075</v>
        <stp/>
        <stp xml:space="preserve">
EUR3MFUTZ8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T36" s="202"/>
      </tp>
      <tp>
        <v>100.24250000000001</v>
        <stp/>
        <stp xml:space="preserve">
EUR3MFUTZ7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T32" s="202"/>
      </tp>
    </main>
    <main first="pldatasource.rtgetrtdserver">
      <tp>
        <v>-0.23559751900000001</v>
        <stp/>
        <stp xml:space="preserve">
EUR6MDPSW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H14" s="202"/>
      </tp>
      <tp>
        <v>-0.23560214500000001</v>
        <stp/>
        <stp xml:space="preserve">
EUR6MDPSN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H13" s="202"/>
      </tp>
      <tp>
        <v>2.542189751</v>
        <stp/>
        <stp>_x0010_USD_CURVE_6M_19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P48" s="70"/>
      </tp>
      <tp>
        <v>2.5296913760000002</v>
        <stp/>
        <stp>_x0010_USD_CURVE_6M_18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P47" s="70"/>
      </tp>
      <tp>
        <v>2.3620728570000002</v>
        <stp/>
        <stp>_x0010_USD_CURVE_3M_18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H47" s="70"/>
        <tr r="BG47" s="70"/>
      </tp>
      <tp>
        <v>2.3752876840000003</v>
        <stp/>
        <stp>_x0010_USD_CURVE_3M_19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H48" s="70"/>
        <tr r="BG48" s="70"/>
      </tp>
      <tp>
        <v>2.2568712660000001</v>
        <stp/>
        <stp>_x0010_USD_CURVE_1M_18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Y47" s="70"/>
      </tp>
      <tp>
        <v>2.2682461190000001</v>
        <stp/>
        <stp>_x0010_USD_CURVE_1M_19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Y48" s="70"/>
      </tp>
      <tp>
        <v>2.2251823760000002</v>
        <stp/>
        <stp>_x0010_USD_CURVE_1M_16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Y45" s="70"/>
      </tp>
      <tp>
        <v>2.282687234</v>
        <stp/>
        <stp>_x0010_USD_CURVE_3M_14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G43" s="70"/>
        <tr r="AH43" s="70"/>
      </tp>
      <tp>
        <v>2.3592859170000002</v>
        <stp/>
        <stp>_x0010_USD_CURVE_6M_11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P40" s="70"/>
      </tp>
      <tp>
        <v>2.2425970799999999</v>
        <stp/>
        <stp>_x0010_USD_CURVE_1M_17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Y46" s="70"/>
      </tp>
      <tp>
        <v>2.3069999920000002</v>
        <stp/>
        <stp>_x0010_USD_CURVE_3M_15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H44" s="70"/>
        <tr r="BG44" s="70"/>
      </tp>
      <tp>
        <v>2.3162302660000003</v>
        <stp/>
        <stp>_x0010_USD_CURVE_6M_10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P39" s="70"/>
      </tp>
      <tp>
        <v>2.178230814</v>
        <stp/>
        <stp>_x0010_USD_CURVE_1M_14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Y43" s="70"/>
      </tp>
      <tp>
        <v>2.3279873090000001</v>
        <stp/>
        <stp>_x0010_USD_CURVE_3M_16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H45" s="70"/>
        <tr r="BG45" s="70"/>
      </tp>
      <tp>
        <v>2.4270254440000003</v>
        <stp/>
        <stp>_x0010_USD_CURVE_6M_13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P42" s="70"/>
      </tp>
      <tp>
        <v>2.20406295</v>
        <stp/>
        <stp>_x0010_USD_CURVE_1M_15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Y44" s="70"/>
      </tp>
      <tp>
        <v>2.3462836610000002</v>
        <stp/>
        <stp>_x0010_USD_CURVE_3M_17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H46" s="70"/>
        <tr r="BG46" s="70"/>
      </tp>
      <tp>
        <v>2.3962530010000003</v>
        <stp/>
        <stp>_x0010_USD_CURVE_6M_12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P41" s="70"/>
      </tp>
      <tp>
        <v>2.1110286600000001</v>
        <stp/>
        <stp>_x0010_USD_CURVE_1M_12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Y41" s="70"/>
      </tp>
      <tp>
        <v>2.1379999949999999</v>
        <stp/>
        <stp>_x0010_USD_CURVE_3M_10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H39" s="70"/>
        <tr r="BG39" s="70"/>
      </tp>
      <tp>
        <v>2.477272481</v>
        <stp/>
        <stp>_x0010_USD_CURVE_6M_15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P44" s="70"/>
      </tp>
      <tp>
        <v>2.1470911999999998</v>
        <stp/>
        <stp>_x0010_USD_CURVE_1M_13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Y42" s="70"/>
      </tp>
      <tp>
        <v>2.183271768</v>
        <stp/>
        <stp>_x0010_USD_CURVE_3M_11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H40" s="70"/>
        <tr r="BG40" s="70"/>
      </tp>
      <tp>
        <v>2.4541139570000001</v>
        <stp/>
        <stp>_x0010_USD_CURVE_6M_14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P43" s="70"/>
      </tp>
      <tp>
        <v>2.0179921420000002</v>
        <stp/>
        <stp>_x0010_USD_CURVE_1M_10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Y39" s="70"/>
      </tp>
      <tp>
        <v>2.2219999960000001</v>
        <stp/>
        <stp>_x0010_USD_CURVE_3M_12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H41" s="70"/>
        <tr r="BG41" s="70"/>
      </tp>
      <tp>
        <v>2.51468055</v>
        <stp/>
        <stp>_x0010_USD_CURVE_6M_17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P46" s="70"/>
      </tp>
      <tp>
        <v>2.0679774900000001</v>
        <stp/>
        <stp>_x0010_USD_CURVE_1M_11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Y40" s="70"/>
      </tp>
      <tp>
        <v>2.2543114989999999</v>
        <stp/>
        <stp>_x0010_USD_CURVE_3M_13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H42" s="70"/>
        <tr r="BG42" s="70"/>
      </tp>
      <tp>
        <v>2.4972618300000002</v>
        <stp/>
        <stp>_x0010_USD_CURVE_6M_16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P45" s="70"/>
      </tp>
      <tp>
        <v>2.5912112070000002</v>
        <stp/>
        <stp>_x0010_USD_CURVE_6M_29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P58" s="70"/>
      </tp>
      <tp>
        <v>2.5899188319999999</v>
        <stp/>
        <stp>_x0010_USD_CURVE_6M_28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P57" s="70"/>
      </tp>
      <tp>
        <v>2.4287602170000002</v>
        <stp/>
        <stp>_x0010_USD_CURVE_3M_28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G57" s="70"/>
        <tr r="AH57" s="70"/>
      </tp>
      <tp>
        <v>2.4305894350000004</v>
        <stp/>
        <stp>_x0010_USD_CURVE_3M_29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H58" s="70"/>
        <tr r="BG58" s="70"/>
      </tp>
      <tp>
        <v>2.3057596550000001</v>
        <stp/>
        <stp>_x0010_USD_CURVE_1M_28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Y57" s="70"/>
      </tp>
      <tp>
        <v>2.3063465519999999</v>
        <stp/>
        <stp>_x0010_USD_CURVE_1M_29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Y58" s="70"/>
      </tp>
      <tp>
        <v>2.303686006</v>
        <stp/>
        <stp>_x0010_USD_CURVE_1M_26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Y55" s="70"/>
      </tp>
      <tp>
        <v>2.415482232</v>
        <stp/>
        <stp>_x0010_USD_CURVE_3M_24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G53" s="70"/>
        <tr r="AH53" s="70"/>
      </tp>
      <tp>
        <v>2.562055473</v>
        <stp/>
        <stp>_x0010_USD_CURVE_6M_21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P50" s="70"/>
      </tp>
      <tp>
        <v>2.3049177370000002</v>
        <stp/>
        <stp>_x0010_USD_CURVE_1M_27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Y56" s="70"/>
      </tp>
      <tp>
        <v>2.4199999890000004</v>
        <stp/>
        <stp>_x0010_USD_CURVE_3M_25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H54" s="70"/>
        <tr r="BG54" s="70"/>
      </tp>
      <tp>
        <v>2.5532863020000001</v>
        <stp/>
        <stp>_x0010_USD_CURVE_6M_20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P49" s="70"/>
      </tp>
      <tp>
        <v>2.2991290599999998</v>
        <stp/>
        <stp>_x0010_USD_CURVE_1M_24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Y53" s="70"/>
      </tp>
      <tp>
        <v>2.423566084</v>
        <stp/>
        <stp>_x0010_USD_CURVE_3M_26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G55" s="70"/>
        <tr r="AH55" s="70"/>
      </tp>
      <tp>
        <v>2.5749941299999999</v>
        <stp/>
        <stp>_x0010_USD_CURVE_6M_23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P52" s="70"/>
      </tp>
      <tp>
        <v>2.3018724390000003</v>
        <stp/>
        <stp>_x0010_USD_CURVE_1M_25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Y54" s="70"/>
      </tp>
      <tp>
        <v>2.4264410940000003</v>
        <stp/>
        <stp>_x0010_USD_CURVE_3M_27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H56" s="70"/>
        <tr r="BG56" s="70"/>
      </tp>
      <tp>
        <v>2.5692007110000001</v>
        <stp/>
        <stp>_x0010_USD_CURVE_6M_22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P51" s="70"/>
      </tp>
      <tp>
        <v>2.2912846259999999</v>
        <stp/>
        <stp>_x0010_USD_CURVE_1M_22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Y51" s="70"/>
      </tp>
      <tp>
        <v>2.3869999900000001</v>
        <stp/>
        <stp>_x0010_USD_CURVE_3M_20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G49" s="70"/>
        <tr r="AH49" s="70"/>
      </tp>
      <tp>
        <v>2.5832782949999999</v>
        <stp/>
        <stp>_x0010_USD_CURVE_6M_25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P54" s="70"/>
      </tp>
      <tp>
        <v>2.2958488960000003</v>
        <stp/>
        <stp>_x0010_USD_CURVE_1M_23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Y52" s="70"/>
      </tp>
      <tp>
        <v>2.3963493740000001</v>
        <stp/>
        <stp>_x0010_USD_CURVE_3M_21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H50" s="70"/>
        <tr r="BG50" s="70"/>
      </tp>
      <tp>
        <v>2.5794188670000002</v>
        <stp/>
        <stp>_x0010_USD_CURVE_6M_24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P53" s="70"/>
      </tp>
      <tp>
        <v>2.2779721099999999</v>
        <stp/>
        <stp>_x0010_USD_CURVE_1M_20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Y49" s="70"/>
      </tp>
      <tp>
        <v>2.4040574710000002</v>
        <stp/>
        <stp>_x0010_USD_CURVE_3M_22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G51" s="70"/>
        <tr r="AH51" s="70"/>
      </tp>
      <tp>
        <v>2.5882594650000001</v>
        <stp/>
        <stp>_x0010_USD_CURVE_6M_27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P56" s="70"/>
      </tp>
      <tp>
        <v>2.285419101</v>
        <stp/>
        <stp>_x0010_USD_CURVE_1M_21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Y50" s="70"/>
      </tp>
      <tp>
        <v>2.410427774</v>
        <stp/>
        <stp>_x0010_USD_CURVE_3M_23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G52" s="70"/>
        <tr r="AH52" s="70"/>
      </tp>
      <tp>
        <v>2.5861105390000003</v>
        <stp/>
        <stp>_x0010_USD_CURVE_6M_26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P55" s="70"/>
      </tp>
      <tp>
        <v>2.5920845080000001</v>
        <stp/>
        <stp>_x0010_USD_CURVE_6M_30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P59" s="70"/>
      </tp>
      <tp>
        <v>2.4318406889999999</v>
        <stp/>
        <stp>_x0010_USD_CURVE_3M_30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H59" s="70"/>
        <tr r="BG59" s="70"/>
      </tp>
      <tp>
        <v>2.306651886</v>
        <stp/>
        <stp>_x0010_USD_CURVE_1M_30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Y59" s="70"/>
      </tp>
      <tp>
        <v>2.594259241</v>
        <stp/>
        <stp>_x0010_USD_CURVE_6M_40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P60" s="70"/>
      </tp>
      <tp>
        <v>2.4339999900000002</v>
        <stp/>
        <stp>_x0010_USD_CURVE_3M_40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H60" s="70"/>
        <tr r="BG60" s="70"/>
      </tp>
      <tp>
        <v>2.3088000860000002</v>
        <stp/>
        <stp>_x0010_USD_CURVE_1M_40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Y60" s="70"/>
      </tp>
      <tp>
        <v>2.5922509499999999</v>
        <stp/>
        <stp>_x0010_USD_CURVE_6M_50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P61" s="70"/>
      </tp>
      <tp>
        <v>2.4319999890000004</v>
        <stp/>
        <stp>_x0010_USD_CURVE_3M_50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H61" s="70"/>
        <tr r="BG61" s="70"/>
      </tp>
      <tp>
        <v>2.3068078130000003</v>
        <stp/>
        <stp>_x0010_USD_CURVE_1M_50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Y61" s="70"/>
      </tp>
      <tp>
        <v>2.5908363970000003</v>
        <stp/>
        <stp>_x0010_USD_CURVE_6M_60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P62" s="70"/>
      </tp>
      <tp>
        <v>2.4305924030000003</v>
        <stp/>
        <stp>_x0010_USD_CURVE_3M_60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G62" s="70"/>
        <tr r="AH62" s="70"/>
      </tp>
      <tp>
        <v>2.3048958880000003</v>
        <stp/>
        <stp>_x0010_USD_CURVE_1M_60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Y62" s="70"/>
      </tp>
      <tp>
        <v>174.12</v>
        <stp/>
        <stp>_x0006_FGBXH7_x0003_ask_x000E_IDN_SELECTFEED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53" s="202"/>
      </tp>
      <tp>
        <v>176.02</v>
        <stp/>
        <stp>_x0006_FGBXZ6_x0003_ask_x000E_IDN_SELECTFEED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44" s="202"/>
      </tp>
    </main>
    <main first="pldatasource.rtgetrtdserver">
      <tp>
        <v>-0.11261602800000001</v>
        <stp/>
        <stp xml:space="preserve">
EUR1YDPSN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B13" s="202"/>
      </tp>
      <tp>
        <v>-0.37010000000000004</v>
        <stp/>
        <stp xml:space="preserve">
EUR1MDPSW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B16" s="202"/>
      </tp>
      <tp>
        <v>-0.370111415</v>
        <stp/>
        <stp xml:space="preserve">
EUR1MDPSN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B15" s="202"/>
      </tp>
      <tp>
        <v>-0.11261497100000001</v>
        <stp/>
        <stp xml:space="preserve">
EUR1YDPSW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B14" s="202"/>
      </tp>
      <tp>
        <v>-0.32242157800000004</v>
        <stp/>
        <stp xml:space="preserve">
EUR3MDPSN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T13" s="202"/>
      </tp>
      <tp>
        <v>-0.32241291599999999</v>
        <stp/>
        <stp xml:space="preserve">
EUR3MDPSW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T14" s="202"/>
      </tp>
    </main>
    <main first="pldatasource.rtgetrtdserver">
      <tp>
        <v>-0.32241291599999999</v>
        <stp/>
        <stp xml:space="preserve">
EUR3MDPSW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14" s="202"/>
      </tp>
      <tp>
        <v>-0.32242157800000004</v>
        <stp/>
        <stp xml:space="preserve">
EUR3MDPSN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13" s="202"/>
      </tp>
      <tp>
        <v>0.43418442800000001</v>
        <stp/>
        <stp>_x0010_USD_CURVE_OIS_2W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Y17" s="70"/>
      </tp>
      <tp>
        <v>0.442736615</v>
        <stp/>
        <stp>_x0010_USD_CURVE_OIS_3W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Y18" s="70"/>
      </tp>
      <tp>
        <v>0.43057680800000003</v>
        <stp/>
        <stp>_x0010_USD_CURVE_OIS_1W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Y16" s="70"/>
      </tp>
      <tp>
        <v>175.98</v>
        <stp/>
        <stp>_x0006_FGBXZ6_x0003_bid_x000E_IDN_SELECTFEED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E44" s="202"/>
      </tp>
      <tp>
        <v>174.06</v>
        <stp/>
        <stp>_x0006_FGBXH7_x0003_bid_x000E_IDN_SELECTFEED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E53" s="202"/>
      </tp>
    </main>
    <main first="pldatasource.rtgetrtdserver">
      <tp>
        <v>-0.11261497100000001</v>
        <stp/>
        <stp xml:space="preserve">
EUR1YDPSW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C14" s="202"/>
      </tp>
      <tp>
        <v>-0.370111415</v>
        <stp/>
        <stp xml:space="preserve">
EUR1MDPSN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C15" s="202"/>
      </tp>
      <tp>
        <v>-0.37010000000000004</v>
        <stp/>
        <stp xml:space="preserve">
EUR1MDPSW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C16" s="202"/>
      </tp>
      <tp>
        <v>-0.11261602800000001</v>
        <stp/>
        <stp xml:space="preserve">
EUR1YDPSN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C13" s="202"/>
      </tp>
      <tp>
        <v>0.71499999999999997</v>
        <stp/>
        <stp>_x0010_USD_CURVE_OIS_1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Z30" s="70"/>
      </tp>
      <tp>
        <v>0.92100000000000004</v>
        <stp/>
        <stp>_x0010_USD_CURVE_OIS_2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Z34" s="70"/>
      </tp>
      <tp>
        <v>1.113</v>
        <stp/>
        <stp>_x0010_USD_CURVE_OIS_3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Z35" s="70"/>
      </tp>
      <tp>
        <v>1.2710000000000001</v>
        <stp/>
        <stp>_x0010_USD_CURVE_OIS_4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Z36" s="70"/>
      </tp>
      <tp>
        <v>1.4020000000000001</v>
        <stp/>
        <stp>_x0010_USD_CURVE_OIS_5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Z37" s="70"/>
      </tp>
      <tp>
        <v>1.514</v>
        <stp/>
        <stp>_x0010_USD_CURVE_OIS_6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Z38" s="70"/>
      </tp>
      <tp>
        <v>1.605</v>
        <stp/>
        <stp>_x0010_USD_CURVE_OIS_7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Z39" s="70"/>
      </tp>
      <tp>
        <v>1.68</v>
        <stp/>
        <stp>_x0010_USD_CURVE_OIS_8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Z40" s="70"/>
      </tp>
      <tp>
        <v>1.7430000000000001</v>
        <stp/>
        <stp>_x0010_USD_CURVE_OIS_9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Z41" s="70"/>
      </tp>
      <tp>
        <v>0.81800000000000006</v>
        <stp/>
        <stp>_x0011_USD_CURVE_OIS_18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Y32" s="70"/>
      </tp>
      <tp>
        <v>0.64800000000000002</v>
        <stp/>
        <stp>_x0010_USD_CURVE_OIS_8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Y26" s="70"/>
      </tp>
      <tp>
        <v>0.66400000000000003</v>
        <stp/>
        <stp>_x0010_USD_CURVE_OIS_9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Y27" s="70"/>
      </tp>
      <tp>
        <v>0.53900000000000003</v>
        <stp/>
        <stp>_x0010_USD_CURVE_OIS_2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Y20" s="70"/>
      </tp>
      <tp>
        <v>0.56700000000000006</v>
        <stp/>
        <stp>_x0010_USD_CURVE_OIS_3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Y21" s="70"/>
      </tp>
      <tp>
        <v>0.46100000000000002</v>
        <stp/>
        <stp>_x0010_USD_CURVE_OIS_1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Y19" s="70"/>
      </tp>
      <tp>
        <v>0.61299999999999999</v>
        <stp/>
        <stp>_x0010_USD_CURVE_OIS_6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Y24" s="70"/>
      </tp>
      <tp>
        <v>0.627</v>
        <stp/>
        <stp>_x0010_USD_CURVE_OIS_7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Y25" s="70"/>
      </tp>
      <tp>
        <v>0.58299999999999996</v>
        <stp/>
        <stp>_x0010_USD_CURVE_OIS_4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Y22" s="70"/>
      </tp>
      <tp>
        <v>0.60000000000000009</v>
        <stp/>
        <stp>_x0010_USD_CURVE_OIS_5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Y23" s="70"/>
      </tp>
      <tp>
        <v>98.545000000000002</v>
        <stp/>
        <stp>_x0004_EDH8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H29" s="70"/>
      </tp>
      <tp>
        <v>98.44</v>
        <stp/>
        <stp>_x0004_EDM8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H30" s="70"/>
      </tp>
      <tp>
        <v>98.335000000000008</v>
        <stp/>
        <stp>_x0004_EDU8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H31" s="70"/>
      </tp>
      <tp>
        <v>98.64</v>
        <stp/>
        <stp>_x0004_EDZ7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28" s="70"/>
      </tp>
      <tp>
        <v>98.76</v>
        <stp/>
        <stp>_x0004_EDU7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27" s="70"/>
      </tp>
      <tp>
        <v>98.865000000000009</v>
        <stp/>
        <stp>_x0004_EDM7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26" s="70"/>
      </tp>
      <tp>
        <v>162.35</v>
        <stp/>
        <stp>_x0006_FGBLH7_x0003_ask_x000E_IDN_SELECTFEED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48" s="202"/>
      </tp>
      <tp>
        <v>1.877</v>
        <stp/>
        <stp>_x0011_USD_CURVE_OIS_12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Y43" s="70"/>
      </tp>
      <tp>
        <v>160.59</v>
        <stp/>
        <stp>_x0006_FGBLZ6_x0003_ask_x000E_IDN_SELECTFEED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39" s="202"/>
      </tp>
      <tp>
        <v>132.29</v>
        <stp/>
        <stp>_x0006_FGBMH7_x0003_ask_x000E_IDN_SELECTFEED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49" s="202"/>
      </tp>
      <tp>
        <v>130.80000000000001</v>
        <stp/>
        <stp>_x0006_FGBMZ6_x0003_ask_x000E_IDN_SELECTFEED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40" s="202"/>
      </tp>
      <tp>
        <v>98.87</v>
        <stp/>
        <stp>_x0004_EDM7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H26" s="70"/>
      </tp>
      <tp>
        <v>98.765000000000001</v>
        <stp/>
        <stp>_x0004_EDU7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H27" s="70"/>
      </tp>
      <tp>
        <v>98.644999999999996</v>
        <stp/>
        <stp>_x0004_EDZ7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H28" s="70"/>
      </tp>
      <tp>
        <v>98.33</v>
        <stp/>
        <stp>_x0004_EDU8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31" s="70"/>
      </tp>
      <tp>
        <v>98.54</v>
        <stp/>
        <stp>_x0004_EDH8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29" s="70"/>
      </tp>
      <tp>
        <v>98.435000000000002</v>
        <stp/>
        <stp>_x0004_EDM8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30" s="70"/>
      </tp>
      <tp>
        <v>130.79</v>
        <stp/>
        <stp>_x0006_FGBMZ6_x0003_bid_x000E_IDN_SELECTFEED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E40" s="202"/>
      </tp>
      <tp>
        <v>0.67900000000000005</v>
        <stp/>
        <stp>_x0011_USD_CURVE_OIS_10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Y28" s="70"/>
      </tp>
      <tp>
        <v>132.27000000000001</v>
        <stp/>
        <stp>_x0006_FGBMH7_x0003_bid_x000E_IDN_SELECTFEED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E49" s="202"/>
      </tp>
      <tp>
        <v>2.0670000000000002</v>
        <stp/>
        <stp>_x0011_USD_CURVE_OIS_50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Y49" s="70"/>
      </tp>
      <tp>
        <v>2.0790000000000002</v>
        <stp/>
        <stp>_x0011_USD_CURVE_OIS_40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Y48" s="70"/>
      </tp>
      <tp>
        <v>2.0563259359999999</v>
        <stp/>
        <stp>_x0011_USD_CURVE_OIS_60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Y50" s="70"/>
      </tp>
      <tp>
        <v>1.794</v>
        <stp/>
        <stp>_x0011_USD_CURVE_OIS_10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Y42" s="70"/>
      </tp>
      <tp>
        <v>2.0750000000000002</v>
        <stp/>
        <stp>_x0011_USD_CURVE_OIS_30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Y47" s="70"/>
      </tp>
      <tp>
        <v>2.036</v>
        <stp/>
        <stp>_x0011_USD_CURVE_OIS_20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Y45" s="70"/>
      </tp>
      <tp>
        <v>160.58000000000001</v>
        <stp/>
        <stp>_x0006_FGBLZ6_x0003_bid_x000E_IDN_SELECTFEED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E39" s="202"/>
      </tp>
      <tp>
        <v>0.69800000000000006</v>
        <stp/>
        <stp>_x0011_USD_CURVE_OIS_11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Y29" s="70"/>
      </tp>
      <tp>
        <v>0.86899999999999999</v>
        <stp/>
        <stp>_x0011_USD_CURVE_OIS_21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Y33" s="70"/>
      </tp>
      <tp>
        <v>162.33000000000001</v>
        <stp/>
        <stp>_x0006_FGBLH7_x0003_bid_x000E_IDN_SELECTFEED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E48" s="202"/>
      </tp>
      <tp>
        <v>0.46100000000000002</v>
        <stp/>
        <stp>_x0010_USD_CURVE_OIS_1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Z19" s="70"/>
      </tp>
      <tp>
        <v>0.53900000000000003</v>
        <stp/>
        <stp>_x0010_USD_CURVE_OIS_2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Z20" s="70"/>
      </tp>
      <tp>
        <v>0.56700000000000006</v>
        <stp/>
        <stp>_x0010_USD_CURVE_OIS_3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Z21" s="70"/>
      </tp>
      <tp>
        <v>0.58299999999999996</v>
        <stp/>
        <stp>_x0010_USD_CURVE_OIS_4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Z22" s="70"/>
      </tp>
      <tp>
        <v>0.60000000000000009</v>
        <stp/>
        <stp>_x0010_USD_CURVE_OIS_5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Z23" s="70"/>
      </tp>
      <tp>
        <v>0.61299999999999999</v>
        <stp/>
        <stp>_x0010_USD_CURVE_OIS_6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Z24" s="70"/>
      </tp>
      <tp>
        <v>0.627</v>
        <stp/>
        <stp>_x0010_USD_CURVE_OIS_7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Z25" s="70"/>
      </tp>
      <tp>
        <v>0.64800000000000002</v>
        <stp/>
        <stp>_x0010_USD_CURVE_OIS_8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Z26" s="70"/>
      </tp>
      <tp>
        <v>0.66400000000000003</v>
        <stp/>
        <stp>_x0010_USD_CURVE_OIS_9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Z27" s="70"/>
      </tp>
      <tp>
        <v>0.76700000000000002</v>
        <stp/>
        <stp>_x0011_USD_CURVE_OIS_15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Y31" s="70"/>
      </tp>
      <tp>
        <v>1.9590000000000001</v>
        <stp/>
        <stp>_x0011_USD_CURVE_OIS_15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Y44" s="70"/>
      </tp>
      <tp>
        <v>2.0659999999999998</v>
        <stp/>
        <stp>_x0011_USD_CURVE_OIS_25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Y46" s="70"/>
      </tp>
      <tp>
        <v>-9.0000000000000011E-3</v>
        <stp/>
        <stp>_x000E_EUR1YFRA7X19F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C35" s="202"/>
      </tp>
      <tp>
        <v>-1.9E-2</v>
        <stp/>
        <stp>_x000E_EUR1YFRA6X18F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C34" s="202"/>
      </tp>
      <tp>
        <v>-1.9E-2</v>
        <stp/>
        <stp>_x000E_EUR1YFRA6X18F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B34" s="202"/>
      </tp>
      <tp>
        <v>-9.0000000000000011E-3</v>
        <stp/>
        <stp>_x000E_EUR1YFRA7X19F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B35" s="202"/>
      </tp>
      <tp>
        <v>1.079</v>
        <stp/>
        <stp>_x000C_EURONOIS40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S72" s="202"/>
      </tp>
      <tp>
        <v>1.0389999999999999</v>
        <stp/>
        <stp>_x000C_EURONOIS50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S73" s="202"/>
      </tp>
      <tp>
        <v>1.014</v>
        <stp/>
        <stp>_x000C_EURONOIS60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S74" s="202"/>
      </tp>
      <tp>
        <v>0.45400000000000001</v>
        <stp/>
        <stp>_x000C_EURONOIS10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S50" s="202"/>
      </tp>
      <tp>
        <v>-0.35446380900000002</v>
        <stp/>
        <stp>_x000C_EURONOIS10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S28" s="202"/>
      </tp>
      <tp>
        <v>0.54800000000000004</v>
        <stp/>
        <stp>_x000C_EURONOIS11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S51" s="202"/>
      </tp>
      <tp>
        <v>-0.35418229100000004</v>
        <stp/>
        <stp>_x000C_EURONOIS11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S29" s="202"/>
      </tp>
      <tp>
        <v>0.63100000000000001</v>
        <stp/>
        <stp>_x000C_EURONOIS12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S52" s="202"/>
      </tp>
      <tp>
        <v>0.70400698500000003</v>
        <stp/>
        <stp>_x000C_EURONOIS13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S53" s="202"/>
      </tp>
      <tp>
        <v>-0.354294208</v>
        <stp/>
        <stp>_x000C_EURONOIS13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S31" s="202"/>
      </tp>
      <tp>
        <v>0.76784660999999998</v>
        <stp/>
        <stp>_x000C_EURONOIS14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S54" s="202"/>
      </tp>
      <tp>
        <v>-0.35382575700000002</v>
        <stp/>
        <stp>_x000C_EURONOIS14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S32" s="202"/>
      </tp>
      <tp>
        <v>0.82300000000000006</v>
        <stp/>
        <stp>_x000C_EURONOIS15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S55" s="202"/>
      </tp>
      <tp>
        <v>-0.35299999999999998</v>
        <stp/>
        <stp>_x000C_EURONOIS15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S33" s="202"/>
      </tp>
      <tp>
        <v>0.86908227800000004</v>
        <stp/>
        <stp>_x000C_EURONOIS16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S56" s="202"/>
      </tp>
      <tp>
        <v>-0.35223000100000001</v>
        <stp/>
        <stp>_x000C_EURONOIS16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S34" s="202"/>
      </tp>
      <tp>
        <v>0.90753701900000006</v>
        <stp/>
        <stp>_x000C_EURONOIS17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S57" s="202"/>
      </tp>
      <tp>
        <v>-0.35122310900000003</v>
        <stp/>
        <stp>_x000C_EURONOIS17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S35" s="202"/>
      </tp>
      <tp>
        <v>0.93919380500000005</v>
        <stp/>
        <stp>_x000C_EURONOIS18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S58" s="202"/>
      </tp>
      <tp>
        <v>-0.35000000000000003</v>
        <stp/>
        <stp>_x000C_EURONOIS18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S36" s="202"/>
      </tp>
      <tp>
        <v>0.96499198300000011</v>
        <stp/>
        <stp>_x000C_EURONOIS19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S59" s="202"/>
      </tp>
      <tp>
        <v>-0.34823548700000001</v>
        <stp/>
        <stp>_x000C_EURONOIS19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S37" s="202"/>
      </tp>
      <tp>
        <v>0.98599999999999999</v>
        <stp/>
        <stp>_x000C_EURONOIS20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S60" s="202"/>
      </tp>
      <tp>
        <v>-0.34614169500000003</v>
        <stp/>
        <stp>_x000C_EURONOIS20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S38" s="202"/>
      </tp>
      <tp>
        <v>1.0026954190000001</v>
        <stp/>
        <stp>_x000C_EURONOIS21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S61" s="202"/>
      </tp>
      <tp>
        <v>-0.34400000000000003</v>
        <stp/>
        <stp>_x000C_EURONOIS21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S39" s="202"/>
      </tp>
      <tp>
        <v>1.0160598250000001</v>
        <stp/>
        <stp>_x000C_EURONOIS22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S62" s="202"/>
      </tp>
      <tp>
        <v>-0.34166496500000004</v>
        <stp/>
        <stp>_x000C_EURONOIS22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S40" s="202"/>
      </tp>
      <tp>
        <v>1.0268020600000001</v>
        <stp/>
        <stp>_x000C_EURONOIS23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S63" s="202"/>
      </tp>
      <tp>
        <v>-0.33958778300000003</v>
        <stp/>
        <stp>_x000C_EURONOIS23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S41" s="202"/>
      </tp>
      <tp>
        <v>1.035577118</v>
        <stp/>
        <stp>_x000C_EURONOIS24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S64" s="202"/>
      </tp>
      <tp>
        <v>1.0429999999999999</v>
        <stp/>
        <stp>_x000C_EURONOIS25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S65" s="202"/>
      </tp>
      <tp>
        <v>1.0496823399999999</v>
        <stp/>
        <stp>_x000C_EURONOIS26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S66" s="202"/>
      </tp>
      <tp>
        <v>1.0556614720000002</v>
        <stp/>
        <stp>_x000C_EURONOIS27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S67" s="202"/>
      </tp>
      <tp>
        <v>1.06103456</v>
        <stp/>
        <stp>_x000C_EURONOIS28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S68" s="202"/>
      </tp>
      <tp>
        <v>1.065806679</v>
        <stp/>
        <stp>_x000C_EURONOIS29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S69" s="202"/>
      </tp>
      <tp>
        <v>1.07</v>
        <stp/>
        <stp>_x000C_EURONOIS30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S70" s="202"/>
      </tp>
      <tp>
        <v>1.082320358</v>
        <stp/>
        <stp>_x000C_EURONOIS35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S71" s="202"/>
      </tp>
      <tp>
        <v>-0.14499999999999999</v>
        <stp/>
        <stp>_x000E_EUR6MFRA9X15F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H31" s="202"/>
      </tp>
      <tp>
        <v>-0.27800000000000002</v>
        <stp/>
        <stp>_x000E_EUR3MFRA7X10F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26" s="202"/>
      </tp>
      <tp>
        <v>1.4E-2</v>
        <stp/>
        <stp>_x000E_EUR1YFRA9X21F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C37" s="202"/>
      </tp>
      <tp>
        <v>-0.27200000000000002</v>
        <stp/>
        <stp>_x000E_EUR3MFRA8X11F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27" s="202"/>
      </tp>
      <tp>
        <v>-0.152</v>
        <stp/>
        <stp>_x000E_EUR6MFRA8X14F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H30" s="202"/>
      </tp>
      <tp>
        <v>3.0000000000000001E-3</v>
        <stp/>
        <stp>_x000E_EUR1YFRA8X20F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C36" s="202"/>
      </tp>
      <tp>
        <v>-6.7000000000000004E-2</v>
        <stp/>
        <stp>_x000E_EUR1YFRA1X13F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B29" s="202"/>
      </tp>
      <tp>
        <v>-0.26600000000000001</v>
        <stp/>
        <stp>_x000E_EUR3MFRA9X12F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T28" s="202"/>
      </tp>
      <tp>
        <v>-6.7000000000000004E-2</v>
        <stp/>
        <stp>_x000E_EUR1YFRA1X13F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C29" s="202"/>
      </tp>
      <tp>
        <v>-0.26600000000000001</v>
        <stp/>
        <stp>_x000E_EUR3MFRA9X12F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28" s="202"/>
      </tp>
      <tp>
        <v>3.0000000000000001E-3</v>
        <stp/>
        <stp>_x000E_EUR1YFRA8X20F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B36" s="202"/>
      </tp>
      <tp>
        <v>-0.27200000000000002</v>
        <stp/>
        <stp>_x000E_EUR3MFRA8X11F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T27" s="202"/>
      </tp>
      <tp>
        <v>-0.152</v>
        <stp/>
        <stp>_x000E_EUR6MFRA8X14F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I30" s="202"/>
      </tp>
      <tp>
        <v>1.4E-2</v>
        <stp/>
        <stp>_x000E_EUR1YFRA9X21F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B37" s="202"/>
      </tp>
      <tp>
        <v>-0.27800000000000002</v>
        <stp/>
        <stp>_x000E_EUR3MFRA7X10F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T26" s="202"/>
      </tp>
      <tp>
        <v>-0.14499999999999999</v>
        <stp/>
        <stp>_x000E_EUR6MFRA9X15F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I31" s="202"/>
      </tp>
      <tp>
        <v>1.079</v>
        <stp/>
        <stp>_x000C_EURONOIS40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T72" s="202"/>
      </tp>
      <tp>
        <v>1.0389999999999999</v>
        <stp/>
        <stp>_x000C_EURONOIS50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T73" s="202"/>
      </tp>
      <tp>
        <v>1.014</v>
        <stp/>
        <stp>_x000C_EURONOIS60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T74" s="202"/>
      </tp>
      <tp>
        <v>-0.354294208</v>
        <stp/>
        <stp>_x000C_EURONOIS13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T31" s="202"/>
      </tp>
      <tp>
        <v>0.70400698500000003</v>
        <stp/>
        <stp>_x000C_EURONOIS13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T53" s="202"/>
      </tp>
      <tp>
        <v>0.63100000000000001</v>
        <stp/>
        <stp>_x000C_EURONOIS12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T52" s="202"/>
      </tp>
      <tp>
        <v>-0.35418229100000004</v>
        <stp/>
        <stp>_x000C_EURONOIS11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T29" s="202"/>
      </tp>
      <tp>
        <v>0.54800000000000004</v>
        <stp/>
        <stp>_x000C_EURONOIS11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T51" s="202"/>
      </tp>
      <tp>
        <v>-0.35446380900000002</v>
        <stp/>
        <stp>_x000C_EURONOIS10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T28" s="202"/>
      </tp>
      <tp>
        <v>0.45400000000000001</v>
        <stp/>
        <stp>_x000C_EURONOIS10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T50" s="202"/>
      </tp>
      <tp>
        <v>-0.35122310900000003</v>
        <stp/>
        <stp>_x000C_EURONOIS17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T35" s="202"/>
      </tp>
      <tp>
        <v>0.90753701900000006</v>
        <stp/>
        <stp>_x000C_EURONOIS17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T57" s="202"/>
      </tp>
      <tp>
        <v>-0.35223000100000001</v>
        <stp/>
        <stp>_x000C_EURONOIS16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T34" s="202"/>
      </tp>
      <tp>
        <v>0.86908227800000004</v>
        <stp/>
        <stp>_x000C_EURONOIS16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T56" s="202"/>
      </tp>
      <tp>
        <v>-0.35299999999999998</v>
        <stp/>
        <stp>_x000C_EURONOIS15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T33" s="202"/>
      </tp>
      <tp>
        <v>0.82300000000000006</v>
        <stp/>
        <stp>_x000C_EURONOIS15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T55" s="202"/>
      </tp>
      <tp>
        <v>-0.35382575700000002</v>
        <stp/>
        <stp>_x000C_EURONOIS14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T32" s="202"/>
      </tp>
      <tp>
        <v>0.76784660999999998</v>
        <stp/>
        <stp>_x000C_EURONOIS14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T54" s="202"/>
      </tp>
      <tp>
        <v>-0.34823548700000001</v>
        <stp/>
        <stp>_x000C_EURONOIS19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T37" s="202"/>
      </tp>
      <tp>
        <v>0.96499198300000011</v>
        <stp/>
        <stp>_x000C_EURONOIS19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T59" s="202"/>
      </tp>
      <tp>
        <v>-0.35000000000000003</v>
        <stp/>
        <stp>_x000C_EURONOIS18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T36" s="202"/>
      </tp>
      <tp>
        <v>0.93919380500000005</v>
        <stp/>
        <stp>_x000C_EURONOIS18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T58" s="202"/>
      </tp>
      <tp>
        <v>-0.33958778300000003</v>
        <stp/>
        <stp>_x000C_EURONOIS23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T41" s="202"/>
      </tp>
      <tp>
        <v>1.0268020600000001</v>
        <stp/>
        <stp>_x000C_EURONOIS23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T63" s="202"/>
      </tp>
      <tp>
        <v>-0.34166496500000004</v>
        <stp/>
        <stp>_x000C_EURONOIS22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T40" s="202"/>
      </tp>
      <tp>
        <v>1.0160598250000001</v>
        <stp/>
        <stp>_x000C_EURONOIS22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T62" s="202"/>
      </tp>
      <tp>
        <v>-0.34400000000000003</v>
        <stp/>
        <stp>_x000C_EURONOIS21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T39" s="202"/>
      </tp>
      <tp>
        <v>1.0026954190000001</v>
        <stp/>
        <stp>_x000C_EURONOIS21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T61" s="202"/>
      </tp>
      <tp>
        <v>-0.34614169500000003</v>
        <stp/>
        <stp>_x000C_EURONOIS20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T38" s="202"/>
      </tp>
      <tp>
        <v>0.98599999999999999</v>
        <stp/>
        <stp>_x000C_EURONOIS20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T60" s="202"/>
      </tp>
      <tp>
        <v>1.0556614720000002</v>
        <stp/>
        <stp>_x000C_EURONOIS27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T67" s="202"/>
      </tp>
      <tp>
        <v>1.0496823399999999</v>
        <stp/>
        <stp>_x000C_EURONOIS26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T66" s="202"/>
      </tp>
      <tp>
        <v>1.0429999999999999</v>
        <stp/>
        <stp>_x000C_EURONOIS25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T65" s="202"/>
      </tp>
      <tp>
        <v>1.035577118</v>
        <stp/>
        <stp>_x000C_EURONOIS24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T64" s="202"/>
      </tp>
      <tp>
        <v>1.065806679</v>
        <stp/>
        <stp>_x000C_EURONOIS29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T69" s="202"/>
      </tp>
      <tp>
        <v>1.06103456</v>
        <stp/>
        <stp>_x000C_EURONOIS28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T68" s="202"/>
      </tp>
      <tp>
        <v>1.07</v>
        <stp/>
        <stp>_x000C_EURONOIS30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T70" s="202"/>
      </tp>
      <tp>
        <v>1.082320358</v>
        <stp/>
        <stp>_x000C_EURONOIS35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T71" s="202"/>
      </tp>
      <tp>
        <v>-4.8000000000000001E-2</v>
        <stp/>
        <stp>_x000E_EUR1YFRA3X15F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C31" s="202"/>
      </tp>
      <tp>
        <v>-0.17599999999999999</v>
        <stp/>
        <stp>_x000E_EUR6MFRA5X11F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H27" s="202"/>
      </tp>
      <tp>
        <v>-0.16900000000000001</v>
        <stp/>
        <stp>_x000E_EUR6MFRA6X12F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I28" s="202"/>
      </tp>
      <tp>
        <v>-0.04</v>
        <stp/>
        <stp>_x000E_EUR1YFRA4X16F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B32" s="202"/>
      </tp>
      <tp>
        <v>-5.7000000000000002E-2</v>
        <stp/>
        <stp>_x000E_EUR1YFRA2X14F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C30" s="202"/>
      </tp>
      <tp>
        <v>-0.185</v>
        <stp/>
        <stp>_x000E_EUR6MFRA4X10F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H26" s="202"/>
      </tp>
      <tp>
        <v>-0.161</v>
        <stp/>
        <stp>_x000E_EUR6MFRA7X13F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I29" s="202"/>
      </tp>
      <tp>
        <v>-2.9000000000000001E-2</v>
        <stp/>
        <stp>_x000E_EUR1YFRA5X17F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B33" s="202"/>
      </tp>
      <tp>
        <v>-2.9000000000000001E-2</v>
        <stp/>
        <stp>_x000E_EUR1YFRA5X17F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C33" s="202"/>
      </tp>
      <tp>
        <v>-0.161</v>
        <stp/>
        <stp>_x000E_EUR6MFRA7X13F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H29" s="202"/>
      </tp>
      <tp>
        <v>-0.185</v>
        <stp/>
        <stp>_x000E_EUR6MFRA4X10F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I26" s="202"/>
      </tp>
      <tp>
        <v>-5.7000000000000002E-2</v>
        <stp/>
        <stp>_x000E_EUR1YFRA2X14F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B30" s="202"/>
      </tp>
      <tp>
        <v>-0.04</v>
        <stp/>
        <stp>_x000E_EUR1YFRA4X16F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C32" s="202"/>
      </tp>
      <tp>
        <v>-0.16900000000000001</v>
        <stp/>
        <stp>_x000E_EUR6MFRA6X12F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H28" s="202"/>
      </tp>
      <tp>
        <v>-0.17599999999999999</v>
        <stp/>
        <stp>_x000E_EUR6MFRA5X11F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I27" s="202"/>
      </tp>
      <tp>
        <v>-4.8000000000000001E-2</v>
        <stp/>
        <stp>_x000E_EUR1YFRA3X15F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B31" s="202"/>
      </tp>
      <tp>
        <v>-0.304954691</v>
        <stp/>
        <stp>_x000C_EUR1MSW2Y9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C37" s="202"/>
      </tp>
      <tp>
        <v>-0.32048437900000004</v>
        <stp/>
        <stp>_x000C_EUR1MSW2Y6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C36" s="202"/>
      </tp>
      <tp>
        <v>-0.33504729</v>
        <stp/>
        <stp>_x000C_EUR1MSW2Y3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C35" s="202"/>
      </tp>
      <tp t="s">
        <v>#N/A The record could not be found</v>
        <stp/>
        <stp xml:space="preserve">
118.734375
CONTR_MNTH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I41" s="70"/>
      </tp>
      <tp>
        <v>-0.304954691</v>
        <stp/>
        <stp>_x000C_EUR1MSW2Y9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B37" s="202"/>
      </tp>
      <tp>
        <v>-0.32048437900000004</v>
        <stp/>
        <stp>_x000C_EUR1MSW2Y6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B36" s="202"/>
      </tp>
      <tp>
        <v>-0.33504729</v>
        <stp/>
        <stp>_x000C_EUR1MSW2Y3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B35" s="202"/>
      </tp>
      <tp>
        <v>153.03125</v>
        <stp/>
        <stp>_x0004_USZ6_x0003_bid_x000E_IDN_SELECTFEED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E39" s="70"/>
      </tp>
      <tp>
        <v>125.8125</v>
        <stp/>
        <stp>_x0004_TYZ6_x0003_bid_x000E_IDN_SELECTFEED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E40" s="70"/>
      </tp>
      <tp>
        <v>108.7421875</v>
        <stp/>
        <stp>_x0004_TUZ6_x0003_bid_x000E_IDN_SELECTFEED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E42" s="70"/>
      </tp>
      <tp>
        <v>118.734375</v>
        <stp/>
        <stp>_x0004_FVZ6_x0003_bid_x000E_IDN_SELECTFEED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E41" s="70"/>
      </tp>
      <tp>
        <v>151.625</v>
        <stp/>
        <stp>_x0004_USH7_x0003_bid_x000E_IDN_SELECTFEED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E45" s="70"/>
      </tp>
      <tp>
        <v>125.125</v>
        <stp/>
        <stp>_x0004_TYH7_x0003_bid_x000E_IDN_SELECTFEED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E46" s="70"/>
      </tp>
      <tp>
        <v>108.5078125</v>
        <stp/>
        <stp>_x0004_TUH7_x0003_bid_x000E_IDN_SELECTFEED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E48" s="70"/>
      </tp>
      <tp>
        <v>118.2578125</v>
        <stp/>
        <stp>_x0004_FVH7_x0003_bid_x000E_IDN_SELECTFEED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E47" s="70"/>
      </tp>
      <tp>
        <v>151.6875</v>
        <stp/>
        <stp>_x0004_USH7_x0003_ask_x000E_IDN_SELECTFEED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45" s="70"/>
      </tp>
      <tp>
        <v>125.15625</v>
        <stp/>
        <stp>_x0004_TYH7_x0003_ask_x000E_IDN_SELECTFEED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46" s="70"/>
      </tp>
      <tp>
        <v>108.5234375</v>
        <stp/>
        <stp>_x0004_TUH7_x0003_ask_x000E_IDN_SELECTFEED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48" s="70"/>
      </tp>
      <tp>
        <v>118.2734375</v>
        <stp/>
        <stp>_x0004_FVH7_x0003_ask_x000E_IDN_SELECTFEED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47" s="70"/>
      </tp>
      <tp>
        <v>153.0625</v>
        <stp/>
        <stp>_x0004_USZ6_x0003_ask_x000E_IDN_SELECTFEED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39" s="70"/>
      </tp>
      <tp>
        <v>125.828125</v>
        <stp/>
        <stp>_x0004_TYZ6_x0003_ask_x000E_IDN_SELECTFEED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40" s="70"/>
      </tp>
      <tp>
        <v>108.75</v>
        <stp/>
        <stp>_x0004_TUZ6_x0003_ask_x000E_IDN_SELECTFEED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42" s="70"/>
      </tp>
      <tp>
        <v>118.7421875</v>
        <stp/>
        <stp>_x0004_FVZ6_x0003_ask_x000E_IDN_SELECTFEED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41" s="70"/>
      </tp>
      <tp>
        <v>3.9E-2</v>
        <stp/>
        <stp>_x000F_EUR1YFRA11X23F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B39" s="202"/>
      </tp>
      <tp>
        <v>2.6000000000000002E-2</v>
        <stp/>
        <stp>_x000F_EUR1YFRA10X22F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B38" s="202"/>
      </tp>
      <tp>
        <v>2.6000000000000002E-2</v>
        <stp/>
        <stp>_x000F_EUR1YFRA10X22F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C38" s="202"/>
      </tp>
      <tp>
        <v>3.9E-2</v>
        <stp/>
        <stp>_x000F_EUR1YFRA11X23F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C39" s="202"/>
      </tp>
      <tp>
        <v>5.2000000000000005E-2</v>
        <stp/>
        <stp>_x000F_EUR1YFRA12X24F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C40" s="202"/>
      </tp>
      <tp>
        <v>5.2000000000000005E-2</v>
        <stp/>
        <stp>_x000F_EUR1YFRA12X24F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B40" s="202"/>
      </tp>
      <tp>
        <v>-0.254</v>
        <stp/>
        <stp>_x000F_EUR3MFRA11X14F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T30" s="202"/>
      </tp>
      <tp>
        <v>-0.249</v>
        <stp/>
        <stp>_x000F_EUR3MFRA12X15F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T31" s="202"/>
      </tp>
      <tp>
        <v>-0.249</v>
        <stp/>
        <stp>_x000F_EUR3MFRA12X15F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31" s="202"/>
      </tp>
      <tp>
        <v>-0.254</v>
        <stp/>
        <stp>_x000F_EUR3MFRA11X14F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30" s="202"/>
      </tp>
      <tp>
        <v>-0.26100000000000001</v>
        <stp/>
        <stp>_x000F_EUR3MFRA10X13F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29" s="202"/>
      </tp>
      <tp>
        <v>-0.26100000000000001</v>
        <stp/>
        <stp>_x000F_EUR3MFRA10X13F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T29" s="202"/>
      </tp>
      <tp>
        <v>-0.126</v>
        <stp/>
        <stp>_x000F_EUR6MFRA11X17F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H33" s="202"/>
      </tp>
      <tp>
        <v>-0.13700000000000001</v>
        <stp/>
        <stp>_x000F_EUR6MFRA10X16F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H32" s="202"/>
      </tp>
      <tp>
        <v>-0.13700000000000001</v>
        <stp/>
        <stp>_x000F_EUR6MFRA10X16F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I32" s="202"/>
      </tp>
      <tp>
        <v>-0.126</v>
        <stp/>
        <stp>_x000F_EUR6MFRA11X17F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I33" s="202"/>
      </tp>
      <tp>
        <v>-0.11600000000000001</v>
        <stp/>
        <stp>_x000F_EUR6MFRA12X18F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I34" s="202"/>
      </tp>
      <tp>
        <v>-0.106</v>
        <stp/>
        <stp>_x000F_EUR6MFRA13X19F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I35" s="202"/>
      </tp>
      <tp>
        <v>-0.106</v>
        <stp/>
        <stp>_x000F_EUR6MFRA13X19F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H35" s="202"/>
      </tp>
      <tp>
        <v>-0.11600000000000001</v>
        <stp/>
        <stp>_x000F_EUR6MFRA12X18F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H34" s="202"/>
      </tp>
      <tp>
        <v>1.7059276440000002</v>
        <stp/>
        <stp>_x000F_USD_CURVE_1M_6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Y35" s="70"/>
      </tp>
      <tp>
        <v>1.8549999920000002</v>
        <stp/>
        <stp>_x000F_USD_CURVE_3M_6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G35" s="70"/>
        <tr r="AH35" s="70"/>
      </tp>
      <tp>
        <v>2.052168274</v>
        <stp/>
        <stp>_x000F_USD_CURVE_6M_6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P35" s="70"/>
      </tp>
      <tp>
        <v>1.80593783</v>
        <stp/>
        <stp>_x000F_USD_CURVE_1M_7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Y36" s="70"/>
      </tp>
      <tp>
        <v>1.945999993</v>
        <stp/>
        <stp>_x000F_USD_CURVE_3M_7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H36" s="70"/>
        <tr r="BG36" s="70"/>
      </tp>
      <tp>
        <v>2.1361871090000002</v>
        <stp/>
        <stp>_x000F_USD_CURVE_6M_7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P36" s="70"/>
      </tp>
      <tp>
        <v>1.437930825</v>
        <stp/>
        <stp>_x000F_USD_CURVE_1M_4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Y33" s="70"/>
      </tp>
      <tp>
        <v>1.611999988</v>
        <stp/>
        <stp>_x000F_USD_CURVE_3M_4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G33" s="70"/>
        <tr r="AH33" s="70"/>
      </tp>
      <tp>
        <v>1.8341262140000001</v>
        <stp/>
        <stp>_x000F_USD_CURVE_6M_4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P33" s="70"/>
      </tp>
      <tp>
        <v>1.582926166</v>
        <stp/>
        <stp>_x000F_USD_CURVE_1M_5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Y34" s="70"/>
      </tp>
      <tp>
        <v>1.7429999899999999</v>
        <stp/>
        <stp>_x000F_USD_CURVE_3M_5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H34" s="70"/>
        <tr r="BG34" s="70"/>
      </tp>
      <tp>
        <v>1.9501456970000002</v>
        <stp/>
        <stp>_x000F_USD_CURVE_6M_5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P34" s="70"/>
      </tp>
      <tp>
        <v>1.2629602240000002</v>
        <stp/>
        <stp>_x000F_USD_CURVE_1M_3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Y32" s="70"/>
      </tp>
      <tp>
        <v>1.4539999840000002</v>
        <stp/>
        <stp>_x000F_USD_CURVE_3M_3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H32" s="70"/>
        <tr r="BG32" s="70"/>
      </tp>
      <tp>
        <v>1.6930762450000001</v>
        <stp/>
        <stp>_x000F_USD_CURVE_6M_3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P32" s="70"/>
      </tp>
      <tp>
        <v>1.8909636010000002</v>
        <stp/>
        <stp>_x000F_USD_CURVE_1M_8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Y37" s="70"/>
      </tp>
      <tp>
        <v>2.0219999940000002</v>
        <stp/>
        <stp>_x000F_USD_CURVE_3M_8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H37" s="70"/>
        <tr r="BG37" s="70"/>
      </tp>
      <tp>
        <v>2.2072049920000003</v>
        <stp/>
        <stp>_x000F_USD_CURVE_6M_8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P37" s="70"/>
      </tp>
      <tp>
        <v>1.959976825</v>
        <stp/>
        <stp>_x000F_USD_CURVE_1M_9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Y38" s="70"/>
      </tp>
      <tp>
        <v>2.0849999939999999</v>
        <stp/>
        <stp>_x000F_USD_CURVE_3M_9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H38" s="70"/>
        <tr r="BG38" s="70"/>
      </tp>
      <tp>
        <v>2.266219403</v>
        <stp/>
        <stp>_x000F_USD_CURVE_6M_9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P38" s="70"/>
      </tp>
      <tp>
        <v>2.2072049920000003</v>
        <stp/>
        <stp>_x000F_USD_CURVE_6M_8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O37" s="70"/>
      </tp>
      <tp>
        <v>2.0219999940000002</v>
        <stp/>
        <stp>_x000F_USD_CURVE_3M_8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37" s="70"/>
        <tr r="BF37" s="70"/>
      </tp>
      <tp>
        <v>1.8909636010000002</v>
        <stp/>
        <stp>_x000F_USD_CURVE_1M_8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X37" s="70"/>
      </tp>
      <tp>
        <v>2.266219403</v>
        <stp/>
        <stp>_x000F_USD_CURVE_6M_9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O38" s="70"/>
      </tp>
      <tp>
        <v>2.0849999939999999</v>
        <stp/>
        <stp>_x000F_USD_CURVE_3M_9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38" s="70"/>
        <tr r="BF38" s="70"/>
      </tp>
      <tp>
        <v>1.959976825</v>
        <stp/>
        <stp>_x000F_USD_CURVE_1M_9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X38" s="70"/>
      </tp>
      <tp>
        <v>1.8341262140000001</v>
        <stp/>
        <stp>_x000F_USD_CURVE_6M_4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O33" s="70"/>
      </tp>
      <tp>
        <v>1.611999988</v>
        <stp/>
        <stp>_x000F_USD_CURVE_3M_4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F33" s="70"/>
        <tr r="AG33" s="70"/>
      </tp>
      <tp>
        <v>1.437930825</v>
        <stp/>
        <stp>_x000F_USD_CURVE_1M_4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X33" s="70"/>
      </tp>
      <tp>
        <v>1.9501456970000002</v>
        <stp/>
        <stp>_x000F_USD_CURVE_6M_5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O34" s="70"/>
      </tp>
      <tp>
        <v>1.7429999899999999</v>
        <stp/>
        <stp>_x000F_USD_CURVE_3M_5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F34" s="70"/>
        <tr r="AG34" s="70"/>
      </tp>
      <tp>
        <v>1.582926166</v>
        <stp/>
        <stp>_x000F_USD_CURVE_1M_5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X34" s="70"/>
      </tp>
      <tp>
        <v>2.052168274</v>
        <stp/>
        <stp>_x000F_USD_CURVE_6M_6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O35" s="70"/>
      </tp>
      <tp>
        <v>1.8549999920000002</v>
        <stp/>
        <stp>_x000F_USD_CURVE_3M_6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35" s="70"/>
        <tr r="BF35" s="70"/>
      </tp>
      <tp>
        <v>1.7059276440000002</v>
        <stp/>
        <stp>_x000F_USD_CURVE_1M_6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X35" s="70"/>
      </tp>
      <tp>
        <v>2.1361871090000002</v>
        <stp/>
        <stp>_x000F_USD_CURVE_6M_7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O36" s="70"/>
      </tp>
      <tp>
        <v>1.945999993</v>
        <stp/>
        <stp>_x000F_USD_CURVE_3M_7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F36" s="70"/>
        <tr r="AG36" s="70"/>
      </tp>
      <tp>
        <v>1.80593783</v>
        <stp/>
        <stp>_x000F_USD_CURVE_1M_7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X36" s="70"/>
      </tp>
      <tp>
        <v>1.6930762450000001</v>
        <stp/>
        <stp>_x000F_USD_CURVE_6M_3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O32" s="70"/>
      </tp>
      <tp>
        <v>1.4539999840000002</v>
        <stp/>
        <stp>_x000F_USD_CURVE_3M_3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32" s="70"/>
        <tr r="BF32" s="70"/>
      </tp>
      <tp>
        <v>1.2629602240000002</v>
        <stp/>
        <stp>_x000F_USD_CURVE_1M_3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X32" s="70"/>
      </tp>
      <tp>
        <v>4.1106315000000004E-2</v>
        <stp/>
        <stp>_x000F_EUR6MFRA24X30F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H41" s="202"/>
      </tp>
      <tp>
        <v>4.1106315000000004E-2</v>
        <stp/>
        <stp>_x000F_EUR6MFRA24X30F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I41" s="202"/>
      </tp>
      <tp>
        <v>-4.2000000000000003E-2</v>
        <stp/>
        <stp>_x000F_EUR6MFRA18X24F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I40" s="202"/>
      </tp>
      <tp>
        <v>-4.2000000000000003E-2</v>
        <stp/>
        <stp>_x000F_EUR6MFRA18X24F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H40" s="202"/>
      </tp>
      <tp>
        <v>-5.5E-2</v>
        <stp/>
        <stp>_x000F_EUR6MFRA17X23F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H39" s="202"/>
      </tp>
      <tp>
        <v>-9.4E-2</v>
        <stp/>
        <stp>_x000F_EUR6MFRA14X20F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I36" s="202"/>
      </tp>
      <tp>
        <v>-6.9000000000000006E-2</v>
        <stp/>
        <stp>_x000F_EUR6MFRA16X22F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H38" s="202"/>
      </tp>
      <tp>
        <v>-8.1000000000000003E-2</v>
        <stp/>
        <stp>_x000F_EUR6MFRA15X21F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I37" s="202"/>
      </tp>
      <tp>
        <v>-8.1000000000000003E-2</v>
        <stp/>
        <stp>_x000F_EUR6MFRA15X21F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H37" s="202"/>
      </tp>
      <tp>
        <v>-6.9000000000000006E-2</v>
        <stp/>
        <stp>_x000F_EUR6MFRA16X22F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I38" s="202"/>
      </tp>
      <tp>
        <v>-9.4E-2</v>
        <stp/>
        <stp>_x000F_EUR6MFRA14X20F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H36" s="202"/>
      </tp>
      <tp>
        <v>-5.5E-2</v>
        <stp/>
        <stp>_x000F_EUR6MFRA17X23F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I39" s="202"/>
      </tp>
      <tp t="s">
        <v>DEC6</v>
        <stp/>
        <stp>_x0004_TUZ6
CONTR_MNTH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H42" s="70"/>
      </tp>
      <tp t="s">
        <v>DEC6</v>
        <stp/>
        <stp>_x0004_TYZ6
CONTR_MNTH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H40" s="70"/>
      </tp>
      <tp t="s">
        <v>DEC6</v>
        <stp/>
        <stp>_x0004_USZ6
CONTR_MNTH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H39" s="70"/>
      </tp>
      <tp t="s">
        <v>DEC6</v>
        <stp/>
        <stp>_x0004_FVZ6
CONTR_MNTH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H41" s="70"/>
      </tp>
      <tp t="s">
        <v>MAR7</v>
        <stp/>
        <stp>_x0004_TUH7
CONTR_MNTH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H48" s="70"/>
      </tp>
      <tp t="s">
        <v>MAR7</v>
        <stp/>
        <stp>_x0004_TYH7
CONTR_MNTH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H46" s="70"/>
      </tp>
      <tp t="s">
        <v>MAR7</v>
        <stp/>
        <stp>_x0004_USH7
CONTR_MNTH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H45" s="70"/>
      </tp>
      <tp t="s">
        <v>MAR7</v>
        <stp/>
        <stp>_x0004_FVH7
CONTR_MNTH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H47" s="70"/>
      </tp>
      <tp>
        <v>44088</v>
        <stp/>
        <stp>_x0004_EDU0
EXPIR_DATE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34" s="70"/>
      </tp>
      <tp>
        <v>43906</v>
        <stp/>
        <stp>_x0004_EDH0
EXPIR_DATE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32" s="70"/>
      </tp>
      <tp>
        <v>43997</v>
        <stp/>
        <stp>_x0004_EDM0
EXPIR_DATE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33" s="70"/>
      </tp>
      <tp>
        <v>43087</v>
        <stp/>
        <stp>_x0004_EDZ7
EXPIR_DATE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23" s="70"/>
      </tp>
      <tp>
        <v>42996</v>
        <stp/>
        <stp>_x0004_EDU7
EXPIR_DATE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22" s="70"/>
      </tp>
      <tp>
        <v>42870</v>
        <stp/>
        <stp>_x0004_EDK7
EXPIR_DATE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20" s="70"/>
      </tp>
      <tp>
        <v>42838</v>
        <stp/>
        <stp>_x0004_EDJ7
EXPIR_DATE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19" s="70"/>
      </tp>
      <tp>
        <v>42807</v>
        <stp/>
        <stp>_x0004_EDH7
EXPIR_DATE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18" s="70"/>
      </tp>
      <tp>
        <v>42905</v>
        <stp/>
        <stp>_x0004_EDM7
EXPIR_DATE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21" s="70"/>
      </tp>
      <tp>
        <v>42779</v>
        <stp/>
        <stp>_x0004_EDG7
EXPIR_DATE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17" s="70"/>
      </tp>
      <tp>
        <v>42751</v>
        <stp/>
        <stp>_x0004_EDF7
EXPIR_DATE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16" s="70"/>
      </tp>
      <tp>
        <v>42723</v>
        <stp/>
        <stp>_x0004_EDZ6
EXPIR_DATE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15" s="70"/>
      </tp>
      <tp t="s">
        <v>#N/A No instrument defined.</v>
        <stp/>
        <stp>ÿ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X63" s="70"/>
        <tr r="AG63" s="70"/>
        <tr r="BO63" s="70"/>
        <tr r="BF63" s="70"/>
        <tr r="AP63" s="70"/>
        <tr r="AX66" s="70"/>
        <tr r="BO67" s="70"/>
        <tr r="AX64" s="70"/>
        <tr r="AP66" s="70"/>
        <tr r="BF66" s="70"/>
        <tr r="BO65" s="70"/>
        <tr r="AX67" s="70"/>
        <tr r="BF67" s="70"/>
        <tr r="BF65" s="70"/>
        <tr r="AP64" s="70"/>
        <tr r="AG64" s="70"/>
        <tr r="AG67" s="70"/>
        <tr r="AG65" s="70"/>
        <tr r="AX65" s="70"/>
        <tr r="BO64" s="70"/>
        <tr r="BO66" s="70"/>
        <tr r="BF64" s="70"/>
        <tr r="AG66" s="70"/>
        <tr r="AP67" s="70"/>
        <tr r="AP65" s="70"/>
        <tr r="BJ73" s="202"/>
        <tr r="BJ76" s="202"/>
        <tr r="BJ75" s="202"/>
        <tr r="BJ72" s="202"/>
        <tr r="BJ74" s="202"/>
        <tr r="BJ77" s="202"/>
        <tr r="BJ78" s="202"/>
        <tr r="CB14" s="202"/>
        <tr r="CB13" s="202"/>
      </tp>
      <tp t="s">
        <v>#N/A No instrument defined.</v>
        <stp/>
        <stp>ÿ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P63" s="70"/>
        <tr r="AQ63" s="70"/>
        <tr r="AH63" s="70"/>
        <tr r="AY63" s="70"/>
        <tr r="BG63" s="70"/>
        <tr r="BP66" s="70"/>
        <tr r="BG64" s="70"/>
        <tr r="BP65" s="70"/>
        <tr r="BG67" s="70"/>
        <tr r="AY66" s="70"/>
        <tr r="BP67" s="70"/>
        <tr r="AH66" s="70"/>
        <tr r="AQ67" s="70"/>
        <tr r="AH67" s="70"/>
        <tr r="AH65" s="70"/>
        <tr r="AQ66" s="70"/>
        <tr r="AY65" s="70"/>
        <tr r="AY64" s="70"/>
        <tr r="AQ64" s="70"/>
        <tr r="BP64" s="70"/>
        <tr r="BG66" s="70"/>
        <tr r="AQ65" s="70"/>
        <tr r="AY67" s="70"/>
        <tr r="BG65" s="70"/>
        <tr r="AH64" s="70"/>
        <tr r="BK73" s="202"/>
        <tr r="BK76" s="202"/>
        <tr r="BK75" s="202"/>
        <tr r="BK72" s="202"/>
        <tr r="BK74" s="202"/>
        <tr r="BK77" s="202"/>
        <tr r="BK78" s="202"/>
        <tr r="CC13" s="202"/>
        <tr r="CC14" s="202"/>
      </tp>
      <tp>
        <v>43815</v>
        <stp/>
        <stp>_x0004_EDZ9
EXPIR_DATE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31" s="70"/>
      </tp>
      <tp>
        <v>43724</v>
        <stp/>
        <stp>_x0004_EDU9
EXPIR_DATE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30" s="70"/>
      </tp>
      <tp>
        <v>43542</v>
        <stp/>
        <stp>_x0004_EDH9
EXPIR_DATE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28" s="70"/>
      </tp>
      <tp>
        <v>43633</v>
        <stp/>
        <stp>_x0004_EDM9
EXPIR_DATE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29" s="70"/>
      </tp>
      <tp>
        <v>43451</v>
        <stp/>
        <stp>_x0004_EDZ8
EXPIR_DATE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27" s="70"/>
      </tp>
      <tp>
        <v>43360</v>
        <stp/>
        <stp>_x0004_EDU8
EXPIR_DATE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26" s="70"/>
      </tp>
      <tp>
        <v>43178</v>
        <stp/>
        <stp>_x0004_EDH8
EXPIR_DATE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24" s="70"/>
      </tp>
      <tp>
        <v>43269</v>
        <stp/>
        <stp>_x0004_EDM8
EXPIR_DATE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25" s="70"/>
      </tp>
      <tp>
        <v>-0.107</v>
        <stp/>
        <stp>_x000B_EURONOIS5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S45" s="202"/>
      </tp>
      <tp>
        <v>-0.35219644999999999</v>
        <stp/>
        <stp>_x000B_EURONOIS6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T24" s="202"/>
      </tp>
      <tp>
        <v>-0.35113541700000001</v>
        <stp/>
        <stp>_x000B_EURONOIS5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S23" s="202"/>
      </tp>
      <tp>
        <v>3.0000000000000001E-3</v>
        <stp/>
        <stp>_x000B_EURONOIS6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T46" s="202"/>
      </tp>
      <tp>
        <v>-0.20500000000000002</v>
        <stp/>
        <stp>_x000B_EURONOIS4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S44" s="202"/>
      </tp>
      <tp>
        <v>-0.35331696400000001</v>
        <stp/>
        <stp>_x000B_EURONOIS7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T25" s="202"/>
      </tp>
      <tp>
        <v>-0.34998089400000004</v>
        <stp/>
        <stp>_x000B_EURONOIS4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S22" s="202"/>
      </tp>
      <tp>
        <v>0.11900000000000001</v>
        <stp/>
        <stp>_x000B_EURONOIS7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T47" s="202"/>
      </tp>
      <tp>
        <v>0.11900000000000001</v>
        <stp/>
        <stp>_x000B_EURONOIS7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S47" s="202"/>
      </tp>
      <tp>
        <v>-0.34998089400000004</v>
        <stp/>
        <stp>_x000B_EURONOIS4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T22" s="202"/>
      </tp>
      <tp>
        <v>-0.35331696400000001</v>
        <stp/>
        <stp>_x000B_EURONOIS7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S25" s="202"/>
      </tp>
      <tp>
        <v>-0.20500000000000002</v>
        <stp/>
        <stp>_x000B_EURONOIS4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T44" s="202"/>
      </tp>
      <tp>
        <v>3.0000000000000001E-3</v>
        <stp/>
        <stp>_x000B_EURONOIS6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S46" s="202"/>
      </tp>
      <tp>
        <v>-0.35113541700000001</v>
        <stp/>
        <stp>_x000B_EURONOIS5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T23" s="202"/>
      </tp>
      <tp>
        <v>-0.35219644999999999</v>
        <stp/>
        <stp>_x000B_EURONOIS6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S24" s="202"/>
      </tp>
      <tp>
        <v>-0.107</v>
        <stp/>
        <stp>_x000B_EURONOIS5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T45" s="202"/>
      </tp>
      <tp>
        <v>-0.35417621300000002</v>
        <stp/>
        <stp>_x000B_EURONOIS1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S30" s="202"/>
      </tp>
      <tp>
        <v>-0.34806234400000002</v>
        <stp/>
        <stp>_x000B_EURONOIS2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T20" s="202"/>
      </tp>
      <tp>
        <v>-0.34900000000000003</v>
        <stp/>
        <stp>_x000B_EURONOIS1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S19" s="202"/>
      </tp>
      <tp>
        <v>-0.34700000000000003</v>
        <stp/>
        <stp>_x000B_EURONOIS2W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T17" s="202"/>
      </tp>
      <tp>
        <v>-0.33700000000000002</v>
        <stp/>
        <stp>_x000B_EURONOIS2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T42" s="202"/>
      </tp>
      <tp>
        <v>-0.34842114200000002</v>
        <stp/>
        <stp>_x000B_EURONOIS3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T21" s="202"/>
      </tp>
      <tp>
        <v>-0.34800000000000003</v>
        <stp/>
        <stp>_x000B_EURONOIS3W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T18" s="202"/>
      </tp>
      <tp>
        <v>-0.28100000000000003</v>
        <stp/>
        <stp>_x000B_EURONOIS3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T43" s="202"/>
      </tp>
      <tp>
        <v>-0.28100000000000003</v>
        <stp/>
        <stp>_x000B_EURONOIS3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S43" s="202"/>
      </tp>
      <tp>
        <v>-0.34800000000000003</v>
        <stp/>
        <stp>_x000B_EURONOIS3W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S18" s="202"/>
      </tp>
      <tp>
        <v>-0.34842114200000002</v>
        <stp/>
        <stp>_x000B_EURONOIS3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S21" s="202"/>
      </tp>
      <tp>
        <v>-0.33700000000000002</v>
        <stp/>
        <stp>_x000B_EURONOIS2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S42" s="202"/>
      </tp>
      <tp>
        <v>-0.34700000000000003</v>
        <stp/>
        <stp>_x000B_EURONOIS2W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S17" s="202"/>
      </tp>
      <tp>
        <v>-0.34900000000000003</v>
        <stp/>
        <stp>_x000B_EURONOIS1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T19" s="202"/>
      </tp>
      <tp>
        <v>-0.34806234400000002</v>
        <stp/>
        <stp>_x000B_EURONOIS2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S20" s="202"/>
      </tp>
      <tp>
        <v>-0.35417621300000002</v>
        <stp/>
        <stp>_x000B_EURONOIS1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T30" s="202"/>
      </tp>
      <tp>
        <v>0.34900000000000003</v>
        <stp/>
        <stp>_x000B_EURONOIS9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S49" s="202"/>
      </tp>
      <tp>
        <v>-0.35436553600000004</v>
        <stp/>
        <stp>_x000B_EURONOIS9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S27" s="202"/>
      </tp>
      <tp>
        <v>0.23600000000000002</v>
        <stp/>
        <stp>_x000B_EURONOIS8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S48" s="202"/>
      </tp>
      <tp>
        <v>-0.35393896700000005</v>
        <stp/>
        <stp>_x000B_EURONOIS8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S26" s="202"/>
      </tp>
      <tp>
        <v>-0.35393896700000005</v>
        <stp/>
        <stp>_x000B_EURONOIS8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T26" s="202"/>
      </tp>
      <tp>
        <v>0.23600000000000002</v>
        <stp/>
        <stp>_x000B_EURONOIS8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T48" s="202"/>
      </tp>
      <tp>
        <v>-0.35436553600000004</v>
        <stp/>
        <stp>_x000B_EURONOIS9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T27" s="202"/>
      </tp>
      <tp>
        <v>0.34900000000000003</v>
        <stp/>
        <stp>_x000B_EURONOIS9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T49" s="202"/>
      </tp>
      <tp>
        <v>-0.34900000000000003</v>
        <stp/>
        <stp>_x000B_EURONOISSW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T16" s="202"/>
      </tp>
      <tp>
        <v>-0.34900000000000003</v>
        <stp/>
        <stp>_x000B_EURONOISSW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S16" s="202"/>
      </tp>
      <tp>
        <v>0.45</v>
        <stp/>
        <stp>_x000B_USDOND=TTKL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Y13" s="70"/>
      </tp>
      <tp>
        <v>0.55000000000000004</v>
        <stp/>
        <stp>_x000B_USDOND=TTKL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Z13" s="70"/>
      </tp>
      <tp>
        <v>1.3355000000000001</v>
        <stp/>
        <stp>_x0013_USD_CURVE_DEP12M_6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24" s="70"/>
      </tp>
      <tp>
        <v>1.2974000000000001</v>
        <stp/>
        <stp>_x0013_USD_CURVE_DEP12M_5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23" s="70"/>
      </tp>
      <tp>
        <v>1.2509000000000001</v>
        <stp/>
        <stp>_x0013_USD_CURVE_DEP12M_4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22" s="70"/>
      </tp>
      <tp>
        <v>1.023521613</v>
        <stp/>
        <stp>_x0013_USD_CURVE_DEP12M_3W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18" s="70"/>
      </tp>
      <tp>
        <v>1.21</v>
        <stp/>
        <stp>_x0013_USD_CURVE_DEP12M_3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21" s="70"/>
      </tp>
      <tp>
        <v>1.0099497850000001</v>
        <stp/>
        <stp>_x0013_USD_CURVE_DEP12M_2W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17" s="70"/>
      </tp>
      <tp>
        <v>1.1553</v>
        <stp/>
        <stp>_x0013_USD_CURVE_DEP12M_2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20" s="70"/>
      </tp>
      <tp>
        <v>1.001770249</v>
        <stp/>
        <stp>_x0013_USD_CURVE_DEP12M_1W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16" s="70"/>
      </tp>
      <tp>
        <v>1.0488999999999999</v>
        <stp/>
        <stp>_x0013_USD_CURVE_DEP12M_1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19" s="70"/>
      </tp>
      <tp>
        <v>1.2974000000000001</v>
        <stp/>
        <stp>_x0013_USD_CURVE_DEP12M_5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P23" s="70"/>
      </tp>
      <tp>
        <v>1.2509000000000001</v>
        <stp/>
        <stp>_x0013_USD_CURVE_DEP12M_4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P22" s="70"/>
      </tp>
      <tp>
        <v>1.3355000000000001</v>
        <stp/>
        <stp>_x0013_USD_CURVE_DEP12M_6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P24" s="70"/>
      </tp>
      <tp>
        <v>1.001770249</v>
        <stp/>
        <stp>_x0013_USD_CURVE_DEP12M_1W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P16" s="70"/>
      </tp>
      <tp>
        <v>1.0488999999999999</v>
        <stp/>
        <stp>_x0013_USD_CURVE_DEP12M_1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P19" s="70"/>
      </tp>
      <tp>
        <v>1.023521613</v>
        <stp/>
        <stp>_x0013_USD_CURVE_DEP12M_3W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P18" s="70"/>
      </tp>
      <tp>
        <v>1.21</v>
        <stp/>
        <stp>_x0013_USD_CURVE_DEP12M_3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P21" s="70"/>
      </tp>
      <tp>
        <v>1.0099497850000001</v>
        <stp/>
        <stp>_x0013_USD_CURVE_DEP12M_2W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P17" s="70"/>
      </tp>
      <tp>
        <v>1.1553</v>
        <stp/>
        <stp>_x0013_USD_CURVE_DEP12M_2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P20" s="70"/>
      </tp>
      <tp>
        <v>1.097</v>
        <stp/>
        <stp>_x000B_EUR3MSW50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T76" s="202"/>
      </tp>
      <tp>
        <v>1.097</v>
        <stp/>
        <stp>_x000B_EUR3MSW50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76" s="202"/>
      </tp>
      <tp>
        <v>1.139</v>
        <stp/>
        <stp>_x000B_EUR1YSW60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C80" s="202"/>
      </tp>
      <tp>
        <v>1.139</v>
        <stp/>
        <stp>_x000B_EUR1YSW60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B80" s="202"/>
      </tp>
      <tp>
        <v>1.0170000000000001</v>
        <stp/>
        <stp>_x000B_EUR6MSW15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44" s="202"/>
        <tr r="AI54" s="202"/>
      </tp>
      <tp>
        <v>1.056238027</v>
        <stp/>
        <stp>_x000B_EUR6MSW16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45" s="202"/>
        <tr r="AH55" s="202"/>
      </tp>
      <tp>
        <v>0.96917744100000003</v>
        <stp/>
        <stp>_x000B_EUR6MSW14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43" s="202"/>
        <tr r="AI53" s="202"/>
      </tp>
      <tp>
        <v>1.0880167160000001</v>
        <stp/>
        <stp>_x000B_EUR6MSW17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46" s="202"/>
        <tr r="AH56" s="202"/>
      </tp>
      <tp>
        <v>1.0880167160000001</v>
        <stp/>
        <stp>_x000B_EUR6MSW17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46" s="202"/>
        <tr r="AI56" s="202"/>
      </tp>
      <tp>
        <v>0.96917744100000003</v>
        <stp/>
        <stp>_x000B_EUR6MSW14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43" s="202"/>
        <tr r="AH53" s="202"/>
      </tp>
      <tp>
        <v>1.056238027</v>
        <stp/>
        <stp>_x000B_EUR6MSW16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45" s="202"/>
        <tr r="AI55" s="202"/>
      </tp>
      <tp>
        <v>1.0170000000000001</v>
        <stp/>
        <stp>_x000B_EUR6MSW15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44" s="202"/>
        <tr r="AH54" s="202"/>
      </tp>
      <tp>
        <v>0.76879012099999999</v>
        <stp/>
        <stp>_x000B_EUR6MSW11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40" s="202"/>
        <tr r="AI50" s="202"/>
      </tp>
      <tp>
        <v>0.84599999999999997</v>
        <stp/>
        <stp>_x000B_EUR6MSW12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41" s="202"/>
        <tr r="AH51" s="202"/>
      </tp>
      <tp>
        <v>1.0130000000000001</v>
        <stp/>
        <stp>_x000B_EUR1MSW60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C77" s="202"/>
      </tp>
      <tp>
        <v>1.1440000000000001</v>
        <stp/>
        <stp>_x000B_EUR3MSW40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T75" s="202"/>
      </tp>
      <tp>
        <v>0.68200000000000005</v>
        <stp/>
        <stp>_x000B_EUR6MSW10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39" s="202"/>
        <tr r="AI49" s="202"/>
      </tp>
      <tp>
        <v>0.91248333400000003</v>
        <stp/>
        <stp>_x000B_EUR6MSW13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42" s="202"/>
        <tr r="AH52" s="202"/>
      </tp>
      <tp>
        <v>0.91248333400000003</v>
        <stp/>
        <stp>_x000B_EUR6MSW13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42" s="202"/>
        <tr r="AI52" s="202"/>
      </tp>
      <tp>
        <v>1.0130000000000001</v>
        <stp/>
        <stp>_x000B_EUR1MSW60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B77" s="202"/>
      </tp>
      <tp>
        <v>1.1440000000000001</v>
        <stp/>
        <stp>_x000B_EUR3MSW40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75" s="202"/>
      </tp>
      <tp>
        <v>0.68200000000000005</v>
        <stp/>
        <stp>_x000B_EUR6MSW10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39" s="202"/>
        <tr r="AH49" s="202"/>
      </tp>
      <tp>
        <v>0.84599999999999997</v>
        <stp/>
        <stp>_x000B_EUR6MSW12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41" s="202"/>
        <tr r="AI51" s="202"/>
      </tp>
      <tp>
        <v>0.76879012099999999</v>
        <stp/>
        <stp>_x000B_EUR6MSW11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40" s="202"/>
        <tr r="AH50" s="202"/>
      </tp>
      <tp>
        <v>1.1333180630000002</v>
        <stp/>
        <stp>_x000B_EUR6MSW19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48" s="202"/>
        <tr r="AI58" s="202"/>
      </tp>
      <tp>
        <v>1.113386862</v>
        <stp/>
        <stp>_x000B_EUR6MSW18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47" s="202"/>
        <tr r="AI57" s="202"/>
      </tp>
      <tp>
        <v>1.113386862</v>
        <stp/>
        <stp>_x000B_EUR6MSW18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47" s="202"/>
        <tr r="AH57" s="202"/>
      </tp>
      <tp>
        <v>1.1333180630000002</v>
        <stp/>
        <stp>_x000B_EUR6MSW19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48" s="202"/>
        <tr r="AH58" s="202"/>
      </tp>
      <tp>
        <v>0.45</v>
        <stp/>
        <stp>_x000B_USDSND=TTKL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Y15" s="70"/>
      </tp>
      <tp>
        <v>0.55000000000000004</v>
        <stp/>
        <stp>_x000B_USDSND=TTKL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Z15" s="70"/>
      </tp>
      <tp>
        <v>1.1779999999999999</v>
        <stp/>
        <stp>_x000B_EUR1YSW50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C79" s="202"/>
      </tp>
      <tp>
        <v>1.1779999999999999</v>
        <stp/>
        <stp>_x000B_EUR1YSW50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B79" s="202"/>
      </tp>
      <tp>
        <v>1.1850000000000001</v>
        <stp/>
        <stp>_x000B_EUR6MSW25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54" s="202"/>
        <tr r="AI64" s="202"/>
      </tp>
      <tp>
        <v>1.1882457980000001</v>
        <stp/>
        <stp>_x000B_EUR6MSW26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55" s="202"/>
        <tr r="AH65" s="202"/>
      </tp>
      <tp>
        <v>1.1811911370000001</v>
        <stp/>
        <stp>_x000B_EUR6MSW24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53" s="202"/>
        <tr r="AI63" s="202"/>
      </tp>
      <tp>
        <v>1.1909685060000001</v>
        <stp/>
        <stp>_x000B_EUR6MSW27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56" s="202"/>
        <tr r="AH66" s="202"/>
      </tp>
      <tp>
        <v>1.1909685060000001</v>
        <stp/>
        <stp>_x000B_EUR6MSW27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56" s="202"/>
        <tr r="AI66" s="202"/>
      </tp>
      <tp>
        <v>1.1811911370000001</v>
        <stp/>
        <stp>_x000B_EUR6MSW24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53" s="202"/>
        <tr r="AH63" s="202"/>
      </tp>
      <tp>
        <v>1.1882457980000001</v>
        <stp/>
        <stp>_x000B_EUR6MSW26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55" s="202"/>
        <tr r="AI65" s="202"/>
      </tp>
      <tp>
        <v>1.1850000000000001</v>
        <stp/>
        <stp>_x000B_EUR6MSW25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54" s="202"/>
        <tr r="AH64" s="202"/>
      </tp>
      <tp>
        <v>1.160757542</v>
        <stp/>
        <stp>_x000B_EUR6MSW21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50" s="202"/>
        <tr r="AI60" s="202"/>
      </tp>
      <tp>
        <v>1.1696028300000001</v>
        <stp/>
        <stp>_x000B_EUR6MSW22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51" s="202"/>
        <tr r="AH61" s="202"/>
      </tp>
      <tp>
        <v>1.0389999999999999</v>
        <stp/>
        <stp>_x000B_EUR1MSW50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C76" s="202"/>
      </tp>
      <tp>
        <v>1.149</v>
        <stp/>
        <stp>_x000B_EUR6MSW20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49" s="202"/>
        <tr r="AI59" s="202"/>
      </tp>
      <tp>
        <v>1.1761748830000001</v>
        <stp/>
        <stp>_x000B_EUR6MSW23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52" s="202"/>
        <tr r="AH62" s="202"/>
      </tp>
      <tp>
        <v>1.1761748830000001</v>
        <stp/>
        <stp>_x000B_EUR6MSW23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52" s="202"/>
        <tr r="AI62" s="202"/>
      </tp>
      <tp>
        <v>1.0389999999999999</v>
        <stp/>
        <stp>_x000B_EUR1MSW50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B76" s="202"/>
      </tp>
      <tp>
        <v>1.149</v>
        <stp/>
        <stp>_x000B_EUR6MSW20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49" s="202"/>
        <tr r="AH59" s="202"/>
      </tp>
      <tp>
        <v>1.1696028300000001</v>
        <stp/>
        <stp>_x000B_EUR6MSW22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51" s="202"/>
        <tr r="AI61" s="202"/>
      </tp>
      <tp>
        <v>1.160757542</v>
        <stp/>
        <stp>_x000B_EUR6MSW21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50" s="202"/>
        <tr r="AH60" s="202"/>
      </tp>
      <tp>
        <v>1.1949238660000001</v>
        <stp/>
        <stp>_x000B_EUR6MSW29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58" s="202"/>
        <tr r="AI68" s="202"/>
      </tp>
      <tp>
        <v>1.1932717020000001</v>
        <stp/>
        <stp>_x000B_EUR6MSW28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57" s="202"/>
        <tr r="AI67" s="202"/>
      </tp>
      <tp>
        <v>1.1932717020000001</v>
        <stp/>
        <stp>_x000B_EUR6MSW28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57" s="202"/>
        <tr r="AH67" s="202"/>
      </tp>
      <tp>
        <v>1.1949238660000001</v>
        <stp/>
        <stp>_x000B_EUR6MSW29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58" s="202"/>
        <tr r="AH68" s="202"/>
      </tp>
      <tp>
        <v>1.2370000000000001</v>
        <stp/>
        <stp>_x000B_EUR1YSW40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C78" s="202"/>
      </tp>
      <tp>
        <v>1.2370000000000001</v>
        <stp/>
        <stp>_x000B_EUR1YSW40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B78" s="202"/>
      </tp>
      <tp>
        <v>1.194</v>
        <stp/>
        <stp>_x000B_EUR6MSW35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64" s="202"/>
        <tr r="AI74" s="202"/>
      </tp>
      <tp>
        <v>1.1926288540000001</v>
        <stp/>
        <stp>_x000B_EUR6MSW36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65" s="202"/>
        <tr r="AH75" s="202"/>
      </tp>
      <tp>
        <v>1.1951774399999999</v>
        <stp/>
        <stp>_x000B_EUR6MSW34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63" s="202"/>
        <tr r="AI73" s="202"/>
      </tp>
      <tp>
        <v>1.190861108</v>
        <stp/>
        <stp>_x000B_EUR6MSW37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66" s="202"/>
        <tr r="AH76" s="202"/>
      </tp>
      <tp>
        <v>1.190861108</v>
        <stp/>
        <stp>_x000B_EUR6MSW37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66" s="202"/>
        <tr r="AI76" s="202"/>
      </tp>
      <tp>
        <v>1.1951774399999999</v>
        <stp/>
        <stp>_x000B_EUR6MSW34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63" s="202"/>
        <tr r="AH73" s="202"/>
      </tp>
      <tp>
        <v>1.1926288540000001</v>
        <stp/>
        <stp>_x000B_EUR6MSW36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65" s="202"/>
        <tr r="AI75" s="202"/>
      </tp>
      <tp>
        <v>1.194</v>
        <stp/>
        <stp>_x000B_EUR6MSW35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64" s="202"/>
        <tr r="AH74" s="202"/>
      </tp>
      <tp>
        <v>1.196491172</v>
        <stp/>
        <stp>_x000B_EUR6MSW31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60" s="202"/>
        <tr r="AI70" s="202"/>
      </tp>
      <tp>
        <v>1.1965369160000001</v>
        <stp/>
        <stp>_x000B_EUR6MSW32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61" s="202"/>
        <tr r="AH71" s="202"/>
      </tp>
      <tp>
        <v>1.081</v>
        <stp/>
        <stp>_x000B_EUR1MSW40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C75" s="202"/>
      </tp>
      <tp>
        <v>1.0660000000000001</v>
        <stp/>
        <stp>_x000B_EUR3MSW60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T77" s="202"/>
      </tp>
      <tp>
        <v>1.196</v>
        <stp/>
        <stp>_x000B_EUR6MSW30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59" s="202"/>
        <tr r="AI69" s="202"/>
      </tp>
      <tp>
        <v>1.1960474440000002</v>
        <stp/>
        <stp>_x000B_EUR6MSW33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62" s="202"/>
        <tr r="AH72" s="202"/>
      </tp>
      <tp>
        <v>1.1960474440000002</v>
        <stp/>
        <stp>_x000B_EUR6MSW33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62" s="202"/>
        <tr r="AI72" s="202"/>
      </tp>
      <tp>
        <v>1.081</v>
        <stp/>
        <stp>_x000B_EUR1MSW40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B75" s="202"/>
      </tp>
      <tp>
        <v>1.0660000000000001</v>
        <stp/>
        <stp>_x000B_EUR3MSW60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77" s="202"/>
      </tp>
      <tp>
        <v>1.196</v>
        <stp/>
        <stp>_x000B_EUR6MSW30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59" s="202"/>
        <tr r="AH69" s="202"/>
      </tp>
      <tp>
        <v>1.1965369160000001</v>
        <stp/>
        <stp>_x000B_EUR6MSW32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61" s="202"/>
        <tr r="AI71" s="202"/>
      </tp>
      <tp>
        <v>1.196491172</v>
        <stp/>
        <stp>_x000B_EUR6MSW31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60" s="202"/>
        <tr r="AH70" s="202"/>
      </tp>
      <tp>
        <v>1.1861086190000001</v>
        <stp/>
        <stp>_x000B_EUR6MSW39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68" s="202"/>
        <tr r="AI78" s="202"/>
      </tp>
      <tp>
        <v>1.188718108</v>
        <stp/>
        <stp>_x000B_EUR6MSW38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67" s="202"/>
        <tr r="AI77" s="202"/>
      </tp>
      <tp>
        <v>1.188718108</v>
        <stp/>
        <stp>_x000B_EUR6MSW38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67" s="202"/>
        <tr r="AH77" s="202"/>
      </tp>
      <tp>
        <v>1.1861086190000001</v>
        <stp/>
        <stp>_x000B_EUR6MSW39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68" s="202"/>
        <tr r="AH78" s="202"/>
      </tp>
      <tp>
        <v>1.2577532</v>
        <stp/>
        <stp>_x000B_EUR1YSW31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C69" s="202"/>
      </tp>
      <tp>
        <v>1.2572516970000001</v>
        <stp/>
        <stp>_x000B_EUR1YSW32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B70" s="202"/>
      </tp>
      <tp>
        <v>1.258</v>
        <stp/>
        <stp>_x000B_EUR1YSW30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C68" s="202"/>
      </tp>
      <tp>
        <v>1.2563005520000001</v>
        <stp/>
        <stp>_x000B_EUR1YSW33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B71" s="202"/>
      </tp>
      <tp>
        <v>1.2563005520000001</v>
        <stp/>
        <stp>_x000B_EUR1YSW33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C71" s="202"/>
      </tp>
      <tp>
        <v>1.258</v>
        <stp/>
        <stp>_x000B_EUR1YSW30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B68" s="202"/>
      </tp>
      <tp>
        <v>1.2572516970000001</v>
        <stp/>
        <stp>_x000B_EUR1YSW32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C70" s="202"/>
      </tp>
      <tp>
        <v>1.2577532</v>
        <stp/>
        <stp>_x000B_EUR1YSW31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B69" s="202"/>
      </tp>
      <tp>
        <v>1.2531760970000001</v>
        <stp/>
        <stp>_x000B_EUR1YSW35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C73" s="202"/>
      </tp>
      <tp>
        <v>1.251015736</v>
        <stp/>
        <stp>_x000B_EUR1YSW36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B74" s="202"/>
      </tp>
      <tp>
        <v>1.2549508700000001</v>
        <stp/>
        <stp>_x000B_EUR1YSW34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C72" s="202"/>
      </tp>
      <tp>
        <v>1.2482817800000001</v>
        <stp/>
        <stp>_x000B_EUR1YSW37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B75" s="202"/>
      </tp>
      <tp>
        <v>1.2482817800000001</v>
        <stp/>
        <stp>_x000B_EUR1YSW37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C75" s="202"/>
      </tp>
      <tp>
        <v>1.2549508700000001</v>
        <stp/>
        <stp>_x000B_EUR1YSW34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B72" s="202"/>
      </tp>
      <tp>
        <v>1.251015736</v>
        <stp/>
        <stp>_x000B_EUR1YSW36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C74" s="202"/>
      </tp>
      <tp>
        <v>1.2531760970000001</v>
        <stp/>
        <stp>_x000B_EUR1YSW35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B73" s="202"/>
      </tp>
      <tp>
        <v>1.241294903</v>
        <stp/>
        <stp>_x000B_EUR1YSW39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C77" s="202"/>
      </tp>
      <tp>
        <v>1.245058811</v>
        <stp/>
        <stp>_x000B_EUR1YSW38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C76" s="202"/>
      </tp>
      <tp>
        <v>1.245058811</v>
        <stp/>
        <stp>_x000B_EUR1YSW38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B76" s="202"/>
      </tp>
      <tp>
        <v>1.241294903</v>
        <stp/>
        <stp>_x000B_EUR1YSW39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B77" s="202"/>
      </tp>
      <tp>
        <v>1.084800129</v>
        <stp/>
        <stp>_x000B_EUR1MSW35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C70" s="202"/>
      </tp>
      <tp>
        <v>0.92700000000000005</v>
        <stp/>
        <stp>_x000B_EUR3MSW15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T50" s="202"/>
      </tp>
      <tp>
        <v>1.08541105</v>
        <stp/>
        <stp>_x000B_EUR1MSW36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B71" s="202"/>
      </tp>
      <tp>
        <v>0.97089252999999998</v>
        <stp/>
        <stp>_x000B_EUR3MSW16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51" s="202"/>
      </tp>
      <tp>
        <v>1.083631403</v>
        <stp/>
        <stp>_x000B_EUR1MSW34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C69" s="202"/>
      </tp>
      <tp>
        <v>0.87391950200000001</v>
        <stp/>
        <stp>_x000B_EUR3MSW14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T49" s="202"/>
      </tp>
      <tp>
        <v>1.0853059250000001</v>
        <stp/>
        <stp>_x000B_EUR1MSW37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B72" s="202"/>
      </tp>
      <tp>
        <v>1.006846275</v>
        <stp/>
        <stp>_x000B_EUR3MSW17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52" s="202"/>
      </tp>
      <tp>
        <v>1.0853059250000001</v>
        <stp/>
        <stp>_x000B_EUR1MSW37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C72" s="202"/>
      </tp>
      <tp>
        <v>1.006846275</v>
        <stp/>
        <stp>_x000B_EUR3MSW17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T52" s="202"/>
      </tp>
      <tp>
        <v>1.083631403</v>
        <stp/>
        <stp>_x000B_EUR1MSW34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B69" s="202"/>
      </tp>
      <tp>
        <v>0.87391950200000001</v>
        <stp/>
        <stp>_x000B_EUR3MSW14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49" s="202"/>
      </tp>
      <tp>
        <v>1.08541105</v>
        <stp/>
        <stp>_x000B_EUR1MSW36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C71" s="202"/>
      </tp>
      <tp>
        <v>0.97089252999999998</v>
        <stp/>
        <stp>_x000B_EUR3MSW16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T51" s="202"/>
      </tp>
      <tp>
        <v>1.084800129</v>
        <stp/>
        <stp>_x000B_EUR1MSW35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B70" s="202"/>
      </tp>
      <tp>
        <v>0.92700000000000005</v>
        <stp/>
        <stp>_x000B_EUR3MSW15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50" s="202"/>
      </tp>
      <tp>
        <v>1.076482202</v>
        <stp/>
        <stp>_x000B_EUR1MSW31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C66" s="202"/>
      </tp>
      <tp>
        <v>0.65547676100000007</v>
        <stp/>
        <stp>_x000B_EUR3MSW11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T46" s="202"/>
      </tp>
      <tp>
        <v>1.079503425</v>
        <stp/>
        <stp>_x000B_EUR1MSW32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B67" s="202"/>
      </tp>
      <tp>
        <v>0.73899999999999999</v>
        <stp/>
        <stp>_x000B_EUR3MSW12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47" s="202"/>
      </tp>
      <tp>
        <v>1.073</v>
        <stp/>
        <stp>_x000B_EUR1MSW30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C65" s="202"/>
      </tp>
      <tp>
        <v>0.56200000000000006</v>
        <stp/>
        <stp>_x000B_EUR3MSW10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T45" s="202"/>
      </tp>
      <tp>
        <v>1.1830000000000001</v>
        <stp/>
        <stp>_x000B_EUR6MSW40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69" s="202"/>
        <tr r="AI79" s="202"/>
      </tp>
      <tp>
        <v>1.081857415</v>
        <stp/>
        <stp>_x000B_EUR1MSW33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B68" s="202"/>
      </tp>
      <tp>
        <v>0.81152931300000009</v>
        <stp/>
        <stp>_x000B_EUR3MSW13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48" s="202"/>
      </tp>
      <tp>
        <v>1.081857415</v>
        <stp/>
        <stp>_x000B_EUR1MSW33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C68" s="202"/>
      </tp>
      <tp>
        <v>0.81152931300000009</v>
        <stp/>
        <stp>_x000B_EUR3MSW13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T48" s="202"/>
      </tp>
      <tp>
        <v>1.073</v>
        <stp/>
        <stp>_x000B_EUR1MSW30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B65" s="202"/>
      </tp>
      <tp>
        <v>0.56200000000000006</v>
        <stp/>
        <stp>_x000B_EUR3MSW10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45" s="202"/>
      </tp>
      <tp>
        <v>1.1830000000000001</v>
        <stp/>
        <stp>_x000B_EUR6MSW40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69" s="202"/>
        <tr r="AH79" s="202"/>
      </tp>
      <tp>
        <v>1.079503425</v>
        <stp/>
        <stp>_x000B_EUR1MSW32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C67" s="202"/>
      </tp>
      <tp>
        <v>0.73899999999999999</v>
        <stp/>
        <stp>_x000B_EUR3MSW12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T47" s="202"/>
      </tp>
      <tp>
        <v>1.076482202</v>
        <stp/>
        <stp>_x000B_EUR1MSW31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B66" s="202"/>
      </tp>
      <tp>
        <v>0.65547676100000007</v>
        <stp/>
        <stp>_x000B_EUR3MSW11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46" s="202"/>
      </tp>
      <tp>
        <v>1.0830984560000001</v>
        <stp/>
        <stp>_x000B_EUR1MSW39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C74" s="202"/>
      </tp>
      <tp>
        <v>1.059246618</v>
        <stp/>
        <stp>_x000B_EUR3MSW19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T54" s="202"/>
      </tp>
      <tp>
        <v>1.08454155</v>
        <stp/>
        <stp>_x000B_EUR1MSW38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C73" s="202"/>
      </tp>
      <tp>
        <v>1.035952159</v>
        <stp/>
        <stp>_x000B_EUR3MSW18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T53" s="202"/>
      </tp>
      <tp>
        <v>1.08454155</v>
        <stp/>
        <stp>_x000B_EUR1MSW38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B73" s="202"/>
      </tp>
      <tp>
        <v>1.035952159</v>
        <stp/>
        <stp>_x000B_EUR3MSW18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53" s="202"/>
      </tp>
      <tp>
        <v>1.0830984560000001</v>
        <stp/>
        <stp>_x000B_EUR1MSW39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B74" s="202"/>
      </tp>
      <tp>
        <v>1.059246618</v>
        <stp/>
        <stp>_x000B_EUR3MSW19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54" s="202"/>
      </tp>
      <tp>
        <v>1.237440104</v>
        <stp/>
        <stp>_x000B_EUR1YSW21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C59" s="202"/>
      </tp>
      <tp>
        <v>1.2441663220000001</v>
        <stp/>
        <stp>_x000B_EUR1YSW22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B60" s="202"/>
      </tp>
      <tp>
        <v>1.228</v>
        <stp/>
        <stp>_x000B_EUR1YSW20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C58" s="202"/>
      </tp>
      <tp>
        <v>1.248773637</v>
        <stp/>
        <stp>_x000B_EUR1YSW23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B61" s="202"/>
      </tp>
      <tp>
        <v>1.248773637</v>
        <stp/>
        <stp>_x000B_EUR1YSW23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C61" s="202"/>
      </tp>
      <tp>
        <v>1.228</v>
        <stp/>
        <stp>_x000B_EUR1YSW20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B58" s="202"/>
      </tp>
      <tp>
        <v>1.2441663220000001</v>
        <stp/>
        <stp>_x000B_EUR1YSW22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C60" s="202"/>
      </tp>
      <tp>
        <v>1.237440104</v>
        <stp/>
        <stp>_x000B_EUR1YSW21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B59" s="202"/>
      </tp>
      <tp>
        <v>1.254</v>
        <stp/>
        <stp>_x000B_EUR1YSW25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C63" s="202"/>
      </tp>
      <tp>
        <v>1.2555407980000002</v>
        <stp/>
        <stp>_x000B_EUR1YSW26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B64" s="202"/>
      </tp>
      <tp>
        <v>1.251949306</v>
        <stp/>
        <stp>_x000B_EUR1YSW24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C62" s="202"/>
      </tp>
      <tp>
        <v>1.256670749</v>
        <stp/>
        <stp>_x000B_EUR1YSW27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B65" s="202"/>
      </tp>
      <tp>
        <v>1.256670749</v>
        <stp/>
        <stp>_x000B_EUR1YSW27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C65" s="202"/>
      </tp>
      <tp>
        <v>1.251949306</v>
        <stp/>
        <stp>_x000B_EUR1YSW24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B62" s="202"/>
      </tp>
      <tp>
        <v>1.2555407980000002</v>
        <stp/>
        <stp>_x000B_EUR1YSW26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C64" s="202"/>
      </tp>
      <tp>
        <v>1.254</v>
        <stp/>
        <stp>_x000B_EUR1YSW25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B63" s="202"/>
      </tp>
      <tp>
        <v>1.2579301230000002</v>
        <stp/>
        <stp>_x000B_EUR1YSW29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C67" s="202"/>
      </tp>
      <tp>
        <v>1.2575300580000002</v>
        <stp/>
        <stp>_x000B_EUR1YSW28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C66" s="202"/>
      </tp>
      <tp>
        <v>1.2575300580000002</v>
        <stp/>
        <stp>_x000B_EUR1YSW28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B66" s="202"/>
      </tp>
      <tp>
        <v>1.2579301230000002</v>
        <stp/>
        <stp>_x000B_EUR1YSW29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B67" s="202"/>
      </tp>
      <tp>
        <v>1.0469999999999999</v>
        <stp/>
        <stp>_x000B_EUR1MSW25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C60" s="202"/>
      </tp>
      <tp>
        <v>1.0534187500000001</v>
        <stp/>
        <stp>_x000B_EUR1MSW26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B61" s="202"/>
      </tp>
      <tp>
        <v>1.0398523320000002</v>
        <stp/>
        <stp>_x000B_EUR1MSW24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C59" s="202"/>
      </tp>
      <tp>
        <v>1.0591606790000001</v>
        <stp/>
        <stp>_x000B_EUR1MSW27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B62" s="202"/>
      </tp>
      <tp>
        <v>1.0591606790000001</v>
        <stp/>
        <stp>_x000B_EUR1MSW27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C62" s="202"/>
      </tp>
      <tp>
        <v>1.0398523320000002</v>
        <stp/>
        <stp>_x000B_EUR1MSW24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B59" s="202"/>
      </tp>
      <tp>
        <v>1.0534187500000001</v>
        <stp/>
        <stp>_x000B_EUR1MSW26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C61" s="202"/>
      </tp>
      <tp>
        <v>1.0469999999999999</v>
        <stp/>
        <stp>_x000B_EUR1MSW25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B60" s="202"/>
      </tp>
      <tp>
        <v>1.0075749920000001</v>
        <stp/>
        <stp>_x000B_EUR1MSW21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C56" s="202"/>
      </tp>
      <tp>
        <v>-0.35680023100000002</v>
        <stp/>
        <stp>_x000B_EUR1MSW21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C33" s="202"/>
      </tp>
      <tp>
        <v>1.0207472180000001</v>
        <stp/>
        <stp>_x000B_EUR1MSW22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B57" s="202"/>
      </tp>
      <tp>
        <v>0.99099999999999999</v>
        <stp/>
        <stp>_x000B_EUR1MSW20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C55" s="202"/>
      </tp>
      <tp>
        <v>1.129</v>
        <stp/>
        <stp>_x000B_EUR6MSW50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70" s="202"/>
        <tr r="AI80" s="202"/>
      </tp>
      <tp>
        <v>1.0312464020000001</v>
        <stp/>
        <stp>_x000B_EUR1MSW23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B58" s="202"/>
      </tp>
      <tp>
        <v>1.0312464020000001</v>
        <stp/>
        <stp>_x000B_EUR1MSW23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C58" s="202"/>
      </tp>
      <tp>
        <v>0.99099999999999999</v>
        <stp/>
        <stp>_x000B_EUR1MSW20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B55" s="202"/>
      </tp>
      <tp>
        <v>1.129</v>
        <stp/>
        <stp>_x000B_EUR6MSW50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70" s="202"/>
        <tr r="AH80" s="202"/>
      </tp>
      <tp>
        <v>1.0207472180000001</v>
        <stp/>
        <stp>_x000B_EUR1MSW22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C57" s="202"/>
      </tp>
      <tp>
        <v>-0.35680023100000002</v>
        <stp/>
        <stp>_x000B_EUR1MSW21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B33" s="202"/>
      </tp>
      <tp>
        <v>1.0075749920000001</v>
        <stp/>
        <stp>_x000B_EUR1MSW21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B56" s="202"/>
      </tp>
      <tp>
        <v>1.068979127</v>
        <stp/>
        <stp>_x000B_EUR1MSW29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C64" s="202"/>
      </tp>
      <tp>
        <v>1.0644036780000001</v>
        <stp/>
        <stp>_x000B_EUR1MSW28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C63" s="202"/>
      </tp>
      <tp>
        <v>1.0644036780000001</v>
        <stp/>
        <stp>_x000B_EUR1MSW28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B63" s="202"/>
      </tp>
      <tp>
        <v>1.068979127</v>
        <stp/>
        <stp>_x000B_EUR1MSW29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B64" s="202"/>
      </tp>
      <tp>
        <v>0.887186947</v>
        <stp/>
        <stp>_x000B_EUR1YSW11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C49" s="202"/>
      </tp>
      <tp>
        <v>-8.103046500000001E-2</v>
        <stp/>
        <stp>_x000B_EUR1YDP11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C27" s="202"/>
      </tp>
      <tp>
        <v>-7.5900000000000009E-2</v>
        <stp/>
        <stp>_x000B_EUR1YDP12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B28" s="202"/>
      </tp>
      <tp>
        <v>0.95700000000000007</v>
        <stp/>
        <stp>_x000B_EUR1YSW12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B50" s="202"/>
      </tp>
      <tp>
        <v>0.80700000000000005</v>
        <stp/>
        <stp>_x000B_EUR1YSW10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C48" s="202"/>
      </tp>
      <tp>
        <v>-8.5904514000000001E-2</v>
        <stp/>
        <stp>_x000B_EUR1YDP10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C26" s="202"/>
      </tp>
      <tp>
        <v>1.017136847</v>
        <stp/>
        <stp>_x000B_EUR1YSW13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B51" s="202"/>
      </tp>
      <tp>
        <v>1.017136847</v>
        <stp/>
        <stp>_x000B_EUR1YSW13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C51" s="202"/>
      </tp>
      <tp>
        <v>-8.5904514000000001E-2</v>
        <stp/>
        <stp>_x000B_EUR1YDP10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B26" s="202"/>
      </tp>
      <tp>
        <v>0.80700000000000005</v>
        <stp/>
        <stp>_x000B_EUR1YSW10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B48" s="202"/>
      </tp>
      <tp>
        <v>0.95700000000000007</v>
        <stp/>
        <stp>_x000B_EUR1YSW12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C50" s="202"/>
      </tp>
      <tp>
        <v>-7.5900000000000009E-2</v>
        <stp/>
        <stp>_x000B_EUR1YDP12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C28" s="202"/>
      </tp>
      <tp>
        <v>-8.103046500000001E-2</v>
        <stp/>
        <stp>_x000B_EUR1YDP11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B27" s="202"/>
      </tp>
      <tp>
        <v>0.887186947</v>
        <stp/>
        <stp>_x000B_EUR1YSW11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B49" s="202"/>
      </tp>
      <tp>
        <v>1.1120000000000001</v>
        <stp/>
        <stp>_x000B_EUR1YSW15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C53" s="202"/>
      </tp>
      <tp>
        <v>1.1473398620000002</v>
        <stp/>
        <stp>_x000B_EUR1YSW16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B54" s="202"/>
      </tp>
      <tp>
        <v>1.068621249</v>
        <stp/>
        <stp>_x000B_EUR1YSW14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C52" s="202"/>
      </tp>
      <tp>
        <v>1.175596181</v>
        <stp/>
        <stp>_x000B_EUR1YSW17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B55" s="202"/>
      </tp>
      <tp>
        <v>1.175596181</v>
        <stp/>
        <stp>_x000B_EUR1YSW17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C55" s="202"/>
      </tp>
      <tp>
        <v>1.068621249</v>
        <stp/>
        <stp>_x000B_EUR1YSW14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B52" s="202"/>
      </tp>
      <tp>
        <v>1.1473398620000002</v>
        <stp/>
        <stp>_x000B_EUR1YSW16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C54" s="202"/>
      </tp>
      <tp>
        <v>1.1120000000000001</v>
        <stp/>
        <stp>_x000B_EUR1YSW15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B53" s="202"/>
      </tp>
      <tp>
        <v>1.2148926760000001</v>
        <stp/>
        <stp>_x000B_EUR1YSW19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C57" s="202"/>
      </tp>
      <tp>
        <v>1.1978043700000001</v>
        <stp/>
        <stp>_x000B_EUR1YSW18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C56" s="202"/>
      </tp>
      <tp>
        <v>1.1978043700000001</v>
        <stp/>
        <stp>_x000B_EUR1YSW18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B56" s="202"/>
      </tp>
      <tp>
        <v>1.2148926760000001</v>
        <stp/>
        <stp>_x000B_EUR1YSW19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B57" s="202"/>
      </tp>
      <tp>
        <v>0.82700000000000007</v>
        <stp/>
        <stp>_x000B_EUR1MSW15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C50" s="202"/>
      </tp>
      <tp>
        <v>1.1522565040000001</v>
        <stp/>
        <stp>_x000B_EUR3MSW35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T70" s="202"/>
      </tp>
      <tp>
        <v>-0.37170990400000004</v>
        <stp/>
        <stp>_x000B_EUR1MSW15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C31" s="202"/>
      </tp>
      <tp>
        <v>0.87354075800000008</v>
        <stp/>
        <stp>_x000B_EUR1MSW16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B51" s="202"/>
      </tp>
      <tp>
        <v>1.1518618040000002</v>
        <stp/>
        <stp>_x000B_EUR3MSW36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71" s="202"/>
      </tp>
      <tp>
        <v>0.771427961</v>
        <stp/>
        <stp>_x000B_EUR1MSW14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C49" s="202"/>
      </tp>
      <tp>
        <v>1.152138345</v>
        <stp/>
        <stp>_x000B_EUR3MSW34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T69" s="202"/>
      </tp>
      <tp>
        <v>0.91223364700000009</v>
        <stp/>
        <stp>_x000B_EUR1MSW17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B52" s="202"/>
      </tp>
      <tp>
        <v>1.1507952190000001</v>
        <stp/>
        <stp>_x000B_EUR3MSW37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72" s="202"/>
      </tp>
      <tp>
        <v>0.91223364700000009</v>
        <stp/>
        <stp>_x000B_EUR1MSW17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C52" s="202"/>
      </tp>
      <tp>
        <v>1.1507952190000001</v>
        <stp/>
        <stp>_x000B_EUR3MSW37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T72" s="202"/>
      </tp>
      <tp>
        <v>0.771427961</v>
        <stp/>
        <stp>_x000B_EUR1MSW14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B49" s="202"/>
      </tp>
      <tp>
        <v>1.152138345</v>
        <stp/>
        <stp>_x000B_EUR3MSW34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69" s="202"/>
      </tp>
      <tp>
        <v>0.87354075800000008</v>
        <stp/>
        <stp>_x000B_EUR1MSW16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C51" s="202"/>
      </tp>
      <tp>
        <v>1.1518618040000002</v>
        <stp/>
        <stp>_x000B_EUR3MSW36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T71" s="202"/>
      </tp>
      <tp>
        <v>-0.37170990400000004</v>
        <stp/>
        <stp>_x000B_EUR1MSW15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B31" s="202"/>
      </tp>
      <tp>
        <v>0.82700000000000007</v>
        <stp/>
        <stp>_x000B_EUR1MSW15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B50" s="202"/>
      </tp>
      <tp>
        <v>1.1522565040000001</v>
        <stp/>
        <stp>_x000B_EUR3MSW35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70" s="202"/>
      </tp>
      <tp>
        <v>0.54869200699999998</v>
        <stp/>
        <stp>_x000B_EUR1MSW11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C46" s="202"/>
      </tp>
      <tp>
        <v>1.1483292</v>
        <stp/>
        <stp>_x000B_EUR3MSW31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T66" s="202"/>
      </tp>
      <tp>
        <v>-0.37</v>
        <stp/>
        <stp>_x000B_EUR1MSW12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B30" s="202"/>
      </tp>
      <tp>
        <v>-0.371</v>
        <stp/>
        <stp>_x000B_EUR1MSW11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C29" s="202"/>
      </tp>
      <tp>
        <v>0.63300000000000001</v>
        <stp/>
        <stp>_x000B_EUR1MSW12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B47" s="202"/>
      </tp>
      <tp>
        <v>1.150210776</v>
        <stp/>
        <stp>_x000B_EUR3MSW32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67" s="202"/>
      </tp>
      <tp>
        <v>0.45400000000000001</v>
        <stp/>
        <stp>_x000B_EUR1MSW10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C45" s="202"/>
      </tp>
      <tp>
        <v>1.1460000000000001</v>
        <stp/>
        <stp>_x000B_EUR3MSW30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T65" s="202"/>
      </tp>
      <tp>
        <v>1.0940000000000001</v>
        <stp/>
        <stp>_x000B_EUR6MSW60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71" s="202"/>
        <tr r="AI81" s="202"/>
      </tp>
      <tp>
        <v>-0.372</v>
        <stp/>
        <stp>_x000B_EUR1MSW10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C28" s="202"/>
      </tp>
      <tp>
        <v>0.70696389400000004</v>
        <stp/>
        <stp>_x000B_EUR1MSW13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B48" s="202"/>
      </tp>
      <tp>
        <v>1.1514514530000002</v>
        <stp/>
        <stp>_x000B_EUR3MSW33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68" s="202"/>
      </tp>
      <tp>
        <v>0.70696389400000004</v>
        <stp/>
        <stp>_x000B_EUR1MSW13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C48" s="202"/>
      </tp>
      <tp>
        <v>1.1514514530000002</v>
        <stp/>
        <stp>_x000B_EUR3MSW33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T68" s="202"/>
      </tp>
      <tp>
        <v>-0.372</v>
        <stp/>
        <stp>_x000B_EUR1MSW10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B28" s="202"/>
      </tp>
      <tp>
        <v>0.45400000000000001</v>
        <stp/>
        <stp>_x000B_EUR1MSW10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B45" s="202"/>
      </tp>
      <tp>
        <v>1.1460000000000001</v>
        <stp/>
        <stp>_x000B_EUR3MSW30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65" s="202"/>
      </tp>
      <tp>
        <v>1.0940000000000001</v>
        <stp/>
        <stp>_x000B_EUR6MSW60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71" s="202"/>
        <tr r="AH81" s="202"/>
      </tp>
      <tp>
        <v>0.63300000000000001</v>
        <stp/>
        <stp>_x000B_EUR1MSW12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C47" s="202"/>
      </tp>
      <tp>
        <v>1.150210776</v>
        <stp/>
        <stp>_x000B_EUR3MSW32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T67" s="202"/>
      </tp>
      <tp>
        <v>-0.371</v>
        <stp/>
        <stp>_x000B_EUR1MSW11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B29" s="202"/>
      </tp>
      <tp>
        <v>-0.37</v>
        <stp/>
        <stp>_x000B_EUR1MSW12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C30" s="202"/>
      </tp>
      <tp>
        <v>0.54869200699999998</v>
        <stp/>
        <stp>_x000B_EUR1MSW11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B46" s="202"/>
      </tp>
      <tp>
        <v>1.1483292</v>
        <stp/>
        <stp>_x000B_EUR3MSW31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66" s="202"/>
      </tp>
      <tp>
        <v>0.96990550100000006</v>
        <stp/>
        <stp>_x000B_EUR1MSW19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C54" s="202"/>
      </tp>
      <tp>
        <v>1.14685997</v>
        <stp/>
        <stp>_x000B_EUR3MSW39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T74" s="202"/>
      </tp>
      <tp>
        <v>0.94404319800000003</v>
        <stp/>
        <stp>_x000B_EUR1MSW18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C53" s="202"/>
      </tp>
      <tp>
        <v>1.149134879</v>
        <stp/>
        <stp>_x000B_EUR3MSW38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T73" s="202"/>
      </tp>
      <tp>
        <v>-0.36428020900000002</v>
        <stp/>
        <stp>_x000B_EUR1MSW18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C32" s="202"/>
      </tp>
      <tp>
        <v>-0.36428020900000002</v>
        <stp/>
        <stp>_x000B_EUR1MSW18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B32" s="202"/>
      </tp>
      <tp>
        <v>0.94404319800000003</v>
        <stp/>
        <stp>_x000B_EUR1MSW18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B53" s="202"/>
      </tp>
      <tp>
        <v>1.149134879</v>
        <stp/>
        <stp>_x000B_EUR3MSW38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73" s="202"/>
      </tp>
      <tp>
        <v>0.96990550100000006</v>
        <stp/>
        <stp>_x000B_EUR1MSW19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B54" s="202"/>
      </tp>
      <tp>
        <v>1.14685997</v>
        <stp/>
        <stp>_x000B_EUR3MSW39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74" s="202"/>
      </tp>
      <tp>
        <v>0.45</v>
        <stp/>
        <stp>_x000B_USDTND=TTKL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Y14" s="70"/>
      </tp>
      <tp>
        <v>0.55000000000000004</v>
        <stp/>
        <stp>_x000B_USDTND=TTKL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Z14" s="70"/>
      </tp>
      <tp>
        <v>1.1260000000000001</v>
        <stp/>
        <stp>_x000B_EUR3MSW25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T60" s="202"/>
      </tp>
      <tp>
        <v>1.1311609710000001</v>
        <stp/>
        <stp>_x000B_EUR3MSW26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61" s="202"/>
      </tp>
      <tp>
        <v>1.120149227</v>
        <stp/>
        <stp>_x000B_EUR3MSW24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T59" s="202"/>
      </tp>
      <tp>
        <v>1.135686806</v>
        <stp/>
        <stp>_x000B_EUR3MSW27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62" s="202"/>
      </tp>
      <tp>
        <v>1.135686806</v>
        <stp/>
        <stp>_x000B_EUR3MSW27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T62" s="202"/>
      </tp>
      <tp>
        <v>1.120149227</v>
        <stp/>
        <stp>_x000B_EUR3MSW24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59" s="202"/>
      </tp>
      <tp>
        <v>1.1311609710000001</v>
        <stp/>
        <stp>_x000B_EUR3MSW26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T61" s="202"/>
      </tp>
      <tp>
        <v>1.1260000000000001</v>
        <stp/>
        <stp>_x000B_EUR3MSW25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60" s="202"/>
      </tp>
      <tp>
        <v>1.0925542560000001</v>
        <stp/>
        <stp>_x000B_EUR3MSW21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T56" s="202"/>
      </tp>
      <tp>
        <v>1.1039757320000001</v>
        <stp/>
        <stp>_x000B_EUR3MSW22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57" s="202"/>
      </tp>
      <tp>
        <v>1.0780000000000001</v>
        <stp/>
        <stp>_x000B_EUR3MSW20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T55" s="202"/>
      </tp>
      <tp>
        <v>1.1129306330000002</v>
        <stp/>
        <stp>_x000B_EUR3MSW23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58" s="202"/>
      </tp>
      <tp>
        <v>1.1129306330000002</v>
        <stp/>
        <stp>_x000B_EUR3MSW23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T58" s="202"/>
      </tp>
      <tp>
        <v>1.0780000000000001</v>
        <stp/>
        <stp>_x000B_EUR3MSW20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55" s="202"/>
      </tp>
      <tp>
        <v>1.1039757320000001</v>
        <stp/>
        <stp>_x000B_EUR3MSW22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T57" s="202"/>
      </tp>
      <tp>
        <v>1.0925542560000001</v>
        <stp/>
        <stp>_x000B_EUR3MSW21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56" s="202"/>
      </tp>
      <tp>
        <v>1.143141545</v>
        <stp/>
        <stp>_x000B_EUR3MSW29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T64" s="202"/>
      </tp>
      <tp>
        <v>1.1397416300000001</v>
        <stp/>
        <stp>_x000B_EUR3MSW28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T63" s="202"/>
      </tp>
      <tp>
        <v>1.1397416300000001</v>
        <stp/>
        <stp>_x000B_EUR3MSW28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63" s="202"/>
      </tp>
      <tp>
        <v>1.143141545</v>
        <stp/>
        <stp>_x000B_EUR3MSW29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64" s="202"/>
      </tp>
      <tp>
        <v>97.840157118000008</v>
        <stp/>
        <stp>_x0013_USD_CURVE_FUT12M_U8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31" s="70"/>
      </tp>
      <tp>
        <v>97.922591989000011</v>
        <stp/>
        <stp>_x0013_USD_CURVE_FUT12M_U7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27" s="70"/>
      </tp>
      <tp>
        <v>98.141467521999999</v>
        <stp/>
        <stp>_x0013_USD_CURVE_FUT12M_Z7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28" s="70"/>
      </tp>
      <tp>
        <v>97.920764218000002</v>
        <stp/>
        <stp>_x0013_USD_CURVE_FUT12M_M8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30" s="70"/>
      </tp>
      <tp>
        <v>98.201257175000009</v>
        <stp/>
        <stp>_x0013_USD_CURVE_FUT12M_M7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26" s="70"/>
      </tp>
      <tp>
        <v>98.302044577000004</v>
        <stp/>
        <stp>_x0013_USD_CURVE_FUT12M_H8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29" s="70"/>
      </tp>
      <tp>
        <v>98.201257175000009</v>
        <stp/>
        <stp>_x0013_USD_CURVE_FUT12M_M7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P26" s="70"/>
      </tp>
      <tp>
        <v>97.920764218000002</v>
        <stp/>
        <stp>_x0013_USD_CURVE_FUT12M_M8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P30" s="70"/>
      </tp>
      <tp>
        <v>98.302044577000004</v>
        <stp/>
        <stp>_x0013_USD_CURVE_FUT12M_H8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P29" s="70"/>
      </tp>
      <tp>
        <v>98.141467521999999</v>
        <stp/>
        <stp>_x0013_USD_CURVE_FUT12M_Z7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P28" s="70"/>
      </tp>
      <tp>
        <v>97.922591989000011</v>
        <stp/>
        <stp>_x0013_USD_CURVE_FUT12M_U7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P27" s="70"/>
      </tp>
      <tp>
        <v>97.840157118000008</v>
        <stp/>
        <stp>_x0013_USD_CURVE_FUT12M_U8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P31" s="70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externalLink" Target="externalLinks/externalLink1.xml"/><Relationship Id="rId39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externalLink" Target="externalLinks/externalLink9.xml"/><Relationship Id="rId42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externalLink" Target="externalLinks/externalLink8.xml"/><Relationship Id="rId38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externalLink" Target="externalLinks/externalLink4.xml"/><Relationship Id="rId41" Type="http://schemas.openxmlformats.org/officeDocument/2006/relationships/volatileDependencies" Target="volatileDependenci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externalLink" Target="externalLinks/externalLink7.xml"/><Relationship Id="rId37" Type="http://schemas.openxmlformats.org/officeDocument/2006/relationships/theme" Target="theme/theme1.xml"/><Relationship Id="rId40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externalLink" Target="externalLinks/externalLink3.xml"/><Relationship Id="rId36" Type="http://schemas.openxmlformats.org/officeDocument/2006/relationships/externalLink" Target="externalLinks/externalLink1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externalLink" Target="externalLinks/externalLink6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externalLink" Target="externalLinks/externalLink2.xml"/><Relationship Id="rId30" Type="http://schemas.openxmlformats.org/officeDocument/2006/relationships/externalLink" Target="externalLinks/externalLink5.xml"/><Relationship Id="rId35" Type="http://schemas.openxmlformats.org/officeDocument/2006/relationships/externalLink" Target="externalLinks/externalLink10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Eur NetChg 1W</a:t>
            </a:r>
            <a:r>
              <a:rPr lang="en-US">
                <a:latin typeface="Calibri"/>
              </a:rPr>
              <a:t>÷</a:t>
            </a:r>
            <a:r>
              <a:rPr lang="en-US"/>
              <a:t>9M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5"/>
          <c:order val="0"/>
          <c:tx>
            <c:strRef>
              <c:f>EurChart!$AC$4</c:f>
              <c:strCache>
                <c:ptCount val="1"/>
                <c:pt idx="0">
                  <c:v>EurStd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cat>
            <c:strRef>
              <c:f>EurChart!$AA$5:$AA$16</c:f>
              <c:strCache>
                <c:ptCount val="12"/>
                <c:pt idx="0">
                  <c:v>1W</c:v>
                </c:pt>
                <c:pt idx="1">
                  <c:v>2W</c:v>
                </c:pt>
                <c:pt idx="2">
                  <c:v>3W</c:v>
                </c:pt>
                <c:pt idx="3">
                  <c:v>1M</c:v>
                </c:pt>
                <c:pt idx="4">
                  <c:v>2M</c:v>
                </c:pt>
                <c:pt idx="5">
                  <c:v>3M</c:v>
                </c:pt>
                <c:pt idx="6">
                  <c:v>4M</c:v>
                </c:pt>
                <c:pt idx="7">
                  <c:v>5M</c:v>
                </c:pt>
                <c:pt idx="8">
                  <c:v>6M</c:v>
                </c:pt>
                <c:pt idx="9">
                  <c:v>7M</c:v>
                </c:pt>
                <c:pt idx="10">
                  <c:v>8M</c:v>
                </c:pt>
                <c:pt idx="11">
                  <c:v>9M</c:v>
                </c:pt>
              </c:strCache>
            </c:strRef>
          </c:cat>
          <c:val>
            <c:numRef>
              <c:f>EurChart!$AC$5:$AC$16</c:f>
              <c:numCache>
                <c:formatCode>0.000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-5.5511151231257827E-15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smooth val="0"/>
        </c:ser>
        <c:ser>
          <c:idx val="0"/>
          <c:order val="1"/>
          <c:tx>
            <c:strRef>
              <c:f>EurChart!$AD$4</c:f>
              <c:strCache>
                <c:ptCount val="1"/>
                <c:pt idx="0">
                  <c:v>Eur3M</c:v>
                </c:pt>
              </c:strCache>
            </c:strRef>
          </c:tx>
          <c:marker>
            <c:symbol val="none"/>
          </c:marker>
          <c:cat>
            <c:strRef>
              <c:f>EurChart!$AA$5:$AA$16</c:f>
              <c:strCache>
                <c:ptCount val="12"/>
                <c:pt idx="0">
                  <c:v>1W</c:v>
                </c:pt>
                <c:pt idx="1">
                  <c:v>2W</c:v>
                </c:pt>
                <c:pt idx="2">
                  <c:v>3W</c:v>
                </c:pt>
                <c:pt idx="3">
                  <c:v>1M</c:v>
                </c:pt>
                <c:pt idx="4">
                  <c:v>2M</c:v>
                </c:pt>
                <c:pt idx="5">
                  <c:v>3M</c:v>
                </c:pt>
                <c:pt idx="6">
                  <c:v>4M</c:v>
                </c:pt>
                <c:pt idx="7">
                  <c:v>5M</c:v>
                </c:pt>
                <c:pt idx="8">
                  <c:v>6M</c:v>
                </c:pt>
                <c:pt idx="9">
                  <c:v>7M</c:v>
                </c:pt>
                <c:pt idx="10">
                  <c:v>8M</c:v>
                </c:pt>
                <c:pt idx="11">
                  <c:v>9M</c:v>
                </c:pt>
              </c:strCache>
            </c:strRef>
          </c:cat>
          <c:val>
            <c:numRef>
              <c:f>EurChart!$AD$5:$AD$16</c:f>
              <c:numCache>
                <c:formatCode>0.000</c:formatCode>
                <c:ptCount val="12"/>
                <c:pt idx="0">
                  <c:v>0.18670050000000327</c:v>
                </c:pt>
                <c:pt idx="1">
                  <c:v>0.18668900000000099</c:v>
                </c:pt>
                <c:pt idx="2">
                  <c:v>0.18667729999999882</c:v>
                </c:pt>
                <c:pt idx="3">
                  <c:v>0.18999999999999573</c:v>
                </c:pt>
                <c:pt idx="4">
                  <c:v>4.0000000000001146E-2</c:v>
                </c:pt>
                <c:pt idx="5">
                  <c:v>5.9999999999998943E-2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smooth val="0"/>
        </c:ser>
        <c:ser>
          <c:idx val="1"/>
          <c:order val="2"/>
          <c:tx>
            <c:strRef>
              <c:f>EurChart!$AE$4</c:f>
              <c:strCache>
                <c:ptCount val="1"/>
                <c:pt idx="0">
                  <c:v>Eur6M</c:v>
                </c:pt>
              </c:strCache>
            </c:strRef>
          </c:tx>
          <c:marker>
            <c:symbol val="none"/>
          </c:marker>
          <c:cat>
            <c:strRef>
              <c:f>EurChart!$AA$5:$AA$16</c:f>
              <c:strCache>
                <c:ptCount val="12"/>
                <c:pt idx="0">
                  <c:v>1W</c:v>
                </c:pt>
                <c:pt idx="1">
                  <c:v>2W</c:v>
                </c:pt>
                <c:pt idx="2">
                  <c:v>3W</c:v>
                </c:pt>
                <c:pt idx="3">
                  <c:v>1M</c:v>
                </c:pt>
                <c:pt idx="4">
                  <c:v>2M</c:v>
                </c:pt>
                <c:pt idx="5">
                  <c:v>3M</c:v>
                </c:pt>
                <c:pt idx="6">
                  <c:v>4M</c:v>
                </c:pt>
                <c:pt idx="7">
                  <c:v>5M</c:v>
                </c:pt>
                <c:pt idx="8">
                  <c:v>6M</c:v>
                </c:pt>
                <c:pt idx="9">
                  <c:v>7M</c:v>
                </c:pt>
                <c:pt idx="10">
                  <c:v>8M</c:v>
                </c:pt>
                <c:pt idx="11">
                  <c:v>9M</c:v>
                </c:pt>
              </c:strCache>
            </c:strRef>
          </c:cat>
          <c:val>
            <c:numRef>
              <c:f>EurChart!$AE$5:$AE$16</c:f>
              <c:numCache>
                <c:formatCode>0.000</c:formatCode>
                <c:ptCount val="12"/>
                <c:pt idx="0">
                  <c:v>0.2066256999999988</c:v>
                </c:pt>
                <c:pt idx="1">
                  <c:v>0.2066162999999982</c:v>
                </c:pt>
                <c:pt idx="2">
                  <c:v>0.20660679999999765</c:v>
                </c:pt>
                <c:pt idx="3">
                  <c:v>0.20999999999999908</c:v>
                </c:pt>
                <c:pt idx="4">
                  <c:v>0.10000000000000009</c:v>
                </c:pt>
                <c:pt idx="5">
                  <c:v>0.13999999999999846</c:v>
                </c:pt>
                <c:pt idx="6">
                  <c:v>-2.7755575615628914E-15</c:v>
                </c:pt>
                <c:pt idx="7">
                  <c:v>2.9999999999999472E-2</c:v>
                </c:pt>
                <c:pt idx="8">
                  <c:v>-2.7755575615628914E-15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smooth val="0"/>
        </c:ser>
        <c:ser>
          <c:idx val="2"/>
          <c:order val="3"/>
          <c:tx>
            <c:strRef>
              <c:f>EurChart!$AF$4</c:f>
              <c:strCache>
                <c:ptCount val="1"/>
                <c:pt idx="0">
                  <c:v>Eur1Y</c:v>
                </c:pt>
              </c:strCache>
            </c:strRef>
          </c:tx>
          <c:marker>
            <c:symbol val="none"/>
          </c:marker>
          <c:cat>
            <c:strRef>
              <c:f>EurChart!$AA$5:$AA$16</c:f>
              <c:strCache>
                <c:ptCount val="12"/>
                <c:pt idx="0">
                  <c:v>1W</c:v>
                </c:pt>
                <c:pt idx="1">
                  <c:v>2W</c:v>
                </c:pt>
                <c:pt idx="2">
                  <c:v>3W</c:v>
                </c:pt>
                <c:pt idx="3">
                  <c:v>1M</c:v>
                </c:pt>
                <c:pt idx="4">
                  <c:v>2M</c:v>
                </c:pt>
                <c:pt idx="5">
                  <c:v>3M</c:v>
                </c:pt>
                <c:pt idx="6">
                  <c:v>4M</c:v>
                </c:pt>
                <c:pt idx="7">
                  <c:v>5M</c:v>
                </c:pt>
                <c:pt idx="8">
                  <c:v>6M</c:v>
                </c:pt>
                <c:pt idx="9">
                  <c:v>7M</c:v>
                </c:pt>
                <c:pt idx="10">
                  <c:v>8M</c:v>
                </c:pt>
                <c:pt idx="11">
                  <c:v>9M</c:v>
                </c:pt>
              </c:strCache>
            </c:strRef>
          </c:cat>
          <c:val>
            <c:numRef>
              <c:f>EurChart!$AF$5:$AF$16</c:f>
              <c:numCache>
                <c:formatCode>0.000</c:formatCode>
                <c:ptCount val="12"/>
                <c:pt idx="0">
                  <c:v>1.1603671999999996</c:v>
                </c:pt>
                <c:pt idx="1">
                  <c:v>1.1603404999999998</c:v>
                </c:pt>
                <c:pt idx="2">
                  <c:v>1.1603138</c:v>
                </c:pt>
                <c:pt idx="3">
                  <c:v>1.1602580000000002</c:v>
                </c:pt>
                <c:pt idx="4">
                  <c:v>1.1601788000000002</c:v>
                </c:pt>
                <c:pt idx="5">
                  <c:v>1.1599999999999999</c:v>
                </c:pt>
                <c:pt idx="6">
                  <c:v>1.0928429999999989</c:v>
                </c:pt>
                <c:pt idx="7">
                  <c:v>0.99881489999999884</c:v>
                </c:pt>
                <c:pt idx="8">
                  <c:v>0.80999999999999961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smooth val="0"/>
        </c:ser>
        <c:ser>
          <c:idx val="3"/>
          <c:order val="4"/>
          <c:tx>
            <c:strRef>
              <c:f>EurChart!$AG$4</c:f>
              <c:strCache>
                <c:ptCount val="1"/>
                <c:pt idx="0">
                  <c:v>Eur1M</c:v>
                </c:pt>
              </c:strCache>
            </c:strRef>
          </c:tx>
          <c:marker>
            <c:symbol val="none"/>
          </c:marker>
          <c:cat>
            <c:strRef>
              <c:f>EurChart!$AA$5:$AA$16</c:f>
              <c:strCache>
                <c:ptCount val="12"/>
                <c:pt idx="0">
                  <c:v>1W</c:v>
                </c:pt>
                <c:pt idx="1">
                  <c:v>2W</c:v>
                </c:pt>
                <c:pt idx="2">
                  <c:v>3W</c:v>
                </c:pt>
                <c:pt idx="3">
                  <c:v>1M</c:v>
                </c:pt>
                <c:pt idx="4">
                  <c:v>2M</c:v>
                </c:pt>
                <c:pt idx="5">
                  <c:v>3M</c:v>
                </c:pt>
                <c:pt idx="6">
                  <c:v>4M</c:v>
                </c:pt>
                <c:pt idx="7">
                  <c:v>5M</c:v>
                </c:pt>
                <c:pt idx="8">
                  <c:v>6M</c:v>
                </c:pt>
                <c:pt idx="9">
                  <c:v>7M</c:v>
                </c:pt>
                <c:pt idx="10">
                  <c:v>8M</c:v>
                </c:pt>
                <c:pt idx="11">
                  <c:v>9M</c:v>
                </c:pt>
              </c:strCache>
            </c:strRef>
          </c:cat>
          <c:val>
            <c:numRef>
              <c:f>EurChart!$AG$5:$AG$16</c:f>
              <c:numCache>
                <c:formatCode>0.000</c:formatCode>
                <c:ptCount val="12"/>
                <c:pt idx="0">
                  <c:v>-0.46000000000000485</c:v>
                </c:pt>
                <c:pt idx="1">
                  <c:v>-0.37000000000000366</c:v>
                </c:pt>
                <c:pt idx="2">
                  <c:v>-0.29000000000000137</c:v>
                </c:pt>
                <c:pt idx="3">
                  <c:v>-0.20000000000000018</c:v>
                </c:pt>
                <c:pt idx="4">
                  <c:v>-0.20000000000000018</c:v>
                </c:pt>
                <c:pt idx="5">
                  <c:v>-0.20000000000000018</c:v>
                </c:pt>
                <c:pt idx="6">
                  <c:v>-0.20000000000000018</c:v>
                </c:pt>
                <c:pt idx="7">
                  <c:v>-0.10000000000000009</c:v>
                </c:pt>
                <c:pt idx="8">
                  <c:v>-0.10000000000000009</c:v>
                </c:pt>
                <c:pt idx="9">
                  <c:v>-0.10000000000000009</c:v>
                </c:pt>
                <c:pt idx="10">
                  <c:v>-0.10000000000000009</c:v>
                </c:pt>
                <c:pt idx="11">
                  <c:v>-0.10000000000000009</c:v>
                </c:pt>
              </c:numCache>
            </c:numRef>
          </c:val>
          <c:smooth val="0"/>
        </c:ser>
        <c:ser>
          <c:idx val="4"/>
          <c:order val="5"/>
          <c:tx>
            <c:strRef>
              <c:f>EurChart!$AH$4</c:f>
              <c:strCache>
                <c:ptCount val="1"/>
                <c:pt idx="0">
                  <c:v>EurOIS</c:v>
                </c:pt>
              </c:strCache>
            </c:strRef>
          </c:tx>
          <c:spPr>
            <a:ln>
              <a:solidFill>
                <a:schemeClr val="accent6"/>
              </a:solidFill>
            </a:ln>
          </c:spPr>
          <c:marker>
            <c:symbol val="none"/>
          </c:marker>
          <c:cat>
            <c:strRef>
              <c:f>EurChart!$AA$5:$AA$16</c:f>
              <c:strCache>
                <c:ptCount val="12"/>
                <c:pt idx="0">
                  <c:v>1W</c:v>
                </c:pt>
                <c:pt idx="1">
                  <c:v>2W</c:v>
                </c:pt>
                <c:pt idx="2">
                  <c:v>3W</c:v>
                </c:pt>
                <c:pt idx="3">
                  <c:v>1M</c:v>
                </c:pt>
                <c:pt idx="4">
                  <c:v>2M</c:v>
                </c:pt>
                <c:pt idx="5">
                  <c:v>3M</c:v>
                </c:pt>
                <c:pt idx="6">
                  <c:v>4M</c:v>
                </c:pt>
                <c:pt idx="7">
                  <c:v>5M</c:v>
                </c:pt>
                <c:pt idx="8">
                  <c:v>6M</c:v>
                </c:pt>
                <c:pt idx="9">
                  <c:v>7M</c:v>
                </c:pt>
                <c:pt idx="10">
                  <c:v>8M</c:v>
                </c:pt>
                <c:pt idx="11">
                  <c:v>9M</c:v>
                </c:pt>
              </c:strCache>
            </c:strRef>
          </c:cat>
          <c:val>
            <c:numRef>
              <c:f>EurChart!$AH$5:$AH$16</c:f>
              <c:numCache>
                <c:formatCode>0.000</c:formatCode>
                <c:ptCount val="12"/>
                <c:pt idx="0">
                  <c:v>-5.5511151231257827E-15</c:v>
                </c:pt>
                <c:pt idx="1">
                  <c:v>-5.5511151231257827E-15</c:v>
                </c:pt>
                <c:pt idx="2">
                  <c:v>-5.5511151231257827E-15</c:v>
                </c:pt>
                <c:pt idx="3">
                  <c:v>-5.5511151231257827E-15</c:v>
                </c:pt>
                <c:pt idx="4">
                  <c:v>-0.10623440000000484</c:v>
                </c:pt>
                <c:pt idx="5">
                  <c:v>1.8560299999997865E-2</c:v>
                </c:pt>
                <c:pt idx="6">
                  <c:v>-9.8416800000006299E-2</c:v>
                </c:pt>
                <c:pt idx="7">
                  <c:v>-0.10112130000000108</c:v>
                </c:pt>
                <c:pt idx="8">
                  <c:v>-6.092280000000172E-2</c:v>
                </c:pt>
                <c:pt idx="9">
                  <c:v>-5.8057799999999826E-2</c:v>
                </c:pt>
                <c:pt idx="10">
                  <c:v>-6.649840000000351E-2</c:v>
                </c:pt>
                <c:pt idx="11">
                  <c:v>-6.8323900000005766E-2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8620288"/>
        <c:axId val="668621824"/>
      </c:lineChart>
      <c:catAx>
        <c:axId val="668620288"/>
        <c:scaling>
          <c:orientation val="minMax"/>
        </c:scaling>
        <c:delete val="0"/>
        <c:axPos val="b"/>
        <c:numFmt formatCode="dd\ mmm\ yyyy" sourceLinked="1"/>
        <c:majorTickMark val="out"/>
        <c:minorTickMark val="none"/>
        <c:tickLblPos val="low"/>
        <c:txPr>
          <a:bodyPr rot="-5400000" vert="horz"/>
          <a:lstStyle/>
          <a:p>
            <a:pPr>
              <a:defRPr/>
            </a:pPr>
            <a:endParaRPr lang="en-US"/>
          </a:p>
        </c:txPr>
        <c:crossAx val="668621824"/>
        <c:crosses val="autoZero"/>
        <c:auto val="1"/>
        <c:lblAlgn val="ctr"/>
        <c:lblOffset val="100"/>
        <c:noMultiLvlLbl val="0"/>
      </c:catAx>
      <c:valAx>
        <c:axId val="668621824"/>
        <c:scaling>
          <c:orientation val="minMax"/>
        </c:scaling>
        <c:delete val="0"/>
        <c:axPos val="l"/>
        <c:majorGridlines/>
        <c:numFmt formatCode="0.000" sourceLinked="1"/>
        <c:majorTickMark val="out"/>
        <c:minorTickMark val="none"/>
        <c:tickLblPos val="nextTo"/>
        <c:crossAx val="668620288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8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Eur Mkt </a:t>
            </a:r>
            <a:r>
              <a:rPr lang="en-US" sz="1800" b="1" i="0" baseline="0">
                <a:effectLst/>
              </a:rPr>
              <a:t>1W÷9M</a:t>
            </a:r>
            <a:endParaRPr lang="en-US">
              <a:effectLst/>
            </a:endParaRP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5"/>
          <c:order val="0"/>
          <c:tx>
            <c:strRef>
              <c:f>EurChart!$AJ$4</c:f>
              <c:strCache>
                <c:ptCount val="1"/>
                <c:pt idx="0">
                  <c:v>EurStd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cat>
            <c:strRef>
              <c:f>EurChart!$AA$5:$AA$16</c:f>
              <c:strCache>
                <c:ptCount val="12"/>
                <c:pt idx="0">
                  <c:v>1W</c:v>
                </c:pt>
                <c:pt idx="1">
                  <c:v>2W</c:v>
                </c:pt>
                <c:pt idx="2">
                  <c:v>3W</c:v>
                </c:pt>
                <c:pt idx="3">
                  <c:v>1M</c:v>
                </c:pt>
                <c:pt idx="4">
                  <c:v>2M</c:v>
                </c:pt>
                <c:pt idx="5">
                  <c:v>3M</c:v>
                </c:pt>
                <c:pt idx="6">
                  <c:v>4M</c:v>
                </c:pt>
                <c:pt idx="7">
                  <c:v>5M</c:v>
                </c:pt>
                <c:pt idx="8">
                  <c:v>6M</c:v>
                </c:pt>
                <c:pt idx="9">
                  <c:v>7M</c:v>
                </c:pt>
                <c:pt idx="10">
                  <c:v>8M</c:v>
                </c:pt>
                <c:pt idx="11">
                  <c:v>9M</c:v>
                </c:pt>
              </c:strCache>
            </c:strRef>
          </c:cat>
          <c:val>
            <c:numRef>
              <c:f>EurChart!$AJ$5:$AJ$16</c:f>
              <c:numCache>
                <c:formatCode>0.000</c:formatCode>
                <c:ptCount val="12"/>
                <c:pt idx="0">
                  <c:v>-0.37</c:v>
                </c:pt>
                <c:pt idx="1">
                  <c:v>-0.37</c:v>
                </c:pt>
                <c:pt idx="2">
                  <c:v>-0.37</c:v>
                </c:pt>
                <c:pt idx="3">
                  <c:v>-0.37</c:v>
                </c:pt>
                <c:pt idx="4">
                  <c:v>-0.33</c:v>
                </c:pt>
                <c:pt idx="5">
                  <c:v>-0.30000000000000004</c:v>
                </c:pt>
                <c:pt idx="6">
                  <c:v>-0.27</c:v>
                </c:pt>
                <c:pt idx="7">
                  <c:v>-0.24</c:v>
                </c:pt>
                <c:pt idx="8">
                  <c:v>-0.21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smooth val="0"/>
        </c:ser>
        <c:ser>
          <c:idx val="0"/>
          <c:order val="1"/>
          <c:tx>
            <c:strRef>
              <c:f>EurChart!$AK$4</c:f>
              <c:strCache>
                <c:ptCount val="1"/>
                <c:pt idx="0">
                  <c:v>Eur3M</c:v>
                </c:pt>
              </c:strCache>
            </c:strRef>
          </c:tx>
          <c:marker>
            <c:symbol val="none"/>
          </c:marker>
          <c:cat>
            <c:strRef>
              <c:f>EurChart!$AA$5:$AA$16</c:f>
              <c:strCache>
                <c:ptCount val="12"/>
                <c:pt idx="0">
                  <c:v>1W</c:v>
                </c:pt>
                <c:pt idx="1">
                  <c:v>2W</c:v>
                </c:pt>
                <c:pt idx="2">
                  <c:v>3W</c:v>
                </c:pt>
                <c:pt idx="3">
                  <c:v>1M</c:v>
                </c:pt>
                <c:pt idx="4">
                  <c:v>2M</c:v>
                </c:pt>
                <c:pt idx="5">
                  <c:v>3M</c:v>
                </c:pt>
                <c:pt idx="6">
                  <c:v>4M</c:v>
                </c:pt>
                <c:pt idx="7">
                  <c:v>5M</c:v>
                </c:pt>
                <c:pt idx="8">
                  <c:v>6M</c:v>
                </c:pt>
                <c:pt idx="9">
                  <c:v>7M</c:v>
                </c:pt>
                <c:pt idx="10">
                  <c:v>8M</c:v>
                </c:pt>
                <c:pt idx="11">
                  <c:v>9M</c:v>
                </c:pt>
              </c:strCache>
            </c:strRef>
          </c:cat>
          <c:val>
            <c:numRef>
              <c:f>EurChart!$AK$5:$AK$16</c:f>
              <c:numCache>
                <c:formatCode>0.000</c:formatCode>
                <c:ptCount val="12"/>
                <c:pt idx="0">
                  <c:v>-0.32241291599999999</c:v>
                </c:pt>
                <c:pt idx="1">
                  <c:v>-0.320088812</c:v>
                </c:pt>
                <c:pt idx="2">
                  <c:v>-0.32085013500000004</c:v>
                </c:pt>
                <c:pt idx="3">
                  <c:v>-0.32130000000000003</c:v>
                </c:pt>
                <c:pt idx="4">
                  <c:v>-0.31609999999999999</c:v>
                </c:pt>
                <c:pt idx="5">
                  <c:v>-0.3125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smooth val="0"/>
        </c:ser>
        <c:ser>
          <c:idx val="1"/>
          <c:order val="2"/>
          <c:tx>
            <c:strRef>
              <c:f>EurChart!$AL$4</c:f>
              <c:strCache>
                <c:ptCount val="1"/>
                <c:pt idx="0">
                  <c:v>Eur6M</c:v>
                </c:pt>
              </c:strCache>
            </c:strRef>
          </c:tx>
          <c:marker>
            <c:symbol val="none"/>
          </c:marker>
          <c:cat>
            <c:strRef>
              <c:f>EurChart!$AA$5:$AA$16</c:f>
              <c:strCache>
                <c:ptCount val="12"/>
                <c:pt idx="0">
                  <c:v>1W</c:v>
                </c:pt>
                <c:pt idx="1">
                  <c:v>2W</c:v>
                </c:pt>
                <c:pt idx="2">
                  <c:v>3W</c:v>
                </c:pt>
                <c:pt idx="3">
                  <c:v>1M</c:v>
                </c:pt>
                <c:pt idx="4">
                  <c:v>2M</c:v>
                </c:pt>
                <c:pt idx="5">
                  <c:v>3M</c:v>
                </c:pt>
                <c:pt idx="6">
                  <c:v>4M</c:v>
                </c:pt>
                <c:pt idx="7">
                  <c:v>5M</c:v>
                </c:pt>
                <c:pt idx="8">
                  <c:v>6M</c:v>
                </c:pt>
                <c:pt idx="9">
                  <c:v>7M</c:v>
                </c:pt>
                <c:pt idx="10">
                  <c:v>8M</c:v>
                </c:pt>
                <c:pt idx="11">
                  <c:v>9M</c:v>
                </c:pt>
              </c:strCache>
            </c:strRef>
          </c:cat>
          <c:val>
            <c:numRef>
              <c:f>EurChart!$AL$5:$AL$16</c:f>
              <c:numCache>
                <c:formatCode>0.000</c:formatCode>
                <c:ptCount val="12"/>
                <c:pt idx="0">
                  <c:v>-0.23559751900000001</c:v>
                </c:pt>
                <c:pt idx="1">
                  <c:v>-0.23327804700000002</c:v>
                </c:pt>
                <c:pt idx="2">
                  <c:v>-0.23404408000000002</c:v>
                </c:pt>
                <c:pt idx="3">
                  <c:v>-0.23450000000000001</c:v>
                </c:pt>
                <c:pt idx="4">
                  <c:v>-0.2286</c:v>
                </c:pt>
                <c:pt idx="5">
                  <c:v>-0.22440000000000002</c:v>
                </c:pt>
                <c:pt idx="6">
                  <c:v>-0.22160000000000002</c:v>
                </c:pt>
                <c:pt idx="7">
                  <c:v>-0.2177</c:v>
                </c:pt>
                <c:pt idx="8">
                  <c:v>-0.21450000000000002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smooth val="0"/>
        </c:ser>
        <c:ser>
          <c:idx val="2"/>
          <c:order val="3"/>
          <c:tx>
            <c:strRef>
              <c:f>EurChart!$AM$4</c:f>
              <c:strCache>
                <c:ptCount val="1"/>
                <c:pt idx="0">
                  <c:v>Eur1Y</c:v>
                </c:pt>
              </c:strCache>
            </c:strRef>
          </c:tx>
          <c:marker>
            <c:symbol val="none"/>
          </c:marker>
          <c:cat>
            <c:strRef>
              <c:f>EurChart!$AA$5:$AA$16</c:f>
              <c:strCache>
                <c:ptCount val="12"/>
                <c:pt idx="0">
                  <c:v>1W</c:v>
                </c:pt>
                <c:pt idx="1">
                  <c:v>2W</c:v>
                </c:pt>
                <c:pt idx="2">
                  <c:v>3W</c:v>
                </c:pt>
                <c:pt idx="3">
                  <c:v>1M</c:v>
                </c:pt>
                <c:pt idx="4">
                  <c:v>2M</c:v>
                </c:pt>
                <c:pt idx="5">
                  <c:v>3M</c:v>
                </c:pt>
                <c:pt idx="6">
                  <c:v>4M</c:v>
                </c:pt>
                <c:pt idx="7">
                  <c:v>5M</c:v>
                </c:pt>
                <c:pt idx="8">
                  <c:v>6M</c:v>
                </c:pt>
                <c:pt idx="9">
                  <c:v>7M</c:v>
                </c:pt>
                <c:pt idx="10">
                  <c:v>8M</c:v>
                </c:pt>
                <c:pt idx="11">
                  <c:v>9M</c:v>
                </c:pt>
              </c:strCache>
            </c:strRef>
          </c:cat>
          <c:val>
            <c:numRef>
              <c:f>EurChart!$AM$5:$AM$16</c:f>
              <c:numCache>
                <c:formatCode>0.000</c:formatCode>
                <c:ptCount val="12"/>
                <c:pt idx="0">
                  <c:v>-0.11261497100000001</c:v>
                </c:pt>
                <c:pt idx="1">
                  <c:v>-0.112613738</c:v>
                </c:pt>
                <c:pt idx="2">
                  <c:v>-0.112612505</c:v>
                </c:pt>
                <c:pt idx="3">
                  <c:v>-0.11261092</c:v>
                </c:pt>
                <c:pt idx="4">
                  <c:v>-0.112605283</c:v>
                </c:pt>
                <c:pt idx="5">
                  <c:v>-0.11260000000000001</c:v>
                </c:pt>
                <c:pt idx="6">
                  <c:v>-0.11106135600000001</c:v>
                </c:pt>
                <c:pt idx="7">
                  <c:v>-0.10671071400000001</c:v>
                </c:pt>
                <c:pt idx="8">
                  <c:v>-0.10260000000000001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smooth val="0"/>
        </c:ser>
        <c:ser>
          <c:idx val="3"/>
          <c:order val="4"/>
          <c:tx>
            <c:strRef>
              <c:f>EurChart!$AN$4</c:f>
              <c:strCache>
                <c:ptCount val="1"/>
                <c:pt idx="0">
                  <c:v>Eur1M</c:v>
                </c:pt>
              </c:strCache>
            </c:strRef>
          </c:tx>
          <c:marker>
            <c:symbol val="none"/>
          </c:marker>
          <c:cat>
            <c:strRef>
              <c:f>EurChart!$AA$5:$AA$16</c:f>
              <c:strCache>
                <c:ptCount val="12"/>
                <c:pt idx="0">
                  <c:v>1W</c:v>
                </c:pt>
                <c:pt idx="1">
                  <c:v>2W</c:v>
                </c:pt>
                <c:pt idx="2">
                  <c:v>3W</c:v>
                </c:pt>
                <c:pt idx="3">
                  <c:v>1M</c:v>
                </c:pt>
                <c:pt idx="4">
                  <c:v>2M</c:v>
                </c:pt>
                <c:pt idx="5">
                  <c:v>3M</c:v>
                </c:pt>
                <c:pt idx="6">
                  <c:v>4M</c:v>
                </c:pt>
                <c:pt idx="7">
                  <c:v>5M</c:v>
                </c:pt>
                <c:pt idx="8">
                  <c:v>6M</c:v>
                </c:pt>
                <c:pt idx="9">
                  <c:v>7M</c:v>
                </c:pt>
                <c:pt idx="10">
                  <c:v>8M</c:v>
                </c:pt>
                <c:pt idx="11">
                  <c:v>9M</c:v>
                </c:pt>
              </c:strCache>
            </c:strRef>
          </c:cat>
          <c:val>
            <c:numRef>
              <c:f>EurChart!$AN$5:$AN$16</c:f>
              <c:numCache>
                <c:formatCode>0.000</c:formatCode>
                <c:ptCount val="12"/>
                <c:pt idx="0">
                  <c:v>-0.37010000000000004</c:v>
                </c:pt>
                <c:pt idx="1">
                  <c:v>-0.36910000000000004</c:v>
                </c:pt>
                <c:pt idx="2">
                  <c:v>-0.371</c:v>
                </c:pt>
                <c:pt idx="3">
                  <c:v>-0.373</c:v>
                </c:pt>
                <c:pt idx="4">
                  <c:v>-0.374</c:v>
                </c:pt>
                <c:pt idx="5">
                  <c:v>-0.374</c:v>
                </c:pt>
                <c:pt idx="6">
                  <c:v>-0.374</c:v>
                </c:pt>
                <c:pt idx="7">
                  <c:v>-0.374</c:v>
                </c:pt>
                <c:pt idx="8">
                  <c:v>-0.374</c:v>
                </c:pt>
                <c:pt idx="9">
                  <c:v>-0.374</c:v>
                </c:pt>
                <c:pt idx="10">
                  <c:v>-0.373</c:v>
                </c:pt>
                <c:pt idx="11">
                  <c:v>-0.373</c:v>
                </c:pt>
              </c:numCache>
            </c:numRef>
          </c:val>
          <c:smooth val="0"/>
        </c:ser>
        <c:ser>
          <c:idx val="4"/>
          <c:order val="5"/>
          <c:tx>
            <c:strRef>
              <c:f>EurChart!$AO$4</c:f>
              <c:strCache>
                <c:ptCount val="1"/>
                <c:pt idx="0">
                  <c:v>EurOIS</c:v>
                </c:pt>
              </c:strCache>
            </c:strRef>
          </c:tx>
          <c:spPr>
            <a:ln>
              <a:solidFill>
                <a:schemeClr val="accent6"/>
              </a:solidFill>
            </a:ln>
          </c:spPr>
          <c:marker>
            <c:symbol val="none"/>
          </c:marker>
          <c:cat>
            <c:strRef>
              <c:f>EurChart!$AA$5:$AA$16</c:f>
              <c:strCache>
                <c:ptCount val="12"/>
                <c:pt idx="0">
                  <c:v>1W</c:v>
                </c:pt>
                <c:pt idx="1">
                  <c:v>2W</c:v>
                </c:pt>
                <c:pt idx="2">
                  <c:v>3W</c:v>
                </c:pt>
                <c:pt idx="3">
                  <c:v>1M</c:v>
                </c:pt>
                <c:pt idx="4">
                  <c:v>2M</c:v>
                </c:pt>
                <c:pt idx="5">
                  <c:v>3M</c:v>
                </c:pt>
                <c:pt idx="6">
                  <c:v>4M</c:v>
                </c:pt>
                <c:pt idx="7">
                  <c:v>5M</c:v>
                </c:pt>
                <c:pt idx="8">
                  <c:v>6M</c:v>
                </c:pt>
                <c:pt idx="9">
                  <c:v>7M</c:v>
                </c:pt>
                <c:pt idx="10">
                  <c:v>8M</c:v>
                </c:pt>
                <c:pt idx="11">
                  <c:v>9M</c:v>
                </c:pt>
              </c:strCache>
            </c:strRef>
          </c:cat>
          <c:val>
            <c:numRef>
              <c:f>EurChart!$AO$5:$AO$16</c:f>
              <c:numCache>
                <c:formatCode>0.000</c:formatCode>
                <c:ptCount val="12"/>
                <c:pt idx="0">
                  <c:v>-0.34900000000000003</c:v>
                </c:pt>
                <c:pt idx="1">
                  <c:v>-0.34700000000000003</c:v>
                </c:pt>
                <c:pt idx="2">
                  <c:v>-0.34800000000000003</c:v>
                </c:pt>
                <c:pt idx="3">
                  <c:v>-0.34900000000000003</c:v>
                </c:pt>
                <c:pt idx="4">
                  <c:v>-0.34806234400000002</c:v>
                </c:pt>
                <c:pt idx="5">
                  <c:v>-0.34842114200000002</c:v>
                </c:pt>
                <c:pt idx="6">
                  <c:v>-0.34998089400000004</c:v>
                </c:pt>
                <c:pt idx="7">
                  <c:v>-0.35113541700000001</c:v>
                </c:pt>
                <c:pt idx="8">
                  <c:v>-0.35219644999999999</c:v>
                </c:pt>
                <c:pt idx="9">
                  <c:v>-0.35331696400000001</c:v>
                </c:pt>
                <c:pt idx="10">
                  <c:v>-0.35393896700000005</c:v>
                </c:pt>
                <c:pt idx="11">
                  <c:v>-0.35436553600000004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8657152"/>
        <c:axId val="668658688"/>
      </c:lineChart>
      <c:catAx>
        <c:axId val="668657152"/>
        <c:scaling>
          <c:orientation val="minMax"/>
        </c:scaling>
        <c:delete val="0"/>
        <c:axPos val="b"/>
        <c:numFmt formatCode="dd\ mmm\ yyyy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668658688"/>
        <c:crosses val="autoZero"/>
        <c:auto val="1"/>
        <c:lblAlgn val="ctr"/>
        <c:lblOffset val="100"/>
        <c:noMultiLvlLbl val="0"/>
      </c:catAx>
      <c:valAx>
        <c:axId val="668658688"/>
        <c:scaling>
          <c:orientation val="minMax"/>
        </c:scaling>
        <c:delete val="0"/>
        <c:axPos val="l"/>
        <c:majorGridlines/>
        <c:numFmt formatCode="0.000" sourceLinked="1"/>
        <c:majorTickMark val="out"/>
        <c:minorTickMark val="none"/>
        <c:tickLblPos val="nextTo"/>
        <c:crossAx val="668657152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Eur NetChg 3Y</a:t>
            </a:r>
            <a:r>
              <a:rPr lang="en-US">
                <a:latin typeface="Calibri"/>
              </a:rPr>
              <a:t>÷30Y</a:t>
            </a:r>
            <a:endParaRPr lang="en-US"/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EurChart!$AD$4</c:f>
              <c:strCache>
                <c:ptCount val="1"/>
                <c:pt idx="0">
                  <c:v>Eur3M</c:v>
                </c:pt>
              </c:strCache>
            </c:strRef>
          </c:tx>
          <c:marker>
            <c:symbol val="none"/>
          </c:marker>
          <c:cat>
            <c:strRef>
              <c:f>EurChart!$Z$18:$Z$45</c:f>
              <c:strCache>
                <c:ptCount val="28"/>
                <c:pt idx="0">
                  <c:v>3Y</c:v>
                </c:pt>
                <c:pt idx="1">
                  <c:v>4Y</c:v>
                </c:pt>
                <c:pt idx="2">
                  <c:v>5Y</c:v>
                </c:pt>
                <c:pt idx="3">
                  <c:v>6Y</c:v>
                </c:pt>
                <c:pt idx="4">
                  <c:v>7Y</c:v>
                </c:pt>
                <c:pt idx="5">
                  <c:v>8Y</c:v>
                </c:pt>
                <c:pt idx="6">
                  <c:v>9Y</c:v>
                </c:pt>
                <c:pt idx="7">
                  <c:v>10Y</c:v>
                </c:pt>
                <c:pt idx="8">
                  <c:v>11Y</c:v>
                </c:pt>
                <c:pt idx="9">
                  <c:v>12Y</c:v>
                </c:pt>
                <c:pt idx="10">
                  <c:v>13Y</c:v>
                </c:pt>
                <c:pt idx="11">
                  <c:v>14Y</c:v>
                </c:pt>
                <c:pt idx="12">
                  <c:v>15Y</c:v>
                </c:pt>
                <c:pt idx="13">
                  <c:v>16Y</c:v>
                </c:pt>
                <c:pt idx="14">
                  <c:v>17Y</c:v>
                </c:pt>
                <c:pt idx="15">
                  <c:v>18Y</c:v>
                </c:pt>
                <c:pt idx="16">
                  <c:v>19Y</c:v>
                </c:pt>
                <c:pt idx="17">
                  <c:v>20Y</c:v>
                </c:pt>
                <c:pt idx="18">
                  <c:v>21Y</c:v>
                </c:pt>
                <c:pt idx="19">
                  <c:v>22Y</c:v>
                </c:pt>
                <c:pt idx="20">
                  <c:v>23Y</c:v>
                </c:pt>
                <c:pt idx="21">
                  <c:v>24Y</c:v>
                </c:pt>
                <c:pt idx="22">
                  <c:v>25Y</c:v>
                </c:pt>
                <c:pt idx="23">
                  <c:v>26Y</c:v>
                </c:pt>
                <c:pt idx="24">
                  <c:v>27Y</c:v>
                </c:pt>
                <c:pt idx="25">
                  <c:v>28Y</c:v>
                </c:pt>
                <c:pt idx="26">
                  <c:v>29Y</c:v>
                </c:pt>
                <c:pt idx="27">
                  <c:v>30Y</c:v>
                </c:pt>
              </c:strCache>
            </c:strRef>
          </c:cat>
          <c:val>
            <c:numRef>
              <c:f>EurChart!$AD$18:$AD$45</c:f>
              <c:numCache>
                <c:formatCode>0.000</c:formatCode>
                <c:ptCount val="28"/>
                <c:pt idx="0">
                  <c:v>0.10000000000000009</c:v>
                </c:pt>
                <c:pt idx="1">
                  <c:v>0.39999999999999897</c:v>
                </c:pt>
                <c:pt idx="2">
                  <c:v>0.6</c:v>
                </c:pt>
                <c:pt idx="3">
                  <c:v>0.9000000000000008</c:v>
                </c:pt>
                <c:pt idx="4">
                  <c:v>1.0000000000000009</c:v>
                </c:pt>
                <c:pt idx="5">
                  <c:v>1.0000000000000009</c:v>
                </c:pt>
                <c:pt idx="6">
                  <c:v>1.2000000000000011</c:v>
                </c:pt>
                <c:pt idx="7">
                  <c:v>1.2000000000000011</c:v>
                </c:pt>
                <c:pt idx="8">
                  <c:v>1.1995161000000087</c:v>
                </c:pt>
                <c:pt idx="9">
                  <c:v>1.2000000000000011</c:v>
                </c:pt>
                <c:pt idx="10">
                  <c:v>1.2457964000000099</c:v>
                </c:pt>
                <c:pt idx="11">
                  <c:v>1.2698204999999962</c:v>
                </c:pt>
                <c:pt idx="12">
                  <c:v>1.3000000000000012</c:v>
                </c:pt>
                <c:pt idx="13">
                  <c:v>1.3874162000000023</c:v>
                </c:pt>
                <c:pt idx="14">
                  <c:v>1.3095052000000051</c:v>
                </c:pt>
                <c:pt idx="15">
                  <c:v>1.3226345000000084</c:v>
                </c:pt>
                <c:pt idx="16">
                  <c:v>1.3594163000000048</c:v>
                </c:pt>
                <c:pt idx="17">
                  <c:v>1.4000000000000012</c:v>
                </c:pt>
                <c:pt idx="18">
                  <c:v>1.4159267000000142</c:v>
                </c:pt>
                <c:pt idx="19">
                  <c:v>1.4310229000000119</c:v>
                </c:pt>
                <c:pt idx="20">
                  <c:v>1.4498228000000113</c:v>
                </c:pt>
                <c:pt idx="21">
                  <c:v>1.4703831000000056</c:v>
                </c:pt>
                <c:pt idx="22">
                  <c:v>1.5000000000000124</c:v>
                </c:pt>
                <c:pt idx="23">
                  <c:v>1.5383373000000145</c:v>
                </c:pt>
                <c:pt idx="24">
                  <c:v>1.5782160999999961</c:v>
                </c:pt>
                <c:pt idx="25">
                  <c:v>1.6207269999999996</c:v>
                </c:pt>
                <c:pt idx="26">
                  <c:v>1.661529000000006</c:v>
                </c:pt>
                <c:pt idx="27">
                  <c:v>1.7000000000000126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EurChart!$AE$4</c:f>
              <c:strCache>
                <c:ptCount val="1"/>
                <c:pt idx="0">
                  <c:v>Eur6M</c:v>
                </c:pt>
              </c:strCache>
            </c:strRef>
          </c:tx>
          <c:marker>
            <c:symbol val="none"/>
          </c:marker>
          <c:cat>
            <c:strRef>
              <c:f>EurChart!$Z$18:$Z$45</c:f>
              <c:strCache>
                <c:ptCount val="28"/>
                <c:pt idx="0">
                  <c:v>3Y</c:v>
                </c:pt>
                <c:pt idx="1">
                  <c:v>4Y</c:v>
                </c:pt>
                <c:pt idx="2">
                  <c:v>5Y</c:v>
                </c:pt>
                <c:pt idx="3">
                  <c:v>6Y</c:v>
                </c:pt>
                <c:pt idx="4">
                  <c:v>7Y</c:v>
                </c:pt>
                <c:pt idx="5">
                  <c:v>8Y</c:v>
                </c:pt>
                <c:pt idx="6">
                  <c:v>9Y</c:v>
                </c:pt>
                <c:pt idx="7">
                  <c:v>10Y</c:v>
                </c:pt>
                <c:pt idx="8">
                  <c:v>11Y</c:v>
                </c:pt>
                <c:pt idx="9">
                  <c:v>12Y</c:v>
                </c:pt>
                <c:pt idx="10">
                  <c:v>13Y</c:v>
                </c:pt>
                <c:pt idx="11">
                  <c:v>14Y</c:v>
                </c:pt>
                <c:pt idx="12">
                  <c:v>15Y</c:v>
                </c:pt>
                <c:pt idx="13">
                  <c:v>16Y</c:v>
                </c:pt>
                <c:pt idx="14">
                  <c:v>17Y</c:v>
                </c:pt>
                <c:pt idx="15">
                  <c:v>18Y</c:v>
                </c:pt>
                <c:pt idx="16">
                  <c:v>19Y</c:v>
                </c:pt>
                <c:pt idx="17">
                  <c:v>20Y</c:v>
                </c:pt>
                <c:pt idx="18">
                  <c:v>21Y</c:v>
                </c:pt>
                <c:pt idx="19">
                  <c:v>22Y</c:v>
                </c:pt>
                <c:pt idx="20">
                  <c:v>23Y</c:v>
                </c:pt>
                <c:pt idx="21">
                  <c:v>24Y</c:v>
                </c:pt>
                <c:pt idx="22">
                  <c:v>25Y</c:v>
                </c:pt>
                <c:pt idx="23">
                  <c:v>26Y</c:v>
                </c:pt>
                <c:pt idx="24">
                  <c:v>27Y</c:v>
                </c:pt>
                <c:pt idx="25">
                  <c:v>28Y</c:v>
                </c:pt>
                <c:pt idx="26">
                  <c:v>29Y</c:v>
                </c:pt>
                <c:pt idx="27">
                  <c:v>30Y</c:v>
                </c:pt>
              </c:strCache>
            </c:strRef>
          </c:cat>
          <c:val>
            <c:numRef>
              <c:f>EurChart!$AE$18:$AE$45</c:f>
              <c:numCache>
                <c:formatCode>0.000</c:formatCode>
                <c:ptCount val="28"/>
                <c:pt idx="0">
                  <c:v>0.10000000000000009</c:v>
                </c:pt>
                <c:pt idx="1">
                  <c:v>0.4</c:v>
                </c:pt>
                <c:pt idx="2">
                  <c:v>0.60000000000000053</c:v>
                </c:pt>
                <c:pt idx="3">
                  <c:v>0.80000000000000071</c:v>
                </c:pt>
                <c:pt idx="4">
                  <c:v>0.9000000000000008</c:v>
                </c:pt>
                <c:pt idx="5">
                  <c:v>1.0000000000000009</c:v>
                </c:pt>
                <c:pt idx="6">
                  <c:v>1.100000000000001</c:v>
                </c:pt>
                <c:pt idx="7">
                  <c:v>1.100000000000001</c:v>
                </c:pt>
                <c:pt idx="8">
                  <c:v>1.1079641000000029</c:v>
                </c:pt>
                <c:pt idx="9">
                  <c:v>1.100000000000001</c:v>
                </c:pt>
                <c:pt idx="10">
                  <c:v>1.1374753000000015</c:v>
                </c:pt>
                <c:pt idx="11">
                  <c:v>1.1622859000000041</c:v>
                </c:pt>
                <c:pt idx="12">
                  <c:v>1.2000000000000233</c:v>
                </c:pt>
                <c:pt idx="13">
                  <c:v>1.2069480000000077</c:v>
                </c:pt>
                <c:pt idx="14">
                  <c:v>1.2499181999999998</c:v>
                </c:pt>
                <c:pt idx="15">
                  <c:v>1.2874618999999976</c:v>
                </c:pt>
                <c:pt idx="16">
                  <c:v>1.34433570000001</c:v>
                </c:pt>
                <c:pt idx="17">
                  <c:v>1.4000000000000012</c:v>
                </c:pt>
                <c:pt idx="18">
                  <c:v>1.4286519000000109</c:v>
                </c:pt>
                <c:pt idx="19">
                  <c:v>1.4502273000000176</c:v>
                </c:pt>
                <c:pt idx="20">
                  <c:v>1.468679500000003</c:v>
                </c:pt>
                <c:pt idx="21">
                  <c:v>1.4833739000000179</c:v>
                </c:pt>
                <c:pt idx="22">
                  <c:v>1.5000000000000124</c:v>
                </c:pt>
                <c:pt idx="23">
                  <c:v>1.5193163000000176</c:v>
                </c:pt>
                <c:pt idx="24">
                  <c:v>1.5382373000000227</c:v>
                </c:pt>
                <c:pt idx="25">
                  <c:v>1.4586560000000137</c:v>
                </c:pt>
                <c:pt idx="26">
                  <c:v>1.5792180000000045</c:v>
                </c:pt>
                <c:pt idx="27">
                  <c:v>1.6000000000000014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EurChart!$AF$4</c:f>
              <c:strCache>
                <c:ptCount val="1"/>
                <c:pt idx="0">
                  <c:v>Eur1Y</c:v>
                </c:pt>
              </c:strCache>
            </c:strRef>
          </c:tx>
          <c:marker>
            <c:symbol val="none"/>
          </c:marker>
          <c:cat>
            <c:strRef>
              <c:f>EurChart!$Z$18:$Z$45</c:f>
              <c:strCache>
                <c:ptCount val="28"/>
                <c:pt idx="0">
                  <c:v>3Y</c:v>
                </c:pt>
                <c:pt idx="1">
                  <c:v>4Y</c:v>
                </c:pt>
                <c:pt idx="2">
                  <c:v>5Y</c:v>
                </c:pt>
                <c:pt idx="3">
                  <c:v>6Y</c:v>
                </c:pt>
                <c:pt idx="4">
                  <c:v>7Y</c:v>
                </c:pt>
                <c:pt idx="5">
                  <c:v>8Y</c:v>
                </c:pt>
                <c:pt idx="6">
                  <c:v>9Y</c:v>
                </c:pt>
                <c:pt idx="7">
                  <c:v>10Y</c:v>
                </c:pt>
                <c:pt idx="8">
                  <c:v>11Y</c:v>
                </c:pt>
                <c:pt idx="9">
                  <c:v>12Y</c:v>
                </c:pt>
                <c:pt idx="10">
                  <c:v>13Y</c:v>
                </c:pt>
                <c:pt idx="11">
                  <c:v>14Y</c:v>
                </c:pt>
                <c:pt idx="12">
                  <c:v>15Y</c:v>
                </c:pt>
                <c:pt idx="13">
                  <c:v>16Y</c:v>
                </c:pt>
                <c:pt idx="14">
                  <c:v>17Y</c:v>
                </c:pt>
                <c:pt idx="15">
                  <c:v>18Y</c:v>
                </c:pt>
                <c:pt idx="16">
                  <c:v>19Y</c:v>
                </c:pt>
                <c:pt idx="17">
                  <c:v>20Y</c:v>
                </c:pt>
                <c:pt idx="18">
                  <c:v>21Y</c:v>
                </c:pt>
                <c:pt idx="19">
                  <c:v>22Y</c:v>
                </c:pt>
                <c:pt idx="20">
                  <c:v>23Y</c:v>
                </c:pt>
                <c:pt idx="21">
                  <c:v>24Y</c:v>
                </c:pt>
                <c:pt idx="22">
                  <c:v>25Y</c:v>
                </c:pt>
                <c:pt idx="23">
                  <c:v>26Y</c:v>
                </c:pt>
                <c:pt idx="24">
                  <c:v>27Y</c:v>
                </c:pt>
                <c:pt idx="25">
                  <c:v>28Y</c:v>
                </c:pt>
                <c:pt idx="26">
                  <c:v>29Y</c:v>
                </c:pt>
                <c:pt idx="27">
                  <c:v>30Y</c:v>
                </c:pt>
              </c:strCache>
            </c:strRef>
          </c:cat>
          <c:val>
            <c:numRef>
              <c:f>EurChart!$AF$18:$AF$45</c:f>
              <c:numCache>
                <c:formatCode>0.000</c:formatCode>
                <c:ptCount val="28"/>
                <c:pt idx="0">
                  <c:v>0</c:v>
                </c:pt>
                <c:pt idx="1">
                  <c:v>0.30000000000000027</c:v>
                </c:pt>
                <c:pt idx="2">
                  <c:v>0.50000000000000044</c:v>
                </c:pt>
                <c:pt idx="3">
                  <c:v>0.70000000000000062</c:v>
                </c:pt>
                <c:pt idx="4">
                  <c:v>0.80000000000000071</c:v>
                </c:pt>
                <c:pt idx="5">
                  <c:v>0.9000000000000008</c:v>
                </c:pt>
                <c:pt idx="6">
                  <c:v>1.0000000000000009</c:v>
                </c:pt>
                <c:pt idx="7">
                  <c:v>1.100000000000001</c:v>
                </c:pt>
                <c:pt idx="8">
                  <c:v>1.1347286999999984</c:v>
                </c:pt>
                <c:pt idx="9">
                  <c:v>1.1000000000000121</c:v>
                </c:pt>
                <c:pt idx="10">
                  <c:v>1.1223132000000025</c:v>
                </c:pt>
                <c:pt idx="11">
                  <c:v>1.1523280000000025</c:v>
                </c:pt>
                <c:pt idx="12">
                  <c:v>1.2000000000000011</c:v>
                </c:pt>
                <c:pt idx="13">
                  <c:v>1.2155800000000161</c:v>
                </c:pt>
                <c:pt idx="14">
                  <c:v>1.258924699999997</c:v>
                </c:pt>
                <c:pt idx="15">
                  <c:v>1.2952391000000008</c:v>
                </c:pt>
                <c:pt idx="16">
                  <c:v>1.3477941000000104</c:v>
                </c:pt>
                <c:pt idx="17">
                  <c:v>1.4000000000000012</c:v>
                </c:pt>
                <c:pt idx="18">
                  <c:v>1.4317002999999939</c:v>
                </c:pt>
                <c:pt idx="19">
                  <c:v>1.4578329000000112</c:v>
                </c:pt>
                <c:pt idx="20">
                  <c:v>1.4789208999999914</c:v>
                </c:pt>
                <c:pt idx="21">
                  <c:v>1.4925134999999923</c:v>
                </c:pt>
                <c:pt idx="22">
                  <c:v>1.4999999999999902</c:v>
                </c:pt>
                <c:pt idx="23">
                  <c:v>1.5010476000000272</c:v>
                </c:pt>
                <c:pt idx="24">
                  <c:v>1.4975321999999958</c:v>
                </c:pt>
                <c:pt idx="25">
                  <c:v>1.4940636000000174</c:v>
                </c:pt>
                <c:pt idx="26">
                  <c:v>1.4938165000000225</c:v>
                </c:pt>
                <c:pt idx="27">
                  <c:v>1.4999999999999902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EurChart!$AG$4</c:f>
              <c:strCache>
                <c:ptCount val="1"/>
                <c:pt idx="0">
                  <c:v>Eur1M</c:v>
                </c:pt>
              </c:strCache>
            </c:strRef>
          </c:tx>
          <c:marker>
            <c:symbol val="none"/>
          </c:marker>
          <c:cat>
            <c:strRef>
              <c:f>EurChart!$Z$18:$Z$45</c:f>
              <c:strCache>
                <c:ptCount val="28"/>
                <c:pt idx="0">
                  <c:v>3Y</c:v>
                </c:pt>
                <c:pt idx="1">
                  <c:v>4Y</c:v>
                </c:pt>
                <c:pt idx="2">
                  <c:v>5Y</c:v>
                </c:pt>
                <c:pt idx="3">
                  <c:v>6Y</c:v>
                </c:pt>
                <c:pt idx="4">
                  <c:v>7Y</c:v>
                </c:pt>
                <c:pt idx="5">
                  <c:v>8Y</c:v>
                </c:pt>
                <c:pt idx="6">
                  <c:v>9Y</c:v>
                </c:pt>
                <c:pt idx="7">
                  <c:v>10Y</c:v>
                </c:pt>
                <c:pt idx="8">
                  <c:v>11Y</c:v>
                </c:pt>
                <c:pt idx="9">
                  <c:v>12Y</c:v>
                </c:pt>
                <c:pt idx="10">
                  <c:v>13Y</c:v>
                </c:pt>
                <c:pt idx="11">
                  <c:v>14Y</c:v>
                </c:pt>
                <c:pt idx="12">
                  <c:v>15Y</c:v>
                </c:pt>
                <c:pt idx="13">
                  <c:v>16Y</c:v>
                </c:pt>
                <c:pt idx="14">
                  <c:v>17Y</c:v>
                </c:pt>
                <c:pt idx="15">
                  <c:v>18Y</c:v>
                </c:pt>
                <c:pt idx="16">
                  <c:v>19Y</c:v>
                </c:pt>
                <c:pt idx="17">
                  <c:v>20Y</c:v>
                </c:pt>
                <c:pt idx="18">
                  <c:v>21Y</c:v>
                </c:pt>
                <c:pt idx="19">
                  <c:v>22Y</c:v>
                </c:pt>
                <c:pt idx="20">
                  <c:v>23Y</c:v>
                </c:pt>
                <c:pt idx="21">
                  <c:v>24Y</c:v>
                </c:pt>
                <c:pt idx="22">
                  <c:v>25Y</c:v>
                </c:pt>
                <c:pt idx="23">
                  <c:v>26Y</c:v>
                </c:pt>
                <c:pt idx="24">
                  <c:v>27Y</c:v>
                </c:pt>
                <c:pt idx="25">
                  <c:v>28Y</c:v>
                </c:pt>
                <c:pt idx="26">
                  <c:v>29Y</c:v>
                </c:pt>
                <c:pt idx="27">
                  <c:v>30Y</c:v>
                </c:pt>
              </c:strCache>
            </c:strRef>
          </c:cat>
          <c:val>
            <c:numRef>
              <c:f>EurChart!$AG$18:$AG$45</c:f>
              <c:numCache>
                <c:formatCode>0.000</c:formatCode>
                <c:ptCount val="28"/>
                <c:pt idx="0">
                  <c:v>9.9999999999994538E-2</c:v>
                </c:pt>
                <c:pt idx="1">
                  <c:v>0.40000000000000036</c:v>
                </c:pt>
                <c:pt idx="2">
                  <c:v>0.5999999999999992</c:v>
                </c:pt>
                <c:pt idx="3">
                  <c:v>0.89999999999999991</c:v>
                </c:pt>
                <c:pt idx="4">
                  <c:v>1.0000000000000009</c:v>
                </c:pt>
                <c:pt idx="5">
                  <c:v>1.100000000000001</c:v>
                </c:pt>
                <c:pt idx="6">
                  <c:v>1.2000000000000011</c:v>
                </c:pt>
                <c:pt idx="7">
                  <c:v>1.2000000000000011</c:v>
                </c:pt>
                <c:pt idx="8">
                  <c:v>1.2099839000000001</c:v>
                </c:pt>
                <c:pt idx="9">
                  <c:v>1.2000000000000011</c:v>
                </c:pt>
                <c:pt idx="10">
                  <c:v>1.2372835000000082</c:v>
                </c:pt>
                <c:pt idx="11">
                  <c:v>1.2603311999999978</c:v>
                </c:pt>
                <c:pt idx="12">
                  <c:v>1.3000000000000123</c:v>
                </c:pt>
                <c:pt idx="13">
                  <c:v>1.304610000000006</c:v>
                </c:pt>
                <c:pt idx="14">
                  <c:v>1.3514656000000125</c:v>
                </c:pt>
                <c:pt idx="15">
                  <c:v>1.3886858999999974</c:v>
                </c:pt>
                <c:pt idx="16">
                  <c:v>1.4468641000000004</c:v>
                </c:pt>
                <c:pt idx="17">
                  <c:v>1.5000000000000013</c:v>
                </c:pt>
                <c:pt idx="18">
                  <c:v>1.5120656000000121</c:v>
                </c:pt>
                <c:pt idx="19">
                  <c:v>1.5117035000000056</c:v>
                </c:pt>
                <c:pt idx="20">
                  <c:v>1.5073086000000124</c:v>
                </c:pt>
                <c:pt idx="21">
                  <c:v>1.4993398000000102</c:v>
                </c:pt>
                <c:pt idx="22">
                  <c:v>1.4999999999999902</c:v>
                </c:pt>
                <c:pt idx="23">
                  <c:v>1.5111948000000153</c:v>
                </c:pt>
                <c:pt idx="24">
                  <c:v>1.525864400000021</c:v>
                </c:pt>
                <c:pt idx="25">
                  <c:v>1.5470835000000127</c:v>
                </c:pt>
                <c:pt idx="26">
                  <c:v>1.5712084000000015</c:v>
                </c:pt>
                <c:pt idx="27">
                  <c:v>1.6000000000000014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EurChart!$AH$4</c:f>
              <c:strCache>
                <c:ptCount val="1"/>
                <c:pt idx="0">
                  <c:v>EurOIS</c:v>
                </c:pt>
              </c:strCache>
            </c:strRef>
          </c:tx>
          <c:spPr>
            <a:ln>
              <a:solidFill>
                <a:schemeClr val="accent6"/>
              </a:solidFill>
            </a:ln>
          </c:spPr>
          <c:marker>
            <c:symbol val="none"/>
          </c:marker>
          <c:cat>
            <c:strRef>
              <c:f>EurChart!$Z$18:$Z$45</c:f>
              <c:strCache>
                <c:ptCount val="28"/>
                <c:pt idx="0">
                  <c:v>3Y</c:v>
                </c:pt>
                <c:pt idx="1">
                  <c:v>4Y</c:v>
                </c:pt>
                <c:pt idx="2">
                  <c:v>5Y</c:v>
                </c:pt>
                <c:pt idx="3">
                  <c:v>6Y</c:v>
                </c:pt>
                <c:pt idx="4">
                  <c:v>7Y</c:v>
                </c:pt>
                <c:pt idx="5">
                  <c:v>8Y</c:v>
                </c:pt>
                <c:pt idx="6">
                  <c:v>9Y</c:v>
                </c:pt>
                <c:pt idx="7">
                  <c:v>10Y</c:v>
                </c:pt>
                <c:pt idx="8">
                  <c:v>11Y</c:v>
                </c:pt>
                <c:pt idx="9">
                  <c:v>12Y</c:v>
                </c:pt>
                <c:pt idx="10">
                  <c:v>13Y</c:v>
                </c:pt>
                <c:pt idx="11">
                  <c:v>14Y</c:v>
                </c:pt>
                <c:pt idx="12">
                  <c:v>15Y</c:v>
                </c:pt>
                <c:pt idx="13">
                  <c:v>16Y</c:v>
                </c:pt>
                <c:pt idx="14">
                  <c:v>17Y</c:v>
                </c:pt>
                <c:pt idx="15">
                  <c:v>18Y</c:v>
                </c:pt>
                <c:pt idx="16">
                  <c:v>19Y</c:v>
                </c:pt>
                <c:pt idx="17">
                  <c:v>20Y</c:v>
                </c:pt>
                <c:pt idx="18">
                  <c:v>21Y</c:v>
                </c:pt>
                <c:pt idx="19">
                  <c:v>22Y</c:v>
                </c:pt>
                <c:pt idx="20">
                  <c:v>23Y</c:v>
                </c:pt>
                <c:pt idx="21">
                  <c:v>24Y</c:v>
                </c:pt>
                <c:pt idx="22">
                  <c:v>25Y</c:v>
                </c:pt>
                <c:pt idx="23">
                  <c:v>26Y</c:v>
                </c:pt>
                <c:pt idx="24">
                  <c:v>27Y</c:v>
                </c:pt>
                <c:pt idx="25">
                  <c:v>28Y</c:v>
                </c:pt>
                <c:pt idx="26">
                  <c:v>29Y</c:v>
                </c:pt>
                <c:pt idx="27">
                  <c:v>30Y</c:v>
                </c:pt>
              </c:strCache>
            </c:strRef>
          </c:cat>
          <c:val>
            <c:numRef>
              <c:f>EurChart!$AH$18:$AH$45</c:f>
              <c:numCache>
                <c:formatCode>0.000</c:formatCode>
                <c:ptCount val="28"/>
                <c:pt idx="0">
                  <c:v>9.9999999999994538E-2</c:v>
                </c:pt>
                <c:pt idx="1">
                  <c:v>0.29999999999999749</c:v>
                </c:pt>
                <c:pt idx="2">
                  <c:v>0.60000000000000053</c:v>
                </c:pt>
                <c:pt idx="3">
                  <c:v>0.8</c:v>
                </c:pt>
                <c:pt idx="4">
                  <c:v>1.0000000000000009</c:v>
                </c:pt>
                <c:pt idx="5">
                  <c:v>1.0000000000000009</c:v>
                </c:pt>
                <c:pt idx="6">
                  <c:v>1.100000000000001</c:v>
                </c:pt>
                <c:pt idx="7">
                  <c:v>1.3000000000000012</c:v>
                </c:pt>
                <c:pt idx="8">
                  <c:v>1.3000000000000012</c:v>
                </c:pt>
                <c:pt idx="9">
                  <c:v>1.2000000000000011</c:v>
                </c:pt>
                <c:pt idx="10">
                  <c:v>1.2250558000000078</c:v>
                </c:pt>
                <c:pt idx="11">
                  <c:v>1.2977312999999935</c:v>
                </c:pt>
                <c:pt idx="12">
                  <c:v>1.4000000000000012</c:v>
                </c:pt>
                <c:pt idx="13">
                  <c:v>1.4405897000000056</c:v>
                </c:pt>
                <c:pt idx="14">
                  <c:v>1.4969400000000022</c:v>
                </c:pt>
                <c:pt idx="15">
                  <c:v>1.5252926000000055</c:v>
                </c:pt>
                <c:pt idx="16">
                  <c:v>1.5656285000000159</c:v>
                </c:pt>
                <c:pt idx="17">
                  <c:v>1.6000000000000014</c:v>
                </c:pt>
                <c:pt idx="18">
                  <c:v>1.5984339000000181</c:v>
                </c:pt>
                <c:pt idx="19">
                  <c:v>1.4913222000000115</c:v>
                </c:pt>
                <c:pt idx="20">
                  <c:v>1.4871545000000097</c:v>
                </c:pt>
                <c:pt idx="21">
                  <c:v>1.5857698999999892</c:v>
                </c:pt>
                <c:pt idx="22">
                  <c:v>1.6000000000000014</c:v>
                </c:pt>
                <c:pt idx="23">
                  <c:v>1.6308534999999846</c:v>
                </c:pt>
                <c:pt idx="24">
                  <c:v>1.6679297000000259</c:v>
                </c:pt>
                <c:pt idx="25">
                  <c:v>1.7119054999999994</c:v>
                </c:pt>
                <c:pt idx="26">
                  <c:v>1.7561965000000068</c:v>
                </c:pt>
                <c:pt idx="27">
                  <c:v>1.8000000000000016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8712960"/>
        <c:axId val="668714496"/>
      </c:lineChart>
      <c:catAx>
        <c:axId val="6687129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txPr>
          <a:bodyPr rot="-5400000" vert="horz"/>
          <a:lstStyle/>
          <a:p>
            <a:pPr>
              <a:defRPr/>
            </a:pPr>
            <a:endParaRPr lang="en-US"/>
          </a:p>
        </c:txPr>
        <c:crossAx val="668714496"/>
        <c:crosses val="autoZero"/>
        <c:auto val="1"/>
        <c:lblAlgn val="ctr"/>
        <c:lblOffset val="100"/>
        <c:noMultiLvlLbl val="0"/>
      </c:catAx>
      <c:valAx>
        <c:axId val="668714496"/>
        <c:scaling>
          <c:orientation val="minMax"/>
        </c:scaling>
        <c:delete val="0"/>
        <c:axPos val="l"/>
        <c:majorGridlines/>
        <c:numFmt formatCode="0.000" sourceLinked="1"/>
        <c:majorTickMark val="out"/>
        <c:minorTickMark val="none"/>
        <c:tickLblPos val="nextTo"/>
        <c:crossAx val="668712960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8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Eur Mkt </a:t>
            </a:r>
            <a:r>
              <a:rPr lang="en-US" sz="1800" b="1" i="0" baseline="0">
                <a:effectLst/>
              </a:rPr>
              <a:t>3Y÷10Y</a:t>
            </a:r>
            <a:endParaRPr lang="en-US">
              <a:effectLst/>
            </a:endParaRP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EurChart!$AK$4</c:f>
              <c:strCache>
                <c:ptCount val="1"/>
                <c:pt idx="0">
                  <c:v>Eur3M</c:v>
                </c:pt>
              </c:strCache>
            </c:strRef>
          </c:tx>
          <c:marker>
            <c:symbol val="none"/>
          </c:marker>
          <c:cat>
            <c:strRef>
              <c:f>EurChart!$Z$18:$Z$25</c:f>
              <c:strCache>
                <c:ptCount val="8"/>
                <c:pt idx="0">
                  <c:v>3Y</c:v>
                </c:pt>
                <c:pt idx="1">
                  <c:v>4Y</c:v>
                </c:pt>
                <c:pt idx="2">
                  <c:v>5Y</c:v>
                </c:pt>
                <c:pt idx="3">
                  <c:v>6Y</c:v>
                </c:pt>
                <c:pt idx="4">
                  <c:v>7Y</c:v>
                </c:pt>
                <c:pt idx="5">
                  <c:v>8Y</c:v>
                </c:pt>
                <c:pt idx="6">
                  <c:v>9Y</c:v>
                </c:pt>
                <c:pt idx="7">
                  <c:v>10Y</c:v>
                </c:pt>
              </c:strCache>
            </c:strRef>
          </c:cat>
          <c:val>
            <c:numRef>
              <c:f>EurChart!$AK$18:$AK$25</c:f>
              <c:numCache>
                <c:formatCode>0.000</c:formatCode>
                <c:ptCount val="8"/>
                <c:pt idx="0">
                  <c:v>-0.185</c:v>
                </c:pt>
                <c:pt idx="1">
                  <c:v>-0.10100000000000001</c:v>
                </c:pt>
                <c:pt idx="2">
                  <c:v>0</c:v>
                </c:pt>
                <c:pt idx="3">
                  <c:v>0.112</c:v>
                </c:pt>
                <c:pt idx="4">
                  <c:v>0.22800000000000001</c:v>
                </c:pt>
                <c:pt idx="5">
                  <c:v>0.34400000000000003</c:v>
                </c:pt>
                <c:pt idx="6">
                  <c:v>0.45800000000000002</c:v>
                </c:pt>
                <c:pt idx="7">
                  <c:v>0.56200000000000006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EurChart!$AL$4</c:f>
              <c:strCache>
                <c:ptCount val="1"/>
                <c:pt idx="0">
                  <c:v>Eur6M</c:v>
                </c:pt>
              </c:strCache>
            </c:strRef>
          </c:tx>
          <c:marker>
            <c:symbol val="none"/>
          </c:marker>
          <c:cat>
            <c:strRef>
              <c:f>EurChart!$Z$18:$Z$25</c:f>
              <c:strCache>
                <c:ptCount val="8"/>
                <c:pt idx="0">
                  <c:v>3Y</c:v>
                </c:pt>
                <c:pt idx="1">
                  <c:v>4Y</c:v>
                </c:pt>
                <c:pt idx="2">
                  <c:v>5Y</c:v>
                </c:pt>
                <c:pt idx="3">
                  <c:v>6Y</c:v>
                </c:pt>
                <c:pt idx="4">
                  <c:v>7Y</c:v>
                </c:pt>
                <c:pt idx="5">
                  <c:v>8Y</c:v>
                </c:pt>
                <c:pt idx="6">
                  <c:v>9Y</c:v>
                </c:pt>
                <c:pt idx="7">
                  <c:v>10Y</c:v>
                </c:pt>
              </c:strCache>
            </c:strRef>
          </c:cat>
          <c:val>
            <c:numRef>
              <c:f>EurChart!$AL$18:$AL$25</c:f>
              <c:numCache>
                <c:formatCode>0.000</c:formatCode>
                <c:ptCount val="8"/>
                <c:pt idx="0">
                  <c:v>-0.06</c:v>
                </c:pt>
                <c:pt idx="1">
                  <c:v>3.2000000000000001E-2</c:v>
                </c:pt>
                <c:pt idx="2">
                  <c:v>0.13800000000000001</c:v>
                </c:pt>
                <c:pt idx="3">
                  <c:v>0.25</c:v>
                </c:pt>
                <c:pt idx="4">
                  <c:v>0.36399999999999999</c:v>
                </c:pt>
                <c:pt idx="5">
                  <c:v>0.47700000000000004</c:v>
                </c:pt>
                <c:pt idx="6">
                  <c:v>0.58499999999999996</c:v>
                </c:pt>
                <c:pt idx="7">
                  <c:v>0.68200000000000005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EurChart!$AM$4</c:f>
              <c:strCache>
                <c:ptCount val="1"/>
                <c:pt idx="0">
                  <c:v>Eur1Y</c:v>
                </c:pt>
              </c:strCache>
            </c:strRef>
          </c:tx>
          <c:marker>
            <c:symbol val="none"/>
          </c:marker>
          <c:cat>
            <c:strRef>
              <c:f>EurChart!$Z$18:$Z$25</c:f>
              <c:strCache>
                <c:ptCount val="8"/>
                <c:pt idx="0">
                  <c:v>3Y</c:v>
                </c:pt>
                <c:pt idx="1">
                  <c:v>4Y</c:v>
                </c:pt>
                <c:pt idx="2">
                  <c:v>5Y</c:v>
                </c:pt>
                <c:pt idx="3">
                  <c:v>6Y</c:v>
                </c:pt>
                <c:pt idx="4">
                  <c:v>7Y</c:v>
                </c:pt>
                <c:pt idx="5">
                  <c:v>8Y</c:v>
                </c:pt>
                <c:pt idx="6">
                  <c:v>9Y</c:v>
                </c:pt>
                <c:pt idx="7">
                  <c:v>10Y</c:v>
                </c:pt>
              </c:strCache>
            </c:strRef>
          </c:cat>
          <c:val>
            <c:numRef>
              <c:f>EurChart!$AM$18:$AM$25</c:f>
              <c:numCache>
                <c:formatCode>0.000</c:formatCode>
                <c:ptCount val="8"/>
                <c:pt idx="0">
                  <c:v>6.9000000000000006E-2</c:v>
                </c:pt>
                <c:pt idx="1">
                  <c:v>0.16400000000000001</c:v>
                </c:pt>
                <c:pt idx="2">
                  <c:v>0.27200000000000002</c:v>
                </c:pt>
                <c:pt idx="3">
                  <c:v>0.38400000000000001</c:v>
                </c:pt>
                <c:pt idx="4">
                  <c:v>0.497</c:v>
                </c:pt>
                <c:pt idx="5">
                  <c:v>0.60799999999999998</c:v>
                </c:pt>
                <c:pt idx="6">
                  <c:v>0.71399999999999997</c:v>
                </c:pt>
                <c:pt idx="7">
                  <c:v>0.80700000000000005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EurChart!$AN$4</c:f>
              <c:strCache>
                <c:ptCount val="1"/>
                <c:pt idx="0">
                  <c:v>Eur1M</c:v>
                </c:pt>
              </c:strCache>
            </c:strRef>
          </c:tx>
          <c:marker>
            <c:symbol val="none"/>
          </c:marker>
          <c:cat>
            <c:strRef>
              <c:f>EurChart!$Z$18:$Z$25</c:f>
              <c:strCache>
                <c:ptCount val="8"/>
                <c:pt idx="0">
                  <c:v>3Y</c:v>
                </c:pt>
                <c:pt idx="1">
                  <c:v>4Y</c:v>
                </c:pt>
                <c:pt idx="2">
                  <c:v>5Y</c:v>
                </c:pt>
                <c:pt idx="3">
                  <c:v>6Y</c:v>
                </c:pt>
                <c:pt idx="4">
                  <c:v>7Y</c:v>
                </c:pt>
                <c:pt idx="5">
                  <c:v>8Y</c:v>
                </c:pt>
                <c:pt idx="6">
                  <c:v>9Y</c:v>
                </c:pt>
                <c:pt idx="7">
                  <c:v>10Y</c:v>
                </c:pt>
              </c:strCache>
            </c:strRef>
          </c:cat>
          <c:val>
            <c:numRef>
              <c:f>EurChart!$AN$18:$AN$25</c:f>
              <c:numCache>
                <c:formatCode>0.000</c:formatCode>
                <c:ptCount val="8"/>
                <c:pt idx="0">
                  <c:v>-0.28800000000000003</c:v>
                </c:pt>
                <c:pt idx="1">
                  <c:v>-0.20899999999999999</c:v>
                </c:pt>
                <c:pt idx="2">
                  <c:v>-0.113</c:v>
                </c:pt>
                <c:pt idx="3">
                  <c:v>-2E-3</c:v>
                </c:pt>
                <c:pt idx="4">
                  <c:v>0.115</c:v>
                </c:pt>
                <c:pt idx="5">
                  <c:v>0.23300000000000001</c:v>
                </c:pt>
                <c:pt idx="6">
                  <c:v>0.34800000000000003</c:v>
                </c:pt>
                <c:pt idx="7">
                  <c:v>0.45400000000000001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EurChart!$AO$4</c:f>
              <c:strCache>
                <c:ptCount val="1"/>
                <c:pt idx="0">
                  <c:v>EurOIS</c:v>
                </c:pt>
              </c:strCache>
            </c:strRef>
          </c:tx>
          <c:spPr>
            <a:ln>
              <a:solidFill>
                <a:schemeClr val="accent6"/>
              </a:solidFill>
            </a:ln>
          </c:spPr>
          <c:marker>
            <c:symbol val="none"/>
          </c:marker>
          <c:cat>
            <c:strRef>
              <c:f>EurChart!$Z$18:$Z$25</c:f>
              <c:strCache>
                <c:ptCount val="8"/>
                <c:pt idx="0">
                  <c:v>3Y</c:v>
                </c:pt>
                <c:pt idx="1">
                  <c:v>4Y</c:v>
                </c:pt>
                <c:pt idx="2">
                  <c:v>5Y</c:v>
                </c:pt>
                <c:pt idx="3">
                  <c:v>6Y</c:v>
                </c:pt>
                <c:pt idx="4">
                  <c:v>7Y</c:v>
                </c:pt>
                <c:pt idx="5">
                  <c:v>8Y</c:v>
                </c:pt>
                <c:pt idx="6">
                  <c:v>9Y</c:v>
                </c:pt>
                <c:pt idx="7">
                  <c:v>10Y</c:v>
                </c:pt>
              </c:strCache>
            </c:strRef>
          </c:cat>
          <c:val>
            <c:numRef>
              <c:f>EurChart!$AO$18:$AO$25</c:f>
              <c:numCache>
                <c:formatCode>0.000</c:formatCode>
                <c:ptCount val="8"/>
                <c:pt idx="0">
                  <c:v>-0.28100000000000003</c:v>
                </c:pt>
                <c:pt idx="1">
                  <c:v>-0.20500000000000002</c:v>
                </c:pt>
                <c:pt idx="2">
                  <c:v>-0.107</c:v>
                </c:pt>
                <c:pt idx="3">
                  <c:v>3.0000000000000001E-3</c:v>
                </c:pt>
                <c:pt idx="4">
                  <c:v>0.11900000000000001</c:v>
                </c:pt>
                <c:pt idx="5">
                  <c:v>0.23600000000000002</c:v>
                </c:pt>
                <c:pt idx="6">
                  <c:v>0.34900000000000003</c:v>
                </c:pt>
                <c:pt idx="7">
                  <c:v>0.45400000000000001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636800"/>
        <c:axId val="2642688"/>
      </c:lineChart>
      <c:catAx>
        <c:axId val="26368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2642688"/>
        <c:crosses val="autoZero"/>
        <c:auto val="1"/>
        <c:lblAlgn val="ctr"/>
        <c:lblOffset val="100"/>
        <c:noMultiLvlLbl val="0"/>
      </c:catAx>
      <c:valAx>
        <c:axId val="2642688"/>
        <c:scaling>
          <c:orientation val="minMax"/>
        </c:scaling>
        <c:delete val="0"/>
        <c:axPos val="l"/>
        <c:majorGridlines/>
        <c:numFmt formatCode="0.000" sourceLinked="1"/>
        <c:majorTickMark val="out"/>
        <c:minorTickMark val="none"/>
        <c:tickLblPos val="nextTo"/>
        <c:crossAx val="2636800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Eur NetChg 3Y</a:t>
            </a:r>
            <a:r>
              <a:rPr lang="en-US">
                <a:latin typeface="Calibri"/>
              </a:rPr>
              <a:t>÷10Y</a:t>
            </a:r>
            <a:endParaRPr lang="en-US"/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EurChart!$AD$4</c:f>
              <c:strCache>
                <c:ptCount val="1"/>
                <c:pt idx="0">
                  <c:v>Eur3M</c:v>
                </c:pt>
              </c:strCache>
            </c:strRef>
          </c:tx>
          <c:marker>
            <c:symbol val="none"/>
          </c:marker>
          <c:cat>
            <c:strRef>
              <c:f>EurChart!$Z$18:$Z$25</c:f>
              <c:strCache>
                <c:ptCount val="8"/>
                <c:pt idx="0">
                  <c:v>3Y</c:v>
                </c:pt>
                <c:pt idx="1">
                  <c:v>4Y</c:v>
                </c:pt>
                <c:pt idx="2">
                  <c:v>5Y</c:v>
                </c:pt>
                <c:pt idx="3">
                  <c:v>6Y</c:v>
                </c:pt>
                <c:pt idx="4">
                  <c:v>7Y</c:v>
                </c:pt>
                <c:pt idx="5">
                  <c:v>8Y</c:v>
                </c:pt>
                <c:pt idx="6">
                  <c:v>9Y</c:v>
                </c:pt>
                <c:pt idx="7">
                  <c:v>10Y</c:v>
                </c:pt>
              </c:strCache>
            </c:strRef>
          </c:cat>
          <c:val>
            <c:numRef>
              <c:f>EurChart!$AD$18:$AD$25</c:f>
              <c:numCache>
                <c:formatCode>0.000</c:formatCode>
                <c:ptCount val="8"/>
                <c:pt idx="0">
                  <c:v>0.10000000000000009</c:v>
                </c:pt>
                <c:pt idx="1">
                  <c:v>0.39999999999999897</c:v>
                </c:pt>
                <c:pt idx="2">
                  <c:v>0.6</c:v>
                </c:pt>
                <c:pt idx="3">
                  <c:v>0.9000000000000008</c:v>
                </c:pt>
                <c:pt idx="4">
                  <c:v>1.0000000000000009</c:v>
                </c:pt>
                <c:pt idx="5">
                  <c:v>1.0000000000000009</c:v>
                </c:pt>
                <c:pt idx="6">
                  <c:v>1.2000000000000011</c:v>
                </c:pt>
                <c:pt idx="7">
                  <c:v>1.2000000000000011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EurChart!$AE$4</c:f>
              <c:strCache>
                <c:ptCount val="1"/>
                <c:pt idx="0">
                  <c:v>Eur6M</c:v>
                </c:pt>
              </c:strCache>
            </c:strRef>
          </c:tx>
          <c:marker>
            <c:symbol val="none"/>
          </c:marker>
          <c:cat>
            <c:strRef>
              <c:f>EurChart!$Z$18:$Z$25</c:f>
              <c:strCache>
                <c:ptCount val="8"/>
                <c:pt idx="0">
                  <c:v>3Y</c:v>
                </c:pt>
                <c:pt idx="1">
                  <c:v>4Y</c:v>
                </c:pt>
                <c:pt idx="2">
                  <c:v>5Y</c:v>
                </c:pt>
                <c:pt idx="3">
                  <c:v>6Y</c:v>
                </c:pt>
                <c:pt idx="4">
                  <c:v>7Y</c:v>
                </c:pt>
                <c:pt idx="5">
                  <c:v>8Y</c:v>
                </c:pt>
                <c:pt idx="6">
                  <c:v>9Y</c:v>
                </c:pt>
                <c:pt idx="7">
                  <c:v>10Y</c:v>
                </c:pt>
              </c:strCache>
            </c:strRef>
          </c:cat>
          <c:val>
            <c:numRef>
              <c:f>EurChart!$AE$18:$AE$25</c:f>
              <c:numCache>
                <c:formatCode>0.000</c:formatCode>
                <c:ptCount val="8"/>
                <c:pt idx="0">
                  <c:v>0.10000000000000009</c:v>
                </c:pt>
                <c:pt idx="1">
                  <c:v>0.4</c:v>
                </c:pt>
                <c:pt idx="2">
                  <c:v>0.60000000000000053</c:v>
                </c:pt>
                <c:pt idx="3">
                  <c:v>0.80000000000000071</c:v>
                </c:pt>
                <c:pt idx="4">
                  <c:v>0.9000000000000008</c:v>
                </c:pt>
                <c:pt idx="5">
                  <c:v>1.0000000000000009</c:v>
                </c:pt>
                <c:pt idx="6">
                  <c:v>1.100000000000001</c:v>
                </c:pt>
                <c:pt idx="7">
                  <c:v>1.100000000000001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EurChart!$AF$4</c:f>
              <c:strCache>
                <c:ptCount val="1"/>
                <c:pt idx="0">
                  <c:v>Eur1Y</c:v>
                </c:pt>
              </c:strCache>
            </c:strRef>
          </c:tx>
          <c:marker>
            <c:symbol val="none"/>
          </c:marker>
          <c:cat>
            <c:strRef>
              <c:f>EurChart!$Z$18:$Z$25</c:f>
              <c:strCache>
                <c:ptCount val="8"/>
                <c:pt idx="0">
                  <c:v>3Y</c:v>
                </c:pt>
                <c:pt idx="1">
                  <c:v>4Y</c:v>
                </c:pt>
                <c:pt idx="2">
                  <c:v>5Y</c:v>
                </c:pt>
                <c:pt idx="3">
                  <c:v>6Y</c:v>
                </c:pt>
                <c:pt idx="4">
                  <c:v>7Y</c:v>
                </c:pt>
                <c:pt idx="5">
                  <c:v>8Y</c:v>
                </c:pt>
                <c:pt idx="6">
                  <c:v>9Y</c:v>
                </c:pt>
                <c:pt idx="7">
                  <c:v>10Y</c:v>
                </c:pt>
              </c:strCache>
            </c:strRef>
          </c:cat>
          <c:val>
            <c:numRef>
              <c:f>EurChart!$AF$18:$AF$25</c:f>
              <c:numCache>
                <c:formatCode>0.000</c:formatCode>
                <c:ptCount val="8"/>
                <c:pt idx="0">
                  <c:v>0</c:v>
                </c:pt>
                <c:pt idx="1">
                  <c:v>0.30000000000000027</c:v>
                </c:pt>
                <c:pt idx="2">
                  <c:v>0.50000000000000044</c:v>
                </c:pt>
                <c:pt idx="3">
                  <c:v>0.70000000000000062</c:v>
                </c:pt>
                <c:pt idx="4">
                  <c:v>0.80000000000000071</c:v>
                </c:pt>
                <c:pt idx="5">
                  <c:v>0.9000000000000008</c:v>
                </c:pt>
                <c:pt idx="6">
                  <c:v>1.0000000000000009</c:v>
                </c:pt>
                <c:pt idx="7">
                  <c:v>1.100000000000001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EurChart!$AG$4</c:f>
              <c:strCache>
                <c:ptCount val="1"/>
                <c:pt idx="0">
                  <c:v>Eur1M</c:v>
                </c:pt>
              </c:strCache>
            </c:strRef>
          </c:tx>
          <c:marker>
            <c:symbol val="none"/>
          </c:marker>
          <c:cat>
            <c:strRef>
              <c:f>EurChart!$Z$18:$Z$25</c:f>
              <c:strCache>
                <c:ptCount val="8"/>
                <c:pt idx="0">
                  <c:v>3Y</c:v>
                </c:pt>
                <c:pt idx="1">
                  <c:v>4Y</c:v>
                </c:pt>
                <c:pt idx="2">
                  <c:v>5Y</c:v>
                </c:pt>
                <c:pt idx="3">
                  <c:v>6Y</c:v>
                </c:pt>
                <c:pt idx="4">
                  <c:v>7Y</c:v>
                </c:pt>
                <c:pt idx="5">
                  <c:v>8Y</c:v>
                </c:pt>
                <c:pt idx="6">
                  <c:v>9Y</c:v>
                </c:pt>
                <c:pt idx="7">
                  <c:v>10Y</c:v>
                </c:pt>
              </c:strCache>
            </c:strRef>
          </c:cat>
          <c:val>
            <c:numRef>
              <c:f>EurChart!$AG$18:$AG$25</c:f>
              <c:numCache>
                <c:formatCode>0.000</c:formatCode>
                <c:ptCount val="8"/>
                <c:pt idx="0">
                  <c:v>9.9999999999994538E-2</c:v>
                </c:pt>
                <c:pt idx="1">
                  <c:v>0.40000000000000036</c:v>
                </c:pt>
                <c:pt idx="2">
                  <c:v>0.5999999999999992</c:v>
                </c:pt>
                <c:pt idx="3">
                  <c:v>0.89999999999999991</c:v>
                </c:pt>
                <c:pt idx="4">
                  <c:v>1.0000000000000009</c:v>
                </c:pt>
                <c:pt idx="5">
                  <c:v>1.100000000000001</c:v>
                </c:pt>
                <c:pt idx="6">
                  <c:v>1.2000000000000011</c:v>
                </c:pt>
                <c:pt idx="7">
                  <c:v>1.2000000000000011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EurChart!$AH$4</c:f>
              <c:strCache>
                <c:ptCount val="1"/>
                <c:pt idx="0">
                  <c:v>EurOIS</c:v>
                </c:pt>
              </c:strCache>
            </c:strRef>
          </c:tx>
          <c:spPr>
            <a:ln>
              <a:solidFill>
                <a:schemeClr val="accent6"/>
              </a:solidFill>
            </a:ln>
          </c:spPr>
          <c:marker>
            <c:symbol val="none"/>
          </c:marker>
          <c:cat>
            <c:strRef>
              <c:f>EurChart!$Z$18:$Z$25</c:f>
              <c:strCache>
                <c:ptCount val="8"/>
                <c:pt idx="0">
                  <c:v>3Y</c:v>
                </c:pt>
                <c:pt idx="1">
                  <c:v>4Y</c:v>
                </c:pt>
                <c:pt idx="2">
                  <c:v>5Y</c:v>
                </c:pt>
                <c:pt idx="3">
                  <c:v>6Y</c:v>
                </c:pt>
                <c:pt idx="4">
                  <c:v>7Y</c:v>
                </c:pt>
                <c:pt idx="5">
                  <c:v>8Y</c:v>
                </c:pt>
                <c:pt idx="6">
                  <c:v>9Y</c:v>
                </c:pt>
                <c:pt idx="7">
                  <c:v>10Y</c:v>
                </c:pt>
              </c:strCache>
            </c:strRef>
          </c:cat>
          <c:val>
            <c:numRef>
              <c:f>EurChart!$AH$18:$AH$25</c:f>
              <c:numCache>
                <c:formatCode>0.000</c:formatCode>
                <c:ptCount val="8"/>
                <c:pt idx="0">
                  <c:v>9.9999999999994538E-2</c:v>
                </c:pt>
                <c:pt idx="1">
                  <c:v>0.29999999999999749</c:v>
                </c:pt>
                <c:pt idx="2">
                  <c:v>0.60000000000000053</c:v>
                </c:pt>
                <c:pt idx="3">
                  <c:v>0.8</c:v>
                </c:pt>
                <c:pt idx="4">
                  <c:v>1.0000000000000009</c:v>
                </c:pt>
                <c:pt idx="5">
                  <c:v>1.0000000000000009</c:v>
                </c:pt>
                <c:pt idx="6">
                  <c:v>1.100000000000001</c:v>
                </c:pt>
                <c:pt idx="7">
                  <c:v>1.3000000000000012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3912448"/>
        <c:axId val="663913984"/>
      </c:lineChart>
      <c:catAx>
        <c:axId val="66391244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txPr>
          <a:bodyPr rot="-5400000" vert="horz"/>
          <a:lstStyle/>
          <a:p>
            <a:pPr>
              <a:defRPr/>
            </a:pPr>
            <a:endParaRPr lang="en-US"/>
          </a:p>
        </c:txPr>
        <c:crossAx val="663913984"/>
        <c:crosses val="autoZero"/>
        <c:auto val="1"/>
        <c:lblAlgn val="ctr"/>
        <c:lblOffset val="100"/>
        <c:noMultiLvlLbl val="0"/>
      </c:catAx>
      <c:valAx>
        <c:axId val="663913984"/>
        <c:scaling>
          <c:orientation val="minMax"/>
        </c:scaling>
        <c:delete val="0"/>
        <c:axPos val="l"/>
        <c:majorGridlines/>
        <c:numFmt formatCode="0.000" sourceLinked="1"/>
        <c:majorTickMark val="out"/>
        <c:minorTickMark val="none"/>
        <c:tickLblPos val="nextTo"/>
        <c:crossAx val="663912448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2399956255468065"/>
          <c:y val="0.36703813065033541"/>
          <c:w val="0.15933377077865266"/>
          <c:h val="0.41858595800524934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8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Eur Mkt </a:t>
            </a:r>
            <a:r>
              <a:rPr lang="en-US" sz="1800" b="1" i="0" baseline="0">
                <a:effectLst/>
              </a:rPr>
              <a:t>3Y÷30Y</a:t>
            </a:r>
            <a:endParaRPr lang="en-US">
              <a:effectLst/>
            </a:endParaRP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EurChart!$AK$4</c:f>
              <c:strCache>
                <c:ptCount val="1"/>
                <c:pt idx="0">
                  <c:v>Eur3M</c:v>
                </c:pt>
              </c:strCache>
            </c:strRef>
          </c:tx>
          <c:marker>
            <c:symbol val="none"/>
          </c:marker>
          <c:cat>
            <c:strRef>
              <c:f>EurChart!$Z$19:$Z$45</c:f>
              <c:strCache>
                <c:ptCount val="27"/>
                <c:pt idx="0">
                  <c:v>4Y</c:v>
                </c:pt>
                <c:pt idx="1">
                  <c:v>5Y</c:v>
                </c:pt>
                <c:pt idx="2">
                  <c:v>6Y</c:v>
                </c:pt>
                <c:pt idx="3">
                  <c:v>7Y</c:v>
                </c:pt>
                <c:pt idx="4">
                  <c:v>8Y</c:v>
                </c:pt>
                <c:pt idx="5">
                  <c:v>9Y</c:v>
                </c:pt>
                <c:pt idx="6">
                  <c:v>10Y</c:v>
                </c:pt>
                <c:pt idx="7">
                  <c:v>11Y</c:v>
                </c:pt>
                <c:pt idx="8">
                  <c:v>12Y</c:v>
                </c:pt>
                <c:pt idx="9">
                  <c:v>13Y</c:v>
                </c:pt>
                <c:pt idx="10">
                  <c:v>14Y</c:v>
                </c:pt>
                <c:pt idx="11">
                  <c:v>15Y</c:v>
                </c:pt>
                <c:pt idx="12">
                  <c:v>16Y</c:v>
                </c:pt>
                <c:pt idx="13">
                  <c:v>17Y</c:v>
                </c:pt>
                <c:pt idx="14">
                  <c:v>18Y</c:v>
                </c:pt>
                <c:pt idx="15">
                  <c:v>19Y</c:v>
                </c:pt>
                <c:pt idx="16">
                  <c:v>20Y</c:v>
                </c:pt>
                <c:pt idx="17">
                  <c:v>21Y</c:v>
                </c:pt>
                <c:pt idx="18">
                  <c:v>22Y</c:v>
                </c:pt>
                <c:pt idx="19">
                  <c:v>23Y</c:v>
                </c:pt>
                <c:pt idx="20">
                  <c:v>24Y</c:v>
                </c:pt>
                <c:pt idx="21">
                  <c:v>25Y</c:v>
                </c:pt>
                <c:pt idx="22">
                  <c:v>26Y</c:v>
                </c:pt>
                <c:pt idx="23">
                  <c:v>27Y</c:v>
                </c:pt>
                <c:pt idx="24">
                  <c:v>28Y</c:v>
                </c:pt>
                <c:pt idx="25">
                  <c:v>29Y</c:v>
                </c:pt>
                <c:pt idx="26">
                  <c:v>30Y</c:v>
                </c:pt>
              </c:strCache>
            </c:strRef>
          </c:cat>
          <c:val>
            <c:numRef>
              <c:f>EurChart!$AK$18:$AK$45</c:f>
              <c:numCache>
                <c:formatCode>0.000</c:formatCode>
                <c:ptCount val="28"/>
                <c:pt idx="0">
                  <c:v>-0.185</c:v>
                </c:pt>
                <c:pt idx="1">
                  <c:v>-0.10100000000000001</c:v>
                </c:pt>
                <c:pt idx="2">
                  <c:v>0</c:v>
                </c:pt>
                <c:pt idx="3">
                  <c:v>0.112</c:v>
                </c:pt>
                <c:pt idx="4">
                  <c:v>0.22800000000000001</c:v>
                </c:pt>
                <c:pt idx="5">
                  <c:v>0.34400000000000003</c:v>
                </c:pt>
                <c:pt idx="6">
                  <c:v>0.45800000000000002</c:v>
                </c:pt>
                <c:pt idx="7">
                  <c:v>0.56200000000000006</c:v>
                </c:pt>
                <c:pt idx="8">
                  <c:v>0.65547676100000007</c:v>
                </c:pt>
                <c:pt idx="9">
                  <c:v>0.73899999999999999</c:v>
                </c:pt>
                <c:pt idx="10">
                  <c:v>0.81152931300000009</c:v>
                </c:pt>
                <c:pt idx="11">
                  <c:v>0.87391950200000001</c:v>
                </c:pt>
                <c:pt idx="12">
                  <c:v>0.92700000000000005</c:v>
                </c:pt>
                <c:pt idx="13">
                  <c:v>0.97089252999999998</c:v>
                </c:pt>
                <c:pt idx="14">
                  <c:v>1.006846275</c:v>
                </c:pt>
                <c:pt idx="15">
                  <c:v>1.035952159</c:v>
                </c:pt>
                <c:pt idx="16">
                  <c:v>1.059246618</c:v>
                </c:pt>
                <c:pt idx="17">
                  <c:v>1.0780000000000001</c:v>
                </c:pt>
                <c:pt idx="18">
                  <c:v>1.0925542560000001</c:v>
                </c:pt>
                <c:pt idx="19">
                  <c:v>1.1039757320000001</c:v>
                </c:pt>
                <c:pt idx="20">
                  <c:v>1.1129306330000002</c:v>
                </c:pt>
                <c:pt idx="21">
                  <c:v>1.120149227</c:v>
                </c:pt>
                <c:pt idx="22">
                  <c:v>1.1260000000000001</c:v>
                </c:pt>
                <c:pt idx="23">
                  <c:v>1.1311609710000001</c:v>
                </c:pt>
                <c:pt idx="24">
                  <c:v>1.135686806</c:v>
                </c:pt>
                <c:pt idx="25">
                  <c:v>1.1397416300000001</c:v>
                </c:pt>
                <c:pt idx="26">
                  <c:v>1.143141545</c:v>
                </c:pt>
                <c:pt idx="27">
                  <c:v>1.1460000000000001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EurChart!$AL$4</c:f>
              <c:strCache>
                <c:ptCount val="1"/>
                <c:pt idx="0">
                  <c:v>Eur6M</c:v>
                </c:pt>
              </c:strCache>
            </c:strRef>
          </c:tx>
          <c:marker>
            <c:symbol val="none"/>
          </c:marker>
          <c:cat>
            <c:strRef>
              <c:f>EurChart!$Z$19:$Z$45</c:f>
              <c:strCache>
                <c:ptCount val="27"/>
                <c:pt idx="0">
                  <c:v>4Y</c:v>
                </c:pt>
                <c:pt idx="1">
                  <c:v>5Y</c:v>
                </c:pt>
                <c:pt idx="2">
                  <c:v>6Y</c:v>
                </c:pt>
                <c:pt idx="3">
                  <c:v>7Y</c:v>
                </c:pt>
                <c:pt idx="4">
                  <c:v>8Y</c:v>
                </c:pt>
                <c:pt idx="5">
                  <c:v>9Y</c:v>
                </c:pt>
                <c:pt idx="6">
                  <c:v>10Y</c:v>
                </c:pt>
                <c:pt idx="7">
                  <c:v>11Y</c:v>
                </c:pt>
                <c:pt idx="8">
                  <c:v>12Y</c:v>
                </c:pt>
                <c:pt idx="9">
                  <c:v>13Y</c:v>
                </c:pt>
                <c:pt idx="10">
                  <c:v>14Y</c:v>
                </c:pt>
                <c:pt idx="11">
                  <c:v>15Y</c:v>
                </c:pt>
                <c:pt idx="12">
                  <c:v>16Y</c:v>
                </c:pt>
                <c:pt idx="13">
                  <c:v>17Y</c:v>
                </c:pt>
                <c:pt idx="14">
                  <c:v>18Y</c:v>
                </c:pt>
                <c:pt idx="15">
                  <c:v>19Y</c:v>
                </c:pt>
                <c:pt idx="16">
                  <c:v>20Y</c:v>
                </c:pt>
                <c:pt idx="17">
                  <c:v>21Y</c:v>
                </c:pt>
                <c:pt idx="18">
                  <c:v>22Y</c:v>
                </c:pt>
                <c:pt idx="19">
                  <c:v>23Y</c:v>
                </c:pt>
                <c:pt idx="20">
                  <c:v>24Y</c:v>
                </c:pt>
                <c:pt idx="21">
                  <c:v>25Y</c:v>
                </c:pt>
                <c:pt idx="22">
                  <c:v>26Y</c:v>
                </c:pt>
                <c:pt idx="23">
                  <c:v>27Y</c:v>
                </c:pt>
                <c:pt idx="24">
                  <c:v>28Y</c:v>
                </c:pt>
                <c:pt idx="25">
                  <c:v>29Y</c:v>
                </c:pt>
                <c:pt idx="26">
                  <c:v>30Y</c:v>
                </c:pt>
              </c:strCache>
            </c:strRef>
          </c:cat>
          <c:val>
            <c:numRef>
              <c:f>EurChart!$AL$18:$AL$45</c:f>
              <c:numCache>
                <c:formatCode>0.000</c:formatCode>
                <c:ptCount val="28"/>
                <c:pt idx="0">
                  <c:v>-0.06</c:v>
                </c:pt>
                <c:pt idx="1">
                  <c:v>3.2000000000000001E-2</c:v>
                </c:pt>
                <c:pt idx="2">
                  <c:v>0.13800000000000001</c:v>
                </c:pt>
                <c:pt idx="3">
                  <c:v>0.25</c:v>
                </c:pt>
                <c:pt idx="4">
                  <c:v>0.36399999999999999</c:v>
                </c:pt>
                <c:pt idx="5">
                  <c:v>0.47700000000000004</c:v>
                </c:pt>
                <c:pt idx="6">
                  <c:v>0.58499999999999996</c:v>
                </c:pt>
                <c:pt idx="7">
                  <c:v>0.68200000000000005</c:v>
                </c:pt>
                <c:pt idx="8">
                  <c:v>0.76879012099999999</c:v>
                </c:pt>
                <c:pt idx="9">
                  <c:v>0.84599999999999997</c:v>
                </c:pt>
                <c:pt idx="10">
                  <c:v>0.91248333400000003</c:v>
                </c:pt>
                <c:pt idx="11">
                  <c:v>0.96917744100000003</c:v>
                </c:pt>
                <c:pt idx="12">
                  <c:v>1.0170000000000001</c:v>
                </c:pt>
                <c:pt idx="13">
                  <c:v>1.056238027</c:v>
                </c:pt>
                <c:pt idx="14">
                  <c:v>1.0880167160000001</c:v>
                </c:pt>
                <c:pt idx="15">
                  <c:v>1.113386862</c:v>
                </c:pt>
                <c:pt idx="16">
                  <c:v>1.1333180630000002</c:v>
                </c:pt>
                <c:pt idx="17">
                  <c:v>1.149</c:v>
                </c:pt>
                <c:pt idx="18">
                  <c:v>1.160757542</c:v>
                </c:pt>
                <c:pt idx="19">
                  <c:v>1.1696028300000001</c:v>
                </c:pt>
                <c:pt idx="20">
                  <c:v>1.1761748830000001</c:v>
                </c:pt>
                <c:pt idx="21">
                  <c:v>1.1811911370000001</c:v>
                </c:pt>
                <c:pt idx="22">
                  <c:v>1.1850000000000001</c:v>
                </c:pt>
                <c:pt idx="23">
                  <c:v>1.1882457980000001</c:v>
                </c:pt>
                <c:pt idx="24">
                  <c:v>1.1909685060000001</c:v>
                </c:pt>
                <c:pt idx="25">
                  <c:v>1.1932717020000001</c:v>
                </c:pt>
                <c:pt idx="26">
                  <c:v>1.1949238660000001</c:v>
                </c:pt>
                <c:pt idx="27">
                  <c:v>1.196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EurChart!$AM$4</c:f>
              <c:strCache>
                <c:ptCount val="1"/>
                <c:pt idx="0">
                  <c:v>Eur1Y</c:v>
                </c:pt>
              </c:strCache>
            </c:strRef>
          </c:tx>
          <c:marker>
            <c:symbol val="none"/>
          </c:marker>
          <c:cat>
            <c:strRef>
              <c:f>EurChart!$Z$19:$Z$45</c:f>
              <c:strCache>
                <c:ptCount val="27"/>
                <c:pt idx="0">
                  <c:v>4Y</c:v>
                </c:pt>
                <c:pt idx="1">
                  <c:v>5Y</c:v>
                </c:pt>
                <c:pt idx="2">
                  <c:v>6Y</c:v>
                </c:pt>
                <c:pt idx="3">
                  <c:v>7Y</c:v>
                </c:pt>
                <c:pt idx="4">
                  <c:v>8Y</c:v>
                </c:pt>
                <c:pt idx="5">
                  <c:v>9Y</c:v>
                </c:pt>
                <c:pt idx="6">
                  <c:v>10Y</c:v>
                </c:pt>
                <c:pt idx="7">
                  <c:v>11Y</c:v>
                </c:pt>
                <c:pt idx="8">
                  <c:v>12Y</c:v>
                </c:pt>
                <c:pt idx="9">
                  <c:v>13Y</c:v>
                </c:pt>
                <c:pt idx="10">
                  <c:v>14Y</c:v>
                </c:pt>
                <c:pt idx="11">
                  <c:v>15Y</c:v>
                </c:pt>
                <c:pt idx="12">
                  <c:v>16Y</c:v>
                </c:pt>
                <c:pt idx="13">
                  <c:v>17Y</c:v>
                </c:pt>
                <c:pt idx="14">
                  <c:v>18Y</c:v>
                </c:pt>
                <c:pt idx="15">
                  <c:v>19Y</c:v>
                </c:pt>
                <c:pt idx="16">
                  <c:v>20Y</c:v>
                </c:pt>
                <c:pt idx="17">
                  <c:v>21Y</c:v>
                </c:pt>
                <c:pt idx="18">
                  <c:v>22Y</c:v>
                </c:pt>
                <c:pt idx="19">
                  <c:v>23Y</c:v>
                </c:pt>
                <c:pt idx="20">
                  <c:v>24Y</c:v>
                </c:pt>
                <c:pt idx="21">
                  <c:v>25Y</c:v>
                </c:pt>
                <c:pt idx="22">
                  <c:v>26Y</c:v>
                </c:pt>
                <c:pt idx="23">
                  <c:v>27Y</c:v>
                </c:pt>
                <c:pt idx="24">
                  <c:v>28Y</c:v>
                </c:pt>
                <c:pt idx="25">
                  <c:v>29Y</c:v>
                </c:pt>
                <c:pt idx="26">
                  <c:v>30Y</c:v>
                </c:pt>
              </c:strCache>
            </c:strRef>
          </c:cat>
          <c:val>
            <c:numRef>
              <c:f>EurChart!$AM$18:$AM$45</c:f>
              <c:numCache>
                <c:formatCode>0.000</c:formatCode>
                <c:ptCount val="28"/>
                <c:pt idx="0">
                  <c:v>6.9000000000000006E-2</c:v>
                </c:pt>
                <c:pt idx="1">
                  <c:v>0.16400000000000001</c:v>
                </c:pt>
                <c:pt idx="2">
                  <c:v>0.27200000000000002</c:v>
                </c:pt>
                <c:pt idx="3">
                  <c:v>0.38400000000000001</c:v>
                </c:pt>
                <c:pt idx="4">
                  <c:v>0.497</c:v>
                </c:pt>
                <c:pt idx="5">
                  <c:v>0.60799999999999998</c:v>
                </c:pt>
                <c:pt idx="6">
                  <c:v>0.71399999999999997</c:v>
                </c:pt>
                <c:pt idx="7">
                  <c:v>0.80700000000000005</c:v>
                </c:pt>
                <c:pt idx="8">
                  <c:v>0.887186947</c:v>
                </c:pt>
                <c:pt idx="9">
                  <c:v>0.95700000000000007</c:v>
                </c:pt>
                <c:pt idx="10">
                  <c:v>1.017136847</c:v>
                </c:pt>
                <c:pt idx="11">
                  <c:v>1.068621249</c:v>
                </c:pt>
                <c:pt idx="12">
                  <c:v>1.1120000000000001</c:v>
                </c:pt>
                <c:pt idx="13">
                  <c:v>1.1473398620000002</c:v>
                </c:pt>
                <c:pt idx="14">
                  <c:v>1.175596181</c:v>
                </c:pt>
                <c:pt idx="15">
                  <c:v>1.1978043700000001</c:v>
                </c:pt>
                <c:pt idx="16">
                  <c:v>1.2148926760000001</c:v>
                </c:pt>
                <c:pt idx="17">
                  <c:v>1.228</c:v>
                </c:pt>
                <c:pt idx="18">
                  <c:v>1.237440104</c:v>
                </c:pt>
                <c:pt idx="19">
                  <c:v>1.2441663220000001</c:v>
                </c:pt>
                <c:pt idx="20">
                  <c:v>1.248773637</c:v>
                </c:pt>
                <c:pt idx="21">
                  <c:v>1.251949306</c:v>
                </c:pt>
                <c:pt idx="22">
                  <c:v>1.254</c:v>
                </c:pt>
                <c:pt idx="23">
                  <c:v>1.2555407980000002</c:v>
                </c:pt>
                <c:pt idx="24">
                  <c:v>1.256670749</c:v>
                </c:pt>
                <c:pt idx="25">
                  <c:v>1.2575300580000002</c:v>
                </c:pt>
                <c:pt idx="26">
                  <c:v>1.2579301230000002</c:v>
                </c:pt>
                <c:pt idx="27">
                  <c:v>1.258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EurChart!$AN$4</c:f>
              <c:strCache>
                <c:ptCount val="1"/>
                <c:pt idx="0">
                  <c:v>Eur1M</c:v>
                </c:pt>
              </c:strCache>
            </c:strRef>
          </c:tx>
          <c:marker>
            <c:symbol val="none"/>
          </c:marker>
          <c:cat>
            <c:strRef>
              <c:f>EurChart!$Z$19:$Z$45</c:f>
              <c:strCache>
                <c:ptCount val="27"/>
                <c:pt idx="0">
                  <c:v>4Y</c:v>
                </c:pt>
                <c:pt idx="1">
                  <c:v>5Y</c:v>
                </c:pt>
                <c:pt idx="2">
                  <c:v>6Y</c:v>
                </c:pt>
                <c:pt idx="3">
                  <c:v>7Y</c:v>
                </c:pt>
                <c:pt idx="4">
                  <c:v>8Y</c:v>
                </c:pt>
                <c:pt idx="5">
                  <c:v>9Y</c:v>
                </c:pt>
                <c:pt idx="6">
                  <c:v>10Y</c:v>
                </c:pt>
                <c:pt idx="7">
                  <c:v>11Y</c:v>
                </c:pt>
                <c:pt idx="8">
                  <c:v>12Y</c:v>
                </c:pt>
                <c:pt idx="9">
                  <c:v>13Y</c:v>
                </c:pt>
                <c:pt idx="10">
                  <c:v>14Y</c:v>
                </c:pt>
                <c:pt idx="11">
                  <c:v>15Y</c:v>
                </c:pt>
                <c:pt idx="12">
                  <c:v>16Y</c:v>
                </c:pt>
                <c:pt idx="13">
                  <c:v>17Y</c:v>
                </c:pt>
                <c:pt idx="14">
                  <c:v>18Y</c:v>
                </c:pt>
                <c:pt idx="15">
                  <c:v>19Y</c:v>
                </c:pt>
                <c:pt idx="16">
                  <c:v>20Y</c:v>
                </c:pt>
                <c:pt idx="17">
                  <c:v>21Y</c:v>
                </c:pt>
                <c:pt idx="18">
                  <c:v>22Y</c:v>
                </c:pt>
                <c:pt idx="19">
                  <c:v>23Y</c:v>
                </c:pt>
                <c:pt idx="20">
                  <c:v>24Y</c:v>
                </c:pt>
                <c:pt idx="21">
                  <c:v>25Y</c:v>
                </c:pt>
                <c:pt idx="22">
                  <c:v>26Y</c:v>
                </c:pt>
                <c:pt idx="23">
                  <c:v>27Y</c:v>
                </c:pt>
                <c:pt idx="24">
                  <c:v>28Y</c:v>
                </c:pt>
                <c:pt idx="25">
                  <c:v>29Y</c:v>
                </c:pt>
                <c:pt idx="26">
                  <c:v>30Y</c:v>
                </c:pt>
              </c:strCache>
            </c:strRef>
          </c:cat>
          <c:val>
            <c:numRef>
              <c:f>EurChart!$AN$18:$AN$45</c:f>
              <c:numCache>
                <c:formatCode>0.000</c:formatCode>
                <c:ptCount val="28"/>
                <c:pt idx="0">
                  <c:v>-0.28800000000000003</c:v>
                </c:pt>
                <c:pt idx="1">
                  <c:v>-0.20899999999999999</c:v>
                </c:pt>
                <c:pt idx="2">
                  <c:v>-0.113</c:v>
                </c:pt>
                <c:pt idx="3">
                  <c:v>-2E-3</c:v>
                </c:pt>
                <c:pt idx="4">
                  <c:v>0.115</c:v>
                </c:pt>
                <c:pt idx="5">
                  <c:v>0.23300000000000001</c:v>
                </c:pt>
                <c:pt idx="6">
                  <c:v>0.34800000000000003</c:v>
                </c:pt>
                <c:pt idx="7">
                  <c:v>0.45400000000000001</c:v>
                </c:pt>
                <c:pt idx="8">
                  <c:v>0.54869200699999998</c:v>
                </c:pt>
                <c:pt idx="9">
                  <c:v>0.63300000000000001</c:v>
                </c:pt>
                <c:pt idx="10">
                  <c:v>0.70696389400000004</c:v>
                </c:pt>
                <c:pt idx="11">
                  <c:v>0.771427961</c:v>
                </c:pt>
                <c:pt idx="12">
                  <c:v>0.82700000000000007</c:v>
                </c:pt>
                <c:pt idx="13">
                  <c:v>0.87354075800000008</c:v>
                </c:pt>
                <c:pt idx="14">
                  <c:v>0.91223364700000009</c:v>
                </c:pt>
                <c:pt idx="15">
                  <c:v>0.94404319800000003</c:v>
                </c:pt>
                <c:pt idx="16">
                  <c:v>0.96990550100000006</c:v>
                </c:pt>
                <c:pt idx="17">
                  <c:v>0.99099999999999999</c:v>
                </c:pt>
                <c:pt idx="18">
                  <c:v>1.0075749920000001</c:v>
                </c:pt>
                <c:pt idx="19">
                  <c:v>1.0207472180000001</c:v>
                </c:pt>
                <c:pt idx="20">
                  <c:v>1.0312464020000001</c:v>
                </c:pt>
                <c:pt idx="21">
                  <c:v>1.0398523320000002</c:v>
                </c:pt>
                <c:pt idx="22">
                  <c:v>1.0469999999999999</c:v>
                </c:pt>
                <c:pt idx="23">
                  <c:v>1.0534187500000001</c:v>
                </c:pt>
                <c:pt idx="24">
                  <c:v>1.0591606790000001</c:v>
                </c:pt>
                <c:pt idx="25">
                  <c:v>1.0644036780000001</c:v>
                </c:pt>
                <c:pt idx="26">
                  <c:v>1.068979127</c:v>
                </c:pt>
                <c:pt idx="27">
                  <c:v>1.073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EurChart!$AO$4</c:f>
              <c:strCache>
                <c:ptCount val="1"/>
                <c:pt idx="0">
                  <c:v>EurOIS</c:v>
                </c:pt>
              </c:strCache>
            </c:strRef>
          </c:tx>
          <c:spPr>
            <a:ln>
              <a:solidFill>
                <a:schemeClr val="accent6"/>
              </a:solidFill>
            </a:ln>
          </c:spPr>
          <c:marker>
            <c:symbol val="none"/>
          </c:marker>
          <c:cat>
            <c:strRef>
              <c:f>EurChart!$Z$19:$Z$45</c:f>
              <c:strCache>
                <c:ptCount val="27"/>
                <c:pt idx="0">
                  <c:v>4Y</c:v>
                </c:pt>
                <c:pt idx="1">
                  <c:v>5Y</c:v>
                </c:pt>
                <c:pt idx="2">
                  <c:v>6Y</c:v>
                </c:pt>
                <c:pt idx="3">
                  <c:v>7Y</c:v>
                </c:pt>
                <c:pt idx="4">
                  <c:v>8Y</c:v>
                </c:pt>
                <c:pt idx="5">
                  <c:v>9Y</c:v>
                </c:pt>
                <c:pt idx="6">
                  <c:v>10Y</c:v>
                </c:pt>
                <c:pt idx="7">
                  <c:v>11Y</c:v>
                </c:pt>
                <c:pt idx="8">
                  <c:v>12Y</c:v>
                </c:pt>
                <c:pt idx="9">
                  <c:v>13Y</c:v>
                </c:pt>
                <c:pt idx="10">
                  <c:v>14Y</c:v>
                </c:pt>
                <c:pt idx="11">
                  <c:v>15Y</c:v>
                </c:pt>
                <c:pt idx="12">
                  <c:v>16Y</c:v>
                </c:pt>
                <c:pt idx="13">
                  <c:v>17Y</c:v>
                </c:pt>
                <c:pt idx="14">
                  <c:v>18Y</c:v>
                </c:pt>
                <c:pt idx="15">
                  <c:v>19Y</c:v>
                </c:pt>
                <c:pt idx="16">
                  <c:v>20Y</c:v>
                </c:pt>
                <c:pt idx="17">
                  <c:v>21Y</c:v>
                </c:pt>
                <c:pt idx="18">
                  <c:v>22Y</c:v>
                </c:pt>
                <c:pt idx="19">
                  <c:v>23Y</c:v>
                </c:pt>
                <c:pt idx="20">
                  <c:v>24Y</c:v>
                </c:pt>
                <c:pt idx="21">
                  <c:v>25Y</c:v>
                </c:pt>
                <c:pt idx="22">
                  <c:v>26Y</c:v>
                </c:pt>
                <c:pt idx="23">
                  <c:v>27Y</c:v>
                </c:pt>
                <c:pt idx="24">
                  <c:v>28Y</c:v>
                </c:pt>
                <c:pt idx="25">
                  <c:v>29Y</c:v>
                </c:pt>
                <c:pt idx="26">
                  <c:v>30Y</c:v>
                </c:pt>
              </c:strCache>
            </c:strRef>
          </c:cat>
          <c:val>
            <c:numRef>
              <c:f>EurChart!$AO$18:$AO$45</c:f>
              <c:numCache>
                <c:formatCode>0.000</c:formatCode>
                <c:ptCount val="28"/>
                <c:pt idx="0">
                  <c:v>-0.28100000000000003</c:v>
                </c:pt>
                <c:pt idx="1">
                  <c:v>-0.20500000000000002</c:v>
                </c:pt>
                <c:pt idx="2">
                  <c:v>-0.107</c:v>
                </c:pt>
                <c:pt idx="3">
                  <c:v>3.0000000000000001E-3</c:v>
                </c:pt>
                <c:pt idx="4">
                  <c:v>0.11900000000000001</c:v>
                </c:pt>
                <c:pt idx="5">
                  <c:v>0.23600000000000002</c:v>
                </c:pt>
                <c:pt idx="6">
                  <c:v>0.34900000000000003</c:v>
                </c:pt>
                <c:pt idx="7">
                  <c:v>0.45400000000000001</c:v>
                </c:pt>
                <c:pt idx="8">
                  <c:v>0.54800000000000004</c:v>
                </c:pt>
                <c:pt idx="9">
                  <c:v>0.63100000000000001</c:v>
                </c:pt>
                <c:pt idx="10">
                  <c:v>0.70400698500000003</c:v>
                </c:pt>
                <c:pt idx="11">
                  <c:v>0.76784660999999998</c:v>
                </c:pt>
                <c:pt idx="12">
                  <c:v>0.82300000000000006</c:v>
                </c:pt>
                <c:pt idx="13">
                  <c:v>0.86908227800000004</c:v>
                </c:pt>
                <c:pt idx="14">
                  <c:v>0.90753701900000006</c:v>
                </c:pt>
                <c:pt idx="15">
                  <c:v>0.93919380500000005</c:v>
                </c:pt>
                <c:pt idx="16">
                  <c:v>0.96499198300000011</c:v>
                </c:pt>
                <c:pt idx="17">
                  <c:v>0.98599999999999999</c:v>
                </c:pt>
                <c:pt idx="18">
                  <c:v>1.0026954190000001</c:v>
                </c:pt>
                <c:pt idx="19">
                  <c:v>1.0160598250000001</c:v>
                </c:pt>
                <c:pt idx="20">
                  <c:v>1.0268020600000001</c:v>
                </c:pt>
                <c:pt idx="21">
                  <c:v>1.035577118</c:v>
                </c:pt>
                <c:pt idx="22">
                  <c:v>1.0429999999999999</c:v>
                </c:pt>
                <c:pt idx="23">
                  <c:v>1.0496823399999999</c:v>
                </c:pt>
                <c:pt idx="24">
                  <c:v>1.0556614720000002</c:v>
                </c:pt>
                <c:pt idx="25">
                  <c:v>1.06103456</c:v>
                </c:pt>
                <c:pt idx="26">
                  <c:v>1.065806679</c:v>
                </c:pt>
                <c:pt idx="27">
                  <c:v>1.07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8768896"/>
        <c:axId val="668787072"/>
      </c:lineChart>
      <c:catAx>
        <c:axId val="6687688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668787072"/>
        <c:crosses val="autoZero"/>
        <c:auto val="1"/>
        <c:lblAlgn val="ctr"/>
        <c:lblOffset val="100"/>
        <c:noMultiLvlLbl val="0"/>
      </c:catAx>
      <c:valAx>
        <c:axId val="668787072"/>
        <c:scaling>
          <c:orientation val="minMax"/>
        </c:scaling>
        <c:delete val="0"/>
        <c:axPos val="l"/>
        <c:majorGridlines/>
        <c:numFmt formatCode="0.000" sourceLinked="1"/>
        <c:majorTickMark val="out"/>
        <c:minorTickMark val="none"/>
        <c:tickLblPos val="nextTo"/>
        <c:crossAx val="668768896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Usd NetChg 1W</a:t>
            </a:r>
            <a:r>
              <a:rPr lang="en-US">
                <a:latin typeface="Calibri"/>
              </a:rPr>
              <a:t>÷</a:t>
            </a:r>
            <a:r>
              <a:rPr lang="en-US"/>
              <a:t>9M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UsdChart!$Y$4</c:f>
              <c:strCache>
                <c:ptCount val="1"/>
                <c:pt idx="0">
                  <c:v>UsdStd</c:v>
                </c:pt>
              </c:strCache>
            </c:strRef>
          </c:tx>
          <c:marker>
            <c:symbol val="none"/>
          </c:marker>
          <c:cat>
            <c:strRef>
              <c:f>UsdChart!$W$5:$W$16</c:f>
              <c:strCache>
                <c:ptCount val="12"/>
                <c:pt idx="0">
                  <c:v>1W</c:v>
                </c:pt>
                <c:pt idx="1">
                  <c:v>2W</c:v>
                </c:pt>
                <c:pt idx="2">
                  <c:v>3W</c:v>
                </c:pt>
                <c:pt idx="3">
                  <c:v>1M</c:v>
                </c:pt>
                <c:pt idx="4">
                  <c:v>2M</c:v>
                </c:pt>
                <c:pt idx="5">
                  <c:v>3M</c:v>
                </c:pt>
                <c:pt idx="6">
                  <c:v>4M</c:v>
                </c:pt>
                <c:pt idx="7">
                  <c:v>5M</c:v>
                </c:pt>
                <c:pt idx="8">
                  <c:v>6M</c:v>
                </c:pt>
                <c:pt idx="9">
                  <c:v>7M</c:v>
                </c:pt>
                <c:pt idx="10">
                  <c:v>8M</c:v>
                </c:pt>
                <c:pt idx="11">
                  <c:v>9M</c:v>
                </c:pt>
              </c:strCache>
            </c:strRef>
          </c:cat>
          <c:val>
            <c:numRef>
              <c:f>UsdChart!$Y$5:$Y$16</c:f>
              <c:numCache>
                <c:formatCode>0.000</c:formatCode>
                <c:ptCount val="12"/>
                <c:pt idx="0">
                  <c:v>0</c:v>
                </c:pt>
                <c:pt idx="1">
                  <c:v>5.5511151231257827E-15</c:v>
                </c:pt>
                <c:pt idx="2">
                  <c:v>0</c:v>
                </c:pt>
                <c:pt idx="3">
                  <c:v>1.1102230246251565E-14</c:v>
                </c:pt>
                <c:pt idx="4">
                  <c:v>0</c:v>
                </c:pt>
                <c:pt idx="5">
                  <c:v>0</c:v>
                </c:pt>
                <c:pt idx="6">
                  <c:v>0.12712560000003315</c:v>
                </c:pt>
                <c:pt idx="7">
                  <c:v>1.0851076999999876</c:v>
                </c:pt>
                <c:pt idx="8">
                  <c:v>0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UsdChart!$Z$4</c:f>
              <c:strCache>
                <c:ptCount val="1"/>
                <c:pt idx="0">
                  <c:v>Usd12M</c:v>
                </c:pt>
              </c:strCache>
            </c:strRef>
          </c:tx>
          <c:marker>
            <c:symbol val="none"/>
          </c:marker>
          <c:cat>
            <c:strRef>
              <c:f>UsdChart!$W$5:$W$16</c:f>
              <c:strCache>
                <c:ptCount val="12"/>
                <c:pt idx="0">
                  <c:v>1W</c:v>
                </c:pt>
                <c:pt idx="1">
                  <c:v>2W</c:v>
                </c:pt>
                <c:pt idx="2">
                  <c:v>3W</c:v>
                </c:pt>
                <c:pt idx="3">
                  <c:v>1M</c:v>
                </c:pt>
                <c:pt idx="4">
                  <c:v>2M</c:v>
                </c:pt>
                <c:pt idx="5">
                  <c:v>3M</c:v>
                </c:pt>
                <c:pt idx="6">
                  <c:v>4M</c:v>
                </c:pt>
                <c:pt idx="7">
                  <c:v>5M</c:v>
                </c:pt>
                <c:pt idx="8">
                  <c:v>6M</c:v>
                </c:pt>
                <c:pt idx="9">
                  <c:v>7M</c:v>
                </c:pt>
                <c:pt idx="10">
                  <c:v>8M</c:v>
                </c:pt>
                <c:pt idx="11">
                  <c:v>9M</c:v>
                </c:pt>
              </c:strCache>
            </c:strRef>
          </c:cat>
          <c:val>
            <c:numRef>
              <c:f>UsdChart!$Z$5:$Z$16</c:f>
              <c:numCache>
                <c:formatCode>0.000</c:formatCode>
                <c:ptCount val="12"/>
                <c:pt idx="0">
                  <c:v>-4.8542236000000072</c:v>
                </c:pt>
                <c:pt idx="1">
                  <c:v>-4.8383572999999958</c:v>
                </c:pt>
                <c:pt idx="2">
                  <c:v>-4.811278699999999</c:v>
                </c:pt>
                <c:pt idx="3">
                  <c:v>-4.7600000000000087</c:v>
                </c:pt>
                <c:pt idx="4">
                  <c:v>-4.7800000000000065</c:v>
                </c:pt>
                <c:pt idx="5">
                  <c:v>-4.269999999999996</c:v>
                </c:pt>
                <c:pt idx="6">
                  <c:v>-3.9699999999999847</c:v>
                </c:pt>
                <c:pt idx="7">
                  <c:v>-3.3499999999999863</c:v>
                </c:pt>
                <c:pt idx="8">
                  <c:v>-3.2699999999999951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UsdChart!$AA$4</c:f>
              <c:strCache>
                <c:ptCount val="1"/>
                <c:pt idx="0">
                  <c:v>Usd3M</c:v>
                </c:pt>
              </c:strCache>
            </c:strRef>
          </c:tx>
          <c:marker>
            <c:symbol val="none"/>
          </c:marker>
          <c:cat>
            <c:strRef>
              <c:f>UsdChart!$W$5:$W$16</c:f>
              <c:strCache>
                <c:ptCount val="12"/>
                <c:pt idx="0">
                  <c:v>1W</c:v>
                </c:pt>
                <c:pt idx="1">
                  <c:v>2W</c:v>
                </c:pt>
                <c:pt idx="2">
                  <c:v>3W</c:v>
                </c:pt>
                <c:pt idx="3">
                  <c:v>1M</c:v>
                </c:pt>
                <c:pt idx="4">
                  <c:v>2M</c:v>
                </c:pt>
                <c:pt idx="5">
                  <c:v>3M</c:v>
                </c:pt>
                <c:pt idx="6">
                  <c:v>4M</c:v>
                </c:pt>
                <c:pt idx="7">
                  <c:v>5M</c:v>
                </c:pt>
                <c:pt idx="8">
                  <c:v>6M</c:v>
                </c:pt>
                <c:pt idx="9">
                  <c:v>7M</c:v>
                </c:pt>
                <c:pt idx="10">
                  <c:v>8M</c:v>
                </c:pt>
                <c:pt idx="11">
                  <c:v>9M</c:v>
                </c:pt>
              </c:strCache>
            </c:strRef>
          </c:cat>
          <c:val>
            <c:numRef>
              <c:f>UsdChart!$AA$5:$AA$16</c:f>
              <c:numCache>
                <c:formatCode>0.000</c:formatCode>
                <c:ptCount val="12"/>
                <c:pt idx="0">
                  <c:v>-1.2134456999999932</c:v>
                </c:pt>
                <c:pt idx="1">
                  <c:v>-1.169755699999997</c:v>
                </c:pt>
                <c:pt idx="2">
                  <c:v>-1.0968059999999946</c:v>
                </c:pt>
                <c:pt idx="3">
                  <c:v>-0.95999999999999419</c:v>
                </c:pt>
                <c:pt idx="4">
                  <c:v>-0.55999999999999384</c:v>
                </c:pt>
                <c:pt idx="5">
                  <c:v>0</c:v>
                </c:pt>
                <c:pt idx="6">
                  <c:v>0.21565230000000213</c:v>
                </c:pt>
                <c:pt idx="7">
                  <c:v>0.20080130000000862</c:v>
                </c:pt>
                <c:pt idx="8">
                  <c:v>0.19938550000000443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UsdChart!$AB$4</c:f>
              <c:strCache>
                <c:ptCount val="1"/>
                <c:pt idx="0">
                  <c:v>Usd1M</c:v>
                </c:pt>
              </c:strCache>
            </c:strRef>
          </c:tx>
          <c:marker>
            <c:symbol val="none"/>
          </c:marker>
          <c:cat>
            <c:strRef>
              <c:f>UsdChart!$W$5:$W$16</c:f>
              <c:strCache>
                <c:ptCount val="12"/>
                <c:pt idx="0">
                  <c:v>1W</c:v>
                </c:pt>
                <c:pt idx="1">
                  <c:v>2W</c:v>
                </c:pt>
                <c:pt idx="2">
                  <c:v>3W</c:v>
                </c:pt>
                <c:pt idx="3">
                  <c:v>1M</c:v>
                </c:pt>
                <c:pt idx="4">
                  <c:v>2M</c:v>
                </c:pt>
                <c:pt idx="5">
                  <c:v>3M</c:v>
                </c:pt>
                <c:pt idx="6">
                  <c:v>4M</c:v>
                </c:pt>
                <c:pt idx="7">
                  <c:v>5M</c:v>
                </c:pt>
                <c:pt idx="8">
                  <c:v>6M</c:v>
                </c:pt>
                <c:pt idx="9">
                  <c:v>7M</c:v>
                </c:pt>
                <c:pt idx="10">
                  <c:v>8M</c:v>
                </c:pt>
                <c:pt idx="11">
                  <c:v>9M</c:v>
                </c:pt>
              </c:strCache>
            </c:strRef>
          </c:cat>
          <c:val>
            <c:numRef>
              <c:f>UsdChart!$AB$5:$AB$16</c:f>
              <c:numCache>
                <c:formatCode>0.000</c:formatCode>
                <c:ptCount val="12"/>
                <c:pt idx="0">
                  <c:v>-1.2499999999999956</c:v>
                </c:pt>
                <c:pt idx="1">
                  <c:v>-0.79683229999999439</c:v>
                </c:pt>
                <c:pt idx="2">
                  <c:v>-0.38176659999999973</c:v>
                </c:pt>
                <c:pt idx="3">
                  <c:v>1.1102230246251565E-14</c:v>
                </c:pt>
                <c:pt idx="4">
                  <c:v>0.25595090000001264</c:v>
                </c:pt>
                <c:pt idx="5">
                  <c:v>0.49959210000001253</c:v>
                </c:pt>
                <c:pt idx="6">
                  <c:v>0.49324139999999961</c:v>
                </c:pt>
                <c:pt idx="7">
                  <c:v>0.55697670000001143</c:v>
                </c:pt>
                <c:pt idx="8">
                  <c:v>0.39995970000000769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UsdChart!$AC$4</c:f>
              <c:strCache>
                <c:ptCount val="1"/>
                <c:pt idx="0">
                  <c:v>Usd6M</c:v>
                </c:pt>
              </c:strCache>
            </c:strRef>
          </c:tx>
          <c:marker>
            <c:symbol val="none"/>
          </c:marker>
          <c:cat>
            <c:strRef>
              <c:f>UsdChart!$W$5:$W$16</c:f>
              <c:strCache>
                <c:ptCount val="12"/>
                <c:pt idx="0">
                  <c:v>1W</c:v>
                </c:pt>
                <c:pt idx="1">
                  <c:v>2W</c:v>
                </c:pt>
                <c:pt idx="2">
                  <c:v>3W</c:v>
                </c:pt>
                <c:pt idx="3">
                  <c:v>1M</c:v>
                </c:pt>
                <c:pt idx="4">
                  <c:v>2M</c:v>
                </c:pt>
                <c:pt idx="5">
                  <c:v>3M</c:v>
                </c:pt>
                <c:pt idx="6">
                  <c:v>4M</c:v>
                </c:pt>
                <c:pt idx="7">
                  <c:v>5M</c:v>
                </c:pt>
                <c:pt idx="8">
                  <c:v>6M</c:v>
                </c:pt>
                <c:pt idx="9">
                  <c:v>7M</c:v>
                </c:pt>
                <c:pt idx="10">
                  <c:v>8M</c:v>
                </c:pt>
                <c:pt idx="11">
                  <c:v>9M</c:v>
                </c:pt>
              </c:strCache>
            </c:strRef>
          </c:cat>
          <c:val>
            <c:numRef>
              <c:f>UsdChart!$AC$5:$AC$16</c:f>
              <c:numCache>
                <c:formatCode>0.000</c:formatCode>
                <c:ptCount val="12"/>
                <c:pt idx="0">
                  <c:v>-3.4801141999999841</c:v>
                </c:pt>
                <c:pt idx="1">
                  <c:v>-3.402697099999985</c:v>
                </c:pt>
                <c:pt idx="2">
                  <c:v>-3.2731641000000034</c:v>
                </c:pt>
                <c:pt idx="3">
                  <c:v>-3.0299998999999911</c:v>
                </c:pt>
                <c:pt idx="4">
                  <c:v>-2.1400000000000086</c:v>
                </c:pt>
                <c:pt idx="5">
                  <c:v>-1.1600000000000055</c:v>
                </c:pt>
                <c:pt idx="6">
                  <c:v>-0.60000000000000053</c:v>
                </c:pt>
                <c:pt idx="7">
                  <c:v>-0.11999999999998678</c:v>
                </c:pt>
                <c:pt idx="8">
                  <c:v>2.2204460492503131E-14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UsdChart!$AD$4</c:f>
              <c:strCache>
                <c:ptCount val="1"/>
                <c:pt idx="0">
                  <c:v>UsdOIS</c:v>
                </c:pt>
              </c:strCache>
            </c:strRef>
          </c:tx>
          <c:spPr>
            <a:ln>
              <a:solidFill>
                <a:schemeClr val="accent6"/>
              </a:solidFill>
            </a:ln>
          </c:spPr>
          <c:marker>
            <c:symbol val="none"/>
          </c:marker>
          <c:cat>
            <c:strRef>
              <c:f>UsdChart!$W$5:$W$16</c:f>
              <c:strCache>
                <c:ptCount val="12"/>
                <c:pt idx="0">
                  <c:v>1W</c:v>
                </c:pt>
                <c:pt idx="1">
                  <c:v>2W</c:v>
                </c:pt>
                <c:pt idx="2">
                  <c:v>3W</c:v>
                </c:pt>
                <c:pt idx="3">
                  <c:v>1M</c:v>
                </c:pt>
                <c:pt idx="4">
                  <c:v>2M</c:v>
                </c:pt>
                <c:pt idx="5">
                  <c:v>3M</c:v>
                </c:pt>
                <c:pt idx="6">
                  <c:v>4M</c:v>
                </c:pt>
                <c:pt idx="7">
                  <c:v>5M</c:v>
                </c:pt>
                <c:pt idx="8">
                  <c:v>6M</c:v>
                </c:pt>
                <c:pt idx="9">
                  <c:v>7M</c:v>
                </c:pt>
                <c:pt idx="10">
                  <c:v>8M</c:v>
                </c:pt>
                <c:pt idx="11">
                  <c:v>9M</c:v>
                </c:pt>
              </c:strCache>
            </c:strRef>
          </c:cat>
          <c:val>
            <c:numRef>
              <c:f>UsdChart!$AD$5:$AD$16</c:f>
              <c:numCache>
                <c:formatCode>0.000</c:formatCode>
                <c:ptCount val="12"/>
                <c:pt idx="0">
                  <c:v>0.65184640000000571</c:v>
                </c:pt>
                <c:pt idx="1">
                  <c:v>0.78186000000000089</c:v>
                </c:pt>
                <c:pt idx="2">
                  <c:v>0.8641999999999983</c:v>
                </c:pt>
                <c:pt idx="3">
                  <c:v>0.9000000000000008</c:v>
                </c:pt>
                <c:pt idx="4">
                  <c:v>0.50000000000000044</c:v>
                </c:pt>
                <c:pt idx="5">
                  <c:v>0.50000000000000044</c:v>
                </c:pt>
                <c:pt idx="6">
                  <c:v>0.40000000000000036</c:v>
                </c:pt>
                <c:pt idx="7">
                  <c:v>0.40000000000001146</c:v>
                </c:pt>
                <c:pt idx="8">
                  <c:v>0.30000000000000027</c:v>
                </c:pt>
                <c:pt idx="9">
                  <c:v>0.30000000000000027</c:v>
                </c:pt>
                <c:pt idx="10">
                  <c:v>0.60000000000000053</c:v>
                </c:pt>
                <c:pt idx="11">
                  <c:v>0.40000000000000036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3808640"/>
        <c:axId val="670073216"/>
      </c:lineChart>
      <c:catAx>
        <c:axId val="6638086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txPr>
          <a:bodyPr rot="-5400000" vert="horz"/>
          <a:lstStyle/>
          <a:p>
            <a:pPr>
              <a:defRPr/>
            </a:pPr>
            <a:endParaRPr lang="en-US"/>
          </a:p>
        </c:txPr>
        <c:crossAx val="670073216"/>
        <c:crosses val="autoZero"/>
        <c:auto val="1"/>
        <c:lblAlgn val="ctr"/>
        <c:lblOffset val="100"/>
        <c:noMultiLvlLbl val="0"/>
      </c:catAx>
      <c:valAx>
        <c:axId val="670073216"/>
        <c:scaling>
          <c:orientation val="minMax"/>
        </c:scaling>
        <c:delete val="0"/>
        <c:axPos val="l"/>
        <c:majorGridlines/>
        <c:numFmt formatCode="0.000" sourceLinked="1"/>
        <c:majorTickMark val="out"/>
        <c:minorTickMark val="none"/>
        <c:tickLblPos val="nextTo"/>
        <c:crossAx val="663808640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8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Usd Mkt </a:t>
            </a:r>
            <a:r>
              <a:rPr lang="en-US" sz="1800" b="1" i="0" baseline="0">
                <a:effectLst/>
              </a:rPr>
              <a:t>1W÷9M</a:t>
            </a:r>
            <a:endParaRPr lang="en-US">
              <a:effectLst/>
            </a:endParaRP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UsdChart!$AF$4</c:f>
              <c:strCache>
                <c:ptCount val="1"/>
                <c:pt idx="0">
                  <c:v>UsdStd</c:v>
                </c:pt>
              </c:strCache>
            </c:strRef>
          </c:tx>
          <c:marker>
            <c:symbol val="none"/>
          </c:marker>
          <c:cat>
            <c:strRef>
              <c:f>UsdChart!$W$5:$W$16</c:f>
              <c:strCache>
                <c:ptCount val="12"/>
                <c:pt idx="0">
                  <c:v>1W</c:v>
                </c:pt>
                <c:pt idx="1">
                  <c:v>2W</c:v>
                </c:pt>
                <c:pt idx="2">
                  <c:v>3W</c:v>
                </c:pt>
                <c:pt idx="3">
                  <c:v>1M</c:v>
                </c:pt>
                <c:pt idx="4">
                  <c:v>2M</c:v>
                </c:pt>
                <c:pt idx="5">
                  <c:v>3M</c:v>
                </c:pt>
                <c:pt idx="6">
                  <c:v>4M</c:v>
                </c:pt>
                <c:pt idx="7">
                  <c:v>5M</c:v>
                </c:pt>
                <c:pt idx="8">
                  <c:v>6M</c:v>
                </c:pt>
                <c:pt idx="9">
                  <c:v>7M</c:v>
                </c:pt>
                <c:pt idx="10">
                  <c:v>8M</c:v>
                </c:pt>
                <c:pt idx="11">
                  <c:v>9M</c:v>
                </c:pt>
              </c:strCache>
            </c:strRef>
          </c:cat>
          <c:val>
            <c:numRef>
              <c:f>UsdChart!$AF$5:$AF$16</c:f>
              <c:numCache>
                <c:formatCode>0.000</c:formatCode>
                <c:ptCount val="12"/>
                <c:pt idx="0">
                  <c:v>0.45922000000000002</c:v>
                </c:pt>
                <c:pt idx="1">
                  <c:v>0.49043391300000005</c:v>
                </c:pt>
                <c:pt idx="2">
                  <c:v>0.52164782600000004</c:v>
                </c:pt>
                <c:pt idx="3">
                  <c:v>0.56178000000000006</c:v>
                </c:pt>
                <c:pt idx="4">
                  <c:v>0.70333000000000001</c:v>
                </c:pt>
                <c:pt idx="5">
                  <c:v>0.91122000000000003</c:v>
                </c:pt>
                <c:pt idx="6">
                  <c:v>1.0256330340000002</c:v>
                </c:pt>
                <c:pt idx="7">
                  <c:v>1.1604769660000001</c:v>
                </c:pt>
                <c:pt idx="8">
                  <c:v>1.2748900000000001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UsdChart!$AG$4</c:f>
              <c:strCache>
                <c:ptCount val="1"/>
                <c:pt idx="0">
                  <c:v>Usd12M</c:v>
                </c:pt>
              </c:strCache>
            </c:strRef>
          </c:tx>
          <c:marker>
            <c:symbol val="none"/>
          </c:marker>
          <c:cat>
            <c:strRef>
              <c:f>UsdChart!$W$5:$W$16</c:f>
              <c:strCache>
                <c:ptCount val="12"/>
                <c:pt idx="0">
                  <c:v>1W</c:v>
                </c:pt>
                <c:pt idx="1">
                  <c:v>2W</c:v>
                </c:pt>
                <c:pt idx="2">
                  <c:v>3W</c:v>
                </c:pt>
                <c:pt idx="3">
                  <c:v>1M</c:v>
                </c:pt>
                <c:pt idx="4">
                  <c:v>2M</c:v>
                </c:pt>
                <c:pt idx="5">
                  <c:v>3M</c:v>
                </c:pt>
                <c:pt idx="6">
                  <c:v>4M</c:v>
                </c:pt>
                <c:pt idx="7">
                  <c:v>5M</c:v>
                </c:pt>
                <c:pt idx="8">
                  <c:v>6M</c:v>
                </c:pt>
                <c:pt idx="9">
                  <c:v>7M</c:v>
                </c:pt>
                <c:pt idx="10">
                  <c:v>8M</c:v>
                </c:pt>
                <c:pt idx="11">
                  <c:v>9M</c:v>
                </c:pt>
              </c:strCache>
            </c:strRef>
          </c:cat>
          <c:val>
            <c:numRef>
              <c:f>UsdChart!$AG$5:$AG$16</c:f>
              <c:numCache>
                <c:formatCode>0.000</c:formatCode>
                <c:ptCount val="12"/>
                <c:pt idx="0">
                  <c:v>1.001770249</c:v>
                </c:pt>
                <c:pt idx="1">
                  <c:v>1.0099497850000001</c:v>
                </c:pt>
                <c:pt idx="2">
                  <c:v>1.023521613</c:v>
                </c:pt>
                <c:pt idx="3">
                  <c:v>1.0488999999999999</c:v>
                </c:pt>
                <c:pt idx="4">
                  <c:v>1.1553</c:v>
                </c:pt>
                <c:pt idx="5">
                  <c:v>1.21</c:v>
                </c:pt>
                <c:pt idx="6">
                  <c:v>1.2509000000000001</c:v>
                </c:pt>
                <c:pt idx="7">
                  <c:v>1.2974000000000001</c:v>
                </c:pt>
                <c:pt idx="8">
                  <c:v>1.3355000000000001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UsdChart!$AH$4</c:f>
              <c:strCache>
                <c:ptCount val="1"/>
                <c:pt idx="0">
                  <c:v>Usd3M</c:v>
                </c:pt>
              </c:strCache>
            </c:strRef>
          </c:tx>
          <c:marker>
            <c:symbol val="none"/>
          </c:marker>
          <c:cat>
            <c:strRef>
              <c:f>UsdChart!$W$5:$W$16</c:f>
              <c:strCache>
                <c:ptCount val="12"/>
                <c:pt idx="0">
                  <c:v>1W</c:v>
                </c:pt>
                <c:pt idx="1">
                  <c:v>2W</c:v>
                </c:pt>
                <c:pt idx="2">
                  <c:v>3W</c:v>
                </c:pt>
                <c:pt idx="3">
                  <c:v>1M</c:v>
                </c:pt>
                <c:pt idx="4">
                  <c:v>2M</c:v>
                </c:pt>
                <c:pt idx="5">
                  <c:v>3M</c:v>
                </c:pt>
                <c:pt idx="6">
                  <c:v>4M</c:v>
                </c:pt>
                <c:pt idx="7">
                  <c:v>5M</c:v>
                </c:pt>
                <c:pt idx="8">
                  <c:v>6M</c:v>
                </c:pt>
                <c:pt idx="9">
                  <c:v>7M</c:v>
                </c:pt>
                <c:pt idx="10">
                  <c:v>8M</c:v>
                </c:pt>
                <c:pt idx="11">
                  <c:v>9M</c:v>
                </c:pt>
              </c:strCache>
            </c:strRef>
          </c:cat>
          <c:val>
            <c:numRef>
              <c:f>UsdChart!$AH$5:$AH$16</c:f>
              <c:numCache>
                <c:formatCode>0.000</c:formatCode>
                <c:ptCount val="12"/>
                <c:pt idx="0">
                  <c:v>0.75096189700000004</c:v>
                </c:pt>
                <c:pt idx="1">
                  <c:v>0.75795110300000001</c:v>
                </c:pt>
                <c:pt idx="2">
                  <c:v>0.76956600800000008</c:v>
                </c:pt>
                <c:pt idx="3">
                  <c:v>0.7913</c:v>
                </c:pt>
                <c:pt idx="4">
                  <c:v>0.87790000000000001</c:v>
                </c:pt>
                <c:pt idx="5">
                  <c:v>0.91120000000000001</c:v>
                </c:pt>
                <c:pt idx="6">
                  <c:v>0.92934836700000001</c:v>
                </c:pt>
                <c:pt idx="7">
                  <c:v>0.93792661900000007</c:v>
                </c:pt>
                <c:pt idx="8">
                  <c:v>0.95317375900000001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UsdChart!$AI$4</c:f>
              <c:strCache>
                <c:ptCount val="1"/>
                <c:pt idx="0">
                  <c:v>Usd1M</c:v>
                </c:pt>
              </c:strCache>
            </c:strRef>
          </c:tx>
          <c:marker>
            <c:symbol val="none"/>
          </c:marker>
          <c:cat>
            <c:strRef>
              <c:f>UsdChart!$W$5:$W$16</c:f>
              <c:strCache>
                <c:ptCount val="12"/>
                <c:pt idx="0">
                  <c:v>1W</c:v>
                </c:pt>
                <c:pt idx="1">
                  <c:v>2W</c:v>
                </c:pt>
                <c:pt idx="2">
                  <c:v>3W</c:v>
                </c:pt>
                <c:pt idx="3">
                  <c:v>1M</c:v>
                </c:pt>
                <c:pt idx="4">
                  <c:v>2M</c:v>
                </c:pt>
                <c:pt idx="5">
                  <c:v>3M</c:v>
                </c:pt>
                <c:pt idx="6">
                  <c:v>4M</c:v>
                </c:pt>
                <c:pt idx="7">
                  <c:v>5M</c:v>
                </c:pt>
                <c:pt idx="8">
                  <c:v>6M</c:v>
                </c:pt>
                <c:pt idx="9">
                  <c:v>7M</c:v>
                </c:pt>
                <c:pt idx="10">
                  <c:v>8M</c:v>
                </c:pt>
                <c:pt idx="11">
                  <c:v>9M</c:v>
                </c:pt>
              </c:strCache>
            </c:strRef>
          </c:cat>
          <c:val>
            <c:numRef>
              <c:f>UsdChart!$AI$5:$AI$16</c:f>
              <c:numCache>
                <c:formatCode>0.000</c:formatCode>
                <c:ptCount val="12"/>
                <c:pt idx="0">
                  <c:v>0.52580000000000005</c:v>
                </c:pt>
                <c:pt idx="1">
                  <c:v>0.53407363100000005</c:v>
                </c:pt>
                <c:pt idx="2">
                  <c:v>0.54491440700000005</c:v>
                </c:pt>
                <c:pt idx="3">
                  <c:v>0.56180000000000008</c:v>
                </c:pt>
                <c:pt idx="4">
                  <c:v>0.62863645900000009</c:v>
                </c:pt>
                <c:pt idx="5">
                  <c:v>0.67206114300000008</c:v>
                </c:pt>
                <c:pt idx="6">
                  <c:v>0.69271515100000003</c:v>
                </c:pt>
                <c:pt idx="7">
                  <c:v>0.70817661100000007</c:v>
                </c:pt>
                <c:pt idx="8">
                  <c:v>0.72115729700000009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UsdChart!$AJ$4</c:f>
              <c:strCache>
                <c:ptCount val="1"/>
                <c:pt idx="0">
                  <c:v>Usd6M</c:v>
                </c:pt>
              </c:strCache>
            </c:strRef>
          </c:tx>
          <c:marker>
            <c:symbol val="none"/>
          </c:marker>
          <c:cat>
            <c:strRef>
              <c:f>UsdChart!$W$5:$W$16</c:f>
              <c:strCache>
                <c:ptCount val="12"/>
                <c:pt idx="0">
                  <c:v>1W</c:v>
                </c:pt>
                <c:pt idx="1">
                  <c:v>2W</c:v>
                </c:pt>
                <c:pt idx="2">
                  <c:v>3W</c:v>
                </c:pt>
                <c:pt idx="3">
                  <c:v>1M</c:v>
                </c:pt>
                <c:pt idx="4">
                  <c:v>2M</c:v>
                </c:pt>
                <c:pt idx="5">
                  <c:v>3M</c:v>
                </c:pt>
                <c:pt idx="6">
                  <c:v>4M</c:v>
                </c:pt>
                <c:pt idx="7">
                  <c:v>5M</c:v>
                </c:pt>
                <c:pt idx="8">
                  <c:v>6M</c:v>
                </c:pt>
                <c:pt idx="9">
                  <c:v>7M</c:v>
                </c:pt>
                <c:pt idx="10">
                  <c:v>8M</c:v>
                </c:pt>
                <c:pt idx="11">
                  <c:v>9M</c:v>
                </c:pt>
              </c:strCache>
            </c:strRef>
          </c:cat>
          <c:val>
            <c:numRef>
              <c:f>UsdChart!$AJ$5:$AJ$16</c:f>
              <c:numCache>
                <c:formatCode>0.000</c:formatCode>
                <c:ptCount val="12"/>
                <c:pt idx="0">
                  <c:v>1.0324999380000002</c:v>
                </c:pt>
                <c:pt idx="1">
                  <c:v>1.0404006220000002</c:v>
                </c:pt>
                <c:pt idx="2">
                  <c:v>1.053503616</c:v>
                </c:pt>
                <c:pt idx="3">
                  <c:v>1.0780000000000001</c:v>
                </c:pt>
                <c:pt idx="4">
                  <c:v>1.1778</c:v>
                </c:pt>
                <c:pt idx="5">
                  <c:v>1.2202</c:v>
                </c:pt>
                <c:pt idx="6">
                  <c:v>1.2444</c:v>
                </c:pt>
                <c:pt idx="7">
                  <c:v>1.2647000000000002</c:v>
                </c:pt>
                <c:pt idx="8">
                  <c:v>1.2749000000000001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UsdChart!$AK$4</c:f>
              <c:strCache>
                <c:ptCount val="1"/>
                <c:pt idx="0">
                  <c:v>UsdOIS</c:v>
                </c:pt>
              </c:strCache>
            </c:strRef>
          </c:tx>
          <c:spPr>
            <a:ln>
              <a:solidFill>
                <a:schemeClr val="accent6"/>
              </a:solidFill>
            </a:ln>
          </c:spPr>
          <c:marker>
            <c:symbol val="none"/>
          </c:marker>
          <c:cat>
            <c:strRef>
              <c:f>UsdChart!$W$5:$W$16</c:f>
              <c:strCache>
                <c:ptCount val="12"/>
                <c:pt idx="0">
                  <c:v>1W</c:v>
                </c:pt>
                <c:pt idx="1">
                  <c:v>2W</c:v>
                </c:pt>
                <c:pt idx="2">
                  <c:v>3W</c:v>
                </c:pt>
                <c:pt idx="3">
                  <c:v>1M</c:v>
                </c:pt>
                <c:pt idx="4">
                  <c:v>2M</c:v>
                </c:pt>
                <c:pt idx="5">
                  <c:v>3M</c:v>
                </c:pt>
                <c:pt idx="6">
                  <c:v>4M</c:v>
                </c:pt>
                <c:pt idx="7">
                  <c:v>5M</c:v>
                </c:pt>
                <c:pt idx="8">
                  <c:v>6M</c:v>
                </c:pt>
                <c:pt idx="9">
                  <c:v>7M</c:v>
                </c:pt>
                <c:pt idx="10">
                  <c:v>8M</c:v>
                </c:pt>
                <c:pt idx="11">
                  <c:v>9M</c:v>
                </c:pt>
              </c:strCache>
            </c:strRef>
          </c:cat>
          <c:val>
            <c:numRef>
              <c:f>UsdChart!$AK$5:$AK$16</c:f>
              <c:numCache>
                <c:formatCode>0.000</c:formatCode>
                <c:ptCount val="12"/>
                <c:pt idx="0">
                  <c:v>0.43057680800000003</c:v>
                </c:pt>
                <c:pt idx="1">
                  <c:v>0.43418442800000001</c:v>
                </c:pt>
                <c:pt idx="2">
                  <c:v>0.442736615</c:v>
                </c:pt>
                <c:pt idx="3">
                  <c:v>0.46100000000000002</c:v>
                </c:pt>
                <c:pt idx="4">
                  <c:v>0.53900000000000003</c:v>
                </c:pt>
                <c:pt idx="5">
                  <c:v>0.56700000000000006</c:v>
                </c:pt>
                <c:pt idx="6">
                  <c:v>0.58299999999999996</c:v>
                </c:pt>
                <c:pt idx="7">
                  <c:v>0.60000000000000009</c:v>
                </c:pt>
                <c:pt idx="8">
                  <c:v>0.61299999999999999</c:v>
                </c:pt>
                <c:pt idx="9">
                  <c:v>0.627</c:v>
                </c:pt>
                <c:pt idx="10">
                  <c:v>0.64800000000000002</c:v>
                </c:pt>
                <c:pt idx="11">
                  <c:v>0.66400000000000003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0343936"/>
        <c:axId val="670345472"/>
      </c:lineChart>
      <c:catAx>
        <c:axId val="6703439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670345472"/>
        <c:crosses val="autoZero"/>
        <c:auto val="1"/>
        <c:lblAlgn val="ctr"/>
        <c:lblOffset val="100"/>
        <c:noMultiLvlLbl val="0"/>
      </c:catAx>
      <c:valAx>
        <c:axId val="670345472"/>
        <c:scaling>
          <c:orientation val="minMax"/>
        </c:scaling>
        <c:delete val="0"/>
        <c:axPos val="l"/>
        <c:majorGridlines/>
        <c:numFmt formatCode="0.000" sourceLinked="1"/>
        <c:majorTickMark val="out"/>
        <c:minorTickMark val="none"/>
        <c:tickLblPos val="nextTo"/>
        <c:crossAx val="670343936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Usd NetChg 3Y</a:t>
            </a:r>
            <a:r>
              <a:rPr lang="en-US">
                <a:latin typeface="Calibri"/>
              </a:rPr>
              <a:t>÷30Y</a:t>
            </a:r>
            <a:endParaRPr lang="en-US"/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UsdChart!$Z$4</c:f>
              <c:strCache>
                <c:ptCount val="1"/>
                <c:pt idx="0">
                  <c:v>Usd12M</c:v>
                </c:pt>
              </c:strCache>
            </c:strRef>
          </c:tx>
          <c:marker>
            <c:symbol val="none"/>
          </c:marker>
          <c:cat>
            <c:strRef>
              <c:f>UsdChart!$V$18:$V$45</c:f>
              <c:strCache>
                <c:ptCount val="28"/>
                <c:pt idx="0">
                  <c:v>3Y</c:v>
                </c:pt>
                <c:pt idx="1">
                  <c:v>4Y</c:v>
                </c:pt>
                <c:pt idx="2">
                  <c:v>5Y</c:v>
                </c:pt>
                <c:pt idx="3">
                  <c:v>6Y</c:v>
                </c:pt>
                <c:pt idx="4">
                  <c:v>7Y</c:v>
                </c:pt>
                <c:pt idx="5">
                  <c:v>8Y</c:v>
                </c:pt>
                <c:pt idx="6">
                  <c:v>9Y</c:v>
                </c:pt>
                <c:pt idx="7">
                  <c:v>10Y</c:v>
                </c:pt>
                <c:pt idx="8">
                  <c:v>11Y</c:v>
                </c:pt>
                <c:pt idx="9">
                  <c:v>12Y</c:v>
                </c:pt>
                <c:pt idx="10">
                  <c:v>13Y</c:v>
                </c:pt>
                <c:pt idx="11">
                  <c:v>14Y</c:v>
                </c:pt>
                <c:pt idx="12">
                  <c:v>15Y</c:v>
                </c:pt>
                <c:pt idx="13">
                  <c:v>16Y</c:v>
                </c:pt>
                <c:pt idx="14">
                  <c:v>17Y</c:v>
                </c:pt>
                <c:pt idx="15">
                  <c:v>18Y</c:v>
                </c:pt>
                <c:pt idx="16">
                  <c:v>19Y</c:v>
                </c:pt>
                <c:pt idx="17">
                  <c:v>20Y</c:v>
                </c:pt>
                <c:pt idx="18">
                  <c:v>21Y</c:v>
                </c:pt>
                <c:pt idx="19">
                  <c:v>22Y</c:v>
                </c:pt>
                <c:pt idx="20">
                  <c:v>23Y</c:v>
                </c:pt>
                <c:pt idx="21">
                  <c:v>24Y</c:v>
                </c:pt>
                <c:pt idx="22">
                  <c:v>25Y</c:v>
                </c:pt>
                <c:pt idx="23">
                  <c:v>26Y</c:v>
                </c:pt>
                <c:pt idx="24">
                  <c:v>27Y</c:v>
                </c:pt>
                <c:pt idx="25">
                  <c:v>28Y</c:v>
                </c:pt>
                <c:pt idx="26">
                  <c:v>29Y</c:v>
                </c:pt>
                <c:pt idx="27">
                  <c:v>30Y</c:v>
                </c:pt>
              </c:strCache>
            </c:strRef>
          </c:cat>
          <c:val>
            <c:numRef>
              <c:f>UsdChart!$Z$18:$Z$45</c:f>
              <c:numCache>
                <c:formatCode>0.000</c:formatCode>
                <c:ptCount val="28"/>
                <c:pt idx="0">
                  <c:v>2.4551680000000298</c:v>
                </c:pt>
                <c:pt idx="1">
                  <c:v>3.2801379000000352</c:v>
                </c:pt>
                <c:pt idx="2">
                  <c:v>5.4871302000000455</c:v>
                </c:pt>
                <c:pt idx="3">
                  <c:v>5.8369792999999781</c:v>
                </c:pt>
                <c:pt idx="4">
                  <c:v>5.7852834999999825</c:v>
                </c:pt>
                <c:pt idx="5">
                  <c:v>6.1109754000000294</c:v>
                </c:pt>
                <c:pt idx="6">
                  <c:v>6.0852113000000152</c:v>
                </c:pt>
                <c:pt idx="7">
                  <c:v>6.0843328000000252</c:v>
                </c:pt>
                <c:pt idx="8">
                  <c:v>6.1274366000000136</c:v>
                </c:pt>
                <c:pt idx="9">
                  <c:v>6.0095723999999962</c:v>
                </c:pt>
                <c:pt idx="10">
                  <c:v>5.8263785999999929</c:v>
                </c:pt>
                <c:pt idx="11">
                  <c:v>5.8005840999999947</c:v>
                </c:pt>
                <c:pt idx="12">
                  <c:v>5.7829094999999775</c:v>
                </c:pt>
                <c:pt idx="13">
                  <c:v>5.7883702000000259</c:v>
                </c:pt>
                <c:pt idx="14">
                  <c:v>5.8466426000000293</c:v>
                </c:pt>
                <c:pt idx="15">
                  <c:v>5.9098944000000042</c:v>
                </c:pt>
                <c:pt idx="16">
                  <c:v>5.9352474999999849</c:v>
                </c:pt>
                <c:pt idx="17">
                  <c:v>6.0085984000000092</c:v>
                </c:pt>
                <c:pt idx="18">
                  <c:v>6.0109927000000063</c:v>
                </c:pt>
                <c:pt idx="19">
                  <c:v>5.9999656000000012</c:v>
                </c:pt>
                <c:pt idx="20">
                  <c:v>5.9763583000000065</c:v>
                </c:pt>
                <c:pt idx="21">
                  <c:v>5.920003900000026</c:v>
                </c:pt>
                <c:pt idx="22">
                  <c:v>5.9080235000000147</c:v>
                </c:pt>
                <c:pt idx="23">
                  <c:v>5.8738506000000079</c:v>
                </c:pt>
                <c:pt idx="24">
                  <c:v>5.8368814000000047</c:v>
                </c:pt>
                <c:pt idx="25">
                  <c:v>5.7986679999999957</c:v>
                </c:pt>
                <c:pt idx="26">
                  <c:v>5.7555697999999822</c:v>
                </c:pt>
                <c:pt idx="27">
                  <c:v>5.6889830000000252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UsdChart!$AA$4</c:f>
              <c:strCache>
                <c:ptCount val="1"/>
                <c:pt idx="0">
                  <c:v>Usd3M</c:v>
                </c:pt>
              </c:strCache>
            </c:strRef>
          </c:tx>
          <c:marker>
            <c:symbol val="none"/>
          </c:marker>
          <c:cat>
            <c:strRef>
              <c:f>UsdChart!$V$18:$V$45</c:f>
              <c:strCache>
                <c:ptCount val="28"/>
                <c:pt idx="0">
                  <c:v>3Y</c:v>
                </c:pt>
                <c:pt idx="1">
                  <c:v>4Y</c:v>
                </c:pt>
                <c:pt idx="2">
                  <c:v>5Y</c:v>
                </c:pt>
                <c:pt idx="3">
                  <c:v>6Y</c:v>
                </c:pt>
                <c:pt idx="4">
                  <c:v>7Y</c:v>
                </c:pt>
                <c:pt idx="5">
                  <c:v>8Y</c:v>
                </c:pt>
                <c:pt idx="6">
                  <c:v>9Y</c:v>
                </c:pt>
                <c:pt idx="7">
                  <c:v>10Y</c:v>
                </c:pt>
                <c:pt idx="8">
                  <c:v>11Y</c:v>
                </c:pt>
                <c:pt idx="9">
                  <c:v>12Y</c:v>
                </c:pt>
                <c:pt idx="10">
                  <c:v>13Y</c:v>
                </c:pt>
                <c:pt idx="11">
                  <c:v>14Y</c:v>
                </c:pt>
                <c:pt idx="12">
                  <c:v>15Y</c:v>
                </c:pt>
                <c:pt idx="13">
                  <c:v>16Y</c:v>
                </c:pt>
                <c:pt idx="14">
                  <c:v>17Y</c:v>
                </c:pt>
                <c:pt idx="15">
                  <c:v>18Y</c:v>
                </c:pt>
                <c:pt idx="16">
                  <c:v>19Y</c:v>
                </c:pt>
                <c:pt idx="17">
                  <c:v>20Y</c:v>
                </c:pt>
                <c:pt idx="18">
                  <c:v>21Y</c:v>
                </c:pt>
                <c:pt idx="19">
                  <c:v>22Y</c:v>
                </c:pt>
                <c:pt idx="20">
                  <c:v>23Y</c:v>
                </c:pt>
                <c:pt idx="21">
                  <c:v>24Y</c:v>
                </c:pt>
                <c:pt idx="22">
                  <c:v>25Y</c:v>
                </c:pt>
                <c:pt idx="23">
                  <c:v>26Y</c:v>
                </c:pt>
                <c:pt idx="24">
                  <c:v>27Y</c:v>
                </c:pt>
                <c:pt idx="25">
                  <c:v>28Y</c:v>
                </c:pt>
                <c:pt idx="26">
                  <c:v>29Y</c:v>
                </c:pt>
                <c:pt idx="27">
                  <c:v>30Y</c:v>
                </c:pt>
              </c:strCache>
            </c:strRef>
          </c:cat>
          <c:val>
            <c:numRef>
              <c:f>UsdChart!$AA$18:$AA$45</c:f>
              <c:numCache>
                <c:formatCode>0.000</c:formatCode>
                <c:ptCount val="28"/>
                <c:pt idx="0">
                  <c:v>2.6999984000000143</c:v>
                </c:pt>
                <c:pt idx="1">
                  <c:v>3.8999988000000041</c:v>
                </c:pt>
                <c:pt idx="2">
                  <c:v>5.0999989999999995</c:v>
                </c:pt>
                <c:pt idx="3">
                  <c:v>5.6999990000000222</c:v>
                </c:pt>
                <c:pt idx="4">
                  <c:v>5.8999991999999946</c:v>
                </c:pt>
                <c:pt idx="5">
                  <c:v>6.0999993000000252</c:v>
                </c:pt>
                <c:pt idx="6">
                  <c:v>6.1999992999999698</c:v>
                </c:pt>
                <c:pt idx="7">
                  <c:v>6.1999993999999781</c:v>
                </c:pt>
                <c:pt idx="8">
                  <c:v>6.1176047000000011</c:v>
                </c:pt>
                <c:pt idx="9">
                  <c:v>6.0000001000000136</c:v>
                </c:pt>
                <c:pt idx="10">
                  <c:v>5.8790947999999954</c:v>
                </c:pt>
                <c:pt idx="11">
                  <c:v>5.8872715000000131</c:v>
                </c:pt>
                <c:pt idx="12">
                  <c:v>5.8999997000000359</c:v>
                </c:pt>
                <c:pt idx="13">
                  <c:v>5.8998992999999889</c:v>
                </c:pt>
                <c:pt idx="14">
                  <c:v>5.9329965000000318</c:v>
                </c:pt>
                <c:pt idx="15">
                  <c:v>5.9607694000000322</c:v>
                </c:pt>
                <c:pt idx="16">
                  <c:v>5.9556037000000561</c:v>
                </c:pt>
                <c:pt idx="17">
                  <c:v>5.9999997000000249</c:v>
                </c:pt>
                <c:pt idx="18">
                  <c:v>5.9887212000000023</c:v>
                </c:pt>
                <c:pt idx="19">
                  <c:v>5.9757619000000428</c:v>
                </c:pt>
                <c:pt idx="20">
                  <c:v>5.956716300000009</c:v>
                </c:pt>
                <c:pt idx="21">
                  <c:v>5.909498099999988</c:v>
                </c:pt>
                <c:pt idx="22">
                  <c:v>5.8999998000000442</c:v>
                </c:pt>
                <c:pt idx="23">
                  <c:v>5.8700957000000109</c:v>
                </c:pt>
                <c:pt idx="24">
                  <c:v>5.8317922000000078</c:v>
                </c:pt>
                <c:pt idx="25">
                  <c:v>5.7936700000000396</c:v>
                </c:pt>
                <c:pt idx="26">
                  <c:v>5.7495020000000174</c:v>
                </c:pt>
                <c:pt idx="27">
                  <c:v>5.6840697000000162</c:v>
                </c:pt>
              </c:numCache>
            </c:numRef>
          </c:val>
          <c:smooth val="0"/>
        </c:ser>
        <c:ser>
          <c:idx val="3"/>
          <c:order val="2"/>
          <c:tx>
            <c:strRef>
              <c:f>UsdChart!$AB$4</c:f>
              <c:strCache>
                <c:ptCount val="1"/>
                <c:pt idx="0">
                  <c:v>Usd1M</c:v>
                </c:pt>
              </c:strCache>
            </c:strRef>
          </c:tx>
          <c:marker>
            <c:symbol val="none"/>
          </c:marker>
          <c:cat>
            <c:strRef>
              <c:f>UsdChart!$V$18:$V$45</c:f>
              <c:strCache>
                <c:ptCount val="28"/>
                <c:pt idx="0">
                  <c:v>3Y</c:v>
                </c:pt>
                <c:pt idx="1">
                  <c:v>4Y</c:v>
                </c:pt>
                <c:pt idx="2">
                  <c:v>5Y</c:v>
                </c:pt>
                <c:pt idx="3">
                  <c:v>6Y</c:v>
                </c:pt>
                <c:pt idx="4">
                  <c:v>7Y</c:v>
                </c:pt>
                <c:pt idx="5">
                  <c:v>8Y</c:v>
                </c:pt>
                <c:pt idx="6">
                  <c:v>9Y</c:v>
                </c:pt>
                <c:pt idx="7">
                  <c:v>10Y</c:v>
                </c:pt>
                <c:pt idx="8">
                  <c:v>11Y</c:v>
                </c:pt>
                <c:pt idx="9">
                  <c:v>12Y</c:v>
                </c:pt>
                <c:pt idx="10">
                  <c:v>13Y</c:v>
                </c:pt>
                <c:pt idx="11">
                  <c:v>14Y</c:v>
                </c:pt>
                <c:pt idx="12">
                  <c:v>15Y</c:v>
                </c:pt>
                <c:pt idx="13">
                  <c:v>16Y</c:v>
                </c:pt>
                <c:pt idx="14">
                  <c:v>17Y</c:v>
                </c:pt>
                <c:pt idx="15">
                  <c:v>18Y</c:v>
                </c:pt>
                <c:pt idx="16">
                  <c:v>19Y</c:v>
                </c:pt>
                <c:pt idx="17">
                  <c:v>20Y</c:v>
                </c:pt>
                <c:pt idx="18">
                  <c:v>21Y</c:v>
                </c:pt>
                <c:pt idx="19">
                  <c:v>22Y</c:v>
                </c:pt>
                <c:pt idx="20">
                  <c:v>23Y</c:v>
                </c:pt>
                <c:pt idx="21">
                  <c:v>24Y</c:v>
                </c:pt>
                <c:pt idx="22">
                  <c:v>25Y</c:v>
                </c:pt>
                <c:pt idx="23">
                  <c:v>26Y</c:v>
                </c:pt>
                <c:pt idx="24">
                  <c:v>27Y</c:v>
                </c:pt>
                <c:pt idx="25">
                  <c:v>28Y</c:v>
                </c:pt>
                <c:pt idx="26">
                  <c:v>29Y</c:v>
                </c:pt>
                <c:pt idx="27">
                  <c:v>30Y</c:v>
                </c:pt>
              </c:strCache>
            </c:strRef>
          </c:cat>
          <c:val>
            <c:numRef>
              <c:f>UsdChart!$AB$18:$AB$45</c:f>
              <c:numCache>
                <c:formatCode>0.000</c:formatCode>
                <c:ptCount val="28"/>
                <c:pt idx="0">
                  <c:v>2.9988642000000176</c:v>
                </c:pt>
                <c:pt idx="1">
                  <c:v>5.3977957000000076</c:v>
                </c:pt>
                <c:pt idx="2">
                  <c:v>5.297371399999995</c:v>
                </c:pt>
                <c:pt idx="3">
                  <c:v>4.3957980000000285</c:v>
                </c:pt>
                <c:pt idx="4">
                  <c:v>5.9967058000000018</c:v>
                </c:pt>
                <c:pt idx="5">
                  <c:v>5.0984101000000059</c:v>
                </c:pt>
                <c:pt idx="6">
                  <c:v>6.498507099999995</c:v>
                </c:pt>
                <c:pt idx="7">
                  <c:v>7.7989063000000192</c:v>
                </c:pt>
                <c:pt idx="8">
                  <c:v>6.4171897000000033</c:v>
                </c:pt>
                <c:pt idx="9">
                  <c:v>4.9993173000000279</c:v>
                </c:pt>
                <c:pt idx="10">
                  <c:v>6.1887023999999791</c:v>
                </c:pt>
                <c:pt idx="11">
                  <c:v>7.4998068999999834</c:v>
                </c:pt>
                <c:pt idx="12">
                  <c:v>4.8997280000000032</c:v>
                </c:pt>
                <c:pt idx="13">
                  <c:v>6.1616411000000149</c:v>
                </c:pt>
                <c:pt idx="14">
                  <c:v>6.1444703999999906</c:v>
                </c:pt>
                <c:pt idx="15">
                  <c:v>6.1221675000000086</c:v>
                </c:pt>
                <c:pt idx="16">
                  <c:v>6.0781609000000181</c:v>
                </c:pt>
                <c:pt idx="17">
                  <c:v>6.0977722000000067</c:v>
                </c:pt>
                <c:pt idx="18">
                  <c:v>6.0872869999999857</c:v>
                </c:pt>
                <c:pt idx="19">
                  <c:v>6.0895925000000073</c:v>
                </c:pt>
                <c:pt idx="20">
                  <c:v>6.0950913000000106</c:v>
                </c:pt>
                <c:pt idx="21">
                  <c:v>6.0787645000000001</c:v>
                </c:pt>
                <c:pt idx="22">
                  <c:v>6.098549600000025</c:v>
                </c:pt>
                <c:pt idx="23">
                  <c:v>6.0953227000000165</c:v>
                </c:pt>
                <c:pt idx="24">
                  <c:v>6.0827623000000219</c:v>
                </c:pt>
                <c:pt idx="25">
                  <c:v>6.0645781999999926</c:v>
                </c:pt>
                <c:pt idx="26">
                  <c:v>7.3368861000000063</c:v>
                </c:pt>
                <c:pt idx="27">
                  <c:v>7.2845650000000095</c:v>
                </c:pt>
              </c:numCache>
            </c:numRef>
          </c:val>
          <c:smooth val="0"/>
        </c:ser>
        <c:ser>
          <c:idx val="4"/>
          <c:order val="3"/>
          <c:tx>
            <c:strRef>
              <c:f>UsdChart!$AC$4</c:f>
              <c:strCache>
                <c:ptCount val="1"/>
                <c:pt idx="0">
                  <c:v>Usd6M</c:v>
                </c:pt>
              </c:strCache>
            </c:strRef>
          </c:tx>
          <c:marker>
            <c:symbol val="none"/>
          </c:marker>
          <c:cat>
            <c:strRef>
              <c:f>UsdChart!$V$18:$V$45</c:f>
              <c:strCache>
                <c:ptCount val="28"/>
                <c:pt idx="0">
                  <c:v>3Y</c:v>
                </c:pt>
                <c:pt idx="1">
                  <c:v>4Y</c:v>
                </c:pt>
                <c:pt idx="2">
                  <c:v>5Y</c:v>
                </c:pt>
                <c:pt idx="3">
                  <c:v>6Y</c:v>
                </c:pt>
                <c:pt idx="4">
                  <c:v>7Y</c:v>
                </c:pt>
                <c:pt idx="5">
                  <c:v>8Y</c:v>
                </c:pt>
                <c:pt idx="6">
                  <c:v>9Y</c:v>
                </c:pt>
                <c:pt idx="7">
                  <c:v>10Y</c:v>
                </c:pt>
                <c:pt idx="8">
                  <c:v>11Y</c:v>
                </c:pt>
                <c:pt idx="9">
                  <c:v>12Y</c:v>
                </c:pt>
                <c:pt idx="10">
                  <c:v>13Y</c:v>
                </c:pt>
                <c:pt idx="11">
                  <c:v>14Y</c:v>
                </c:pt>
                <c:pt idx="12">
                  <c:v>15Y</c:v>
                </c:pt>
                <c:pt idx="13">
                  <c:v>16Y</c:v>
                </c:pt>
                <c:pt idx="14">
                  <c:v>17Y</c:v>
                </c:pt>
                <c:pt idx="15">
                  <c:v>18Y</c:v>
                </c:pt>
                <c:pt idx="16">
                  <c:v>19Y</c:v>
                </c:pt>
                <c:pt idx="17">
                  <c:v>20Y</c:v>
                </c:pt>
                <c:pt idx="18">
                  <c:v>21Y</c:v>
                </c:pt>
                <c:pt idx="19">
                  <c:v>22Y</c:v>
                </c:pt>
                <c:pt idx="20">
                  <c:v>23Y</c:v>
                </c:pt>
                <c:pt idx="21">
                  <c:v>24Y</c:v>
                </c:pt>
                <c:pt idx="22">
                  <c:v>25Y</c:v>
                </c:pt>
                <c:pt idx="23">
                  <c:v>26Y</c:v>
                </c:pt>
                <c:pt idx="24">
                  <c:v>27Y</c:v>
                </c:pt>
                <c:pt idx="25">
                  <c:v>28Y</c:v>
                </c:pt>
                <c:pt idx="26">
                  <c:v>29Y</c:v>
                </c:pt>
                <c:pt idx="27">
                  <c:v>30Y</c:v>
                </c:pt>
              </c:strCache>
            </c:strRef>
          </c:cat>
          <c:val>
            <c:numRef>
              <c:f>UsdChart!$AC$18:$AC$45</c:f>
              <c:numCache>
                <c:formatCode>0.000</c:formatCode>
                <c:ptCount val="28"/>
                <c:pt idx="0">
                  <c:v>2.7030646000000047</c:v>
                </c:pt>
                <c:pt idx="1">
                  <c:v>4.0042725000000168</c:v>
                </c:pt>
                <c:pt idx="2">
                  <c:v>5.2048989000000212</c:v>
                </c:pt>
                <c:pt idx="3">
                  <c:v>5.8052924000000061</c:v>
                </c:pt>
                <c:pt idx="4">
                  <c:v>6.105835000000015</c:v>
                </c:pt>
                <c:pt idx="5">
                  <c:v>6.305900000000042</c:v>
                </c:pt>
                <c:pt idx="6">
                  <c:v>6.3053678000000168</c:v>
                </c:pt>
                <c:pt idx="7">
                  <c:v>6.3050907000000045</c:v>
                </c:pt>
                <c:pt idx="8">
                  <c:v>6.1386074000000068</c:v>
                </c:pt>
                <c:pt idx="9">
                  <c:v>5.9035710000000297</c:v>
                </c:pt>
                <c:pt idx="10">
                  <c:v>5.7076285000000393</c:v>
                </c:pt>
                <c:pt idx="11">
                  <c:v>5.6901947000000064</c:v>
                </c:pt>
                <c:pt idx="12">
                  <c:v>5.702591899999998</c:v>
                </c:pt>
                <c:pt idx="13">
                  <c:v>5.7222367000000052</c:v>
                </c:pt>
                <c:pt idx="14">
                  <c:v>5.787720399999996</c:v>
                </c:pt>
                <c:pt idx="15">
                  <c:v>5.8583951000000134</c:v>
                </c:pt>
                <c:pt idx="16">
                  <c:v>5.9018116999999926</c:v>
                </c:pt>
                <c:pt idx="17">
                  <c:v>6.0039818999999994</c:v>
                </c:pt>
                <c:pt idx="18">
                  <c:v>6.0520342000000227</c:v>
                </c:pt>
                <c:pt idx="19">
                  <c:v>6.0938816000000173</c:v>
                </c:pt>
                <c:pt idx="20">
                  <c:v>6.1197829999999787</c:v>
                </c:pt>
                <c:pt idx="21">
                  <c:v>6.1017208000000434</c:v>
                </c:pt>
                <c:pt idx="22">
                  <c:v>6.1053188999999897</c:v>
                </c:pt>
                <c:pt idx="23">
                  <c:v>6.0668280000000241</c:v>
                </c:pt>
                <c:pt idx="24">
                  <c:v>6.0075633999999933</c:v>
                </c:pt>
                <c:pt idx="25">
                  <c:v>5.9425620999999929</c:v>
                </c:pt>
                <c:pt idx="26">
                  <c:v>5.8726295000000039</c:v>
                </c:pt>
                <c:pt idx="27">
                  <c:v>5.7868900000000334</c:v>
                </c:pt>
              </c:numCache>
            </c:numRef>
          </c:val>
          <c:smooth val="0"/>
        </c:ser>
        <c:ser>
          <c:idx val="0"/>
          <c:order val="4"/>
          <c:tx>
            <c:strRef>
              <c:f>UsdChart!$AD$4</c:f>
              <c:strCache>
                <c:ptCount val="1"/>
                <c:pt idx="0">
                  <c:v>UsdOIS</c:v>
                </c:pt>
              </c:strCache>
            </c:strRef>
          </c:tx>
          <c:spPr>
            <a:ln>
              <a:solidFill>
                <a:schemeClr val="accent6"/>
              </a:solidFill>
            </a:ln>
          </c:spPr>
          <c:marker>
            <c:symbol val="none"/>
          </c:marker>
          <c:cat>
            <c:strRef>
              <c:f>UsdChart!$V$18:$V$45</c:f>
              <c:strCache>
                <c:ptCount val="28"/>
                <c:pt idx="0">
                  <c:v>3Y</c:v>
                </c:pt>
                <c:pt idx="1">
                  <c:v>4Y</c:v>
                </c:pt>
                <c:pt idx="2">
                  <c:v>5Y</c:v>
                </c:pt>
                <c:pt idx="3">
                  <c:v>6Y</c:v>
                </c:pt>
                <c:pt idx="4">
                  <c:v>7Y</c:v>
                </c:pt>
                <c:pt idx="5">
                  <c:v>8Y</c:v>
                </c:pt>
                <c:pt idx="6">
                  <c:v>9Y</c:v>
                </c:pt>
                <c:pt idx="7">
                  <c:v>10Y</c:v>
                </c:pt>
                <c:pt idx="8">
                  <c:v>11Y</c:v>
                </c:pt>
                <c:pt idx="9">
                  <c:v>12Y</c:v>
                </c:pt>
                <c:pt idx="10">
                  <c:v>13Y</c:v>
                </c:pt>
                <c:pt idx="11">
                  <c:v>14Y</c:v>
                </c:pt>
                <c:pt idx="12">
                  <c:v>15Y</c:v>
                </c:pt>
                <c:pt idx="13">
                  <c:v>16Y</c:v>
                </c:pt>
                <c:pt idx="14">
                  <c:v>17Y</c:v>
                </c:pt>
                <c:pt idx="15">
                  <c:v>18Y</c:v>
                </c:pt>
                <c:pt idx="16">
                  <c:v>19Y</c:v>
                </c:pt>
                <c:pt idx="17">
                  <c:v>20Y</c:v>
                </c:pt>
                <c:pt idx="18">
                  <c:v>21Y</c:v>
                </c:pt>
                <c:pt idx="19">
                  <c:v>22Y</c:v>
                </c:pt>
                <c:pt idx="20">
                  <c:v>23Y</c:v>
                </c:pt>
                <c:pt idx="21">
                  <c:v>24Y</c:v>
                </c:pt>
                <c:pt idx="22">
                  <c:v>25Y</c:v>
                </c:pt>
                <c:pt idx="23">
                  <c:v>26Y</c:v>
                </c:pt>
                <c:pt idx="24">
                  <c:v>27Y</c:v>
                </c:pt>
                <c:pt idx="25">
                  <c:v>28Y</c:v>
                </c:pt>
                <c:pt idx="26">
                  <c:v>29Y</c:v>
                </c:pt>
                <c:pt idx="27">
                  <c:v>30Y</c:v>
                </c:pt>
              </c:strCache>
            </c:strRef>
          </c:cat>
          <c:val>
            <c:numRef>
              <c:f>UsdChart!$AD$18:$AD$45</c:f>
              <c:numCache>
                <c:formatCode>0.000</c:formatCode>
                <c:ptCount val="28"/>
                <c:pt idx="0">
                  <c:v>2.8000000000000025</c:v>
                </c:pt>
                <c:pt idx="1">
                  <c:v>4.0000000000000036</c:v>
                </c:pt>
                <c:pt idx="2">
                  <c:v>5.1000000000000156</c:v>
                </c:pt>
                <c:pt idx="3">
                  <c:v>5.8999999999999941</c:v>
                </c:pt>
                <c:pt idx="4">
                  <c:v>6.0999999999999943</c:v>
                </c:pt>
                <c:pt idx="5">
                  <c:v>6.2999999999999945</c:v>
                </c:pt>
                <c:pt idx="6">
                  <c:v>6.5000000000000169</c:v>
                </c:pt>
                <c:pt idx="7">
                  <c:v>6.4000000000000057</c:v>
                </c:pt>
                <c:pt idx="8">
                  <c:v>#N/A</c:v>
                </c:pt>
                <c:pt idx="9">
                  <c:v>6.2999999999999945</c:v>
                </c:pt>
                <c:pt idx="10">
                  <c:v>#N/A</c:v>
                </c:pt>
                <c:pt idx="11">
                  <c:v>#N/A</c:v>
                </c:pt>
                <c:pt idx="12">
                  <c:v>6.1000000000000165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6.2000000000000055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6.0999999999999943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5.8000000000000274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0141440"/>
        <c:axId val="670151424"/>
      </c:lineChart>
      <c:catAx>
        <c:axId val="6701414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txPr>
          <a:bodyPr rot="-5400000" vert="horz"/>
          <a:lstStyle/>
          <a:p>
            <a:pPr>
              <a:defRPr/>
            </a:pPr>
            <a:endParaRPr lang="en-US"/>
          </a:p>
        </c:txPr>
        <c:crossAx val="670151424"/>
        <c:crosses val="autoZero"/>
        <c:auto val="1"/>
        <c:lblAlgn val="ctr"/>
        <c:lblOffset val="100"/>
        <c:noMultiLvlLbl val="0"/>
      </c:catAx>
      <c:valAx>
        <c:axId val="670151424"/>
        <c:scaling>
          <c:orientation val="minMax"/>
        </c:scaling>
        <c:delete val="0"/>
        <c:axPos val="l"/>
        <c:majorGridlines/>
        <c:numFmt formatCode="0.000" sourceLinked="1"/>
        <c:majorTickMark val="out"/>
        <c:minorTickMark val="none"/>
        <c:tickLblPos val="nextTo"/>
        <c:crossAx val="670141440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8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Usd Mkt </a:t>
            </a:r>
            <a:r>
              <a:rPr lang="en-US" sz="1800" b="1" i="0" baseline="0">
                <a:effectLst/>
              </a:rPr>
              <a:t>3Y÷10Y</a:t>
            </a:r>
            <a:endParaRPr lang="en-US">
              <a:effectLst/>
            </a:endParaRP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UsdChart!$AG$4</c:f>
              <c:strCache>
                <c:ptCount val="1"/>
                <c:pt idx="0">
                  <c:v>Usd12M</c:v>
                </c:pt>
              </c:strCache>
            </c:strRef>
          </c:tx>
          <c:marker>
            <c:symbol val="none"/>
          </c:marker>
          <c:cat>
            <c:strRef>
              <c:f>UsdChart!$V$18:$V$25</c:f>
              <c:strCache>
                <c:ptCount val="8"/>
                <c:pt idx="0">
                  <c:v>3Y</c:v>
                </c:pt>
                <c:pt idx="1">
                  <c:v>4Y</c:v>
                </c:pt>
                <c:pt idx="2">
                  <c:v>5Y</c:v>
                </c:pt>
                <c:pt idx="3">
                  <c:v>6Y</c:v>
                </c:pt>
                <c:pt idx="4">
                  <c:v>7Y</c:v>
                </c:pt>
                <c:pt idx="5">
                  <c:v>8Y</c:v>
                </c:pt>
                <c:pt idx="6">
                  <c:v>9Y</c:v>
                </c:pt>
                <c:pt idx="7">
                  <c:v>10Y</c:v>
                </c:pt>
              </c:strCache>
            </c:strRef>
          </c:cat>
          <c:val>
            <c:numRef>
              <c:f>UsdChart!$AG$18:$AG$25</c:f>
              <c:numCache>
                <c:formatCode>0.000</c:formatCode>
                <c:ptCount val="8"/>
                <c:pt idx="0">
                  <c:v>1.9537483160000002</c:v>
                </c:pt>
                <c:pt idx="1">
                  <c:v>2.1032392290000002</c:v>
                </c:pt>
                <c:pt idx="2">
                  <c:v>2.2306958910000003</c:v>
                </c:pt>
                <c:pt idx="3">
                  <c:v>2.3315723699999999</c:v>
                </c:pt>
                <c:pt idx="4">
                  <c:v>2.405114368</c:v>
                </c:pt>
                <c:pt idx="5">
                  <c:v>2.4648802830000003</c:v>
                </c:pt>
                <c:pt idx="6">
                  <c:v>2.512878035</c:v>
                </c:pt>
                <c:pt idx="7">
                  <c:v>2.5521074480000001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UsdChart!$AH$4</c:f>
              <c:strCache>
                <c:ptCount val="1"/>
                <c:pt idx="0">
                  <c:v>Usd3M</c:v>
                </c:pt>
              </c:strCache>
            </c:strRef>
          </c:tx>
          <c:marker>
            <c:symbol val="none"/>
          </c:marker>
          <c:cat>
            <c:strRef>
              <c:f>UsdChart!$V$18:$V$25</c:f>
              <c:strCache>
                <c:ptCount val="8"/>
                <c:pt idx="0">
                  <c:v>3Y</c:v>
                </c:pt>
                <c:pt idx="1">
                  <c:v>4Y</c:v>
                </c:pt>
                <c:pt idx="2">
                  <c:v>5Y</c:v>
                </c:pt>
                <c:pt idx="3">
                  <c:v>6Y</c:v>
                </c:pt>
                <c:pt idx="4">
                  <c:v>7Y</c:v>
                </c:pt>
                <c:pt idx="5">
                  <c:v>8Y</c:v>
                </c:pt>
                <c:pt idx="6">
                  <c:v>9Y</c:v>
                </c:pt>
                <c:pt idx="7">
                  <c:v>10Y</c:v>
                </c:pt>
              </c:strCache>
            </c:strRef>
          </c:cat>
          <c:val>
            <c:numRef>
              <c:f>UsdChart!$AH$18:$AH$25</c:f>
              <c:numCache>
                <c:formatCode>0.000</c:formatCode>
                <c:ptCount val="8"/>
                <c:pt idx="0">
                  <c:v>1.4539999840000002</c:v>
                </c:pt>
                <c:pt idx="1">
                  <c:v>1.611999988</c:v>
                </c:pt>
                <c:pt idx="2">
                  <c:v>1.7429999899999999</c:v>
                </c:pt>
                <c:pt idx="3">
                  <c:v>1.8549999920000002</c:v>
                </c:pt>
                <c:pt idx="4">
                  <c:v>1.945999993</c:v>
                </c:pt>
                <c:pt idx="5">
                  <c:v>2.0219999940000002</c:v>
                </c:pt>
                <c:pt idx="6">
                  <c:v>2.0849999939999999</c:v>
                </c:pt>
                <c:pt idx="7">
                  <c:v>2.1379999949999999</c:v>
                </c:pt>
              </c:numCache>
            </c:numRef>
          </c:val>
          <c:smooth val="0"/>
        </c:ser>
        <c:ser>
          <c:idx val="3"/>
          <c:order val="2"/>
          <c:tx>
            <c:strRef>
              <c:f>UsdChart!$AI$4</c:f>
              <c:strCache>
                <c:ptCount val="1"/>
                <c:pt idx="0">
                  <c:v>Usd1M</c:v>
                </c:pt>
              </c:strCache>
            </c:strRef>
          </c:tx>
          <c:marker>
            <c:symbol val="none"/>
          </c:marker>
          <c:cat>
            <c:strRef>
              <c:f>UsdChart!$V$18:$V$25</c:f>
              <c:strCache>
                <c:ptCount val="8"/>
                <c:pt idx="0">
                  <c:v>3Y</c:v>
                </c:pt>
                <c:pt idx="1">
                  <c:v>4Y</c:v>
                </c:pt>
                <c:pt idx="2">
                  <c:v>5Y</c:v>
                </c:pt>
                <c:pt idx="3">
                  <c:v>6Y</c:v>
                </c:pt>
                <c:pt idx="4">
                  <c:v>7Y</c:v>
                </c:pt>
                <c:pt idx="5">
                  <c:v>8Y</c:v>
                </c:pt>
                <c:pt idx="6">
                  <c:v>9Y</c:v>
                </c:pt>
                <c:pt idx="7">
                  <c:v>10Y</c:v>
                </c:pt>
              </c:strCache>
            </c:strRef>
          </c:cat>
          <c:val>
            <c:numRef>
              <c:f>UsdChart!$AI$18:$AI$25</c:f>
              <c:numCache>
                <c:formatCode>0.000</c:formatCode>
                <c:ptCount val="8"/>
                <c:pt idx="0">
                  <c:v>1.2629602240000002</c:v>
                </c:pt>
                <c:pt idx="1">
                  <c:v>1.437930825</c:v>
                </c:pt>
                <c:pt idx="2">
                  <c:v>1.582926166</c:v>
                </c:pt>
                <c:pt idx="3">
                  <c:v>1.7059276440000002</c:v>
                </c:pt>
                <c:pt idx="4">
                  <c:v>1.80593783</c:v>
                </c:pt>
                <c:pt idx="5">
                  <c:v>1.8909636010000002</c:v>
                </c:pt>
                <c:pt idx="6">
                  <c:v>1.959976825</c:v>
                </c:pt>
                <c:pt idx="7">
                  <c:v>2.0179921420000002</c:v>
                </c:pt>
              </c:numCache>
            </c:numRef>
          </c:val>
          <c:smooth val="0"/>
        </c:ser>
        <c:ser>
          <c:idx val="4"/>
          <c:order val="3"/>
          <c:tx>
            <c:strRef>
              <c:f>UsdChart!$AJ$4</c:f>
              <c:strCache>
                <c:ptCount val="1"/>
                <c:pt idx="0">
                  <c:v>Usd6M</c:v>
                </c:pt>
              </c:strCache>
            </c:strRef>
          </c:tx>
          <c:marker>
            <c:symbol val="none"/>
          </c:marker>
          <c:cat>
            <c:strRef>
              <c:f>UsdChart!$V$18:$V$25</c:f>
              <c:strCache>
                <c:ptCount val="8"/>
                <c:pt idx="0">
                  <c:v>3Y</c:v>
                </c:pt>
                <c:pt idx="1">
                  <c:v>4Y</c:v>
                </c:pt>
                <c:pt idx="2">
                  <c:v>5Y</c:v>
                </c:pt>
                <c:pt idx="3">
                  <c:v>6Y</c:v>
                </c:pt>
                <c:pt idx="4">
                  <c:v>7Y</c:v>
                </c:pt>
                <c:pt idx="5">
                  <c:v>8Y</c:v>
                </c:pt>
                <c:pt idx="6">
                  <c:v>9Y</c:v>
                </c:pt>
                <c:pt idx="7">
                  <c:v>10Y</c:v>
                </c:pt>
              </c:strCache>
            </c:strRef>
          </c:cat>
          <c:val>
            <c:numRef>
              <c:f>UsdChart!$AJ$18:$AJ$25</c:f>
              <c:numCache>
                <c:formatCode>0.000</c:formatCode>
                <c:ptCount val="8"/>
                <c:pt idx="0">
                  <c:v>1.6930762450000001</c:v>
                </c:pt>
                <c:pt idx="1">
                  <c:v>1.8341262140000001</c:v>
                </c:pt>
                <c:pt idx="2">
                  <c:v>1.9501456970000002</c:v>
                </c:pt>
                <c:pt idx="3">
                  <c:v>2.052168274</c:v>
                </c:pt>
                <c:pt idx="4">
                  <c:v>2.1361871090000002</c:v>
                </c:pt>
                <c:pt idx="5">
                  <c:v>2.2072049920000003</c:v>
                </c:pt>
                <c:pt idx="6">
                  <c:v>2.266219403</c:v>
                </c:pt>
                <c:pt idx="7">
                  <c:v>2.3162302660000003</c:v>
                </c:pt>
              </c:numCache>
            </c:numRef>
          </c:val>
          <c:smooth val="0"/>
        </c:ser>
        <c:ser>
          <c:idx val="0"/>
          <c:order val="4"/>
          <c:tx>
            <c:strRef>
              <c:f>UsdChart!$AK$4</c:f>
              <c:strCache>
                <c:ptCount val="1"/>
                <c:pt idx="0">
                  <c:v>UsdOIS</c:v>
                </c:pt>
              </c:strCache>
            </c:strRef>
          </c:tx>
          <c:spPr>
            <a:ln>
              <a:solidFill>
                <a:schemeClr val="accent6"/>
              </a:solidFill>
            </a:ln>
          </c:spPr>
          <c:marker>
            <c:symbol val="none"/>
          </c:marker>
          <c:cat>
            <c:strRef>
              <c:f>UsdChart!$V$18:$V$25</c:f>
              <c:strCache>
                <c:ptCount val="8"/>
                <c:pt idx="0">
                  <c:v>3Y</c:v>
                </c:pt>
                <c:pt idx="1">
                  <c:v>4Y</c:v>
                </c:pt>
                <c:pt idx="2">
                  <c:v>5Y</c:v>
                </c:pt>
                <c:pt idx="3">
                  <c:v>6Y</c:v>
                </c:pt>
                <c:pt idx="4">
                  <c:v>7Y</c:v>
                </c:pt>
                <c:pt idx="5">
                  <c:v>8Y</c:v>
                </c:pt>
                <c:pt idx="6">
                  <c:v>9Y</c:v>
                </c:pt>
                <c:pt idx="7">
                  <c:v>10Y</c:v>
                </c:pt>
              </c:strCache>
            </c:strRef>
          </c:cat>
          <c:val>
            <c:numRef>
              <c:f>UsdChart!$AK$18:$AK$25</c:f>
              <c:numCache>
                <c:formatCode>0.000</c:formatCode>
                <c:ptCount val="8"/>
                <c:pt idx="0">
                  <c:v>1.113</c:v>
                </c:pt>
                <c:pt idx="1">
                  <c:v>1.2710000000000001</c:v>
                </c:pt>
                <c:pt idx="2">
                  <c:v>1.4020000000000001</c:v>
                </c:pt>
                <c:pt idx="3">
                  <c:v>1.514</c:v>
                </c:pt>
                <c:pt idx="4">
                  <c:v>1.605</c:v>
                </c:pt>
                <c:pt idx="5">
                  <c:v>1.68</c:v>
                </c:pt>
                <c:pt idx="6">
                  <c:v>1.7430000000000001</c:v>
                </c:pt>
                <c:pt idx="7">
                  <c:v>1.794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0250880"/>
        <c:axId val="670252416"/>
      </c:lineChart>
      <c:catAx>
        <c:axId val="6702508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670252416"/>
        <c:crosses val="autoZero"/>
        <c:auto val="1"/>
        <c:lblAlgn val="ctr"/>
        <c:lblOffset val="100"/>
        <c:noMultiLvlLbl val="0"/>
      </c:catAx>
      <c:valAx>
        <c:axId val="670252416"/>
        <c:scaling>
          <c:orientation val="minMax"/>
        </c:scaling>
        <c:delete val="0"/>
        <c:axPos val="l"/>
        <c:majorGridlines/>
        <c:numFmt formatCode="0.000" sourceLinked="1"/>
        <c:majorTickMark val="out"/>
        <c:minorTickMark val="none"/>
        <c:tickLblPos val="nextTo"/>
        <c:crossAx val="670250880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Usd NetChg 3Y</a:t>
            </a:r>
            <a:r>
              <a:rPr lang="en-US">
                <a:latin typeface="Calibri"/>
              </a:rPr>
              <a:t>÷10Y</a:t>
            </a:r>
            <a:endParaRPr lang="en-US"/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UsdChart!$Z$4</c:f>
              <c:strCache>
                <c:ptCount val="1"/>
                <c:pt idx="0">
                  <c:v>Usd12M</c:v>
                </c:pt>
              </c:strCache>
            </c:strRef>
          </c:tx>
          <c:marker>
            <c:symbol val="none"/>
          </c:marker>
          <c:cat>
            <c:strRef>
              <c:f>UsdChart!$V$18:$V$25</c:f>
              <c:strCache>
                <c:ptCount val="8"/>
                <c:pt idx="0">
                  <c:v>3Y</c:v>
                </c:pt>
                <c:pt idx="1">
                  <c:v>4Y</c:v>
                </c:pt>
                <c:pt idx="2">
                  <c:v>5Y</c:v>
                </c:pt>
                <c:pt idx="3">
                  <c:v>6Y</c:v>
                </c:pt>
                <c:pt idx="4">
                  <c:v>7Y</c:v>
                </c:pt>
                <c:pt idx="5">
                  <c:v>8Y</c:v>
                </c:pt>
                <c:pt idx="6">
                  <c:v>9Y</c:v>
                </c:pt>
                <c:pt idx="7">
                  <c:v>10Y</c:v>
                </c:pt>
              </c:strCache>
            </c:strRef>
          </c:cat>
          <c:val>
            <c:numRef>
              <c:f>UsdChart!$Z$18:$Z$25</c:f>
              <c:numCache>
                <c:formatCode>0.000</c:formatCode>
                <c:ptCount val="8"/>
                <c:pt idx="0">
                  <c:v>2.4551680000000298</c:v>
                </c:pt>
                <c:pt idx="1">
                  <c:v>3.2801379000000352</c:v>
                </c:pt>
                <c:pt idx="2">
                  <c:v>5.4871302000000455</c:v>
                </c:pt>
                <c:pt idx="3">
                  <c:v>5.8369792999999781</c:v>
                </c:pt>
                <c:pt idx="4">
                  <c:v>5.7852834999999825</c:v>
                </c:pt>
                <c:pt idx="5">
                  <c:v>6.1109754000000294</c:v>
                </c:pt>
                <c:pt idx="6">
                  <c:v>6.0852113000000152</c:v>
                </c:pt>
                <c:pt idx="7">
                  <c:v>6.0843328000000252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UsdChart!$AA$4</c:f>
              <c:strCache>
                <c:ptCount val="1"/>
                <c:pt idx="0">
                  <c:v>Usd3M</c:v>
                </c:pt>
              </c:strCache>
            </c:strRef>
          </c:tx>
          <c:marker>
            <c:symbol val="none"/>
          </c:marker>
          <c:cat>
            <c:strRef>
              <c:f>UsdChart!$V$18:$V$25</c:f>
              <c:strCache>
                <c:ptCount val="8"/>
                <c:pt idx="0">
                  <c:v>3Y</c:v>
                </c:pt>
                <c:pt idx="1">
                  <c:v>4Y</c:v>
                </c:pt>
                <c:pt idx="2">
                  <c:v>5Y</c:v>
                </c:pt>
                <c:pt idx="3">
                  <c:v>6Y</c:v>
                </c:pt>
                <c:pt idx="4">
                  <c:v>7Y</c:v>
                </c:pt>
                <c:pt idx="5">
                  <c:v>8Y</c:v>
                </c:pt>
                <c:pt idx="6">
                  <c:v>9Y</c:v>
                </c:pt>
                <c:pt idx="7">
                  <c:v>10Y</c:v>
                </c:pt>
              </c:strCache>
            </c:strRef>
          </c:cat>
          <c:val>
            <c:numRef>
              <c:f>UsdChart!$AA$18:$AA$25</c:f>
              <c:numCache>
                <c:formatCode>0.000</c:formatCode>
                <c:ptCount val="8"/>
                <c:pt idx="0">
                  <c:v>2.6999984000000143</c:v>
                </c:pt>
                <c:pt idx="1">
                  <c:v>3.8999988000000041</c:v>
                </c:pt>
                <c:pt idx="2">
                  <c:v>5.0999989999999995</c:v>
                </c:pt>
                <c:pt idx="3">
                  <c:v>5.6999990000000222</c:v>
                </c:pt>
                <c:pt idx="4">
                  <c:v>5.8999991999999946</c:v>
                </c:pt>
                <c:pt idx="5">
                  <c:v>6.0999993000000252</c:v>
                </c:pt>
                <c:pt idx="6">
                  <c:v>6.1999992999999698</c:v>
                </c:pt>
                <c:pt idx="7">
                  <c:v>6.1999993999999781</c:v>
                </c:pt>
              </c:numCache>
            </c:numRef>
          </c:val>
          <c:smooth val="0"/>
        </c:ser>
        <c:ser>
          <c:idx val="3"/>
          <c:order val="2"/>
          <c:tx>
            <c:strRef>
              <c:f>UsdChart!$AB$4</c:f>
              <c:strCache>
                <c:ptCount val="1"/>
                <c:pt idx="0">
                  <c:v>Usd1M</c:v>
                </c:pt>
              </c:strCache>
            </c:strRef>
          </c:tx>
          <c:marker>
            <c:symbol val="none"/>
          </c:marker>
          <c:cat>
            <c:strRef>
              <c:f>UsdChart!$V$18:$V$25</c:f>
              <c:strCache>
                <c:ptCount val="8"/>
                <c:pt idx="0">
                  <c:v>3Y</c:v>
                </c:pt>
                <c:pt idx="1">
                  <c:v>4Y</c:v>
                </c:pt>
                <c:pt idx="2">
                  <c:v>5Y</c:v>
                </c:pt>
                <c:pt idx="3">
                  <c:v>6Y</c:v>
                </c:pt>
                <c:pt idx="4">
                  <c:v>7Y</c:v>
                </c:pt>
                <c:pt idx="5">
                  <c:v>8Y</c:v>
                </c:pt>
                <c:pt idx="6">
                  <c:v>9Y</c:v>
                </c:pt>
                <c:pt idx="7">
                  <c:v>10Y</c:v>
                </c:pt>
              </c:strCache>
            </c:strRef>
          </c:cat>
          <c:val>
            <c:numRef>
              <c:f>UsdChart!$AB$18:$AB$25</c:f>
              <c:numCache>
                <c:formatCode>0.000</c:formatCode>
                <c:ptCount val="8"/>
                <c:pt idx="0">
                  <c:v>2.9988642000000176</c:v>
                </c:pt>
                <c:pt idx="1">
                  <c:v>5.3977957000000076</c:v>
                </c:pt>
                <c:pt idx="2">
                  <c:v>5.297371399999995</c:v>
                </c:pt>
                <c:pt idx="3">
                  <c:v>4.3957980000000285</c:v>
                </c:pt>
                <c:pt idx="4">
                  <c:v>5.9967058000000018</c:v>
                </c:pt>
                <c:pt idx="5">
                  <c:v>5.0984101000000059</c:v>
                </c:pt>
                <c:pt idx="6">
                  <c:v>6.498507099999995</c:v>
                </c:pt>
                <c:pt idx="7">
                  <c:v>7.7989063000000192</c:v>
                </c:pt>
              </c:numCache>
            </c:numRef>
          </c:val>
          <c:smooth val="0"/>
        </c:ser>
        <c:ser>
          <c:idx val="4"/>
          <c:order val="3"/>
          <c:tx>
            <c:strRef>
              <c:f>UsdChart!$AC$4</c:f>
              <c:strCache>
                <c:ptCount val="1"/>
                <c:pt idx="0">
                  <c:v>Usd6M</c:v>
                </c:pt>
              </c:strCache>
            </c:strRef>
          </c:tx>
          <c:marker>
            <c:symbol val="none"/>
          </c:marker>
          <c:cat>
            <c:strRef>
              <c:f>UsdChart!$V$18:$V$25</c:f>
              <c:strCache>
                <c:ptCount val="8"/>
                <c:pt idx="0">
                  <c:v>3Y</c:v>
                </c:pt>
                <c:pt idx="1">
                  <c:v>4Y</c:v>
                </c:pt>
                <c:pt idx="2">
                  <c:v>5Y</c:v>
                </c:pt>
                <c:pt idx="3">
                  <c:v>6Y</c:v>
                </c:pt>
                <c:pt idx="4">
                  <c:v>7Y</c:v>
                </c:pt>
                <c:pt idx="5">
                  <c:v>8Y</c:v>
                </c:pt>
                <c:pt idx="6">
                  <c:v>9Y</c:v>
                </c:pt>
                <c:pt idx="7">
                  <c:v>10Y</c:v>
                </c:pt>
              </c:strCache>
            </c:strRef>
          </c:cat>
          <c:val>
            <c:numRef>
              <c:f>UsdChart!$AC$18:$AC$25</c:f>
              <c:numCache>
                <c:formatCode>0.000</c:formatCode>
                <c:ptCount val="8"/>
                <c:pt idx="0">
                  <c:v>2.7030646000000047</c:v>
                </c:pt>
                <c:pt idx="1">
                  <c:v>4.0042725000000168</c:v>
                </c:pt>
                <c:pt idx="2">
                  <c:v>5.2048989000000212</c:v>
                </c:pt>
                <c:pt idx="3">
                  <c:v>5.8052924000000061</c:v>
                </c:pt>
                <c:pt idx="4">
                  <c:v>6.105835000000015</c:v>
                </c:pt>
                <c:pt idx="5">
                  <c:v>6.305900000000042</c:v>
                </c:pt>
                <c:pt idx="6">
                  <c:v>6.3053678000000168</c:v>
                </c:pt>
                <c:pt idx="7">
                  <c:v>6.3050907000000045</c:v>
                </c:pt>
              </c:numCache>
            </c:numRef>
          </c:val>
          <c:smooth val="0"/>
        </c:ser>
        <c:ser>
          <c:idx val="0"/>
          <c:order val="4"/>
          <c:tx>
            <c:strRef>
              <c:f>UsdChart!$AD$4</c:f>
              <c:strCache>
                <c:ptCount val="1"/>
                <c:pt idx="0">
                  <c:v>UsdOIS</c:v>
                </c:pt>
              </c:strCache>
            </c:strRef>
          </c:tx>
          <c:spPr>
            <a:ln>
              <a:solidFill>
                <a:schemeClr val="accent6"/>
              </a:solidFill>
            </a:ln>
          </c:spPr>
          <c:marker>
            <c:symbol val="none"/>
          </c:marker>
          <c:cat>
            <c:strRef>
              <c:f>UsdChart!$V$18:$V$25</c:f>
              <c:strCache>
                <c:ptCount val="8"/>
                <c:pt idx="0">
                  <c:v>3Y</c:v>
                </c:pt>
                <c:pt idx="1">
                  <c:v>4Y</c:v>
                </c:pt>
                <c:pt idx="2">
                  <c:v>5Y</c:v>
                </c:pt>
                <c:pt idx="3">
                  <c:v>6Y</c:v>
                </c:pt>
                <c:pt idx="4">
                  <c:v>7Y</c:v>
                </c:pt>
                <c:pt idx="5">
                  <c:v>8Y</c:v>
                </c:pt>
                <c:pt idx="6">
                  <c:v>9Y</c:v>
                </c:pt>
                <c:pt idx="7">
                  <c:v>10Y</c:v>
                </c:pt>
              </c:strCache>
            </c:strRef>
          </c:cat>
          <c:val>
            <c:numRef>
              <c:f>UsdChart!$AD$18:$AD$25</c:f>
              <c:numCache>
                <c:formatCode>0.000</c:formatCode>
                <c:ptCount val="8"/>
                <c:pt idx="0">
                  <c:v>2.8000000000000025</c:v>
                </c:pt>
                <c:pt idx="1">
                  <c:v>4.0000000000000036</c:v>
                </c:pt>
                <c:pt idx="2">
                  <c:v>5.1000000000000156</c:v>
                </c:pt>
                <c:pt idx="3">
                  <c:v>5.8999999999999941</c:v>
                </c:pt>
                <c:pt idx="4">
                  <c:v>6.0999999999999943</c:v>
                </c:pt>
                <c:pt idx="5">
                  <c:v>6.2999999999999945</c:v>
                </c:pt>
                <c:pt idx="6">
                  <c:v>6.5000000000000169</c:v>
                </c:pt>
                <c:pt idx="7">
                  <c:v>6.4000000000000057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0292608"/>
        <c:axId val="670298496"/>
      </c:lineChart>
      <c:catAx>
        <c:axId val="6702926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txPr>
          <a:bodyPr rot="-5400000" vert="horz"/>
          <a:lstStyle/>
          <a:p>
            <a:pPr>
              <a:defRPr/>
            </a:pPr>
            <a:endParaRPr lang="en-US"/>
          </a:p>
        </c:txPr>
        <c:crossAx val="670298496"/>
        <c:crosses val="autoZero"/>
        <c:auto val="1"/>
        <c:lblAlgn val="ctr"/>
        <c:lblOffset val="100"/>
        <c:noMultiLvlLbl val="0"/>
      </c:catAx>
      <c:valAx>
        <c:axId val="670298496"/>
        <c:scaling>
          <c:orientation val="minMax"/>
        </c:scaling>
        <c:delete val="0"/>
        <c:axPos val="l"/>
        <c:majorGridlines/>
        <c:numFmt formatCode="0.000" sourceLinked="1"/>
        <c:majorTickMark val="out"/>
        <c:minorTickMark val="none"/>
        <c:tickLblPos val="nextTo"/>
        <c:crossAx val="670292608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8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Usd Mkt </a:t>
            </a:r>
            <a:r>
              <a:rPr lang="en-US" sz="1800" b="1" i="0" baseline="0">
                <a:effectLst/>
              </a:rPr>
              <a:t>3Y÷30Y</a:t>
            </a:r>
            <a:endParaRPr lang="en-US">
              <a:effectLst/>
            </a:endParaRP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UsdChart!$AG$4</c:f>
              <c:strCache>
                <c:ptCount val="1"/>
                <c:pt idx="0">
                  <c:v>Usd12M</c:v>
                </c:pt>
              </c:strCache>
            </c:strRef>
          </c:tx>
          <c:marker>
            <c:symbol val="none"/>
          </c:marker>
          <c:cat>
            <c:strRef>
              <c:f>UsdChart!$V$18:$V$45</c:f>
              <c:strCache>
                <c:ptCount val="28"/>
                <c:pt idx="0">
                  <c:v>3Y</c:v>
                </c:pt>
                <c:pt idx="1">
                  <c:v>4Y</c:v>
                </c:pt>
                <c:pt idx="2">
                  <c:v>5Y</c:v>
                </c:pt>
                <c:pt idx="3">
                  <c:v>6Y</c:v>
                </c:pt>
                <c:pt idx="4">
                  <c:v>7Y</c:v>
                </c:pt>
                <c:pt idx="5">
                  <c:v>8Y</c:v>
                </c:pt>
                <c:pt idx="6">
                  <c:v>9Y</c:v>
                </c:pt>
                <c:pt idx="7">
                  <c:v>10Y</c:v>
                </c:pt>
                <c:pt idx="8">
                  <c:v>11Y</c:v>
                </c:pt>
                <c:pt idx="9">
                  <c:v>12Y</c:v>
                </c:pt>
                <c:pt idx="10">
                  <c:v>13Y</c:v>
                </c:pt>
                <c:pt idx="11">
                  <c:v>14Y</c:v>
                </c:pt>
                <c:pt idx="12">
                  <c:v>15Y</c:v>
                </c:pt>
                <c:pt idx="13">
                  <c:v>16Y</c:v>
                </c:pt>
                <c:pt idx="14">
                  <c:v>17Y</c:v>
                </c:pt>
                <c:pt idx="15">
                  <c:v>18Y</c:v>
                </c:pt>
                <c:pt idx="16">
                  <c:v>19Y</c:v>
                </c:pt>
                <c:pt idx="17">
                  <c:v>20Y</c:v>
                </c:pt>
                <c:pt idx="18">
                  <c:v>21Y</c:v>
                </c:pt>
                <c:pt idx="19">
                  <c:v>22Y</c:v>
                </c:pt>
                <c:pt idx="20">
                  <c:v>23Y</c:v>
                </c:pt>
                <c:pt idx="21">
                  <c:v>24Y</c:v>
                </c:pt>
                <c:pt idx="22">
                  <c:v>25Y</c:v>
                </c:pt>
                <c:pt idx="23">
                  <c:v>26Y</c:v>
                </c:pt>
                <c:pt idx="24">
                  <c:v>27Y</c:v>
                </c:pt>
                <c:pt idx="25">
                  <c:v>28Y</c:v>
                </c:pt>
                <c:pt idx="26">
                  <c:v>29Y</c:v>
                </c:pt>
                <c:pt idx="27">
                  <c:v>30Y</c:v>
                </c:pt>
              </c:strCache>
            </c:strRef>
          </c:cat>
          <c:val>
            <c:numRef>
              <c:f>UsdChart!$AG$18:$AG$45</c:f>
              <c:numCache>
                <c:formatCode>0.000</c:formatCode>
                <c:ptCount val="28"/>
                <c:pt idx="0">
                  <c:v>1.9537483160000002</c:v>
                </c:pt>
                <c:pt idx="1">
                  <c:v>2.1032392290000002</c:v>
                </c:pt>
                <c:pt idx="2">
                  <c:v>2.2306958910000003</c:v>
                </c:pt>
                <c:pt idx="3">
                  <c:v>2.3315723699999999</c:v>
                </c:pt>
                <c:pt idx="4">
                  <c:v>2.405114368</c:v>
                </c:pt>
                <c:pt idx="5">
                  <c:v>2.4648802830000003</c:v>
                </c:pt>
                <c:pt idx="6">
                  <c:v>2.512878035</c:v>
                </c:pt>
                <c:pt idx="7">
                  <c:v>2.5521074480000001</c:v>
                </c:pt>
                <c:pt idx="8">
                  <c:v>2.5873721460000003</c:v>
                </c:pt>
                <c:pt idx="9">
                  <c:v>2.6160828860000001</c:v>
                </c:pt>
                <c:pt idx="10">
                  <c:v>2.6394364850000001</c:v>
                </c:pt>
                <c:pt idx="11">
                  <c:v>2.6608855170000001</c:v>
                </c:pt>
                <c:pt idx="12">
                  <c:v>2.679785452</c:v>
                </c:pt>
                <c:pt idx="13">
                  <c:v>2.6970000360000004</c:v>
                </c:pt>
                <c:pt idx="14">
                  <c:v>2.7126230860000002</c:v>
                </c:pt>
                <c:pt idx="15">
                  <c:v>2.7263245130000002</c:v>
                </c:pt>
                <c:pt idx="16">
                  <c:v>2.737590602</c:v>
                </c:pt>
                <c:pt idx="17">
                  <c:v>2.7472867050000001</c:v>
                </c:pt>
                <c:pt idx="18">
                  <c:v>2.7542639040000001</c:v>
                </c:pt>
                <c:pt idx="19">
                  <c:v>2.7593226280000001</c:v>
                </c:pt>
                <c:pt idx="20">
                  <c:v>2.76285121</c:v>
                </c:pt>
                <c:pt idx="21">
                  <c:v>2.7649162220000001</c:v>
                </c:pt>
                <c:pt idx="22">
                  <c:v>2.766462309</c:v>
                </c:pt>
                <c:pt idx="23">
                  <c:v>2.7670431870000001</c:v>
                </c:pt>
                <c:pt idx="24">
                  <c:v>2.7671544250000002</c:v>
                </c:pt>
                <c:pt idx="25">
                  <c:v>2.7670685370000001</c:v>
                </c:pt>
                <c:pt idx="26">
                  <c:v>2.766997398</c:v>
                </c:pt>
                <c:pt idx="27">
                  <c:v>2.7669480010000003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UsdChart!$AH$4</c:f>
              <c:strCache>
                <c:ptCount val="1"/>
                <c:pt idx="0">
                  <c:v>Usd3M</c:v>
                </c:pt>
              </c:strCache>
            </c:strRef>
          </c:tx>
          <c:marker>
            <c:symbol val="none"/>
          </c:marker>
          <c:cat>
            <c:strRef>
              <c:f>UsdChart!$V$18:$V$45</c:f>
              <c:strCache>
                <c:ptCount val="28"/>
                <c:pt idx="0">
                  <c:v>3Y</c:v>
                </c:pt>
                <c:pt idx="1">
                  <c:v>4Y</c:v>
                </c:pt>
                <c:pt idx="2">
                  <c:v>5Y</c:v>
                </c:pt>
                <c:pt idx="3">
                  <c:v>6Y</c:v>
                </c:pt>
                <c:pt idx="4">
                  <c:v>7Y</c:v>
                </c:pt>
                <c:pt idx="5">
                  <c:v>8Y</c:v>
                </c:pt>
                <c:pt idx="6">
                  <c:v>9Y</c:v>
                </c:pt>
                <c:pt idx="7">
                  <c:v>10Y</c:v>
                </c:pt>
                <c:pt idx="8">
                  <c:v>11Y</c:v>
                </c:pt>
                <c:pt idx="9">
                  <c:v>12Y</c:v>
                </c:pt>
                <c:pt idx="10">
                  <c:v>13Y</c:v>
                </c:pt>
                <c:pt idx="11">
                  <c:v>14Y</c:v>
                </c:pt>
                <c:pt idx="12">
                  <c:v>15Y</c:v>
                </c:pt>
                <c:pt idx="13">
                  <c:v>16Y</c:v>
                </c:pt>
                <c:pt idx="14">
                  <c:v>17Y</c:v>
                </c:pt>
                <c:pt idx="15">
                  <c:v>18Y</c:v>
                </c:pt>
                <c:pt idx="16">
                  <c:v>19Y</c:v>
                </c:pt>
                <c:pt idx="17">
                  <c:v>20Y</c:v>
                </c:pt>
                <c:pt idx="18">
                  <c:v>21Y</c:v>
                </c:pt>
                <c:pt idx="19">
                  <c:v>22Y</c:v>
                </c:pt>
                <c:pt idx="20">
                  <c:v>23Y</c:v>
                </c:pt>
                <c:pt idx="21">
                  <c:v>24Y</c:v>
                </c:pt>
                <c:pt idx="22">
                  <c:v>25Y</c:v>
                </c:pt>
                <c:pt idx="23">
                  <c:v>26Y</c:v>
                </c:pt>
                <c:pt idx="24">
                  <c:v>27Y</c:v>
                </c:pt>
                <c:pt idx="25">
                  <c:v>28Y</c:v>
                </c:pt>
                <c:pt idx="26">
                  <c:v>29Y</c:v>
                </c:pt>
                <c:pt idx="27">
                  <c:v>30Y</c:v>
                </c:pt>
              </c:strCache>
            </c:strRef>
          </c:cat>
          <c:val>
            <c:numRef>
              <c:f>UsdChart!$AH$18:$AH$45</c:f>
              <c:numCache>
                <c:formatCode>0.000</c:formatCode>
                <c:ptCount val="28"/>
                <c:pt idx="0">
                  <c:v>1.4539999840000002</c:v>
                </c:pt>
                <c:pt idx="1">
                  <c:v>1.611999988</c:v>
                </c:pt>
                <c:pt idx="2">
                  <c:v>1.7429999899999999</c:v>
                </c:pt>
                <c:pt idx="3">
                  <c:v>1.8549999920000002</c:v>
                </c:pt>
                <c:pt idx="4">
                  <c:v>1.945999993</c:v>
                </c:pt>
                <c:pt idx="5">
                  <c:v>2.0219999940000002</c:v>
                </c:pt>
                <c:pt idx="6">
                  <c:v>2.0849999939999999</c:v>
                </c:pt>
                <c:pt idx="7">
                  <c:v>2.1379999949999999</c:v>
                </c:pt>
                <c:pt idx="8">
                  <c:v>2.183271768</c:v>
                </c:pt>
                <c:pt idx="9">
                  <c:v>2.2219999960000001</c:v>
                </c:pt>
                <c:pt idx="10">
                  <c:v>2.2543114989999999</c:v>
                </c:pt>
                <c:pt idx="11">
                  <c:v>2.282687234</c:v>
                </c:pt>
                <c:pt idx="12">
                  <c:v>2.3069999920000002</c:v>
                </c:pt>
                <c:pt idx="13">
                  <c:v>2.3279873090000001</c:v>
                </c:pt>
                <c:pt idx="14">
                  <c:v>2.3462836610000002</c:v>
                </c:pt>
                <c:pt idx="15">
                  <c:v>2.3620728570000002</c:v>
                </c:pt>
                <c:pt idx="16">
                  <c:v>2.3752876840000003</c:v>
                </c:pt>
                <c:pt idx="17">
                  <c:v>2.3869999900000001</c:v>
                </c:pt>
                <c:pt idx="18">
                  <c:v>2.3963493740000001</c:v>
                </c:pt>
                <c:pt idx="19">
                  <c:v>2.4040574710000002</c:v>
                </c:pt>
                <c:pt idx="20">
                  <c:v>2.410427774</c:v>
                </c:pt>
                <c:pt idx="21">
                  <c:v>2.415482232</c:v>
                </c:pt>
                <c:pt idx="22">
                  <c:v>2.4199999890000004</c:v>
                </c:pt>
                <c:pt idx="23">
                  <c:v>2.423566084</c:v>
                </c:pt>
                <c:pt idx="24">
                  <c:v>2.4264410940000003</c:v>
                </c:pt>
                <c:pt idx="25">
                  <c:v>2.4287602170000002</c:v>
                </c:pt>
                <c:pt idx="26">
                  <c:v>2.4305894350000004</c:v>
                </c:pt>
                <c:pt idx="27">
                  <c:v>2.4318406889999999</c:v>
                </c:pt>
              </c:numCache>
            </c:numRef>
          </c:val>
          <c:smooth val="0"/>
        </c:ser>
        <c:ser>
          <c:idx val="3"/>
          <c:order val="2"/>
          <c:tx>
            <c:strRef>
              <c:f>UsdChart!$AI$4</c:f>
              <c:strCache>
                <c:ptCount val="1"/>
                <c:pt idx="0">
                  <c:v>Usd1M</c:v>
                </c:pt>
              </c:strCache>
            </c:strRef>
          </c:tx>
          <c:marker>
            <c:symbol val="none"/>
          </c:marker>
          <c:cat>
            <c:strRef>
              <c:f>UsdChart!$V$18:$V$45</c:f>
              <c:strCache>
                <c:ptCount val="28"/>
                <c:pt idx="0">
                  <c:v>3Y</c:v>
                </c:pt>
                <c:pt idx="1">
                  <c:v>4Y</c:v>
                </c:pt>
                <c:pt idx="2">
                  <c:v>5Y</c:v>
                </c:pt>
                <c:pt idx="3">
                  <c:v>6Y</c:v>
                </c:pt>
                <c:pt idx="4">
                  <c:v>7Y</c:v>
                </c:pt>
                <c:pt idx="5">
                  <c:v>8Y</c:v>
                </c:pt>
                <c:pt idx="6">
                  <c:v>9Y</c:v>
                </c:pt>
                <c:pt idx="7">
                  <c:v>10Y</c:v>
                </c:pt>
                <c:pt idx="8">
                  <c:v>11Y</c:v>
                </c:pt>
                <c:pt idx="9">
                  <c:v>12Y</c:v>
                </c:pt>
                <c:pt idx="10">
                  <c:v>13Y</c:v>
                </c:pt>
                <c:pt idx="11">
                  <c:v>14Y</c:v>
                </c:pt>
                <c:pt idx="12">
                  <c:v>15Y</c:v>
                </c:pt>
                <c:pt idx="13">
                  <c:v>16Y</c:v>
                </c:pt>
                <c:pt idx="14">
                  <c:v>17Y</c:v>
                </c:pt>
                <c:pt idx="15">
                  <c:v>18Y</c:v>
                </c:pt>
                <c:pt idx="16">
                  <c:v>19Y</c:v>
                </c:pt>
                <c:pt idx="17">
                  <c:v>20Y</c:v>
                </c:pt>
                <c:pt idx="18">
                  <c:v>21Y</c:v>
                </c:pt>
                <c:pt idx="19">
                  <c:v>22Y</c:v>
                </c:pt>
                <c:pt idx="20">
                  <c:v>23Y</c:v>
                </c:pt>
                <c:pt idx="21">
                  <c:v>24Y</c:v>
                </c:pt>
                <c:pt idx="22">
                  <c:v>25Y</c:v>
                </c:pt>
                <c:pt idx="23">
                  <c:v>26Y</c:v>
                </c:pt>
                <c:pt idx="24">
                  <c:v>27Y</c:v>
                </c:pt>
                <c:pt idx="25">
                  <c:v>28Y</c:v>
                </c:pt>
                <c:pt idx="26">
                  <c:v>29Y</c:v>
                </c:pt>
                <c:pt idx="27">
                  <c:v>30Y</c:v>
                </c:pt>
              </c:strCache>
            </c:strRef>
          </c:cat>
          <c:val>
            <c:numRef>
              <c:f>UsdChart!$AI$18:$AI$45</c:f>
              <c:numCache>
                <c:formatCode>0.000</c:formatCode>
                <c:ptCount val="28"/>
                <c:pt idx="0">
                  <c:v>1.2629602240000002</c:v>
                </c:pt>
                <c:pt idx="1">
                  <c:v>1.437930825</c:v>
                </c:pt>
                <c:pt idx="2">
                  <c:v>1.582926166</c:v>
                </c:pt>
                <c:pt idx="3">
                  <c:v>1.7059276440000002</c:v>
                </c:pt>
                <c:pt idx="4">
                  <c:v>1.80593783</c:v>
                </c:pt>
                <c:pt idx="5">
                  <c:v>1.8909636010000002</c:v>
                </c:pt>
                <c:pt idx="6">
                  <c:v>1.959976825</c:v>
                </c:pt>
                <c:pt idx="7">
                  <c:v>2.0179921420000002</c:v>
                </c:pt>
                <c:pt idx="8">
                  <c:v>2.0679774900000001</c:v>
                </c:pt>
                <c:pt idx="9">
                  <c:v>2.1110286600000001</c:v>
                </c:pt>
                <c:pt idx="10">
                  <c:v>2.1470911999999998</c:v>
                </c:pt>
                <c:pt idx="11">
                  <c:v>2.178230814</c:v>
                </c:pt>
                <c:pt idx="12">
                  <c:v>2.20406295</c:v>
                </c:pt>
                <c:pt idx="13">
                  <c:v>2.2251823760000002</c:v>
                </c:pt>
                <c:pt idx="14">
                  <c:v>2.2425970799999999</c:v>
                </c:pt>
                <c:pt idx="15">
                  <c:v>2.2568712660000001</c:v>
                </c:pt>
                <c:pt idx="16">
                  <c:v>2.2682461190000001</c:v>
                </c:pt>
                <c:pt idx="17">
                  <c:v>2.2779721099999999</c:v>
                </c:pt>
                <c:pt idx="18">
                  <c:v>2.285419101</c:v>
                </c:pt>
                <c:pt idx="19">
                  <c:v>2.2912846259999999</c:v>
                </c:pt>
                <c:pt idx="20">
                  <c:v>2.2958488960000003</c:v>
                </c:pt>
                <c:pt idx="21">
                  <c:v>2.2991290599999998</c:v>
                </c:pt>
                <c:pt idx="22">
                  <c:v>2.3018724390000003</c:v>
                </c:pt>
                <c:pt idx="23">
                  <c:v>2.303686006</c:v>
                </c:pt>
                <c:pt idx="24">
                  <c:v>2.3049177370000002</c:v>
                </c:pt>
                <c:pt idx="25">
                  <c:v>2.3057596550000001</c:v>
                </c:pt>
                <c:pt idx="26">
                  <c:v>2.3063465519999999</c:v>
                </c:pt>
                <c:pt idx="27">
                  <c:v>2.306651886</c:v>
                </c:pt>
              </c:numCache>
            </c:numRef>
          </c:val>
          <c:smooth val="0"/>
        </c:ser>
        <c:ser>
          <c:idx val="4"/>
          <c:order val="3"/>
          <c:tx>
            <c:strRef>
              <c:f>UsdChart!$AJ$4</c:f>
              <c:strCache>
                <c:ptCount val="1"/>
                <c:pt idx="0">
                  <c:v>Usd6M</c:v>
                </c:pt>
              </c:strCache>
            </c:strRef>
          </c:tx>
          <c:marker>
            <c:symbol val="none"/>
          </c:marker>
          <c:cat>
            <c:strRef>
              <c:f>UsdChart!$V$18:$V$45</c:f>
              <c:strCache>
                <c:ptCount val="28"/>
                <c:pt idx="0">
                  <c:v>3Y</c:v>
                </c:pt>
                <c:pt idx="1">
                  <c:v>4Y</c:v>
                </c:pt>
                <c:pt idx="2">
                  <c:v>5Y</c:v>
                </c:pt>
                <c:pt idx="3">
                  <c:v>6Y</c:v>
                </c:pt>
                <c:pt idx="4">
                  <c:v>7Y</c:v>
                </c:pt>
                <c:pt idx="5">
                  <c:v>8Y</c:v>
                </c:pt>
                <c:pt idx="6">
                  <c:v>9Y</c:v>
                </c:pt>
                <c:pt idx="7">
                  <c:v>10Y</c:v>
                </c:pt>
                <c:pt idx="8">
                  <c:v>11Y</c:v>
                </c:pt>
                <c:pt idx="9">
                  <c:v>12Y</c:v>
                </c:pt>
                <c:pt idx="10">
                  <c:v>13Y</c:v>
                </c:pt>
                <c:pt idx="11">
                  <c:v>14Y</c:v>
                </c:pt>
                <c:pt idx="12">
                  <c:v>15Y</c:v>
                </c:pt>
                <c:pt idx="13">
                  <c:v>16Y</c:v>
                </c:pt>
                <c:pt idx="14">
                  <c:v>17Y</c:v>
                </c:pt>
                <c:pt idx="15">
                  <c:v>18Y</c:v>
                </c:pt>
                <c:pt idx="16">
                  <c:v>19Y</c:v>
                </c:pt>
                <c:pt idx="17">
                  <c:v>20Y</c:v>
                </c:pt>
                <c:pt idx="18">
                  <c:v>21Y</c:v>
                </c:pt>
                <c:pt idx="19">
                  <c:v>22Y</c:v>
                </c:pt>
                <c:pt idx="20">
                  <c:v>23Y</c:v>
                </c:pt>
                <c:pt idx="21">
                  <c:v>24Y</c:v>
                </c:pt>
                <c:pt idx="22">
                  <c:v>25Y</c:v>
                </c:pt>
                <c:pt idx="23">
                  <c:v>26Y</c:v>
                </c:pt>
                <c:pt idx="24">
                  <c:v>27Y</c:v>
                </c:pt>
                <c:pt idx="25">
                  <c:v>28Y</c:v>
                </c:pt>
                <c:pt idx="26">
                  <c:v>29Y</c:v>
                </c:pt>
                <c:pt idx="27">
                  <c:v>30Y</c:v>
                </c:pt>
              </c:strCache>
            </c:strRef>
          </c:cat>
          <c:val>
            <c:numRef>
              <c:f>UsdChart!$AJ$18:$AJ$45</c:f>
              <c:numCache>
                <c:formatCode>0.000</c:formatCode>
                <c:ptCount val="28"/>
                <c:pt idx="0">
                  <c:v>1.6930762450000001</c:v>
                </c:pt>
                <c:pt idx="1">
                  <c:v>1.8341262140000001</c:v>
                </c:pt>
                <c:pt idx="2">
                  <c:v>1.9501456970000002</c:v>
                </c:pt>
                <c:pt idx="3">
                  <c:v>2.052168274</c:v>
                </c:pt>
                <c:pt idx="4">
                  <c:v>2.1361871090000002</c:v>
                </c:pt>
                <c:pt idx="5">
                  <c:v>2.2072049920000003</c:v>
                </c:pt>
                <c:pt idx="6">
                  <c:v>2.266219403</c:v>
                </c:pt>
                <c:pt idx="7">
                  <c:v>2.3162302660000003</c:v>
                </c:pt>
                <c:pt idx="8">
                  <c:v>2.3592859170000002</c:v>
                </c:pt>
                <c:pt idx="9">
                  <c:v>2.3962530010000003</c:v>
                </c:pt>
                <c:pt idx="10">
                  <c:v>2.4270254440000003</c:v>
                </c:pt>
                <c:pt idx="11">
                  <c:v>2.4541139570000001</c:v>
                </c:pt>
                <c:pt idx="12">
                  <c:v>2.477272481</c:v>
                </c:pt>
                <c:pt idx="13">
                  <c:v>2.4972618300000002</c:v>
                </c:pt>
                <c:pt idx="14">
                  <c:v>2.51468055</c:v>
                </c:pt>
                <c:pt idx="15">
                  <c:v>2.5296913760000002</c:v>
                </c:pt>
                <c:pt idx="16">
                  <c:v>2.542189751</c:v>
                </c:pt>
                <c:pt idx="17">
                  <c:v>2.5532863020000001</c:v>
                </c:pt>
                <c:pt idx="18">
                  <c:v>2.562055473</c:v>
                </c:pt>
                <c:pt idx="19">
                  <c:v>2.5692007110000001</c:v>
                </c:pt>
                <c:pt idx="20">
                  <c:v>2.5749941299999999</c:v>
                </c:pt>
                <c:pt idx="21">
                  <c:v>2.5794188670000002</c:v>
                </c:pt>
                <c:pt idx="22">
                  <c:v>2.5832782949999999</c:v>
                </c:pt>
                <c:pt idx="23">
                  <c:v>2.5861105390000003</c:v>
                </c:pt>
                <c:pt idx="24">
                  <c:v>2.5882594650000001</c:v>
                </c:pt>
                <c:pt idx="25">
                  <c:v>2.5899188319999999</c:v>
                </c:pt>
                <c:pt idx="26">
                  <c:v>2.5912112070000002</c:v>
                </c:pt>
                <c:pt idx="27">
                  <c:v>2.5920845080000001</c:v>
                </c:pt>
              </c:numCache>
            </c:numRef>
          </c:val>
          <c:smooth val="0"/>
        </c:ser>
        <c:ser>
          <c:idx val="0"/>
          <c:order val="4"/>
          <c:tx>
            <c:strRef>
              <c:f>UsdChart!$AK$4</c:f>
              <c:strCache>
                <c:ptCount val="1"/>
                <c:pt idx="0">
                  <c:v>UsdOIS</c:v>
                </c:pt>
              </c:strCache>
            </c:strRef>
          </c:tx>
          <c:spPr>
            <a:ln>
              <a:solidFill>
                <a:schemeClr val="accent6"/>
              </a:solidFill>
            </a:ln>
          </c:spPr>
          <c:marker>
            <c:symbol val="none"/>
          </c:marker>
          <c:cat>
            <c:strRef>
              <c:f>UsdChart!$V$18:$V$45</c:f>
              <c:strCache>
                <c:ptCount val="28"/>
                <c:pt idx="0">
                  <c:v>3Y</c:v>
                </c:pt>
                <c:pt idx="1">
                  <c:v>4Y</c:v>
                </c:pt>
                <c:pt idx="2">
                  <c:v>5Y</c:v>
                </c:pt>
                <c:pt idx="3">
                  <c:v>6Y</c:v>
                </c:pt>
                <c:pt idx="4">
                  <c:v>7Y</c:v>
                </c:pt>
                <c:pt idx="5">
                  <c:v>8Y</c:v>
                </c:pt>
                <c:pt idx="6">
                  <c:v>9Y</c:v>
                </c:pt>
                <c:pt idx="7">
                  <c:v>10Y</c:v>
                </c:pt>
                <c:pt idx="8">
                  <c:v>11Y</c:v>
                </c:pt>
                <c:pt idx="9">
                  <c:v>12Y</c:v>
                </c:pt>
                <c:pt idx="10">
                  <c:v>13Y</c:v>
                </c:pt>
                <c:pt idx="11">
                  <c:v>14Y</c:v>
                </c:pt>
                <c:pt idx="12">
                  <c:v>15Y</c:v>
                </c:pt>
                <c:pt idx="13">
                  <c:v>16Y</c:v>
                </c:pt>
                <c:pt idx="14">
                  <c:v>17Y</c:v>
                </c:pt>
                <c:pt idx="15">
                  <c:v>18Y</c:v>
                </c:pt>
                <c:pt idx="16">
                  <c:v>19Y</c:v>
                </c:pt>
                <c:pt idx="17">
                  <c:v>20Y</c:v>
                </c:pt>
                <c:pt idx="18">
                  <c:v>21Y</c:v>
                </c:pt>
                <c:pt idx="19">
                  <c:v>22Y</c:v>
                </c:pt>
                <c:pt idx="20">
                  <c:v>23Y</c:v>
                </c:pt>
                <c:pt idx="21">
                  <c:v>24Y</c:v>
                </c:pt>
                <c:pt idx="22">
                  <c:v>25Y</c:v>
                </c:pt>
                <c:pt idx="23">
                  <c:v>26Y</c:v>
                </c:pt>
                <c:pt idx="24">
                  <c:v>27Y</c:v>
                </c:pt>
                <c:pt idx="25">
                  <c:v>28Y</c:v>
                </c:pt>
                <c:pt idx="26">
                  <c:v>29Y</c:v>
                </c:pt>
                <c:pt idx="27">
                  <c:v>30Y</c:v>
                </c:pt>
              </c:strCache>
            </c:strRef>
          </c:cat>
          <c:val>
            <c:numRef>
              <c:f>UsdChart!$AK$18:$AK$45</c:f>
              <c:numCache>
                <c:formatCode>0.000</c:formatCode>
                <c:ptCount val="28"/>
                <c:pt idx="0">
                  <c:v>1.113</c:v>
                </c:pt>
                <c:pt idx="1">
                  <c:v>1.2710000000000001</c:v>
                </c:pt>
                <c:pt idx="2">
                  <c:v>1.4020000000000001</c:v>
                </c:pt>
                <c:pt idx="3">
                  <c:v>1.514</c:v>
                </c:pt>
                <c:pt idx="4">
                  <c:v>1.605</c:v>
                </c:pt>
                <c:pt idx="5">
                  <c:v>1.68</c:v>
                </c:pt>
                <c:pt idx="6">
                  <c:v>1.7430000000000001</c:v>
                </c:pt>
                <c:pt idx="7">
                  <c:v>1.794</c:v>
                </c:pt>
                <c:pt idx="8">
                  <c:v>#N/A</c:v>
                </c:pt>
                <c:pt idx="9">
                  <c:v>1.877</c:v>
                </c:pt>
                <c:pt idx="10">
                  <c:v>#N/A</c:v>
                </c:pt>
                <c:pt idx="11">
                  <c:v>#N/A</c:v>
                </c:pt>
                <c:pt idx="12">
                  <c:v>1.9590000000000001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2.036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2.0659999999999998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2.0750000000000002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0414336"/>
        <c:axId val="670415872"/>
      </c:lineChart>
      <c:catAx>
        <c:axId val="670414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670415872"/>
        <c:crosses val="autoZero"/>
        <c:auto val="1"/>
        <c:lblAlgn val="ctr"/>
        <c:lblOffset val="100"/>
        <c:noMultiLvlLbl val="0"/>
      </c:catAx>
      <c:valAx>
        <c:axId val="670415872"/>
        <c:scaling>
          <c:orientation val="minMax"/>
        </c:scaling>
        <c:delete val="0"/>
        <c:axPos val="l"/>
        <c:majorGridlines/>
        <c:numFmt formatCode="0.000" sourceLinked="1"/>
        <c:majorTickMark val="out"/>
        <c:minorTickMark val="none"/>
        <c:tickLblPos val="nextTo"/>
        <c:crossAx val="670414336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6" Type="http://schemas.openxmlformats.org/officeDocument/2006/relationships/chart" Target="../charts/chart12.xml"/><Relationship Id="rId5" Type="http://schemas.openxmlformats.org/officeDocument/2006/relationships/chart" Target="../charts/chart11.xml"/><Relationship Id="rId4" Type="http://schemas.openxmlformats.org/officeDocument/2006/relationships/chart" Target="../charts/chart10.xml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4</xdr:row>
          <xdr:rowOff>152400</xdr:rowOff>
        </xdr:from>
        <xdr:to>
          <xdr:col>5</xdr:col>
          <xdr:colOff>9525</xdr:colOff>
          <xdr:row>6</xdr:row>
          <xdr:rowOff>28575</xdr:rowOff>
        </xdr:to>
        <xdr:sp macro="" textlink="">
          <xdr:nvSpPr>
            <xdr:cNvPr id="12290" name="TakeSnapshot" hidden="1">
              <a:extLst>
                <a:ext uri="{63B3BB69-23CF-44E3-9099-C40C66FF867C}">
                  <a14:compatExt spid="_x0000_s122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Take RT Data Snapshot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7</xdr:row>
          <xdr:rowOff>9525</xdr:rowOff>
        </xdr:from>
        <xdr:to>
          <xdr:col>5</xdr:col>
          <xdr:colOff>9525</xdr:colOff>
          <xdr:row>8</xdr:row>
          <xdr:rowOff>28575</xdr:rowOff>
        </xdr:to>
        <xdr:sp macro="" textlink="">
          <xdr:nvSpPr>
            <xdr:cNvPr id="12292" name="Button 4" hidden="1">
              <a:extLst>
                <a:ext uri="{63B3BB69-23CF-44E3-9099-C40C66FF867C}">
                  <a14:compatExt spid="_x0000_s122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Refresh Reuters functions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11</xdr:row>
          <xdr:rowOff>0</xdr:rowOff>
        </xdr:from>
        <xdr:to>
          <xdr:col>0</xdr:col>
          <xdr:colOff>714375</xdr:colOff>
          <xdr:row>14</xdr:row>
          <xdr:rowOff>19050</xdr:rowOff>
        </xdr:to>
        <xdr:sp macro="" textlink="">
          <xdr:nvSpPr>
            <xdr:cNvPr id="21505" name="Button 1" hidden="1">
              <a:extLst>
                <a:ext uri="{63B3BB69-23CF-44E3-9099-C40C66FF867C}">
                  <a14:compatExt spid="_x0000_s215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Futures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88</xdr:row>
          <xdr:rowOff>0</xdr:rowOff>
        </xdr:from>
        <xdr:to>
          <xdr:col>0</xdr:col>
          <xdr:colOff>704850</xdr:colOff>
          <xdr:row>88</xdr:row>
          <xdr:rowOff>180975</xdr:rowOff>
        </xdr:to>
        <xdr:sp macro="" textlink="">
          <xdr:nvSpPr>
            <xdr:cNvPr id="21506" name="Button 2" hidden="1">
              <a:extLst>
                <a:ext uri="{63B3BB69-23CF-44E3-9099-C40C66FF867C}">
                  <a14:compatExt spid="_x0000_s215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Home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36</xdr:col>
          <xdr:colOff>19050</xdr:colOff>
          <xdr:row>9</xdr:row>
          <xdr:rowOff>9525</xdr:rowOff>
        </xdr:from>
        <xdr:to>
          <xdr:col>36</xdr:col>
          <xdr:colOff>704850</xdr:colOff>
          <xdr:row>10</xdr:row>
          <xdr:rowOff>0</xdr:rowOff>
        </xdr:to>
        <xdr:sp macro="" textlink="">
          <xdr:nvSpPr>
            <xdr:cNvPr id="21507" name="Button 3" hidden="1">
              <a:extLst>
                <a:ext uri="{63B3BB69-23CF-44E3-9099-C40C66FF867C}">
                  <a14:compatExt spid="_x0000_s215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Home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11</xdr:row>
          <xdr:rowOff>0</xdr:rowOff>
        </xdr:from>
        <xdr:to>
          <xdr:col>3</xdr:col>
          <xdr:colOff>704850</xdr:colOff>
          <xdr:row>14</xdr:row>
          <xdr:rowOff>19050</xdr:rowOff>
        </xdr:to>
        <xdr:sp macro="" textlink="">
          <xdr:nvSpPr>
            <xdr:cNvPr id="21509" name="Button 5" hidden="1">
              <a:extLst>
                <a:ext uri="{63B3BB69-23CF-44E3-9099-C40C66FF867C}">
                  <a14:compatExt spid="_x0000_s215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1M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11</xdr:row>
          <xdr:rowOff>0</xdr:rowOff>
        </xdr:from>
        <xdr:to>
          <xdr:col>1</xdr:col>
          <xdr:colOff>0</xdr:colOff>
          <xdr:row>14</xdr:row>
          <xdr:rowOff>19050</xdr:rowOff>
        </xdr:to>
        <xdr:sp macro="" textlink="">
          <xdr:nvSpPr>
            <xdr:cNvPr id="25601" name="Button 1" hidden="1">
              <a:extLst>
                <a:ext uri="{63B3BB69-23CF-44E3-9099-C40C66FF867C}">
                  <a14:compatExt spid="_x0000_s256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Futures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90</xdr:row>
          <xdr:rowOff>9525</xdr:rowOff>
        </xdr:from>
        <xdr:to>
          <xdr:col>0</xdr:col>
          <xdr:colOff>704850</xdr:colOff>
          <xdr:row>91</xdr:row>
          <xdr:rowOff>0</xdr:rowOff>
        </xdr:to>
        <xdr:sp macro="" textlink="">
          <xdr:nvSpPr>
            <xdr:cNvPr id="25602" name="Button 2" hidden="1">
              <a:extLst>
                <a:ext uri="{63B3BB69-23CF-44E3-9099-C40C66FF867C}">
                  <a14:compatExt spid="_x0000_s256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Home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19050</xdr:colOff>
          <xdr:row>9</xdr:row>
          <xdr:rowOff>9525</xdr:rowOff>
        </xdr:from>
        <xdr:to>
          <xdr:col>27</xdr:col>
          <xdr:colOff>704850</xdr:colOff>
          <xdr:row>10</xdr:row>
          <xdr:rowOff>0</xdr:rowOff>
        </xdr:to>
        <xdr:sp macro="" textlink="">
          <xdr:nvSpPr>
            <xdr:cNvPr id="25603" name="Button 3" hidden="1">
              <a:extLst>
                <a:ext uri="{63B3BB69-23CF-44E3-9099-C40C66FF867C}">
                  <a14:compatExt spid="_x0000_s256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Home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11</xdr:row>
          <xdr:rowOff>0</xdr:rowOff>
        </xdr:from>
        <xdr:to>
          <xdr:col>3</xdr:col>
          <xdr:colOff>704850</xdr:colOff>
          <xdr:row>14</xdr:row>
          <xdr:rowOff>19050</xdr:rowOff>
        </xdr:to>
        <xdr:sp macro="" textlink="">
          <xdr:nvSpPr>
            <xdr:cNvPr id="25604" name="Button 4" hidden="1">
              <a:extLst>
                <a:ext uri="{63B3BB69-23CF-44E3-9099-C40C66FF867C}">
                  <a14:compatExt spid="_x0000_s256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1M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28576</xdr:colOff>
      <xdr:row>12</xdr:row>
      <xdr:rowOff>106679</xdr:rowOff>
    </xdr:from>
    <xdr:to>
      <xdr:col>2</xdr:col>
      <xdr:colOff>685801</xdr:colOff>
      <xdr:row>15</xdr:row>
      <xdr:rowOff>9525</xdr:rowOff>
    </xdr:to>
    <xdr:sp macro="[0]!Rectangle3_Clic" textlink="">
      <xdr:nvSpPr>
        <xdr:cNvPr id="8195" name="Rectangle 3"/>
        <xdr:cNvSpPr>
          <a:spLocks noChangeArrowheads="1"/>
        </xdr:cNvSpPr>
      </xdr:nvSpPr>
      <xdr:spPr bwMode="auto">
        <a:xfrm flipV="1">
          <a:off x="28576" y="735329"/>
          <a:ext cx="1485900" cy="388621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99CCFF" mc:Ignorable="a14" a14:legacySpreadsheetColorIndex="44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107763" dir="18900000" algn="ctr" rotWithShape="0">
                  <a:srgbClr val="808080">
                    <a:alpha val="50000"/>
                  </a:srgbClr>
                </a:outerShdw>
              </a:effectLst>
            </a14:hiddenEffects>
          </a:ext>
        </a:extLst>
      </xdr:spPr>
      <xdr:txBody>
        <a:bodyPr vertOverflow="clip" wrap="square" lIns="27432" tIns="22860" rIns="0" bIns="0" anchor="ctr" upright="1"/>
        <a:lstStyle/>
        <a:p>
          <a:pPr algn="ctr" rtl="0">
            <a:defRPr sz="1000"/>
          </a:pPr>
          <a:r>
            <a:rPr lang="en-US" sz="1050" b="0" i="0" u="none" strike="noStrike" baseline="0">
              <a:solidFill>
                <a:srgbClr val="000000"/>
              </a:solidFill>
              <a:latin typeface="Arial"/>
              <a:cs typeface="Arial"/>
            </a:rPr>
            <a:t>IMPORTA CURVE REFERENCE</a:t>
          </a:r>
          <a:endParaRPr lang="en-US" sz="105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130</xdr:col>
          <xdr:colOff>600075</xdr:colOff>
          <xdr:row>11</xdr:row>
          <xdr:rowOff>9525</xdr:rowOff>
        </xdr:from>
        <xdr:to>
          <xdr:col>131</xdr:col>
          <xdr:colOff>238125</xdr:colOff>
          <xdr:row>12</xdr:row>
          <xdr:rowOff>19050</xdr:rowOff>
        </xdr:to>
        <xdr:sp macro="" textlink="">
          <xdr:nvSpPr>
            <xdr:cNvPr id="22534" name="CSVDir_set" hidden="1">
              <a:extLst>
                <a:ext uri="{63B3BB69-23CF-44E3-9099-C40C66FF867C}">
                  <a14:compatExt spid="_x0000_s225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130</xdr:col>
          <xdr:colOff>600075</xdr:colOff>
          <xdr:row>12</xdr:row>
          <xdr:rowOff>38100</xdr:rowOff>
        </xdr:from>
        <xdr:to>
          <xdr:col>131</xdr:col>
          <xdr:colOff>238125</xdr:colOff>
          <xdr:row>13</xdr:row>
          <xdr:rowOff>28575</xdr:rowOff>
        </xdr:to>
        <xdr:sp macro="" textlink="">
          <xdr:nvSpPr>
            <xdr:cNvPr id="22535" name="CSVName_Set" hidden="1">
              <a:extLst>
                <a:ext uri="{63B3BB69-23CF-44E3-9099-C40C66FF867C}">
                  <a14:compatExt spid="_x0000_s225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323850</xdr:colOff>
      <xdr:row>1</xdr:row>
      <xdr:rowOff>47625</xdr:rowOff>
    </xdr:from>
    <xdr:to>
      <xdr:col>8</xdr:col>
      <xdr:colOff>19050</xdr:colOff>
      <xdr:row>18</xdr:row>
      <xdr:rowOff>38100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19050</xdr:colOff>
      <xdr:row>1</xdr:row>
      <xdr:rowOff>47625</xdr:rowOff>
    </xdr:from>
    <xdr:to>
      <xdr:col>15</xdr:col>
      <xdr:colOff>323850</xdr:colOff>
      <xdr:row>18</xdr:row>
      <xdr:rowOff>38100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323850</xdr:colOff>
      <xdr:row>35</xdr:row>
      <xdr:rowOff>31750</xdr:rowOff>
    </xdr:from>
    <xdr:to>
      <xdr:col>8</xdr:col>
      <xdr:colOff>19050</xdr:colOff>
      <xdr:row>52</xdr:row>
      <xdr:rowOff>22225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19050</xdr:colOff>
      <xdr:row>18</xdr:row>
      <xdr:rowOff>38100</xdr:rowOff>
    </xdr:from>
    <xdr:to>
      <xdr:col>15</xdr:col>
      <xdr:colOff>323850</xdr:colOff>
      <xdr:row>35</xdr:row>
      <xdr:rowOff>28575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320675</xdr:colOff>
      <xdr:row>18</xdr:row>
      <xdr:rowOff>41275</xdr:rowOff>
    </xdr:from>
    <xdr:to>
      <xdr:col>8</xdr:col>
      <xdr:colOff>15875</xdr:colOff>
      <xdr:row>35</xdr:row>
      <xdr:rowOff>31750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</xdr:col>
      <xdr:colOff>15875</xdr:colOff>
      <xdr:row>35</xdr:row>
      <xdr:rowOff>28575</xdr:rowOff>
    </xdr:from>
    <xdr:to>
      <xdr:col>15</xdr:col>
      <xdr:colOff>320675</xdr:colOff>
      <xdr:row>52</xdr:row>
      <xdr:rowOff>19050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323850</xdr:colOff>
      <xdr:row>1</xdr:row>
      <xdr:rowOff>47625</xdr:rowOff>
    </xdr:from>
    <xdr:to>
      <xdr:col>8</xdr:col>
      <xdr:colOff>19050</xdr:colOff>
      <xdr:row>18</xdr:row>
      <xdr:rowOff>38100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19050</xdr:colOff>
      <xdr:row>1</xdr:row>
      <xdr:rowOff>47625</xdr:rowOff>
    </xdr:from>
    <xdr:to>
      <xdr:col>15</xdr:col>
      <xdr:colOff>323850</xdr:colOff>
      <xdr:row>18</xdr:row>
      <xdr:rowOff>38100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317500</xdr:colOff>
      <xdr:row>35</xdr:row>
      <xdr:rowOff>25400</xdr:rowOff>
    </xdr:from>
    <xdr:to>
      <xdr:col>8</xdr:col>
      <xdr:colOff>12700</xdr:colOff>
      <xdr:row>52</xdr:row>
      <xdr:rowOff>15875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20320</xdr:colOff>
      <xdr:row>18</xdr:row>
      <xdr:rowOff>38100</xdr:rowOff>
    </xdr:from>
    <xdr:to>
      <xdr:col>15</xdr:col>
      <xdr:colOff>325120</xdr:colOff>
      <xdr:row>35</xdr:row>
      <xdr:rowOff>28575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320675</xdr:colOff>
      <xdr:row>18</xdr:row>
      <xdr:rowOff>36195</xdr:rowOff>
    </xdr:from>
    <xdr:to>
      <xdr:col>8</xdr:col>
      <xdr:colOff>15875</xdr:colOff>
      <xdr:row>35</xdr:row>
      <xdr:rowOff>26670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</xdr:col>
      <xdr:colOff>20320</xdr:colOff>
      <xdr:row>35</xdr:row>
      <xdr:rowOff>29845</xdr:rowOff>
    </xdr:from>
    <xdr:to>
      <xdr:col>15</xdr:col>
      <xdr:colOff>325120</xdr:colOff>
      <xdr:row>52</xdr:row>
      <xdr:rowOff>20320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xgui.ux.imilan.it\excel_file\EUR6M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xgui.ux.imilan.it\excel_file\EUR3M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xgui.ux.imilan.it\excel_file\EUR1Y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xgui.ux.imilan.it\excel_file\EURStd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xgui.ux.imilan.it\excel_file\EUR-OIS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xgui.ux.imilan.it\excel_file\EURFIX1RM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xgui.ux.imilan.it\excel_file\USDStd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xgui.ux.imilan.it\excel_file\USD12M.xls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xgui.ux.imilan.it\excel_file\USD1M.xls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xgui.ux.imilan.it\excel_file\USD3M.xls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xgui.ux.imilan.it\excel_file\USD6M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UR6M"/>
    </sheetNames>
    <sheetDataSet>
      <sheetData sheetId="0">
        <row r="2">
          <cell r="B2" t="str">
            <v>30/09/13</v>
          </cell>
          <cell r="C2" t="str">
            <v>CASH CURVES</v>
          </cell>
          <cell r="D2">
            <v>41284</v>
          </cell>
          <cell r="E2" t="str">
            <v>O/N</v>
          </cell>
          <cell r="F2">
            <v>0</v>
          </cell>
          <cell r="G2">
            <v>0</v>
          </cell>
          <cell r="H2">
            <v>0.25</v>
          </cell>
        </row>
        <row r="3">
          <cell r="B3">
            <v>41284</v>
          </cell>
          <cell r="C3" t="str">
            <v>CASH CURVES</v>
          </cell>
          <cell r="D3">
            <v>41315</v>
          </cell>
          <cell r="E3" t="str">
            <v>T/N</v>
          </cell>
          <cell r="F3">
            <v>0</v>
          </cell>
          <cell r="G3">
            <v>0</v>
          </cell>
          <cell r="H3">
            <v>0.1</v>
          </cell>
        </row>
        <row r="4">
          <cell r="B4">
            <v>41315</v>
          </cell>
          <cell r="C4" t="str">
            <v>OIS 6M CURVES</v>
          </cell>
          <cell r="D4">
            <v>41343</v>
          </cell>
          <cell r="E4" t="str">
            <v>S/N</v>
          </cell>
          <cell r="F4">
            <v>0</v>
          </cell>
          <cell r="G4">
            <v>0</v>
          </cell>
          <cell r="H4">
            <v>0.81340000000000001</v>
          </cell>
        </row>
        <row r="5">
          <cell r="B5">
            <v>41315</v>
          </cell>
          <cell r="C5" t="str">
            <v>OIS 6M CURVES</v>
          </cell>
          <cell r="D5">
            <v>41527</v>
          </cell>
          <cell r="E5" t="str">
            <v>1W</v>
          </cell>
          <cell r="F5">
            <v>0</v>
          </cell>
          <cell r="G5">
            <v>0</v>
          </cell>
          <cell r="H5">
            <v>0.31719999999999998</v>
          </cell>
        </row>
        <row r="6">
          <cell r="B6">
            <v>41315</v>
          </cell>
          <cell r="C6" t="str">
            <v>OIS 6M CURVES</v>
          </cell>
          <cell r="D6" t="str">
            <v>16/10/13</v>
          </cell>
          <cell r="E6" t="str">
            <v>2W</v>
          </cell>
          <cell r="F6">
            <v>0</v>
          </cell>
          <cell r="G6">
            <v>0</v>
          </cell>
          <cell r="H6">
            <v>0.27900000000000003</v>
          </cell>
        </row>
        <row r="7">
          <cell r="B7">
            <v>41315</v>
          </cell>
          <cell r="C7" t="str">
            <v>OIS 6M CURVES</v>
          </cell>
          <cell r="D7" t="str">
            <v>23/10/13</v>
          </cell>
          <cell r="E7" t="str">
            <v>3W</v>
          </cell>
          <cell r="F7">
            <v>0</v>
          </cell>
          <cell r="G7">
            <v>0</v>
          </cell>
          <cell r="H7">
            <v>0.27350000000000002</v>
          </cell>
        </row>
        <row r="8">
          <cell r="B8">
            <v>41315</v>
          </cell>
          <cell r="C8" t="str">
            <v>OIS 6M CURVES</v>
          </cell>
          <cell r="D8">
            <v>41375</v>
          </cell>
          <cell r="E8" t="str">
            <v>1M</v>
          </cell>
          <cell r="F8">
            <v>0</v>
          </cell>
          <cell r="G8">
            <v>0</v>
          </cell>
          <cell r="H8">
            <v>0.26469999999999999</v>
          </cell>
        </row>
        <row r="9">
          <cell r="B9">
            <v>41315</v>
          </cell>
          <cell r="C9" t="str">
            <v>OIS 6M CURVES</v>
          </cell>
          <cell r="D9">
            <v>41317</v>
          </cell>
          <cell r="E9" t="str">
            <v>2M</v>
          </cell>
          <cell r="F9">
            <v>0</v>
          </cell>
          <cell r="G9">
            <v>0</v>
          </cell>
          <cell r="H9">
            <v>0.26979999999999998</v>
          </cell>
        </row>
        <row r="10">
          <cell r="B10">
            <v>41315</v>
          </cell>
          <cell r="C10" t="str">
            <v>OIS 6M CURVES</v>
          </cell>
          <cell r="D10">
            <v>41671</v>
          </cell>
          <cell r="E10" t="str">
            <v>3M</v>
          </cell>
          <cell r="F10">
            <v>0</v>
          </cell>
          <cell r="G10">
            <v>0</v>
          </cell>
          <cell r="H10">
            <v>0.28970000000000001</v>
          </cell>
        </row>
        <row r="11">
          <cell r="B11">
            <v>41315</v>
          </cell>
          <cell r="C11" t="str">
            <v>OIS 6M CURVES</v>
          </cell>
          <cell r="D11">
            <v>41700</v>
          </cell>
          <cell r="E11" t="str">
            <v>4M</v>
          </cell>
          <cell r="F11">
            <v>0</v>
          </cell>
          <cell r="G11">
            <v>0</v>
          </cell>
          <cell r="H11">
            <v>0.30969999999999998</v>
          </cell>
        </row>
        <row r="12">
          <cell r="B12">
            <v>41315</v>
          </cell>
          <cell r="C12" t="str">
            <v>OIS 6M CURVES</v>
          </cell>
          <cell r="D12">
            <v>41701</v>
          </cell>
          <cell r="E12" t="str">
            <v>5M</v>
          </cell>
          <cell r="F12">
            <v>0</v>
          </cell>
          <cell r="G12">
            <v>0</v>
          </cell>
          <cell r="H12">
            <v>0.3256</v>
          </cell>
        </row>
        <row r="13">
          <cell r="B13">
            <v>41315</v>
          </cell>
          <cell r="C13" t="str">
            <v>OIS 6M CURVES</v>
          </cell>
          <cell r="D13">
            <v>41674</v>
          </cell>
          <cell r="E13" t="str">
            <v>6M</v>
          </cell>
          <cell r="F13">
            <v>0</v>
          </cell>
          <cell r="G13">
            <v>0</v>
          </cell>
          <cell r="H13">
            <v>0.33929999999999999</v>
          </cell>
        </row>
        <row r="14">
          <cell r="B14">
            <v>41315</v>
          </cell>
          <cell r="C14" t="str">
            <v>OIS 6M CURVES</v>
          </cell>
          <cell r="D14">
            <v>41675</v>
          </cell>
          <cell r="E14" t="str">
            <v>7M</v>
          </cell>
          <cell r="F14">
            <v>0</v>
          </cell>
          <cell r="G14">
            <v>0</v>
          </cell>
          <cell r="H14">
            <v>0.34939999999999999</v>
          </cell>
        </row>
        <row r="15">
          <cell r="B15">
            <v>41315</v>
          </cell>
          <cell r="C15" t="str">
            <v>OIS 6M CURVES</v>
          </cell>
          <cell r="D15">
            <v>41676</v>
          </cell>
          <cell r="E15" t="str">
            <v>8M</v>
          </cell>
          <cell r="F15">
            <v>0</v>
          </cell>
          <cell r="G15">
            <v>0</v>
          </cell>
          <cell r="H15">
            <v>0.36070000000000002</v>
          </cell>
        </row>
        <row r="16">
          <cell r="B16">
            <v>41315</v>
          </cell>
          <cell r="C16" t="str">
            <v>STUB 6M CURVES</v>
          </cell>
          <cell r="D16" t="str">
            <v>18/06/14</v>
          </cell>
          <cell r="E16" t="str">
            <v>#20140618</v>
          </cell>
          <cell r="F16">
            <v>0</v>
          </cell>
          <cell r="G16">
            <v>0</v>
          </cell>
          <cell r="H16">
            <v>0.36659999999999998</v>
          </cell>
        </row>
        <row r="17">
          <cell r="B17" t="str">
            <v>18/06/14</v>
          </cell>
          <cell r="C17" t="str">
            <v>LIFEURCURVES6M</v>
          </cell>
          <cell r="D17" t="str">
            <v>18/09/14</v>
          </cell>
          <cell r="E17">
            <v>41439</v>
          </cell>
          <cell r="F17">
            <v>0</v>
          </cell>
          <cell r="G17">
            <v>0</v>
          </cell>
          <cell r="H17">
            <v>99.492249999999999</v>
          </cell>
        </row>
        <row r="18">
          <cell r="B18" t="str">
            <v>17/09/14</v>
          </cell>
          <cell r="C18" t="str">
            <v>LIFEURCURVES6M</v>
          </cell>
          <cell r="D18" t="str">
            <v>17/12/14</v>
          </cell>
          <cell r="E18">
            <v>41531</v>
          </cell>
          <cell r="F18">
            <v>0</v>
          </cell>
          <cell r="G18">
            <v>0</v>
          </cell>
          <cell r="H18">
            <v>99.447699999999998</v>
          </cell>
        </row>
        <row r="19">
          <cell r="B19" t="str">
            <v>17/12/14</v>
          </cell>
          <cell r="C19" t="str">
            <v>LIFEURCURVES6M</v>
          </cell>
          <cell r="D19" t="str">
            <v>17/03/15</v>
          </cell>
          <cell r="E19">
            <v>41622</v>
          </cell>
          <cell r="F19">
            <v>0</v>
          </cell>
          <cell r="G19">
            <v>0</v>
          </cell>
          <cell r="H19">
            <v>99.369450000000001</v>
          </cell>
        </row>
        <row r="20">
          <cell r="B20" t="str">
            <v>18/03/15</v>
          </cell>
          <cell r="C20" t="str">
            <v>LIFEURCURVES6M</v>
          </cell>
          <cell r="D20" t="str">
            <v>18/06/15</v>
          </cell>
          <cell r="E20">
            <v>41348</v>
          </cell>
          <cell r="F20">
            <v>0</v>
          </cell>
          <cell r="G20">
            <v>0</v>
          </cell>
          <cell r="H20">
            <v>99.287499999999994</v>
          </cell>
        </row>
        <row r="21">
          <cell r="B21" t="str">
            <v>17/06/15</v>
          </cell>
          <cell r="C21" t="str">
            <v>LIFEURCURVES6M</v>
          </cell>
          <cell r="D21" t="str">
            <v>17/09/15</v>
          </cell>
          <cell r="E21">
            <v>41440</v>
          </cell>
          <cell r="F21">
            <v>0</v>
          </cell>
          <cell r="G21">
            <v>0</v>
          </cell>
          <cell r="H21">
            <v>99.203500000000005</v>
          </cell>
        </row>
        <row r="22">
          <cell r="B22" t="str">
            <v>16/09/15</v>
          </cell>
          <cell r="C22" t="str">
            <v>LIFEURCURVES6M</v>
          </cell>
          <cell r="D22" t="str">
            <v>16/12/15</v>
          </cell>
          <cell r="E22">
            <v>41532</v>
          </cell>
          <cell r="F22">
            <v>0</v>
          </cell>
          <cell r="G22">
            <v>0</v>
          </cell>
          <cell r="H22">
            <v>99.104500000000002</v>
          </cell>
        </row>
        <row r="23">
          <cell r="B23">
            <v>41315</v>
          </cell>
          <cell r="C23" t="str">
            <v>EUR R6M CUM FIX</v>
          </cell>
          <cell r="D23">
            <v>42439</v>
          </cell>
          <cell r="E23" t="str">
            <v>3Y</v>
          </cell>
          <cell r="F23">
            <v>0</v>
          </cell>
          <cell r="G23">
            <v>0</v>
          </cell>
          <cell r="H23">
            <v>0.753</v>
          </cell>
        </row>
        <row r="24">
          <cell r="B24">
            <v>41315</v>
          </cell>
          <cell r="C24" t="str">
            <v>EUR R6M CUM FIX</v>
          </cell>
          <cell r="D24">
            <v>42776</v>
          </cell>
          <cell r="E24" t="str">
            <v>4Y</v>
          </cell>
          <cell r="F24">
            <v>0</v>
          </cell>
          <cell r="G24">
            <v>0</v>
          </cell>
          <cell r="H24">
            <v>0.99199999999999999</v>
          </cell>
        </row>
        <row r="25">
          <cell r="B25">
            <v>41315</v>
          </cell>
          <cell r="C25" t="str">
            <v>EUR R6M CUM FIX</v>
          </cell>
          <cell r="D25">
            <v>43141</v>
          </cell>
          <cell r="E25" t="str">
            <v>5Y</v>
          </cell>
          <cell r="F25">
            <v>0</v>
          </cell>
          <cell r="G25">
            <v>0</v>
          </cell>
          <cell r="H25">
            <v>1.228</v>
          </cell>
        </row>
        <row r="26">
          <cell r="B26">
            <v>41315</v>
          </cell>
          <cell r="C26" t="str">
            <v>EUR R6M CUM FIX</v>
          </cell>
          <cell r="D26">
            <v>43506</v>
          </cell>
          <cell r="E26" t="str">
            <v>6Y</v>
          </cell>
          <cell r="F26">
            <v>0</v>
          </cell>
          <cell r="G26">
            <v>0</v>
          </cell>
          <cell r="H26">
            <v>1.4419999999999999</v>
          </cell>
        </row>
        <row r="27">
          <cell r="B27">
            <v>41315</v>
          </cell>
          <cell r="C27" t="str">
            <v>EUR R6M CUM FIX</v>
          </cell>
          <cell r="D27">
            <v>43871</v>
          </cell>
          <cell r="E27" t="str">
            <v>7Y</v>
          </cell>
          <cell r="F27">
            <v>0</v>
          </cell>
          <cell r="G27">
            <v>0</v>
          </cell>
          <cell r="H27">
            <v>1.63</v>
          </cell>
        </row>
        <row r="28">
          <cell r="B28">
            <v>41315</v>
          </cell>
          <cell r="C28" t="str">
            <v>EUR R6M CUM FIX</v>
          </cell>
          <cell r="D28">
            <v>44296</v>
          </cell>
          <cell r="E28" t="str">
            <v>8Y</v>
          </cell>
          <cell r="F28">
            <v>0</v>
          </cell>
          <cell r="G28">
            <v>0</v>
          </cell>
          <cell r="H28">
            <v>1.7969999999999999</v>
          </cell>
        </row>
        <row r="29">
          <cell r="B29">
            <v>41315</v>
          </cell>
          <cell r="C29" t="str">
            <v>EUR R6M CUM FIX</v>
          </cell>
          <cell r="D29">
            <v>44630</v>
          </cell>
          <cell r="E29" t="str">
            <v>9Y</v>
          </cell>
          <cell r="F29">
            <v>0</v>
          </cell>
          <cell r="G29">
            <v>0</v>
          </cell>
          <cell r="H29">
            <v>1.944</v>
          </cell>
        </row>
        <row r="30">
          <cell r="B30">
            <v>41315</v>
          </cell>
          <cell r="C30" t="str">
            <v>EUR R6M CUM FIX</v>
          </cell>
          <cell r="D30">
            <v>44967</v>
          </cell>
          <cell r="E30" t="str">
            <v>10Y</v>
          </cell>
          <cell r="F30">
            <v>0</v>
          </cell>
          <cell r="G30">
            <v>0</v>
          </cell>
          <cell r="H30">
            <v>2.0750000000000002</v>
          </cell>
        </row>
        <row r="31">
          <cell r="B31">
            <v>41315</v>
          </cell>
          <cell r="C31" t="str">
            <v>EUR R6M CUM FIX</v>
          </cell>
          <cell r="D31">
            <v>45332</v>
          </cell>
          <cell r="E31" t="str">
            <v>11Y</v>
          </cell>
          <cell r="F31">
            <v>0</v>
          </cell>
          <cell r="G31">
            <v>0</v>
          </cell>
          <cell r="H31">
            <v>2.1890000000000001</v>
          </cell>
        </row>
        <row r="32">
          <cell r="B32">
            <v>41315</v>
          </cell>
          <cell r="C32" t="str">
            <v>EUR R6M CUM FIX</v>
          </cell>
          <cell r="D32">
            <v>45698</v>
          </cell>
          <cell r="E32" t="str">
            <v>12Y</v>
          </cell>
          <cell r="F32">
            <v>0</v>
          </cell>
          <cell r="G32">
            <v>0</v>
          </cell>
          <cell r="H32">
            <v>2.286</v>
          </cell>
        </row>
        <row r="33">
          <cell r="B33">
            <v>41315</v>
          </cell>
          <cell r="C33" t="str">
            <v>EUR R6M CUM FIX</v>
          </cell>
          <cell r="D33">
            <v>46063</v>
          </cell>
          <cell r="E33" t="str">
            <v>13Y</v>
          </cell>
          <cell r="F33">
            <v>0</v>
          </cell>
          <cell r="G33">
            <v>0</v>
          </cell>
          <cell r="H33">
            <v>2.3679999999999999</v>
          </cell>
        </row>
        <row r="34">
          <cell r="B34">
            <v>41315</v>
          </cell>
          <cell r="C34" t="str">
            <v>EUR R6M CUM FIX</v>
          </cell>
          <cell r="D34">
            <v>46487</v>
          </cell>
          <cell r="E34" t="str">
            <v>14Y</v>
          </cell>
          <cell r="F34">
            <v>0</v>
          </cell>
          <cell r="G34">
            <v>0</v>
          </cell>
          <cell r="H34">
            <v>2.4350000000000001</v>
          </cell>
        </row>
        <row r="35">
          <cell r="B35">
            <v>41315</v>
          </cell>
          <cell r="C35" t="str">
            <v>EUR R6M CUM FIX</v>
          </cell>
          <cell r="D35">
            <v>46793</v>
          </cell>
          <cell r="E35" t="str">
            <v>15Y</v>
          </cell>
          <cell r="F35">
            <v>0</v>
          </cell>
          <cell r="G35">
            <v>0</v>
          </cell>
          <cell r="H35">
            <v>2.488</v>
          </cell>
        </row>
        <row r="36">
          <cell r="B36">
            <v>41315</v>
          </cell>
          <cell r="C36" t="str">
            <v>EUR R6M CUM FIX</v>
          </cell>
          <cell r="D36">
            <v>47159</v>
          </cell>
          <cell r="E36" t="str">
            <v>16Y</v>
          </cell>
          <cell r="F36">
            <v>0</v>
          </cell>
          <cell r="G36">
            <v>0</v>
          </cell>
          <cell r="H36">
            <v>2.5289999999999999</v>
          </cell>
        </row>
        <row r="37">
          <cell r="B37">
            <v>41315</v>
          </cell>
          <cell r="C37" t="str">
            <v>EUR R6M CUM FIX</v>
          </cell>
          <cell r="D37">
            <v>10999</v>
          </cell>
          <cell r="E37" t="str">
            <v>17Y</v>
          </cell>
          <cell r="F37">
            <v>0</v>
          </cell>
          <cell r="G37">
            <v>0</v>
          </cell>
          <cell r="H37">
            <v>2.56</v>
          </cell>
        </row>
        <row r="38">
          <cell r="B38">
            <v>41315</v>
          </cell>
          <cell r="C38" t="str">
            <v>EUR R6M CUM FIX</v>
          </cell>
          <cell r="D38">
            <v>11364</v>
          </cell>
          <cell r="E38" t="str">
            <v>18Y</v>
          </cell>
          <cell r="F38">
            <v>0</v>
          </cell>
          <cell r="G38">
            <v>0</v>
          </cell>
          <cell r="H38">
            <v>2.5830000000000002</v>
          </cell>
        </row>
        <row r="39">
          <cell r="B39">
            <v>41315</v>
          </cell>
          <cell r="C39" t="str">
            <v>EUR R6M CUM FIX</v>
          </cell>
          <cell r="D39">
            <v>11789</v>
          </cell>
          <cell r="E39" t="str">
            <v>19Y</v>
          </cell>
          <cell r="F39">
            <v>0</v>
          </cell>
          <cell r="G39">
            <v>0</v>
          </cell>
          <cell r="H39">
            <v>2.5990000000000002</v>
          </cell>
        </row>
        <row r="40">
          <cell r="B40">
            <v>41315</v>
          </cell>
          <cell r="C40" t="str">
            <v>EUR R6M CUM FIX</v>
          </cell>
          <cell r="D40">
            <v>12123</v>
          </cell>
          <cell r="E40" t="str">
            <v>20Y</v>
          </cell>
          <cell r="F40">
            <v>0</v>
          </cell>
          <cell r="G40">
            <v>0</v>
          </cell>
          <cell r="H40">
            <v>2.61</v>
          </cell>
        </row>
        <row r="41">
          <cell r="B41">
            <v>41315</v>
          </cell>
          <cell r="C41" t="str">
            <v>EUR R6M CUM FIX</v>
          </cell>
          <cell r="D41">
            <v>12460</v>
          </cell>
          <cell r="E41" t="str">
            <v>21Y</v>
          </cell>
          <cell r="F41">
            <v>0</v>
          </cell>
          <cell r="G41">
            <v>0</v>
          </cell>
          <cell r="H41">
            <v>2.6179999999999999</v>
          </cell>
        </row>
        <row r="42">
          <cell r="B42">
            <v>41315</v>
          </cell>
          <cell r="C42" t="str">
            <v>EUR R6M CUM FIX</v>
          </cell>
          <cell r="D42">
            <v>12825</v>
          </cell>
          <cell r="E42" t="str">
            <v>22Y</v>
          </cell>
          <cell r="F42">
            <v>0</v>
          </cell>
          <cell r="G42">
            <v>0</v>
          </cell>
          <cell r="H42">
            <v>2.6240000000000001</v>
          </cell>
        </row>
        <row r="43">
          <cell r="B43">
            <v>41315</v>
          </cell>
          <cell r="C43" t="str">
            <v>EUR R6M CUM FIX</v>
          </cell>
          <cell r="D43">
            <v>13190</v>
          </cell>
          <cell r="E43" t="str">
            <v>23Y</v>
          </cell>
          <cell r="F43">
            <v>0</v>
          </cell>
          <cell r="G43">
            <v>0</v>
          </cell>
          <cell r="H43">
            <v>2.6280000000000001</v>
          </cell>
        </row>
        <row r="44">
          <cell r="B44">
            <v>41315</v>
          </cell>
          <cell r="C44" t="str">
            <v>EUR R6M CUM FIX</v>
          </cell>
          <cell r="D44">
            <v>13556</v>
          </cell>
          <cell r="E44" t="str">
            <v>24Y</v>
          </cell>
          <cell r="F44">
            <v>0</v>
          </cell>
          <cell r="G44">
            <v>0</v>
          </cell>
          <cell r="H44">
            <v>2.63</v>
          </cell>
        </row>
        <row r="45">
          <cell r="B45">
            <v>41315</v>
          </cell>
          <cell r="C45" t="str">
            <v>EUR R6M CUM FIX</v>
          </cell>
          <cell r="D45">
            <v>13980</v>
          </cell>
          <cell r="E45" t="str">
            <v>25Y</v>
          </cell>
          <cell r="F45">
            <v>0</v>
          </cell>
          <cell r="G45">
            <v>0</v>
          </cell>
          <cell r="H45">
            <v>2.63</v>
          </cell>
        </row>
        <row r="46">
          <cell r="B46">
            <v>41315</v>
          </cell>
          <cell r="C46" t="str">
            <v>EUR R6M CUM FIX</v>
          </cell>
          <cell r="D46">
            <v>14314</v>
          </cell>
          <cell r="E46" t="str">
            <v>26Y</v>
          </cell>
          <cell r="F46">
            <v>0</v>
          </cell>
          <cell r="G46">
            <v>0</v>
          </cell>
          <cell r="H46">
            <v>2.629</v>
          </cell>
        </row>
        <row r="47">
          <cell r="B47">
            <v>41315</v>
          </cell>
          <cell r="C47" t="str">
            <v>EUR R6M CUM FIX</v>
          </cell>
          <cell r="D47">
            <v>14651</v>
          </cell>
          <cell r="E47" t="str">
            <v>27Y</v>
          </cell>
          <cell r="F47">
            <v>0</v>
          </cell>
          <cell r="G47">
            <v>0</v>
          </cell>
          <cell r="H47">
            <v>2.629</v>
          </cell>
        </row>
        <row r="48">
          <cell r="B48">
            <v>41315</v>
          </cell>
          <cell r="C48" t="str">
            <v>EUR R6M CUM FIX</v>
          </cell>
          <cell r="D48">
            <v>15017</v>
          </cell>
          <cell r="E48" t="str">
            <v>28Y</v>
          </cell>
          <cell r="F48">
            <v>0</v>
          </cell>
          <cell r="G48">
            <v>0</v>
          </cell>
          <cell r="H48">
            <v>2.6280000000000001</v>
          </cell>
        </row>
        <row r="49">
          <cell r="B49">
            <v>41315</v>
          </cell>
          <cell r="C49" t="str">
            <v>EUR R6M CUM FIX</v>
          </cell>
          <cell r="D49">
            <v>15382</v>
          </cell>
          <cell r="E49" t="str">
            <v>29Y</v>
          </cell>
          <cell r="F49">
            <v>0</v>
          </cell>
          <cell r="G49">
            <v>0</v>
          </cell>
          <cell r="H49">
            <v>2.6269999999999998</v>
          </cell>
        </row>
        <row r="50">
          <cell r="B50">
            <v>41315</v>
          </cell>
          <cell r="C50" t="str">
            <v>EUR R6M CUM FIX</v>
          </cell>
          <cell r="D50">
            <v>15747</v>
          </cell>
          <cell r="E50" t="str">
            <v>30Y</v>
          </cell>
          <cell r="F50">
            <v>0</v>
          </cell>
          <cell r="G50">
            <v>0</v>
          </cell>
          <cell r="H50">
            <v>2.6259999999999999</v>
          </cell>
        </row>
        <row r="51">
          <cell r="B51">
            <v>41315</v>
          </cell>
          <cell r="C51" t="str">
            <v>EUR R6M CUM FIX</v>
          </cell>
          <cell r="D51">
            <v>16141</v>
          </cell>
          <cell r="E51" t="str">
            <v>31Y</v>
          </cell>
          <cell r="F51">
            <v>0</v>
          </cell>
          <cell r="G51">
            <v>0</v>
          </cell>
          <cell r="H51">
            <v>2.6263640750000001</v>
          </cell>
        </row>
        <row r="52">
          <cell r="B52">
            <v>41315</v>
          </cell>
          <cell r="C52" t="str">
            <v>EUR R6M CUM FIX</v>
          </cell>
          <cell r="D52">
            <v>16478</v>
          </cell>
          <cell r="E52" t="str">
            <v>32Y</v>
          </cell>
          <cell r="F52">
            <v>0</v>
          </cell>
          <cell r="G52">
            <v>0</v>
          </cell>
          <cell r="H52">
            <v>2.627880717</v>
          </cell>
        </row>
        <row r="53">
          <cell r="B53">
            <v>41315</v>
          </cell>
          <cell r="C53" t="str">
            <v>EUR R6M CUM FIX</v>
          </cell>
          <cell r="D53">
            <v>16843</v>
          </cell>
          <cell r="E53" t="str">
            <v>33Y</v>
          </cell>
          <cell r="F53">
            <v>0</v>
          </cell>
          <cell r="G53">
            <v>0</v>
          </cell>
          <cell r="H53">
            <v>2.630450089</v>
          </cell>
        </row>
        <row r="54">
          <cell r="B54">
            <v>41315</v>
          </cell>
          <cell r="C54" t="str">
            <v>EUR R6M CUM FIX</v>
          </cell>
          <cell r="D54">
            <v>17208</v>
          </cell>
          <cell r="E54" t="str">
            <v>34Y</v>
          </cell>
          <cell r="F54">
            <v>0</v>
          </cell>
          <cell r="G54">
            <v>0</v>
          </cell>
          <cell r="H54">
            <v>2.633843121</v>
          </cell>
        </row>
        <row r="55">
          <cell r="B55">
            <v>41315</v>
          </cell>
          <cell r="C55" t="str">
            <v>EUR R6M CUM FIX</v>
          </cell>
          <cell r="D55">
            <v>17573</v>
          </cell>
          <cell r="E55" t="str">
            <v>35Y</v>
          </cell>
          <cell r="F55">
            <v>0</v>
          </cell>
          <cell r="G55">
            <v>0</v>
          </cell>
          <cell r="H55">
            <v>2.6379999999999999</v>
          </cell>
        </row>
        <row r="56">
          <cell r="B56">
            <v>41315</v>
          </cell>
          <cell r="C56" t="str">
            <v>EUR R6M CUM FIX</v>
          </cell>
          <cell r="D56">
            <v>17998</v>
          </cell>
          <cell r="E56" t="str">
            <v>36Y</v>
          </cell>
          <cell r="F56">
            <v>0</v>
          </cell>
          <cell r="G56">
            <v>0</v>
          </cell>
          <cell r="H56">
            <v>2.6424945119999999</v>
          </cell>
        </row>
        <row r="57">
          <cell r="B57">
            <v>41315</v>
          </cell>
          <cell r="C57" t="str">
            <v>EUR R6M CUM FIX</v>
          </cell>
          <cell r="D57">
            <v>18332</v>
          </cell>
          <cell r="E57" t="str">
            <v>37Y</v>
          </cell>
          <cell r="F57">
            <v>0</v>
          </cell>
          <cell r="G57">
            <v>0</v>
          </cell>
          <cell r="H57">
            <v>2.6472393169999999</v>
          </cell>
        </row>
        <row r="58">
          <cell r="B58">
            <v>41315</v>
          </cell>
          <cell r="C58" t="str">
            <v>EUR R6M CUM FIX</v>
          </cell>
          <cell r="D58">
            <v>18669</v>
          </cell>
          <cell r="E58" t="str">
            <v>38Y</v>
          </cell>
          <cell r="F58">
            <v>0</v>
          </cell>
          <cell r="G58">
            <v>0</v>
          </cell>
          <cell r="H58">
            <v>2.652127347</v>
          </cell>
        </row>
        <row r="59">
          <cell r="B59">
            <v>41315</v>
          </cell>
          <cell r="C59" t="str">
            <v>EUR R6M CUM FIX</v>
          </cell>
          <cell r="D59">
            <v>19034</v>
          </cell>
          <cell r="E59" t="str">
            <v>39Y</v>
          </cell>
          <cell r="F59">
            <v>0</v>
          </cell>
          <cell r="G59">
            <v>0</v>
          </cell>
          <cell r="H59">
            <v>2.657168521</v>
          </cell>
        </row>
        <row r="60">
          <cell r="B60">
            <v>41315</v>
          </cell>
          <cell r="C60" t="str">
            <v>EUR R6M CUM FIX</v>
          </cell>
          <cell r="D60">
            <v>19400</v>
          </cell>
          <cell r="E60" t="str">
            <v>40Y</v>
          </cell>
          <cell r="F60">
            <v>0</v>
          </cell>
          <cell r="G60">
            <v>0</v>
          </cell>
          <cell r="H60">
            <v>2.6619999999999999</v>
          </cell>
        </row>
        <row r="61">
          <cell r="B61">
            <v>41315</v>
          </cell>
          <cell r="C61" t="str">
            <v>EUR R6M CUM FIX</v>
          </cell>
          <cell r="D61">
            <v>23052</v>
          </cell>
          <cell r="E61" t="str">
            <v>50Y</v>
          </cell>
          <cell r="F61">
            <v>0</v>
          </cell>
          <cell r="G61">
            <v>0</v>
          </cell>
          <cell r="H61">
            <v>2.702</v>
          </cell>
        </row>
        <row r="62">
          <cell r="B62">
            <v>41315</v>
          </cell>
          <cell r="C62" t="str">
            <v>EUR R6M CUM FIX</v>
          </cell>
          <cell r="D62">
            <v>26705</v>
          </cell>
          <cell r="E62" t="str">
            <v>60Y</v>
          </cell>
          <cell r="F62">
            <v>0</v>
          </cell>
          <cell r="G62">
            <v>0</v>
          </cell>
          <cell r="H62">
            <v>2.73</v>
          </cell>
        </row>
        <row r="63">
          <cell r="B63" t="str">
            <v>21/11/16</v>
          </cell>
          <cell r="C63" t="str">
            <v>SWP_EUR6M_C</v>
          </cell>
          <cell r="D63" t="str">
            <v>21/11/51</v>
          </cell>
          <cell r="E63" t="str">
            <v>35Y</v>
          </cell>
          <cell r="F63">
            <v>0</v>
          </cell>
          <cell r="G63">
            <v>0</v>
          </cell>
          <cell r="H63">
            <v>1.177</v>
          </cell>
        </row>
        <row r="64">
          <cell r="B64" t="str">
            <v>21/11/16</v>
          </cell>
          <cell r="C64" t="str">
            <v>SWP_EUR6M_C</v>
          </cell>
          <cell r="D64" t="str">
            <v>21/11/52</v>
          </cell>
          <cell r="E64" t="str">
            <v>36Y</v>
          </cell>
          <cell r="F64">
            <v>0</v>
          </cell>
          <cell r="G64">
            <v>0</v>
          </cell>
          <cell r="H64">
            <v>1.1753930500000001</v>
          </cell>
        </row>
        <row r="65">
          <cell r="B65" t="str">
            <v>21/11/16</v>
          </cell>
          <cell r="C65" t="str">
            <v>SWP_EUR6M_C</v>
          </cell>
          <cell r="D65" t="str">
            <v>21/11/53</v>
          </cell>
          <cell r="E65" t="str">
            <v>37Y</v>
          </cell>
          <cell r="F65">
            <v>0</v>
          </cell>
          <cell r="G65">
            <v>0</v>
          </cell>
          <cell r="H65">
            <v>1.1733906919999999</v>
          </cell>
        </row>
        <row r="66">
          <cell r="B66" t="str">
            <v>21/11/16</v>
          </cell>
          <cell r="C66" t="str">
            <v>SWP_EUR6M_C</v>
          </cell>
          <cell r="D66" t="str">
            <v>23/11/54</v>
          </cell>
          <cell r="E66" t="str">
            <v>38Y</v>
          </cell>
          <cell r="F66">
            <v>0</v>
          </cell>
          <cell r="G66">
            <v>0</v>
          </cell>
          <cell r="H66">
            <v>1.1710200079999999</v>
          </cell>
        </row>
        <row r="67">
          <cell r="B67" t="str">
            <v>21/11/16</v>
          </cell>
          <cell r="C67" t="str">
            <v>SWP_EUR6M_C</v>
          </cell>
          <cell r="D67" t="str">
            <v>22/11/55</v>
          </cell>
          <cell r="E67" t="str">
            <v>39Y</v>
          </cell>
          <cell r="F67">
            <v>0</v>
          </cell>
          <cell r="G67">
            <v>0</v>
          </cell>
          <cell r="H67">
            <v>1.1682294879999999</v>
          </cell>
        </row>
        <row r="68">
          <cell r="B68" t="str">
            <v>21/11/16</v>
          </cell>
          <cell r="C68" t="str">
            <v>SWP_EUR6M_C</v>
          </cell>
          <cell r="D68" t="str">
            <v>21/11/56</v>
          </cell>
          <cell r="E68" t="str">
            <v>40Y</v>
          </cell>
          <cell r="F68">
            <v>0</v>
          </cell>
          <cell r="G68">
            <v>0</v>
          </cell>
          <cell r="H68">
            <v>1.165</v>
          </cell>
        </row>
        <row r="69">
          <cell r="B69" t="str">
            <v>21/11/16</v>
          </cell>
          <cell r="C69" t="str">
            <v>SWP_EUR6M_C</v>
          </cell>
          <cell r="D69" t="str">
            <v>22/11/66</v>
          </cell>
          <cell r="E69" t="str">
            <v>50Y</v>
          </cell>
          <cell r="F69">
            <v>0</v>
          </cell>
          <cell r="G69">
            <v>0</v>
          </cell>
          <cell r="H69">
            <v>1.111</v>
          </cell>
        </row>
        <row r="70">
          <cell r="B70" t="str">
            <v>21/11/16</v>
          </cell>
          <cell r="C70" t="str">
            <v>SWP_EUR6M_C</v>
          </cell>
          <cell r="D70" t="str">
            <v>23/11/76</v>
          </cell>
          <cell r="E70" t="str">
            <v>60Y</v>
          </cell>
          <cell r="F70">
            <v>0</v>
          </cell>
          <cell r="G70">
            <v>0</v>
          </cell>
          <cell r="H70">
            <v>1.0760000000000001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UR3M"/>
    </sheetNames>
    <sheetDataSet>
      <sheetData sheetId="0">
        <row r="2">
          <cell r="B2" t="str">
            <v>30/09/13</v>
          </cell>
          <cell r="C2" t="str">
            <v>CASH CURVES</v>
          </cell>
          <cell r="D2">
            <v>41284</v>
          </cell>
          <cell r="E2" t="str">
            <v>O/N</v>
          </cell>
          <cell r="F2">
            <v>0</v>
          </cell>
          <cell r="G2">
            <v>0</v>
          </cell>
          <cell r="H2">
            <v>0.25</v>
          </cell>
        </row>
        <row r="3">
          <cell r="B3">
            <v>41284</v>
          </cell>
          <cell r="C3" t="str">
            <v>CASH CURVES</v>
          </cell>
          <cell r="D3">
            <v>41315</v>
          </cell>
          <cell r="E3" t="str">
            <v>T/N</v>
          </cell>
          <cell r="F3">
            <v>0</v>
          </cell>
          <cell r="G3">
            <v>0</v>
          </cell>
          <cell r="H3">
            <v>0.1</v>
          </cell>
        </row>
        <row r="4">
          <cell r="B4">
            <v>41315</v>
          </cell>
          <cell r="C4" t="str">
            <v>OIS 3M CURVES</v>
          </cell>
          <cell r="D4">
            <v>41343</v>
          </cell>
          <cell r="E4" t="str">
            <v>S/N</v>
          </cell>
          <cell r="F4">
            <v>0</v>
          </cell>
          <cell r="G4">
            <v>0</v>
          </cell>
          <cell r="H4">
            <v>0.29239999999999999</v>
          </cell>
        </row>
        <row r="5">
          <cell r="B5">
            <v>41315</v>
          </cell>
          <cell r="C5" t="str">
            <v>OIS 3M CURVES</v>
          </cell>
          <cell r="D5">
            <v>41527</v>
          </cell>
          <cell r="E5" t="str">
            <v>1W</v>
          </cell>
          <cell r="F5">
            <v>0</v>
          </cell>
          <cell r="G5">
            <v>0</v>
          </cell>
          <cell r="H5">
            <v>0.23799999999999999</v>
          </cell>
        </row>
        <row r="6">
          <cell r="B6">
            <v>41315</v>
          </cell>
          <cell r="C6" t="str">
            <v>OIS 3M CURVES</v>
          </cell>
          <cell r="D6" t="str">
            <v>16/10/13</v>
          </cell>
          <cell r="E6" t="str">
            <v>2W</v>
          </cell>
          <cell r="F6">
            <v>0</v>
          </cell>
          <cell r="G6">
            <v>0</v>
          </cell>
          <cell r="H6">
            <v>0.22869999999999999</v>
          </cell>
        </row>
        <row r="7">
          <cell r="B7">
            <v>41315</v>
          </cell>
          <cell r="C7" t="str">
            <v>OIS 3M CURVES</v>
          </cell>
          <cell r="D7" t="str">
            <v>23/10/13</v>
          </cell>
          <cell r="E7" t="str">
            <v>3W</v>
          </cell>
          <cell r="F7">
            <v>0</v>
          </cell>
          <cell r="G7">
            <v>0</v>
          </cell>
          <cell r="H7">
            <v>0.21970000000000001</v>
          </cell>
        </row>
        <row r="8">
          <cell r="B8">
            <v>41315</v>
          </cell>
          <cell r="C8" t="str">
            <v>OIS 3M CURVES</v>
          </cell>
          <cell r="D8">
            <v>41375</v>
          </cell>
          <cell r="E8" t="str">
            <v>1M</v>
          </cell>
          <cell r="F8">
            <v>0</v>
          </cell>
          <cell r="G8">
            <v>0</v>
          </cell>
          <cell r="H8">
            <v>0.20469999999999999</v>
          </cell>
        </row>
        <row r="9">
          <cell r="B9">
            <v>41315</v>
          </cell>
          <cell r="C9" t="str">
            <v>OIS 3M CURVES</v>
          </cell>
          <cell r="D9">
            <v>41317</v>
          </cell>
          <cell r="E9" t="str">
            <v>2M</v>
          </cell>
          <cell r="F9">
            <v>0</v>
          </cell>
          <cell r="G9">
            <v>0</v>
          </cell>
          <cell r="H9">
            <v>0.2056</v>
          </cell>
        </row>
        <row r="10">
          <cell r="B10">
            <v>41315</v>
          </cell>
          <cell r="C10" t="str">
            <v>OIS 3M CURVES</v>
          </cell>
          <cell r="D10">
            <v>41671</v>
          </cell>
          <cell r="E10" t="str">
            <v>3M</v>
          </cell>
          <cell r="F10">
            <v>0</v>
          </cell>
          <cell r="G10">
            <v>0</v>
          </cell>
          <cell r="H10">
            <v>0.2243</v>
          </cell>
        </row>
        <row r="11">
          <cell r="B11">
            <v>41315</v>
          </cell>
          <cell r="C11" t="str">
            <v>OIS 3M CURVES</v>
          </cell>
          <cell r="D11">
            <v>41700</v>
          </cell>
          <cell r="E11" t="str">
            <v>4M</v>
          </cell>
          <cell r="F11">
            <v>0</v>
          </cell>
          <cell r="G11">
            <v>0</v>
          </cell>
          <cell r="H11">
            <v>0.23230000000000001</v>
          </cell>
        </row>
        <row r="12">
          <cell r="B12">
            <v>41315</v>
          </cell>
          <cell r="C12" t="str">
            <v>OIS 3M CURVES</v>
          </cell>
          <cell r="D12">
            <v>41701</v>
          </cell>
          <cell r="E12" t="str">
            <v>5M</v>
          </cell>
          <cell r="F12">
            <v>0</v>
          </cell>
          <cell r="G12">
            <v>0</v>
          </cell>
          <cell r="H12">
            <v>0.2397</v>
          </cell>
        </row>
        <row r="13">
          <cell r="B13">
            <v>41315</v>
          </cell>
          <cell r="C13" t="str">
            <v>OIS 3M CURVES</v>
          </cell>
          <cell r="D13">
            <v>41674</v>
          </cell>
          <cell r="E13" t="str">
            <v>6M</v>
          </cell>
          <cell r="F13">
            <v>0</v>
          </cell>
          <cell r="G13">
            <v>0</v>
          </cell>
          <cell r="H13">
            <v>0.25030000000000002</v>
          </cell>
        </row>
        <row r="14">
          <cell r="B14">
            <v>41315</v>
          </cell>
          <cell r="C14" t="str">
            <v>OIS 3M CURVES</v>
          </cell>
          <cell r="D14">
            <v>41675</v>
          </cell>
          <cell r="E14" t="str">
            <v>7M</v>
          </cell>
          <cell r="F14">
            <v>0</v>
          </cell>
          <cell r="G14">
            <v>0</v>
          </cell>
          <cell r="H14">
            <v>0.25890000000000002</v>
          </cell>
        </row>
        <row r="15">
          <cell r="B15">
            <v>41315</v>
          </cell>
          <cell r="C15" t="str">
            <v>OIS 3M CURVES</v>
          </cell>
          <cell r="D15">
            <v>41676</v>
          </cell>
          <cell r="E15" t="str">
            <v>8M</v>
          </cell>
          <cell r="F15">
            <v>0</v>
          </cell>
          <cell r="G15">
            <v>0</v>
          </cell>
          <cell r="H15">
            <v>0.26860000000000001</v>
          </cell>
        </row>
        <row r="16">
          <cell r="B16">
            <v>41315</v>
          </cell>
          <cell r="C16" t="str">
            <v>STUB 3M CURVES</v>
          </cell>
          <cell r="D16" t="str">
            <v>18/06/14</v>
          </cell>
          <cell r="E16" t="str">
            <v>#20140618</v>
          </cell>
          <cell r="F16">
            <v>0</v>
          </cell>
          <cell r="G16">
            <v>0</v>
          </cell>
          <cell r="H16">
            <v>0.2737</v>
          </cell>
        </row>
        <row r="17">
          <cell r="B17" t="str">
            <v>18/06/14</v>
          </cell>
          <cell r="C17" t="str">
            <v>LIFEURCURVES3M</v>
          </cell>
          <cell r="D17" t="str">
            <v>18/09/14</v>
          </cell>
          <cell r="E17">
            <v>41439</v>
          </cell>
          <cell r="F17">
            <v>0</v>
          </cell>
          <cell r="G17">
            <v>0</v>
          </cell>
          <cell r="H17">
            <v>99.628249999999994</v>
          </cell>
        </row>
        <row r="18">
          <cell r="B18" t="str">
            <v>17/09/14</v>
          </cell>
          <cell r="C18" t="str">
            <v>LIFEURCURVES3M</v>
          </cell>
          <cell r="D18" t="str">
            <v>17/12/14</v>
          </cell>
          <cell r="E18">
            <v>41531</v>
          </cell>
          <cell r="F18">
            <v>0</v>
          </cell>
          <cell r="G18">
            <v>0</v>
          </cell>
          <cell r="H18">
            <v>99.578999999999994</v>
          </cell>
        </row>
        <row r="19">
          <cell r="B19" t="str">
            <v>17/12/14</v>
          </cell>
          <cell r="C19" t="str">
            <v>LIFEURCURVES3M</v>
          </cell>
          <cell r="D19" t="str">
            <v>17/03/15</v>
          </cell>
          <cell r="E19">
            <v>41622</v>
          </cell>
          <cell r="F19">
            <v>0</v>
          </cell>
          <cell r="G19">
            <v>0</v>
          </cell>
          <cell r="H19">
            <v>99.513750000000002</v>
          </cell>
        </row>
        <row r="20">
          <cell r="B20" t="str">
            <v>18/03/15</v>
          </cell>
          <cell r="C20" t="str">
            <v>LIFEURCURVES3M</v>
          </cell>
          <cell r="D20" t="str">
            <v>18/06/15</v>
          </cell>
          <cell r="E20">
            <v>41348</v>
          </cell>
          <cell r="F20">
            <v>0</v>
          </cell>
          <cell r="G20">
            <v>0</v>
          </cell>
          <cell r="H20">
            <v>99.438999999999993</v>
          </cell>
        </row>
        <row r="21">
          <cell r="B21" t="str">
            <v>17/06/15</v>
          </cell>
          <cell r="C21" t="str">
            <v>LIFEURCURVES3M</v>
          </cell>
          <cell r="D21" t="str">
            <v>17/09/15</v>
          </cell>
          <cell r="E21">
            <v>41440</v>
          </cell>
          <cell r="F21">
            <v>0</v>
          </cell>
          <cell r="G21">
            <v>0</v>
          </cell>
          <cell r="H21">
            <v>99.35</v>
          </cell>
        </row>
        <row r="22">
          <cell r="B22" t="str">
            <v>16/09/15</v>
          </cell>
          <cell r="C22" t="str">
            <v>LIFEURCURVES3M</v>
          </cell>
          <cell r="D22" t="str">
            <v>16/12/15</v>
          </cell>
          <cell r="E22">
            <v>41532</v>
          </cell>
          <cell r="F22">
            <v>0</v>
          </cell>
          <cell r="G22">
            <v>0</v>
          </cell>
          <cell r="H22">
            <v>99.248000000000005</v>
          </cell>
        </row>
        <row r="23">
          <cell r="B23">
            <v>41315</v>
          </cell>
          <cell r="C23" t="str">
            <v>EUR 3M CURVES</v>
          </cell>
          <cell r="D23">
            <v>42439</v>
          </cell>
          <cell r="E23" t="str">
            <v>3Y</v>
          </cell>
          <cell r="F23">
            <v>0</v>
          </cell>
          <cell r="G23">
            <v>0</v>
          </cell>
          <cell r="H23">
            <v>0.61799999999999999</v>
          </cell>
        </row>
        <row r="24">
          <cell r="B24">
            <v>41315</v>
          </cell>
          <cell r="C24" t="str">
            <v>EUR 3M CURVES</v>
          </cell>
          <cell r="D24">
            <v>42776</v>
          </cell>
          <cell r="E24" t="str">
            <v>4Y</v>
          </cell>
          <cell r="F24">
            <v>0</v>
          </cell>
          <cell r="G24">
            <v>0</v>
          </cell>
          <cell r="H24">
            <v>0.85699999999999998</v>
          </cell>
        </row>
        <row r="25">
          <cell r="B25">
            <v>41315</v>
          </cell>
          <cell r="C25" t="str">
            <v>EUR 3M CURVES</v>
          </cell>
          <cell r="D25">
            <v>43141</v>
          </cell>
          <cell r="E25" t="str">
            <v>5Y</v>
          </cell>
          <cell r="F25">
            <v>0</v>
          </cell>
          <cell r="G25">
            <v>0</v>
          </cell>
          <cell r="H25">
            <v>1.093</v>
          </cell>
        </row>
        <row r="26">
          <cell r="B26">
            <v>41315</v>
          </cell>
          <cell r="C26" t="str">
            <v>EUR 3M CURVES</v>
          </cell>
          <cell r="D26">
            <v>43506</v>
          </cell>
          <cell r="E26" t="str">
            <v>6Y</v>
          </cell>
          <cell r="F26">
            <v>0</v>
          </cell>
          <cell r="G26">
            <v>0</v>
          </cell>
          <cell r="H26">
            <v>1.3069999999999999</v>
          </cell>
        </row>
        <row r="27">
          <cell r="B27">
            <v>41315</v>
          </cell>
          <cell r="C27" t="str">
            <v>EUR 3M CURVES</v>
          </cell>
          <cell r="D27">
            <v>43871</v>
          </cell>
          <cell r="E27" t="str">
            <v>7Y</v>
          </cell>
          <cell r="F27">
            <v>0</v>
          </cell>
          <cell r="G27">
            <v>0</v>
          </cell>
          <cell r="H27">
            <v>1.5</v>
          </cell>
        </row>
        <row r="28">
          <cell r="B28">
            <v>41315</v>
          </cell>
          <cell r="C28" t="str">
            <v>EUR 3M CURVES</v>
          </cell>
          <cell r="D28">
            <v>44296</v>
          </cell>
          <cell r="E28" t="str">
            <v>8Y</v>
          </cell>
          <cell r="F28">
            <v>0</v>
          </cell>
          <cell r="G28">
            <v>0</v>
          </cell>
          <cell r="H28">
            <v>1.671</v>
          </cell>
        </row>
        <row r="29">
          <cell r="B29">
            <v>41315</v>
          </cell>
          <cell r="C29" t="str">
            <v>EUR 3M CURVES</v>
          </cell>
          <cell r="D29">
            <v>44630</v>
          </cell>
          <cell r="E29" t="str">
            <v>9Y</v>
          </cell>
          <cell r="F29">
            <v>0</v>
          </cell>
          <cell r="G29">
            <v>0</v>
          </cell>
          <cell r="H29">
            <v>1.823</v>
          </cell>
        </row>
        <row r="30">
          <cell r="B30">
            <v>41315</v>
          </cell>
          <cell r="C30" t="str">
            <v>EUR 3M CURVES</v>
          </cell>
          <cell r="D30">
            <v>44967</v>
          </cell>
          <cell r="E30" t="str">
            <v>10Y</v>
          </cell>
          <cell r="F30">
            <v>0</v>
          </cell>
          <cell r="G30">
            <v>0</v>
          </cell>
          <cell r="H30">
            <v>1.9590000000000001</v>
          </cell>
        </row>
        <row r="31">
          <cell r="B31">
            <v>41315</v>
          </cell>
          <cell r="C31" t="str">
            <v>EUR 3M CURVES</v>
          </cell>
          <cell r="D31">
            <v>45332</v>
          </cell>
          <cell r="E31" t="str">
            <v>11Y</v>
          </cell>
          <cell r="F31">
            <v>0</v>
          </cell>
          <cell r="G31">
            <v>0</v>
          </cell>
          <cell r="H31">
            <v>2.0779240880000001</v>
          </cell>
        </row>
        <row r="32">
          <cell r="B32">
            <v>41315</v>
          </cell>
          <cell r="C32" t="str">
            <v>EUR 3M CURVES</v>
          </cell>
          <cell r="D32">
            <v>45698</v>
          </cell>
          <cell r="E32" t="str">
            <v>12Y</v>
          </cell>
          <cell r="F32">
            <v>0</v>
          </cell>
          <cell r="G32">
            <v>0</v>
          </cell>
          <cell r="H32">
            <v>2.1789999999999998</v>
          </cell>
        </row>
        <row r="33">
          <cell r="B33">
            <v>41315</v>
          </cell>
          <cell r="C33" t="str">
            <v>EUR 3M CURVES</v>
          </cell>
          <cell r="D33">
            <v>46063</v>
          </cell>
          <cell r="E33" t="str">
            <v>13Y</v>
          </cell>
          <cell r="F33">
            <v>0</v>
          </cell>
          <cell r="G33">
            <v>0</v>
          </cell>
          <cell r="H33">
            <v>2.2646444670000001</v>
          </cell>
        </row>
        <row r="34">
          <cell r="B34">
            <v>41315</v>
          </cell>
          <cell r="C34" t="str">
            <v>EUR 3M CURVES</v>
          </cell>
          <cell r="D34">
            <v>46487</v>
          </cell>
          <cell r="E34" t="str">
            <v>14Y</v>
          </cell>
          <cell r="F34">
            <v>0</v>
          </cell>
          <cell r="G34">
            <v>0</v>
          </cell>
          <cell r="H34">
            <v>2.3359758949999998</v>
          </cell>
        </row>
        <row r="35">
          <cell r="B35">
            <v>41315</v>
          </cell>
          <cell r="C35" t="str">
            <v>EUR 3M CURVES</v>
          </cell>
          <cell r="D35">
            <v>46793</v>
          </cell>
          <cell r="E35" t="str">
            <v>15Y</v>
          </cell>
          <cell r="F35">
            <v>0</v>
          </cell>
          <cell r="G35">
            <v>0</v>
          </cell>
          <cell r="H35">
            <v>2.3929999999999998</v>
          </cell>
        </row>
        <row r="36">
          <cell r="B36">
            <v>41315</v>
          </cell>
          <cell r="C36" t="str">
            <v>EUR 3M CURVES</v>
          </cell>
          <cell r="D36">
            <v>47159</v>
          </cell>
          <cell r="E36" t="str">
            <v>16Y</v>
          </cell>
          <cell r="F36">
            <v>0</v>
          </cell>
          <cell r="G36">
            <v>0</v>
          </cell>
          <cell r="H36">
            <v>2.4367367309999999</v>
          </cell>
        </row>
        <row r="37">
          <cell r="B37">
            <v>41315</v>
          </cell>
          <cell r="C37" t="str">
            <v>EUR 3M CURVES</v>
          </cell>
          <cell r="D37">
            <v>10999</v>
          </cell>
          <cell r="E37" t="str">
            <v>17Y</v>
          </cell>
          <cell r="F37">
            <v>0</v>
          </cell>
          <cell r="G37">
            <v>0</v>
          </cell>
          <cell r="H37">
            <v>2.470003964</v>
          </cell>
        </row>
        <row r="38">
          <cell r="B38">
            <v>41315</v>
          </cell>
          <cell r="C38" t="str">
            <v>EUR 3M CURVES</v>
          </cell>
          <cell r="D38">
            <v>11364</v>
          </cell>
          <cell r="E38" t="str">
            <v>18Y</v>
          </cell>
          <cell r="F38">
            <v>0</v>
          </cell>
          <cell r="G38">
            <v>0</v>
          </cell>
          <cell r="H38">
            <v>2.4952295879999999</v>
          </cell>
        </row>
        <row r="39">
          <cell r="B39">
            <v>41315</v>
          </cell>
          <cell r="C39" t="str">
            <v>EUR 3M CURVES</v>
          </cell>
          <cell r="D39">
            <v>11789</v>
          </cell>
          <cell r="E39" t="str">
            <v>19Y</v>
          </cell>
          <cell r="F39">
            <v>0</v>
          </cell>
          <cell r="G39">
            <v>0</v>
          </cell>
          <cell r="H39">
            <v>2.5147052009999999</v>
          </cell>
        </row>
        <row r="40">
          <cell r="B40">
            <v>41315</v>
          </cell>
          <cell r="C40" t="str">
            <v>EUR 3M CURVES</v>
          </cell>
          <cell r="D40">
            <v>12123</v>
          </cell>
          <cell r="E40" t="str">
            <v>20Y</v>
          </cell>
          <cell r="F40">
            <v>0</v>
          </cell>
          <cell r="G40">
            <v>0</v>
          </cell>
          <cell r="H40">
            <v>2.5289999999999999</v>
          </cell>
        </row>
        <row r="41">
          <cell r="B41">
            <v>41315</v>
          </cell>
          <cell r="C41" t="str">
            <v>EUR 3M CURVES</v>
          </cell>
          <cell r="D41">
            <v>12460</v>
          </cell>
          <cell r="E41" t="str">
            <v>21Y</v>
          </cell>
          <cell r="F41">
            <v>0</v>
          </cell>
          <cell r="G41">
            <v>0</v>
          </cell>
          <cell r="H41">
            <v>2.5397455619999998</v>
          </cell>
        </row>
        <row r="42">
          <cell r="B42">
            <v>41315</v>
          </cell>
          <cell r="C42" t="str">
            <v>EUR 3M CURVES</v>
          </cell>
          <cell r="D42">
            <v>12825</v>
          </cell>
          <cell r="E42" t="str">
            <v>22Y</v>
          </cell>
          <cell r="F42">
            <v>0</v>
          </cell>
          <cell r="G42">
            <v>0</v>
          </cell>
          <cell r="H42">
            <v>2.5476455609999999</v>
          </cell>
        </row>
        <row r="43">
          <cell r="B43">
            <v>41315</v>
          </cell>
          <cell r="C43" t="str">
            <v>EUR 3M CURVES</v>
          </cell>
          <cell r="D43">
            <v>13190</v>
          </cell>
          <cell r="E43" t="str">
            <v>23Y</v>
          </cell>
          <cell r="F43">
            <v>0</v>
          </cell>
          <cell r="G43">
            <v>0</v>
          </cell>
          <cell r="H43">
            <v>2.5534132719999998</v>
          </cell>
        </row>
        <row r="44">
          <cell r="B44">
            <v>41315</v>
          </cell>
          <cell r="C44" t="str">
            <v>EUR 3M CURVES</v>
          </cell>
          <cell r="D44">
            <v>13556</v>
          </cell>
          <cell r="E44" t="str">
            <v>24Y</v>
          </cell>
          <cell r="F44">
            <v>0</v>
          </cell>
          <cell r="G44">
            <v>0</v>
          </cell>
          <cell r="H44">
            <v>2.5569970529999999</v>
          </cell>
        </row>
        <row r="45">
          <cell r="B45">
            <v>41315</v>
          </cell>
          <cell r="C45" t="str">
            <v>EUR 3M CURVES</v>
          </cell>
          <cell r="D45">
            <v>13980</v>
          </cell>
          <cell r="E45" t="str">
            <v>25Y</v>
          </cell>
          <cell r="F45">
            <v>0</v>
          </cell>
          <cell r="G45">
            <v>0</v>
          </cell>
          <cell r="H45">
            <v>2.5590000000000002</v>
          </cell>
        </row>
        <row r="46">
          <cell r="B46">
            <v>41315</v>
          </cell>
          <cell r="C46" t="str">
            <v>EUR 3M CURVES</v>
          </cell>
          <cell r="D46">
            <v>14314</v>
          </cell>
          <cell r="E46" t="str">
            <v>26Y</v>
          </cell>
          <cell r="F46">
            <v>0</v>
          </cell>
          <cell r="G46">
            <v>0</v>
          </cell>
          <cell r="H46">
            <v>2.5597608350000001</v>
          </cell>
        </row>
        <row r="47">
          <cell r="B47">
            <v>41315</v>
          </cell>
          <cell r="C47" t="str">
            <v>EUR 3M CURVES</v>
          </cell>
          <cell r="D47">
            <v>14651</v>
          </cell>
          <cell r="E47" t="str">
            <v>27Y</v>
          </cell>
          <cell r="F47">
            <v>0</v>
          </cell>
          <cell r="G47">
            <v>0</v>
          </cell>
          <cell r="H47">
            <v>2.5600247519999999</v>
          </cell>
        </row>
        <row r="48">
          <cell r="B48">
            <v>41315</v>
          </cell>
          <cell r="C48" t="str">
            <v>EUR 3M CURVES</v>
          </cell>
          <cell r="D48">
            <v>15017</v>
          </cell>
          <cell r="E48" t="str">
            <v>28Y</v>
          </cell>
          <cell r="F48">
            <v>0</v>
          </cell>
          <cell r="G48">
            <v>0</v>
          </cell>
          <cell r="H48">
            <v>2.5599477340000001</v>
          </cell>
        </row>
        <row r="49">
          <cell r="B49">
            <v>41315</v>
          </cell>
          <cell r="C49" t="str">
            <v>EUR 3M CURVES</v>
          </cell>
          <cell r="D49">
            <v>15382</v>
          </cell>
          <cell r="E49" t="str">
            <v>29Y</v>
          </cell>
          <cell r="F49">
            <v>0</v>
          </cell>
          <cell r="G49">
            <v>0</v>
          </cell>
          <cell r="H49">
            <v>2.5601502319999998</v>
          </cell>
        </row>
        <row r="50">
          <cell r="B50">
            <v>41315</v>
          </cell>
          <cell r="C50" t="str">
            <v>EUR 3M CURVES</v>
          </cell>
          <cell r="D50">
            <v>15747</v>
          </cell>
          <cell r="E50" t="str">
            <v>30Y</v>
          </cell>
          <cell r="F50">
            <v>0</v>
          </cell>
          <cell r="G50">
            <v>0</v>
          </cell>
          <cell r="H50">
            <v>2.5609999999999999</v>
          </cell>
        </row>
        <row r="51">
          <cell r="B51">
            <v>41315</v>
          </cell>
          <cell r="C51" t="str">
            <v>EUR 3M CURVES</v>
          </cell>
          <cell r="D51">
            <v>16141</v>
          </cell>
          <cell r="E51" t="str">
            <v>31Y</v>
          </cell>
          <cell r="F51">
            <v>0</v>
          </cell>
          <cell r="G51">
            <v>0</v>
          </cell>
          <cell r="H51">
            <v>2.562900714</v>
          </cell>
        </row>
        <row r="52">
          <cell r="B52">
            <v>41315</v>
          </cell>
          <cell r="C52" t="str">
            <v>EUR 3M CURVES</v>
          </cell>
          <cell r="D52">
            <v>16478</v>
          </cell>
          <cell r="E52" t="str">
            <v>32Y</v>
          </cell>
          <cell r="F52">
            <v>0</v>
          </cell>
          <cell r="G52">
            <v>0</v>
          </cell>
          <cell r="H52">
            <v>2.5654874909999998</v>
          </cell>
        </row>
        <row r="53">
          <cell r="B53">
            <v>41315</v>
          </cell>
          <cell r="C53" t="str">
            <v>EUR 3M CURVES</v>
          </cell>
          <cell r="D53">
            <v>16843</v>
          </cell>
          <cell r="E53" t="str">
            <v>33Y</v>
          </cell>
          <cell r="F53">
            <v>0</v>
          </cell>
          <cell r="G53">
            <v>0</v>
          </cell>
          <cell r="H53">
            <v>2.5688355199999999</v>
          </cell>
        </row>
        <row r="54">
          <cell r="B54">
            <v>41315</v>
          </cell>
          <cell r="C54" t="str">
            <v>EUR 3M CURVES</v>
          </cell>
          <cell r="D54">
            <v>17208</v>
          </cell>
          <cell r="E54" t="str">
            <v>34Y</v>
          </cell>
          <cell r="F54">
            <v>0</v>
          </cell>
          <cell r="G54">
            <v>0</v>
          </cell>
          <cell r="H54">
            <v>2.5728530090000001</v>
          </cell>
        </row>
        <row r="55">
          <cell r="B55">
            <v>41315</v>
          </cell>
          <cell r="C55" t="str">
            <v>EUR 3M CURVES</v>
          </cell>
          <cell r="D55">
            <v>17573</v>
          </cell>
          <cell r="E55" t="str">
            <v>35Y</v>
          </cell>
          <cell r="F55">
            <v>0</v>
          </cell>
          <cell r="G55">
            <v>0</v>
          </cell>
          <cell r="H55">
            <v>2.5775999999999999</v>
          </cell>
        </row>
        <row r="56">
          <cell r="B56">
            <v>41315</v>
          </cell>
          <cell r="C56" t="str">
            <v>EUR 3M CURVES</v>
          </cell>
          <cell r="D56">
            <v>17998</v>
          </cell>
          <cell r="E56" t="str">
            <v>36Y</v>
          </cell>
          <cell r="F56">
            <v>0</v>
          </cell>
          <cell r="G56">
            <v>0</v>
          </cell>
          <cell r="H56">
            <v>2.582740201</v>
          </cell>
        </row>
        <row r="57">
          <cell r="B57">
            <v>41315</v>
          </cell>
          <cell r="C57" t="str">
            <v>EUR 3M CURVES</v>
          </cell>
          <cell r="D57">
            <v>18332</v>
          </cell>
          <cell r="E57" t="str">
            <v>37Y</v>
          </cell>
          <cell r="F57">
            <v>0</v>
          </cell>
          <cell r="G57">
            <v>0</v>
          </cell>
          <cell r="H57">
            <v>2.5881683560000002</v>
          </cell>
        </row>
        <row r="58">
          <cell r="B58">
            <v>41315</v>
          </cell>
          <cell r="C58" t="str">
            <v>EUR 3M CURVES</v>
          </cell>
          <cell r="D58">
            <v>18669</v>
          </cell>
          <cell r="E58" t="str">
            <v>38Y</v>
          </cell>
          <cell r="F58">
            <v>0</v>
          </cell>
          <cell r="G58">
            <v>0</v>
          </cell>
          <cell r="H58">
            <v>2.5937569100000002</v>
          </cell>
        </row>
        <row r="59">
          <cell r="B59">
            <v>41315</v>
          </cell>
          <cell r="C59" t="str">
            <v>EUR 3M CURVES</v>
          </cell>
          <cell r="D59">
            <v>19034</v>
          </cell>
          <cell r="E59" t="str">
            <v>39Y</v>
          </cell>
          <cell r="F59">
            <v>0</v>
          </cell>
          <cell r="G59">
            <v>0</v>
          </cell>
          <cell r="H59">
            <v>2.5994951639999999</v>
          </cell>
        </row>
        <row r="60">
          <cell r="B60">
            <v>41315</v>
          </cell>
          <cell r="C60" t="str">
            <v>EUR 3M CURVES</v>
          </cell>
          <cell r="D60">
            <v>19400</v>
          </cell>
          <cell r="E60" t="str">
            <v>40Y</v>
          </cell>
          <cell r="F60">
            <v>0</v>
          </cell>
          <cell r="G60">
            <v>0</v>
          </cell>
          <cell r="H60">
            <v>2.605</v>
          </cell>
        </row>
        <row r="61">
          <cell r="B61">
            <v>41315</v>
          </cell>
          <cell r="C61" t="str">
            <v>EUR 3M CURVES</v>
          </cell>
          <cell r="D61">
            <v>23052</v>
          </cell>
          <cell r="E61" t="str">
            <v>50Y</v>
          </cell>
          <cell r="F61">
            <v>0</v>
          </cell>
          <cell r="G61">
            <v>0</v>
          </cell>
          <cell r="H61">
            <v>2.65</v>
          </cell>
        </row>
        <row r="62">
          <cell r="B62">
            <v>41315</v>
          </cell>
          <cell r="C62" t="str">
            <v>EUR 3M CURVES</v>
          </cell>
          <cell r="D62">
            <v>26705</v>
          </cell>
          <cell r="E62" t="str">
            <v>60Y</v>
          </cell>
          <cell r="F62">
            <v>0</v>
          </cell>
          <cell r="G62">
            <v>0</v>
          </cell>
          <cell r="H62">
            <v>2.6810999999999998</v>
          </cell>
        </row>
        <row r="63">
          <cell r="B63" t="str">
            <v>21/11/16</v>
          </cell>
          <cell r="C63" t="str">
            <v>SWP_EUR3M_C</v>
          </cell>
          <cell r="D63" t="str">
            <v>22/11/55</v>
          </cell>
          <cell r="E63" t="str">
            <v>39Y</v>
          </cell>
          <cell r="F63">
            <v>0</v>
          </cell>
          <cell r="G63">
            <v>0</v>
          </cell>
          <cell r="H63">
            <v>1.1288653820000001</v>
          </cell>
        </row>
        <row r="64">
          <cell r="B64" t="str">
            <v>21/11/16</v>
          </cell>
          <cell r="C64" t="str">
            <v>SWP_EUR3M_C</v>
          </cell>
          <cell r="D64" t="str">
            <v>21/11/56</v>
          </cell>
          <cell r="E64" t="str">
            <v>40Y</v>
          </cell>
          <cell r="F64">
            <v>0</v>
          </cell>
          <cell r="G64">
            <v>0</v>
          </cell>
          <cell r="H64">
            <v>1.1259999999999999</v>
          </cell>
        </row>
        <row r="65">
          <cell r="B65" t="str">
            <v>21/11/16</v>
          </cell>
          <cell r="C65" t="str">
            <v>SWP_EUR3M_C</v>
          </cell>
          <cell r="D65" t="str">
            <v>22/11/66</v>
          </cell>
          <cell r="E65" t="str">
            <v>50Y</v>
          </cell>
          <cell r="F65">
            <v>0</v>
          </cell>
          <cell r="G65">
            <v>0</v>
          </cell>
          <cell r="H65">
            <v>1.079</v>
          </cell>
        </row>
        <row r="66">
          <cell r="B66" t="str">
            <v>21/11/16</v>
          </cell>
          <cell r="C66" t="str">
            <v>SWP_EUR3M_C</v>
          </cell>
          <cell r="D66" t="str">
            <v>23/11/76</v>
          </cell>
          <cell r="E66" t="str">
            <v>60Y</v>
          </cell>
          <cell r="F66">
            <v>0</v>
          </cell>
          <cell r="G66">
            <v>0</v>
          </cell>
          <cell r="H66">
            <v>1.048</v>
          </cell>
        </row>
      </sheetData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UR1Y"/>
    </sheetNames>
    <sheetDataSet>
      <sheetData sheetId="0">
        <row r="2">
          <cell r="B2" t="str">
            <v>30/09/13</v>
          </cell>
          <cell r="C2" t="str">
            <v>CASH CURVES</v>
          </cell>
          <cell r="D2">
            <v>41284</v>
          </cell>
          <cell r="E2" t="str">
            <v>O/N</v>
          </cell>
          <cell r="F2">
            <v>0</v>
          </cell>
          <cell r="G2">
            <v>0</v>
          </cell>
          <cell r="H2">
            <v>0.25</v>
          </cell>
        </row>
        <row r="3">
          <cell r="B3">
            <v>41284</v>
          </cell>
          <cell r="C3" t="str">
            <v>CASH CURVES</v>
          </cell>
          <cell r="D3">
            <v>41315</v>
          </cell>
          <cell r="E3" t="str">
            <v>T/N</v>
          </cell>
          <cell r="F3">
            <v>0</v>
          </cell>
          <cell r="G3">
            <v>0</v>
          </cell>
          <cell r="H3">
            <v>0.1</v>
          </cell>
        </row>
        <row r="4">
          <cell r="B4">
            <v>41315</v>
          </cell>
          <cell r="C4" t="str">
            <v>OIS 12M CURVES</v>
          </cell>
          <cell r="D4">
            <v>41343</v>
          </cell>
          <cell r="E4" t="str">
            <v>S/N</v>
          </cell>
          <cell r="F4">
            <v>0</v>
          </cell>
          <cell r="G4">
            <v>0</v>
          </cell>
          <cell r="H4">
            <v>0.44969999999999999</v>
          </cell>
        </row>
        <row r="5">
          <cell r="B5">
            <v>41315</v>
          </cell>
          <cell r="C5" t="str">
            <v>OIS 12M CURVES</v>
          </cell>
          <cell r="D5">
            <v>41527</v>
          </cell>
          <cell r="E5" t="str">
            <v>1W</v>
          </cell>
          <cell r="F5">
            <v>0</v>
          </cell>
          <cell r="G5">
            <v>0</v>
          </cell>
          <cell r="H5">
            <v>0.42870000000000003</v>
          </cell>
        </row>
        <row r="6">
          <cell r="B6">
            <v>41315</v>
          </cell>
          <cell r="C6" t="str">
            <v>OIS 12M CURVES</v>
          </cell>
          <cell r="D6" t="str">
            <v>16/10/13</v>
          </cell>
          <cell r="E6" t="str">
            <v>2W</v>
          </cell>
          <cell r="F6">
            <v>0</v>
          </cell>
          <cell r="G6">
            <v>0</v>
          </cell>
          <cell r="H6">
            <v>0.43669999999999998</v>
          </cell>
        </row>
        <row r="7">
          <cell r="B7">
            <v>41315</v>
          </cell>
          <cell r="C7" t="str">
            <v>OIS 12M CURVES</v>
          </cell>
          <cell r="D7" t="str">
            <v>23/10/13</v>
          </cell>
          <cell r="E7" t="str">
            <v>3W</v>
          </cell>
          <cell r="F7">
            <v>0</v>
          </cell>
          <cell r="G7">
            <v>0</v>
          </cell>
          <cell r="H7">
            <v>0.43869999999999998</v>
          </cell>
        </row>
        <row r="8">
          <cell r="B8">
            <v>41315</v>
          </cell>
          <cell r="C8" t="str">
            <v>OIS 12M CURVES</v>
          </cell>
          <cell r="D8">
            <v>41375</v>
          </cell>
          <cell r="E8" t="str">
            <v>1M</v>
          </cell>
          <cell r="F8">
            <v>0</v>
          </cell>
          <cell r="G8">
            <v>0</v>
          </cell>
          <cell r="H8">
            <v>0.44269999999999998</v>
          </cell>
        </row>
        <row r="9">
          <cell r="B9">
            <v>41315</v>
          </cell>
          <cell r="C9" t="str">
            <v>OIS 12M CURVES</v>
          </cell>
          <cell r="D9">
            <v>41317</v>
          </cell>
          <cell r="E9" t="str">
            <v>2M</v>
          </cell>
          <cell r="F9">
            <v>0</v>
          </cell>
          <cell r="G9">
            <v>0</v>
          </cell>
          <cell r="H9">
            <v>0.4466</v>
          </cell>
        </row>
        <row r="10">
          <cell r="B10">
            <v>41315</v>
          </cell>
          <cell r="C10" t="str">
            <v>OIS 12M CURVES</v>
          </cell>
          <cell r="D10">
            <v>41671</v>
          </cell>
          <cell r="E10" t="str">
            <v>3M</v>
          </cell>
          <cell r="F10">
            <v>0</v>
          </cell>
          <cell r="G10">
            <v>0</v>
          </cell>
          <cell r="H10">
            <v>0.4556</v>
          </cell>
        </row>
        <row r="11">
          <cell r="B11">
            <v>41315</v>
          </cell>
          <cell r="C11" t="str">
            <v>OIS 12M CURVES</v>
          </cell>
          <cell r="D11">
            <v>41700</v>
          </cell>
          <cell r="E11" t="str">
            <v>4M</v>
          </cell>
          <cell r="F11">
            <v>0</v>
          </cell>
          <cell r="G11">
            <v>0</v>
          </cell>
          <cell r="H11">
            <v>0.45960000000000001</v>
          </cell>
        </row>
        <row r="12">
          <cell r="B12">
            <v>41315</v>
          </cell>
          <cell r="C12" t="str">
            <v>OIS 12M CURVES</v>
          </cell>
          <cell r="D12">
            <v>41701</v>
          </cell>
          <cell r="E12" t="str">
            <v>5M</v>
          </cell>
          <cell r="F12">
            <v>0</v>
          </cell>
          <cell r="G12">
            <v>0</v>
          </cell>
          <cell r="H12">
            <v>0.46260000000000001</v>
          </cell>
        </row>
        <row r="13">
          <cell r="B13">
            <v>41315</v>
          </cell>
          <cell r="C13" t="str">
            <v>OIS 12M CURVES</v>
          </cell>
          <cell r="D13">
            <v>41674</v>
          </cell>
          <cell r="E13" t="str">
            <v>6M</v>
          </cell>
          <cell r="F13">
            <v>0</v>
          </cell>
          <cell r="G13">
            <v>0</v>
          </cell>
          <cell r="H13">
            <v>0.46860000000000002</v>
          </cell>
        </row>
        <row r="14">
          <cell r="B14">
            <v>41315</v>
          </cell>
          <cell r="C14" t="str">
            <v>OIS 12M CURVES</v>
          </cell>
          <cell r="D14">
            <v>41675</v>
          </cell>
          <cell r="E14" t="str">
            <v>7M</v>
          </cell>
          <cell r="F14">
            <v>0</v>
          </cell>
          <cell r="G14">
            <v>0</v>
          </cell>
          <cell r="H14">
            <v>0.47360000000000002</v>
          </cell>
        </row>
        <row r="15">
          <cell r="B15">
            <v>41315</v>
          </cell>
          <cell r="C15" t="str">
            <v>OIS 12M CURVES</v>
          </cell>
          <cell r="D15">
            <v>41676</v>
          </cell>
          <cell r="E15" t="str">
            <v>8M</v>
          </cell>
          <cell r="F15">
            <v>0</v>
          </cell>
          <cell r="G15">
            <v>0</v>
          </cell>
          <cell r="H15">
            <v>0.47960000000000003</v>
          </cell>
        </row>
        <row r="16">
          <cell r="B16">
            <v>41315</v>
          </cell>
          <cell r="C16" t="str">
            <v>STUB 12M CURVES</v>
          </cell>
          <cell r="D16" t="str">
            <v>18/06/14</v>
          </cell>
          <cell r="E16" t="str">
            <v>#20140618</v>
          </cell>
          <cell r="F16">
            <v>0</v>
          </cell>
          <cell r="G16">
            <v>0</v>
          </cell>
          <cell r="H16">
            <v>0.48280000000000001</v>
          </cell>
        </row>
        <row r="17">
          <cell r="B17" t="str">
            <v>18/06/14</v>
          </cell>
          <cell r="C17" t="str">
            <v>LIFEURCURVES12M</v>
          </cell>
          <cell r="D17" t="str">
            <v>18/09/14</v>
          </cell>
          <cell r="E17">
            <v>41439</v>
          </cell>
          <cell r="F17">
            <v>0</v>
          </cell>
          <cell r="G17">
            <v>0</v>
          </cell>
          <cell r="H17">
            <v>99.316450000000003</v>
          </cell>
        </row>
        <row r="18">
          <cell r="B18" t="str">
            <v>17/09/14</v>
          </cell>
          <cell r="C18" t="str">
            <v>LIFEURCURVES12M</v>
          </cell>
          <cell r="D18" t="str">
            <v>17/12/14</v>
          </cell>
          <cell r="E18">
            <v>41531</v>
          </cell>
          <cell r="F18">
            <v>0</v>
          </cell>
          <cell r="G18">
            <v>0</v>
          </cell>
          <cell r="H18">
            <v>99.267200000000003</v>
          </cell>
        </row>
        <row r="19">
          <cell r="B19" t="str">
            <v>17/12/14</v>
          </cell>
          <cell r="C19" t="str">
            <v>LIFEURCURVES12M</v>
          </cell>
          <cell r="D19" t="str">
            <v>17/03/15</v>
          </cell>
          <cell r="E19">
            <v>41622</v>
          </cell>
          <cell r="F19">
            <v>0</v>
          </cell>
          <cell r="G19">
            <v>0</v>
          </cell>
          <cell r="H19">
            <v>99.226650000000006</v>
          </cell>
        </row>
        <row r="20">
          <cell r="B20" t="str">
            <v>18/03/15</v>
          </cell>
          <cell r="C20" t="str">
            <v>LIFEURCURVES12M</v>
          </cell>
          <cell r="D20" t="str">
            <v>18/06/15</v>
          </cell>
          <cell r="E20">
            <v>41348</v>
          </cell>
          <cell r="F20">
            <v>0</v>
          </cell>
          <cell r="G20">
            <v>0</v>
          </cell>
          <cell r="H20">
            <v>99.151899999999998</v>
          </cell>
        </row>
        <row r="21">
          <cell r="B21" t="str">
            <v>17/06/15</v>
          </cell>
          <cell r="C21" t="str">
            <v>LIFEURCURVES12M</v>
          </cell>
          <cell r="D21" t="str">
            <v>17/09/15</v>
          </cell>
          <cell r="E21">
            <v>41440</v>
          </cell>
          <cell r="F21">
            <v>0</v>
          </cell>
          <cell r="G21">
            <v>0</v>
          </cell>
          <cell r="H21">
            <v>99.062899999999999</v>
          </cell>
        </row>
        <row r="22">
          <cell r="B22" t="str">
            <v>16/09/15</v>
          </cell>
          <cell r="C22" t="str">
            <v>LIFEURCURVES12M</v>
          </cell>
          <cell r="D22" t="str">
            <v>16/12/15</v>
          </cell>
          <cell r="E22">
            <v>41532</v>
          </cell>
          <cell r="F22">
            <v>0</v>
          </cell>
          <cell r="G22">
            <v>0</v>
          </cell>
          <cell r="H22">
            <v>98.960800000000006</v>
          </cell>
        </row>
        <row r="23">
          <cell r="B23">
            <v>41315</v>
          </cell>
          <cell r="C23" t="str">
            <v>EUR 12M CURVES</v>
          </cell>
          <cell r="D23">
            <v>42439</v>
          </cell>
          <cell r="E23" t="str">
            <v>3Y</v>
          </cell>
          <cell r="F23">
            <v>0</v>
          </cell>
          <cell r="G23">
            <v>0</v>
          </cell>
          <cell r="H23">
            <v>0.90300000000000002</v>
          </cell>
        </row>
        <row r="24">
          <cell r="B24">
            <v>41315</v>
          </cell>
          <cell r="C24" t="str">
            <v>EUR 12M CURVES</v>
          </cell>
          <cell r="D24">
            <v>42776</v>
          </cell>
          <cell r="E24" t="str">
            <v>4Y</v>
          </cell>
          <cell r="F24">
            <v>0</v>
          </cell>
          <cell r="G24">
            <v>0</v>
          </cell>
          <cell r="H24">
            <v>1.1419999999999999</v>
          </cell>
        </row>
        <row r="25">
          <cell r="B25">
            <v>41315</v>
          </cell>
          <cell r="C25" t="str">
            <v>EUR 12M CURVES</v>
          </cell>
          <cell r="D25">
            <v>43141</v>
          </cell>
          <cell r="E25" t="str">
            <v>5Y</v>
          </cell>
          <cell r="F25">
            <v>0</v>
          </cell>
          <cell r="G25">
            <v>0</v>
          </cell>
          <cell r="H25">
            <v>1.3759999999999999</v>
          </cell>
        </row>
        <row r="26">
          <cell r="B26">
            <v>41315</v>
          </cell>
          <cell r="C26" t="str">
            <v>EUR 12M CURVES</v>
          </cell>
          <cell r="D26">
            <v>43506</v>
          </cell>
          <cell r="E26" t="str">
            <v>6Y</v>
          </cell>
          <cell r="F26">
            <v>0</v>
          </cell>
          <cell r="G26">
            <v>0</v>
          </cell>
          <cell r="H26">
            <v>1.587</v>
          </cell>
        </row>
        <row r="27">
          <cell r="B27">
            <v>41315</v>
          </cell>
          <cell r="C27" t="str">
            <v>EUR 12M CURVES</v>
          </cell>
          <cell r="D27">
            <v>43871</v>
          </cell>
          <cell r="E27" t="str">
            <v>7Y</v>
          </cell>
          <cell r="F27">
            <v>0</v>
          </cell>
          <cell r="G27">
            <v>0</v>
          </cell>
          <cell r="H27">
            <v>1.772</v>
          </cell>
        </row>
        <row r="28">
          <cell r="B28">
            <v>41315</v>
          </cell>
          <cell r="C28" t="str">
            <v>EUR 12M CURVES</v>
          </cell>
          <cell r="D28">
            <v>44296</v>
          </cell>
          <cell r="E28" t="str">
            <v>8Y</v>
          </cell>
          <cell r="F28">
            <v>0</v>
          </cell>
          <cell r="G28">
            <v>0</v>
          </cell>
          <cell r="H28">
            <v>1.9350000000000001</v>
          </cell>
        </row>
        <row r="29">
          <cell r="B29">
            <v>41315</v>
          </cell>
          <cell r="C29" t="str">
            <v>EUR 12M CURVES</v>
          </cell>
          <cell r="D29">
            <v>44630</v>
          </cell>
          <cell r="E29" t="str">
            <v>9Y</v>
          </cell>
          <cell r="F29">
            <v>0</v>
          </cell>
          <cell r="G29">
            <v>0</v>
          </cell>
          <cell r="H29">
            <v>2.0779999999999998</v>
          </cell>
        </row>
        <row r="30">
          <cell r="B30">
            <v>41315</v>
          </cell>
          <cell r="C30" t="str">
            <v>EUR 12M CURVES</v>
          </cell>
          <cell r="D30">
            <v>44967</v>
          </cell>
          <cell r="E30" t="str">
            <v>10Y</v>
          </cell>
          <cell r="F30">
            <v>0</v>
          </cell>
          <cell r="G30">
            <v>0</v>
          </cell>
          <cell r="H30">
            <v>2.206</v>
          </cell>
        </row>
        <row r="31">
          <cell r="B31">
            <v>41315</v>
          </cell>
          <cell r="C31" t="str">
            <v>EUR 12M CURVES</v>
          </cell>
          <cell r="D31">
            <v>45332</v>
          </cell>
          <cell r="E31" t="str">
            <v>11Y</v>
          </cell>
          <cell r="F31">
            <v>0</v>
          </cell>
          <cell r="G31">
            <v>0</v>
          </cell>
          <cell r="H31">
            <v>2.316115838</v>
          </cell>
        </row>
        <row r="32">
          <cell r="B32">
            <v>41315</v>
          </cell>
          <cell r="C32" t="str">
            <v>EUR 12M CURVES</v>
          </cell>
          <cell r="D32">
            <v>45698</v>
          </cell>
          <cell r="E32" t="str">
            <v>12Y</v>
          </cell>
          <cell r="F32">
            <v>0</v>
          </cell>
          <cell r="G32">
            <v>0</v>
          </cell>
          <cell r="H32">
            <v>2.4079999999999999</v>
          </cell>
        </row>
        <row r="33">
          <cell r="B33">
            <v>41315</v>
          </cell>
          <cell r="C33" t="str">
            <v>EUR 12M CURVES</v>
          </cell>
          <cell r="D33">
            <v>46063</v>
          </cell>
          <cell r="E33" t="str">
            <v>13Y</v>
          </cell>
          <cell r="F33">
            <v>0</v>
          </cell>
          <cell r="G33">
            <v>0</v>
          </cell>
          <cell r="H33">
            <v>2.4849307349999998</v>
          </cell>
        </row>
        <row r="34">
          <cell r="B34">
            <v>41315</v>
          </cell>
          <cell r="C34" t="str">
            <v>EUR 12M CURVES</v>
          </cell>
          <cell r="D34">
            <v>46487</v>
          </cell>
          <cell r="E34" t="str">
            <v>14Y</v>
          </cell>
          <cell r="F34">
            <v>0</v>
          </cell>
          <cell r="G34">
            <v>0</v>
          </cell>
          <cell r="H34">
            <v>2.5481966219999999</v>
          </cell>
        </row>
        <row r="35">
          <cell r="B35">
            <v>41315</v>
          </cell>
          <cell r="C35" t="str">
            <v>EUR 12M CURVES</v>
          </cell>
          <cell r="D35">
            <v>46793</v>
          </cell>
          <cell r="E35" t="str">
            <v>15Y</v>
          </cell>
          <cell r="F35">
            <v>0</v>
          </cell>
          <cell r="G35">
            <v>0</v>
          </cell>
          <cell r="H35">
            <v>2.5979999999999999</v>
          </cell>
        </row>
        <row r="36">
          <cell r="B36">
            <v>41315</v>
          </cell>
          <cell r="C36" t="str">
            <v>EUR 12M CURVES</v>
          </cell>
          <cell r="D36">
            <v>47159</v>
          </cell>
          <cell r="E36" t="str">
            <v>16Y</v>
          </cell>
          <cell r="F36">
            <v>0</v>
          </cell>
          <cell r="G36">
            <v>0</v>
          </cell>
          <cell r="H36">
            <v>2.6352209210000002</v>
          </cell>
        </row>
        <row r="37">
          <cell r="B37">
            <v>41315</v>
          </cell>
          <cell r="C37" t="str">
            <v>EUR 12M CURVES</v>
          </cell>
          <cell r="D37">
            <v>10999</v>
          </cell>
          <cell r="E37" t="str">
            <v>17Y</v>
          </cell>
          <cell r="F37">
            <v>0</v>
          </cell>
          <cell r="G37">
            <v>0</v>
          </cell>
          <cell r="H37">
            <v>2.6626261790000001</v>
          </cell>
        </row>
        <row r="38">
          <cell r="B38">
            <v>41315</v>
          </cell>
          <cell r="C38" t="str">
            <v>EUR 12M CURVES</v>
          </cell>
          <cell r="D38">
            <v>11364</v>
          </cell>
          <cell r="E38" t="str">
            <v>18Y</v>
          </cell>
          <cell r="F38">
            <v>0</v>
          </cell>
          <cell r="G38">
            <v>0</v>
          </cell>
          <cell r="H38">
            <v>2.6825371659999999</v>
          </cell>
        </row>
        <row r="39">
          <cell r="B39">
            <v>41315</v>
          </cell>
          <cell r="C39" t="str">
            <v>EUR 12M CURVES</v>
          </cell>
          <cell r="D39">
            <v>11789</v>
          </cell>
          <cell r="E39" t="str">
            <v>19Y</v>
          </cell>
          <cell r="F39">
            <v>0</v>
          </cell>
          <cell r="G39">
            <v>0</v>
          </cell>
          <cell r="H39">
            <v>2.69714462</v>
          </cell>
        </row>
        <row r="40">
          <cell r="B40">
            <v>41315</v>
          </cell>
          <cell r="C40" t="str">
            <v>EUR 12M CURVES</v>
          </cell>
          <cell r="D40">
            <v>12123</v>
          </cell>
          <cell r="E40" t="str">
            <v>20Y</v>
          </cell>
          <cell r="F40">
            <v>0</v>
          </cell>
          <cell r="G40">
            <v>0</v>
          </cell>
          <cell r="H40">
            <v>2.7069999999999999</v>
          </cell>
        </row>
        <row r="41">
          <cell r="B41">
            <v>41315</v>
          </cell>
          <cell r="C41" t="str">
            <v>EUR 12M CURVES</v>
          </cell>
          <cell r="D41">
            <v>12460</v>
          </cell>
          <cell r="E41" t="str">
            <v>21Y</v>
          </cell>
          <cell r="F41">
            <v>0</v>
          </cell>
          <cell r="G41">
            <v>0</v>
          </cell>
          <cell r="H41">
            <v>2.713647216</v>
          </cell>
        </row>
        <row r="42">
          <cell r="B42">
            <v>41315</v>
          </cell>
          <cell r="C42" t="str">
            <v>EUR 12M CURVES</v>
          </cell>
          <cell r="D42">
            <v>12825</v>
          </cell>
          <cell r="E42" t="str">
            <v>22Y</v>
          </cell>
          <cell r="F42">
            <v>0</v>
          </cell>
          <cell r="G42">
            <v>0</v>
          </cell>
          <cell r="H42">
            <v>2.7177305760000001</v>
          </cell>
        </row>
        <row r="43">
          <cell r="B43">
            <v>41315</v>
          </cell>
          <cell r="C43" t="str">
            <v>EUR 12M CURVES</v>
          </cell>
          <cell r="D43">
            <v>13190</v>
          </cell>
          <cell r="E43" t="str">
            <v>23Y</v>
          </cell>
          <cell r="F43">
            <v>0</v>
          </cell>
          <cell r="G43">
            <v>0</v>
          </cell>
          <cell r="H43">
            <v>2.7199381379999998</v>
          </cell>
        </row>
        <row r="44">
          <cell r="B44">
            <v>41315</v>
          </cell>
          <cell r="C44" t="str">
            <v>EUR 12M CURVES</v>
          </cell>
          <cell r="D44">
            <v>13556</v>
          </cell>
          <cell r="E44" t="str">
            <v>24Y</v>
          </cell>
          <cell r="F44">
            <v>0</v>
          </cell>
          <cell r="G44">
            <v>0</v>
          </cell>
          <cell r="H44">
            <v>2.7201736680000002</v>
          </cell>
        </row>
        <row r="45">
          <cell r="B45">
            <v>41315</v>
          </cell>
          <cell r="C45" t="str">
            <v>EUR 12M CURVES</v>
          </cell>
          <cell r="D45">
            <v>13980</v>
          </cell>
          <cell r="E45" t="str">
            <v>25Y</v>
          </cell>
          <cell r="F45">
            <v>0</v>
          </cell>
          <cell r="G45">
            <v>0</v>
          </cell>
          <cell r="H45">
            <v>2.7189999999999999</v>
          </cell>
        </row>
        <row r="46">
          <cell r="B46">
            <v>41315</v>
          </cell>
          <cell r="C46" t="str">
            <v>EUR 12M CURVES</v>
          </cell>
          <cell r="D46">
            <v>14314</v>
          </cell>
          <cell r="E46" t="str">
            <v>26Y</v>
          </cell>
          <cell r="F46">
            <v>0</v>
          </cell>
          <cell r="G46">
            <v>0</v>
          </cell>
          <cell r="H46">
            <v>2.716789999</v>
          </cell>
        </row>
        <row r="47">
          <cell r="B47">
            <v>41315</v>
          </cell>
          <cell r="C47" t="str">
            <v>EUR 12M CURVES</v>
          </cell>
          <cell r="D47">
            <v>14651</v>
          </cell>
          <cell r="E47" t="str">
            <v>27Y</v>
          </cell>
          <cell r="F47">
            <v>0</v>
          </cell>
          <cell r="G47">
            <v>0</v>
          </cell>
          <cell r="H47">
            <v>2.714319245</v>
          </cell>
        </row>
        <row r="48">
          <cell r="B48">
            <v>41315</v>
          </cell>
          <cell r="C48" t="str">
            <v>EUR 12M CURVES</v>
          </cell>
          <cell r="D48">
            <v>15017</v>
          </cell>
          <cell r="E48" t="str">
            <v>28Y</v>
          </cell>
          <cell r="F48">
            <v>0</v>
          </cell>
          <cell r="G48">
            <v>0</v>
          </cell>
          <cell r="H48">
            <v>2.7117890349999998</v>
          </cell>
        </row>
        <row r="49">
          <cell r="B49">
            <v>41315</v>
          </cell>
          <cell r="C49" t="str">
            <v>EUR 12M CURVES</v>
          </cell>
          <cell r="D49">
            <v>15382</v>
          </cell>
          <cell r="E49" t="str">
            <v>29Y</v>
          </cell>
          <cell r="F49">
            <v>0</v>
          </cell>
          <cell r="G49">
            <v>0</v>
          </cell>
          <cell r="H49">
            <v>2.7098799109999998</v>
          </cell>
        </row>
        <row r="50">
          <cell r="B50">
            <v>41315</v>
          </cell>
          <cell r="C50" t="str">
            <v>EUR 12M CURVES</v>
          </cell>
          <cell r="D50">
            <v>15747</v>
          </cell>
          <cell r="E50" t="str">
            <v>30Y</v>
          </cell>
          <cell r="F50">
            <v>0</v>
          </cell>
          <cell r="G50">
            <v>0</v>
          </cell>
          <cell r="H50">
            <v>2.7090000000000001</v>
          </cell>
        </row>
        <row r="51">
          <cell r="B51">
            <v>41315</v>
          </cell>
          <cell r="C51" t="str">
            <v>EUR 12M CURVES</v>
          </cell>
          <cell r="D51">
            <v>16141</v>
          </cell>
          <cell r="E51" t="str">
            <v>31Y</v>
          </cell>
          <cell r="F51">
            <v>0</v>
          </cell>
          <cell r="G51">
            <v>0</v>
          </cell>
          <cell r="H51">
            <v>2.7095634720000001</v>
          </cell>
        </row>
        <row r="52">
          <cell r="B52">
            <v>41315</v>
          </cell>
          <cell r="C52" t="str">
            <v>EUR 12M CURVES</v>
          </cell>
          <cell r="D52">
            <v>16478</v>
          </cell>
          <cell r="E52" t="str">
            <v>32Y</v>
          </cell>
          <cell r="F52">
            <v>0</v>
          </cell>
          <cell r="G52">
            <v>0</v>
          </cell>
          <cell r="H52">
            <v>2.7111159659999999</v>
          </cell>
        </row>
        <row r="53">
          <cell r="B53">
            <v>41315</v>
          </cell>
          <cell r="C53" t="str">
            <v>EUR 12M CURVES</v>
          </cell>
          <cell r="D53">
            <v>16843</v>
          </cell>
          <cell r="E53" t="str">
            <v>33Y</v>
          </cell>
          <cell r="F53">
            <v>0</v>
          </cell>
          <cell r="G53">
            <v>0</v>
          </cell>
          <cell r="H53">
            <v>2.7136282629999999</v>
          </cell>
        </row>
        <row r="54">
          <cell r="B54">
            <v>41315</v>
          </cell>
          <cell r="C54" t="str">
            <v>EUR 12M CURVES</v>
          </cell>
          <cell r="D54">
            <v>17208</v>
          </cell>
          <cell r="E54" t="str">
            <v>34Y</v>
          </cell>
          <cell r="F54">
            <v>0</v>
          </cell>
          <cell r="G54">
            <v>0</v>
          </cell>
          <cell r="H54">
            <v>2.7169258730000001</v>
          </cell>
        </row>
        <row r="55">
          <cell r="B55">
            <v>41315</v>
          </cell>
          <cell r="C55" t="str">
            <v>EUR 12M CURVES</v>
          </cell>
          <cell r="D55">
            <v>17573</v>
          </cell>
          <cell r="E55" t="str">
            <v>35Y</v>
          </cell>
          <cell r="F55">
            <v>0</v>
          </cell>
          <cell r="G55">
            <v>0</v>
          </cell>
          <cell r="H55">
            <v>2.7210000000000001</v>
          </cell>
        </row>
        <row r="56">
          <cell r="B56">
            <v>41315</v>
          </cell>
          <cell r="C56" t="str">
            <v>EUR 12M CURVES</v>
          </cell>
          <cell r="D56">
            <v>17998</v>
          </cell>
          <cell r="E56" t="str">
            <v>36Y</v>
          </cell>
          <cell r="F56">
            <v>0</v>
          </cell>
          <cell r="G56">
            <v>0</v>
          </cell>
          <cell r="H56">
            <v>2.7254486120000001</v>
          </cell>
        </row>
        <row r="57">
          <cell r="B57">
            <v>41315</v>
          </cell>
          <cell r="C57" t="str">
            <v>EUR 12M CURVES</v>
          </cell>
          <cell r="D57">
            <v>18332</v>
          </cell>
          <cell r="E57" t="str">
            <v>37Y</v>
          </cell>
          <cell r="F57">
            <v>0</v>
          </cell>
          <cell r="G57">
            <v>0</v>
          </cell>
          <cell r="H57">
            <v>2.7301824529999998</v>
          </cell>
        </row>
        <row r="58">
          <cell r="B58">
            <v>41315</v>
          </cell>
          <cell r="C58" t="str">
            <v>EUR 12M CURVES</v>
          </cell>
          <cell r="D58">
            <v>18669</v>
          </cell>
          <cell r="E58" t="str">
            <v>38Y</v>
          </cell>
          <cell r="F58">
            <v>0</v>
          </cell>
          <cell r="G58">
            <v>0</v>
          </cell>
          <cell r="H58">
            <v>2.7350811479999999</v>
          </cell>
        </row>
        <row r="59">
          <cell r="B59">
            <v>41315</v>
          </cell>
          <cell r="C59" t="str">
            <v>EUR 12M CURVES</v>
          </cell>
          <cell r="D59">
            <v>19034</v>
          </cell>
          <cell r="E59" t="str">
            <v>39Y</v>
          </cell>
          <cell r="F59">
            <v>0</v>
          </cell>
          <cell r="G59">
            <v>0</v>
          </cell>
          <cell r="H59">
            <v>2.7401469180000002</v>
          </cell>
        </row>
        <row r="60">
          <cell r="B60">
            <v>41315</v>
          </cell>
          <cell r="C60" t="str">
            <v>EUR 12M CURVES</v>
          </cell>
          <cell r="D60">
            <v>19400</v>
          </cell>
          <cell r="E60" t="str">
            <v>40Y</v>
          </cell>
          <cell r="F60">
            <v>0</v>
          </cell>
          <cell r="G60">
            <v>0</v>
          </cell>
          <cell r="H60">
            <v>2.7450000000000001</v>
          </cell>
        </row>
        <row r="61">
          <cell r="B61">
            <v>41315</v>
          </cell>
          <cell r="C61" t="str">
            <v>EUR 12M CURVES</v>
          </cell>
          <cell r="D61">
            <v>23052</v>
          </cell>
          <cell r="E61" t="str">
            <v>50Y</v>
          </cell>
          <cell r="F61">
            <v>0</v>
          </cell>
          <cell r="G61">
            <v>0</v>
          </cell>
          <cell r="H61">
            <v>2.7850000000000001</v>
          </cell>
        </row>
        <row r="62">
          <cell r="B62">
            <v>41315</v>
          </cell>
          <cell r="C62" t="str">
            <v>EUR 12M CURVES</v>
          </cell>
          <cell r="D62">
            <v>26705</v>
          </cell>
          <cell r="E62" t="str">
            <v>60Y</v>
          </cell>
          <cell r="F62">
            <v>0</v>
          </cell>
          <cell r="G62">
            <v>0</v>
          </cell>
          <cell r="H62">
            <v>2.8130000000000002</v>
          </cell>
        </row>
        <row r="63">
          <cell r="B63" t="str">
            <v>21/11/16</v>
          </cell>
          <cell r="C63" t="str">
            <v>SWP_EUR1Y_C</v>
          </cell>
          <cell r="D63" t="str">
            <v>21/11/52</v>
          </cell>
          <cell r="E63" t="str">
            <v>36Y</v>
          </cell>
          <cell r="F63">
            <v>0</v>
          </cell>
          <cell r="G63">
            <v>0</v>
          </cell>
          <cell r="H63">
            <v>1.234288252</v>
          </cell>
        </row>
        <row r="64">
          <cell r="B64" t="str">
            <v>21/11/16</v>
          </cell>
          <cell r="C64" t="str">
            <v>SWP_EUR1Y_C</v>
          </cell>
          <cell r="D64" t="str">
            <v>21/11/53</v>
          </cell>
          <cell r="E64" t="str">
            <v>37Y</v>
          </cell>
          <cell r="F64">
            <v>0</v>
          </cell>
          <cell r="G64">
            <v>0</v>
          </cell>
          <cell r="H64">
            <v>1.231209486</v>
          </cell>
        </row>
        <row r="65">
          <cell r="B65" t="str">
            <v>21/11/16</v>
          </cell>
          <cell r="C65" t="str">
            <v>SWP_EUR1Y_C</v>
          </cell>
          <cell r="D65" t="str">
            <v>23/11/54</v>
          </cell>
          <cell r="E65" t="str">
            <v>38Y</v>
          </cell>
          <cell r="F65">
            <v>0</v>
          </cell>
          <cell r="G65">
            <v>0</v>
          </cell>
          <cell r="H65">
            <v>1.227640302</v>
          </cell>
        </row>
        <row r="66">
          <cell r="B66" t="str">
            <v>21/11/16</v>
          </cell>
          <cell r="C66" t="str">
            <v>SWP_EUR1Y_C</v>
          </cell>
          <cell r="D66" t="str">
            <v>22/11/55</v>
          </cell>
          <cell r="E66" t="str">
            <v>39Y</v>
          </cell>
          <cell r="F66">
            <v>0</v>
          </cell>
          <cell r="G66">
            <v>0</v>
          </cell>
          <cell r="H66">
            <v>1.223567074</v>
          </cell>
        </row>
        <row r="67">
          <cell r="B67" t="str">
            <v>21/11/16</v>
          </cell>
          <cell r="C67" t="str">
            <v>SWP_EUR1Y_C</v>
          </cell>
          <cell r="D67" t="str">
            <v>21/11/56</v>
          </cell>
          <cell r="E67" t="str">
            <v>40Y</v>
          </cell>
          <cell r="F67">
            <v>0</v>
          </cell>
          <cell r="G67">
            <v>0</v>
          </cell>
          <cell r="H67">
            <v>1.2190000000000001</v>
          </cell>
        </row>
        <row r="68">
          <cell r="B68" t="str">
            <v>21/11/16</v>
          </cell>
          <cell r="C68" t="str">
            <v>SWP_EUR1Y_C</v>
          </cell>
          <cell r="D68" t="str">
            <v>22/11/66</v>
          </cell>
          <cell r="E68" t="str">
            <v>50Y</v>
          </cell>
          <cell r="F68">
            <v>0</v>
          </cell>
          <cell r="G68">
            <v>0</v>
          </cell>
          <cell r="H68">
            <v>1.1599999999999999</v>
          </cell>
        </row>
        <row r="69">
          <cell r="B69" t="str">
            <v>21/11/16</v>
          </cell>
          <cell r="C69" t="str">
            <v>SWP_EUR1Y_C</v>
          </cell>
          <cell r="D69" t="str">
            <v>23/11/76</v>
          </cell>
          <cell r="E69" t="str">
            <v>60Y</v>
          </cell>
          <cell r="F69">
            <v>0</v>
          </cell>
          <cell r="G69">
            <v>0</v>
          </cell>
          <cell r="H69">
            <v>1.121</v>
          </cell>
        </row>
      </sheetData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URStd"/>
    </sheetNames>
    <sheetDataSet>
      <sheetData sheetId="0">
        <row r="2">
          <cell r="B2" t="str">
            <v>30/09/13</v>
          </cell>
          <cell r="C2" t="str">
            <v>CASH</v>
          </cell>
          <cell r="D2">
            <v>41284</v>
          </cell>
          <cell r="E2" t="str">
            <v>O/N</v>
          </cell>
          <cell r="F2">
            <v>0</v>
          </cell>
          <cell r="G2">
            <v>0</v>
          </cell>
          <cell r="H2">
            <v>0.25</v>
          </cell>
        </row>
        <row r="3">
          <cell r="B3">
            <v>41284</v>
          </cell>
          <cell r="C3" t="str">
            <v>CASH</v>
          </cell>
          <cell r="D3">
            <v>41315</v>
          </cell>
          <cell r="E3" t="str">
            <v>T/N</v>
          </cell>
          <cell r="F3">
            <v>0</v>
          </cell>
          <cell r="G3">
            <v>0</v>
          </cell>
          <cell r="H3">
            <v>0.1</v>
          </cell>
        </row>
        <row r="4">
          <cell r="B4">
            <v>41315</v>
          </cell>
          <cell r="C4" t="str">
            <v>CASH</v>
          </cell>
          <cell r="D4">
            <v>41343</v>
          </cell>
          <cell r="E4" t="str">
            <v>S/N</v>
          </cell>
          <cell r="F4">
            <v>0</v>
          </cell>
          <cell r="G4">
            <v>0</v>
          </cell>
          <cell r="H4">
            <v>0.1</v>
          </cell>
        </row>
        <row r="5">
          <cell r="B5">
            <v>41315</v>
          </cell>
          <cell r="C5" t="str">
            <v>CASH</v>
          </cell>
          <cell r="D5">
            <v>41527</v>
          </cell>
          <cell r="E5" t="str">
            <v>1W</v>
          </cell>
          <cell r="F5">
            <v>0</v>
          </cell>
          <cell r="G5">
            <v>0</v>
          </cell>
          <cell r="H5">
            <v>0.1</v>
          </cell>
        </row>
        <row r="6">
          <cell r="B6">
            <v>41315</v>
          </cell>
          <cell r="C6" t="str">
            <v>CASH</v>
          </cell>
          <cell r="D6" t="str">
            <v>16/10/13</v>
          </cell>
          <cell r="E6" t="str">
            <v>2W</v>
          </cell>
          <cell r="F6">
            <v>0</v>
          </cell>
          <cell r="G6">
            <v>0</v>
          </cell>
          <cell r="H6">
            <v>0.11</v>
          </cell>
        </row>
        <row r="7">
          <cell r="B7">
            <v>41315</v>
          </cell>
          <cell r="C7" t="str">
            <v>CASH</v>
          </cell>
          <cell r="D7" t="str">
            <v>23/10/13</v>
          </cell>
          <cell r="E7" t="str">
            <v>3W</v>
          </cell>
          <cell r="F7">
            <v>0</v>
          </cell>
          <cell r="G7">
            <v>0</v>
          </cell>
          <cell r="H7">
            <v>0.12</v>
          </cell>
        </row>
        <row r="8">
          <cell r="B8">
            <v>41315</v>
          </cell>
          <cell r="C8" t="str">
            <v>CASH</v>
          </cell>
          <cell r="D8">
            <v>41375</v>
          </cell>
          <cell r="E8" t="str">
            <v>1M</v>
          </cell>
          <cell r="F8">
            <v>0</v>
          </cell>
          <cell r="G8">
            <v>0</v>
          </cell>
          <cell r="H8">
            <v>0.13</v>
          </cell>
        </row>
        <row r="9">
          <cell r="B9">
            <v>41315</v>
          </cell>
          <cell r="C9" t="str">
            <v>CASH</v>
          </cell>
          <cell r="D9">
            <v>41317</v>
          </cell>
          <cell r="E9" t="str">
            <v>2M</v>
          </cell>
          <cell r="F9">
            <v>0</v>
          </cell>
          <cell r="G9">
            <v>0</v>
          </cell>
          <cell r="H9">
            <v>0.17</v>
          </cell>
        </row>
        <row r="10">
          <cell r="B10">
            <v>41315</v>
          </cell>
          <cell r="C10" t="str">
            <v>CASH</v>
          </cell>
          <cell r="D10">
            <v>41671</v>
          </cell>
          <cell r="E10" t="str">
            <v>3M</v>
          </cell>
          <cell r="F10">
            <v>0</v>
          </cell>
          <cell r="G10">
            <v>0</v>
          </cell>
          <cell r="H10">
            <v>0.23</v>
          </cell>
        </row>
        <row r="11">
          <cell r="B11">
            <v>41315</v>
          </cell>
          <cell r="C11" t="str">
            <v>CASH</v>
          </cell>
          <cell r="D11">
            <v>41700</v>
          </cell>
          <cell r="E11" t="str">
            <v>4M</v>
          </cell>
          <cell r="F11">
            <v>0</v>
          </cell>
          <cell r="G11">
            <v>0</v>
          </cell>
          <cell r="H11">
            <v>0.26</v>
          </cell>
        </row>
        <row r="12">
          <cell r="B12">
            <v>41315</v>
          </cell>
          <cell r="C12" t="str">
            <v>CASH</v>
          </cell>
          <cell r="D12">
            <v>41701</v>
          </cell>
          <cell r="E12" t="str">
            <v>5M</v>
          </cell>
          <cell r="F12">
            <v>0</v>
          </cell>
          <cell r="G12">
            <v>0</v>
          </cell>
          <cell r="H12">
            <v>0.28999999999999998</v>
          </cell>
        </row>
        <row r="13">
          <cell r="B13">
            <v>41315</v>
          </cell>
          <cell r="C13" t="str">
            <v>CASH</v>
          </cell>
          <cell r="D13">
            <v>41674</v>
          </cell>
          <cell r="E13" t="str">
            <v>6M</v>
          </cell>
          <cell r="F13">
            <v>0</v>
          </cell>
          <cell r="G13">
            <v>0</v>
          </cell>
          <cell r="H13">
            <v>0.33</v>
          </cell>
        </row>
        <row r="14">
          <cell r="B14">
            <v>41315</v>
          </cell>
          <cell r="C14" t="str">
            <v>CASH</v>
          </cell>
          <cell r="D14">
            <v>41675</v>
          </cell>
          <cell r="E14" t="str">
            <v>7M</v>
          </cell>
          <cell r="F14">
            <v>0</v>
          </cell>
          <cell r="G14">
            <v>0</v>
          </cell>
          <cell r="H14">
            <v>0.37</v>
          </cell>
        </row>
        <row r="15">
          <cell r="B15">
            <v>41315</v>
          </cell>
          <cell r="C15" t="str">
            <v>CASH</v>
          </cell>
          <cell r="D15">
            <v>41676</v>
          </cell>
          <cell r="E15" t="str">
            <v>8M</v>
          </cell>
          <cell r="F15">
            <v>0</v>
          </cell>
          <cell r="G15">
            <v>0</v>
          </cell>
          <cell r="H15">
            <v>0.41</v>
          </cell>
        </row>
        <row r="16">
          <cell r="B16">
            <v>41315</v>
          </cell>
          <cell r="C16" t="str">
            <v>STUB</v>
          </cell>
          <cell r="D16" t="str">
            <v>18/06/14</v>
          </cell>
          <cell r="E16" t="str">
            <v>#20140618</v>
          </cell>
          <cell r="F16">
            <v>0</v>
          </cell>
          <cell r="G16">
            <v>0</v>
          </cell>
          <cell r="H16">
            <v>0.43133333299999999</v>
          </cell>
        </row>
        <row r="17">
          <cell r="B17" t="str">
            <v>18/06/14</v>
          </cell>
          <cell r="C17" t="str">
            <v>LIF EURIBOR 3M</v>
          </cell>
          <cell r="D17" t="str">
            <v>18/09/14</v>
          </cell>
          <cell r="E17">
            <v>41439</v>
          </cell>
          <cell r="F17">
            <v>0</v>
          </cell>
          <cell r="G17">
            <v>0</v>
          </cell>
          <cell r="H17">
            <v>99.628249999999994</v>
          </cell>
        </row>
        <row r="18">
          <cell r="B18" t="str">
            <v>17/09/14</v>
          </cell>
          <cell r="C18" t="str">
            <v>LIF EURIBOR 3M</v>
          </cell>
          <cell r="D18" t="str">
            <v>17/12/14</v>
          </cell>
          <cell r="E18">
            <v>41531</v>
          </cell>
          <cell r="F18">
            <v>0</v>
          </cell>
          <cell r="G18">
            <v>0</v>
          </cell>
          <cell r="H18">
            <v>99.578999999999994</v>
          </cell>
        </row>
        <row r="19">
          <cell r="B19" t="str">
            <v>17/12/14</v>
          </cell>
          <cell r="C19" t="str">
            <v>LIF EURIBOR 3M</v>
          </cell>
          <cell r="D19" t="str">
            <v>17/03/15</v>
          </cell>
          <cell r="E19">
            <v>41622</v>
          </cell>
          <cell r="F19">
            <v>0</v>
          </cell>
          <cell r="G19">
            <v>0</v>
          </cell>
          <cell r="H19">
            <v>99.513750000000002</v>
          </cell>
        </row>
        <row r="20">
          <cell r="B20" t="str">
            <v>18/03/15</v>
          </cell>
          <cell r="C20" t="str">
            <v>LIF EURIBOR 3M</v>
          </cell>
          <cell r="D20" t="str">
            <v>18/06/15</v>
          </cell>
          <cell r="E20">
            <v>41348</v>
          </cell>
          <cell r="F20">
            <v>0</v>
          </cell>
          <cell r="G20">
            <v>0</v>
          </cell>
          <cell r="H20">
            <v>99.438999999999993</v>
          </cell>
        </row>
        <row r="21">
          <cell r="B21" t="str">
            <v>17/06/15</v>
          </cell>
          <cell r="C21" t="str">
            <v>LIF EURIBOR 3M</v>
          </cell>
          <cell r="D21" t="str">
            <v>17/09/15</v>
          </cell>
          <cell r="E21">
            <v>41440</v>
          </cell>
          <cell r="F21">
            <v>0</v>
          </cell>
          <cell r="G21">
            <v>0</v>
          </cell>
          <cell r="H21">
            <v>99.35</v>
          </cell>
        </row>
        <row r="22">
          <cell r="B22" t="str">
            <v>16/09/15</v>
          </cell>
          <cell r="C22" t="str">
            <v>LIF EURIBOR 3M</v>
          </cell>
          <cell r="D22" t="str">
            <v>16/12/15</v>
          </cell>
          <cell r="E22">
            <v>41532</v>
          </cell>
          <cell r="F22">
            <v>0</v>
          </cell>
          <cell r="G22">
            <v>0</v>
          </cell>
          <cell r="H22">
            <v>99.248000000000005</v>
          </cell>
        </row>
        <row r="23">
          <cell r="B23">
            <v>41315</v>
          </cell>
          <cell r="C23" t="str">
            <v>EUR R6M CUM FIX</v>
          </cell>
          <cell r="D23">
            <v>42439</v>
          </cell>
          <cell r="E23" t="str">
            <v>3Y</v>
          </cell>
          <cell r="F23">
            <v>0</v>
          </cell>
          <cell r="G23">
            <v>0</v>
          </cell>
          <cell r="H23">
            <v>0.753</v>
          </cell>
        </row>
        <row r="24">
          <cell r="B24">
            <v>41315</v>
          </cell>
          <cell r="C24" t="str">
            <v>EUR R6M CUM FIX</v>
          </cell>
          <cell r="D24">
            <v>42776</v>
          </cell>
          <cell r="E24" t="str">
            <v>4Y</v>
          </cell>
          <cell r="F24">
            <v>0</v>
          </cell>
          <cell r="G24">
            <v>0</v>
          </cell>
          <cell r="H24">
            <v>0.99199999999999999</v>
          </cell>
        </row>
        <row r="25">
          <cell r="B25">
            <v>41315</v>
          </cell>
          <cell r="C25" t="str">
            <v>EUR R6M CUM FIX</v>
          </cell>
          <cell r="D25">
            <v>43141</v>
          </cell>
          <cell r="E25" t="str">
            <v>5Y</v>
          </cell>
          <cell r="F25">
            <v>0</v>
          </cell>
          <cell r="G25">
            <v>0</v>
          </cell>
          <cell r="H25">
            <v>1.228</v>
          </cell>
        </row>
        <row r="26">
          <cell r="B26">
            <v>41315</v>
          </cell>
          <cell r="C26" t="str">
            <v>EUR R6M CUM FIX</v>
          </cell>
          <cell r="D26">
            <v>43506</v>
          </cell>
          <cell r="E26" t="str">
            <v>6Y</v>
          </cell>
          <cell r="F26">
            <v>0</v>
          </cell>
          <cell r="G26">
            <v>0</v>
          </cell>
          <cell r="H26">
            <v>1.4419999999999999</v>
          </cell>
        </row>
        <row r="27">
          <cell r="B27">
            <v>41315</v>
          </cell>
          <cell r="C27" t="str">
            <v>EUR R6M CUM FIX</v>
          </cell>
          <cell r="D27">
            <v>43871</v>
          </cell>
          <cell r="E27" t="str">
            <v>7Y</v>
          </cell>
          <cell r="F27">
            <v>0</v>
          </cell>
          <cell r="G27">
            <v>0</v>
          </cell>
          <cell r="H27">
            <v>1.63</v>
          </cell>
        </row>
        <row r="28">
          <cell r="B28">
            <v>41315</v>
          </cell>
          <cell r="C28" t="str">
            <v>EUR R6M CUM FIX</v>
          </cell>
          <cell r="D28">
            <v>44296</v>
          </cell>
          <cell r="E28" t="str">
            <v>8Y</v>
          </cell>
          <cell r="F28">
            <v>0</v>
          </cell>
          <cell r="G28">
            <v>0</v>
          </cell>
          <cell r="H28">
            <v>1.7969999999999999</v>
          </cell>
        </row>
        <row r="29">
          <cell r="B29">
            <v>41315</v>
          </cell>
          <cell r="C29" t="str">
            <v>EUR R6M CUM FIX</v>
          </cell>
          <cell r="D29">
            <v>44630</v>
          </cell>
          <cell r="E29" t="str">
            <v>9Y</v>
          </cell>
          <cell r="F29">
            <v>0</v>
          </cell>
          <cell r="G29">
            <v>0</v>
          </cell>
          <cell r="H29">
            <v>1.944</v>
          </cell>
        </row>
        <row r="30">
          <cell r="B30">
            <v>41315</v>
          </cell>
          <cell r="C30" t="str">
            <v>EUR R6M CUM FIX</v>
          </cell>
          <cell r="D30">
            <v>44967</v>
          </cell>
          <cell r="E30" t="str">
            <v>10Y</v>
          </cell>
          <cell r="F30">
            <v>0</v>
          </cell>
          <cell r="G30">
            <v>0</v>
          </cell>
          <cell r="H30">
            <v>2.0750000000000002</v>
          </cell>
        </row>
        <row r="31">
          <cell r="B31">
            <v>41315</v>
          </cell>
          <cell r="C31" t="str">
            <v>EUR R6M CUM FIX</v>
          </cell>
          <cell r="D31">
            <v>45332</v>
          </cell>
          <cell r="E31" t="str">
            <v>11Y</v>
          </cell>
          <cell r="F31">
            <v>0</v>
          </cell>
          <cell r="G31">
            <v>0</v>
          </cell>
          <cell r="H31">
            <v>2.1890000000000001</v>
          </cell>
        </row>
        <row r="32">
          <cell r="B32">
            <v>41315</v>
          </cell>
          <cell r="C32" t="str">
            <v>EUR R6M CUM FIX</v>
          </cell>
          <cell r="D32">
            <v>45698</v>
          </cell>
          <cell r="E32" t="str">
            <v>12Y</v>
          </cell>
          <cell r="F32">
            <v>0</v>
          </cell>
          <cell r="G32">
            <v>0</v>
          </cell>
          <cell r="H32">
            <v>2.286</v>
          </cell>
        </row>
        <row r="33">
          <cell r="B33">
            <v>41315</v>
          </cell>
          <cell r="C33" t="str">
            <v>EUR R6M CUM FIX</v>
          </cell>
          <cell r="D33">
            <v>46063</v>
          </cell>
          <cell r="E33" t="str">
            <v>13Y</v>
          </cell>
          <cell r="F33">
            <v>0</v>
          </cell>
          <cell r="G33">
            <v>0</v>
          </cell>
          <cell r="H33">
            <v>2.3679999999999999</v>
          </cell>
        </row>
        <row r="34">
          <cell r="B34">
            <v>41315</v>
          </cell>
          <cell r="C34" t="str">
            <v>EUR R6M CUM FIX</v>
          </cell>
          <cell r="D34">
            <v>46487</v>
          </cell>
          <cell r="E34" t="str">
            <v>14Y</v>
          </cell>
          <cell r="F34">
            <v>0</v>
          </cell>
          <cell r="G34">
            <v>0</v>
          </cell>
          <cell r="H34">
            <v>2.4350000000000001</v>
          </cell>
        </row>
        <row r="35">
          <cell r="B35">
            <v>41315</v>
          </cell>
          <cell r="C35" t="str">
            <v>EUR R6M CUM FIX</v>
          </cell>
          <cell r="D35">
            <v>46793</v>
          </cell>
          <cell r="E35" t="str">
            <v>15Y</v>
          </cell>
          <cell r="F35">
            <v>0</v>
          </cell>
          <cell r="G35">
            <v>0</v>
          </cell>
          <cell r="H35">
            <v>2.488</v>
          </cell>
        </row>
        <row r="36">
          <cell r="B36">
            <v>41315</v>
          </cell>
          <cell r="C36" t="str">
            <v>EUR R6M CUM FIX</v>
          </cell>
          <cell r="D36">
            <v>47159</v>
          </cell>
          <cell r="E36" t="str">
            <v>16Y</v>
          </cell>
          <cell r="F36">
            <v>0</v>
          </cell>
          <cell r="G36">
            <v>0</v>
          </cell>
          <cell r="H36">
            <v>2.5289999999999999</v>
          </cell>
        </row>
        <row r="37">
          <cell r="B37">
            <v>41315</v>
          </cell>
          <cell r="C37" t="str">
            <v>EUR R6M CUM FIX</v>
          </cell>
          <cell r="D37">
            <v>10999</v>
          </cell>
          <cell r="E37" t="str">
            <v>17Y</v>
          </cell>
          <cell r="F37">
            <v>0</v>
          </cell>
          <cell r="G37">
            <v>0</v>
          </cell>
          <cell r="H37">
            <v>2.56</v>
          </cell>
        </row>
        <row r="38">
          <cell r="B38">
            <v>41315</v>
          </cell>
          <cell r="C38" t="str">
            <v>EUR R6M CUM FIX</v>
          </cell>
          <cell r="D38">
            <v>11364</v>
          </cell>
          <cell r="E38" t="str">
            <v>18Y</v>
          </cell>
          <cell r="F38">
            <v>0</v>
          </cell>
          <cell r="G38">
            <v>0</v>
          </cell>
          <cell r="H38">
            <v>2.5830000000000002</v>
          </cell>
        </row>
        <row r="39">
          <cell r="B39">
            <v>41315</v>
          </cell>
          <cell r="C39" t="str">
            <v>EUR R6M CUM FIX</v>
          </cell>
          <cell r="D39">
            <v>11789</v>
          </cell>
          <cell r="E39" t="str">
            <v>19Y</v>
          </cell>
          <cell r="F39">
            <v>0</v>
          </cell>
          <cell r="G39">
            <v>0</v>
          </cell>
          <cell r="H39">
            <v>2.5990000000000002</v>
          </cell>
        </row>
        <row r="40">
          <cell r="B40">
            <v>41315</v>
          </cell>
          <cell r="C40" t="str">
            <v>EUR R6M CUM FIX</v>
          </cell>
          <cell r="D40">
            <v>12123</v>
          </cell>
          <cell r="E40" t="str">
            <v>20Y</v>
          </cell>
          <cell r="F40">
            <v>0</v>
          </cell>
          <cell r="G40">
            <v>0</v>
          </cell>
          <cell r="H40">
            <v>2.61</v>
          </cell>
        </row>
        <row r="41">
          <cell r="B41">
            <v>41315</v>
          </cell>
          <cell r="C41" t="str">
            <v>EUR R6M CUM FIX</v>
          </cell>
          <cell r="D41">
            <v>12460</v>
          </cell>
          <cell r="E41" t="str">
            <v>21Y</v>
          </cell>
          <cell r="F41">
            <v>0</v>
          </cell>
          <cell r="G41">
            <v>0</v>
          </cell>
          <cell r="H41">
            <v>2.6179999999999999</v>
          </cell>
        </row>
        <row r="42">
          <cell r="B42">
            <v>41315</v>
          </cell>
          <cell r="C42" t="str">
            <v>EUR R6M CUM FIX</v>
          </cell>
          <cell r="D42">
            <v>12825</v>
          </cell>
          <cell r="E42" t="str">
            <v>22Y</v>
          </cell>
          <cell r="F42">
            <v>0</v>
          </cell>
          <cell r="G42">
            <v>0</v>
          </cell>
          <cell r="H42">
            <v>2.6240000000000001</v>
          </cell>
        </row>
        <row r="43">
          <cell r="B43">
            <v>41315</v>
          </cell>
          <cell r="C43" t="str">
            <v>EUR R6M CUM FIX</v>
          </cell>
          <cell r="D43">
            <v>13190</v>
          </cell>
          <cell r="E43" t="str">
            <v>23Y</v>
          </cell>
          <cell r="F43">
            <v>0</v>
          </cell>
          <cell r="G43">
            <v>0</v>
          </cell>
          <cell r="H43">
            <v>2.6280000000000001</v>
          </cell>
        </row>
        <row r="44">
          <cell r="B44">
            <v>41315</v>
          </cell>
          <cell r="C44" t="str">
            <v>EUR R6M CUM FIX</v>
          </cell>
          <cell r="D44">
            <v>13556</v>
          </cell>
          <cell r="E44" t="str">
            <v>24Y</v>
          </cell>
          <cell r="F44">
            <v>0</v>
          </cell>
          <cell r="G44">
            <v>0</v>
          </cell>
          <cell r="H44">
            <v>2.63</v>
          </cell>
        </row>
        <row r="45">
          <cell r="B45">
            <v>41315</v>
          </cell>
          <cell r="C45" t="str">
            <v>EUR R6M CUM FIX</v>
          </cell>
          <cell r="D45">
            <v>13980</v>
          </cell>
          <cell r="E45" t="str">
            <v>25Y</v>
          </cell>
          <cell r="F45">
            <v>0</v>
          </cell>
          <cell r="G45">
            <v>0</v>
          </cell>
          <cell r="H45">
            <v>2.63</v>
          </cell>
        </row>
        <row r="46">
          <cell r="B46">
            <v>41315</v>
          </cell>
          <cell r="C46" t="str">
            <v>EUR R6M CUM FIX</v>
          </cell>
          <cell r="D46">
            <v>14314</v>
          </cell>
          <cell r="E46" t="str">
            <v>26Y</v>
          </cell>
          <cell r="F46">
            <v>0</v>
          </cell>
          <cell r="G46">
            <v>0</v>
          </cell>
          <cell r="H46">
            <v>2.629</v>
          </cell>
        </row>
        <row r="47">
          <cell r="B47">
            <v>41315</v>
          </cell>
          <cell r="C47" t="str">
            <v>EUR R6M CUM FIX</v>
          </cell>
          <cell r="D47">
            <v>14651</v>
          </cell>
          <cell r="E47" t="str">
            <v>27Y</v>
          </cell>
          <cell r="F47">
            <v>0</v>
          </cell>
          <cell r="G47">
            <v>0</v>
          </cell>
          <cell r="H47">
            <v>2.629</v>
          </cell>
        </row>
        <row r="48">
          <cell r="B48">
            <v>41315</v>
          </cell>
          <cell r="C48" t="str">
            <v>EUR R6M CUM FIX</v>
          </cell>
          <cell r="D48">
            <v>15017</v>
          </cell>
          <cell r="E48" t="str">
            <v>28Y</v>
          </cell>
          <cell r="F48">
            <v>0</v>
          </cell>
          <cell r="G48">
            <v>0</v>
          </cell>
          <cell r="H48">
            <v>2.6280000000000001</v>
          </cell>
        </row>
        <row r="49">
          <cell r="B49">
            <v>41315</v>
          </cell>
          <cell r="C49" t="str">
            <v>EUR R6M CUM FIX</v>
          </cell>
          <cell r="D49">
            <v>15382</v>
          </cell>
          <cell r="E49" t="str">
            <v>29Y</v>
          </cell>
          <cell r="F49">
            <v>0</v>
          </cell>
          <cell r="G49">
            <v>0</v>
          </cell>
          <cell r="H49">
            <v>2.6269999999999998</v>
          </cell>
        </row>
        <row r="50">
          <cell r="B50">
            <v>41315</v>
          </cell>
          <cell r="C50" t="str">
            <v>EUR R6M CUM FIX</v>
          </cell>
          <cell r="D50">
            <v>15747</v>
          </cell>
          <cell r="E50" t="str">
            <v>30Y</v>
          </cell>
          <cell r="F50">
            <v>0</v>
          </cell>
          <cell r="G50">
            <v>0</v>
          </cell>
          <cell r="H50">
            <v>2.6259999999999999</v>
          </cell>
        </row>
        <row r="51">
          <cell r="B51">
            <v>41315</v>
          </cell>
          <cell r="C51" t="str">
            <v>EUR R6M CUM FIX</v>
          </cell>
          <cell r="D51">
            <v>16141</v>
          </cell>
          <cell r="E51" t="str">
            <v>31Y</v>
          </cell>
          <cell r="F51">
            <v>0</v>
          </cell>
          <cell r="G51">
            <v>0</v>
          </cell>
          <cell r="H51">
            <v>2.6263640750000001</v>
          </cell>
        </row>
        <row r="52">
          <cell r="B52">
            <v>41315</v>
          </cell>
          <cell r="C52" t="str">
            <v>EUR R6M CUM FIX</v>
          </cell>
          <cell r="D52">
            <v>16478</v>
          </cell>
          <cell r="E52" t="str">
            <v>32Y</v>
          </cell>
          <cell r="F52">
            <v>0</v>
          </cell>
          <cell r="G52">
            <v>0</v>
          </cell>
          <cell r="H52">
            <v>2.627880717</v>
          </cell>
        </row>
        <row r="53">
          <cell r="B53">
            <v>41315</v>
          </cell>
          <cell r="C53" t="str">
            <v>EUR R6M CUM FIX</v>
          </cell>
          <cell r="D53">
            <v>16843</v>
          </cell>
          <cell r="E53" t="str">
            <v>33Y</v>
          </cell>
          <cell r="F53">
            <v>0</v>
          </cell>
          <cell r="G53">
            <v>0</v>
          </cell>
          <cell r="H53">
            <v>2.630450089</v>
          </cell>
        </row>
        <row r="54">
          <cell r="B54">
            <v>41315</v>
          </cell>
          <cell r="C54" t="str">
            <v>EUR R6M CUM FIX</v>
          </cell>
          <cell r="D54">
            <v>17208</v>
          </cell>
          <cell r="E54" t="str">
            <v>34Y</v>
          </cell>
          <cell r="F54">
            <v>0</v>
          </cell>
          <cell r="G54">
            <v>0</v>
          </cell>
          <cell r="H54">
            <v>2.633843121</v>
          </cell>
        </row>
        <row r="55">
          <cell r="B55">
            <v>41315</v>
          </cell>
          <cell r="C55" t="str">
            <v>EUR R6M CUM FIX</v>
          </cell>
          <cell r="D55">
            <v>17573</v>
          </cell>
          <cell r="E55" t="str">
            <v>35Y</v>
          </cell>
          <cell r="F55">
            <v>0</v>
          </cell>
          <cell r="G55">
            <v>0</v>
          </cell>
          <cell r="H55">
            <v>2.6379999999999999</v>
          </cell>
        </row>
        <row r="56">
          <cell r="B56">
            <v>41315</v>
          </cell>
          <cell r="C56" t="str">
            <v>EUR R6M CUM FIX</v>
          </cell>
          <cell r="D56">
            <v>17998</v>
          </cell>
          <cell r="E56" t="str">
            <v>36Y</v>
          </cell>
          <cell r="F56">
            <v>0</v>
          </cell>
          <cell r="G56">
            <v>0</v>
          </cell>
          <cell r="H56">
            <v>2.6424945119999999</v>
          </cell>
        </row>
        <row r="57">
          <cell r="B57">
            <v>41315</v>
          </cell>
          <cell r="C57" t="str">
            <v>EUR R6M CUM FIX</v>
          </cell>
          <cell r="D57">
            <v>18332</v>
          </cell>
          <cell r="E57" t="str">
            <v>37Y</v>
          </cell>
          <cell r="F57">
            <v>0</v>
          </cell>
          <cell r="G57">
            <v>0</v>
          </cell>
          <cell r="H57">
            <v>2.6472393169999999</v>
          </cell>
        </row>
        <row r="58">
          <cell r="B58">
            <v>41315</v>
          </cell>
          <cell r="C58" t="str">
            <v>EUR R6M CUM FIX</v>
          </cell>
          <cell r="D58">
            <v>18669</v>
          </cell>
          <cell r="E58" t="str">
            <v>38Y</v>
          </cell>
          <cell r="F58">
            <v>0</v>
          </cell>
          <cell r="G58">
            <v>0</v>
          </cell>
          <cell r="H58">
            <v>2.652127347</v>
          </cell>
        </row>
        <row r="59">
          <cell r="B59">
            <v>41315</v>
          </cell>
          <cell r="C59" t="str">
            <v>EUR R6M CUM FIX</v>
          </cell>
          <cell r="D59">
            <v>19034</v>
          </cell>
          <cell r="E59" t="str">
            <v>39Y</v>
          </cell>
          <cell r="F59">
            <v>0</v>
          </cell>
          <cell r="G59">
            <v>0</v>
          </cell>
          <cell r="H59">
            <v>2.657168521</v>
          </cell>
        </row>
        <row r="60">
          <cell r="B60">
            <v>41315</v>
          </cell>
          <cell r="C60" t="str">
            <v>EUR R6M CUM FIX</v>
          </cell>
          <cell r="D60">
            <v>19400</v>
          </cell>
          <cell r="E60" t="str">
            <v>40Y</v>
          </cell>
          <cell r="F60">
            <v>0</v>
          </cell>
          <cell r="G60">
            <v>0</v>
          </cell>
          <cell r="H60">
            <v>2.6619999999999999</v>
          </cell>
        </row>
        <row r="61">
          <cell r="B61">
            <v>41315</v>
          </cell>
          <cell r="C61" t="str">
            <v>EUR R6M CUM FIX</v>
          </cell>
          <cell r="D61">
            <v>23052</v>
          </cell>
          <cell r="E61" t="str">
            <v>50Y</v>
          </cell>
          <cell r="F61">
            <v>0</v>
          </cell>
          <cell r="G61">
            <v>0</v>
          </cell>
          <cell r="H61">
            <v>2.702</v>
          </cell>
        </row>
        <row r="62">
          <cell r="B62">
            <v>41315</v>
          </cell>
          <cell r="C62" t="str">
            <v>EUR R6M CUM FIX</v>
          </cell>
          <cell r="D62">
            <v>26705</v>
          </cell>
          <cell r="E62" t="str">
            <v>60Y</v>
          </cell>
          <cell r="F62">
            <v>0</v>
          </cell>
          <cell r="G62">
            <v>0</v>
          </cell>
          <cell r="H62">
            <v>2.73</v>
          </cell>
        </row>
      </sheetData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UR-OIS"/>
    </sheetNames>
    <sheetDataSet>
      <sheetData sheetId="0">
        <row r="2">
          <cell r="E2" t="str">
            <v>O/N</v>
          </cell>
          <cell r="F2">
            <v>0</v>
          </cell>
          <cell r="G2">
            <v>0</v>
          </cell>
          <cell r="H2">
            <v>0.25</v>
          </cell>
        </row>
        <row r="3">
          <cell r="E3" t="str">
            <v>T/N</v>
          </cell>
          <cell r="F3">
            <v>0</v>
          </cell>
          <cell r="G3">
            <v>0</v>
          </cell>
          <cell r="H3">
            <v>0.1</v>
          </cell>
        </row>
        <row r="4">
          <cell r="E4" t="str">
            <v>S/N</v>
          </cell>
          <cell r="F4">
            <v>0</v>
          </cell>
          <cell r="G4">
            <v>0</v>
          </cell>
          <cell r="H4">
            <v>0.1</v>
          </cell>
        </row>
        <row r="5">
          <cell r="E5" t="str">
            <v>1W</v>
          </cell>
          <cell r="F5">
            <v>0</v>
          </cell>
          <cell r="G5">
            <v>0</v>
          </cell>
          <cell r="H5">
            <v>7.9000000000000001E-2</v>
          </cell>
        </row>
        <row r="6">
          <cell r="E6" t="str">
            <v>2W</v>
          </cell>
          <cell r="F6">
            <v>0</v>
          </cell>
          <cell r="G6">
            <v>0</v>
          </cell>
          <cell r="H6">
            <v>8.6999999999999994E-2</v>
          </cell>
        </row>
        <row r="7">
          <cell r="E7" t="str">
            <v>3W</v>
          </cell>
          <cell r="F7">
            <v>0</v>
          </cell>
          <cell r="G7">
            <v>0</v>
          </cell>
          <cell r="H7">
            <v>8.8999999999999996E-2</v>
          </cell>
        </row>
        <row r="8">
          <cell r="E8" t="str">
            <v>1M</v>
          </cell>
          <cell r="F8">
            <v>0</v>
          </cell>
          <cell r="G8">
            <v>0</v>
          </cell>
          <cell r="H8">
            <v>9.2999999999999999E-2</v>
          </cell>
        </row>
        <row r="9">
          <cell r="E9" t="str">
            <v>2M</v>
          </cell>
          <cell r="F9">
            <v>0</v>
          </cell>
          <cell r="G9">
            <v>0</v>
          </cell>
          <cell r="H9">
            <v>9.7000000000000003E-2</v>
          </cell>
        </row>
        <row r="10">
          <cell r="E10" t="str">
            <v>3M</v>
          </cell>
          <cell r="F10">
            <v>0</v>
          </cell>
          <cell r="G10">
            <v>0</v>
          </cell>
          <cell r="H10">
            <v>0.106</v>
          </cell>
        </row>
        <row r="11">
          <cell r="E11" t="str">
            <v>4M</v>
          </cell>
          <cell r="F11">
            <v>0</v>
          </cell>
          <cell r="G11">
            <v>0</v>
          </cell>
          <cell r="H11">
            <v>0.11</v>
          </cell>
        </row>
        <row r="12">
          <cell r="E12" t="str">
            <v>5M</v>
          </cell>
          <cell r="F12">
            <v>0</v>
          </cell>
          <cell r="G12">
            <v>0</v>
          </cell>
          <cell r="H12">
            <v>0.113</v>
          </cell>
        </row>
        <row r="13">
          <cell r="E13" t="str">
            <v>6M</v>
          </cell>
          <cell r="F13">
            <v>0</v>
          </cell>
          <cell r="G13">
            <v>0</v>
          </cell>
          <cell r="H13">
            <v>0.11899999999999999</v>
          </cell>
        </row>
        <row r="14">
          <cell r="E14" t="str">
            <v>7M</v>
          </cell>
          <cell r="F14">
            <v>0</v>
          </cell>
          <cell r="G14">
            <v>0</v>
          </cell>
          <cell r="H14">
            <v>0.124</v>
          </cell>
        </row>
        <row r="15">
          <cell r="E15" t="str">
            <v>8M</v>
          </cell>
          <cell r="F15">
            <v>0</v>
          </cell>
          <cell r="G15">
            <v>0</v>
          </cell>
          <cell r="H15">
            <v>0.13</v>
          </cell>
        </row>
        <row r="16">
          <cell r="E16" t="str">
            <v>9M</v>
          </cell>
          <cell r="F16">
            <v>0</v>
          </cell>
          <cell r="G16">
            <v>0</v>
          </cell>
          <cell r="H16">
            <v>0.13600000000000001</v>
          </cell>
        </row>
        <row r="17">
          <cell r="E17" t="str">
            <v>10M</v>
          </cell>
          <cell r="F17">
            <v>0</v>
          </cell>
          <cell r="G17">
            <v>0</v>
          </cell>
          <cell r="H17">
            <v>0.14299999999999999</v>
          </cell>
        </row>
        <row r="18">
          <cell r="E18" t="str">
            <v>11M</v>
          </cell>
          <cell r="F18">
            <v>0</v>
          </cell>
          <cell r="G18">
            <v>0</v>
          </cell>
          <cell r="H18">
            <v>0.14799999999999999</v>
          </cell>
        </row>
        <row r="19">
          <cell r="E19" t="str">
            <v>1Y</v>
          </cell>
          <cell r="F19">
            <v>0</v>
          </cell>
          <cell r="G19">
            <v>0</v>
          </cell>
          <cell r="H19">
            <v>0.154</v>
          </cell>
        </row>
        <row r="20">
          <cell r="E20" t="str">
            <v>13M</v>
          </cell>
          <cell r="F20">
            <v>0</v>
          </cell>
          <cell r="G20">
            <v>0</v>
          </cell>
          <cell r="H20">
            <v>0.16</v>
          </cell>
        </row>
        <row r="21">
          <cell r="E21" t="str">
            <v>14M</v>
          </cell>
          <cell r="F21">
            <v>0</v>
          </cell>
          <cell r="G21">
            <v>0</v>
          </cell>
          <cell r="H21">
            <v>0.16700000000000001</v>
          </cell>
        </row>
        <row r="22">
          <cell r="E22" t="str">
            <v>15M</v>
          </cell>
          <cell r="F22">
            <v>0</v>
          </cell>
          <cell r="G22">
            <v>0</v>
          </cell>
          <cell r="H22">
            <v>0.17299999999999999</v>
          </cell>
        </row>
        <row r="23">
          <cell r="E23" t="str">
            <v>16M</v>
          </cell>
          <cell r="F23">
            <v>0</v>
          </cell>
          <cell r="G23">
            <v>0</v>
          </cell>
          <cell r="H23">
            <v>0.18</v>
          </cell>
        </row>
        <row r="24">
          <cell r="E24" t="str">
            <v>17M</v>
          </cell>
          <cell r="F24">
            <v>0</v>
          </cell>
          <cell r="G24">
            <v>0</v>
          </cell>
          <cell r="H24">
            <v>0.187</v>
          </cell>
        </row>
        <row r="25">
          <cell r="E25" t="str">
            <v>18M</v>
          </cell>
          <cell r="F25">
            <v>0</v>
          </cell>
          <cell r="G25">
            <v>0</v>
          </cell>
          <cell r="H25">
            <v>0.192</v>
          </cell>
        </row>
        <row r="26">
          <cell r="E26" t="str">
            <v>19M</v>
          </cell>
          <cell r="F26">
            <v>0</v>
          </cell>
          <cell r="G26">
            <v>0</v>
          </cell>
          <cell r="H26">
            <v>0.20100000000000001</v>
          </cell>
        </row>
        <row r="27">
          <cell r="E27" t="str">
            <v>20M</v>
          </cell>
          <cell r="F27">
            <v>0</v>
          </cell>
          <cell r="G27">
            <v>0</v>
          </cell>
          <cell r="H27">
            <v>0.20899999999999999</v>
          </cell>
        </row>
        <row r="28">
          <cell r="E28" t="str">
            <v>21M</v>
          </cell>
          <cell r="F28">
            <v>0</v>
          </cell>
          <cell r="G28">
            <v>0</v>
          </cell>
          <cell r="H28">
            <v>0.217</v>
          </cell>
        </row>
        <row r="29">
          <cell r="E29" t="str">
            <v>22M</v>
          </cell>
          <cell r="F29">
            <v>0</v>
          </cell>
          <cell r="G29">
            <v>0</v>
          </cell>
          <cell r="H29">
            <v>0.22600000000000001</v>
          </cell>
        </row>
        <row r="30">
          <cell r="E30" t="str">
            <v>23M</v>
          </cell>
          <cell r="F30">
            <v>0</v>
          </cell>
          <cell r="G30">
            <v>0</v>
          </cell>
          <cell r="H30">
            <v>0.23499999999999999</v>
          </cell>
        </row>
        <row r="31">
          <cell r="E31" t="str">
            <v>2Y</v>
          </cell>
          <cell r="F31">
            <v>0</v>
          </cell>
          <cell r="G31">
            <v>0</v>
          </cell>
          <cell r="H31">
            <v>0.245</v>
          </cell>
        </row>
        <row r="32">
          <cell r="E32" t="str">
            <v>3Y</v>
          </cell>
          <cell r="F32">
            <v>0</v>
          </cell>
          <cell r="G32">
            <v>0</v>
          </cell>
          <cell r="H32">
            <v>0.40899999999999997</v>
          </cell>
        </row>
        <row r="33">
          <cell r="E33" t="str">
            <v>4Y</v>
          </cell>
          <cell r="F33">
            <v>0</v>
          </cell>
          <cell r="G33">
            <v>0</v>
          </cell>
          <cell r="H33">
            <v>0.63100000000000001</v>
          </cell>
        </row>
        <row r="34">
          <cell r="E34" t="str">
            <v>5Y</v>
          </cell>
          <cell r="F34">
            <v>0</v>
          </cell>
          <cell r="G34">
            <v>0</v>
          </cell>
          <cell r="H34">
            <v>0.85899999999999999</v>
          </cell>
        </row>
        <row r="35">
          <cell r="E35" t="str">
            <v>6Y</v>
          </cell>
          <cell r="F35">
            <v>0</v>
          </cell>
          <cell r="G35">
            <v>0</v>
          </cell>
          <cell r="H35">
            <v>1.073</v>
          </cell>
        </row>
        <row r="36">
          <cell r="E36" t="str">
            <v>7Y</v>
          </cell>
          <cell r="F36">
            <v>0</v>
          </cell>
          <cell r="G36">
            <v>0</v>
          </cell>
          <cell r="H36">
            <v>1.2669999999999999</v>
          </cell>
        </row>
        <row r="37">
          <cell r="E37" t="str">
            <v>8Y</v>
          </cell>
          <cell r="F37">
            <v>0</v>
          </cell>
          <cell r="G37">
            <v>0</v>
          </cell>
          <cell r="H37">
            <v>1.4410000000000001</v>
          </cell>
        </row>
        <row r="38">
          <cell r="E38" t="str">
            <v>9Y</v>
          </cell>
          <cell r="F38">
            <v>0</v>
          </cell>
          <cell r="G38">
            <v>0</v>
          </cell>
          <cell r="H38">
            <v>1.5960000000000001</v>
          </cell>
        </row>
        <row r="39">
          <cell r="E39" t="str">
            <v>10Y</v>
          </cell>
          <cell r="F39">
            <v>0</v>
          </cell>
          <cell r="G39">
            <v>0</v>
          </cell>
          <cell r="H39">
            <v>1.7350000000000001</v>
          </cell>
        </row>
        <row r="40">
          <cell r="E40" t="str">
            <v>11Y</v>
          </cell>
          <cell r="F40">
            <v>0</v>
          </cell>
          <cell r="G40">
            <v>0</v>
          </cell>
          <cell r="H40">
            <v>1.8580000000000001</v>
          </cell>
        </row>
        <row r="41">
          <cell r="E41" t="str">
            <v>12Y</v>
          </cell>
          <cell r="F41">
            <v>0</v>
          </cell>
          <cell r="G41">
            <v>0</v>
          </cell>
          <cell r="H41">
            <v>1.964</v>
          </cell>
        </row>
        <row r="42">
          <cell r="E42" t="str">
            <v>13Y</v>
          </cell>
          <cell r="F42">
            <v>0</v>
          </cell>
          <cell r="G42">
            <v>0</v>
          </cell>
          <cell r="H42">
            <v>2.0550000000000002</v>
          </cell>
        </row>
        <row r="43">
          <cell r="E43" t="str">
            <v>14Y</v>
          </cell>
          <cell r="F43">
            <v>0</v>
          </cell>
          <cell r="G43">
            <v>0</v>
          </cell>
          <cell r="H43">
            <v>2.1309999999999998</v>
          </cell>
        </row>
        <row r="44">
          <cell r="E44" t="str">
            <v>15Y</v>
          </cell>
          <cell r="F44">
            <v>0</v>
          </cell>
          <cell r="G44">
            <v>0</v>
          </cell>
          <cell r="H44">
            <v>2.194</v>
          </cell>
        </row>
        <row r="45">
          <cell r="E45" t="str">
            <v>16Y</v>
          </cell>
          <cell r="F45">
            <v>0</v>
          </cell>
          <cell r="G45">
            <v>0</v>
          </cell>
          <cell r="H45">
            <v>2.2440000000000002</v>
          </cell>
        </row>
        <row r="46">
          <cell r="E46" t="str">
            <v>17Y</v>
          </cell>
          <cell r="F46">
            <v>0</v>
          </cell>
          <cell r="G46">
            <v>0</v>
          </cell>
          <cell r="H46">
            <v>2.2829999999999999</v>
          </cell>
        </row>
        <row r="47">
          <cell r="E47" t="str">
            <v>18Y</v>
          </cell>
          <cell r="F47">
            <v>0</v>
          </cell>
          <cell r="G47">
            <v>0</v>
          </cell>
          <cell r="H47">
            <v>2.3130000000000002</v>
          </cell>
        </row>
        <row r="48">
          <cell r="E48" t="str">
            <v>19Y</v>
          </cell>
          <cell r="F48">
            <v>0</v>
          </cell>
          <cell r="G48">
            <v>0</v>
          </cell>
          <cell r="H48">
            <v>2.3359999999999999</v>
          </cell>
        </row>
        <row r="49">
          <cell r="E49" t="str">
            <v>20Y</v>
          </cell>
          <cell r="F49">
            <v>0</v>
          </cell>
          <cell r="G49">
            <v>0</v>
          </cell>
          <cell r="H49">
            <v>2.3540000000000001</v>
          </cell>
        </row>
        <row r="50">
          <cell r="E50" t="str">
            <v>21Y</v>
          </cell>
          <cell r="F50">
            <v>0</v>
          </cell>
          <cell r="G50">
            <v>0</v>
          </cell>
          <cell r="H50">
            <v>2.3679999999999999</v>
          </cell>
        </row>
        <row r="51">
          <cell r="E51" t="str">
            <v>22Y</v>
          </cell>
          <cell r="F51">
            <v>0</v>
          </cell>
          <cell r="G51">
            <v>0</v>
          </cell>
          <cell r="H51">
            <v>2.379</v>
          </cell>
        </row>
        <row r="52">
          <cell r="E52" t="str">
            <v>23Y</v>
          </cell>
          <cell r="F52">
            <v>0</v>
          </cell>
          <cell r="G52">
            <v>0</v>
          </cell>
          <cell r="H52">
            <v>2.3879999999999999</v>
          </cell>
        </row>
        <row r="53">
          <cell r="E53" t="str">
            <v>24Y</v>
          </cell>
          <cell r="F53">
            <v>0</v>
          </cell>
          <cell r="G53">
            <v>0</v>
          </cell>
          <cell r="H53">
            <v>2.3940000000000001</v>
          </cell>
        </row>
        <row r="54">
          <cell r="E54" t="str">
            <v>25Y</v>
          </cell>
          <cell r="F54">
            <v>0</v>
          </cell>
          <cell r="G54">
            <v>0</v>
          </cell>
          <cell r="H54">
            <v>2.399</v>
          </cell>
        </row>
        <row r="55">
          <cell r="E55" t="str">
            <v>26Y</v>
          </cell>
          <cell r="F55">
            <v>0</v>
          </cell>
          <cell r="G55">
            <v>0</v>
          </cell>
          <cell r="H55">
            <v>2.403</v>
          </cell>
        </row>
        <row r="56">
          <cell r="E56" t="str">
            <v>27Y</v>
          </cell>
          <cell r="F56">
            <v>0</v>
          </cell>
          <cell r="G56">
            <v>0</v>
          </cell>
          <cell r="H56">
            <v>2.4060000000000001</v>
          </cell>
        </row>
        <row r="57">
          <cell r="E57" t="str">
            <v>28Y</v>
          </cell>
          <cell r="F57">
            <v>0</v>
          </cell>
          <cell r="G57">
            <v>0</v>
          </cell>
          <cell r="H57">
            <v>2.4079999999999999</v>
          </cell>
        </row>
        <row r="58">
          <cell r="E58" t="str">
            <v>29Y</v>
          </cell>
          <cell r="F58">
            <v>0</v>
          </cell>
          <cell r="G58">
            <v>0</v>
          </cell>
          <cell r="H58">
            <v>2.411</v>
          </cell>
        </row>
        <row r="59">
          <cell r="E59" t="str">
            <v>30Y</v>
          </cell>
          <cell r="F59">
            <v>0</v>
          </cell>
          <cell r="G59">
            <v>0</v>
          </cell>
          <cell r="H59">
            <v>2.4140000000000001</v>
          </cell>
        </row>
        <row r="60">
          <cell r="E60" t="str">
            <v>35Y</v>
          </cell>
          <cell r="F60">
            <v>0</v>
          </cell>
          <cell r="G60">
            <v>0</v>
          </cell>
          <cell r="H60">
            <v>2.44</v>
          </cell>
        </row>
        <row r="61">
          <cell r="E61" t="str">
            <v>40Y</v>
          </cell>
          <cell r="F61">
            <v>0</v>
          </cell>
          <cell r="G61">
            <v>0</v>
          </cell>
          <cell r="H61">
            <v>2.4729999999999999</v>
          </cell>
        </row>
        <row r="62">
          <cell r="E62" t="str">
            <v>50Y</v>
          </cell>
          <cell r="F62">
            <v>0</v>
          </cell>
          <cell r="G62">
            <v>0</v>
          </cell>
          <cell r="H62">
            <v>2.5270000000000001</v>
          </cell>
        </row>
        <row r="63">
          <cell r="E63" t="str">
            <v>60Y</v>
          </cell>
          <cell r="F63">
            <v>0</v>
          </cell>
          <cell r="G63">
            <v>0</v>
          </cell>
          <cell r="H63">
            <v>2.5640000000000001</v>
          </cell>
        </row>
      </sheetData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URFIX1RM"/>
    </sheetNames>
    <sheetDataSet>
      <sheetData sheetId="0">
        <row r="2">
          <cell r="E2" t="str">
            <v>O/N</v>
          </cell>
          <cell r="F2">
            <v>0</v>
          </cell>
          <cell r="G2">
            <v>0</v>
          </cell>
          <cell r="H2">
            <v>0.14298456600000001</v>
          </cell>
        </row>
        <row r="3">
          <cell r="E3" t="str">
            <v>T/N</v>
          </cell>
          <cell r="F3">
            <v>0</v>
          </cell>
          <cell r="G3">
            <v>0</v>
          </cell>
          <cell r="H3">
            <v>0.13854312199999999</v>
          </cell>
        </row>
        <row r="4">
          <cell r="E4" t="str">
            <v>S/N</v>
          </cell>
          <cell r="F4">
            <v>0</v>
          </cell>
          <cell r="G4">
            <v>0</v>
          </cell>
          <cell r="H4">
            <v>0.13389999999999999</v>
          </cell>
        </row>
        <row r="5">
          <cell r="E5" t="str">
            <v>1W</v>
          </cell>
          <cell r="F5">
            <v>0</v>
          </cell>
          <cell r="G5">
            <v>0</v>
          </cell>
          <cell r="H5">
            <v>0.11310000000000001</v>
          </cell>
        </row>
        <row r="6">
          <cell r="E6" t="str">
            <v>2W</v>
          </cell>
          <cell r="F6">
            <v>0</v>
          </cell>
          <cell r="G6">
            <v>0</v>
          </cell>
          <cell r="H6">
            <v>0.12130000000000001</v>
          </cell>
        </row>
        <row r="7">
          <cell r="E7" t="str">
            <v>3W</v>
          </cell>
          <cell r="F7">
            <v>0</v>
          </cell>
          <cell r="G7">
            <v>0</v>
          </cell>
          <cell r="H7">
            <v>0.1236</v>
          </cell>
        </row>
        <row r="8">
          <cell r="E8" t="str">
            <v>1M</v>
          </cell>
          <cell r="F8">
            <v>0</v>
          </cell>
          <cell r="G8">
            <v>0</v>
          </cell>
          <cell r="H8">
            <v>0.128</v>
          </cell>
        </row>
        <row r="9">
          <cell r="E9" t="str">
            <v>2M</v>
          </cell>
          <cell r="F9">
            <v>0</v>
          </cell>
          <cell r="G9">
            <v>0</v>
          </cell>
          <cell r="H9">
            <v>0.13300200200000001</v>
          </cell>
        </row>
        <row r="10">
          <cell r="E10" t="str">
            <v>3M</v>
          </cell>
          <cell r="F10">
            <v>0</v>
          </cell>
          <cell r="G10">
            <v>0</v>
          </cell>
          <cell r="H10">
            <v>0.14200406099999999</v>
          </cell>
        </row>
        <row r="11">
          <cell r="E11" t="str">
            <v>4M</v>
          </cell>
          <cell r="F11">
            <v>0</v>
          </cell>
          <cell r="G11">
            <v>0</v>
          </cell>
          <cell r="H11">
            <v>0.14700674699999999</v>
          </cell>
        </row>
        <row r="12">
          <cell r="E12" t="str">
            <v>5M</v>
          </cell>
          <cell r="F12">
            <v>0</v>
          </cell>
          <cell r="G12">
            <v>0</v>
          </cell>
          <cell r="H12">
            <v>0.152009967</v>
          </cell>
        </row>
        <row r="13">
          <cell r="E13" t="str">
            <v>6M</v>
          </cell>
          <cell r="F13">
            <v>0</v>
          </cell>
          <cell r="G13">
            <v>0</v>
          </cell>
          <cell r="H13">
            <v>0.158012448</v>
          </cell>
        </row>
        <row r="14">
          <cell r="E14" t="str">
            <v>7M</v>
          </cell>
          <cell r="F14">
            <v>0</v>
          </cell>
          <cell r="G14">
            <v>0</v>
          </cell>
          <cell r="H14">
            <v>0.163015093</v>
          </cell>
        </row>
        <row r="15">
          <cell r="E15" t="str">
            <v>8M</v>
          </cell>
          <cell r="F15">
            <v>0</v>
          </cell>
          <cell r="G15">
            <v>0</v>
          </cell>
          <cell r="H15">
            <v>0.170018901</v>
          </cell>
        </row>
        <row r="16">
          <cell r="E16" t="str">
            <v>9M</v>
          </cell>
          <cell r="F16">
            <v>0</v>
          </cell>
          <cell r="G16">
            <v>0</v>
          </cell>
          <cell r="H16">
            <v>0.17702301300000001</v>
          </cell>
        </row>
        <row r="17">
          <cell r="E17" t="str">
            <v>10M</v>
          </cell>
          <cell r="F17">
            <v>0</v>
          </cell>
          <cell r="G17">
            <v>0</v>
          </cell>
          <cell r="H17">
            <v>0.18502780399999999</v>
          </cell>
        </row>
        <row r="18">
          <cell r="E18" t="str">
            <v>11M</v>
          </cell>
          <cell r="F18">
            <v>0</v>
          </cell>
          <cell r="G18">
            <v>0</v>
          </cell>
          <cell r="H18">
            <v>0.190031109</v>
          </cell>
        </row>
        <row r="19">
          <cell r="E19" t="str">
            <v>12M</v>
          </cell>
          <cell r="F19">
            <v>0</v>
          </cell>
          <cell r="G19">
            <v>0</v>
          </cell>
          <cell r="H19">
            <v>0.19703641799999999</v>
          </cell>
        </row>
        <row r="20">
          <cell r="E20" t="str">
            <v>1Y3M</v>
          </cell>
          <cell r="F20">
            <v>0</v>
          </cell>
          <cell r="G20">
            <v>0</v>
          </cell>
          <cell r="H20">
            <v>0.22263213200000001</v>
          </cell>
        </row>
        <row r="21">
          <cell r="E21" t="str">
            <v>1Y6M</v>
          </cell>
          <cell r="F21">
            <v>0</v>
          </cell>
          <cell r="G21">
            <v>0</v>
          </cell>
          <cell r="H21">
            <v>0.244621277</v>
          </cell>
        </row>
        <row r="22">
          <cell r="E22" t="str">
            <v>1Y9M</v>
          </cell>
          <cell r="F22">
            <v>0</v>
          </cell>
          <cell r="G22">
            <v>0</v>
          </cell>
          <cell r="H22">
            <v>0.27067409999999997</v>
          </cell>
        </row>
        <row r="23">
          <cell r="E23" t="str">
            <v>2Y</v>
          </cell>
          <cell r="F23">
            <v>0</v>
          </cell>
          <cell r="G23">
            <v>0</v>
          </cell>
          <cell r="H23">
            <v>0.30199999999999999</v>
          </cell>
        </row>
        <row r="24">
          <cell r="E24" t="str">
            <v>2Y3M</v>
          </cell>
          <cell r="F24">
            <v>0</v>
          </cell>
          <cell r="G24">
            <v>0</v>
          </cell>
          <cell r="H24">
            <v>0.33923683500000001</v>
          </cell>
        </row>
        <row r="25">
          <cell r="E25" t="str">
            <v>2Y6M</v>
          </cell>
          <cell r="F25">
            <v>0</v>
          </cell>
          <cell r="G25">
            <v>0</v>
          </cell>
          <cell r="H25">
            <v>0.37991089300000003</v>
          </cell>
        </row>
        <row r="26">
          <cell r="E26" t="str">
            <v>2Y9M</v>
          </cell>
          <cell r="F26">
            <v>0</v>
          </cell>
          <cell r="G26">
            <v>0</v>
          </cell>
          <cell r="H26">
            <v>0.42538931400000002</v>
          </cell>
        </row>
        <row r="27">
          <cell r="E27" t="str">
            <v>3Y</v>
          </cell>
          <cell r="F27">
            <v>0</v>
          </cell>
          <cell r="G27">
            <v>0</v>
          </cell>
          <cell r="H27">
            <v>0.47599999999999998</v>
          </cell>
        </row>
        <row r="28">
          <cell r="E28" t="str">
            <v>4Y</v>
          </cell>
          <cell r="F28">
            <v>0</v>
          </cell>
          <cell r="G28">
            <v>0</v>
          </cell>
          <cell r="H28">
            <v>0.70599999999999996</v>
          </cell>
        </row>
        <row r="29">
          <cell r="E29" t="str">
            <v>5Y</v>
          </cell>
          <cell r="F29">
            <v>0</v>
          </cell>
          <cell r="G29">
            <v>0</v>
          </cell>
          <cell r="H29">
            <v>0.93899999999999995</v>
          </cell>
        </row>
        <row r="30">
          <cell r="E30" t="str">
            <v>6Y</v>
          </cell>
          <cell r="F30">
            <v>0</v>
          </cell>
          <cell r="G30">
            <v>0</v>
          </cell>
          <cell r="H30">
            <v>1.1559999999999999</v>
          </cell>
        </row>
        <row r="31">
          <cell r="E31" t="str">
            <v>7Y</v>
          </cell>
          <cell r="F31">
            <v>0</v>
          </cell>
          <cell r="G31">
            <v>0</v>
          </cell>
          <cell r="H31">
            <v>1.35</v>
          </cell>
        </row>
        <row r="32">
          <cell r="E32" t="str">
            <v>8Y</v>
          </cell>
          <cell r="F32">
            <v>0</v>
          </cell>
          <cell r="G32">
            <v>0</v>
          </cell>
          <cell r="H32">
            <v>1.5249999999999999</v>
          </cell>
        </row>
        <row r="33">
          <cell r="E33" t="str">
            <v>9Y</v>
          </cell>
          <cell r="F33">
            <v>0</v>
          </cell>
          <cell r="G33">
            <v>0</v>
          </cell>
          <cell r="H33">
            <v>1.68</v>
          </cell>
        </row>
        <row r="34">
          <cell r="E34" t="str">
            <v>10Y</v>
          </cell>
          <cell r="F34">
            <v>0</v>
          </cell>
          <cell r="G34">
            <v>0</v>
          </cell>
          <cell r="H34">
            <v>1.819</v>
          </cell>
        </row>
        <row r="35">
          <cell r="E35" t="str">
            <v>11Y</v>
          </cell>
          <cell r="F35">
            <v>0</v>
          </cell>
          <cell r="G35">
            <v>0</v>
          </cell>
          <cell r="H35">
            <v>1.9416864309999999</v>
          </cell>
        </row>
        <row r="36">
          <cell r="E36" t="str">
            <v>12Y</v>
          </cell>
          <cell r="F36">
            <v>0</v>
          </cell>
          <cell r="G36">
            <v>0</v>
          </cell>
          <cell r="H36">
            <v>2.0470000000000002</v>
          </cell>
        </row>
        <row r="37">
          <cell r="E37" t="str">
            <v>13Y</v>
          </cell>
          <cell r="F37">
            <v>0</v>
          </cell>
          <cell r="G37">
            <v>0</v>
          </cell>
          <cell r="H37">
            <v>2.137010595</v>
          </cell>
        </row>
        <row r="38">
          <cell r="E38" t="str">
            <v>14Y</v>
          </cell>
          <cell r="F38">
            <v>0</v>
          </cell>
          <cell r="G38">
            <v>0</v>
          </cell>
          <cell r="H38">
            <v>2.2127254810000001</v>
          </cell>
        </row>
        <row r="39">
          <cell r="E39" t="str">
            <v>15Y</v>
          </cell>
          <cell r="F39">
            <v>0</v>
          </cell>
          <cell r="G39">
            <v>0</v>
          </cell>
          <cell r="H39">
            <v>2.274</v>
          </cell>
        </row>
        <row r="40">
          <cell r="E40" t="str">
            <v>16Y</v>
          </cell>
          <cell r="F40">
            <v>0</v>
          </cell>
          <cell r="G40">
            <v>0</v>
          </cell>
          <cell r="H40">
            <v>2.321878608</v>
          </cell>
        </row>
        <row r="41">
          <cell r="E41" t="str">
            <v>17Y</v>
          </cell>
          <cell r="F41">
            <v>0</v>
          </cell>
          <cell r="G41">
            <v>0</v>
          </cell>
          <cell r="H41">
            <v>2.3590720360000001</v>
          </cell>
        </row>
        <row r="42">
          <cell r="E42" t="str">
            <v>18Y</v>
          </cell>
          <cell r="F42">
            <v>0</v>
          </cell>
          <cell r="G42">
            <v>0</v>
          </cell>
          <cell r="H42">
            <v>2.3879447819999999</v>
          </cell>
        </row>
        <row r="43">
          <cell r="E43" t="str">
            <v>19Y</v>
          </cell>
          <cell r="F43">
            <v>0</v>
          </cell>
          <cell r="G43">
            <v>0</v>
          </cell>
          <cell r="H43">
            <v>2.410755634</v>
          </cell>
        </row>
        <row r="44">
          <cell r="E44" t="str">
            <v>20Y</v>
          </cell>
          <cell r="F44">
            <v>0</v>
          </cell>
          <cell r="G44">
            <v>0</v>
          </cell>
          <cell r="H44">
            <v>2.4279999999999999</v>
          </cell>
        </row>
        <row r="45">
          <cell r="E45" t="str">
            <v>21Y</v>
          </cell>
          <cell r="F45">
            <v>0</v>
          </cell>
          <cell r="G45">
            <v>0</v>
          </cell>
          <cell r="H45">
            <v>2.4413319759999998</v>
          </cell>
        </row>
        <row r="46">
          <cell r="E46" t="str">
            <v>22Y</v>
          </cell>
          <cell r="F46">
            <v>0</v>
          </cell>
          <cell r="G46">
            <v>0</v>
          </cell>
          <cell r="H46">
            <v>2.4515464300000001</v>
          </cell>
        </row>
        <row r="47">
          <cell r="E47" t="str">
            <v>23Y</v>
          </cell>
          <cell r="F47">
            <v>0</v>
          </cell>
          <cell r="G47">
            <v>0</v>
          </cell>
          <cell r="H47">
            <v>2.4594370169999999</v>
          </cell>
        </row>
        <row r="48">
          <cell r="E48" t="str">
            <v>24Y</v>
          </cell>
          <cell r="F48">
            <v>0</v>
          </cell>
          <cell r="G48">
            <v>0</v>
          </cell>
          <cell r="H48">
            <v>2.46503096</v>
          </cell>
        </row>
        <row r="49">
          <cell r="E49" t="str">
            <v>25Y</v>
          </cell>
          <cell r="F49">
            <v>0</v>
          </cell>
          <cell r="G49">
            <v>0</v>
          </cell>
          <cell r="H49">
            <v>2.4689999999999999</v>
          </cell>
        </row>
        <row r="50">
          <cell r="E50" t="str">
            <v>26Y</v>
          </cell>
          <cell r="F50">
            <v>0</v>
          </cell>
          <cell r="G50">
            <v>0</v>
          </cell>
          <cell r="H50">
            <v>2.4716927900000001</v>
          </cell>
        </row>
        <row r="51">
          <cell r="E51" t="str">
            <v>27Y</v>
          </cell>
          <cell r="F51">
            <v>0</v>
          </cell>
          <cell r="G51">
            <v>0</v>
          </cell>
          <cell r="H51">
            <v>2.4738485350000001</v>
          </cell>
        </row>
        <row r="52">
          <cell r="E52" t="str">
            <v>28Y</v>
          </cell>
          <cell r="F52">
            <v>0</v>
          </cell>
          <cell r="G52">
            <v>0</v>
          </cell>
          <cell r="H52">
            <v>2.4755997139999999</v>
          </cell>
        </row>
        <row r="53">
          <cell r="E53" t="str">
            <v>29Y</v>
          </cell>
          <cell r="F53">
            <v>0</v>
          </cell>
          <cell r="G53">
            <v>0</v>
          </cell>
          <cell r="H53">
            <v>2.4775348250000002</v>
          </cell>
        </row>
        <row r="54">
          <cell r="E54" t="str">
            <v>30Y</v>
          </cell>
          <cell r="F54">
            <v>0</v>
          </cell>
          <cell r="G54">
            <v>0</v>
          </cell>
          <cell r="H54">
            <v>2.48</v>
          </cell>
        </row>
        <row r="55">
          <cell r="E55" t="str">
            <v>31Y</v>
          </cell>
          <cell r="F55">
            <v>0</v>
          </cell>
          <cell r="G55">
            <v>0</v>
          </cell>
          <cell r="H55">
            <v>2.4833897550000001</v>
          </cell>
        </row>
        <row r="56">
          <cell r="E56" t="str">
            <v>32Y</v>
          </cell>
          <cell r="F56">
            <v>0</v>
          </cell>
          <cell r="G56">
            <v>0</v>
          </cell>
          <cell r="H56">
            <v>2.4873406089999999</v>
          </cell>
        </row>
        <row r="57">
          <cell r="E57" t="str">
            <v>33Y</v>
          </cell>
          <cell r="F57">
            <v>0</v>
          </cell>
          <cell r="G57">
            <v>0</v>
          </cell>
          <cell r="H57">
            <v>2.4919548489999999</v>
          </cell>
        </row>
        <row r="58">
          <cell r="E58" t="str">
            <v>34Y</v>
          </cell>
          <cell r="F58">
            <v>0</v>
          </cell>
          <cell r="G58">
            <v>0</v>
          </cell>
          <cell r="H58">
            <v>2.4971507489999998</v>
          </cell>
        </row>
        <row r="59">
          <cell r="E59" t="str">
            <v>35Y</v>
          </cell>
          <cell r="F59">
            <v>0</v>
          </cell>
          <cell r="G59">
            <v>0</v>
          </cell>
          <cell r="H59">
            <v>2.5030000000000001</v>
          </cell>
        </row>
        <row r="60">
          <cell r="E60" t="str">
            <v>36Y</v>
          </cell>
          <cell r="F60">
            <v>0</v>
          </cell>
          <cell r="G60">
            <v>0</v>
          </cell>
          <cell r="H60">
            <v>2.5091827750000002</v>
          </cell>
        </row>
        <row r="61">
          <cell r="E61" t="str">
            <v>37Y</v>
          </cell>
          <cell r="F61">
            <v>0</v>
          </cell>
          <cell r="G61">
            <v>0</v>
          </cell>
          <cell r="H61">
            <v>2.5155837170000002</v>
          </cell>
        </row>
        <row r="62">
          <cell r="E62" t="str">
            <v>38Y</v>
          </cell>
          <cell r="F62">
            <v>0</v>
          </cell>
          <cell r="G62">
            <v>0</v>
          </cell>
          <cell r="H62">
            <v>2.5220870020000001</v>
          </cell>
        </row>
        <row r="63">
          <cell r="E63" t="str">
            <v>39Y</v>
          </cell>
          <cell r="F63">
            <v>0</v>
          </cell>
          <cell r="G63">
            <v>0</v>
          </cell>
          <cell r="H63">
            <v>2.5286864370000002</v>
          </cell>
        </row>
        <row r="64">
          <cell r="E64" t="str">
            <v>40Y</v>
          </cell>
          <cell r="F64">
            <v>0</v>
          </cell>
          <cell r="G64">
            <v>0</v>
          </cell>
          <cell r="H64">
            <v>2.5350000000000001</v>
          </cell>
        </row>
        <row r="65">
          <cell r="E65" t="str">
            <v>50Y</v>
          </cell>
          <cell r="F65">
            <v>0</v>
          </cell>
          <cell r="G65">
            <v>0</v>
          </cell>
          <cell r="H65">
            <v>2.5859999999999999</v>
          </cell>
        </row>
        <row r="66">
          <cell r="E66" t="str">
            <v>60Y</v>
          </cell>
          <cell r="F66">
            <v>0</v>
          </cell>
          <cell r="G66">
            <v>0</v>
          </cell>
          <cell r="H66">
            <v>2.621</v>
          </cell>
        </row>
      </sheetData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USDStd"/>
    </sheetNames>
    <sheetDataSet>
      <sheetData sheetId="0">
        <row r="2">
          <cell r="E2" t="str">
            <v>O/N</v>
          </cell>
          <cell r="F2">
            <v>0</v>
          </cell>
          <cell r="G2">
            <v>0</v>
          </cell>
          <cell r="H2">
            <v>0.1</v>
          </cell>
        </row>
        <row r="3">
          <cell r="E3" t="str">
            <v>T/N</v>
          </cell>
          <cell r="F3">
            <v>0</v>
          </cell>
          <cell r="G3">
            <v>0</v>
          </cell>
          <cell r="H3">
            <v>0.13</v>
          </cell>
        </row>
        <row r="4">
          <cell r="E4" t="str">
            <v>S/N</v>
          </cell>
          <cell r="F4">
            <v>0</v>
          </cell>
          <cell r="G4">
            <v>0</v>
          </cell>
          <cell r="H4">
            <v>0.19</v>
          </cell>
        </row>
        <row r="5">
          <cell r="E5" t="str">
            <v>1W</v>
          </cell>
          <cell r="F5">
            <v>0</v>
          </cell>
          <cell r="G5">
            <v>0</v>
          </cell>
          <cell r="H5">
            <v>0.13919999999999999</v>
          </cell>
        </row>
        <row r="6">
          <cell r="E6" t="str">
            <v>2W</v>
          </cell>
          <cell r="F6">
            <v>0</v>
          </cell>
          <cell r="G6">
            <v>0</v>
          </cell>
          <cell r="H6">
            <v>0.149242018</v>
          </cell>
        </row>
        <row r="7">
          <cell r="E7" t="str">
            <v>3W</v>
          </cell>
          <cell r="F7">
            <v>0</v>
          </cell>
          <cell r="G7">
            <v>0</v>
          </cell>
          <cell r="H7">
            <v>0.160016503</v>
          </cell>
        </row>
        <row r="8">
          <cell r="E8" t="str">
            <v>1M</v>
          </cell>
          <cell r="F8">
            <v>0</v>
          </cell>
          <cell r="G8">
            <v>0</v>
          </cell>
          <cell r="H8">
            <v>0.17885000000000001</v>
          </cell>
        </row>
        <row r="9">
          <cell r="E9" t="str">
            <v>2M</v>
          </cell>
          <cell r="F9">
            <v>0</v>
          </cell>
          <cell r="G9">
            <v>0</v>
          </cell>
          <cell r="H9">
            <v>0.2165</v>
          </cell>
        </row>
        <row r="10">
          <cell r="E10" t="str">
            <v>3M</v>
          </cell>
          <cell r="F10">
            <v>0</v>
          </cell>
          <cell r="G10">
            <v>0</v>
          </cell>
          <cell r="H10">
            <v>0.24884999999999999</v>
          </cell>
        </row>
        <row r="11">
          <cell r="E11" t="str">
            <v>4M</v>
          </cell>
          <cell r="F11">
            <v>0</v>
          </cell>
          <cell r="G11">
            <v>0</v>
          </cell>
          <cell r="H11">
            <v>0.291349735</v>
          </cell>
        </row>
        <row r="12">
          <cell r="E12" t="str">
            <v>5M</v>
          </cell>
          <cell r="F12">
            <v>0</v>
          </cell>
          <cell r="G12">
            <v>0</v>
          </cell>
          <cell r="H12">
            <v>0.32857702999999999</v>
          </cell>
        </row>
        <row r="13">
          <cell r="E13" t="str">
            <v>6M</v>
          </cell>
          <cell r="F13">
            <v>0</v>
          </cell>
          <cell r="G13">
            <v>0</v>
          </cell>
          <cell r="H13">
            <v>0.36849999999999999</v>
          </cell>
        </row>
        <row r="14">
          <cell r="E14" t="str">
            <v>7M</v>
          </cell>
          <cell r="F14">
            <v>0</v>
          </cell>
          <cell r="G14">
            <v>0</v>
          </cell>
          <cell r="H14">
            <v>0.36865452900000001</v>
          </cell>
        </row>
        <row r="15">
          <cell r="E15" t="str">
            <v>8M</v>
          </cell>
          <cell r="F15">
            <v>0</v>
          </cell>
          <cell r="G15">
            <v>0</v>
          </cell>
          <cell r="H15">
            <v>0.36891435900000003</v>
          </cell>
        </row>
        <row r="16">
          <cell r="E16" t="str">
            <v>#20140618</v>
          </cell>
          <cell r="F16">
            <v>0</v>
          </cell>
          <cell r="G16">
            <v>0</v>
          </cell>
          <cell r="H16">
            <v>0.36907648900000001</v>
          </cell>
        </row>
        <row r="17">
          <cell r="E17">
            <v>41439</v>
          </cell>
          <cell r="F17">
            <v>0</v>
          </cell>
          <cell r="G17">
            <v>0</v>
          </cell>
          <cell r="H17">
            <v>99.630499999999998</v>
          </cell>
        </row>
        <row r="18">
          <cell r="E18">
            <v>41531</v>
          </cell>
          <cell r="F18">
            <v>0</v>
          </cell>
          <cell r="G18">
            <v>0</v>
          </cell>
          <cell r="H18">
            <v>99.573700000000002</v>
          </cell>
        </row>
        <row r="19">
          <cell r="E19">
            <v>41622</v>
          </cell>
          <cell r="F19">
            <v>0</v>
          </cell>
          <cell r="G19">
            <v>0</v>
          </cell>
          <cell r="H19">
            <v>99.492599999999996</v>
          </cell>
        </row>
        <row r="20">
          <cell r="E20">
            <v>41348</v>
          </cell>
          <cell r="F20">
            <v>0</v>
          </cell>
          <cell r="G20">
            <v>0</v>
          </cell>
          <cell r="H20">
            <v>99.382300000000001</v>
          </cell>
        </row>
        <row r="21">
          <cell r="E21">
            <v>41440</v>
          </cell>
          <cell r="F21">
            <v>0</v>
          </cell>
          <cell r="G21">
            <v>0</v>
          </cell>
          <cell r="H21">
            <v>99.237700000000004</v>
          </cell>
        </row>
        <row r="22">
          <cell r="E22">
            <v>41532</v>
          </cell>
          <cell r="F22">
            <v>0</v>
          </cell>
          <cell r="G22">
            <v>0</v>
          </cell>
          <cell r="H22">
            <v>99.048599999999993</v>
          </cell>
        </row>
        <row r="23">
          <cell r="E23" t="str">
            <v>3Y</v>
          </cell>
          <cell r="F23">
            <v>0</v>
          </cell>
          <cell r="G23">
            <v>0</v>
          </cell>
          <cell r="H23">
            <v>0.76800000000000002</v>
          </cell>
        </row>
        <row r="24">
          <cell r="E24" t="str">
            <v>4Y</v>
          </cell>
          <cell r="F24">
            <v>0</v>
          </cell>
          <cell r="G24">
            <v>0</v>
          </cell>
          <cell r="H24">
            <v>1.1548359939999999</v>
          </cell>
        </row>
        <row r="25">
          <cell r="E25" t="str">
            <v>5Y</v>
          </cell>
          <cell r="F25">
            <v>0</v>
          </cell>
          <cell r="G25">
            <v>0</v>
          </cell>
          <cell r="H25">
            <v>1.540867488</v>
          </cell>
        </row>
        <row r="26">
          <cell r="E26" t="str">
            <v>6Y</v>
          </cell>
          <cell r="F26">
            <v>0</v>
          </cell>
          <cell r="G26">
            <v>0</v>
          </cell>
          <cell r="H26">
            <v>1.8768882490000001</v>
          </cell>
        </row>
        <row r="27">
          <cell r="E27" t="str">
            <v>7Y</v>
          </cell>
          <cell r="F27">
            <v>0</v>
          </cell>
          <cell r="G27">
            <v>0</v>
          </cell>
          <cell r="H27">
            <v>2.1659029420000002</v>
          </cell>
        </row>
        <row r="28">
          <cell r="E28" t="str">
            <v>8Y</v>
          </cell>
          <cell r="F28">
            <v>0</v>
          </cell>
          <cell r="G28">
            <v>0</v>
          </cell>
          <cell r="H28">
            <v>2.3989138589999999</v>
          </cell>
        </row>
        <row r="29">
          <cell r="E29" t="str">
            <v>9Y</v>
          </cell>
          <cell r="F29">
            <v>0</v>
          </cell>
          <cell r="G29">
            <v>0</v>
          </cell>
          <cell r="H29">
            <v>2.5939094900000002</v>
          </cell>
        </row>
        <row r="30">
          <cell r="E30" t="str">
            <v>10Y</v>
          </cell>
          <cell r="F30">
            <v>0</v>
          </cell>
          <cell r="G30">
            <v>0</v>
          </cell>
          <cell r="H30">
            <v>2.7599104190000001</v>
          </cell>
        </row>
        <row r="31">
          <cell r="E31" t="str">
            <v>11Y</v>
          </cell>
          <cell r="F31">
            <v>0</v>
          </cell>
          <cell r="G31">
            <v>0</v>
          </cell>
          <cell r="H31">
            <v>2.9021258259999998</v>
          </cell>
        </row>
        <row r="32">
          <cell r="E32" t="str">
            <v>12Y</v>
          </cell>
          <cell r="F32">
            <v>0</v>
          </cell>
          <cell r="G32">
            <v>0</v>
          </cell>
          <cell r="H32">
            <v>3.021922752</v>
          </cell>
        </row>
        <row r="33">
          <cell r="E33" t="str">
            <v>13Y</v>
          </cell>
          <cell r="F33">
            <v>0</v>
          </cell>
          <cell r="G33">
            <v>0</v>
          </cell>
          <cell r="H33">
            <v>3.1219504210000002</v>
          </cell>
        </row>
        <row r="34">
          <cell r="E34" t="str">
            <v>14Y</v>
          </cell>
          <cell r="F34">
            <v>0</v>
          </cell>
          <cell r="G34">
            <v>0</v>
          </cell>
          <cell r="H34">
            <v>3.205782369</v>
          </cell>
        </row>
        <row r="35">
          <cell r="E35" t="str">
            <v>15Y</v>
          </cell>
          <cell r="F35">
            <v>0</v>
          </cell>
          <cell r="G35">
            <v>0</v>
          </cell>
          <cell r="H35">
            <v>3.2749365030000002</v>
          </cell>
        </row>
        <row r="36">
          <cell r="E36" t="str">
            <v>16Y</v>
          </cell>
          <cell r="F36">
            <v>0</v>
          </cell>
          <cell r="G36">
            <v>0</v>
          </cell>
          <cell r="H36">
            <v>3.332511336</v>
          </cell>
        </row>
        <row r="37">
          <cell r="E37" t="str">
            <v>17Y</v>
          </cell>
          <cell r="F37">
            <v>0</v>
          </cell>
          <cell r="G37">
            <v>0</v>
          </cell>
          <cell r="H37">
            <v>3.38063476</v>
          </cell>
        </row>
        <row r="38">
          <cell r="E38" t="str">
            <v>18Y</v>
          </cell>
          <cell r="F38">
            <v>0</v>
          </cell>
          <cell r="G38">
            <v>0</v>
          </cell>
          <cell r="H38">
            <v>3.4212628039999999</v>
          </cell>
        </row>
        <row r="39">
          <cell r="E39" t="str">
            <v>19Y</v>
          </cell>
          <cell r="F39">
            <v>0</v>
          </cell>
          <cell r="G39">
            <v>0</v>
          </cell>
          <cell r="H39">
            <v>3.4561989579999999</v>
          </cell>
        </row>
        <row r="40">
          <cell r="E40" t="str">
            <v>20Y</v>
          </cell>
          <cell r="F40">
            <v>0</v>
          </cell>
          <cell r="G40">
            <v>0</v>
          </cell>
          <cell r="H40">
            <v>3.4859486689999999</v>
          </cell>
        </row>
        <row r="41">
          <cell r="E41" t="str">
            <v>21Y</v>
          </cell>
          <cell r="F41">
            <v>0</v>
          </cell>
          <cell r="G41">
            <v>0</v>
          </cell>
          <cell r="H41">
            <v>3.5118696759999999</v>
          </cell>
        </row>
        <row r="42">
          <cell r="E42" t="str">
            <v>22Y</v>
          </cell>
          <cell r="F42">
            <v>0</v>
          </cell>
          <cell r="G42">
            <v>0</v>
          </cell>
          <cell r="H42">
            <v>3.534686502</v>
          </cell>
        </row>
        <row r="43">
          <cell r="E43" t="str">
            <v>23Y</v>
          </cell>
          <cell r="F43">
            <v>0</v>
          </cell>
          <cell r="G43">
            <v>0</v>
          </cell>
          <cell r="H43">
            <v>3.55489845</v>
          </cell>
        </row>
        <row r="44">
          <cell r="E44" t="str">
            <v>24Y</v>
          </cell>
          <cell r="F44">
            <v>0</v>
          </cell>
          <cell r="G44">
            <v>0</v>
          </cell>
          <cell r="H44">
            <v>3.5728166780000001</v>
          </cell>
        </row>
        <row r="45">
          <cell r="E45" t="str">
            <v>25Y</v>
          </cell>
          <cell r="F45">
            <v>0</v>
          </cell>
          <cell r="G45">
            <v>0</v>
          </cell>
          <cell r="H45">
            <v>3.5889557320000001</v>
          </cell>
        </row>
        <row r="46">
          <cell r="E46" t="str">
            <v>26Y</v>
          </cell>
          <cell r="F46">
            <v>0</v>
          </cell>
          <cell r="G46">
            <v>0</v>
          </cell>
          <cell r="H46">
            <v>3.6033195999999998</v>
          </cell>
        </row>
        <row r="47">
          <cell r="E47" t="str">
            <v>27Y</v>
          </cell>
          <cell r="F47">
            <v>0</v>
          </cell>
          <cell r="G47">
            <v>0</v>
          </cell>
          <cell r="H47">
            <v>3.616079187</v>
          </cell>
        </row>
        <row r="48">
          <cell r="E48" t="str">
            <v>28Y</v>
          </cell>
          <cell r="F48">
            <v>0</v>
          </cell>
          <cell r="G48">
            <v>0</v>
          </cell>
          <cell r="H48">
            <v>3.6271291300000001</v>
          </cell>
        </row>
        <row r="49">
          <cell r="E49" t="str">
            <v>29Y</v>
          </cell>
          <cell r="F49">
            <v>0</v>
          </cell>
          <cell r="G49">
            <v>0</v>
          </cell>
          <cell r="H49">
            <v>3.6364304949999999</v>
          </cell>
        </row>
        <row r="50">
          <cell r="E50" t="str">
            <v>30Y</v>
          </cell>
          <cell r="F50">
            <v>0</v>
          </cell>
          <cell r="G50">
            <v>0</v>
          </cell>
          <cell r="H50">
            <v>3.6439604980000002</v>
          </cell>
        </row>
        <row r="51">
          <cell r="E51" t="str">
            <v>40Y</v>
          </cell>
          <cell r="F51">
            <v>0</v>
          </cell>
          <cell r="G51">
            <v>0</v>
          </cell>
          <cell r="H51">
            <v>3.658966714</v>
          </cell>
        </row>
        <row r="52">
          <cell r="E52" t="str">
            <v>50Y</v>
          </cell>
          <cell r="F52">
            <v>0</v>
          </cell>
          <cell r="G52">
            <v>0</v>
          </cell>
          <cell r="H52">
            <v>3.6469695980000001</v>
          </cell>
        </row>
        <row r="53">
          <cell r="E53" t="str">
            <v>60Y</v>
          </cell>
          <cell r="F53">
            <v>0</v>
          </cell>
          <cell r="G53">
            <v>0</v>
          </cell>
          <cell r="H53">
            <v>3.6376920469999998</v>
          </cell>
        </row>
      </sheetData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USD12M"/>
    </sheetNames>
    <sheetDataSet>
      <sheetData sheetId="0">
        <row r="2">
          <cell r="E2" t="str">
            <v>O/N</v>
          </cell>
          <cell r="F2">
            <v>0</v>
          </cell>
          <cell r="G2">
            <v>0</v>
          </cell>
          <cell r="H2">
            <v>0.1</v>
          </cell>
        </row>
        <row r="3">
          <cell r="E3" t="str">
            <v>T/N</v>
          </cell>
          <cell r="F3">
            <v>0</v>
          </cell>
          <cell r="G3">
            <v>0</v>
          </cell>
          <cell r="H3">
            <v>0.13</v>
          </cell>
        </row>
        <row r="4">
          <cell r="E4" t="str">
            <v>S/N</v>
          </cell>
          <cell r="F4">
            <v>0</v>
          </cell>
          <cell r="G4">
            <v>0</v>
          </cell>
          <cell r="H4">
            <v>0.19</v>
          </cell>
        </row>
        <row r="5">
          <cell r="E5" t="str">
            <v>1W</v>
          </cell>
          <cell r="F5">
            <v>0</v>
          </cell>
          <cell r="G5">
            <v>0</v>
          </cell>
          <cell r="H5">
            <v>0.98629999999999995</v>
          </cell>
        </row>
        <row r="6">
          <cell r="E6" t="str">
            <v>2W</v>
          </cell>
          <cell r="F6">
            <v>0</v>
          </cell>
          <cell r="G6">
            <v>0</v>
          </cell>
          <cell r="H6">
            <v>0.58440000000000003</v>
          </cell>
        </row>
        <row r="7">
          <cell r="E7" t="str">
            <v>3W</v>
          </cell>
          <cell r="F7">
            <v>0</v>
          </cell>
          <cell r="G7">
            <v>0</v>
          </cell>
          <cell r="H7">
            <v>0.58440000000000003</v>
          </cell>
        </row>
        <row r="8">
          <cell r="E8" t="str">
            <v>1M</v>
          </cell>
          <cell r="F8">
            <v>0</v>
          </cell>
          <cell r="G8">
            <v>0</v>
          </cell>
          <cell r="H8">
            <v>0.58740000000000003</v>
          </cell>
        </row>
        <row r="9">
          <cell r="E9" t="str">
            <v>2M</v>
          </cell>
          <cell r="F9">
            <v>0</v>
          </cell>
          <cell r="G9">
            <v>0</v>
          </cell>
          <cell r="H9">
            <v>0.59340000000000004</v>
          </cell>
        </row>
        <row r="10">
          <cell r="E10" t="str">
            <v>3M</v>
          </cell>
          <cell r="F10">
            <v>0</v>
          </cell>
          <cell r="G10">
            <v>0</v>
          </cell>
          <cell r="H10">
            <v>0.59640000000000004</v>
          </cell>
        </row>
        <row r="11">
          <cell r="E11" t="str">
            <v>4M</v>
          </cell>
          <cell r="F11">
            <v>0</v>
          </cell>
          <cell r="G11">
            <v>0</v>
          </cell>
          <cell r="H11">
            <v>0.59940000000000004</v>
          </cell>
        </row>
        <row r="12">
          <cell r="E12" t="str">
            <v>5M</v>
          </cell>
          <cell r="F12">
            <v>0</v>
          </cell>
          <cell r="G12">
            <v>0</v>
          </cell>
          <cell r="H12">
            <v>0.60240000000000005</v>
          </cell>
        </row>
        <row r="13">
          <cell r="E13" t="str">
            <v>6M</v>
          </cell>
          <cell r="F13">
            <v>0</v>
          </cell>
          <cell r="G13">
            <v>0</v>
          </cell>
          <cell r="H13">
            <v>0.60640000000000005</v>
          </cell>
        </row>
        <row r="14">
          <cell r="E14" t="str">
            <v>7M</v>
          </cell>
          <cell r="F14">
            <v>0</v>
          </cell>
          <cell r="G14">
            <v>0</v>
          </cell>
          <cell r="H14">
            <v>0.60988056199999996</v>
          </cell>
        </row>
        <row r="15">
          <cell r="E15" t="str">
            <v>8M</v>
          </cell>
          <cell r="F15">
            <v>0</v>
          </cell>
          <cell r="G15">
            <v>0</v>
          </cell>
          <cell r="H15">
            <v>0.61314439099999996</v>
          </cell>
        </row>
        <row r="16">
          <cell r="E16" t="str">
            <v>#20140618</v>
          </cell>
          <cell r="F16">
            <v>0</v>
          </cell>
          <cell r="G16">
            <v>0</v>
          </cell>
          <cell r="H16">
            <v>0.61485035099999996</v>
          </cell>
        </row>
        <row r="17">
          <cell r="E17">
            <v>41439</v>
          </cell>
          <cell r="F17">
            <v>0</v>
          </cell>
          <cell r="G17">
            <v>0</v>
          </cell>
          <cell r="H17">
            <v>99.341677360000006</v>
          </cell>
        </row>
        <row r="18">
          <cell r="E18">
            <v>41531</v>
          </cell>
          <cell r="F18">
            <v>0</v>
          </cell>
          <cell r="G18">
            <v>0</v>
          </cell>
          <cell r="H18">
            <v>99.286001929999998</v>
          </cell>
        </row>
        <row r="19">
          <cell r="E19">
            <v>41622</v>
          </cell>
          <cell r="F19">
            <v>0</v>
          </cell>
          <cell r="G19">
            <v>0</v>
          </cell>
          <cell r="H19">
            <v>99.196726479999995</v>
          </cell>
        </row>
        <row r="20">
          <cell r="E20">
            <v>41348</v>
          </cell>
          <cell r="F20">
            <v>0</v>
          </cell>
          <cell r="G20">
            <v>0</v>
          </cell>
          <cell r="H20">
            <v>99.070399309999999</v>
          </cell>
        </row>
        <row r="21">
          <cell r="E21">
            <v>41440</v>
          </cell>
          <cell r="F21">
            <v>0</v>
          </cell>
          <cell r="G21">
            <v>0</v>
          </cell>
          <cell r="H21">
            <v>98.910332319999995</v>
          </cell>
        </row>
        <row r="22">
          <cell r="E22">
            <v>41532</v>
          </cell>
          <cell r="F22">
            <v>0</v>
          </cell>
          <cell r="G22">
            <v>0</v>
          </cell>
          <cell r="H22">
            <v>98.718437530000003</v>
          </cell>
        </row>
        <row r="23">
          <cell r="E23" t="str">
            <v>3Y</v>
          </cell>
          <cell r="F23">
            <v>0</v>
          </cell>
          <cell r="G23">
            <v>0</v>
          </cell>
          <cell r="H23">
            <v>1.0652081900000001</v>
          </cell>
        </row>
        <row r="24">
          <cell r="E24" t="str">
            <v>4Y</v>
          </cell>
          <cell r="F24">
            <v>0</v>
          </cell>
          <cell r="G24">
            <v>0</v>
          </cell>
          <cell r="H24">
            <v>1.4467853159999999</v>
          </cell>
        </row>
        <row r="25">
          <cell r="E25" t="str">
            <v>5Y</v>
          </cell>
          <cell r="F25">
            <v>0</v>
          </cell>
          <cell r="G25">
            <v>0</v>
          </cell>
          <cell r="H25">
            <v>1.82931161</v>
          </cell>
        </row>
        <row r="26">
          <cell r="E26" t="str">
            <v>6Y</v>
          </cell>
          <cell r="F26">
            <v>0</v>
          </cell>
          <cell r="G26">
            <v>0</v>
          </cell>
          <cell r="H26">
            <v>2.1618242460000001</v>
          </cell>
        </row>
        <row r="27">
          <cell r="E27" t="str">
            <v>7Y</v>
          </cell>
          <cell r="F27">
            <v>0</v>
          </cell>
          <cell r="G27">
            <v>0</v>
          </cell>
          <cell r="H27">
            <v>2.4473787630000001</v>
          </cell>
        </row>
        <row r="28">
          <cell r="E28" t="str">
            <v>8Y</v>
          </cell>
          <cell r="F28">
            <v>0</v>
          </cell>
          <cell r="G28">
            <v>0</v>
          </cell>
          <cell r="H28">
            <v>2.6771381270000001</v>
          </cell>
        </row>
        <row r="29">
          <cell r="E29" t="str">
            <v>9Y</v>
          </cell>
          <cell r="F29">
            <v>0</v>
          </cell>
          <cell r="G29">
            <v>0</v>
          </cell>
          <cell r="H29">
            <v>2.868981437</v>
          </cell>
        </row>
        <row r="30">
          <cell r="E30" t="str">
            <v>10Y</v>
          </cell>
          <cell r="F30">
            <v>0</v>
          </cell>
          <cell r="G30">
            <v>0</v>
          </cell>
          <cell r="H30">
            <v>3.0319142010000002</v>
          </cell>
        </row>
        <row r="31">
          <cell r="E31" t="str">
            <v>11Y</v>
          </cell>
          <cell r="F31">
            <v>0</v>
          </cell>
          <cell r="G31">
            <v>0</v>
          </cell>
          <cell r="H31">
            <v>3.170965517</v>
          </cell>
        </row>
        <row r="32">
          <cell r="E32" t="str">
            <v>12Y</v>
          </cell>
          <cell r="F32">
            <v>0</v>
          </cell>
          <cell r="G32">
            <v>0</v>
          </cell>
          <cell r="H32">
            <v>3.2879500359999998</v>
          </cell>
        </row>
        <row r="33">
          <cell r="E33" t="str">
            <v>13Y</v>
          </cell>
          <cell r="F33">
            <v>0</v>
          </cell>
          <cell r="G33">
            <v>0</v>
          </cell>
          <cell r="H33">
            <v>3.3852293279999999</v>
          </cell>
        </row>
        <row r="34">
          <cell r="E34" t="str">
            <v>14Y</v>
          </cell>
          <cell r="F34">
            <v>0</v>
          </cell>
          <cell r="G34">
            <v>0</v>
          </cell>
          <cell r="H34">
            <v>3.4666357570000002</v>
          </cell>
        </row>
        <row r="35">
          <cell r="E35" t="str">
            <v>15Y</v>
          </cell>
          <cell r="F35">
            <v>0</v>
          </cell>
          <cell r="G35">
            <v>0</v>
          </cell>
          <cell r="H35">
            <v>3.5338148299999999</v>
          </cell>
        </row>
        <row r="36">
          <cell r="E36" t="str">
            <v>16Y</v>
          </cell>
          <cell r="F36">
            <v>0</v>
          </cell>
          <cell r="G36">
            <v>0</v>
          </cell>
          <cell r="H36">
            <v>3.5894926190000001</v>
          </cell>
        </row>
        <row r="37">
          <cell r="E37" t="str">
            <v>17Y</v>
          </cell>
          <cell r="F37">
            <v>0</v>
          </cell>
          <cell r="G37">
            <v>0</v>
          </cell>
          <cell r="H37">
            <v>3.6358869280000001</v>
          </cell>
        </row>
        <row r="38">
          <cell r="E38" t="str">
            <v>18Y</v>
          </cell>
          <cell r="F38">
            <v>0</v>
          </cell>
          <cell r="G38">
            <v>0</v>
          </cell>
          <cell r="H38">
            <v>3.6749776870000002</v>
          </cell>
        </row>
        <row r="39">
          <cell r="E39" t="str">
            <v>19Y</v>
          </cell>
          <cell r="F39">
            <v>0</v>
          </cell>
          <cell r="G39">
            <v>0</v>
          </cell>
          <cell r="H39">
            <v>3.7085592580000002</v>
          </cell>
        </row>
        <row r="40">
          <cell r="E40" t="str">
            <v>20Y</v>
          </cell>
          <cell r="F40">
            <v>0</v>
          </cell>
          <cell r="G40">
            <v>0</v>
          </cell>
          <cell r="H40">
            <v>3.7371155699999998</v>
          </cell>
        </row>
        <row r="41">
          <cell r="E41" t="str">
            <v>21Y</v>
          </cell>
          <cell r="F41">
            <v>0</v>
          </cell>
          <cell r="G41">
            <v>0</v>
          </cell>
          <cell r="H41">
            <v>3.7618486729999998</v>
          </cell>
        </row>
        <row r="42">
          <cell r="E42" t="str">
            <v>22Y</v>
          </cell>
          <cell r="F42">
            <v>0</v>
          </cell>
          <cell r="G42">
            <v>0</v>
          </cell>
          <cell r="H42">
            <v>3.783505855</v>
          </cell>
        </row>
        <row r="43">
          <cell r="E43" t="str">
            <v>23Y</v>
          </cell>
          <cell r="F43">
            <v>0</v>
          </cell>
          <cell r="G43">
            <v>0</v>
          </cell>
          <cell r="H43">
            <v>3.8026070000000001</v>
          </cell>
        </row>
        <row r="44">
          <cell r="E44" t="str">
            <v>24Y</v>
          </cell>
          <cell r="F44">
            <v>0</v>
          </cell>
          <cell r="G44">
            <v>0</v>
          </cell>
          <cell r="H44">
            <v>3.8194784789999998</v>
          </cell>
        </row>
        <row r="45">
          <cell r="E45" t="str">
            <v>25Y</v>
          </cell>
          <cell r="F45">
            <v>0</v>
          </cell>
          <cell r="G45">
            <v>0</v>
          </cell>
          <cell r="H45">
            <v>3.8346452649999998</v>
          </cell>
        </row>
        <row r="46">
          <cell r="E46" t="str">
            <v>26Y</v>
          </cell>
          <cell r="F46">
            <v>0</v>
          </cell>
          <cell r="G46">
            <v>0</v>
          </cell>
          <cell r="H46">
            <v>3.8480807929999998</v>
          </cell>
        </row>
        <row r="47">
          <cell r="E47" t="str">
            <v>27Y</v>
          </cell>
          <cell r="F47">
            <v>0</v>
          </cell>
          <cell r="G47">
            <v>0</v>
          </cell>
          <cell r="H47">
            <v>3.8599639159999999</v>
          </cell>
        </row>
        <row r="48">
          <cell r="E48" t="str">
            <v>28Y</v>
          </cell>
          <cell r="F48">
            <v>0</v>
          </cell>
          <cell r="G48">
            <v>0</v>
          </cell>
          <cell r="H48">
            <v>3.870194938</v>
          </cell>
        </row>
        <row r="49">
          <cell r="E49" t="str">
            <v>29Y</v>
          </cell>
          <cell r="F49">
            <v>0</v>
          </cell>
          <cell r="G49">
            <v>0</v>
          </cell>
          <cell r="H49">
            <v>3.8787375289999999</v>
          </cell>
        </row>
        <row r="50">
          <cell r="E50" t="str">
            <v>30Y</v>
          </cell>
          <cell r="F50">
            <v>0</v>
          </cell>
          <cell r="G50">
            <v>0</v>
          </cell>
          <cell r="H50">
            <v>3.8855678990000002</v>
          </cell>
        </row>
        <row r="51">
          <cell r="E51" t="str">
            <v>40Y</v>
          </cell>
          <cell r="F51">
            <v>0</v>
          </cell>
          <cell r="G51">
            <v>0</v>
          </cell>
          <cell r="H51">
            <v>3.902240682</v>
          </cell>
        </row>
        <row r="52">
          <cell r="E52" t="str">
            <v>50Y</v>
          </cell>
          <cell r="F52">
            <v>0</v>
          </cell>
          <cell r="G52">
            <v>0</v>
          </cell>
          <cell r="H52">
            <v>3.8923018169999999</v>
          </cell>
        </row>
        <row r="53">
          <cell r="E53" t="str">
            <v>60Y</v>
          </cell>
          <cell r="F53">
            <v>0</v>
          </cell>
          <cell r="G53">
            <v>0</v>
          </cell>
          <cell r="H53">
            <v>3.884557515</v>
          </cell>
        </row>
      </sheetData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USD1M"/>
    </sheetNames>
    <sheetDataSet>
      <sheetData sheetId="0">
        <row r="2">
          <cell r="E2" t="str">
            <v>O/N</v>
          </cell>
          <cell r="F2">
            <v>0</v>
          </cell>
          <cell r="G2">
            <v>0</v>
          </cell>
          <cell r="H2">
            <v>0.1</v>
          </cell>
        </row>
        <row r="3">
          <cell r="E3" t="str">
            <v>T/N</v>
          </cell>
          <cell r="F3">
            <v>0</v>
          </cell>
          <cell r="G3">
            <v>0</v>
          </cell>
          <cell r="H3">
            <v>0.13</v>
          </cell>
        </row>
        <row r="4">
          <cell r="E4" t="str">
            <v>S/N</v>
          </cell>
          <cell r="F4">
            <v>0</v>
          </cell>
          <cell r="G4">
            <v>0</v>
          </cell>
          <cell r="H4">
            <v>0.19</v>
          </cell>
        </row>
        <row r="5">
          <cell r="E5" t="str">
            <v>1W</v>
          </cell>
          <cell r="F5">
            <v>0</v>
          </cell>
          <cell r="G5">
            <v>0</v>
          </cell>
          <cell r="H5">
            <v>0.17906861099999999</v>
          </cell>
        </row>
        <row r="6">
          <cell r="E6" t="str">
            <v>2W</v>
          </cell>
          <cell r="F6">
            <v>0</v>
          </cell>
          <cell r="G6">
            <v>0</v>
          </cell>
          <cell r="H6">
            <v>0.179114093</v>
          </cell>
        </row>
        <row r="7">
          <cell r="E7" t="str">
            <v>3W</v>
          </cell>
          <cell r="F7">
            <v>0</v>
          </cell>
          <cell r="G7">
            <v>0</v>
          </cell>
          <cell r="H7">
            <v>0.179114522</v>
          </cell>
        </row>
        <row r="8">
          <cell r="E8" t="str">
            <v>1M</v>
          </cell>
          <cell r="F8">
            <v>0</v>
          </cell>
          <cell r="G8">
            <v>0</v>
          </cell>
          <cell r="H8">
            <v>0.17911791199999999</v>
          </cell>
        </row>
        <row r="9">
          <cell r="E9" t="str">
            <v>2M</v>
          </cell>
          <cell r="F9">
            <v>0</v>
          </cell>
          <cell r="G9">
            <v>0</v>
          </cell>
          <cell r="H9">
            <v>0.179128817</v>
          </cell>
        </row>
        <row r="10">
          <cell r="E10" t="str">
            <v>3M</v>
          </cell>
          <cell r="F10">
            <v>0</v>
          </cell>
          <cell r="G10">
            <v>0</v>
          </cell>
          <cell r="H10">
            <v>0.17914200799999999</v>
          </cell>
        </row>
        <row r="11">
          <cell r="E11" t="str">
            <v>4M</v>
          </cell>
          <cell r="F11">
            <v>0</v>
          </cell>
          <cell r="G11">
            <v>0</v>
          </cell>
          <cell r="H11">
            <v>0.19369087400000001</v>
          </cell>
        </row>
        <row r="12">
          <cell r="E12" t="str">
            <v>5M</v>
          </cell>
          <cell r="F12">
            <v>0</v>
          </cell>
          <cell r="G12">
            <v>0</v>
          </cell>
          <cell r="H12">
            <v>0.193662786</v>
          </cell>
        </row>
        <row r="13">
          <cell r="E13" t="str">
            <v>6M</v>
          </cell>
          <cell r="F13">
            <v>0</v>
          </cell>
          <cell r="G13">
            <v>0</v>
          </cell>
          <cell r="H13">
            <v>0.20355733100000001</v>
          </cell>
        </row>
        <row r="14">
          <cell r="E14" t="str">
            <v>7M</v>
          </cell>
          <cell r="F14">
            <v>0</v>
          </cell>
          <cell r="G14">
            <v>0</v>
          </cell>
          <cell r="H14">
            <v>0.203537001</v>
          </cell>
        </row>
        <row r="15">
          <cell r="E15" t="str">
            <v>8M</v>
          </cell>
          <cell r="F15">
            <v>0</v>
          </cell>
          <cell r="G15">
            <v>0</v>
          </cell>
          <cell r="H15">
            <v>0.21213190300000001</v>
          </cell>
        </row>
        <row r="16">
          <cell r="E16" t="str">
            <v>#20140618</v>
          </cell>
          <cell r="F16">
            <v>0</v>
          </cell>
          <cell r="G16">
            <v>0</v>
          </cell>
          <cell r="H16">
            <v>0.21743198899999999</v>
          </cell>
        </row>
        <row r="17">
          <cell r="E17">
            <v>41439</v>
          </cell>
          <cell r="F17">
            <v>0</v>
          </cell>
          <cell r="G17">
            <v>0</v>
          </cell>
          <cell r="H17">
            <v>99.714520359999995</v>
          </cell>
        </row>
        <row r="18">
          <cell r="E18">
            <v>41531</v>
          </cell>
          <cell r="F18">
            <v>0</v>
          </cell>
          <cell r="G18">
            <v>0</v>
          </cell>
          <cell r="H18">
            <v>99.676937170000002</v>
          </cell>
        </row>
        <row r="19">
          <cell r="E19">
            <v>41622</v>
          </cell>
          <cell r="F19">
            <v>0</v>
          </cell>
          <cell r="G19">
            <v>0</v>
          </cell>
          <cell r="H19">
            <v>99.589122279999998</v>
          </cell>
        </row>
        <row r="20">
          <cell r="E20">
            <v>41348</v>
          </cell>
          <cell r="F20">
            <v>0</v>
          </cell>
          <cell r="G20">
            <v>0</v>
          </cell>
          <cell r="H20">
            <v>99.458342630000004</v>
          </cell>
        </row>
        <row r="21">
          <cell r="E21">
            <v>41440</v>
          </cell>
          <cell r="F21">
            <v>0</v>
          </cell>
          <cell r="G21">
            <v>0</v>
          </cell>
          <cell r="H21">
            <v>99.288213339999999</v>
          </cell>
        </row>
        <row r="22">
          <cell r="E22">
            <v>41532</v>
          </cell>
          <cell r="F22">
            <v>0</v>
          </cell>
          <cell r="G22">
            <v>0</v>
          </cell>
          <cell r="H22">
            <v>99.081856909999999</v>
          </cell>
        </row>
        <row r="23">
          <cell r="E23" t="str">
            <v>3Y</v>
          </cell>
          <cell r="F23">
            <v>0</v>
          </cell>
          <cell r="G23">
            <v>0</v>
          </cell>
          <cell r="H23">
            <v>0.68719233300000004</v>
          </cell>
        </row>
        <row r="24">
          <cell r="E24" t="str">
            <v>4Y</v>
          </cell>
          <cell r="F24">
            <v>0</v>
          </cell>
          <cell r="G24">
            <v>0</v>
          </cell>
          <cell r="H24">
            <v>1.07214966</v>
          </cell>
        </row>
        <row r="25">
          <cell r="E25" t="str">
            <v>5Y</v>
          </cell>
          <cell r="F25">
            <v>0</v>
          </cell>
          <cell r="G25">
            <v>0</v>
          </cell>
          <cell r="H25">
            <v>1.4591394680000001</v>
          </cell>
        </row>
        <row r="26">
          <cell r="E26" t="str">
            <v>6Y</v>
          </cell>
          <cell r="F26">
            <v>0</v>
          </cell>
          <cell r="G26">
            <v>0</v>
          </cell>
          <cell r="H26">
            <v>1.7999300460000001</v>
          </cell>
        </row>
        <row r="27">
          <cell r="E27" t="str">
            <v>7Y</v>
          </cell>
          <cell r="F27">
            <v>0</v>
          </cell>
          <cell r="G27">
            <v>0</v>
          </cell>
          <cell r="H27">
            <v>2.0910838350000001</v>
          </cell>
        </row>
        <row r="28">
          <cell r="E28" t="str">
            <v>8Y</v>
          </cell>
          <cell r="F28">
            <v>0</v>
          </cell>
          <cell r="G28">
            <v>0</v>
          </cell>
          <cell r="H28">
            <v>2.3299551379999999</v>
          </cell>
        </row>
        <row r="29">
          <cell r="E29" t="str">
            <v>9Y</v>
          </cell>
          <cell r="F29">
            <v>0</v>
          </cell>
          <cell r="G29">
            <v>0</v>
          </cell>
          <cell r="H29">
            <v>2.5290819830000002</v>
          </cell>
        </row>
        <row r="30">
          <cell r="E30" t="str">
            <v>10Y</v>
          </cell>
          <cell r="F30">
            <v>0</v>
          </cell>
          <cell r="G30">
            <v>0</v>
          </cell>
          <cell r="H30">
            <v>2.6965979880000002</v>
          </cell>
        </row>
        <row r="31">
          <cell r="E31" t="str">
            <v>11Y</v>
          </cell>
          <cell r="F31">
            <v>0</v>
          </cell>
          <cell r="G31">
            <v>0</v>
          </cell>
          <cell r="H31">
            <v>2.8415343489999998</v>
          </cell>
        </row>
        <row r="32">
          <cell r="E32" t="str">
            <v>12Y</v>
          </cell>
          <cell r="F32">
            <v>0</v>
          </cell>
          <cell r="G32">
            <v>0</v>
          </cell>
          <cell r="H32">
            <v>2.9647766600000001</v>
          </cell>
        </row>
        <row r="33">
          <cell r="E33" t="str">
            <v>13Y</v>
          </cell>
          <cell r="F33">
            <v>0</v>
          </cell>
          <cell r="G33">
            <v>0</v>
          </cell>
          <cell r="H33">
            <v>3.067927713</v>
          </cell>
        </row>
        <row r="34">
          <cell r="E34" t="str">
            <v>14Y</v>
          </cell>
          <cell r="F34">
            <v>0</v>
          </cell>
          <cell r="G34">
            <v>0</v>
          </cell>
          <cell r="H34">
            <v>3.1544561789999999</v>
          </cell>
        </row>
        <row r="35">
          <cell r="E35" t="str">
            <v>15Y</v>
          </cell>
          <cell r="F35">
            <v>0</v>
          </cell>
          <cell r="G35">
            <v>0</v>
          </cell>
          <cell r="H35">
            <v>3.2259194739999999</v>
          </cell>
        </row>
        <row r="36">
          <cell r="E36" t="str">
            <v>16Y</v>
          </cell>
          <cell r="F36">
            <v>0</v>
          </cell>
          <cell r="G36">
            <v>0</v>
          </cell>
          <cell r="H36">
            <v>3.2855109530000002</v>
          </cell>
        </row>
        <row r="37">
          <cell r="E37" t="str">
            <v>17Y</v>
          </cell>
          <cell r="F37">
            <v>0</v>
          </cell>
          <cell r="G37">
            <v>0</v>
          </cell>
          <cell r="H37">
            <v>3.3353962479999999</v>
          </cell>
        </row>
        <row r="38">
          <cell r="E38" t="str">
            <v>18Y</v>
          </cell>
          <cell r="F38">
            <v>0</v>
          </cell>
          <cell r="G38">
            <v>0</v>
          </cell>
          <cell r="H38">
            <v>3.3775615819999998</v>
          </cell>
        </row>
        <row r="39">
          <cell r="E39" t="str">
            <v>19Y</v>
          </cell>
          <cell r="F39">
            <v>0</v>
          </cell>
          <cell r="G39">
            <v>0</v>
          </cell>
          <cell r="H39">
            <v>3.4138432060000001</v>
          </cell>
        </row>
        <row r="40">
          <cell r="E40" t="str">
            <v>20Y</v>
          </cell>
          <cell r="F40">
            <v>0</v>
          </cell>
          <cell r="G40">
            <v>0</v>
          </cell>
          <cell r="H40">
            <v>3.4447388079999999</v>
          </cell>
        </row>
        <row r="41">
          <cell r="E41" t="str">
            <v>21Y</v>
          </cell>
          <cell r="F41">
            <v>0</v>
          </cell>
          <cell r="G41">
            <v>0</v>
          </cell>
          <cell r="H41">
            <v>3.4716433709999999</v>
          </cell>
        </row>
        <row r="42">
          <cell r="E42" t="str">
            <v>22Y</v>
          </cell>
          <cell r="F42">
            <v>0</v>
          </cell>
          <cell r="G42">
            <v>0</v>
          </cell>
          <cell r="H42">
            <v>3.4953314560000002</v>
          </cell>
        </row>
        <row r="43">
          <cell r="E43" t="str">
            <v>23Y</v>
          </cell>
          <cell r="F43">
            <v>0</v>
          </cell>
          <cell r="G43">
            <v>0</v>
          </cell>
          <cell r="H43">
            <v>3.5163462550000002</v>
          </cell>
        </row>
        <row r="44">
          <cell r="E44" t="str">
            <v>24Y</v>
          </cell>
          <cell r="F44">
            <v>0</v>
          </cell>
          <cell r="G44">
            <v>0</v>
          </cell>
          <cell r="H44">
            <v>3.535029432</v>
          </cell>
        </row>
        <row r="45">
          <cell r="E45" t="str">
            <v>25Y</v>
          </cell>
          <cell r="F45">
            <v>0</v>
          </cell>
          <cell r="G45">
            <v>0</v>
          </cell>
          <cell r="H45">
            <v>3.551929055</v>
          </cell>
        </row>
        <row r="46">
          <cell r="E46" t="str">
            <v>26Y</v>
          </cell>
          <cell r="F46">
            <v>0</v>
          </cell>
          <cell r="G46">
            <v>0</v>
          </cell>
          <cell r="H46">
            <v>3.567047659</v>
          </cell>
        </row>
        <row r="47">
          <cell r="E47" t="str">
            <v>27Y</v>
          </cell>
          <cell r="F47">
            <v>0</v>
          </cell>
          <cell r="G47">
            <v>0</v>
          </cell>
          <cell r="H47">
            <v>3.5805268219999999</v>
          </cell>
        </row>
        <row r="48">
          <cell r="E48" t="str">
            <v>28Y</v>
          </cell>
          <cell r="F48">
            <v>0</v>
          </cell>
          <cell r="G48">
            <v>0</v>
          </cell>
          <cell r="H48">
            <v>3.5922206729999999</v>
          </cell>
        </row>
        <row r="49">
          <cell r="E49" t="str">
            <v>29Y</v>
          </cell>
          <cell r="F49">
            <v>0</v>
          </cell>
          <cell r="G49">
            <v>0</v>
          </cell>
          <cell r="H49">
            <v>3.6020614659999999</v>
          </cell>
        </row>
        <row r="50">
          <cell r="E50" t="str">
            <v>30Y</v>
          </cell>
          <cell r="F50">
            <v>0</v>
          </cell>
          <cell r="G50">
            <v>0</v>
          </cell>
          <cell r="H50">
            <v>3.6100047860000002</v>
          </cell>
        </row>
        <row r="51">
          <cell r="E51" t="str">
            <v>40Y</v>
          </cell>
          <cell r="F51">
            <v>0</v>
          </cell>
          <cell r="G51">
            <v>0</v>
          </cell>
          <cell r="H51">
            <v>3.6251293790000001</v>
          </cell>
        </row>
        <row r="52">
          <cell r="E52" t="str">
            <v>50Y</v>
          </cell>
          <cell r="F52">
            <v>0</v>
          </cell>
          <cell r="G52">
            <v>0</v>
          </cell>
          <cell r="H52">
            <v>3.6126713389999998</v>
          </cell>
        </row>
        <row r="53">
          <cell r="E53" t="str">
            <v>60Y</v>
          </cell>
          <cell r="F53">
            <v>0</v>
          </cell>
          <cell r="G53">
            <v>0</v>
          </cell>
          <cell r="H53">
            <v>3.6033371380000001</v>
          </cell>
        </row>
      </sheetData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USD3M"/>
    </sheetNames>
    <sheetDataSet>
      <sheetData sheetId="0">
        <row r="2">
          <cell r="E2" t="str">
            <v>O/N</v>
          </cell>
          <cell r="F2">
            <v>0</v>
          </cell>
          <cell r="G2">
            <v>0</v>
          </cell>
          <cell r="H2">
            <v>0.1</v>
          </cell>
        </row>
        <row r="3">
          <cell r="E3" t="str">
            <v>T/N</v>
          </cell>
          <cell r="F3">
            <v>0</v>
          </cell>
          <cell r="G3">
            <v>0</v>
          </cell>
          <cell r="H3">
            <v>0.13</v>
          </cell>
        </row>
        <row r="4">
          <cell r="E4" t="str">
            <v>S/N</v>
          </cell>
          <cell r="F4">
            <v>0</v>
          </cell>
          <cell r="G4">
            <v>0</v>
          </cell>
          <cell r="H4">
            <v>0.19</v>
          </cell>
        </row>
        <row r="5">
          <cell r="E5" t="str">
            <v>1W</v>
          </cell>
          <cell r="F5">
            <v>0</v>
          </cell>
          <cell r="G5">
            <v>0</v>
          </cell>
          <cell r="H5">
            <v>0.23849999999999999</v>
          </cell>
        </row>
        <row r="6">
          <cell r="E6" t="str">
            <v>2W</v>
          </cell>
          <cell r="F6">
            <v>0</v>
          </cell>
          <cell r="G6">
            <v>0</v>
          </cell>
          <cell r="H6">
            <v>0.238127494</v>
          </cell>
        </row>
        <row r="7">
          <cell r="E7" t="str">
            <v>3W</v>
          </cell>
          <cell r="F7">
            <v>0</v>
          </cell>
          <cell r="G7">
            <v>0</v>
          </cell>
          <cell r="H7">
            <v>0.23813103399999999</v>
          </cell>
        </row>
        <row r="8">
          <cell r="E8" t="str">
            <v>1M</v>
          </cell>
          <cell r="F8">
            <v>0</v>
          </cell>
          <cell r="G8">
            <v>0</v>
          </cell>
          <cell r="H8">
            <v>0.23929999900000001</v>
          </cell>
        </row>
        <row r="9">
          <cell r="E9" t="str">
            <v>2M</v>
          </cell>
          <cell r="F9">
            <v>0</v>
          </cell>
          <cell r="G9">
            <v>0</v>
          </cell>
          <cell r="H9">
            <v>0.24460000000000001</v>
          </cell>
        </row>
        <row r="10">
          <cell r="E10" t="str">
            <v>3M</v>
          </cell>
          <cell r="F10">
            <v>0</v>
          </cell>
          <cell r="G10">
            <v>0</v>
          </cell>
          <cell r="H10">
            <v>0.24890000000000001</v>
          </cell>
        </row>
        <row r="11">
          <cell r="E11" t="str">
            <v>4M</v>
          </cell>
          <cell r="F11">
            <v>0</v>
          </cell>
          <cell r="G11">
            <v>0</v>
          </cell>
          <cell r="H11">
            <v>0.256466109</v>
          </cell>
        </row>
        <row r="12">
          <cell r="E12" t="str">
            <v>5M</v>
          </cell>
          <cell r="F12">
            <v>0</v>
          </cell>
          <cell r="G12">
            <v>0</v>
          </cell>
          <cell r="H12">
            <v>0.264640718</v>
          </cell>
        </row>
        <row r="13">
          <cell r="E13" t="str">
            <v>6M</v>
          </cell>
          <cell r="F13">
            <v>0</v>
          </cell>
          <cell r="G13">
            <v>0</v>
          </cell>
          <cell r="H13">
            <v>0.272537908</v>
          </cell>
        </row>
        <row r="14">
          <cell r="E14" t="str">
            <v>7M</v>
          </cell>
          <cell r="F14">
            <v>0</v>
          </cell>
          <cell r="G14">
            <v>0</v>
          </cell>
          <cell r="H14">
            <v>0.27937447300000001</v>
          </cell>
        </row>
        <row r="15">
          <cell r="E15" t="str">
            <v>8M</v>
          </cell>
          <cell r="F15">
            <v>0</v>
          </cell>
          <cell r="G15">
            <v>0</v>
          </cell>
          <cell r="H15">
            <v>0.286120498</v>
          </cell>
        </row>
        <row r="16">
          <cell r="E16" t="str">
            <v>#20140618</v>
          </cell>
          <cell r="F16">
            <v>0</v>
          </cell>
          <cell r="G16">
            <v>0</v>
          </cell>
          <cell r="H16">
            <v>0.28964532799999998</v>
          </cell>
        </row>
        <row r="17">
          <cell r="E17">
            <v>41439</v>
          </cell>
          <cell r="F17">
            <v>0</v>
          </cell>
          <cell r="G17">
            <v>0</v>
          </cell>
          <cell r="H17">
            <v>99.627499999999998</v>
          </cell>
        </row>
        <row r="18">
          <cell r="E18">
            <v>41531</v>
          </cell>
          <cell r="F18">
            <v>0</v>
          </cell>
          <cell r="G18">
            <v>0</v>
          </cell>
          <cell r="H18">
            <v>99.567499999999995</v>
          </cell>
        </row>
        <row r="19">
          <cell r="E19">
            <v>41622</v>
          </cell>
          <cell r="F19">
            <v>0</v>
          </cell>
          <cell r="G19">
            <v>0</v>
          </cell>
          <cell r="H19">
            <v>99.477500000000006</v>
          </cell>
        </row>
        <row r="20">
          <cell r="E20">
            <v>41348</v>
          </cell>
          <cell r="F20">
            <v>0</v>
          </cell>
          <cell r="G20">
            <v>0</v>
          </cell>
          <cell r="H20">
            <v>99.362499999999997</v>
          </cell>
        </row>
        <row r="21">
          <cell r="E21">
            <v>41440</v>
          </cell>
          <cell r="F21">
            <v>0</v>
          </cell>
          <cell r="G21">
            <v>0</v>
          </cell>
          <cell r="H21">
            <v>99.212500000000006</v>
          </cell>
        </row>
        <row r="22">
          <cell r="E22">
            <v>41532</v>
          </cell>
          <cell r="F22">
            <v>0</v>
          </cell>
          <cell r="G22">
            <v>0</v>
          </cell>
          <cell r="H22">
            <v>99.017499999999998</v>
          </cell>
        </row>
        <row r="23">
          <cell r="E23" t="str">
            <v>3Y</v>
          </cell>
          <cell r="F23">
            <v>0</v>
          </cell>
          <cell r="G23">
            <v>0</v>
          </cell>
          <cell r="H23">
            <v>0.76800000000000002</v>
          </cell>
        </row>
        <row r="24">
          <cell r="E24" t="str">
            <v>4Y</v>
          </cell>
          <cell r="F24">
            <v>0</v>
          </cell>
          <cell r="G24">
            <v>0</v>
          </cell>
          <cell r="H24">
            <v>1.1548359939999999</v>
          </cell>
        </row>
        <row r="25">
          <cell r="E25" t="str">
            <v>5Y</v>
          </cell>
          <cell r="F25">
            <v>0</v>
          </cell>
          <cell r="G25">
            <v>0</v>
          </cell>
          <cell r="H25">
            <v>1.540867488</v>
          </cell>
        </row>
        <row r="26">
          <cell r="E26" t="str">
            <v>6Y</v>
          </cell>
          <cell r="F26">
            <v>0</v>
          </cell>
          <cell r="G26">
            <v>0</v>
          </cell>
          <cell r="H26">
            <v>1.8768882490000001</v>
          </cell>
        </row>
        <row r="27">
          <cell r="E27" t="str">
            <v>7Y</v>
          </cell>
          <cell r="F27">
            <v>0</v>
          </cell>
          <cell r="G27">
            <v>0</v>
          </cell>
          <cell r="H27">
            <v>2.1659029420000002</v>
          </cell>
        </row>
        <row r="28">
          <cell r="E28" t="str">
            <v>8Y</v>
          </cell>
          <cell r="F28">
            <v>0</v>
          </cell>
          <cell r="G28">
            <v>0</v>
          </cell>
          <cell r="H28">
            <v>2.3989138589999999</v>
          </cell>
        </row>
        <row r="29">
          <cell r="E29" t="str">
            <v>9Y</v>
          </cell>
          <cell r="F29">
            <v>0</v>
          </cell>
          <cell r="G29">
            <v>0</v>
          </cell>
          <cell r="H29">
            <v>2.5939094900000002</v>
          </cell>
        </row>
        <row r="30">
          <cell r="E30" t="str">
            <v>10Y</v>
          </cell>
          <cell r="F30">
            <v>0</v>
          </cell>
          <cell r="G30">
            <v>0</v>
          </cell>
          <cell r="H30">
            <v>2.7599104190000001</v>
          </cell>
        </row>
        <row r="31">
          <cell r="E31" t="str">
            <v>11Y</v>
          </cell>
          <cell r="F31">
            <v>0</v>
          </cell>
          <cell r="G31">
            <v>0</v>
          </cell>
          <cell r="H31">
            <v>2.9021258259999998</v>
          </cell>
        </row>
        <row r="32">
          <cell r="E32" t="str">
            <v>12Y</v>
          </cell>
          <cell r="F32">
            <v>0</v>
          </cell>
          <cell r="G32">
            <v>0</v>
          </cell>
          <cell r="H32">
            <v>3.021922752</v>
          </cell>
        </row>
        <row r="33">
          <cell r="E33" t="str">
            <v>13Y</v>
          </cell>
          <cell r="F33">
            <v>0</v>
          </cell>
          <cell r="G33">
            <v>0</v>
          </cell>
          <cell r="H33">
            <v>3.1219504210000002</v>
          </cell>
        </row>
        <row r="34">
          <cell r="E34" t="str">
            <v>14Y</v>
          </cell>
          <cell r="F34">
            <v>0</v>
          </cell>
          <cell r="G34">
            <v>0</v>
          </cell>
          <cell r="H34">
            <v>3.205782369</v>
          </cell>
        </row>
        <row r="35">
          <cell r="E35" t="str">
            <v>15Y</v>
          </cell>
          <cell r="F35">
            <v>0</v>
          </cell>
          <cell r="G35">
            <v>0</v>
          </cell>
          <cell r="H35">
            <v>3.2749365030000002</v>
          </cell>
        </row>
        <row r="36">
          <cell r="E36" t="str">
            <v>16Y</v>
          </cell>
          <cell r="F36">
            <v>0</v>
          </cell>
          <cell r="G36">
            <v>0</v>
          </cell>
          <cell r="H36">
            <v>3.332511336</v>
          </cell>
        </row>
        <row r="37">
          <cell r="E37" t="str">
            <v>17Y</v>
          </cell>
          <cell r="F37">
            <v>0</v>
          </cell>
          <cell r="G37">
            <v>0</v>
          </cell>
          <cell r="H37">
            <v>3.38063476</v>
          </cell>
        </row>
        <row r="38">
          <cell r="E38" t="str">
            <v>18Y</v>
          </cell>
          <cell r="F38">
            <v>0</v>
          </cell>
          <cell r="G38">
            <v>0</v>
          </cell>
          <cell r="H38">
            <v>3.4212628039999999</v>
          </cell>
        </row>
        <row r="39">
          <cell r="E39" t="str">
            <v>19Y</v>
          </cell>
          <cell r="F39">
            <v>0</v>
          </cell>
          <cell r="G39">
            <v>0</v>
          </cell>
          <cell r="H39">
            <v>3.4561989579999999</v>
          </cell>
        </row>
        <row r="40">
          <cell r="E40" t="str">
            <v>20Y</v>
          </cell>
          <cell r="F40">
            <v>0</v>
          </cell>
          <cell r="G40">
            <v>0</v>
          </cell>
          <cell r="H40">
            <v>3.4859486689999999</v>
          </cell>
        </row>
        <row r="41">
          <cell r="E41" t="str">
            <v>21Y</v>
          </cell>
          <cell r="F41">
            <v>0</v>
          </cell>
          <cell r="G41">
            <v>0</v>
          </cell>
          <cell r="H41">
            <v>3.5118696759999999</v>
          </cell>
        </row>
        <row r="42">
          <cell r="E42" t="str">
            <v>22Y</v>
          </cell>
          <cell r="F42">
            <v>0</v>
          </cell>
          <cell r="G42">
            <v>0</v>
          </cell>
          <cell r="H42">
            <v>3.534686502</v>
          </cell>
        </row>
        <row r="43">
          <cell r="E43" t="str">
            <v>23Y</v>
          </cell>
          <cell r="F43">
            <v>0</v>
          </cell>
          <cell r="G43">
            <v>0</v>
          </cell>
          <cell r="H43">
            <v>3.55489845</v>
          </cell>
        </row>
        <row r="44">
          <cell r="E44" t="str">
            <v>24Y</v>
          </cell>
          <cell r="F44">
            <v>0</v>
          </cell>
          <cell r="G44">
            <v>0</v>
          </cell>
          <cell r="H44">
            <v>3.5728166780000001</v>
          </cell>
        </row>
        <row r="45">
          <cell r="E45" t="str">
            <v>25Y</v>
          </cell>
          <cell r="F45">
            <v>0</v>
          </cell>
          <cell r="G45">
            <v>0</v>
          </cell>
          <cell r="H45">
            <v>3.5889557320000001</v>
          </cell>
        </row>
        <row r="46">
          <cell r="E46" t="str">
            <v>26Y</v>
          </cell>
          <cell r="F46">
            <v>0</v>
          </cell>
          <cell r="G46">
            <v>0</v>
          </cell>
          <cell r="H46">
            <v>3.6033195999999998</v>
          </cell>
        </row>
        <row r="47">
          <cell r="E47" t="str">
            <v>27Y</v>
          </cell>
          <cell r="F47">
            <v>0</v>
          </cell>
          <cell r="G47">
            <v>0</v>
          </cell>
          <cell r="H47">
            <v>3.616079187</v>
          </cell>
        </row>
        <row r="48">
          <cell r="E48" t="str">
            <v>28Y</v>
          </cell>
          <cell r="F48">
            <v>0</v>
          </cell>
          <cell r="G48">
            <v>0</v>
          </cell>
          <cell r="H48">
            <v>3.6271291300000001</v>
          </cell>
        </row>
        <row r="49">
          <cell r="E49" t="str">
            <v>29Y</v>
          </cell>
          <cell r="F49">
            <v>0</v>
          </cell>
          <cell r="G49">
            <v>0</v>
          </cell>
          <cell r="H49">
            <v>3.6364304949999999</v>
          </cell>
        </row>
        <row r="50">
          <cell r="E50" t="str">
            <v>30Y</v>
          </cell>
          <cell r="F50">
            <v>0</v>
          </cell>
          <cell r="G50">
            <v>0</v>
          </cell>
          <cell r="H50">
            <v>3.6439604980000002</v>
          </cell>
        </row>
        <row r="51">
          <cell r="E51" t="str">
            <v>40Y</v>
          </cell>
          <cell r="F51">
            <v>0</v>
          </cell>
          <cell r="G51">
            <v>0</v>
          </cell>
          <cell r="H51">
            <v>3.658966714</v>
          </cell>
        </row>
        <row r="52">
          <cell r="E52" t="str">
            <v>50Y</v>
          </cell>
          <cell r="F52">
            <v>0</v>
          </cell>
          <cell r="G52">
            <v>0</v>
          </cell>
          <cell r="H52">
            <v>3.6469695980000001</v>
          </cell>
        </row>
        <row r="53">
          <cell r="E53" t="str">
            <v>60Y</v>
          </cell>
          <cell r="F53">
            <v>0</v>
          </cell>
          <cell r="G53">
            <v>0</v>
          </cell>
          <cell r="H53">
            <v>3.6376920469999998</v>
          </cell>
        </row>
      </sheetData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USD6M"/>
    </sheetNames>
    <sheetDataSet>
      <sheetData sheetId="0" refreshError="1">
        <row r="2">
          <cell r="E2" t="str">
            <v>O/N</v>
          </cell>
          <cell r="F2">
            <v>0</v>
          </cell>
          <cell r="G2">
            <v>0</v>
          </cell>
          <cell r="H2">
            <v>0.1</v>
          </cell>
        </row>
        <row r="3">
          <cell r="E3" t="str">
            <v>T/N</v>
          </cell>
          <cell r="F3">
            <v>0</v>
          </cell>
          <cell r="G3">
            <v>0</v>
          </cell>
          <cell r="H3">
            <v>0.13</v>
          </cell>
        </row>
        <row r="4">
          <cell r="E4" t="str">
            <v>S/N</v>
          </cell>
          <cell r="F4">
            <v>0</v>
          </cell>
          <cell r="G4">
            <v>0</v>
          </cell>
          <cell r="H4">
            <v>0.19</v>
          </cell>
        </row>
        <row r="5">
          <cell r="E5" t="str">
            <v>1W</v>
          </cell>
          <cell r="F5">
            <v>0</v>
          </cell>
          <cell r="G5">
            <v>0</v>
          </cell>
          <cell r="H5">
            <v>0.35460000000000003</v>
          </cell>
        </row>
        <row r="6">
          <cell r="E6" t="str">
            <v>2W</v>
          </cell>
          <cell r="F6">
            <v>0</v>
          </cell>
          <cell r="G6">
            <v>0</v>
          </cell>
          <cell r="H6">
            <v>0.35299999999999998</v>
          </cell>
        </row>
        <row r="7">
          <cell r="E7" t="str">
            <v>3W</v>
          </cell>
          <cell r="F7">
            <v>0</v>
          </cell>
          <cell r="G7">
            <v>0</v>
          </cell>
          <cell r="H7">
            <v>0.35149999999999998</v>
          </cell>
        </row>
        <row r="8">
          <cell r="E8" t="str">
            <v>1M</v>
          </cell>
          <cell r="F8">
            <v>0</v>
          </cell>
          <cell r="G8">
            <v>0</v>
          </cell>
          <cell r="H8">
            <v>0.352099999</v>
          </cell>
        </row>
        <row r="9">
          <cell r="E9" t="str">
            <v>2M</v>
          </cell>
          <cell r="F9">
            <v>0</v>
          </cell>
          <cell r="G9">
            <v>0</v>
          </cell>
          <cell r="H9">
            <v>0.35389999999999999</v>
          </cell>
        </row>
        <row r="10">
          <cell r="E10" t="str">
            <v>3M</v>
          </cell>
          <cell r="F10">
            <v>0</v>
          </cell>
          <cell r="G10">
            <v>0</v>
          </cell>
          <cell r="H10">
            <v>0.3543</v>
          </cell>
        </row>
        <row r="11">
          <cell r="E11" t="str">
            <v>4M</v>
          </cell>
          <cell r="F11">
            <v>0</v>
          </cell>
          <cell r="G11">
            <v>0</v>
          </cell>
          <cell r="H11">
            <v>0.35670000000000002</v>
          </cell>
        </row>
        <row r="12">
          <cell r="E12" t="str">
            <v>5M</v>
          </cell>
          <cell r="F12">
            <v>0</v>
          </cell>
          <cell r="G12">
            <v>0</v>
          </cell>
          <cell r="H12">
            <v>0.36109999999999998</v>
          </cell>
        </row>
        <row r="13">
          <cell r="E13" t="str">
            <v>6M</v>
          </cell>
          <cell r="F13">
            <v>0</v>
          </cell>
          <cell r="G13">
            <v>0</v>
          </cell>
          <cell r="H13">
            <v>0.36849999999999999</v>
          </cell>
        </row>
        <row r="14">
          <cell r="E14" t="str">
            <v>7M</v>
          </cell>
          <cell r="F14">
            <v>0</v>
          </cell>
          <cell r="G14">
            <v>0</v>
          </cell>
          <cell r="H14">
            <v>0.37714322500000003</v>
          </cell>
        </row>
        <row r="15">
          <cell r="E15" t="str">
            <v>8M</v>
          </cell>
          <cell r="F15">
            <v>0</v>
          </cell>
          <cell r="G15">
            <v>0</v>
          </cell>
          <cell r="H15">
            <v>0.387081597</v>
          </cell>
        </row>
        <row r="16">
          <cell r="E16" t="str">
            <v>#20140618</v>
          </cell>
          <cell r="F16">
            <v>0</v>
          </cell>
          <cell r="G16">
            <v>0</v>
          </cell>
          <cell r="H16">
            <v>0.392084716</v>
          </cell>
        </row>
        <row r="17">
          <cell r="E17">
            <v>41439</v>
          </cell>
          <cell r="F17">
            <v>0</v>
          </cell>
          <cell r="G17">
            <v>0</v>
          </cell>
          <cell r="H17">
            <v>99.525193020000003</v>
          </cell>
        </row>
        <row r="18">
          <cell r="E18">
            <v>41531</v>
          </cell>
          <cell r="F18">
            <v>0</v>
          </cell>
          <cell r="G18">
            <v>0</v>
          </cell>
          <cell r="H18">
            <v>99.472710219999996</v>
          </cell>
        </row>
        <row r="19">
          <cell r="E19">
            <v>41622</v>
          </cell>
          <cell r="F19">
            <v>0</v>
          </cell>
          <cell r="G19">
            <v>0</v>
          </cell>
          <cell r="H19">
            <v>99.377115419999996</v>
          </cell>
        </row>
        <row r="20">
          <cell r="E20">
            <v>41348</v>
          </cell>
          <cell r="F20">
            <v>0</v>
          </cell>
          <cell r="G20">
            <v>0</v>
          </cell>
          <cell r="H20">
            <v>99.247173200000006</v>
          </cell>
        </row>
        <row r="21">
          <cell r="E21">
            <v>41440</v>
          </cell>
          <cell r="F21">
            <v>0</v>
          </cell>
          <cell r="G21">
            <v>0</v>
          </cell>
          <cell r="H21">
            <v>99.08632369</v>
          </cell>
        </row>
        <row r="22">
          <cell r="E22">
            <v>41532</v>
          </cell>
          <cell r="F22">
            <v>0</v>
          </cell>
          <cell r="G22">
            <v>0</v>
          </cell>
          <cell r="H22">
            <v>98.895945260000005</v>
          </cell>
        </row>
        <row r="23">
          <cell r="E23" t="str">
            <v>3Y</v>
          </cell>
          <cell r="F23">
            <v>0</v>
          </cell>
          <cell r="G23">
            <v>0</v>
          </cell>
          <cell r="H23">
            <v>0.87551963600000005</v>
          </cell>
        </row>
        <row r="24">
          <cell r="E24" t="str">
            <v>4Y</v>
          </cell>
          <cell r="F24">
            <v>0</v>
          </cell>
          <cell r="G24">
            <v>0</v>
          </cell>
          <cell r="H24">
            <v>1.263857577</v>
          </cell>
        </row>
        <row r="25">
          <cell r="E25" t="str">
            <v>5Y</v>
          </cell>
          <cell r="F25">
            <v>0</v>
          </cell>
          <cell r="G25">
            <v>0</v>
          </cell>
          <cell r="H25">
            <v>1.6502300839999999</v>
          </cell>
        </row>
        <row r="26">
          <cell r="E26" t="str">
            <v>6Y</v>
          </cell>
          <cell r="F26">
            <v>0</v>
          </cell>
          <cell r="G26">
            <v>0</v>
          </cell>
          <cell r="H26">
            <v>1.9865923240000001</v>
          </cell>
        </row>
        <row r="27">
          <cell r="E27" t="str">
            <v>7Y</v>
          </cell>
          <cell r="F27">
            <v>0</v>
          </cell>
          <cell r="G27">
            <v>0</v>
          </cell>
          <cell r="H27">
            <v>2.274959151</v>
          </cell>
        </row>
        <row r="28">
          <cell r="E28" t="str">
            <v>8Y</v>
          </cell>
          <cell r="F28">
            <v>0</v>
          </cell>
          <cell r="G28">
            <v>0</v>
          </cell>
          <cell r="H28">
            <v>2.5084254029999999</v>
          </cell>
        </row>
        <row r="29">
          <cell r="E29" t="str">
            <v>9Y</v>
          </cell>
          <cell r="F29">
            <v>0</v>
          </cell>
          <cell r="G29">
            <v>0</v>
          </cell>
          <cell r="H29">
            <v>2.7029424450000001</v>
          </cell>
        </row>
        <row r="30">
          <cell r="E30" t="str">
            <v>10Y</v>
          </cell>
          <cell r="F30">
            <v>0</v>
          </cell>
          <cell r="G30">
            <v>0</v>
          </cell>
          <cell r="H30">
            <v>2.8685011550000001</v>
          </cell>
        </row>
        <row r="31">
          <cell r="E31" t="str">
            <v>11Y</v>
          </cell>
          <cell r="F31">
            <v>0</v>
          </cell>
          <cell r="G31">
            <v>0</v>
          </cell>
          <cell r="H31">
            <v>3.0102573420000001</v>
          </cell>
        </row>
        <row r="32">
          <cell r="E32" t="str">
            <v>12Y</v>
          </cell>
          <cell r="F32">
            <v>0</v>
          </cell>
          <cell r="G32">
            <v>0</v>
          </cell>
          <cell r="H32">
            <v>3.129602856</v>
          </cell>
        </row>
        <row r="33">
          <cell r="E33" t="str">
            <v>13Y</v>
          </cell>
          <cell r="F33">
            <v>0</v>
          </cell>
          <cell r="G33">
            <v>0</v>
          </cell>
          <cell r="H33">
            <v>3.2292358540000001</v>
          </cell>
        </row>
        <row r="34">
          <cell r="E34" t="str">
            <v>14Y</v>
          </cell>
          <cell r="F34">
            <v>0</v>
          </cell>
          <cell r="G34">
            <v>0</v>
          </cell>
          <cell r="H34">
            <v>3.3127126919999998</v>
          </cell>
        </row>
        <row r="35">
          <cell r="E35" t="str">
            <v>15Y</v>
          </cell>
          <cell r="F35">
            <v>0</v>
          </cell>
          <cell r="G35">
            <v>0</v>
          </cell>
          <cell r="H35">
            <v>3.3815501270000001</v>
          </cell>
        </row>
        <row r="36">
          <cell r="E36" t="str">
            <v>16Y</v>
          </cell>
          <cell r="F36">
            <v>0</v>
          </cell>
          <cell r="G36">
            <v>0</v>
          </cell>
          <cell r="H36">
            <v>3.4388557500000001</v>
          </cell>
        </row>
        <row r="37">
          <cell r="E37" t="str">
            <v>17Y</v>
          </cell>
          <cell r="F37">
            <v>0</v>
          </cell>
          <cell r="G37">
            <v>0</v>
          </cell>
          <cell r="H37">
            <v>3.4867602880000002</v>
          </cell>
        </row>
        <row r="38">
          <cell r="E38" t="str">
            <v>18Y</v>
          </cell>
          <cell r="F38">
            <v>0</v>
          </cell>
          <cell r="G38">
            <v>0</v>
          </cell>
          <cell r="H38">
            <v>3.5272168420000001</v>
          </cell>
        </row>
        <row r="39">
          <cell r="E39" t="str">
            <v>19Y</v>
          </cell>
          <cell r="F39">
            <v>0</v>
          </cell>
          <cell r="G39">
            <v>0</v>
          </cell>
          <cell r="H39">
            <v>3.5620248499999998</v>
          </cell>
        </row>
        <row r="40">
          <cell r="E40" t="str">
            <v>20Y</v>
          </cell>
          <cell r="F40">
            <v>0</v>
          </cell>
          <cell r="G40">
            <v>0</v>
          </cell>
          <cell r="H40">
            <v>3.5916836929999998</v>
          </cell>
        </row>
        <row r="41">
          <cell r="E41" t="str">
            <v>21Y</v>
          </cell>
          <cell r="F41">
            <v>0</v>
          </cell>
          <cell r="G41">
            <v>0</v>
          </cell>
          <cell r="H41">
            <v>3.6175449940000002</v>
          </cell>
        </row>
        <row r="42">
          <cell r="E42" t="str">
            <v>22Y</v>
          </cell>
          <cell r="F42">
            <v>0</v>
          </cell>
          <cell r="G42">
            <v>0</v>
          </cell>
          <cell r="H42">
            <v>3.6403253000000002</v>
          </cell>
        </row>
        <row r="43">
          <cell r="E43" t="str">
            <v>23Y</v>
          </cell>
          <cell r="F43">
            <v>0</v>
          </cell>
          <cell r="G43">
            <v>0</v>
          </cell>
          <cell r="H43">
            <v>3.6605159989999998</v>
          </cell>
        </row>
        <row r="44">
          <cell r="E44" t="str">
            <v>24Y</v>
          </cell>
          <cell r="F44">
            <v>0</v>
          </cell>
          <cell r="G44">
            <v>0</v>
          </cell>
          <cell r="H44">
            <v>3.6784206570000002</v>
          </cell>
        </row>
        <row r="45">
          <cell r="E45" t="str">
            <v>25Y</v>
          </cell>
          <cell r="F45">
            <v>0</v>
          </cell>
          <cell r="G45">
            <v>0</v>
          </cell>
          <cell r="H45">
            <v>3.6945480700000002</v>
          </cell>
        </row>
        <row r="46">
          <cell r="E46" t="str">
            <v>26Y</v>
          </cell>
          <cell r="F46">
            <v>0</v>
          </cell>
          <cell r="G46">
            <v>0</v>
          </cell>
          <cell r="H46">
            <v>3.7088966669999999</v>
          </cell>
        </row>
        <row r="47">
          <cell r="E47" t="str">
            <v>27Y</v>
          </cell>
          <cell r="F47">
            <v>0</v>
          </cell>
          <cell r="G47">
            <v>0</v>
          </cell>
          <cell r="H47">
            <v>3.7216402959999999</v>
          </cell>
        </row>
        <row r="48">
          <cell r="E48" t="str">
            <v>28Y</v>
          </cell>
          <cell r="F48">
            <v>0</v>
          </cell>
          <cell r="G48">
            <v>0</v>
          </cell>
          <cell r="H48">
            <v>3.7326791739999998</v>
          </cell>
        </row>
        <row r="49">
          <cell r="E49" t="str">
            <v>29Y</v>
          </cell>
          <cell r="F49">
            <v>0</v>
          </cell>
          <cell r="G49">
            <v>0</v>
          </cell>
          <cell r="H49">
            <v>3.7419813070000001</v>
          </cell>
        </row>
        <row r="50">
          <cell r="E50" t="str">
            <v>30Y</v>
          </cell>
          <cell r="F50">
            <v>0</v>
          </cell>
          <cell r="G50">
            <v>0</v>
          </cell>
          <cell r="H50">
            <v>3.749531282</v>
          </cell>
        </row>
        <row r="51">
          <cell r="E51" t="str">
            <v>40Y</v>
          </cell>
          <cell r="F51">
            <v>0</v>
          </cell>
          <cell r="G51">
            <v>0</v>
          </cell>
          <cell r="H51">
            <v>3.7654039570000002</v>
          </cell>
        </row>
        <row r="52">
          <cell r="E52" t="str">
            <v>50Y</v>
          </cell>
          <cell r="F52">
            <v>0</v>
          </cell>
          <cell r="G52">
            <v>0</v>
          </cell>
          <cell r="H52">
            <v>3.7544190300000002</v>
          </cell>
        </row>
        <row r="53">
          <cell r="E53" t="str">
            <v>60Y</v>
          </cell>
          <cell r="F53">
            <v>0</v>
          </cell>
          <cell r="G53">
            <v>0</v>
          </cell>
          <cell r="H53">
            <v>3.7460792390000002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6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0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drawing" Target="../drawings/drawing4.xml"/><Relationship Id="rId7" Type="http://schemas.openxmlformats.org/officeDocument/2006/relationships/control" Target="../activeX/activeX2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file:///\\Mxgui.ux.imilan.it\excel_file" TargetMode="External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4.v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9"/>
  </sheetPr>
  <dimension ref="B2:O28"/>
  <sheetViews>
    <sheetView workbookViewId="0">
      <selection activeCell="B15" sqref="B15"/>
    </sheetView>
  </sheetViews>
  <sheetFormatPr defaultRowHeight="12.75"/>
  <cols>
    <col min="1" max="1" width="2.7109375" customWidth="1"/>
    <col min="2" max="2" width="16.140625" customWidth="1"/>
    <col min="9" max="9" width="2.7109375" customWidth="1"/>
  </cols>
  <sheetData>
    <row r="2" spans="2:8" ht="16.5" thickBot="1">
      <c r="B2" s="548" t="s">
        <v>227</v>
      </c>
      <c r="C2" s="549"/>
      <c r="D2" s="549"/>
      <c r="E2" s="549"/>
      <c r="F2" s="549"/>
      <c r="G2" s="549"/>
      <c r="H2" s="550"/>
    </row>
    <row r="3" spans="2:8" ht="13.5" thickTop="1">
      <c r="B3" s="85"/>
      <c r="C3" s="86"/>
      <c r="D3" s="86"/>
      <c r="E3" s="86"/>
      <c r="F3" s="86"/>
      <c r="G3" s="86"/>
      <c r="H3" s="87"/>
    </row>
    <row r="4" spans="2:8">
      <c r="B4" s="88" t="s">
        <v>212</v>
      </c>
      <c r="C4" s="547" t="b">
        <v>1</v>
      </c>
      <c r="D4" s="547"/>
      <c r="E4" s="547"/>
      <c r="F4" s="218" t="s">
        <v>555</v>
      </c>
      <c r="G4" s="86"/>
      <c r="H4" s="87"/>
    </row>
    <row r="5" spans="2:8">
      <c r="B5" s="85"/>
      <c r="C5" s="86"/>
      <c r="D5" s="86"/>
      <c r="E5" s="86"/>
      <c r="F5" s="86"/>
      <c r="G5" s="86"/>
      <c r="H5" s="87"/>
    </row>
    <row r="6" spans="2:8">
      <c r="B6" s="88" t="s">
        <v>225</v>
      </c>
      <c r="C6" s="89"/>
      <c r="D6" s="89"/>
      <c r="E6" s="89"/>
      <c r="F6" s="218" t="s">
        <v>555</v>
      </c>
      <c r="G6" s="86"/>
      <c r="H6" s="87"/>
    </row>
    <row r="7" spans="2:8">
      <c r="B7" s="85"/>
      <c r="C7" s="86"/>
      <c r="D7" s="86"/>
      <c r="E7" s="86"/>
      <c r="F7" s="86"/>
      <c r="G7" s="86"/>
      <c r="H7" s="87"/>
    </row>
    <row r="8" spans="2:8">
      <c r="B8" s="88" t="s">
        <v>226</v>
      </c>
      <c r="C8" s="89"/>
      <c r="D8" s="89"/>
      <c r="E8" s="89"/>
      <c r="F8" s="86"/>
      <c r="G8" s="86"/>
      <c r="H8" s="87"/>
    </row>
    <row r="9" spans="2:8">
      <c r="B9" s="85"/>
      <c r="C9" s="86"/>
      <c r="D9" s="86"/>
      <c r="E9" s="86"/>
      <c r="F9" s="86"/>
      <c r="G9" s="86"/>
      <c r="H9" s="87"/>
    </row>
    <row r="10" spans="2:8">
      <c r="B10" s="90"/>
      <c r="C10" s="91"/>
      <c r="D10" s="91"/>
      <c r="E10" s="91"/>
      <c r="F10" s="91"/>
      <c r="G10" s="91"/>
      <c r="H10" s="92"/>
    </row>
    <row r="14" spans="2:8">
      <c r="B14" s="122" t="s">
        <v>156</v>
      </c>
    </row>
    <row r="15" spans="2:8">
      <c r="B15" s="123">
        <v>42692</v>
      </c>
      <c r="E15" s="113"/>
    </row>
    <row r="16" spans="2:8">
      <c r="E16" s="113"/>
    </row>
    <row r="17" spans="2:15">
      <c r="B17" s="315" t="s">
        <v>748</v>
      </c>
      <c r="E17" s="113"/>
    </row>
    <row r="18" spans="2:15">
      <c r="B18" s="123">
        <f>NextBusDay(today,2)</f>
        <v>42696</v>
      </c>
      <c r="E18" s="113"/>
    </row>
    <row r="20" spans="2:15" ht="18">
      <c r="B20" s="551" t="s">
        <v>752</v>
      </c>
      <c r="C20" s="551"/>
      <c r="D20" s="551"/>
      <c r="E20" s="551"/>
      <c r="F20" s="551"/>
      <c r="G20" s="551"/>
    </row>
    <row r="21" spans="2:15">
      <c r="B21" s="338"/>
      <c r="C21" s="339"/>
      <c r="D21" s="339"/>
      <c r="E21" s="339"/>
      <c r="F21" s="339"/>
      <c r="G21" s="340"/>
    </row>
    <row r="22" spans="2:15">
      <c r="B22" s="545" t="s">
        <v>789</v>
      </c>
      <c r="C22" s="546"/>
      <c r="D22" s="546"/>
      <c r="E22" s="546"/>
      <c r="F22" s="546"/>
      <c r="G22" s="337" t="s">
        <v>5158</v>
      </c>
      <c r="H22" s="194" t="s">
        <v>790</v>
      </c>
      <c r="I22" s="194"/>
      <c r="J22" s="194"/>
      <c r="K22" s="194"/>
      <c r="L22" s="194"/>
      <c r="M22" s="194"/>
      <c r="N22" s="194"/>
      <c r="O22" s="194"/>
    </row>
    <row r="23" spans="2:15">
      <c r="B23" s="338"/>
      <c r="C23" s="339"/>
      <c r="D23" s="339"/>
      <c r="E23" s="339"/>
      <c r="F23" s="339"/>
      <c r="G23" s="340"/>
      <c r="H23" s="194" t="s">
        <v>753</v>
      </c>
      <c r="I23" s="194"/>
      <c r="J23" s="194"/>
      <c r="K23" s="194"/>
      <c r="L23" s="194"/>
      <c r="M23" s="194"/>
      <c r="N23" s="194"/>
      <c r="O23" s="194"/>
    </row>
    <row r="24" spans="2:15">
      <c r="B24" s="338"/>
      <c r="C24" s="339"/>
      <c r="D24" s="339"/>
      <c r="E24" s="339"/>
      <c r="F24" s="339"/>
      <c r="G24" s="340"/>
    </row>
    <row r="25" spans="2:15">
      <c r="B25" s="545" t="s">
        <v>1052</v>
      </c>
      <c r="C25" s="546"/>
      <c r="D25" s="546"/>
      <c r="E25" s="546"/>
      <c r="F25" s="546"/>
      <c r="G25" s="1" t="b">
        <v>0</v>
      </c>
    </row>
    <row r="26" spans="2:15">
      <c r="B26" s="338"/>
      <c r="C26" s="339"/>
      <c r="D26" s="339"/>
      <c r="E26" s="339"/>
      <c r="F26" s="339"/>
      <c r="G26" s="340"/>
    </row>
    <row r="27" spans="2:15">
      <c r="B27" s="545" t="s">
        <v>1358</v>
      </c>
      <c r="C27" s="546"/>
      <c r="D27" s="546"/>
      <c r="E27" s="546"/>
      <c r="F27" s="546"/>
      <c r="G27" s="417" t="s">
        <v>1359</v>
      </c>
      <c r="H27" s="193">
        <f>MATCH(G27,STUBdateMethod,0)</f>
        <v>1</v>
      </c>
    </row>
    <row r="28" spans="2:15">
      <c r="B28" s="341"/>
      <c r="C28" s="342"/>
      <c r="D28" s="342"/>
      <c r="E28" s="342"/>
      <c r="F28" s="342"/>
      <c r="G28" s="343"/>
    </row>
  </sheetData>
  <mergeCells count="6">
    <mergeCell ref="B27:F27"/>
    <mergeCell ref="B25:F25"/>
    <mergeCell ref="B22:F22"/>
    <mergeCell ref="C4:E4"/>
    <mergeCell ref="B2:H2"/>
    <mergeCell ref="B20:G20"/>
  </mergeCells>
  <dataValidations count="3">
    <dataValidation type="list" allowBlank="1" showInputMessage="1" sqref="C4:E4 G25">
      <formula1>"TRUE,FALSE"</formula1>
    </dataValidation>
    <dataValidation type="list" allowBlank="1" showInputMessage="1" showErrorMessage="1" sqref="G22">
      <formula1>"Default,Recalc"</formula1>
    </dataValidation>
    <dataValidation type="list" allowBlank="1" showInputMessage="1" sqref="G27">
      <formula1>STUBdateMethod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0" r:id="rId4" name="TakeSnapshot">
              <controlPr defaultSize="0" print="0" autoFill="0" autoPict="0" macro="[0]!TakeSnapshot_Click">
                <anchor moveWithCells="1" sizeWithCells="1">
                  <from>
                    <xdr:col>2</xdr:col>
                    <xdr:colOff>0</xdr:colOff>
                    <xdr:row>4</xdr:row>
                    <xdr:rowOff>152400</xdr:rowOff>
                  </from>
                  <to>
                    <xdr:col>5</xdr:col>
                    <xdr:colOff>9525</xdr:colOff>
                    <xdr:row>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2" r:id="rId5" name="Button 4">
              <controlPr defaultSize="0" print="0" autoFill="0" autoPict="0" macro="[0]!RefreshReutersfunctions_Click">
                <anchor moveWithCells="1" sizeWithCells="1">
                  <from>
                    <xdr:col>2</xdr:col>
                    <xdr:colOff>9525</xdr:colOff>
                    <xdr:row>7</xdr:row>
                    <xdr:rowOff>9525</xdr:rowOff>
                  </from>
                  <to>
                    <xdr:col>5</xdr:col>
                    <xdr:colOff>9525</xdr:colOff>
                    <xdr:row>8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outlinePr summaryRight="0"/>
  </sheetPr>
  <dimension ref="A1:CP148"/>
  <sheetViews>
    <sheetView topLeftCell="A10" workbookViewId="0">
      <selection activeCell="Q25" sqref="Q25"/>
    </sheetView>
  </sheetViews>
  <sheetFormatPr defaultColWidth="10.7109375" defaultRowHeight="15" customHeight="1" outlineLevelRow="2" outlineLevelCol="1"/>
  <cols>
    <col min="1" max="1" width="12.140625" style="2" customWidth="1" collapsed="1"/>
    <col min="2" max="2" width="11.5703125" style="2" hidden="1" customWidth="1" outlineLevel="1"/>
    <col min="3" max="3" width="10.7109375" style="2" hidden="1" customWidth="1" outlineLevel="1"/>
    <col min="4" max="4" width="12.140625" style="2" customWidth="1"/>
    <col min="5" max="5" width="13.42578125" style="2" bestFit="1" customWidth="1" collapsed="1"/>
    <col min="6" max="6" width="12.42578125" style="2" hidden="1" customWidth="1" outlineLevel="1"/>
    <col min="7" max="7" width="10.7109375" style="2" hidden="1" customWidth="1" outlineLevel="1"/>
    <col min="8" max="8" width="12" style="2" hidden="1" customWidth="1" outlineLevel="1"/>
    <col min="9" max="9" width="10.7109375" style="2" hidden="1" customWidth="1" outlineLevel="1"/>
    <col min="10" max="10" width="11.85546875" style="2" customWidth="1"/>
    <col min="11" max="11" width="2" style="2" customWidth="1"/>
    <col min="12" max="12" width="11.28515625" style="121" bestFit="1" customWidth="1" collapsed="1"/>
    <col min="13" max="14" width="11.28515625" style="401" hidden="1" customWidth="1" outlineLevel="1"/>
    <col min="15" max="15" width="12.28515625" style="121" hidden="1" customWidth="1" outlineLevel="1"/>
    <col min="16" max="16" width="10.7109375" style="121" customWidth="1"/>
    <col min="17" max="17" width="11.85546875" style="121" bestFit="1" customWidth="1"/>
    <col min="18" max="18" width="13.42578125" style="121" bestFit="1" customWidth="1"/>
    <col min="19" max="19" width="2.140625" style="121" customWidth="1"/>
    <col min="20" max="21" width="10.7109375" style="121" customWidth="1"/>
    <col min="22" max="22" width="11.7109375" style="121" customWidth="1"/>
    <col min="23" max="23" width="10.7109375" style="121" customWidth="1" collapsed="1"/>
    <col min="24" max="26" width="10.7109375" style="401" hidden="1" customWidth="1" outlineLevel="1"/>
    <col min="27" max="27" width="2.140625" style="121" customWidth="1"/>
    <col min="28" max="28" width="10.7109375" style="121" customWidth="1" collapsed="1"/>
    <col min="29" max="29" width="10.7109375" style="121" hidden="1" customWidth="1" outlineLevel="1"/>
    <col min="30" max="31" width="10.7109375" style="121" customWidth="1"/>
    <col min="32" max="32" width="11.42578125" style="121" bestFit="1" customWidth="1" collapsed="1"/>
    <col min="33" max="35" width="11.42578125" style="401" hidden="1" customWidth="1" outlineLevel="1"/>
    <col min="36" max="36" width="2.140625" style="121" customWidth="1"/>
    <col min="37" max="39" width="10.7109375" style="121" customWidth="1"/>
    <col min="40" max="40" width="10.7109375" style="121" customWidth="1" collapsed="1"/>
    <col min="41" max="43" width="10.7109375" style="121" hidden="1" customWidth="1" outlineLevel="1"/>
    <col min="44" max="44" width="2.140625" style="121" customWidth="1"/>
    <col min="45" max="47" width="10.7109375" style="121" customWidth="1"/>
    <col min="48" max="48" width="10.7109375" style="121" customWidth="1" collapsed="1"/>
    <col min="49" max="51" width="10.7109375" style="401" hidden="1" customWidth="1" outlineLevel="1"/>
    <col min="52" max="52" width="2" style="121" customWidth="1"/>
    <col min="53" max="55" width="10.7109375" style="121" customWidth="1"/>
    <col min="56" max="56" width="11.42578125" style="121" customWidth="1"/>
    <col min="57" max="57" width="2" style="121" customWidth="1"/>
    <col min="58" max="16384" width="10.7109375" style="121"/>
  </cols>
  <sheetData>
    <row r="1" spans="1:94" ht="15" hidden="1" customHeight="1" outlineLevel="2">
      <c r="D1" s="96" t="s">
        <v>243</v>
      </c>
      <c r="E1" s="96" t="s">
        <v>243</v>
      </c>
      <c r="G1" s="312" t="s">
        <v>739</v>
      </c>
      <c r="H1" s="308" t="s">
        <v>83</v>
      </c>
      <c r="I1" s="308" t="s">
        <v>2</v>
      </c>
      <c r="L1" s="103" t="s">
        <v>230</v>
      </c>
      <c r="M1" s="496"/>
      <c r="N1" s="488"/>
      <c r="O1" s="2"/>
      <c r="Q1" s="96" t="s">
        <v>243</v>
      </c>
      <c r="R1" s="2"/>
      <c r="S1" s="17"/>
      <c r="T1" s="103" t="s">
        <v>230</v>
      </c>
      <c r="U1" s="96" t="s">
        <v>243</v>
      </c>
      <c r="V1" s="96" t="s">
        <v>243</v>
      </c>
      <c r="W1" s="2"/>
      <c r="X1" s="2"/>
      <c r="Y1" s="2"/>
      <c r="Z1" s="2"/>
      <c r="AA1" s="17"/>
      <c r="AB1" s="103" t="s">
        <v>230</v>
      </c>
      <c r="AC1" s="2"/>
      <c r="AD1" s="96" t="s">
        <v>243</v>
      </c>
      <c r="AE1" s="96" t="s">
        <v>243</v>
      </c>
      <c r="AF1" s="2"/>
      <c r="AG1" s="2"/>
      <c r="AH1" s="2"/>
      <c r="AI1" s="2"/>
      <c r="AJ1" s="17"/>
      <c r="AK1" s="103" t="s">
        <v>230</v>
      </c>
      <c r="AL1" s="96" t="s">
        <v>243</v>
      </c>
      <c r="AM1" s="96" t="s">
        <v>243</v>
      </c>
      <c r="AN1"/>
      <c r="AP1" s="2"/>
      <c r="AQ1" s="2"/>
      <c r="AR1" s="17"/>
      <c r="AS1" s="103" t="s">
        <v>230</v>
      </c>
      <c r="AT1" s="96" t="s">
        <v>243</v>
      </c>
      <c r="AU1" s="96" t="s">
        <v>243</v>
      </c>
      <c r="AV1" s="2"/>
      <c r="AW1" s="2"/>
      <c r="AX1" s="2"/>
      <c r="AY1" s="2"/>
      <c r="AZ1" s="32"/>
      <c r="BA1" s="103" t="s">
        <v>230</v>
      </c>
      <c r="BB1" s="96" t="s">
        <v>243</v>
      </c>
      <c r="BC1" s="96" t="s">
        <v>243</v>
      </c>
      <c r="BD1" s="96" t="s">
        <v>243</v>
      </c>
      <c r="BE1" s="229"/>
    </row>
    <row r="2" spans="1:94" ht="15" hidden="1" customHeight="1" outlineLevel="2">
      <c r="D2" s="114" t="s">
        <v>685</v>
      </c>
      <c r="E2" s="114" t="s">
        <v>751</v>
      </c>
      <c r="G2" s="301" t="s">
        <v>1</v>
      </c>
      <c r="H2" s="306">
        <f>MATCH(H1,FUT_hd,0)</f>
        <v>7</v>
      </c>
      <c r="I2" s="306">
        <f>MATCH(I1,FUT_hd,0)</f>
        <v>8</v>
      </c>
      <c r="L2" s="115">
        <f>MATCH(L1,Sens_hd,0)</f>
        <v>3</v>
      </c>
      <c r="M2" s="498"/>
      <c r="N2" s="489"/>
      <c r="O2" s="114" t="s">
        <v>207</v>
      </c>
      <c r="Q2" s="114" t="s">
        <v>196</v>
      </c>
      <c r="R2" s="2"/>
      <c r="S2" s="17"/>
      <c r="T2" s="115">
        <f>MATCH(T1,Sens_hd,0)</f>
        <v>3</v>
      </c>
      <c r="U2" s="114" t="s">
        <v>207</v>
      </c>
      <c r="V2" s="114" t="s">
        <v>89</v>
      </c>
      <c r="W2" s="2"/>
      <c r="X2" s="2"/>
      <c r="Y2" s="2"/>
      <c r="Z2" s="2"/>
      <c r="AA2" s="17"/>
      <c r="AB2" s="115">
        <f>MATCH(AB1,Sens_hd,0)</f>
        <v>3</v>
      </c>
      <c r="AC2" s="114" t="s">
        <v>207</v>
      </c>
      <c r="AD2" s="114" t="s">
        <v>207</v>
      </c>
      <c r="AE2" s="114" t="s">
        <v>88</v>
      </c>
      <c r="AF2" s="2"/>
      <c r="AG2" s="2"/>
      <c r="AH2" s="2"/>
      <c r="AI2" s="2"/>
      <c r="AJ2" s="17"/>
      <c r="AK2" s="115">
        <f>MATCH(AK1,Sens_hd,0)</f>
        <v>3</v>
      </c>
      <c r="AL2" s="114" t="s">
        <v>207</v>
      </c>
      <c r="AM2" s="114" t="s">
        <v>195</v>
      </c>
      <c r="AN2" s="2"/>
      <c r="AP2" s="2"/>
      <c r="AQ2" s="2"/>
      <c r="AR2" s="17"/>
      <c r="AS2" s="115">
        <f>MATCH(AS1,Sens_hd,0)</f>
        <v>3</v>
      </c>
      <c r="AT2" s="114" t="s">
        <v>207</v>
      </c>
      <c r="AU2" s="114" t="s">
        <v>87</v>
      </c>
      <c r="AV2" s="2"/>
      <c r="AW2" s="2"/>
      <c r="AX2" s="2"/>
      <c r="AY2" s="2"/>
      <c r="AZ2" s="32"/>
      <c r="BA2" s="115">
        <f>MATCH(BA1,Sens_hd,0)</f>
        <v>3</v>
      </c>
      <c r="BB2" s="114" t="s">
        <v>207</v>
      </c>
      <c r="BC2" s="114" t="s">
        <v>173</v>
      </c>
      <c r="BD2" s="114" t="s">
        <v>172</v>
      </c>
      <c r="BE2" s="229"/>
    </row>
    <row r="3" spans="1:94" ht="15" hidden="1" customHeight="1" outlineLevel="2">
      <c r="D3" s="115">
        <f>MATCH(D2,IRD_hd,0)</f>
        <v>6</v>
      </c>
      <c r="E3" s="115">
        <f>MATCH(E2,IRD_hd,0)</f>
        <v>2</v>
      </c>
      <c r="G3" s="300" t="s">
        <v>197</v>
      </c>
      <c r="H3" s="300" t="s">
        <v>1043</v>
      </c>
      <c r="I3" s="300" t="s">
        <v>4993</v>
      </c>
      <c r="L3" s="103" t="s">
        <v>206</v>
      </c>
      <c r="M3" s="496"/>
      <c r="N3" s="488"/>
      <c r="O3" s="115">
        <f>MATCH(O2,SensFUT_hd,0)</f>
        <v>7</v>
      </c>
      <c r="P3"/>
      <c r="Q3" s="115">
        <f>MATCH(Q2,IRD_hd,0)</f>
        <v>11</v>
      </c>
      <c r="R3" s="2"/>
      <c r="S3" s="17"/>
      <c r="T3" s="103" t="s">
        <v>206</v>
      </c>
      <c r="U3" s="433">
        <f>MATCH(U2,Sens_hd,0)</f>
        <v>7</v>
      </c>
      <c r="V3" s="115">
        <f>MATCH(V2,IRD_hd,0)</f>
        <v>10</v>
      </c>
      <c r="W3" s="2"/>
      <c r="X3" s="2"/>
      <c r="Y3" s="2"/>
      <c r="Z3" s="2"/>
      <c r="AA3" s="17"/>
      <c r="AB3" s="103" t="s">
        <v>206</v>
      </c>
      <c r="AC3" s="115">
        <f>MATCH(AC2,SensFUT_hd,0)</f>
        <v>7</v>
      </c>
      <c r="AD3" s="433">
        <f>MATCH(AD2,Sens_hd,0)</f>
        <v>7</v>
      </c>
      <c r="AE3" s="115">
        <f>MATCH(AE2,IRD_hd,0)</f>
        <v>9</v>
      </c>
      <c r="AF3" s="2"/>
      <c r="AG3" s="2"/>
      <c r="AH3" s="2"/>
      <c r="AI3" s="2"/>
      <c r="AJ3" s="17"/>
      <c r="AK3" s="103" t="s">
        <v>206</v>
      </c>
      <c r="AL3" s="115">
        <f>MATCH(AL2,Sens_hd,0)</f>
        <v>7</v>
      </c>
      <c r="AM3" s="115">
        <f>MATCH(AM2,IRD_hd,0)</f>
        <v>7</v>
      </c>
      <c r="AN3" s="2"/>
      <c r="AO3" s="2"/>
      <c r="AP3" s="2"/>
      <c r="AQ3" s="2"/>
      <c r="AR3" s="17"/>
      <c r="AS3" s="103" t="s">
        <v>206</v>
      </c>
      <c r="AT3" s="115">
        <f>MATCH(AT2,Sens_hd,0)</f>
        <v>7</v>
      </c>
      <c r="AU3" s="115">
        <f>MATCH(AU2,IRD_hd,0)</f>
        <v>8</v>
      </c>
      <c r="AV3" s="2"/>
      <c r="AW3" s="2"/>
      <c r="AX3" s="2"/>
      <c r="AY3" s="2"/>
      <c r="AZ3" s="32"/>
      <c r="BA3" s="103" t="s">
        <v>206</v>
      </c>
      <c r="BB3" s="115">
        <f>MATCH(BB2,Sens_hd,0)</f>
        <v>7</v>
      </c>
      <c r="BC3" s="115">
        <f>MATCH(BC2,IRD_hd,0)</f>
        <v>12</v>
      </c>
      <c r="BD3" s="115">
        <f>MATCH(BD2,IRD_hd,0)</f>
        <v>13</v>
      </c>
      <c r="BE3" s="229"/>
    </row>
    <row r="4" spans="1:94" ht="15" hidden="1" customHeight="1" outlineLevel="2" thickBot="1">
      <c r="A4" s="240"/>
      <c r="B4" s="240"/>
      <c r="C4" s="240"/>
      <c r="D4" s="151" t="s">
        <v>621</v>
      </c>
      <c r="E4" s="241"/>
      <c r="F4" s="240"/>
      <c r="G4" s="298" t="s">
        <v>198</v>
      </c>
      <c r="H4" s="298" t="s">
        <v>1042</v>
      </c>
      <c r="I4" s="299"/>
      <c r="J4" s="241"/>
      <c r="K4" s="241"/>
      <c r="L4" s="242">
        <f>MATCH(L$3,Sens_hd,0)</f>
        <v>6</v>
      </c>
      <c r="M4" s="242"/>
      <c r="N4" s="242"/>
      <c r="O4" s="243" t="s">
        <v>157</v>
      </c>
      <c r="P4" s="151" t="s">
        <v>619</v>
      </c>
      <c r="Q4" s="244"/>
      <c r="R4" s="245"/>
      <c r="S4" s="246"/>
      <c r="T4" s="242">
        <f>MATCH(T$3,Sens_hd,0)</f>
        <v>6</v>
      </c>
      <c r="U4" s="151" t="s">
        <v>618</v>
      </c>
      <c r="V4" s="244"/>
      <c r="W4" s="245"/>
      <c r="X4" s="245"/>
      <c r="Y4" s="245"/>
      <c r="Z4" s="245"/>
      <c r="AA4" s="246"/>
      <c r="AB4" s="242">
        <f>MATCH(AB$3,Sens_hd,0)</f>
        <v>6</v>
      </c>
      <c r="AC4" s="243" t="s">
        <v>157</v>
      </c>
      <c r="AD4" s="151" t="s">
        <v>620</v>
      </c>
      <c r="AE4" s="244"/>
      <c r="AF4" s="245"/>
      <c r="AG4" s="245"/>
      <c r="AH4" s="245"/>
      <c r="AI4" s="245"/>
      <c r="AJ4" s="246"/>
      <c r="AK4" s="242">
        <f>MATCH(AK$3,Sens_hd,0)</f>
        <v>6</v>
      </c>
      <c r="AL4" s="151" t="s">
        <v>209</v>
      </c>
      <c r="AM4" s="244"/>
      <c r="AN4" s="245"/>
      <c r="AO4" s="247"/>
      <c r="AP4" s="247"/>
      <c r="AQ4" s="247"/>
      <c r="AR4" s="246"/>
      <c r="AS4" s="242">
        <f>MATCH(AS$3,Sens_hd,0)</f>
        <v>6</v>
      </c>
      <c r="AT4" s="151" t="s">
        <v>244</v>
      </c>
      <c r="AU4" s="244"/>
      <c r="AV4" s="245"/>
      <c r="AW4" s="245"/>
      <c r="AX4" s="245"/>
      <c r="AY4" s="245"/>
      <c r="AZ4" s="248"/>
      <c r="BA4" s="242">
        <f>MATCH(BA$3,Sens_hd,0)</f>
        <v>6</v>
      </c>
      <c r="BB4" s="151" t="s">
        <v>210</v>
      </c>
      <c r="BC4" s="151" t="s">
        <v>211</v>
      </c>
      <c r="BD4" s="245"/>
      <c r="BE4" s="229"/>
    </row>
    <row r="5" spans="1:94" s="307" customFormat="1" ht="15" hidden="1" customHeight="1" outlineLevel="2">
      <c r="K5" s="401"/>
      <c r="M5" s="401"/>
      <c r="N5" s="401"/>
      <c r="X5" s="401"/>
      <c r="Y5" s="401"/>
      <c r="Z5" s="401"/>
      <c r="AG5" s="401"/>
      <c r="AH5" s="401"/>
      <c r="AI5" s="401"/>
      <c r="AW5" s="401"/>
      <c r="AX5" s="401"/>
      <c r="AY5" s="401"/>
    </row>
    <row r="6" spans="1:94" s="307" customFormat="1" ht="15" hidden="1" customHeight="1" outlineLevel="2">
      <c r="K6" s="401"/>
      <c r="M6" s="401"/>
      <c r="N6" s="401"/>
      <c r="X6" s="401"/>
      <c r="Y6" s="401"/>
      <c r="Z6" s="401"/>
      <c r="AG6" s="401"/>
      <c r="AH6" s="401"/>
      <c r="AI6" s="401"/>
      <c r="AW6" s="401"/>
      <c r="AX6" s="401"/>
      <c r="AY6" s="401"/>
    </row>
    <row r="7" spans="1:94" ht="15" hidden="1" customHeight="1" outlineLevel="1">
      <c r="A7" s="249" t="s">
        <v>742</v>
      </c>
      <c r="B7" s="121"/>
      <c r="C7" s="121"/>
      <c r="D7" s="121"/>
      <c r="E7" s="121"/>
      <c r="F7" s="374" t="s">
        <v>849</v>
      </c>
      <c r="G7" s="374" t="s">
        <v>4998</v>
      </c>
      <c r="H7" s="121"/>
      <c r="I7" s="121"/>
      <c r="J7" s="121"/>
      <c r="K7" s="401"/>
    </row>
    <row r="8" spans="1:94" ht="15" hidden="1" customHeight="1" outlineLevel="1">
      <c r="A8" s="250" t="s">
        <v>238</v>
      </c>
      <c r="B8" s="121"/>
      <c r="C8" s="121"/>
      <c r="D8" s="237">
        <f>VLOOKUP("Total",IRD,D3,FALSE)</f>
        <v>-60597.369144074597</v>
      </c>
      <c r="E8" s="121"/>
      <c r="F8" s="237">
        <f>SUM(PL_LifFut)</f>
        <v>-625.00000000653699</v>
      </c>
      <c r="G8" s="440">
        <f>SUM(G17:G82)</f>
        <v>1989.9999999992701</v>
      </c>
      <c r="H8" s="121"/>
      <c r="I8" s="121"/>
      <c r="J8" s="121"/>
      <c r="K8" s="401"/>
      <c r="O8" s="238">
        <f>VLOOKUP("Total",IRD,Q3,FALSE)</f>
        <v>1102.33416064229</v>
      </c>
      <c r="P8" s="237">
        <f>O8-SUM(O$17:O$82)</f>
        <v>-1242.914198033699</v>
      </c>
      <c r="Q8" s="228"/>
      <c r="U8" s="237">
        <f>VLOOKUP("Total",IRD,V3,FALSE)</f>
        <v>-16806.277571190301</v>
      </c>
      <c r="AC8" s="238">
        <f>VLOOKUP("Total",IRD,AE3,FALSE)</f>
        <v>-3923.5003547418801</v>
      </c>
      <c r="AD8" s="237">
        <f>AC8-SUMIF(AC$17:AC$82,"&lt;&gt;"&amp;NA)</f>
        <v>-33948.513186807395</v>
      </c>
      <c r="AL8" s="237">
        <f>VLOOKUP("Total",IRD,AM3,FALSE)</f>
        <v>-23548.455443389899</v>
      </c>
      <c r="AP8" s="238">
        <f>SUMIF(AP17:AP82,"&lt;&gt;"&amp;NA)</f>
        <v>-23548.455443388109</v>
      </c>
      <c r="AT8" s="237">
        <f>VLOOKUP("Total",IRD,AU3,FALSE)</f>
        <v>-14359.567880684701</v>
      </c>
      <c r="BA8" s="2"/>
      <c r="BB8" s="237">
        <f>BC8+BD8</f>
        <v>-3061.9020547330147</v>
      </c>
      <c r="BC8" s="238">
        <f>VLOOKUP("Total",IRD,BC3,FALSE)</f>
        <v>-216840.15580643501</v>
      </c>
      <c r="BD8" s="238">
        <f>VLOOKUP("Total",IRD,BD3,FALSE)</f>
        <v>213778.253751702</v>
      </c>
    </row>
    <row r="9" spans="1:94" ht="15" hidden="1" customHeight="1" outlineLevel="1">
      <c r="A9" s="250" t="s">
        <v>237</v>
      </c>
      <c r="B9" s="121"/>
      <c r="C9" s="121"/>
      <c r="D9" s="237">
        <f>VLOOKUP(D4,Sens,$AT$3,FALSE)</f>
        <v>-60597.369144091303</v>
      </c>
      <c r="E9" s="121"/>
      <c r="F9" s="237">
        <f>SUM(F17:F82)</f>
        <v>-625.00000000653699</v>
      </c>
      <c r="G9" s="121"/>
      <c r="H9" s="121"/>
      <c r="I9" s="121"/>
      <c r="O9" s="239">
        <f>VLOOKUP(P4&amp;"Total "&amp;Q2,Sens,$AT$3,FALSE)</f>
        <v>1089.77561449681</v>
      </c>
      <c r="P9" s="237">
        <f>O9-SUM(O$17:O$82)</f>
        <v>-1255.472744179179</v>
      </c>
      <c r="U9" s="237">
        <f>VLOOKUP(U4&amp;"Total "&amp;V2,Sens,$AT$3,FALSE)</f>
        <v>-16806.277571190902</v>
      </c>
      <c r="AC9" s="239">
        <f>VLOOKUP(AD4&amp;"Total "&amp;AE2,Sens,$AT$3,FALSE)</f>
        <v>-3923.5003547425499</v>
      </c>
      <c r="AD9" s="237">
        <f>AC9-SUMIF(AC$17:AC$82,"&lt;&gt;"&amp;NA)</f>
        <v>-33948.513186808064</v>
      </c>
      <c r="AL9" s="237">
        <f>VLOOKUP(AL4&amp;"Total "&amp;AM2,Sens,$AT$3,FALSE)</f>
        <v>-23548.455443388801</v>
      </c>
      <c r="AO9" s="2"/>
      <c r="AT9" s="237">
        <f>VLOOKUP(AT4&amp;"Total "&amp;AU2,Sens,$AT$3,FALSE)</f>
        <v>-14359.567880684701</v>
      </c>
      <c r="BA9" s="2"/>
      <c r="BB9" s="237">
        <f>BC9+BD9</f>
        <v>-3049.3435085889942</v>
      </c>
      <c r="BC9" s="239">
        <f>VLOOKUP(BB4&amp;"Total "&amp;BC2,Sens,$AT$3,FALSE)</f>
        <v>-216840.155806436</v>
      </c>
      <c r="BD9" s="239">
        <f>VLOOKUP(BC4&amp;"Total "&amp;BD2,Sens,$AT$3,FALSE)</f>
        <v>213790.81229784701</v>
      </c>
    </row>
    <row r="10" spans="1:94" ht="15" customHeight="1" collapsed="1">
      <c r="A10" s="296" t="s">
        <v>741</v>
      </c>
      <c r="B10" s="401"/>
      <c r="C10" s="401"/>
      <c r="D10" s="236" t="s">
        <v>623</v>
      </c>
      <c r="E10" s="236" t="s">
        <v>624</v>
      </c>
      <c r="F10" s="401"/>
      <c r="G10" s="401"/>
      <c r="H10" s="401"/>
      <c r="I10" s="401"/>
      <c r="J10" s="401"/>
      <c r="K10" s="401"/>
      <c r="L10" s="401"/>
      <c r="O10" s="401"/>
      <c r="P10" s="401"/>
      <c r="Q10" s="401"/>
      <c r="R10" s="401"/>
      <c r="S10" s="401"/>
      <c r="T10" s="401"/>
      <c r="U10" s="401"/>
      <c r="V10" s="401"/>
      <c r="W10" s="401"/>
      <c r="AA10" s="401"/>
      <c r="AB10" s="401"/>
      <c r="AC10" s="401"/>
      <c r="AD10" s="401"/>
      <c r="AE10" s="401"/>
      <c r="AF10" s="401"/>
      <c r="AJ10" s="401"/>
      <c r="AK10" s="401"/>
      <c r="AL10" s="401"/>
      <c r="AM10" s="401"/>
      <c r="AN10" s="401"/>
      <c r="AO10" s="401"/>
      <c r="AP10" s="401"/>
      <c r="AQ10" s="401"/>
      <c r="AR10" s="401"/>
      <c r="AS10" s="401"/>
      <c r="AT10" s="401"/>
      <c r="AU10" s="401"/>
      <c r="AV10" s="401"/>
      <c r="AZ10" s="401"/>
      <c r="BA10" s="401"/>
      <c r="BB10" s="401"/>
      <c r="BC10" s="401"/>
      <c r="BD10" s="401"/>
      <c r="BE10" s="401"/>
      <c r="BF10" s="401"/>
      <c r="BG10" s="401"/>
      <c r="BH10" s="401"/>
      <c r="BI10" s="401"/>
      <c r="BJ10" s="401"/>
      <c r="BK10" s="401"/>
      <c r="BL10" s="401"/>
      <c r="BM10" s="401"/>
      <c r="BN10" s="401"/>
      <c r="BO10" s="401"/>
      <c r="BP10" s="401"/>
      <c r="BQ10" s="401"/>
      <c r="BR10" s="401"/>
      <c r="BS10" s="401"/>
      <c r="BT10" s="401"/>
      <c r="BU10" s="401"/>
      <c r="BV10" s="401"/>
      <c r="BW10" s="401"/>
      <c r="BX10" s="401"/>
      <c r="BY10" s="401"/>
      <c r="BZ10" s="401"/>
      <c r="CA10" s="401"/>
      <c r="CB10" s="401"/>
      <c r="CC10" s="401"/>
      <c r="CD10" s="401"/>
      <c r="CE10" s="401"/>
      <c r="CF10" s="401"/>
      <c r="CG10" s="401"/>
      <c r="CH10" s="401"/>
      <c r="CI10" s="401"/>
      <c r="CJ10" s="401"/>
      <c r="CK10" s="401"/>
      <c r="CL10" s="401"/>
      <c r="CM10" s="401"/>
      <c r="CN10" s="401"/>
      <c r="CO10" s="401"/>
      <c r="CP10" s="401"/>
    </row>
    <row r="11" spans="1:94" ht="15" customHeight="1">
      <c r="A11" s="296" t="s">
        <v>740</v>
      </c>
      <c r="B11" s="401"/>
      <c r="C11" s="401"/>
      <c r="D11" s="235">
        <f>today</f>
        <v>42692</v>
      </c>
      <c r="E11" s="230" t="b">
        <f>RealTime</f>
        <v>1</v>
      </c>
      <c r="F11" s="401"/>
      <c r="G11" s="401"/>
      <c r="H11" s="401"/>
      <c r="I11" s="401"/>
      <c r="J11" s="401"/>
      <c r="K11" s="401"/>
      <c r="L11" s="401"/>
      <c r="O11" s="401"/>
      <c r="P11" s="401"/>
      <c r="Q11" s="401"/>
      <c r="R11" s="401"/>
      <c r="S11" s="401"/>
      <c r="T11" s="401"/>
      <c r="U11" s="401"/>
      <c r="V11" s="401"/>
      <c r="W11" s="401"/>
      <c r="AA11" s="401"/>
      <c r="AB11" s="401"/>
      <c r="AC11" s="401"/>
      <c r="AD11" s="401"/>
      <c r="AE11" s="401"/>
      <c r="AF11" s="401"/>
      <c r="AJ11" s="401"/>
      <c r="AK11" s="401"/>
      <c r="AL11" s="401"/>
      <c r="AM11" s="401"/>
      <c r="AN11" s="401"/>
      <c r="AO11" s="401"/>
      <c r="AP11" s="401"/>
      <c r="AQ11" s="401"/>
      <c r="AR11" s="401"/>
      <c r="AS11" s="401"/>
      <c r="AT11" s="401"/>
      <c r="AU11" s="401"/>
      <c r="AV11" s="401"/>
      <c r="AZ11" s="401"/>
      <c r="BA11" s="401"/>
      <c r="BB11" s="401"/>
      <c r="BC11" s="401"/>
      <c r="BD11" s="401"/>
      <c r="BE11" s="401"/>
      <c r="BF11" s="401"/>
      <c r="BG11" s="401"/>
      <c r="BH11" s="401"/>
      <c r="BI11" s="401"/>
      <c r="BJ11" s="401"/>
      <c r="BK11" s="401"/>
      <c r="BL11" s="401"/>
      <c r="BM11" s="401"/>
      <c r="BN11" s="401"/>
      <c r="BO11" s="401"/>
      <c r="BP11" s="401"/>
      <c r="BQ11" s="401"/>
      <c r="BR11" s="401"/>
      <c r="BS11" s="401"/>
      <c r="BT11" s="401"/>
      <c r="BU11" s="401"/>
      <c r="BV11" s="401"/>
      <c r="BW11" s="401"/>
      <c r="BX11" s="401"/>
      <c r="BY11" s="401"/>
      <c r="BZ11" s="401"/>
      <c r="CA11" s="401"/>
      <c r="CB11" s="401"/>
      <c r="CC11" s="401"/>
      <c r="CD11" s="401"/>
      <c r="CE11" s="401"/>
      <c r="CF11" s="401"/>
      <c r="CG11" s="401"/>
      <c r="CH11" s="401"/>
      <c r="CI11" s="401"/>
      <c r="CJ11" s="401"/>
      <c r="CK11" s="401"/>
      <c r="CL11" s="401"/>
      <c r="CM11" s="401"/>
      <c r="CN11" s="401"/>
      <c r="CO11" s="401"/>
      <c r="CP11" s="401"/>
    </row>
    <row r="12" spans="1:94" ht="15" hidden="1" customHeight="1" outlineLevel="1">
      <c r="A12" s="251"/>
      <c r="B12" s="401"/>
      <c r="C12" s="401"/>
      <c r="D12" s="401"/>
      <c r="E12" s="401"/>
      <c r="F12" s="401"/>
      <c r="G12" s="401"/>
      <c r="H12" s="401"/>
      <c r="I12" s="401"/>
      <c r="J12" s="401"/>
      <c r="K12" s="401"/>
      <c r="L12" s="401"/>
      <c r="O12" s="401"/>
      <c r="P12" s="401"/>
      <c r="Q12" s="401"/>
      <c r="R12" s="401"/>
      <c r="S12" s="401"/>
      <c r="T12" s="401"/>
      <c r="U12" s="401"/>
      <c r="V12" s="401"/>
      <c r="W12" s="401"/>
      <c r="AA12" s="401"/>
      <c r="AB12" s="401"/>
      <c r="AC12" s="401"/>
      <c r="AD12" s="401"/>
      <c r="AE12" s="401"/>
      <c r="AF12" s="401"/>
      <c r="AJ12" s="401"/>
      <c r="AK12" s="401"/>
      <c r="AL12" s="401"/>
      <c r="AM12" s="401"/>
      <c r="AN12" s="401"/>
      <c r="AO12" s="401"/>
      <c r="AP12" s="401"/>
      <c r="AQ12" s="401"/>
      <c r="AR12" s="401"/>
      <c r="AS12" s="401"/>
      <c r="AT12" s="401"/>
      <c r="AU12" s="401"/>
      <c r="AV12" s="401"/>
      <c r="AZ12" s="401"/>
      <c r="BA12" s="401"/>
      <c r="BB12" s="401"/>
      <c r="BC12" s="401"/>
      <c r="BD12" s="401"/>
      <c r="BE12" s="401"/>
      <c r="BF12" s="401"/>
      <c r="BG12" s="401"/>
      <c r="BH12" s="401"/>
      <c r="BI12" s="401"/>
      <c r="BJ12" s="401"/>
      <c r="BK12" s="401"/>
      <c r="BL12" s="401"/>
      <c r="BM12" s="401"/>
      <c r="BN12" s="401"/>
      <c r="BO12" s="401"/>
      <c r="BP12" s="401"/>
      <c r="BQ12" s="401"/>
      <c r="BR12" s="401"/>
      <c r="BS12" s="401"/>
      <c r="BT12" s="401"/>
      <c r="BU12" s="401"/>
      <c r="BV12" s="401"/>
      <c r="BW12" s="401"/>
      <c r="BX12" s="401"/>
      <c r="BY12" s="401"/>
      <c r="BZ12" s="401"/>
      <c r="CA12" s="401"/>
      <c r="CB12" s="401"/>
      <c r="CC12" s="401"/>
      <c r="CD12" s="401"/>
      <c r="CE12" s="401"/>
      <c r="CF12" s="401"/>
      <c r="CG12" s="401"/>
      <c r="CH12" s="401"/>
      <c r="CI12" s="401"/>
      <c r="CJ12" s="401"/>
      <c r="CK12" s="401"/>
      <c r="CL12" s="401"/>
      <c r="CM12" s="401"/>
      <c r="CN12" s="401"/>
      <c r="CO12" s="401"/>
      <c r="CP12" s="401"/>
    </row>
    <row r="13" spans="1:94" ht="15" hidden="1" customHeight="1" outlineLevel="1">
      <c r="A13" s="251"/>
      <c r="B13" s="401"/>
      <c r="C13" s="401"/>
      <c r="D13" s="401"/>
      <c r="E13" s="401"/>
      <c r="F13" s="401"/>
      <c r="G13" s="401"/>
      <c r="H13" s="401"/>
      <c r="I13" s="401"/>
      <c r="J13" s="401"/>
      <c r="K13" s="401"/>
      <c r="L13" s="401"/>
      <c r="O13" s="401"/>
      <c r="P13" s="401"/>
      <c r="Q13" s="401"/>
      <c r="R13" s="401"/>
      <c r="S13" s="401"/>
      <c r="T13" s="401"/>
      <c r="U13" s="401"/>
      <c r="V13" s="401"/>
      <c r="W13" s="401"/>
      <c r="AA13" s="401"/>
      <c r="AB13" s="401"/>
      <c r="AC13" s="401"/>
      <c r="AD13" s="401"/>
      <c r="AE13" s="401"/>
      <c r="AF13" s="401"/>
      <c r="AJ13" s="401"/>
      <c r="AK13" s="401"/>
      <c r="AL13" s="401"/>
      <c r="AM13" s="401"/>
      <c r="AN13" s="401"/>
      <c r="AO13" s="401"/>
      <c r="AP13" s="401"/>
      <c r="AQ13" s="401"/>
      <c r="AR13" s="401"/>
      <c r="AS13" s="401"/>
      <c r="AT13" s="401"/>
      <c r="AU13" s="401"/>
      <c r="AV13" s="401"/>
      <c r="AZ13" s="401"/>
      <c r="BA13" s="401"/>
      <c r="BB13" s="401"/>
      <c r="BC13" s="401"/>
      <c r="BD13" s="401"/>
      <c r="BE13" s="401"/>
      <c r="BF13" s="401"/>
      <c r="BG13" s="401"/>
      <c r="BH13" s="401"/>
      <c r="BI13" s="401"/>
      <c r="BJ13" s="401"/>
      <c r="BK13" s="401"/>
      <c r="BL13" s="401"/>
      <c r="BM13" s="401"/>
      <c r="BN13" s="401"/>
      <c r="BO13" s="401"/>
      <c r="BP13" s="401"/>
      <c r="BQ13" s="401"/>
      <c r="BR13" s="401"/>
      <c r="BS13" s="401"/>
      <c r="BT13" s="401"/>
      <c r="BU13" s="401"/>
      <c r="BV13" s="401"/>
      <c r="BW13" s="401"/>
      <c r="BX13" s="401"/>
      <c r="BY13" s="401"/>
      <c r="BZ13" s="401"/>
      <c r="CA13" s="401"/>
      <c r="CB13" s="401"/>
      <c r="CC13" s="401"/>
      <c r="CD13" s="401"/>
      <c r="CE13" s="401"/>
      <c r="CF13" s="401"/>
      <c r="CG13" s="401"/>
      <c r="CH13" s="401"/>
      <c r="CI13" s="401"/>
      <c r="CJ13" s="401"/>
      <c r="CK13" s="401"/>
      <c r="CL13" s="401"/>
      <c r="CM13" s="401"/>
      <c r="CN13" s="401"/>
      <c r="CO13" s="401"/>
      <c r="CP13" s="401"/>
    </row>
    <row r="14" spans="1:94" ht="15" customHeight="1" collapsed="1">
      <c r="G14" s="439" t="s">
        <v>4994</v>
      </c>
      <c r="H14" s="401"/>
      <c r="I14" s="401"/>
      <c r="J14" s="401"/>
      <c r="K14" s="401"/>
      <c r="L14" s="401"/>
      <c r="O14" s="401"/>
      <c r="P14" s="401"/>
      <c r="Q14" s="401"/>
      <c r="R14" s="401"/>
      <c r="S14" s="401"/>
      <c r="T14" s="401"/>
      <c r="U14" s="401"/>
      <c r="V14" s="401"/>
      <c r="W14" s="401"/>
      <c r="AA14" s="401"/>
      <c r="AB14" s="401"/>
      <c r="AC14" s="401"/>
      <c r="AD14" s="401"/>
      <c r="AE14" s="401"/>
      <c r="AF14" s="401"/>
      <c r="AJ14" s="401"/>
      <c r="AK14" s="401"/>
      <c r="AL14" s="401"/>
      <c r="AM14" s="401"/>
      <c r="AN14" s="401"/>
      <c r="AO14" s="401"/>
      <c r="AP14" s="401"/>
      <c r="AQ14" s="401"/>
      <c r="AR14" s="401"/>
      <c r="AS14" s="401"/>
      <c r="AT14" s="401"/>
      <c r="AU14" s="401"/>
      <c r="AV14" s="401"/>
      <c r="AZ14" s="401"/>
      <c r="BA14" s="401"/>
      <c r="BB14" s="401"/>
      <c r="BC14" s="401"/>
      <c r="BD14" s="401"/>
      <c r="BE14" s="401"/>
      <c r="BF14" s="401"/>
      <c r="BG14" s="401"/>
      <c r="BH14" s="401"/>
      <c r="BI14" s="401"/>
      <c r="BJ14" s="401"/>
      <c r="BK14" s="401"/>
      <c r="BL14" s="401"/>
      <c r="BM14" s="401"/>
      <c r="BN14" s="401"/>
      <c r="BO14" s="401"/>
      <c r="BP14" s="401"/>
      <c r="BQ14" s="401"/>
      <c r="BR14" s="401"/>
      <c r="BS14" s="401"/>
      <c r="BT14" s="401"/>
      <c r="BU14" s="401"/>
      <c r="BV14" s="401"/>
      <c r="BW14" s="401"/>
      <c r="BX14" s="401"/>
      <c r="BY14" s="401"/>
      <c r="BZ14" s="401"/>
      <c r="CA14" s="401"/>
      <c r="CB14" s="401"/>
      <c r="CC14" s="401"/>
      <c r="CD14" s="401"/>
      <c r="CE14" s="401"/>
      <c r="CF14" s="401"/>
      <c r="CG14" s="401"/>
      <c r="CH14" s="401"/>
      <c r="CI14" s="401"/>
      <c r="CJ14" s="401"/>
      <c r="CK14" s="401"/>
      <c r="CL14" s="401"/>
      <c r="CM14" s="401"/>
      <c r="CN14" s="401"/>
      <c r="CO14" s="401"/>
      <c r="CP14" s="401"/>
    </row>
    <row r="15" spans="1:94" ht="15" customHeight="1">
      <c r="A15" s="558">
        <f>SUMIF(D17:D82,"&lt;&gt;"&amp;NA)</f>
        <v>-60630.496684035927</v>
      </c>
      <c r="B15" s="558"/>
      <c r="C15" s="558"/>
      <c r="D15" s="557"/>
      <c r="E15" s="221">
        <f>SUM(E17:E82)</f>
        <v>2011.9909170176961</v>
      </c>
      <c r="F15" s="211"/>
      <c r="G15" s="56" t="s">
        <v>1044</v>
      </c>
      <c r="H15" s="212"/>
      <c r="I15" s="83"/>
      <c r="J15" s="56">
        <f>V15+AE15+AM15+AU15+BC15</f>
        <v>646.99091702497572</v>
      </c>
      <c r="K15" s="17"/>
      <c r="L15" s="554">
        <f>SUMIF(P17:P82,"&lt;&gt;"&amp;NA)</f>
        <v>-1242.9141980336001</v>
      </c>
      <c r="M15" s="558"/>
      <c r="N15" s="558"/>
      <c r="O15" s="558"/>
      <c r="P15" s="560"/>
      <c r="Q15" s="556">
        <f>SUM(R17:R82)</f>
        <v>37269.764832326837</v>
      </c>
      <c r="R15" s="561"/>
      <c r="S15" s="17"/>
      <c r="T15" s="554">
        <f>SUMIF(U17:U82,"&lt;&gt;"&amp;NA)</f>
        <v>-16806.277571191491</v>
      </c>
      <c r="U15" s="555"/>
      <c r="V15" s="556">
        <f>SUM(W17:W82)</f>
        <v>24714.370636727344</v>
      </c>
      <c r="W15" s="557"/>
      <c r="X15" s="556">
        <f>SUMIF(Z17:Z82,"&lt;&gt;"&amp;NA)</f>
        <v>24714.370636727344</v>
      </c>
      <c r="Y15" s="559"/>
      <c r="Z15" s="557"/>
      <c r="AA15" s="17"/>
      <c r="AB15" s="554">
        <f>SUMIF(AD17:AD82,"&lt;&gt;"&amp;NA)</f>
        <v>-33948.513186807199</v>
      </c>
      <c r="AC15" s="558"/>
      <c r="AD15" s="555"/>
      <c r="AE15" s="556">
        <f>SUM(AF17:AF82)</f>
        <v>11827.561880027903</v>
      </c>
      <c r="AF15" s="557"/>
      <c r="AG15" s="556">
        <f>SUMIF(AI17:AI82,"&lt;&gt;"&amp;NA)</f>
        <v>11827.561880027903</v>
      </c>
      <c r="AH15" s="559"/>
      <c r="AI15" s="557"/>
      <c r="AJ15" s="17"/>
      <c r="AK15" s="554">
        <f>SUMIF(AL17:AL81,"&lt;&gt;"&amp;NA)</f>
        <v>-23548.455443388102</v>
      </c>
      <c r="AL15" s="555"/>
      <c r="AM15" s="556">
        <f>SUM(AN17:AN81)</f>
        <v>-8551.9647108741156</v>
      </c>
      <c r="AN15" s="557"/>
      <c r="AO15" s="556">
        <f>SUMIF(AQ17:AQ82,"&lt;&gt;"&amp;NA)</f>
        <v>-8551.9647108741174</v>
      </c>
      <c r="AP15" s="559"/>
      <c r="AQ15" s="557"/>
      <c r="AR15" s="17"/>
      <c r="AS15" s="554">
        <f>SUMIF(AT17:AT82,"&lt;&gt;"&amp;NA)</f>
        <v>-14359.567880685019</v>
      </c>
      <c r="AT15" s="555"/>
      <c r="AU15" s="556">
        <f>SUM(AV17:AV82)</f>
        <v>-11420.164352984737</v>
      </c>
      <c r="AV15" s="557"/>
      <c r="AW15" s="556">
        <f>SUMIF(AY17:AY82,"&lt;&gt;"&amp;NA)</f>
        <v>-11420.164352984737</v>
      </c>
      <c r="AX15" s="559"/>
      <c r="AY15" s="557"/>
      <c r="AZ15" s="32"/>
      <c r="BA15" s="554">
        <f>SUMIF(BB17:BB78,"&lt;&gt;"&amp;NA)</f>
        <v>-3049.3435085948845</v>
      </c>
      <c r="BB15" s="555"/>
      <c r="BC15" s="556">
        <f>SUM(BD17:BD78)</f>
        <v>-15922.812535871415</v>
      </c>
      <c r="BD15" s="557"/>
      <c r="BE15" s="17"/>
      <c r="BF15" s="401"/>
      <c r="BG15" s="401"/>
      <c r="BH15" s="401"/>
      <c r="BI15" s="401"/>
      <c r="BJ15" s="401"/>
      <c r="BK15" s="401"/>
      <c r="BL15" s="401"/>
      <c r="BM15" s="401"/>
      <c r="BN15" s="401"/>
      <c r="BO15" s="401"/>
      <c r="BP15" s="401"/>
      <c r="BQ15" s="401"/>
      <c r="BR15" s="401"/>
      <c r="BS15" s="401"/>
      <c r="BT15" s="401"/>
      <c r="BU15" s="401"/>
      <c r="BV15" s="401"/>
      <c r="BW15" s="401"/>
      <c r="BX15" s="401"/>
      <c r="BY15" s="401"/>
      <c r="BZ15" s="401"/>
      <c r="CA15" s="401"/>
      <c r="CB15" s="401"/>
      <c r="CC15" s="401"/>
      <c r="CD15" s="401"/>
      <c r="CE15" s="401"/>
      <c r="CF15" s="401"/>
      <c r="CG15" s="401"/>
      <c r="CH15" s="401"/>
      <c r="CI15" s="401"/>
      <c r="CJ15" s="401"/>
      <c r="CK15" s="401"/>
      <c r="CL15" s="401"/>
      <c r="CM15" s="401"/>
      <c r="CN15" s="401"/>
      <c r="CO15" s="401"/>
      <c r="CP15" s="401"/>
    </row>
    <row r="16" spans="1:94" ht="15" customHeight="1">
      <c r="A16" s="552" t="s">
        <v>554</v>
      </c>
      <c r="B16" s="552"/>
      <c r="C16" s="552"/>
      <c r="D16" s="314" t="s">
        <v>237</v>
      </c>
      <c r="E16" s="28" t="s">
        <v>85</v>
      </c>
      <c r="F16" s="82" t="s">
        <v>480</v>
      </c>
      <c r="G16" s="57" t="s">
        <v>1045</v>
      </c>
      <c r="H16" s="57" t="s">
        <v>5177</v>
      </c>
      <c r="I16" s="27" t="s">
        <v>5178</v>
      </c>
      <c r="J16" s="253"/>
      <c r="K16" s="257"/>
      <c r="L16" s="28" t="s">
        <v>5157</v>
      </c>
      <c r="M16" s="497"/>
      <c r="N16" s="490"/>
      <c r="O16" s="253" t="s">
        <v>697</v>
      </c>
      <c r="P16" s="252" t="s">
        <v>237</v>
      </c>
      <c r="Q16" s="14" t="s">
        <v>84</v>
      </c>
      <c r="R16" s="252" t="s">
        <v>85</v>
      </c>
      <c r="S16" s="257"/>
      <c r="T16" s="28" t="s">
        <v>66</v>
      </c>
      <c r="U16" s="252" t="s">
        <v>237</v>
      </c>
      <c r="V16" s="14" t="s">
        <v>84</v>
      </c>
      <c r="W16" s="14" t="s">
        <v>85</v>
      </c>
      <c r="X16" s="258" t="s">
        <v>692</v>
      </c>
      <c r="Y16" s="314" t="s">
        <v>237</v>
      </c>
      <c r="Z16" s="14" t="s">
        <v>85</v>
      </c>
      <c r="AA16" s="257"/>
      <c r="AB16" s="28" t="s">
        <v>5156</v>
      </c>
      <c r="AC16" s="253" t="s">
        <v>693</v>
      </c>
      <c r="AD16" s="252" t="s">
        <v>237</v>
      </c>
      <c r="AE16" s="14" t="s">
        <v>84</v>
      </c>
      <c r="AF16" s="14" t="s">
        <v>85</v>
      </c>
      <c r="AG16" s="258" t="s">
        <v>692</v>
      </c>
      <c r="AH16" s="314" t="s">
        <v>237</v>
      </c>
      <c r="AI16" s="14" t="s">
        <v>85</v>
      </c>
      <c r="AJ16" s="257"/>
      <c r="AK16" s="28" t="s">
        <v>67</v>
      </c>
      <c r="AL16" s="28" t="s">
        <v>237</v>
      </c>
      <c r="AM16" s="14" t="s">
        <v>84</v>
      </c>
      <c r="AN16" s="14" t="s">
        <v>85</v>
      </c>
      <c r="AO16" s="258" t="s">
        <v>692</v>
      </c>
      <c r="AP16" s="28" t="s">
        <v>237</v>
      </c>
      <c r="AQ16" s="14" t="s">
        <v>85</v>
      </c>
      <c r="AR16" s="257"/>
      <c r="AS16" s="28" t="s">
        <v>68</v>
      </c>
      <c r="AT16" s="252" t="s">
        <v>237</v>
      </c>
      <c r="AU16" s="14" t="s">
        <v>84</v>
      </c>
      <c r="AV16" s="28" t="s">
        <v>85</v>
      </c>
      <c r="AW16" s="258" t="s">
        <v>692</v>
      </c>
      <c r="AX16" s="314" t="s">
        <v>237</v>
      </c>
      <c r="AY16" s="14" t="s">
        <v>85</v>
      </c>
      <c r="AZ16" s="259"/>
      <c r="BA16" s="28" t="s">
        <v>69</v>
      </c>
      <c r="BB16" s="28" t="s">
        <v>237</v>
      </c>
      <c r="BC16" s="14" t="s">
        <v>84</v>
      </c>
      <c r="BD16" s="14" t="s">
        <v>85</v>
      </c>
      <c r="BE16" s="480"/>
      <c r="BF16" s="401"/>
      <c r="BG16" s="401"/>
      <c r="BH16" s="401"/>
      <c r="BI16" s="401"/>
      <c r="BJ16" s="401"/>
      <c r="BK16" s="401"/>
      <c r="BL16" s="401"/>
      <c r="BM16" s="401"/>
      <c r="BN16" s="401"/>
      <c r="BO16" s="401"/>
      <c r="BP16" s="401"/>
      <c r="BQ16" s="401"/>
      <c r="BR16" s="401"/>
      <c r="BS16" s="401"/>
      <c r="BT16" s="401"/>
      <c r="BU16" s="401"/>
      <c r="BV16" s="401"/>
      <c r="BW16" s="401"/>
      <c r="BX16" s="401"/>
      <c r="BY16" s="401"/>
      <c r="BZ16" s="401"/>
      <c r="CA16" s="401"/>
      <c r="CB16" s="401"/>
      <c r="CC16" s="401"/>
      <c r="CD16" s="401"/>
      <c r="CE16" s="401"/>
      <c r="CF16" s="401"/>
      <c r="CG16" s="401"/>
      <c r="CH16" s="401"/>
      <c r="CI16" s="401"/>
      <c r="CJ16" s="401"/>
      <c r="CK16" s="401"/>
      <c r="CL16" s="401"/>
      <c r="CM16" s="401"/>
      <c r="CN16" s="401"/>
      <c r="CO16" s="401"/>
      <c r="CP16" s="401"/>
    </row>
    <row r="17" spans="1:94" ht="15" customHeight="1">
      <c r="A17" s="207" t="str">
        <f t="array" ref="A17:A78">BucketOIS</f>
        <v>O/N</v>
      </c>
      <c r="B17" s="163" t="str">
        <f>A17</f>
        <v>O/N</v>
      </c>
      <c r="C17" s="163" t="s">
        <v>504</v>
      </c>
      <c r="D17" s="26">
        <f>Y17+AP17+AX17+AH17+BB17</f>
        <v>156.21349837285047</v>
      </c>
      <c r="E17" s="210">
        <f>Z17+AI17+AQ17+AY17+BD17</f>
        <v>1.5621349837734249E-3</v>
      </c>
      <c r="F17" s="372"/>
      <c r="G17" s="214"/>
      <c r="H17" s="540" t="str">
        <f>L17</f>
        <v>O/N</v>
      </c>
      <c r="I17" s="541" t="str">
        <f>N17</f>
        <v>D</v>
      </c>
      <c r="J17" s="56"/>
      <c r="K17" s="16"/>
      <c r="L17" s="207" t="str">
        <f t="array" ref="L17:L77">CommonBucket</f>
        <v>O/N</v>
      </c>
      <c r="M17" s="163" t="str">
        <f t="array" ref="M17:M77">CommonMxSearch</f>
        <v>O/N</v>
      </c>
      <c r="N17" s="163" t="str">
        <f t="array" ref="N17:N77">Common_Instrument</f>
        <v>D</v>
      </c>
      <c r="O17" s="120">
        <f t="shared" ref="O17:O48" si="0">IF(N17="W",IF(VALUE(LEFT(M17,LEN(M17)-1))&gt;=3,VLOOKUP($P$4&amp;M17,SensFUT,$O$3,FALSE),0),0)</f>
        <v>0</v>
      </c>
      <c r="P17" s="26">
        <f t="shared" ref="P17:P48" si="1">IF(LEN(M17)&gt;0,VLOOKUP(M17,IRD,$Q$3,FALSE)-O17,"")</f>
        <v>98.256493308066894</v>
      </c>
      <c r="Q17" s="23">
        <f>IF(LEN(O17)&gt;0,(EurMkt!$BN13-'reference set'!$AK23)*100,"")</f>
        <v>0</v>
      </c>
      <c r="R17" s="22">
        <f t="shared" ref="R17:R48" si="2">IFERROR(P17*Q17,0)</f>
        <v>0</v>
      </c>
      <c r="S17" s="16"/>
      <c r="T17" s="207" t="str">
        <f t="array" ref="T17:T85">Bucket6M</f>
        <v>S/N</v>
      </c>
      <c r="U17" s="256">
        <f t="shared" ref="U17:U48" si="3">IF(LEN(T17)&gt;0,VLOOKUP($U$4&amp;T17,Sens,$U$3,FALSE),"")</f>
        <v>234.998829990037</v>
      </c>
      <c r="V17" s="23">
        <f>IF(LEN(Q17)&gt;0,(EurMkt!$AL13-'reference set'!$I23)*100,"")</f>
        <v>0.20647689999999941</v>
      </c>
      <c r="W17" s="22">
        <f t="shared" ref="W17:W48" si="4">IFERROR(U17*V17,0)</f>
        <v>48.521829919969733</v>
      </c>
      <c r="X17" s="207" t="str">
        <f t="array" ref="X17:X85">BucketOIS</f>
        <v>O/N</v>
      </c>
      <c r="Y17" s="256">
        <f>INDEX(ReMappedSens6M,MATCH(X17,BktEur6mSens!$M$6:$M$70,0))</f>
        <v>0</v>
      </c>
      <c r="Z17" s="208">
        <f>INDEX(ReMappedPL6M,MATCH(X17,BktEur6mPL!$M$6:$M$70,0))</f>
        <v>0</v>
      </c>
      <c r="AA17" s="16"/>
      <c r="AB17" s="207" t="str">
        <f t="array" ref="AB17:AB81">Bucket3M</f>
        <v>S/N</v>
      </c>
      <c r="AC17" s="120">
        <f t="shared" ref="AC17:AC48" si="5">VLOOKUP($AD$4&amp;AB17,SensFUT,$AC$3,FALSE)</f>
        <v>2.60745184441648</v>
      </c>
      <c r="AD17" s="302">
        <f t="shared" ref="AD17:AD48" si="6">IF(LEN(AB17)&gt;0,VLOOKUP($AD$4&amp;AB17,Sens,$AD$3,FALSE)-AC17,"")</f>
        <v>182.80957129978452</v>
      </c>
      <c r="AE17" s="23">
        <f>IF(LEN(AB17)&gt;0,(EurMkt!$AW13-'reference set'!$U23)*100,"")</f>
        <v>0.18641849999999627</v>
      </c>
      <c r="AF17" s="22">
        <f t="shared" ref="AF17:AF48" si="7">IFERROR(AD17*AE17,0)</f>
        <v>34.0790860673482</v>
      </c>
      <c r="AG17" s="207" t="str">
        <f t="array" ref="AG17:AG81">BucketOIS</f>
        <v>O/N</v>
      </c>
      <c r="AH17" s="256">
        <f>INDEX(ReMappedSens3M,MATCH(AG17,BktEur3mSens!$M$6:$M$70,0))</f>
        <v>0</v>
      </c>
      <c r="AI17" s="208">
        <f>INDEX(ReMappedPL3M,MATCH(AG17,BktEur3mPL!$M$6:$M$70,0))</f>
        <v>0</v>
      </c>
      <c r="AJ17" s="16"/>
      <c r="AK17" s="25" t="str">
        <f t="array" ref="AK17:AK81">Bucket1M</f>
        <v>O/N</v>
      </c>
      <c r="AL17" s="302"/>
      <c r="AM17" s="23"/>
      <c r="AN17" s="22">
        <f t="shared" ref="AN17:AN48" si="8">IFERROR(AL17*AM17,0)</f>
        <v>0</v>
      </c>
      <c r="AO17" s="207" t="str">
        <f t="array" ref="AO17:AO81">BucketOIS</f>
        <v>O/N</v>
      </c>
      <c r="AP17" s="302">
        <f>INDEX(ReMappedSens1M,MATCH(AO17,BktEur1mSens!$M$6:$M$70,0))</f>
        <v>0</v>
      </c>
      <c r="AQ17" s="208">
        <f>INDEX(ReMappedPL1M,MATCH(AO17,BktEur1mPL!$M$6:$M$72,0))</f>
        <v>0</v>
      </c>
      <c r="AR17" s="16"/>
      <c r="AS17" s="207" t="str">
        <f t="array" ref="AS17:AS84">Bucket1Y</f>
        <v>S/N</v>
      </c>
      <c r="AT17" s="26">
        <f t="shared" ref="AT17:AT48" si="9">IF(LEN(AS17)&gt;0,VLOOKUP($AT$4&amp;AS17,Sens,$AT$3,FALSE),"")</f>
        <v>7.1042012957035903</v>
      </c>
      <c r="AU17" s="23">
        <f>(EurMkt!BF13-'reference set'!AC23)*100</f>
        <v>1.160347199999999</v>
      </c>
      <c r="AV17" s="22">
        <f t="shared" ref="AV17:AV48" si="10">IFERROR(AT17*AU17,0)</f>
        <v>8.2433400817060267</v>
      </c>
      <c r="AW17" s="207" t="str">
        <f t="array" ref="AW17:AW84">BucketOIS</f>
        <v>O/N</v>
      </c>
      <c r="AX17" s="302">
        <f>INDEX(ReMappedSens1Y,MATCH(AW17,BktEur1ySens!$M$6:$M$70,0))</f>
        <v>0</v>
      </c>
      <c r="AY17" s="208">
        <f>INDEX(ReMappedPL1Y,MATCH(AW17,BktEur1yPL!$M$6:$M$70,0))</f>
        <v>0</v>
      </c>
      <c r="AZ17" s="33"/>
      <c r="BA17" s="25" t="str">
        <f t="array" ref="BA17:BA78">BucketOIS</f>
        <v>O/N</v>
      </c>
      <c r="BB17" s="26">
        <f t="shared" ref="BB17:BB48" si="11">IF(LEN(BA17)&gt;0,VLOOKUP($BB$4&amp;BA17,Sens,$BB$3,FALSE)+VLOOKUP($BC$4&amp;BA17,Sens,$BB$3,FALSE),"")</f>
        <v>156.21349837285047</v>
      </c>
      <c r="BC17" s="23">
        <f>(EurMkt!BW13-'reference set'!AS23)*100</f>
        <v>1.0000000000287557E-5</v>
      </c>
      <c r="BD17" s="22">
        <f t="shared" ref="BD17:BD48" si="12">IFERROR(BB17*BC17,0)</f>
        <v>1.5621349837734249E-3</v>
      </c>
      <c r="BE17" s="16"/>
      <c r="BF17" s="401"/>
      <c r="BG17" s="401"/>
      <c r="BH17" s="401"/>
      <c r="BI17" s="401"/>
      <c r="BJ17" s="401"/>
      <c r="BK17" s="401"/>
      <c r="BL17" s="401"/>
      <c r="BM17" s="401"/>
      <c r="BN17" s="401"/>
      <c r="BO17" s="401"/>
      <c r="BP17" s="401"/>
      <c r="BQ17" s="401"/>
      <c r="BR17" s="401"/>
      <c r="BS17" s="401"/>
      <c r="BT17" s="401"/>
      <c r="BU17" s="401"/>
      <c r="BV17" s="401"/>
      <c r="BW17" s="401"/>
      <c r="BX17" s="401"/>
      <c r="BY17" s="401"/>
      <c r="BZ17" s="401"/>
      <c r="CA17" s="401"/>
      <c r="CB17" s="401"/>
      <c r="CC17" s="401"/>
      <c r="CD17" s="401"/>
      <c r="CE17" s="401"/>
      <c r="CF17" s="401"/>
      <c r="CG17" s="401"/>
      <c r="CH17" s="401"/>
      <c r="CI17" s="401"/>
      <c r="CJ17" s="401"/>
      <c r="CK17" s="401"/>
      <c r="CL17" s="401"/>
      <c r="CM17" s="401"/>
      <c r="CN17" s="401"/>
      <c r="CO17" s="401"/>
      <c r="CP17" s="401"/>
    </row>
    <row r="18" spans="1:94" ht="15" customHeight="1">
      <c r="A18" s="207" t="str">
        <v>T/N</v>
      </c>
      <c r="B18" s="163" t="str">
        <f t="shared" ref="B18:B78" si="13">A18</f>
        <v>T/N</v>
      </c>
      <c r="C18" s="163" t="s">
        <v>504</v>
      </c>
      <c r="D18" s="302">
        <f t="shared" ref="D18:D78" si="14">Y18+AP18+AX18+AH18+BB18</f>
        <v>-13.910903477960701</v>
      </c>
      <c r="E18" s="210">
        <f>Z18+AI18+AQ18+AY18+BD18+F18+G18</f>
        <v>0</v>
      </c>
      <c r="F18" s="213">
        <f t="shared" ref="F18:F49" si="15">IF(B18&lt;&gt;"",SUMIF(Fut_DestBuckets,B18,PL_LifFut),0)</f>
        <v>0</v>
      </c>
      <c r="G18" s="214">
        <f t="shared" ref="G18:G49" si="16">IF(I18="F",PL_SCHATZ2Y/6,IF(B18="10Y",PL_BTP10Y,IF(B18="5Y",PL_BOBL,IF(B18="9Y",PL_BUND,IF(B18="30Y",PL_BUXL30Y,0)))))</f>
        <v>0</v>
      </c>
      <c r="H18" s="540" t="str">
        <f t="shared" ref="H18:H76" si="17">L18</f>
        <v>T/N</v>
      </c>
      <c r="I18" s="541" t="str">
        <f t="shared" ref="I18:I76" si="18">N18</f>
        <v>D</v>
      </c>
      <c r="J18" s="56"/>
      <c r="K18" s="16"/>
      <c r="L18" s="207" t="str">
        <v>T/N</v>
      </c>
      <c r="M18" s="163" t="str">
        <v>T/N</v>
      </c>
      <c r="N18" s="163" t="str">
        <v>D</v>
      </c>
      <c r="O18" s="120">
        <f t="shared" si="0"/>
        <v>0</v>
      </c>
      <c r="P18" s="302">
        <f t="shared" si="1"/>
        <v>32.5284007902479</v>
      </c>
      <c r="Q18" s="23">
        <f>IF(LEN(O18)&gt;0,(EurMkt!$BN14-'reference set'!$AK24)*100,"")</f>
        <v>0</v>
      </c>
      <c r="R18" s="22">
        <f t="shared" si="2"/>
        <v>0</v>
      </c>
      <c r="S18" s="16"/>
      <c r="T18" s="207" t="str">
        <v>1W</v>
      </c>
      <c r="U18" s="26">
        <f t="shared" si="3"/>
        <v>-468.387347944505</v>
      </c>
      <c r="V18" s="23">
        <f>IF(LEN(Q18)&gt;0,(EurMkt!$AL14-'reference set'!$I24)*100,"")</f>
        <v>0.2066256999999988</v>
      </c>
      <c r="W18" s="22">
        <f t="shared" si="4"/>
        <v>-96.780863640176349</v>
      </c>
      <c r="X18" s="207" t="str">
        <v>T/N</v>
      </c>
      <c r="Y18" s="302">
        <f>INDEX(ReMappedSens6M,MATCH(X18,BktEur6mSens!$M$6:$M$70,0))</f>
        <v>0</v>
      </c>
      <c r="Z18" s="208">
        <f>INDEX(ReMappedPL6M,MATCH(X18,BktEur6mPL!$M$6:$M$70,0))</f>
        <v>0</v>
      </c>
      <c r="AA18" s="16"/>
      <c r="AB18" s="207" t="str">
        <v>1W</v>
      </c>
      <c r="AC18" s="120">
        <f t="shared" si="5"/>
        <v>0</v>
      </c>
      <c r="AD18" s="26">
        <f t="shared" si="6"/>
        <v>223.329199650417</v>
      </c>
      <c r="AE18" s="23">
        <f>IF(LEN(AB18)&gt;0,(EurMkt!$AW14-'reference set'!$U24)*100,"")</f>
        <v>0.18670050000000327</v>
      </c>
      <c r="AF18" s="22">
        <f t="shared" si="7"/>
        <v>41.695673239333409</v>
      </c>
      <c r="AG18" s="207" t="str">
        <v>T/N</v>
      </c>
      <c r="AH18" s="256">
        <f>INDEX(ReMappedSens3M,MATCH(AG18,BktEur3mSens!$M$6:$M$70,0))</f>
        <v>0</v>
      </c>
      <c r="AI18" s="208">
        <f>INDEX(ReMappedPL3M,MATCH(AG18,BktEur3mPL!$M$6:$M$70,0))</f>
        <v>0</v>
      </c>
      <c r="AJ18" s="16"/>
      <c r="AK18" s="25" t="str">
        <v>T/N</v>
      </c>
      <c r="AL18" s="302"/>
      <c r="AM18" s="23"/>
      <c r="AN18" s="22">
        <f t="shared" si="8"/>
        <v>0</v>
      </c>
      <c r="AO18" s="207" t="str">
        <v>T/N</v>
      </c>
      <c r="AP18" s="302">
        <f>INDEX(ReMappedSens1M,MATCH(AO18,BktEur1mSens!$M$6:$M$70,0))</f>
        <v>0</v>
      </c>
      <c r="AQ18" s="208">
        <f>INDEX(ReMappedPL1M,MATCH(AO18,BktEur1mPL!$M$6:$M$72,0))</f>
        <v>0</v>
      </c>
      <c r="AR18" s="16"/>
      <c r="AS18" s="207" t="str">
        <v>1W</v>
      </c>
      <c r="AT18" s="26">
        <f t="shared" si="9"/>
        <v>0</v>
      </c>
      <c r="AU18" s="23">
        <f>(EurMkt!BF14-'reference set'!AC24)*100</f>
        <v>1.1603671999999996</v>
      </c>
      <c r="AV18" s="22">
        <f t="shared" si="10"/>
        <v>0</v>
      </c>
      <c r="AW18" s="207" t="str">
        <v>T/N</v>
      </c>
      <c r="AX18" s="302">
        <f>INDEX(ReMappedSens1Y,MATCH(AW18,BktEur1ySens!$M$6:$M$70,0))</f>
        <v>0</v>
      </c>
      <c r="AY18" s="208">
        <f>INDEX(ReMappedPL1Y,MATCH(AW18,BktEur1yPL!$M$6:$M$70,0))</f>
        <v>0</v>
      </c>
      <c r="AZ18" s="33"/>
      <c r="BA18" s="25" t="str">
        <v>T/N</v>
      </c>
      <c r="BB18" s="26">
        <f t="shared" si="11"/>
        <v>-13.910903477960701</v>
      </c>
      <c r="BC18" s="23">
        <f>(EurMkt!BW14-'reference set'!AS24)*100</f>
        <v>0</v>
      </c>
      <c r="BD18" s="22">
        <f t="shared" si="12"/>
        <v>0</v>
      </c>
      <c r="BE18" s="16"/>
      <c r="BF18" s="401"/>
      <c r="BG18" s="401"/>
      <c r="BH18" s="401"/>
      <c r="BI18" s="401"/>
      <c r="BJ18" s="401"/>
      <c r="BK18" s="401"/>
      <c r="BL18" s="401"/>
      <c r="BM18" s="401"/>
      <c r="BN18" s="401"/>
      <c r="BO18" s="401"/>
      <c r="BP18" s="401"/>
      <c r="BQ18" s="401"/>
      <c r="BR18" s="401"/>
      <c r="BS18" s="401"/>
      <c r="BT18" s="401"/>
      <c r="BU18" s="401"/>
      <c r="BV18" s="401"/>
      <c r="BW18" s="401"/>
      <c r="BX18" s="401"/>
      <c r="BY18" s="401"/>
      <c r="BZ18" s="401"/>
      <c r="CA18" s="401"/>
      <c r="CB18" s="401"/>
      <c r="CC18" s="401"/>
      <c r="CD18" s="401"/>
      <c r="CE18" s="401"/>
      <c r="CF18" s="401"/>
      <c r="CG18" s="401"/>
      <c r="CH18" s="401"/>
      <c r="CI18" s="401"/>
      <c r="CJ18" s="401"/>
      <c r="CK18" s="401"/>
      <c r="CL18" s="401"/>
      <c r="CM18" s="401"/>
      <c r="CN18" s="401"/>
      <c r="CO18" s="401"/>
      <c r="CP18" s="401"/>
    </row>
    <row r="19" spans="1:94" ht="15" customHeight="1">
      <c r="A19" s="207" t="str">
        <v>S/N</v>
      </c>
      <c r="B19" s="163" t="str">
        <f t="shared" si="13"/>
        <v>S/N</v>
      </c>
      <c r="C19" s="163" t="s">
        <v>504</v>
      </c>
      <c r="D19" s="302">
        <f t="shared" si="14"/>
        <v>532.45341032345959</v>
      </c>
      <c r="E19" s="210">
        <f t="shared" ref="E19:E78" si="19">Z19+AI19+AQ19+AY19+BD19+F19+G19</f>
        <v>51.889353248677999</v>
      </c>
      <c r="F19" s="213">
        <f t="shared" si="15"/>
        <v>0</v>
      </c>
      <c r="G19" s="214">
        <f t="shared" si="16"/>
        <v>0</v>
      </c>
      <c r="H19" s="540" t="str">
        <f t="shared" si="17"/>
        <v>S/N</v>
      </c>
      <c r="I19" s="541" t="str">
        <f t="shared" si="18"/>
        <v>D</v>
      </c>
      <c r="J19" s="56"/>
      <c r="K19" s="16"/>
      <c r="L19" s="207" t="str">
        <v>S/N</v>
      </c>
      <c r="M19" s="163" t="str">
        <v>S/N</v>
      </c>
      <c r="N19" s="163" t="str">
        <v>D</v>
      </c>
      <c r="O19" s="120">
        <f t="shared" si="0"/>
        <v>0</v>
      </c>
      <c r="P19" s="302">
        <f t="shared" si="1"/>
        <v>0</v>
      </c>
      <c r="Q19" s="23">
        <f>IF(LEN(O19)&gt;0,(EurMkt!$BN15-'reference set'!$AK25)*100,"")</f>
        <v>0</v>
      </c>
      <c r="R19" s="22">
        <f t="shared" si="2"/>
        <v>0</v>
      </c>
      <c r="S19" s="16"/>
      <c r="T19" s="207" t="str">
        <v>2W</v>
      </c>
      <c r="U19" s="26">
        <f t="shared" si="3"/>
        <v>-560.41746517148999</v>
      </c>
      <c r="V19" s="23">
        <f>IF(LEN(Q19)&gt;0,(EurMkt!$AL15-'reference set'!$I25)*100,"")</f>
        <v>0.2066162999999982</v>
      </c>
      <c r="W19" s="22">
        <f t="shared" si="4"/>
        <v>-115.79138310911112</v>
      </c>
      <c r="X19" s="207" t="str">
        <v>S/N</v>
      </c>
      <c r="Y19" s="302">
        <f>INDEX(ReMappedSens6M,MATCH(X19,BktEur6mSens!$M$6:$M$70,0))</f>
        <v>234.998829990037</v>
      </c>
      <c r="Z19" s="208">
        <f>INDEX(ReMappedPL6M,MATCH(X19,BktEur6mPL!$M$6:$M$70,0))</f>
        <v>48.521829919969733</v>
      </c>
      <c r="AA19" s="16"/>
      <c r="AB19" s="207" t="str">
        <v>2W</v>
      </c>
      <c r="AC19" s="120">
        <f t="shared" si="5"/>
        <v>2.4091419178420201</v>
      </c>
      <c r="AD19" s="302">
        <f t="shared" si="6"/>
        <v>267.22767059124999</v>
      </c>
      <c r="AE19" s="23">
        <f>IF(LEN(AB19)&gt;0,(EurMkt!$AW15-'reference set'!$U25)*100,"")</f>
        <v>0.18668900000000099</v>
      </c>
      <c r="AF19" s="22">
        <f t="shared" si="7"/>
        <v>49.888466595010136</v>
      </c>
      <c r="AG19" s="207" t="str">
        <v>S/N</v>
      </c>
      <c r="AH19" s="256">
        <f>INDEX(ReMappedSens3M,MATCH(AG19,BktEur3mSens!$M$6:$M$70,0))</f>
        <v>185.41702314420101</v>
      </c>
      <c r="AI19" s="208">
        <f>INDEX(ReMappedPL3M,MATCH(AG19,BktEur3mPL!$M$6:$M$70,0))</f>
        <v>34.0790860673482</v>
      </c>
      <c r="AJ19" s="16"/>
      <c r="AK19" s="25" t="str">
        <v>S/N</v>
      </c>
      <c r="AL19" s="26">
        <f t="shared" ref="AL19:AL48" si="20">IF(LEN(AK19)&gt;0,VLOOKUP($AL$4&amp;AK19,Sens,$AL$3,FALSE),"")</f>
        <v>122.96990494586299</v>
      </c>
      <c r="AM19" s="23">
        <f>(+EurMkt!CF15-'reference set'!BA25)*100</f>
        <v>-0.46039929999999729</v>
      </c>
      <c r="AN19" s="22">
        <f t="shared" si="8"/>
        <v>-56.615258158141529</v>
      </c>
      <c r="AO19" s="207" t="str">
        <v>S/N</v>
      </c>
      <c r="AP19" s="302">
        <f>INDEX(ReMappedSens1M,MATCH(AO19,BktEur1mSens!$M$6:$M$70,0))</f>
        <v>122.96990494586299</v>
      </c>
      <c r="AQ19" s="208">
        <f>INDEX(ReMappedPL1M,MATCH(AO19,BktEur1mPL!$M$6:$M$72,0))</f>
        <v>-56.615258158141529</v>
      </c>
      <c r="AR19" s="16"/>
      <c r="AS19" s="207" t="str">
        <v>2W</v>
      </c>
      <c r="AT19" s="26">
        <f t="shared" si="9"/>
        <v>0</v>
      </c>
      <c r="AU19" s="23">
        <f>(EurMkt!BF15-'reference set'!AC25)*100</f>
        <v>1.1603404999999998</v>
      </c>
      <c r="AV19" s="22">
        <f t="shared" si="10"/>
        <v>0</v>
      </c>
      <c r="AW19" s="207" t="str">
        <v>S/N</v>
      </c>
      <c r="AX19" s="302">
        <f>INDEX(ReMappedSens1Y,MATCH(AW19,BktEur1ySens!$M$6:$M$70,0))</f>
        <v>7.1042012957035903</v>
      </c>
      <c r="AY19" s="208">
        <f>INDEX(ReMappedPL1Y,MATCH(AW19,BktEur1yPL!$M$6:$M$70,0))</f>
        <v>8.2433400817060267</v>
      </c>
      <c r="AZ19" s="33"/>
      <c r="BA19" s="25" t="str">
        <v>S/N</v>
      </c>
      <c r="BB19" s="26">
        <f t="shared" si="11"/>
        <v>-18.036549052345013</v>
      </c>
      <c r="BC19" s="23">
        <f>(EurMkt!BW15-'reference set'!AS25)*100</f>
        <v>-0.97914270000000192</v>
      </c>
      <c r="BD19" s="22">
        <f t="shared" si="12"/>
        <v>17.660355337795572</v>
      </c>
      <c r="BE19" s="16"/>
      <c r="BF19" s="401"/>
      <c r="BG19" s="401"/>
      <c r="BH19" s="401"/>
      <c r="BI19" s="401"/>
      <c r="BJ19" s="401"/>
      <c r="BK19" s="401"/>
      <c r="BL19" s="401"/>
      <c r="BM19" s="401"/>
      <c r="BN19" s="401"/>
      <c r="BO19" s="401"/>
      <c r="BP19" s="401"/>
      <c r="BQ19" s="401"/>
      <c r="BR19" s="401"/>
      <c r="BS19" s="401"/>
      <c r="BT19" s="401"/>
      <c r="BU19" s="401"/>
      <c r="BV19" s="401"/>
      <c r="BW19" s="401"/>
      <c r="BX19" s="401"/>
      <c r="BY19" s="401"/>
      <c r="BZ19" s="401"/>
      <c r="CA19" s="401"/>
      <c r="CB19" s="401"/>
      <c r="CC19" s="401"/>
      <c r="CD19" s="401"/>
      <c r="CE19" s="401"/>
      <c r="CF19" s="401"/>
      <c r="CG19" s="401"/>
      <c r="CH19" s="401"/>
      <c r="CI19" s="401"/>
      <c r="CJ19" s="401"/>
      <c r="CK19" s="401"/>
      <c r="CL19" s="401"/>
      <c r="CM19" s="401"/>
      <c r="CN19" s="401"/>
      <c r="CO19" s="401"/>
      <c r="CP19" s="401"/>
    </row>
    <row r="20" spans="1:94" ht="15" customHeight="1">
      <c r="A20" s="207" t="str">
        <v>1W</v>
      </c>
      <c r="B20" s="163" t="str">
        <f t="shared" si="13"/>
        <v>1W</v>
      </c>
      <c r="C20" s="163" t="s">
        <v>508</v>
      </c>
      <c r="D20" s="302">
        <f t="shared" si="14"/>
        <v>1168.0739689673137</v>
      </c>
      <c r="E20" s="210">
        <f t="shared" si="19"/>
        <v>-654.06472280955325</v>
      </c>
      <c r="F20" s="213">
        <f t="shared" si="15"/>
        <v>0</v>
      </c>
      <c r="G20" s="214">
        <f t="shared" si="16"/>
        <v>0</v>
      </c>
      <c r="H20" s="540" t="str">
        <f t="shared" si="17"/>
        <v>1W</v>
      </c>
      <c r="I20" s="541" t="str">
        <f t="shared" si="18"/>
        <v>D</v>
      </c>
      <c r="J20" s="56"/>
      <c r="K20" s="16"/>
      <c r="L20" s="207" t="str">
        <v>1W</v>
      </c>
      <c r="M20" s="163" t="str">
        <v>1W</v>
      </c>
      <c r="N20" s="163" t="str">
        <v>D</v>
      </c>
      <c r="O20" s="120">
        <f t="shared" si="0"/>
        <v>0</v>
      </c>
      <c r="P20" s="302">
        <f t="shared" si="1"/>
        <v>-1.04325882535098E-2</v>
      </c>
      <c r="Q20" s="23">
        <f>IF(LEN(O20)&gt;0,(EurMkt!$BN16-'reference set'!$AK26)*100,"")</f>
        <v>0</v>
      </c>
      <c r="R20" s="22">
        <f t="shared" si="2"/>
        <v>0</v>
      </c>
      <c r="S20" s="16"/>
      <c r="T20" s="207" t="str">
        <v>3W</v>
      </c>
      <c r="U20" s="26">
        <f t="shared" si="3"/>
        <v>-194.69120486839901</v>
      </c>
      <c r="V20" s="23">
        <f>IF(LEN(Q20)&gt;0,(EurMkt!$AL16-'reference set'!$I26)*100,"")</f>
        <v>0.20660679999999765</v>
      </c>
      <c r="W20" s="22">
        <f t="shared" si="4"/>
        <v>-40.224526826003881</v>
      </c>
      <c r="X20" s="207" t="str">
        <v>1W</v>
      </c>
      <c r="Y20" s="302">
        <f>INDEX(ReMappedSens6M,MATCH(X20,BktEur6mSens!$M$6:$M$70,0))</f>
        <v>-468.387347944505</v>
      </c>
      <c r="Z20" s="208">
        <f>INDEX(ReMappedPL6M,MATCH(X20,BktEur6mPL!$M$6:$M$70,0))</f>
        <v>-96.780863640176349</v>
      </c>
      <c r="AA20" s="16"/>
      <c r="AB20" s="207" t="str">
        <v>3W</v>
      </c>
      <c r="AC20" s="120">
        <f t="shared" si="5"/>
        <v>-21.7720035742242</v>
      </c>
      <c r="AD20" s="302">
        <f t="shared" si="6"/>
        <v>-1527.3494251883458</v>
      </c>
      <c r="AE20" s="23">
        <f>IF(LEN(AB20)&gt;0,(EurMkt!$AW16-'reference set'!$U26)*100,"")</f>
        <v>0.18667729999999882</v>
      </c>
      <c r="AF20" s="22">
        <f t="shared" si="7"/>
        <v>-285.12146685071059</v>
      </c>
      <c r="AG20" s="207" t="str">
        <v>1W</v>
      </c>
      <c r="AH20" s="256">
        <f>INDEX(ReMappedSens3M,MATCH(AG20,BktEur3mSens!$M$6:$M$70,0))</f>
        <v>223.329199650417</v>
      </c>
      <c r="AI20" s="208">
        <f>INDEX(ReMappedPL3M,MATCH(AG20,BktEur3mPL!$M$6:$M$70,0))</f>
        <v>41.695673239333409</v>
      </c>
      <c r="AJ20" s="16"/>
      <c r="AK20" s="25" t="str">
        <v>1W</v>
      </c>
      <c r="AL20" s="26">
        <f t="shared" si="20"/>
        <v>1302.1294182797899</v>
      </c>
      <c r="AM20" s="23">
        <f>(+EurMkt!CF16-'reference set'!BA26)*100</f>
        <v>-0.46000000000000485</v>
      </c>
      <c r="AN20" s="22">
        <f t="shared" si="8"/>
        <v>-598.9795324087097</v>
      </c>
      <c r="AO20" s="207" t="str">
        <v>1W</v>
      </c>
      <c r="AP20" s="302">
        <f>INDEX(ReMappedSens1M,MATCH(AO20,BktEur1mSens!$M$6:$M$70,0))</f>
        <v>1302.1294182797899</v>
      </c>
      <c r="AQ20" s="208">
        <f>INDEX(ReMappedPL1M,MATCH(AO20,BktEur1mPL!$M$6:$M$72,0))</f>
        <v>-598.9795324087097</v>
      </c>
      <c r="AR20" s="16"/>
      <c r="AS20" s="207" t="str">
        <v>3W</v>
      </c>
      <c r="AT20" s="26">
        <f t="shared" si="9"/>
        <v>0</v>
      </c>
      <c r="AU20" s="23">
        <f>(EurMkt!BF16-'reference set'!AC26)*100</f>
        <v>1.1603138</v>
      </c>
      <c r="AV20" s="22">
        <f t="shared" si="10"/>
        <v>0</v>
      </c>
      <c r="AW20" s="207" t="str">
        <v>1W</v>
      </c>
      <c r="AX20" s="302">
        <f>INDEX(ReMappedSens1Y,MATCH(AW20,BktEur1ySens!$M$6:$M$70,0))</f>
        <v>0</v>
      </c>
      <c r="AY20" s="208">
        <f>INDEX(ReMappedPL1Y,MATCH(AW20,BktEur1yPL!$M$6:$M$70,0))</f>
        <v>0</v>
      </c>
      <c r="AZ20" s="33"/>
      <c r="BA20" s="25" t="str">
        <v>1W</v>
      </c>
      <c r="BB20" s="26">
        <f t="shared" si="11"/>
        <v>111.00269898161162</v>
      </c>
      <c r="BC20" s="23">
        <f>(EurMkt!BW16-'reference set'!AS26)*100</f>
        <v>-5.5511151231257827E-15</v>
      </c>
      <c r="BD20" s="22">
        <f t="shared" si="12"/>
        <v>-6.1618876102460313E-13</v>
      </c>
      <c r="BE20" s="16"/>
      <c r="BF20" s="401"/>
      <c r="BG20" s="401"/>
      <c r="BH20" s="401"/>
      <c r="BI20" s="401"/>
      <c r="BJ20" s="401"/>
      <c r="BK20" s="401"/>
      <c r="BL20" s="401"/>
      <c r="BM20" s="401"/>
      <c r="BN20" s="401"/>
      <c r="BO20" s="401"/>
      <c r="BP20" s="401"/>
      <c r="BQ20" s="401"/>
      <c r="BR20" s="401"/>
      <c r="BS20" s="401"/>
      <c r="BT20" s="401"/>
      <c r="BU20" s="401"/>
      <c r="BV20" s="401"/>
      <c r="BW20" s="401"/>
      <c r="BX20" s="401"/>
      <c r="BY20" s="401"/>
      <c r="BZ20" s="401"/>
      <c r="CA20" s="401"/>
      <c r="CB20" s="401"/>
      <c r="CC20" s="401"/>
      <c r="CD20" s="401"/>
      <c r="CE20" s="401"/>
      <c r="CF20" s="401"/>
      <c r="CG20" s="401"/>
      <c r="CH20" s="401"/>
      <c r="CI20" s="401"/>
      <c r="CJ20" s="401"/>
      <c r="CK20" s="401"/>
      <c r="CL20" s="401"/>
      <c r="CM20" s="401"/>
      <c r="CN20" s="401"/>
      <c r="CO20" s="401"/>
      <c r="CP20" s="401"/>
    </row>
    <row r="21" spans="1:94" ht="15" customHeight="1">
      <c r="A21" s="207" t="str">
        <v>2W</v>
      </c>
      <c r="B21" s="163" t="str">
        <f t="shared" si="13"/>
        <v>2W</v>
      </c>
      <c r="C21" s="163" t="s">
        <v>508</v>
      </c>
      <c r="D21" s="302">
        <f t="shared" si="14"/>
        <v>-511.41171919841503</v>
      </c>
      <c r="E21" s="210">
        <f t="shared" si="19"/>
        <v>17.836282348238566</v>
      </c>
      <c r="F21" s="213">
        <f t="shared" si="15"/>
        <v>0</v>
      </c>
      <c r="G21" s="214">
        <f t="shared" si="16"/>
        <v>0</v>
      </c>
      <c r="H21" s="540" t="str">
        <f t="shared" si="17"/>
        <v>2W</v>
      </c>
      <c r="I21" s="541" t="str">
        <f t="shared" si="18"/>
        <v>D</v>
      </c>
      <c r="J21" s="56"/>
      <c r="K21" s="16"/>
      <c r="L21" s="207" t="str">
        <v>2W</v>
      </c>
      <c r="M21" s="163" t="str">
        <v>2W</v>
      </c>
      <c r="N21" s="163" t="str">
        <v>D</v>
      </c>
      <c r="O21" s="120">
        <f t="shared" si="0"/>
        <v>0</v>
      </c>
      <c r="P21" s="302">
        <f t="shared" si="1"/>
        <v>-4.2066939765493796</v>
      </c>
      <c r="Q21" s="23">
        <f>IF(LEN(O21)&gt;0,(EurMkt!$BN17-'reference set'!$AK27)*100,"")</f>
        <v>0</v>
      </c>
      <c r="R21" s="22">
        <f t="shared" si="2"/>
        <v>0</v>
      </c>
      <c r="S21" s="16"/>
      <c r="T21" s="207" t="str">
        <v>1M</v>
      </c>
      <c r="U21" s="26">
        <f t="shared" si="3"/>
        <v>7254.71134521371</v>
      </c>
      <c r="V21" s="23">
        <f>IF(LEN(Q21)&gt;0,(EurMkt!$AL17-'reference set'!$I27)*100,"")</f>
        <v>0.20999999999999908</v>
      </c>
      <c r="W21" s="22">
        <f t="shared" si="4"/>
        <v>1523.4893824948724</v>
      </c>
      <c r="X21" s="207" t="str">
        <v>2W</v>
      </c>
      <c r="Y21" s="302">
        <f>INDEX(ReMappedSens6M,MATCH(X21,BktEur6mSens!$M$6:$M$70,0))</f>
        <v>-560.41746517148999</v>
      </c>
      <c r="Z21" s="208">
        <f>INDEX(ReMappedPL6M,MATCH(X21,BktEur6mPL!$M$6:$M$70,0))</f>
        <v>-115.79138310911112</v>
      </c>
      <c r="AA21" s="16"/>
      <c r="AB21" s="207" t="str">
        <v>1M</v>
      </c>
      <c r="AC21" s="120">
        <f t="shared" si="5"/>
        <v>26.7276478685095</v>
      </c>
      <c r="AD21" s="302">
        <f t="shared" si="6"/>
        <v>3406.3987054913105</v>
      </c>
      <c r="AE21" s="23">
        <f>IF(LEN(AB21)&gt;0,(EurMkt!$AW17-'reference set'!$U27)*100,"")</f>
        <v>0.18999999999999573</v>
      </c>
      <c r="AF21" s="22">
        <f t="shared" si="7"/>
        <v>647.21575404333441</v>
      </c>
      <c r="AG21" s="207" t="str">
        <v>2W</v>
      </c>
      <c r="AH21" s="256">
        <f>INDEX(ReMappedSens3M,MATCH(AG21,BktEur3mSens!$M$6:$M$70,0))</f>
        <v>269.63681250909201</v>
      </c>
      <c r="AI21" s="208">
        <f>INDEX(ReMappedPL3M,MATCH(AG21,BktEur3mPL!$M$6:$M$70,0))</f>
        <v>49.888466595010136</v>
      </c>
      <c r="AJ21" s="16"/>
      <c r="AK21" s="25" t="str">
        <v>2W</v>
      </c>
      <c r="AL21" s="26">
        <f t="shared" si="20"/>
        <v>-226.32215908740201</v>
      </c>
      <c r="AM21" s="23">
        <f>(+EurMkt!CF17-'reference set'!BA27)*100</f>
        <v>-0.37000000000000366</v>
      </c>
      <c r="AN21" s="22">
        <f t="shared" si="8"/>
        <v>83.739198862339578</v>
      </c>
      <c r="AO21" s="207" t="str">
        <v>2W</v>
      </c>
      <c r="AP21" s="302">
        <f>INDEX(ReMappedSens1M,MATCH(AO21,BktEur1mSens!$M$6:$M$70,0))</f>
        <v>-226.32215908740201</v>
      </c>
      <c r="AQ21" s="208">
        <f>INDEX(ReMappedPL1M,MATCH(AO21,BktEur1mPL!$M$6:$M$72,0))</f>
        <v>83.739198862339578</v>
      </c>
      <c r="AR21" s="16"/>
      <c r="AS21" s="207" t="str">
        <v>1M</v>
      </c>
      <c r="AT21" s="26">
        <f t="shared" si="9"/>
        <v>-2.2074769447503999</v>
      </c>
      <c r="AU21" s="23">
        <f>(EurMkt!BF17-'reference set'!AC27)*100</f>
        <v>1.1602580000000002</v>
      </c>
      <c r="AV21" s="22">
        <f t="shared" si="10"/>
        <v>-2.5612427849622099</v>
      </c>
      <c r="AW21" s="207" t="str">
        <v>2W</v>
      </c>
      <c r="AX21" s="302">
        <f>INDEX(ReMappedSens1Y,MATCH(AW21,BktEur1ySens!$M$6:$M$70,0))</f>
        <v>0</v>
      </c>
      <c r="AY21" s="208">
        <f>INDEX(ReMappedPL1Y,MATCH(AW21,BktEur1yPL!$M$6:$M$70,0))</f>
        <v>0</v>
      </c>
      <c r="AZ21" s="33"/>
      <c r="BA21" s="25" t="str">
        <v>2W</v>
      </c>
      <c r="BB21" s="26">
        <f t="shared" si="11"/>
        <v>5.691092551385001</v>
      </c>
      <c r="BC21" s="23">
        <f>(EurMkt!BW17-'reference set'!AS27)*100</f>
        <v>-5.5511151231257827E-15</v>
      </c>
      <c r="BD21" s="22">
        <f t="shared" si="12"/>
        <v>-3.1591909929101774E-14</v>
      </c>
      <c r="BE21" s="16"/>
      <c r="BF21" s="401"/>
      <c r="BG21" s="401"/>
      <c r="BH21" s="401"/>
      <c r="BI21" s="401"/>
      <c r="BJ21" s="401"/>
      <c r="BK21" s="401"/>
      <c r="BL21" s="401"/>
      <c r="BM21" s="401"/>
      <c r="BN21" s="401"/>
      <c r="BO21" s="401"/>
      <c r="BP21" s="401"/>
      <c r="BQ21" s="401"/>
      <c r="BR21" s="401"/>
      <c r="BS21" s="401"/>
      <c r="BT21" s="401"/>
      <c r="BU21" s="401"/>
      <c r="BV21" s="401"/>
      <c r="BW21" s="401"/>
      <c r="BX21" s="401"/>
      <c r="BY21" s="401"/>
      <c r="BZ21" s="401"/>
      <c r="CA21" s="401"/>
      <c r="CB21" s="401"/>
      <c r="CC21" s="401"/>
      <c r="CD21" s="401"/>
      <c r="CE21" s="401"/>
      <c r="CF21" s="401"/>
      <c r="CG21" s="401"/>
      <c r="CH21" s="401"/>
      <c r="CI21" s="401"/>
      <c r="CJ21" s="401"/>
      <c r="CK21" s="401"/>
      <c r="CL21" s="401"/>
      <c r="CM21" s="401"/>
      <c r="CN21" s="401"/>
      <c r="CO21" s="401"/>
      <c r="CP21" s="401"/>
    </row>
    <row r="22" spans="1:94" ht="15" customHeight="1">
      <c r="A22" s="207" t="str">
        <v>3W</v>
      </c>
      <c r="B22" s="163" t="str">
        <f t="shared" si="13"/>
        <v>3W</v>
      </c>
      <c r="C22" s="163" t="s">
        <v>508</v>
      </c>
      <c r="D22" s="302">
        <f t="shared" si="14"/>
        <v>-3728.263875497516</v>
      </c>
      <c r="E22" s="210">
        <f t="shared" si="19"/>
        <v>406.19469931293492</v>
      </c>
      <c r="F22" s="213">
        <f t="shared" si="15"/>
        <v>0</v>
      </c>
      <c r="G22" s="214">
        <f t="shared" si="16"/>
        <v>0</v>
      </c>
      <c r="H22" s="540" t="str">
        <f t="shared" si="17"/>
        <v>3W</v>
      </c>
      <c r="I22" s="541" t="str">
        <f t="shared" si="18"/>
        <v>D</v>
      </c>
      <c r="J22" s="56"/>
      <c r="K22" s="16"/>
      <c r="L22" s="207" t="str">
        <v>3W</v>
      </c>
      <c r="M22" s="163" t="str">
        <v>3W</v>
      </c>
      <c r="N22" s="163" t="str">
        <v>D</v>
      </c>
      <c r="O22" s="120">
        <f t="shared" si="0"/>
        <v>0</v>
      </c>
      <c r="P22" s="302">
        <f t="shared" si="1"/>
        <v>-27.193313514063199</v>
      </c>
      <c r="Q22" s="23">
        <f>IF(LEN(O22)&gt;0,(EurMkt!$BN18-'reference set'!$AK28)*100,"")</f>
        <v>0</v>
      </c>
      <c r="R22" s="22">
        <f t="shared" si="2"/>
        <v>0</v>
      </c>
      <c r="S22" s="16"/>
      <c r="T22" s="207" t="str">
        <v>2M</v>
      </c>
      <c r="U22" s="26">
        <f t="shared" si="3"/>
        <v>6055.1558608064197</v>
      </c>
      <c r="V22" s="23">
        <f>IF(LEN(Q22)&gt;0,(EurMkt!$AL18-'reference set'!$I28)*100,"")</f>
        <v>0.10000000000000009</v>
      </c>
      <c r="W22" s="22">
        <f t="shared" si="4"/>
        <v>605.51558608064249</v>
      </c>
      <c r="X22" s="207" t="str">
        <v>3W</v>
      </c>
      <c r="Y22" s="302">
        <f>INDEX(ReMappedSens6M,MATCH(X22,BktEur6mSens!$M$6:$M$70,0))</f>
        <v>-194.69120486839901</v>
      </c>
      <c r="Z22" s="208">
        <f>INDEX(ReMappedPL6M,MATCH(X22,BktEur6mPL!$M$6:$M$70,0))</f>
        <v>-40.224526826003881</v>
      </c>
      <c r="AA22" s="16"/>
      <c r="AB22" s="207" t="str">
        <v>2M</v>
      </c>
      <c r="AC22" s="120">
        <f t="shared" si="5"/>
        <v>7.5780470153539303</v>
      </c>
      <c r="AD22" s="302">
        <f t="shared" si="6"/>
        <v>-1236.8612528412539</v>
      </c>
      <c r="AE22" s="23">
        <f>IF(LEN(AB22)&gt;0,(EurMkt!$AW18-'reference set'!$U28)*100,"")</f>
        <v>4.0000000000001146E-2</v>
      </c>
      <c r="AF22" s="22">
        <f t="shared" si="7"/>
        <v>-49.474450113651571</v>
      </c>
      <c r="AG22" s="207" t="str">
        <v>3W</v>
      </c>
      <c r="AH22" s="256">
        <f>INDEX(ReMappedSens3M,MATCH(AG22,BktEur3mSens!$M$6:$M$70,0))</f>
        <v>-1549.1214287625701</v>
      </c>
      <c r="AI22" s="208">
        <f>INDEX(ReMappedPL3M,MATCH(AG22,BktEur3mPL!$M$6:$M$70,0))</f>
        <v>-285.12146685071059</v>
      </c>
      <c r="AJ22" s="16"/>
      <c r="AK22" s="25" t="str">
        <v>3W</v>
      </c>
      <c r="AL22" s="26">
        <f t="shared" si="20"/>
        <v>-2522.5541137574101</v>
      </c>
      <c r="AM22" s="23">
        <f>(+EurMkt!CF18-'reference set'!BA28)*100</f>
        <v>-0.29000000000000137</v>
      </c>
      <c r="AN22" s="22">
        <f t="shared" si="8"/>
        <v>731.54069298965237</v>
      </c>
      <c r="AO22" s="207" t="str">
        <v>3W</v>
      </c>
      <c r="AP22" s="302">
        <f>INDEX(ReMappedSens1M,MATCH(AO22,BktEur1mSens!$M$6:$M$70,0))</f>
        <v>-2522.5541137574101</v>
      </c>
      <c r="AQ22" s="208">
        <f>INDEX(ReMappedPL1M,MATCH(AO22,BktEur1mPL!$M$6:$M$72,0))</f>
        <v>731.54069298965237</v>
      </c>
      <c r="AR22" s="16"/>
      <c r="AS22" s="207" t="str">
        <v>2M</v>
      </c>
      <c r="AT22" s="26">
        <f t="shared" si="9"/>
        <v>693.52870769824699</v>
      </c>
      <c r="AU22" s="23">
        <f>(EurMkt!BF18-'reference set'!AC28)*100</f>
        <v>1.1601788000000002</v>
      </c>
      <c r="AV22" s="22">
        <f t="shared" si="10"/>
        <v>804.6173038629031</v>
      </c>
      <c r="AW22" s="207" t="str">
        <v>3W</v>
      </c>
      <c r="AX22" s="302">
        <f>INDEX(ReMappedSens1Y,MATCH(AW22,BktEur1ySens!$M$6:$M$70,0))</f>
        <v>0</v>
      </c>
      <c r="AY22" s="208">
        <f>INDEX(ReMappedPL1Y,MATCH(AW22,BktEur1yPL!$M$6:$M$70,0))</f>
        <v>0</v>
      </c>
      <c r="AZ22" s="33"/>
      <c r="BA22" s="25" t="str">
        <v>3W</v>
      </c>
      <c r="BB22" s="26">
        <f t="shared" si="11"/>
        <v>538.10287189086296</v>
      </c>
      <c r="BC22" s="23">
        <f>(EurMkt!BW18-'reference set'!AS28)*100</f>
        <v>-5.5511151231257827E-15</v>
      </c>
      <c r="BD22" s="22">
        <f t="shared" si="12"/>
        <v>-2.987070989950785E-12</v>
      </c>
      <c r="BE22" s="16"/>
      <c r="BF22" s="401"/>
      <c r="BG22" s="401"/>
      <c r="BH22" s="401"/>
      <c r="BI22" s="401"/>
      <c r="BJ22" s="401"/>
      <c r="BK22" s="401"/>
      <c r="BL22" s="401"/>
      <c r="BM22" s="401"/>
      <c r="BN22" s="401"/>
      <c r="BO22" s="401"/>
      <c r="BP22" s="401"/>
      <c r="BQ22" s="401"/>
      <c r="BR22" s="401"/>
      <c r="BS22" s="401"/>
      <c r="BT22" s="401"/>
      <c r="BU22" s="401"/>
      <c r="BV22" s="401"/>
      <c r="BW22" s="401"/>
      <c r="BX22" s="401"/>
      <c r="BY22" s="401"/>
      <c r="BZ22" s="401"/>
      <c r="CA22" s="401"/>
      <c r="CB22" s="401"/>
      <c r="CC22" s="401"/>
      <c r="CD22" s="401"/>
      <c r="CE22" s="401"/>
      <c r="CF22" s="401"/>
      <c r="CG22" s="401"/>
      <c r="CH22" s="401"/>
      <c r="CI22" s="401"/>
      <c r="CJ22" s="401"/>
      <c r="CK22" s="401"/>
      <c r="CL22" s="401"/>
      <c r="CM22" s="401"/>
      <c r="CN22" s="401"/>
      <c r="CO22" s="401"/>
      <c r="CP22" s="401"/>
    </row>
    <row r="23" spans="1:94" ht="15" customHeight="1">
      <c r="A23" s="207" t="str">
        <v>1M</v>
      </c>
      <c r="B23" s="163" t="str">
        <f t="shared" si="13"/>
        <v>1M</v>
      </c>
      <c r="C23" s="163" t="s">
        <v>508</v>
      </c>
      <c r="D23" s="302">
        <f t="shared" si="14"/>
        <v>15880.660016410251</v>
      </c>
      <c r="E23" s="210">
        <f t="shared" si="19"/>
        <v>1032.33373739848</v>
      </c>
      <c r="F23" s="213">
        <f t="shared" si="15"/>
        <v>0</v>
      </c>
      <c r="G23" s="214">
        <f t="shared" si="16"/>
        <v>0</v>
      </c>
      <c r="H23" s="540" t="str">
        <f t="shared" si="17"/>
        <v>1M</v>
      </c>
      <c r="I23" s="541" t="str">
        <f t="shared" si="18"/>
        <v>D</v>
      </c>
      <c r="J23" s="56"/>
      <c r="K23" s="16"/>
      <c r="L23" s="207" t="str">
        <v>1M</v>
      </c>
      <c r="M23" s="163" t="str">
        <v>1M</v>
      </c>
      <c r="N23" s="163" t="str">
        <v>D</v>
      </c>
      <c r="O23" s="120">
        <f t="shared" si="0"/>
        <v>0</v>
      </c>
      <c r="P23" s="302">
        <f t="shared" si="1"/>
        <v>4.0131774585108202</v>
      </c>
      <c r="Q23" s="23">
        <f>IF(LEN(O23)&gt;0,(EurMkt!$BN19-'reference set'!$AK29)*100,"")</f>
        <v>0</v>
      </c>
      <c r="R23" s="22">
        <f t="shared" si="2"/>
        <v>0</v>
      </c>
      <c r="S23" s="16"/>
      <c r="T23" s="207" t="str">
        <v>3M</v>
      </c>
      <c r="U23" s="26">
        <f t="shared" si="3"/>
        <v>-1792.12677799522</v>
      </c>
      <c r="V23" s="23">
        <f>IF(LEN(Q23)&gt;0,(EurMkt!$AL19-'reference set'!$I29)*100,"")</f>
        <v>0.13999999999999846</v>
      </c>
      <c r="W23" s="22">
        <f t="shared" si="4"/>
        <v>-250.89774891932802</v>
      </c>
      <c r="X23" s="207" t="str">
        <v>1M</v>
      </c>
      <c r="Y23" s="302">
        <f>INDEX(ReMappedSens6M,MATCH(X23,BktEur6mSens!$M$6:$M$70,0))</f>
        <v>8506.3394532350667</v>
      </c>
      <c r="Z23" s="208">
        <f>INDEX(ReMappedPL6M,MATCH(X23,BktEur6mPL!$M$6:$M$70,0))</f>
        <v>1398.3265716927331</v>
      </c>
      <c r="AA23" s="16"/>
      <c r="AB23" s="207" t="str">
        <v>3M</v>
      </c>
      <c r="AC23" s="120">
        <f t="shared" si="5"/>
        <v>46.3612476815346</v>
      </c>
      <c r="AD23" s="26">
        <f t="shared" si="6"/>
        <v>-5099.6372433283441</v>
      </c>
      <c r="AE23" s="23">
        <f>IF(LEN(AB23)&gt;0,(EurMkt!$AW19-'reference set'!$U29)*100,"")</f>
        <v>5.9999999999998943E-2</v>
      </c>
      <c r="AF23" s="22">
        <f t="shared" si="7"/>
        <v>-305.97823459969527</v>
      </c>
      <c r="AG23" s="207" t="str">
        <v>1M</v>
      </c>
      <c r="AH23" s="256">
        <f>INDEX(ReMappedSens3M,MATCH(AG23,BktEur3mSens!$M$6:$M$70,0))</f>
        <v>4756.744915415421</v>
      </c>
      <c r="AI23" s="208">
        <f>INDEX(ReMappedPL3M,MATCH(AG23,BktEur3mPL!$M$6:$M$70,0))</f>
        <v>197.66457617695283</v>
      </c>
      <c r="AJ23" s="16"/>
      <c r="AK23" s="25" t="str">
        <v>1M</v>
      </c>
      <c r="AL23" s="26">
        <f t="shared" si="20"/>
        <v>2804.2292034340999</v>
      </c>
      <c r="AM23" s="23">
        <f>(+EurMkt!CF19-'reference set'!BA29)*100</f>
        <v>-0.20000000000000018</v>
      </c>
      <c r="AN23" s="22">
        <f t="shared" si="8"/>
        <v>-560.84584068682045</v>
      </c>
      <c r="AO23" s="207" t="str">
        <v>1M</v>
      </c>
      <c r="AP23" s="302">
        <f>INDEX(ReMappedSens1M,MATCH(AO23,BktEur1mSens!$M$6:$M$70,0))</f>
        <v>2804.2292034340999</v>
      </c>
      <c r="AQ23" s="208">
        <f>INDEX(ReMappedPL1M,MATCH(AO23,BktEur1mPL!$M$6:$M$72,0))</f>
        <v>-560.84584068682045</v>
      </c>
      <c r="AR23" s="16"/>
      <c r="AS23" s="207" t="str">
        <v>3M</v>
      </c>
      <c r="AT23" s="26">
        <f t="shared" si="9"/>
        <v>2514.6232949861801</v>
      </c>
      <c r="AU23" s="23">
        <f>(EurMkt!BF19-'reference set'!AC29)*100</f>
        <v>1.1599999999999999</v>
      </c>
      <c r="AV23" s="22">
        <f t="shared" si="10"/>
        <v>2916.9630221839689</v>
      </c>
      <c r="AW23" s="207" t="str">
        <v>1M</v>
      </c>
      <c r="AX23" s="302">
        <f>INDEX(ReMappedSens1Y,MATCH(AW23,BktEur1ySens!$M$6:$M$70,0))</f>
        <v>0.29579304949419605</v>
      </c>
      <c r="AY23" s="208">
        <f>INDEX(ReMappedPL1Y,MATCH(AW23,BktEur1yPL!$M$6:$M$70,0))</f>
        <v>-2.8115697843866698</v>
      </c>
      <c r="AZ23" s="33"/>
      <c r="BA23" s="25" t="str">
        <v>1M</v>
      </c>
      <c r="BB23" s="26">
        <f t="shared" si="11"/>
        <v>-186.94934872382998</v>
      </c>
      <c r="BC23" s="23">
        <f>(EurMkt!BW19-'reference set'!AS29)*100</f>
        <v>-5.5511151231257827E-15</v>
      </c>
      <c r="BD23" s="22">
        <f t="shared" si="12"/>
        <v>1.0377773569593683E-12</v>
      </c>
      <c r="BE23" s="16"/>
      <c r="BF23" s="401"/>
      <c r="BG23" s="401"/>
      <c r="BH23" s="401"/>
      <c r="BI23" s="401"/>
      <c r="BJ23" s="401"/>
      <c r="BK23" s="401"/>
      <c r="BL23" s="401"/>
      <c r="BM23" s="401"/>
      <c r="BN23" s="401"/>
      <c r="BO23" s="401"/>
      <c r="BP23" s="401"/>
      <c r="BQ23" s="401"/>
      <c r="BR23" s="401"/>
      <c r="BS23" s="401"/>
      <c r="BT23" s="401"/>
      <c r="BU23" s="401"/>
      <c r="BV23" s="401"/>
      <c r="BW23" s="401"/>
      <c r="BX23" s="401"/>
      <c r="BY23" s="401"/>
      <c r="BZ23" s="401"/>
      <c r="CA23" s="401"/>
      <c r="CB23" s="401"/>
      <c r="CC23" s="401"/>
      <c r="CD23" s="401"/>
      <c r="CE23" s="401"/>
      <c r="CF23" s="401"/>
      <c r="CG23" s="401"/>
      <c r="CH23" s="401"/>
      <c r="CI23" s="401"/>
      <c r="CJ23" s="401"/>
      <c r="CK23" s="401"/>
      <c r="CL23" s="401"/>
      <c r="CM23" s="401"/>
      <c r="CN23" s="401"/>
      <c r="CO23" s="401"/>
      <c r="CP23" s="401"/>
    </row>
    <row r="24" spans="1:94" ht="15" customHeight="1">
      <c r="A24" s="207" t="str">
        <v>2M</v>
      </c>
      <c r="B24" s="163" t="str">
        <f t="shared" si="13"/>
        <v>2M</v>
      </c>
      <c r="C24" s="163" t="s">
        <v>508</v>
      </c>
      <c r="D24" s="302">
        <f t="shared" si="14"/>
        <v>3598.3620808990445</v>
      </c>
      <c r="E24" s="210">
        <f t="shared" si="19"/>
        <v>1544.6791704497309</v>
      </c>
      <c r="F24" s="213">
        <f t="shared" si="15"/>
        <v>0</v>
      </c>
      <c r="G24" s="214">
        <f t="shared" si="16"/>
        <v>0</v>
      </c>
      <c r="H24" s="540" t="str">
        <f t="shared" si="17"/>
        <v>2M</v>
      </c>
      <c r="I24" s="541" t="str">
        <f t="shared" si="18"/>
        <v>D</v>
      </c>
      <c r="J24" s="56"/>
      <c r="K24" s="16"/>
      <c r="L24" s="207" t="str">
        <v>2M</v>
      </c>
      <c r="M24" s="163" t="str">
        <v>2M</v>
      </c>
      <c r="N24" s="163" t="str">
        <v>D</v>
      </c>
      <c r="O24" s="120">
        <f t="shared" si="0"/>
        <v>0</v>
      </c>
      <c r="P24" s="302">
        <f t="shared" si="1"/>
        <v>1.3947920128950599</v>
      </c>
      <c r="Q24" s="23">
        <f>IF(LEN(O24)&gt;0,(EurMkt!$BN20-'reference set'!$AK30)*100,"")</f>
        <v>0</v>
      </c>
      <c r="R24" s="22">
        <f t="shared" si="2"/>
        <v>0</v>
      </c>
      <c r="S24" s="16"/>
      <c r="T24" s="207" t="str">
        <v>4M</v>
      </c>
      <c r="U24" s="26">
        <f t="shared" si="3"/>
        <v>-4499.5137539850602</v>
      </c>
      <c r="V24" s="23">
        <f>IF(LEN(Q24)&gt;0,(EurMkt!$AL20-'reference set'!$I30)*100,"")</f>
        <v>-2.7755575615628914E-15</v>
      </c>
      <c r="W24" s="22">
        <f t="shared" si="4"/>
        <v>1.2488659423229465E-11</v>
      </c>
      <c r="X24" s="207" t="str">
        <v>2M</v>
      </c>
      <c r="Y24" s="302">
        <f>INDEX(ReMappedSens6M,MATCH(X24,BktEur6mSens!$M$6:$M$70,0))</f>
        <v>5744.7634278994319</v>
      </c>
      <c r="Z24" s="208">
        <f>INDEX(ReMappedPL6M,MATCH(X24,BktEur6mPL!$M$6:$M$70,0))</f>
        <v>636.55482937134127</v>
      </c>
      <c r="AA24" s="16"/>
      <c r="AB24" s="207" t="str">
        <v>1M-4M</v>
      </c>
      <c r="AC24" s="120">
        <f t="shared" si="5"/>
        <v>2446.2458663196298</v>
      </c>
      <c r="AD24" s="26">
        <f t="shared" si="6"/>
        <v>-5949.9420599962195</v>
      </c>
      <c r="AE24" s="23">
        <f>IF(LEN(AB24)&gt;0,(EurMkt!$AW20-'reference set'!$U30)*100,"")</f>
        <v>-0.20000000000000018</v>
      </c>
      <c r="AF24" s="22">
        <f t="shared" si="7"/>
        <v>1189.988411999245</v>
      </c>
      <c r="AG24" s="207" t="str">
        <v>2M</v>
      </c>
      <c r="AH24" s="256">
        <f>INDEX(ReMappedSens3M,MATCH(AG24,BktEur3mSens!$M$6:$M$70,0))</f>
        <v>-33.207230677620601</v>
      </c>
      <c r="AI24" s="208">
        <f>INDEX(ReMappedPL3M,MATCH(AG24,BktEur3mPL!$M$6:$M$70,0))</f>
        <v>-281.53928405038965</v>
      </c>
      <c r="AJ24" s="16"/>
      <c r="AK24" s="25" t="str">
        <v>2M</v>
      </c>
      <c r="AL24" s="26">
        <f t="shared" si="20"/>
        <v>-874.17247072345504</v>
      </c>
      <c r="AM24" s="23">
        <f>(+EurMkt!CF20-'reference set'!BA30)*100</f>
        <v>-0.20000000000000018</v>
      </c>
      <c r="AN24" s="22">
        <f t="shared" si="8"/>
        <v>174.83449414469115</v>
      </c>
      <c r="AO24" s="207" t="str">
        <v>2M</v>
      </c>
      <c r="AP24" s="302">
        <f>INDEX(ReMappedSens1M,MATCH(AO24,BktEur1mSens!$M$6:$M$70,0))</f>
        <v>-874.17247072345504</v>
      </c>
      <c r="AQ24" s="208">
        <f>INDEX(ReMappedPL1M,MATCH(AO24,BktEur1mPL!$M$6:$M$72,0))</f>
        <v>174.83449414469115</v>
      </c>
      <c r="AR24" s="16"/>
      <c r="AS24" s="207" t="str">
        <v>4M</v>
      </c>
      <c r="AT24" s="26">
        <f t="shared" si="9"/>
        <v>-36.356756994291203</v>
      </c>
      <c r="AU24" s="23">
        <f>(EurMkt!BF20-'reference set'!AC30)*100</f>
        <v>1.0928429999999989</v>
      </c>
      <c r="AV24" s="22">
        <f t="shared" si="10"/>
        <v>-39.732227383912139</v>
      </c>
      <c r="AW24" s="207" t="str">
        <v>2M</v>
      </c>
      <c r="AX24" s="302">
        <f>INDEX(ReMappedSens1Y,MATCH(AW24,BktEur1ySens!$M$6:$M$70,0))</f>
        <v>641.18008657470227</v>
      </c>
      <c r="AY24" s="208">
        <f>INDEX(ReMappedPL1Y,MATCH(AW24,BktEur1yPL!$M$6:$M$70,0))</f>
        <v>815.087028087612</v>
      </c>
      <c r="AZ24" s="33"/>
      <c r="BA24" s="25" t="str">
        <v>2M</v>
      </c>
      <c r="BB24" s="26">
        <f t="shared" si="11"/>
        <v>-1880.2017321740141</v>
      </c>
      <c r="BC24" s="23">
        <f>(EurMkt!BW20-'reference set'!AS30)*100</f>
        <v>-0.10623440000000484</v>
      </c>
      <c r="BD24" s="22">
        <f t="shared" si="12"/>
        <v>199.74210289647618</v>
      </c>
      <c r="BE24" s="16"/>
      <c r="BF24" s="401"/>
      <c r="BG24" s="401"/>
      <c r="BH24" s="401"/>
      <c r="BI24" s="401"/>
      <c r="BJ24" s="401"/>
      <c r="BK24" s="401"/>
      <c r="BL24" s="401"/>
      <c r="BM24" s="401"/>
      <c r="BN24" s="401"/>
      <c r="BO24" s="401"/>
      <c r="BP24" s="401"/>
      <c r="BQ24" s="401"/>
      <c r="BR24" s="401"/>
      <c r="BS24" s="401"/>
      <c r="BT24" s="401"/>
      <c r="BU24" s="401"/>
      <c r="BV24" s="401"/>
      <c r="BW24" s="401"/>
      <c r="BX24" s="401"/>
      <c r="BY24" s="401"/>
      <c r="BZ24" s="401"/>
      <c r="CA24" s="401"/>
      <c r="CB24" s="401"/>
      <c r="CC24" s="401"/>
      <c r="CD24" s="401"/>
      <c r="CE24" s="401"/>
      <c r="CF24" s="401"/>
      <c r="CG24" s="401"/>
      <c r="CH24" s="401"/>
      <c r="CI24" s="401"/>
      <c r="CJ24" s="401"/>
      <c r="CK24" s="401"/>
      <c r="CL24" s="401"/>
      <c r="CM24" s="401"/>
      <c r="CN24" s="401"/>
      <c r="CO24" s="401"/>
      <c r="CP24" s="401"/>
    </row>
    <row r="25" spans="1:94" ht="15" customHeight="1">
      <c r="A25" s="207" t="str">
        <v>3M</v>
      </c>
      <c r="B25" s="163" t="str">
        <f t="shared" si="13"/>
        <v>3M</v>
      </c>
      <c r="C25" s="163" t="s">
        <v>508</v>
      </c>
      <c r="D25" s="302">
        <f t="shared" si="14"/>
        <v>-9920.7143980901401</v>
      </c>
      <c r="E25" s="210">
        <f t="shared" si="19"/>
        <v>2810.5132744134335</v>
      </c>
      <c r="F25" s="213">
        <f t="shared" si="15"/>
        <v>0</v>
      </c>
      <c r="G25" s="214">
        <f t="shared" si="16"/>
        <v>0</v>
      </c>
      <c r="H25" s="540" t="str">
        <f t="shared" si="17"/>
        <v>3M</v>
      </c>
      <c r="I25" s="541" t="str">
        <f t="shared" si="18"/>
        <v>D</v>
      </c>
      <c r="J25" s="56"/>
      <c r="K25" s="16"/>
      <c r="L25" s="207" t="str">
        <v>3M</v>
      </c>
      <c r="M25" s="163" t="str">
        <v>3M</v>
      </c>
      <c r="N25" s="163" t="str">
        <v>D</v>
      </c>
      <c r="O25" s="120">
        <f t="shared" si="0"/>
        <v>0</v>
      </c>
      <c r="P25" s="302">
        <f t="shared" si="1"/>
        <v>-0.26651713221530998</v>
      </c>
      <c r="Q25" s="23">
        <f>IF(LEN(O25)&gt;0,(EurMkt!$BN21-'reference set'!$AK31)*100,"")</f>
        <v>-5.5511151231257827E-15</v>
      </c>
      <c r="R25" s="22">
        <f t="shared" si="2"/>
        <v>1.4794672832125209E-15</v>
      </c>
      <c r="S25" s="16"/>
      <c r="T25" s="207" t="str">
        <v>5M</v>
      </c>
      <c r="U25" s="26">
        <f t="shared" si="3"/>
        <v>-18442.078152361799</v>
      </c>
      <c r="V25" s="23">
        <f>IF(LEN(Q25)&gt;0,(EurMkt!$AL21-'reference set'!$I31)*100,"")</f>
        <v>2.9999999999999472E-2</v>
      </c>
      <c r="W25" s="22">
        <f t="shared" si="4"/>
        <v>-553.26234457084422</v>
      </c>
      <c r="X25" s="207" t="str">
        <v>3M</v>
      </c>
      <c r="Y25" s="302">
        <f>INDEX(ReMappedSens6M,MATCH(X25,BktEur6mSens!$M$6:$M$70,0))</f>
        <v>-2921.6673616460612</v>
      </c>
      <c r="Z25" s="208">
        <f>INDEX(ReMappedPL6M,MATCH(X25,BktEur6mPL!$M$6:$M$70,0))</f>
        <v>-137.9436905542438</v>
      </c>
      <c r="AA25" s="16"/>
      <c r="AB25" s="207" t="str">
        <v>2M-5M</v>
      </c>
      <c r="AC25" s="120">
        <f t="shared" si="5"/>
        <v>-49.294156019359001</v>
      </c>
      <c r="AD25" s="26">
        <f t="shared" si="6"/>
        <v>-1599.840900624481</v>
      </c>
      <c r="AE25" s="23">
        <f>IF(LEN(AB25)&gt;0,(EurMkt!$AW21-'reference set'!$U31)*100,"")</f>
        <v>-0.20000000000000018</v>
      </c>
      <c r="AF25" s="22">
        <f t="shared" si="7"/>
        <v>319.96818012489649</v>
      </c>
      <c r="AG25" s="207" t="str">
        <v>3M</v>
      </c>
      <c r="AH25" s="256">
        <f>INDEX(ReMappedSens3M,MATCH(AG25,BktEur3mSens!$M$6:$M$70,0))</f>
        <v>-8006.2923639915753</v>
      </c>
      <c r="AI25" s="208">
        <f>INDEX(ReMappedPL3M,MATCH(AG25,BktEur3mPL!$M$6:$M$70,0))</f>
        <v>-72.854023296558296</v>
      </c>
      <c r="AJ25" s="16"/>
      <c r="AK25" s="25" t="str">
        <v>3M</v>
      </c>
      <c r="AL25" s="26">
        <f t="shared" si="20"/>
        <v>-624.58080266680702</v>
      </c>
      <c r="AM25" s="23">
        <f>(+EurMkt!CF21-'reference set'!BA31)*100</f>
        <v>-0.20000000000000018</v>
      </c>
      <c r="AN25" s="22">
        <f t="shared" si="8"/>
        <v>124.91616053336152</v>
      </c>
      <c r="AO25" s="207" t="str">
        <v>3M</v>
      </c>
      <c r="AP25" s="302">
        <f>INDEX(ReMappedSens1M,MATCH(AO25,BktEur1mSens!$M$6:$M$70,0))</f>
        <v>-624.58080266680702</v>
      </c>
      <c r="AQ25" s="208">
        <f>INDEX(ReMappedPL1M,MATCH(AO25,BktEur1mPL!$M$6:$M$72,0))</f>
        <v>124.91616053336152</v>
      </c>
      <c r="AR25" s="16"/>
      <c r="AS25" s="207" t="str">
        <v>5M</v>
      </c>
      <c r="AT25" s="26">
        <f t="shared" si="9"/>
        <v>0</v>
      </c>
      <c r="AU25" s="23">
        <f>(EurMkt!BF21-'reference set'!AC31)*100</f>
        <v>0.99881489999999884</v>
      </c>
      <c r="AV25" s="22">
        <f t="shared" si="10"/>
        <v>0</v>
      </c>
      <c r="AW25" s="207" t="str">
        <v>3M</v>
      </c>
      <c r="AX25" s="302">
        <f>INDEX(ReMappedSens1Y,MATCH(AW25,BktEur1ySens!$M$6:$M$70,0))</f>
        <v>2533.7631581533751</v>
      </c>
      <c r="AY25" s="208">
        <f>INDEX(ReMappedPL1Y,MATCH(AW25,BktEur1yPL!$M$6:$M$70,0))</f>
        <v>2913.1350495505299</v>
      </c>
      <c r="AZ25" s="33"/>
      <c r="BA25" s="25" t="str">
        <v>3M</v>
      </c>
      <c r="BB25" s="26">
        <f t="shared" si="11"/>
        <v>-901.93702793907221</v>
      </c>
      <c r="BC25" s="23">
        <f>(EurMkt!BW21-'reference set'!AS31)*100</f>
        <v>1.8560299999997865E-2</v>
      </c>
      <c r="BD25" s="22">
        <f t="shared" si="12"/>
        <v>-16.740221819655638</v>
      </c>
      <c r="BE25" s="16"/>
      <c r="BF25" s="401"/>
      <c r="BG25" s="401"/>
      <c r="BH25" s="401"/>
      <c r="BI25" s="401"/>
      <c r="BJ25" s="401"/>
      <c r="BK25" s="401"/>
      <c r="BL25" s="401"/>
      <c r="BM25" s="401"/>
      <c r="BN25" s="401"/>
      <c r="BO25" s="401"/>
      <c r="BP25" s="401"/>
      <c r="BQ25" s="401"/>
      <c r="BR25" s="401"/>
      <c r="BS25" s="401"/>
      <c r="BT25" s="401"/>
      <c r="BU25" s="401"/>
      <c r="BV25" s="401"/>
      <c r="BW25" s="401"/>
      <c r="BX25" s="401"/>
      <c r="BY25" s="401"/>
      <c r="BZ25" s="401"/>
      <c r="CA25" s="401"/>
      <c r="CB25" s="401"/>
      <c r="CC25" s="401"/>
      <c r="CD25" s="401"/>
      <c r="CE25" s="401"/>
      <c r="CF25" s="401"/>
      <c r="CG25" s="401"/>
      <c r="CH25" s="401"/>
      <c r="CI25" s="401"/>
      <c r="CJ25" s="401"/>
      <c r="CK25" s="401"/>
      <c r="CL25" s="401"/>
      <c r="CM25" s="401"/>
      <c r="CN25" s="401"/>
      <c r="CO25" s="401"/>
      <c r="CP25" s="401"/>
    </row>
    <row r="26" spans="1:94" ht="15" customHeight="1">
      <c r="A26" s="207" t="str">
        <v>4M</v>
      </c>
      <c r="B26" s="163" t="str">
        <f t="shared" si="13"/>
        <v>4M</v>
      </c>
      <c r="C26" s="163" t="s">
        <v>508</v>
      </c>
      <c r="D26" s="302">
        <f t="shared" si="14"/>
        <v>1175.3091487902875</v>
      </c>
      <c r="E26" s="210">
        <f t="shared" si="19"/>
        <v>767.07149369468152</v>
      </c>
      <c r="F26" s="213">
        <f t="shared" si="15"/>
        <v>624.99999999943157</v>
      </c>
      <c r="G26" s="214">
        <f t="shared" si="16"/>
        <v>0</v>
      </c>
      <c r="H26" s="540" t="str">
        <f t="shared" si="17"/>
        <v>4M</v>
      </c>
      <c r="I26" s="541" t="str">
        <f t="shared" si="18"/>
        <v>D</v>
      </c>
      <c r="J26" s="56"/>
      <c r="K26" s="16"/>
      <c r="L26" s="207" t="str">
        <v>4M</v>
      </c>
      <c r="M26" s="163" t="str">
        <v>4M</v>
      </c>
      <c r="N26" s="163" t="str">
        <v>D</v>
      </c>
      <c r="O26" s="120">
        <f t="shared" si="0"/>
        <v>0</v>
      </c>
      <c r="P26" s="302">
        <f t="shared" si="1"/>
        <v>-0.27284031591452401</v>
      </c>
      <c r="Q26" s="23">
        <f>IF(LEN(O26)&gt;0,(EurMkt!$BN22-'reference set'!$AK32)*100,"")</f>
        <v>0</v>
      </c>
      <c r="R26" s="22">
        <f t="shared" si="2"/>
        <v>0</v>
      </c>
      <c r="S26" s="16"/>
      <c r="T26" s="207" t="str">
        <v>6M</v>
      </c>
      <c r="U26" s="26">
        <f t="shared" si="3"/>
        <v>-7008.4466786688399</v>
      </c>
      <c r="V26" s="23">
        <f>IF(LEN(Q26)&gt;0,(EurMkt!$AL22-'reference set'!$I32)*100,"")</f>
        <v>-2.7755575615628914E-15</v>
      </c>
      <c r="W26" s="22">
        <f t="shared" si="4"/>
        <v>1.9452347173789631E-11</v>
      </c>
      <c r="X26" s="207" t="str">
        <v>4M</v>
      </c>
      <c r="Y26" s="302">
        <f>INDEX(ReMappedSens6M,MATCH(X26,BktEur6mSens!$M$6:$M$70,0))</f>
        <v>-263.74833086561466</v>
      </c>
      <c r="Z26" s="208">
        <f>INDEX(ReMappedPL6M,MATCH(X26,BktEur6mPL!$M$6:$M$70,0))</f>
        <v>-847.15308462387748</v>
      </c>
      <c r="AA26" s="16"/>
      <c r="AB26" s="207" t="str">
        <v>3M-6M</v>
      </c>
      <c r="AC26" s="120">
        <f t="shared" si="5"/>
        <v>576.43654919679602</v>
      </c>
      <c r="AD26" s="26">
        <f t="shared" si="6"/>
        <v>2161.2557089561642</v>
      </c>
      <c r="AE26" s="23">
        <f>IF(LEN(AB26)&gt;0,(EurMkt!$AW22-'reference set'!$U32)*100,"")</f>
        <v>-0.10000000000000009</v>
      </c>
      <c r="AF26" s="22">
        <f t="shared" si="7"/>
        <v>-216.12557089561662</v>
      </c>
      <c r="AG26" s="207" t="str">
        <v>4M</v>
      </c>
      <c r="AH26" s="256">
        <f>INDEX(ReMappedSens3M,MATCH(AG26,BktEur3mSens!$M$6:$M$70,0))</f>
        <v>-1935.5868464905079</v>
      </c>
      <c r="AI26" s="208">
        <f>INDEX(ReMappedPL3M,MATCH(AG26,BktEur3mPL!$M$6:$M$70,0))</f>
        <v>1074.2616078711567</v>
      </c>
      <c r="AJ26" s="16"/>
      <c r="AK26" s="25" t="str">
        <v>4M</v>
      </c>
      <c r="AL26" s="26">
        <f t="shared" si="20"/>
        <v>-2933.24458425074</v>
      </c>
      <c r="AM26" s="23">
        <f>(+EurMkt!CF22-'reference set'!BA32)*100</f>
        <v>-0.20000000000000018</v>
      </c>
      <c r="AN26" s="22">
        <f t="shared" si="8"/>
        <v>586.64891685014857</v>
      </c>
      <c r="AO26" s="207" t="str">
        <v>4M</v>
      </c>
      <c r="AP26" s="302">
        <f>INDEX(ReMappedSens1M,MATCH(AO26,BktEur1mSens!$M$6:$M$70,0))</f>
        <v>-2933.24458425074</v>
      </c>
      <c r="AQ26" s="208">
        <f>INDEX(ReMappedPL1M,MATCH(AO26,BktEur1mPL!$M$6:$M$72,0))</f>
        <v>586.64891685014857</v>
      </c>
      <c r="AR26" s="16"/>
      <c r="AS26" s="207" t="str">
        <v>6M</v>
      </c>
      <c r="AT26" s="26">
        <f t="shared" si="9"/>
        <v>535.86430948253098</v>
      </c>
      <c r="AU26" s="23">
        <f>(EurMkt!BF22-'reference set'!AC32)*100</f>
        <v>0.80999999999999961</v>
      </c>
      <c r="AV26" s="22">
        <f t="shared" si="10"/>
        <v>434.05009068084991</v>
      </c>
      <c r="AW26" s="207" t="str">
        <v>4M</v>
      </c>
      <c r="AX26" s="302">
        <f>INDEX(ReMappedSens1Y,MATCH(AW26,BktEur1ySens!$M$6:$M$70,0))</f>
        <v>1.2126536495319442</v>
      </c>
      <c r="AY26" s="208">
        <f>INDEX(ReMappedPL1Y,MATCH(AW26,BktEur1yPL!$M$6:$M$70,0))</f>
        <v>-51.003050577059092</v>
      </c>
      <c r="AZ26" s="33"/>
      <c r="BA26" s="25" t="str">
        <v>4M</v>
      </c>
      <c r="BB26" s="26">
        <f t="shared" si="11"/>
        <v>6306.676256747618</v>
      </c>
      <c r="BC26" s="23">
        <f>(EurMkt!BW22-'reference set'!AS32)*100</f>
        <v>-9.8416800000006299E-2</v>
      </c>
      <c r="BD26" s="22">
        <f t="shared" si="12"/>
        <v>-620.68289582511875</v>
      </c>
      <c r="BE26" s="16"/>
      <c r="BF26" s="401"/>
      <c r="BG26" s="401"/>
      <c r="BH26" s="401"/>
      <c r="BI26" s="401"/>
      <c r="BJ26" s="401"/>
      <c r="BK26" s="401"/>
      <c r="BL26" s="401"/>
      <c r="BM26" s="401"/>
      <c r="BN26" s="401"/>
      <c r="BO26" s="401"/>
      <c r="BP26" s="401"/>
      <c r="BQ26" s="401"/>
      <c r="BR26" s="401"/>
      <c r="BS26" s="401"/>
      <c r="BT26" s="401"/>
      <c r="BU26" s="401"/>
      <c r="BV26" s="401"/>
      <c r="BW26" s="401"/>
      <c r="BX26" s="401"/>
      <c r="BY26" s="401"/>
      <c r="BZ26" s="401"/>
      <c r="CA26" s="401"/>
      <c r="CB26" s="401"/>
      <c r="CC26" s="401"/>
      <c r="CD26" s="401"/>
      <c r="CE26" s="401"/>
      <c r="CF26" s="401"/>
      <c r="CG26" s="401"/>
      <c r="CH26" s="401"/>
      <c r="CI26" s="401"/>
      <c r="CJ26" s="401"/>
      <c r="CK26" s="401"/>
      <c r="CL26" s="401"/>
      <c r="CM26" s="401"/>
      <c r="CN26" s="401"/>
      <c r="CO26" s="401"/>
      <c r="CP26" s="401"/>
    </row>
    <row r="27" spans="1:94" ht="15" customHeight="1">
      <c r="A27" s="207" t="str">
        <v>5M</v>
      </c>
      <c r="B27" s="163" t="str">
        <f t="shared" si="13"/>
        <v>5M</v>
      </c>
      <c r="C27" s="163" t="s">
        <v>508</v>
      </c>
      <c r="D27" s="302">
        <f t="shared" si="14"/>
        <v>-22560.914076598336</v>
      </c>
      <c r="E27" s="210">
        <f t="shared" si="19"/>
        <v>142.96986955223511</v>
      </c>
      <c r="F27" s="213">
        <f t="shared" si="15"/>
        <v>0</v>
      </c>
      <c r="G27" s="214">
        <f t="shared" si="16"/>
        <v>0</v>
      </c>
      <c r="H27" s="540" t="str">
        <f t="shared" si="17"/>
        <v>5M</v>
      </c>
      <c r="I27" s="541" t="str">
        <f t="shared" si="18"/>
        <v>D</v>
      </c>
      <c r="J27" s="56"/>
      <c r="K27" s="16"/>
      <c r="L27" s="207" t="str">
        <v>5M</v>
      </c>
      <c r="M27" s="163" t="str">
        <v>5M</v>
      </c>
      <c r="N27" s="163" t="str">
        <v>D</v>
      </c>
      <c r="O27" s="120">
        <f t="shared" si="0"/>
        <v>0</v>
      </c>
      <c r="P27" s="302">
        <f t="shared" si="1"/>
        <v>-41.6435316153906</v>
      </c>
      <c r="Q27" s="23">
        <f>IF(LEN(O27)&gt;0,(EurMkt!$BN23-'reference set'!$AK33)*100,"")</f>
        <v>0</v>
      </c>
      <c r="R27" s="22">
        <f t="shared" si="2"/>
        <v>0</v>
      </c>
      <c r="S27" s="16"/>
      <c r="T27" s="207" t="str">
        <v>1M-7M</v>
      </c>
      <c r="U27" s="26">
        <f t="shared" si="3"/>
        <v>-6699.8916370554998</v>
      </c>
      <c r="V27" s="23">
        <f>IF(LEN(Q27)&gt;0,(EurMkt!$AL23-'reference set'!$I33)*100,"")</f>
        <v>-0.10000000000000286</v>
      </c>
      <c r="W27" s="22">
        <f t="shared" si="4"/>
        <v>669.98916370556913</v>
      </c>
      <c r="X27" s="207" t="str">
        <v>5M</v>
      </c>
      <c r="Y27" s="302">
        <f>INDEX(ReMappedSens6M,MATCH(X27,BktEur6mSens!$M$6:$M$70,0))</f>
        <v>-21220.722159092442</v>
      </c>
      <c r="Z27" s="208">
        <f>INDEX(ReMappedPL6M,MATCH(X27,BktEur6mPL!$M$6:$M$70,0))</f>
        <v>-275.39794389777978</v>
      </c>
      <c r="AA27" s="16"/>
      <c r="AB27" s="207" t="str">
        <v>4M-7M</v>
      </c>
      <c r="AC27" s="120">
        <f t="shared" si="5"/>
        <v>2048.5223853603002</v>
      </c>
      <c r="AD27" s="26">
        <f t="shared" si="6"/>
        <v>-4193.9979309267101</v>
      </c>
      <c r="AE27" s="23">
        <f>IF(LEN(AB27)&gt;0,(EurMkt!$AW23-'reference set'!$U33)*100,"")</f>
        <v>-0.10000000000000009</v>
      </c>
      <c r="AF27" s="22">
        <f t="shared" si="7"/>
        <v>419.39979309267136</v>
      </c>
      <c r="AG27" s="207" t="str">
        <v>5M</v>
      </c>
      <c r="AH27" s="256">
        <f>INDEX(ReMappedSens3M,MATCH(AG27,BktEur3mSens!$M$6:$M$70,0))</f>
        <v>-2425.4502416431801</v>
      </c>
      <c r="AI27" s="208">
        <f>INDEX(ReMappedPL3M,MATCH(AG27,BktEur3mPL!$M$6:$M$70,0))</f>
        <v>527.06726138466809</v>
      </c>
      <c r="AJ27" s="16"/>
      <c r="AK27" s="25" t="str">
        <v>5M</v>
      </c>
      <c r="AL27" s="26">
        <f t="shared" si="20"/>
        <v>930.42418436719299</v>
      </c>
      <c r="AM27" s="23">
        <f>(+EurMkt!CF23-'reference set'!BA33)*100</f>
        <v>-0.10000000000000009</v>
      </c>
      <c r="AN27" s="22">
        <f t="shared" si="8"/>
        <v>-93.042418436719387</v>
      </c>
      <c r="AO27" s="207" t="str">
        <v>5M</v>
      </c>
      <c r="AP27" s="302">
        <f>INDEX(ReMappedSens1M,MATCH(AO27,BktEur1mSens!$M$6:$M$70,0))</f>
        <v>930.42418436719299</v>
      </c>
      <c r="AQ27" s="208">
        <f>INDEX(ReMappedPL1M,MATCH(AO27,BktEur1mPL!$M$6:$M$72,0))</f>
        <v>-93.042418436719387</v>
      </c>
      <c r="AR27" s="16"/>
      <c r="AS27" s="207" t="str">
        <v>7M</v>
      </c>
      <c r="AT27" s="26">
        <f t="shared" si="9"/>
        <v>-6941.1110845140802</v>
      </c>
      <c r="AU27" s="23">
        <f>(EurMkt!BF23-'reference set'!AC33)*100</f>
        <v>0.67237690000000039</v>
      </c>
      <c r="AV27" s="22">
        <f t="shared" si="10"/>
        <v>-4667.042753561218</v>
      </c>
      <c r="AW27" s="207" t="str">
        <v>5M</v>
      </c>
      <c r="AX27" s="302">
        <f>INDEX(ReMappedSens1Y,MATCH(AW27,BktEur1ySens!$M$6:$M$70,0))</f>
        <v>0</v>
      </c>
      <c r="AY27" s="208">
        <f>INDEX(ReMappedPL1Y,MATCH(AW27,BktEur1yPL!$M$6:$M$70,0))</f>
        <v>0</v>
      </c>
      <c r="AZ27" s="33"/>
      <c r="BA27" s="25" t="str">
        <v>5M</v>
      </c>
      <c r="BB27" s="26">
        <f t="shared" si="11"/>
        <v>154.83413977009411</v>
      </c>
      <c r="BC27" s="23">
        <f>(EurMkt!BW23-'reference set'!AS33)*100</f>
        <v>-0.10112130000000108</v>
      </c>
      <c r="BD27" s="22">
        <f t="shared" si="12"/>
        <v>-15.657029497933785</v>
      </c>
      <c r="BE27" s="16"/>
      <c r="BF27" s="401"/>
      <c r="BG27" s="401"/>
      <c r="BH27" s="401"/>
      <c r="BI27" s="401"/>
      <c r="BJ27" s="401"/>
      <c r="BK27" s="401"/>
      <c r="BL27" s="401"/>
      <c r="BM27" s="401"/>
      <c r="BN27" s="401"/>
      <c r="BO27" s="401"/>
      <c r="BP27" s="401"/>
      <c r="BQ27" s="401"/>
      <c r="BR27" s="401"/>
      <c r="BS27" s="401"/>
      <c r="BT27" s="401"/>
      <c r="BU27" s="401"/>
      <c r="BV27" s="401"/>
      <c r="BW27" s="401"/>
      <c r="BX27" s="401"/>
      <c r="BY27" s="401"/>
      <c r="BZ27" s="401"/>
      <c r="CA27" s="401"/>
      <c r="CB27" s="401"/>
      <c r="CC27" s="401"/>
      <c r="CD27" s="401"/>
      <c r="CE27" s="401"/>
      <c r="CF27" s="401"/>
      <c r="CG27" s="401"/>
      <c r="CH27" s="401"/>
      <c r="CI27" s="401"/>
      <c r="CJ27" s="401"/>
      <c r="CK27" s="401"/>
      <c r="CL27" s="401"/>
      <c r="CM27" s="401"/>
      <c r="CN27" s="401"/>
      <c r="CO27" s="401"/>
      <c r="CP27" s="401"/>
    </row>
    <row r="28" spans="1:94" ht="15" customHeight="1">
      <c r="A28" s="207" t="str">
        <v>6M</v>
      </c>
      <c r="B28" s="163" t="str">
        <f t="shared" si="13"/>
        <v>6M</v>
      </c>
      <c r="C28" s="163" t="s">
        <v>508</v>
      </c>
      <c r="D28" s="302">
        <f t="shared" si="14"/>
        <v>-6263.7991986931493</v>
      </c>
      <c r="E28" s="210">
        <f t="shared" si="19"/>
        <v>1025.0276195793629</v>
      </c>
      <c r="F28" s="213">
        <f t="shared" si="15"/>
        <v>0</v>
      </c>
      <c r="G28" s="214">
        <f t="shared" si="16"/>
        <v>0</v>
      </c>
      <c r="H28" s="540" t="str">
        <f t="shared" si="17"/>
        <v>6M</v>
      </c>
      <c r="I28" s="541" t="str">
        <f t="shared" si="18"/>
        <v>D</v>
      </c>
      <c r="J28" s="56"/>
      <c r="K28" s="16"/>
      <c r="L28" s="207" t="str">
        <v>6M</v>
      </c>
      <c r="M28" s="163" t="str">
        <v>6M</v>
      </c>
      <c r="N28" s="163" t="str">
        <v>D</v>
      </c>
      <c r="O28" s="120">
        <f t="shared" si="0"/>
        <v>0</v>
      </c>
      <c r="P28" s="302">
        <f t="shared" si="1"/>
        <v>-192.21167118364801</v>
      </c>
      <c r="Q28" s="23">
        <f>IF(LEN(O28)&gt;0,(EurMkt!$BN24-'reference set'!$AK34)*100,"")</f>
        <v>0</v>
      </c>
      <c r="R28" s="22">
        <f t="shared" si="2"/>
        <v>0</v>
      </c>
      <c r="S28" s="16"/>
      <c r="T28" s="207" t="str">
        <v>2M-8M</v>
      </c>
      <c r="U28" s="26">
        <f t="shared" si="3"/>
        <v>855.93064831926995</v>
      </c>
      <c r="V28" s="23">
        <f>IF(LEN(Q28)&gt;0,(EurMkt!$AL24-'reference set'!$I34)*100,"")</f>
        <v>-0.10000000000000009</v>
      </c>
      <c r="W28" s="22">
        <f t="shared" si="4"/>
        <v>-85.593064831927066</v>
      </c>
      <c r="X28" s="207" t="str">
        <v>6M</v>
      </c>
      <c r="Y28" s="302">
        <f>INDEX(ReMappedSens6M,MATCH(X28,BktEur6mSens!$M$6:$M$70,0))</f>
        <v>-12403.997784182295</v>
      </c>
      <c r="Z28" s="208">
        <f>INDEX(ReMappedPL6M,MATCH(X28,BktEur6mPL!$M$6:$M$70,0))</f>
        <v>1079.1102211027112</v>
      </c>
      <c r="AA28" s="16"/>
      <c r="AB28" s="207" t="str">
        <v>5M-8M</v>
      </c>
      <c r="AC28" s="120">
        <f t="shared" si="5"/>
        <v>-98.594885143408703</v>
      </c>
      <c r="AD28" s="26">
        <f t="shared" si="6"/>
        <v>-144.70595500661329</v>
      </c>
      <c r="AE28" s="23">
        <f>IF(LEN(AB28)&gt;0,(EurMkt!$AW24-'reference set'!$U34)*100,"")</f>
        <v>-0.10000000000000564</v>
      </c>
      <c r="AF28" s="22">
        <f t="shared" si="7"/>
        <v>14.470595500662146</v>
      </c>
      <c r="AG28" s="207" t="str">
        <v>6M</v>
      </c>
      <c r="AH28" s="256">
        <f>INDEX(ReMappedSens3M,MATCH(AG28,BktEur3mSens!$M$6:$M$70,0))</f>
        <v>3912.1875188010217</v>
      </c>
      <c r="AI28" s="208">
        <f>INDEX(ReMappedPL3M,MATCH(AG28,BktEur3mPL!$M$6:$M$70,0))</f>
        <v>-327.78540764427117</v>
      </c>
      <c r="AJ28" s="16"/>
      <c r="AK28" s="25" t="str">
        <v>6M</v>
      </c>
      <c r="AL28" s="26">
        <f t="shared" si="20"/>
        <v>1478.6638414945801</v>
      </c>
      <c r="AM28" s="23">
        <f>(+EurMkt!CF24-'reference set'!BA34)*100</f>
        <v>-0.10000000000000009</v>
      </c>
      <c r="AN28" s="22">
        <f t="shared" si="8"/>
        <v>-147.86638414945813</v>
      </c>
      <c r="AO28" s="207" t="str">
        <v>6M</v>
      </c>
      <c r="AP28" s="302">
        <f>INDEX(ReMappedSens1M,MATCH(AO28,BktEur1mSens!$M$6:$M$70,0))</f>
        <v>1478.6638414945801</v>
      </c>
      <c r="AQ28" s="208">
        <f>INDEX(ReMappedPL1M,MATCH(AO28,BktEur1mPL!$M$6:$M$72,0))</f>
        <v>-147.86638414945813</v>
      </c>
      <c r="AR28" s="16"/>
      <c r="AS28" s="207" t="str">
        <v>8M</v>
      </c>
      <c r="AT28" s="26">
        <f t="shared" si="9"/>
        <v>-1433.42579189516</v>
      </c>
      <c r="AU28" s="23">
        <f>(EurMkt!BF24-'reference set'!AC34)*100</f>
        <v>0.61815589999999898</v>
      </c>
      <c r="AV28" s="22">
        <f t="shared" si="10"/>
        <v>-886.08061047216393</v>
      </c>
      <c r="AW28" s="207" t="str">
        <v>6M</v>
      </c>
      <c r="AX28" s="302">
        <f>INDEX(ReMappedSens1Y,MATCH(AW28,BktEur1ySens!$M$6:$M$70,0))</f>
        <v>533.66804582037389</v>
      </c>
      <c r="AY28" s="208">
        <f>INDEX(ReMappedPL1Y,MATCH(AW28,BktEur1yPL!$M$6:$M$70,0))</f>
        <v>434.70896977949701</v>
      </c>
      <c r="AZ28" s="33"/>
      <c r="BA28" s="25" t="str">
        <v>6M</v>
      </c>
      <c r="BB28" s="26">
        <f t="shared" si="11"/>
        <v>215.67917937316901</v>
      </c>
      <c r="BC28" s="23">
        <f>(EurMkt!BW24-'reference set'!AS34)*100</f>
        <v>-6.092280000000172E-2</v>
      </c>
      <c r="BD28" s="22">
        <f t="shared" si="12"/>
        <v>-13.139779509116071</v>
      </c>
      <c r="BE28" s="16"/>
      <c r="BF28" s="401"/>
      <c r="BG28" s="401"/>
      <c r="BH28" s="401"/>
      <c r="BI28" s="401"/>
      <c r="BJ28" s="401"/>
      <c r="BK28" s="401"/>
      <c r="BL28" s="401"/>
      <c r="BM28" s="401"/>
      <c r="BN28" s="401"/>
      <c r="BO28" s="401"/>
      <c r="BP28" s="401"/>
      <c r="BQ28" s="401"/>
      <c r="BR28" s="401"/>
      <c r="BS28" s="401"/>
      <c r="BT28" s="401"/>
      <c r="BU28" s="401"/>
      <c r="BV28" s="401"/>
      <c r="BW28" s="401"/>
      <c r="BX28" s="401"/>
      <c r="BY28" s="401"/>
      <c r="BZ28" s="401"/>
      <c r="CA28" s="401"/>
      <c r="CB28" s="401"/>
      <c r="CC28" s="401"/>
      <c r="CD28" s="401"/>
      <c r="CE28" s="401"/>
      <c r="CF28" s="401"/>
      <c r="CG28" s="401"/>
      <c r="CH28" s="401"/>
      <c r="CI28" s="401"/>
      <c r="CJ28" s="401"/>
      <c r="CK28" s="401"/>
      <c r="CL28" s="401"/>
      <c r="CM28" s="401"/>
      <c r="CN28" s="401"/>
      <c r="CO28" s="401"/>
      <c r="CP28" s="401"/>
    </row>
    <row r="29" spans="1:94" ht="15" customHeight="1">
      <c r="A29" s="207" t="str">
        <v>7M</v>
      </c>
      <c r="B29" s="163" t="str">
        <f t="shared" si="13"/>
        <v>7M</v>
      </c>
      <c r="C29" s="163" t="s">
        <v>508</v>
      </c>
      <c r="D29" s="302">
        <f t="shared" si="14"/>
        <v>-31109.97815967982</v>
      </c>
      <c r="E29" s="210">
        <f t="shared" si="19"/>
        <v>-4211.9993697686996</v>
      </c>
      <c r="F29" s="213">
        <f t="shared" si="15"/>
        <v>0</v>
      </c>
      <c r="G29" s="214">
        <f t="shared" si="16"/>
        <v>0</v>
      </c>
      <c r="H29" s="540" t="str">
        <f t="shared" si="17"/>
        <v>#20170621</v>
      </c>
      <c r="I29" s="541" t="str">
        <f t="shared" si="18"/>
        <v>S</v>
      </c>
      <c r="J29" s="56"/>
      <c r="K29" s="16"/>
      <c r="L29" s="207" t="str">
        <v>#20170621</v>
      </c>
      <c r="M29" s="163" t="str">
        <v>21/06/17</v>
      </c>
      <c r="N29" s="163" t="str">
        <v>S</v>
      </c>
      <c r="O29" s="120">
        <f t="shared" si="0"/>
        <v>0</v>
      </c>
      <c r="P29" s="302">
        <f t="shared" si="1"/>
        <v>-534.21106176097703</v>
      </c>
      <c r="Q29" s="23">
        <f>IF(LEN(O29)&gt;0,(EurMkt!$BN25-'reference set'!$AK35)*100,"")</f>
        <v>-9.6774200000002142E-2</v>
      </c>
      <c r="R29" s="22">
        <f t="shared" si="2"/>
        <v>51.697848133070288</v>
      </c>
      <c r="S29" s="16"/>
      <c r="T29" s="207" t="str">
        <v>3M-9M</v>
      </c>
      <c r="U29" s="26">
        <f t="shared" si="3"/>
        <v>2129.6546420916902</v>
      </c>
      <c r="V29" s="23">
        <f>IF(LEN(Q29)&gt;0,(EurMkt!$AL25-'reference set'!$I35)*100,"")</f>
        <v>-0.10000000000000009</v>
      </c>
      <c r="W29" s="22">
        <f t="shared" si="4"/>
        <v>-212.9654642091692</v>
      </c>
      <c r="X29" s="207" t="str">
        <v>7M</v>
      </c>
      <c r="Y29" s="302">
        <f>INDEX(ReMappedSens6M,MATCH(X29,BktEur6mSens!$M$6:$M$70,0))</f>
        <v>2739.965977135249</v>
      </c>
      <c r="Z29" s="208">
        <f>INDEX(ReMappedPL6M,MATCH(X29,BktEur6mPL!$M$6:$M$70,0))</f>
        <v>-273.99659771350309</v>
      </c>
      <c r="AA29" s="16"/>
      <c r="AB29" s="207" t="str">
        <v>6M-9M</v>
      </c>
      <c r="AC29" s="120">
        <f t="shared" si="5"/>
        <v>280.41468820529298</v>
      </c>
      <c r="AD29" s="26">
        <f t="shared" si="6"/>
        <v>604.03905183847291</v>
      </c>
      <c r="AE29" s="23">
        <f>IF(LEN(AB29)&gt;0,(EurMkt!$AW25-'reference set'!$U35)*100,"")</f>
        <v>-0.10000000000000564</v>
      </c>
      <c r="AF29" s="22">
        <f t="shared" si="7"/>
        <v>-60.403905183850696</v>
      </c>
      <c r="AG29" s="207" t="str">
        <v>7M</v>
      </c>
      <c r="AH29" s="256">
        <f>INDEX(ReMappedSens3M,MATCH(AG29,BktEur3mSens!$M$6:$M$70,0))</f>
        <v>-17984.481291284876</v>
      </c>
      <c r="AI29" s="208">
        <f>INDEX(ReMappedPL3M,MATCH(AG29,BktEur3mPL!$M$6:$M$70,0))</f>
        <v>-24.298703744930663</v>
      </c>
      <c r="AJ29" s="16"/>
      <c r="AK29" s="25" t="str">
        <v>7M</v>
      </c>
      <c r="AL29" s="26">
        <f t="shared" si="20"/>
        <v>-5840.4986884384098</v>
      </c>
      <c r="AM29" s="23">
        <f>(+EurMkt!CF25-'reference set'!BA35)*100</f>
        <v>-0.10000000000000009</v>
      </c>
      <c r="AN29" s="22">
        <f t="shared" si="8"/>
        <v>584.04986884384152</v>
      </c>
      <c r="AO29" s="207" t="str">
        <v>7M</v>
      </c>
      <c r="AP29" s="302">
        <f>INDEX(ReMappedSens1M,MATCH(AO29,BktEur1mSens!$M$6:$M$70,0))</f>
        <v>-5840.4986884384098</v>
      </c>
      <c r="AQ29" s="208">
        <f>INDEX(ReMappedPL1M,MATCH(AO29,BktEur1mPL!$M$6:$M$72,0))</f>
        <v>584.04986884384152</v>
      </c>
      <c r="AR29" s="16"/>
      <c r="AS29" s="207" t="str">
        <v>9M</v>
      </c>
      <c r="AT29" s="26">
        <f t="shared" si="9"/>
        <v>180.77612184653401</v>
      </c>
      <c r="AU29" s="23">
        <f>(EurMkt!BF25-'reference set'!AC35)*100</f>
        <v>0.49999999999999906</v>
      </c>
      <c r="AV29" s="22">
        <f t="shared" si="10"/>
        <v>90.388060923266835</v>
      </c>
      <c r="AW29" s="207" t="str">
        <v>7M</v>
      </c>
      <c r="AX29" s="302">
        <f>INDEX(ReMappedSens1Y,MATCH(AW29,BktEur1ySens!$M$6:$M$70,0))</f>
        <v>-6912.5889877679347</v>
      </c>
      <c r="AY29" s="208">
        <f>INDEX(ReMappedPL1Y,MATCH(AW29,BktEur1yPL!$M$6:$M$70,0))</f>
        <v>-4678.4515922596765</v>
      </c>
      <c r="AZ29" s="33"/>
      <c r="BA29" s="25" t="str">
        <v>7M</v>
      </c>
      <c r="BB29" s="26">
        <f t="shared" si="11"/>
        <v>-3112.3751693238501</v>
      </c>
      <c r="BC29" s="23">
        <f>(EurMkt!BW25-'reference set'!AS35)*100</f>
        <v>-5.8057799999999826E-2</v>
      </c>
      <c r="BD29" s="22">
        <f t="shared" si="12"/>
        <v>180.69765510556968</v>
      </c>
      <c r="BE29" s="16"/>
      <c r="BF29" s="401"/>
      <c r="BG29" s="401"/>
      <c r="BH29" s="401"/>
      <c r="BI29" s="401"/>
      <c r="BJ29" s="401"/>
      <c r="BK29" s="401"/>
      <c r="BL29" s="401"/>
      <c r="BM29" s="401"/>
      <c r="BN29" s="401"/>
      <c r="BO29" s="401"/>
      <c r="BP29" s="401"/>
      <c r="BQ29" s="401"/>
      <c r="BR29" s="401"/>
      <c r="BS29" s="401"/>
      <c r="BT29" s="401"/>
      <c r="BU29" s="401"/>
      <c r="BV29" s="401"/>
      <c r="BW29" s="401"/>
      <c r="BX29" s="401"/>
      <c r="BY29" s="401"/>
      <c r="BZ29" s="401"/>
      <c r="CA29" s="401"/>
      <c r="CB29" s="401"/>
      <c r="CC29" s="401"/>
      <c r="CD29" s="401"/>
      <c r="CE29" s="401"/>
      <c r="CF29" s="401"/>
      <c r="CG29" s="401"/>
      <c r="CH29" s="401"/>
      <c r="CI29" s="401"/>
      <c r="CJ29" s="401"/>
      <c r="CK29" s="401"/>
      <c r="CL29" s="401"/>
      <c r="CM29" s="401"/>
      <c r="CN29" s="401"/>
      <c r="CO29" s="401"/>
      <c r="CP29" s="401"/>
    </row>
    <row r="30" spans="1:94" ht="15" customHeight="1">
      <c r="A30" s="207" t="str">
        <v>8M</v>
      </c>
      <c r="B30" s="163" t="str">
        <f t="shared" si="13"/>
        <v>8M</v>
      </c>
      <c r="C30" s="163" t="s">
        <v>508</v>
      </c>
      <c r="D30" s="302">
        <f t="shared" si="14"/>
        <v>3800.976949881805</v>
      </c>
      <c r="E30" s="210">
        <f t="shared" si="19"/>
        <v>-1603.5195904521875</v>
      </c>
      <c r="F30" s="213">
        <f t="shared" si="15"/>
        <v>0</v>
      </c>
      <c r="G30" s="214">
        <f t="shared" si="16"/>
        <v>0</v>
      </c>
      <c r="H30" s="540">
        <f t="shared" si="17"/>
        <v>42907</v>
      </c>
      <c r="I30" s="541" t="str">
        <f t="shared" si="18"/>
        <v>F</v>
      </c>
      <c r="J30" s="56"/>
      <c r="K30" s="16"/>
      <c r="L30" s="207">
        <v>42907</v>
      </c>
      <c r="M30" s="163" t="str">
        <v>JUN 17</v>
      </c>
      <c r="N30" s="163" t="str">
        <v>F</v>
      </c>
      <c r="O30" s="120">
        <f t="shared" si="0"/>
        <v>0</v>
      </c>
      <c r="P30" s="302">
        <f t="shared" si="1"/>
        <v>-233.41988514676501</v>
      </c>
      <c r="Q30" s="23">
        <f>IF(LEN(O30)&gt;0,(EurMkt!$BN25-'reference set'!$AK35)*100,"")</f>
        <v>-9.6774200000002142E-2</v>
      </c>
      <c r="R30" s="22">
        <f t="shared" si="2"/>
        <v>22.589022649170566</v>
      </c>
      <c r="S30" s="16"/>
      <c r="T30" s="207" t="str">
        <v>4M-10M</v>
      </c>
      <c r="U30" s="26">
        <f t="shared" si="3"/>
        <v>-6285.32933753208</v>
      </c>
      <c r="V30" s="23">
        <f>IF(LEN(Q30)&gt;0,(EurMkt!$AL26-'reference set'!$I36)*100,"")</f>
        <v>-0.20000000000000018</v>
      </c>
      <c r="W30" s="22">
        <f t="shared" si="4"/>
        <v>1257.0658675064171</v>
      </c>
      <c r="X30" s="207" t="str">
        <v>8M</v>
      </c>
      <c r="Y30" s="302">
        <f>INDEX(ReMappedSens6M,MATCH(X30,BktEur6mSens!$M$6:$M$70,0))</f>
        <v>2419.4814809137583</v>
      </c>
      <c r="Z30" s="208">
        <f>INDEX(ReMappedPL6M,MATCH(X30,BktEur6mPL!$M$6:$M$70,0))</f>
        <v>-367.26398806012617</v>
      </c>
      <c r="AA30" s="16"/>
      <c r="AB30" s="207" t="str">
        <v>7M-10M</v>
      </c>
      <c r="AC30" s="120">
        <f t="shared" si="5"/>
        <v>9812.07371056189</v>
      </c>
      <c r="AD30" s="26">
        <f t="shared" si="6"/>
        <v>-4297.4924098402998</v>
      </c>
      <c r="AE30" s="23">
        <f>IF(LEN(AB30)&gt;0,(EurMkt!$AW26-'reference set'!$U36)*100,"")</f>
        <v>-0.10000000000000009</v>
      </c>
      <c r="AF30" s="22">
        <f t="shared" si="7"/>
        <v>429.74924098403039</v>
      </c>
      <c r="AG30" s="207" t="str">
        <v>8M</v>
      </c>
      <c r="AH30" s="256">
        <f>INDEX(ReMappedSens3M,MATCH(AG30,BktEur3mSens!$M$6:$M$70,0))</f>
        <v>-1072.0887970804999</v>
      </c>
      <c r="AI30" s="208">
        <f>INDEX(ReMappedPL3M,MATCH(AG30,BktEur3mPL!$M$6:$M$70,0))</f>
        <v>106.2474044707409</v>
      </c>
      <c r="AJ30" s="16"/>
      <c r="AK30" s="25" t="str">
        <v>8M</v>
      </c>
      <c r="AL30" s="26">
        <f t="shared" si="20"/>
        <v>5846.6164206244803</v>
      </c>
      <c r="AM30" s="23">
        <f>(+EurMkt!CF26-'reference set'!BA36)*100</f>
        <v>-0.10000000000000009</v>
      </c>
      <c r="AN30" s="22">
        <f t="shared" si="8"/>
        <v>-584.66164206244855</v>
      </c>
      <c r="AO30" s="207" t="str">
        <v>8M</v>
      </c>
      <c r="AP30" s="302">
        <f>INDEX(ReMappedSens1M,MATCH(AO30,BktEur1mSens!$M$6:$M$70,0))</f>
        <v>5846.6164206244803</v>
      </c>
      <c r="AQ30" s="208">
        <f>INDEX(ReMappedPL1M,MATCH(AO30,BktEur1mPL!$M$6:$M$72,0))</f>
        <v>-584.66164206244855</v>
      </c>
      <c r="AR30" s="16"/>
      <c r="AS30" s="207" t="str">
        <v>10M</v>
      </c>
      <c r="AT30" s="26">
        <f t="shared" si="9"/>
        <v>-23.922991744844602</v>
      </c>
      <c r="AU30" s="23">
        <f>(EurMkt!BF26-'reference set'!AC36)*100</f>
        <v>0.40548440000000019</v>
      </c>
      <c r="AV30" s="22">
        <f t="shared" si="10"/>
        <v>-9.7003999538632701</v>
      </c>
      <c r="AW30" s="207" t="str">
        <v>8M</v>
      </c>
      <c r="AX30" s="302">
        <f>INDEX(ReMappedSens1Y,MATCH(AW30,BktEur1ySens!$M$6:$M$70,0))</f>
        <v>-1427.2146010754227</v>
      </c>
      <c r="AY30" s="208">
        <f>INDEX(ReMappedPL1Y,MATCH(AW30,BktEur1yPL!$M$6:$M$70,0))</f>
        <v>-888.56508680005891</v>
      </c>
      <c r="AZ30" s="33"/>
      <c r="BA30" s="25" t="str">
        <v>8M</v>
      </c>
      <c r="BB30" s="26">
        <f t="shared" si="11"/>
        <v>-1965.8175535005112</v>
      </c>
      <c r="BC30" s="23">
        <f>(EurMkt!BW26-'reference set'!AS36)*100</f>
        <v>-6.649840000000351E-2</v>
      </c>
      <c r="BD30" s="22">
        <f t="shared" si="12"/>
        <v>130.7237219997053</v>
      </c>
      <c r="BE30" s="16"/>
      <c r="BF30" s="401"/>
      <c r="BG30" s="401"/>
      <c r="BH30" s="401"/>
      <c r="BI30" s="401"/>
      <c r="BJ30" s="401"/>
      <c r="BK30" s="401"/>
      <c r="BL30" s="401"/>
      <c r="BM30" s="401"/>
      <c r="BN30" s="401"/>
      <c r="BO30" s="401"/>
      <c r="BP30" s="401"/>
      <c r="BQ30" s="401"/>
      <c r="BR30" s="401"/>
      <c r="BS30" s="401"/>
      <c r="BT30" s="401"/>
      <c r="BU30" s="401"/>
      <c r="BV30" s="401"/>
      <c r="BW30" s="401"/>
      <c r="BX30" s="401"/>
      <c r="BY30" s="401"/>
      <c r="BZ30" s="401"/>
      <c r="CA30" s="401"/>
      <c r="CB30" s="401"/>
      <c r="CC30" s="401"/>
      <c r="CD30" s="401"/>
      <c r="CE30" s="401"/>
      <c r="CF30" s="401"/>
      <c r="CG30" s="401"/>
      <c r="CH30" s="401"/>
      <c r="CI30" s="401"/>
      <c r="CJ30" s="401"/>
      <c r="CK30" s="401"/>
      <c r="CL30" s="401"/>
      <c r="CM30" s="401"/>
      <c r="CN30" s="401"/>
      <c r="CO30" s="401"/>
      <c r="CP30" s="401"/>
    </row>
    <row r="31" spans="1:94" ht="15" customHeight="1">
      <c r="A31" s="207" t="str">
        <v>9M</v>
      </c>
      <c r="B31" s="163" t="str">
        <f t="shared" si="13"/>
        <v>9M</v>
      </c>
      <c r="C31" s="163" t="s">
        <v>508</v>
      </c>
      <c r="D31" s="302">
        <f t="shared" si="14"/>
        <v>5168.6891788712019</v>
      </c>
      <c r="E31" s="210">
        <f t="shared" si="19"/>
        <v>-1139.9374313333972</v>
      </c>
      <c r="F31" s="213">
        <f t="shared" si="15"/>
        <v>0</v>
      </c>
      <c r="G31" s="214">
        <f t="shared" si="16"/>
        <v>0</v>
      </c>
      <c r="H31" s="540">
        <f t="shared" si="17"/>
        <v>42998</v>
      </c>
      <c r="I31" s="541" t="str">
        <f t="shared" si="18"/>
        <v>F</v>
      </c>
      <c r="J31" s="56"/>
      <c r="K31" s="16"/>
      <c r="L31" s="207">
        <v>42998</v>
      </c>
      <c r="M31" s="163" t="str">
        <v>SEP 17</v>
      </c>
      <c r="N31" s="163" t="str">
        <v>F</v>
      </c>
      <c r="O31" s="120">
        <f t="shared" si="0"/>
        <v>0</v>
      </c>
      <c r="P31" s="302">
        <f t="shared" si="1"/>
        <v>-234.570827513344</v>
      </c>
      <c r="Q31" s="23">
        <f>IF(LEN(O31)&gt;0,(EurMkt!$BN27-'reference set'!$AK37)*100,"")</f>
        <v>1.5000000000000568</v>
      </c>
      <c r="R31" s="22">
        <f t="shared" si="2"/>
        <v>-351.85624127002933</v>
      </c>
      <c r="S31" s="16"/>
      <c r="T31" s="207" t="str">
        <v>5M-11M</v>
      </c>
      <c r="U31" s="26">
        <f t="shared" si="3"/>
        <v>3221.1032434711901</v>
      </c>
      <c r="V31" s="23">
        <f>IF(LEN(Q31)&gt;0,(EurMkt!$AL27-'reference set'!$I37)*100,"")</f>
        <v>-0.10000000000000009</v>
      </c>
      <c r="W31" s="22">
        <f t="shared" si="4"/>
        <v>-322.11032434711927</v>
      </c>
      <c r="X31" s="207" t="str">
        <v>9M</v>
      </c>
      <c r="Y31" s="302">
        <f>INDEX(ReMappedSens6M,MATCH(X31,BktEur6mSens!$M$6:$M$70,0))</f>
        <v>6817.6486287466923</v>
      </c>
      <c r="Z31" s="208">
        <f>INDEX(ReMappedPL6M,MATCH(X31,BktEur6mPL!$M$6:$M$70,0))</f>
        <v>-1393.4555434755025</v>
      </c>
      <c r="AA31" s="16"/>
      <c r="AB31" s="207" t="str">
        <v>8M-11M</v>
      </c>
      <c r="AC31" s="120">
        <f t="shared" si="5"/>
        <v>-95.066891329080605</v>
      </c>
      <c r="AD31" s="26">
        <f t="shared" si="6"/>
        <v>245.15347268843561</v>
      </c>
      <c r="AE31" s="23">
        <f>IF(LEN(AB31)&gt;0,(EurMkt!$AW27-'reference set'!$U37)*100,"")</f>
        <v>-0.10000000000000009</v>
      </c>
      <c r="AF31" s="22">
        <f t="shared" si="7"/>
        <v>-24.515347268843584</v>
      </c>
      <c r="AG31" s="207" t="str">
        <v>9M</v>
      </c>
      <c r="AH31" s="256">
        <f>INDEX(ReMappedSens3M,MATCH(AG31,BktEur3mSens!$M$6:$M$70,0))</f>
        <v>1457.6273902095609</v>
      </c>
      <c r="AI31" s="208">
        <f>INDEX(ReMappedPL3M,MATCH(AG31,BktEur3mPL!$M$6:$M$70,0))</f>
        <v>-181.86827973833309</v>
      </c>
      <c r="AJ31" s="16"/>
      <c r="AK31" s="25" t="str">
        <v>9M</v>
      </c>
      <c r="AL31" s="26">
        <f t="shared" si="20"/>
        <v>-3834.4889431023898</v>
      </c>
      <c r="AM31" s="23">
        <f>(+EurMkt!CF27-'reference set'!BA37)*100</f>
        <v>-0.10000000000000009</v>
      </c>
      <c r="AN31" s="22">
        <f t="shared" si="8"/>
        <v>383.44889431023933</v>
      </c>
      <c r="AO31" s="207" t="str">
        <v>9M</v>
      </c>
      <c r="AP31" s="302">
        <f>INDEX(ReMappedSens1M,MATCH(AO31,BktEur1mSens!$M$6:$M$70,0))</f>
        <v>-3834.4889431023898</v>
      </c>
      <c r="AQ31" s="208">
        <f>INDEX(ReMappedPL1M,MATCH(AO31,BktEur1mPL!$M$6:$M$72,0))</f>
        <v>383.44889431023933</v>
      </c>
      <c r="AR31" s="16"/>
      <c r="AS31" s="207" t="str">
        <v>11M</v>
      </c>
      <c r="AT31" s="26">
        <f t="shared" si="9"/>
        <v>-99.753696479255495</v>
      </c>
      <c r="AU31" s="23">
        <f>(EurMkt!BF27-'reference set'!AC37)*100</f>
        <v>0.31871609999999939</v>
      </c>
      <c r="AV31" s="22">
        <f t="shared" si="10"/>
        <v>-31.793109102451982</v>
      </c>
      <c r="AW31" s="207" t="str">
        <v>9M</v>
      </c>
      <c r="AX31" s="302">
        <f>INDEX(ReMappedSens1Y,MATCH(AW31,BktEur1ySens!$M$6:$M$70,0))</f>
        <v>183.99849007912155</v>
      </c>
      <c r="AY31" s="208">
        <f>INDEX(ReMappedPL1Y,MATCH(AW31,BktEur1yPL!$M$6:$M$70,0))</f>
        <v>89.099113630231813</v>
      </c>
      <c r="AZ31" s="33"/>
      <c r="BA31" s="25" t="str">
        <v>9M</v>
      </c>
      <c r="BB31" s="26">
        <f t="shared" si="11"/>
        <v>543.90361293821707</v>
      </c>
      <c r="BC31" s="23">
        <f>(EurMkt!BW27-'reference set'!AS37)*100</f>
        <v>-6.8323900000005766E-2</v>
      </c>
      <c r="BD31" s="22">
        <f t="shared" si="12"/>
        <v>-37.161616060032586</v>
      </c>
      <c r="BE31" s="16"/>
      <c r="BF31" s="401"/>
      <c r="BG31" s="401"/>
      <c r="BH31" s="401"/>
      <c r="BI31" s="401"/>
      <c r="BJ31" s="401"/>
      <c r="BK31" s="401"/>
      <c r="BL31" s="401"/>
      <c r="BM31" s="401"/>
      <c r="BN31" s="401"/>
      <c r="BO31" s="401"/>
      <c r="BP31" s="401"/>
      <c r="BQ31" s="401"/>
      <c r="BR31" s="401"/>
      <c r="BS31" s="401"/>
      <c r="BT31" s="401"/>
      <c r="BU31" s="401"/>
      <c r="BV31" s="401"/>
      <c r="BW31" s="401"/>
      <c r="BX31" s="401"/>
      <c r="BY31" s="401"/>
      <c r="BZ31" s="401"/>
      <c r="CA31" s="401"/>
      <c r="CB31" s="401"/>
      <c r="CC31" s="401"/>
      <c r="CD31" s="401"/>
      <c r="CE31" s="401"/>
      <c r="CF31" s="401"/>
      <c r="CG31" s="401"/>
      <c r="CH31" s="401"/>
      <c r="CI31" s="401"/>
      <c r="CJ31" s="401"/>
      <c r="CK31" s="401"/>
      <c r="CL31" s="401"/>
      <c r="CM31" s="401"/>
      <c r="CN31" s="401"/>
      <c r="CO31" s="401"/>
      <c r="CP31" s="401"/>
    </row>
    <row r="32" spans="1:94" ht="15" customHeight="1">
      <c r="A32" s="207" t="str">
        <v>10M</v>
      </c>
      <c r="B32" s="163" t="str">
        <f t="shared" si="13"/>
        <v>10M</v>
      </c>
      <c r="C32" s="163" t="s">
        <v>508</v>
      </c>
      <c r="D32" s="302">
        <f t="shared" si="14"/>
        <v>11527.207204580687</v>
      </c>
      <c r="E32" s="210">
        <f t="shared" si="19"/>
        <v>-762.84800831098141</v>
      </c>
      <c r="F32" s="213">
        <f t="shared" si="15"/>
        <v>0</v>
      </c>
      <c r="G32" s="214">
        <f t="shared" si="16"/>
        <v>0</v>
      </c>
      <c r="H32" s="540">
        <f t="shared" si="17"/>
        <v>43089</v>
      </c>
      <c r="I32" s="541" t="str">
        <f t="shared" si="18"/>
        <v>F</v>
      </c>
      <c r="J32" s="56"/>
      <c r="K32" s="16"/>
      <c r="L32" s="207">
        <v>43089</v>
      </c>
      <c r="M32" s="163" t="str">
        <v>DEC 17</v>
      </c>
      <c r="N32" s="163" t="str">
        <v>F</v>
      </c>
      <c r="O32" s="120">
        <f t="shared" si="0"/>
        <v>0</v>
      </c>
      <c r="P32" s="302">
        <f t="shared" si="1"/>
        <v>-141.19665784034501</v>
      </c>
      <c r="Q32" s="23">
        <f>IF(LEN(O32)&gt;0,(EurMkt!$BN28-'reference set'!$AK38)*100,"")</f>
        <v>1.4999999999986358</v>
      </c>
      <c r="R32" s="22">
        <f t="shared" si="2"/>
        <v>-211.79498676032489</v>
      </c>
      <c r="S32" s="16"/>
      <c r="T32" s="207" t="str">
        <v>6M-12M</v>
      </c>
      <c r="U32" s="26">
        <f t="shared" si="3"/>
        <v>5366.3859644025697</v>
      </c>
      <c r="V32" s="23">
        <f>IF(LEN(Q32)&gt;0,(EurMkt!$AL28-'reference set'!$I38)*100,"")</f>
        <v>-0.20000000000000018</v>
      </c>
      <c r="W32" s="22">
        <f t="shared" si="4"/>
        <v>-1073.2771928805148</v>
      </c>
      <c r="X32" s="207" t="str">
        <v>10M</v>
      </c>
      <c r="Y32" s="302">
        <f>INDEX(ReMappedSens6M,MATCH(X32,BktEur6mSens!$M$6:$M$70,0))</f>
        <v>1026.0607092713253</v>
      </c>
      <c r="Z32" s="208">
        <f>INDEX(ReMappedPL6M,MATCH(X32,BktEur6mPL!$M$6:$M$70,0))</f>
        <v>-1359.9276888465515</v>
      </c>
      <c r="AA32" s="16"/>
      <c r="AB32" s="207" t="str">
        <v>9M-12M</v>
      </c>
      <c r="AC32" s="120">
        <f t="shared" si="5"/>
        <v>298.260532456281</v>
      </c>
      <c r="AD32" s="26">
        <f t="shared" si="6"/>
        <v>102.07147509911101</v>
      </c>
      <c r="AE32" s="23">
        <f>IF(LEN(AB32)&gt;0,(EurMkt!$AW28-'reference set'!$U38)*100,"")</f>
        <v>0</v>
      </c>
      <c r="AF32" s="22">
        <f t="shared" si="7"/>
        <v>0</v>
      </c>
      <c r="AG32" s="207" t="str">
        <v>10M</v>
      </c>
      <c r="AH32" s="256">
        <f>INDEX(ReMappedSens3M,MATCH(AG32,BktEur3mSens!$M$6:$M$70,0))</f>
        <v>14055.366661078646</v>
      </c>
      <c r="AI32" s="208">
        <f>INDEX(ReMappedPL3M,MATCH(AG32,BktEur3mPL!$M$6:$M$70,0))</f>
        <v>255.99072072124568</v>
      </c>
      <c r="AJ32" s="16"/>
      <c r="AK32" s="25" t="str">
        <v>10M</v>
      </c>
      <c r="AL32" s="26">
        <f t="shared" si="20"/>
        <v>-3470.4979195719102</v>
      </c>
      <c r="AM32" s="23">
        <f>(+EurMkt!CF28-'reference set'!BA38)*100</f>
        <v>-0.10000000000000009</v>
      </c>
      <c r="AN32" s="22">
        <f t="shared" si="8"/>
        <v>347.0497919571913</v>
      </c>
      <c r="AO32" s="207" t="str">
        <v>10M</v>
      </c>
      <c r="AP32" s="302">
        <f>INDEX(ReMappedSens1M,MATCH(AO32,BktEur1mSens!$M$6:$M$70,0))</f>
        <v>-3470.4979195719102</v>
      </c>
      <c r="AQ32" s="208">
        <f>INDEX(ReMappedPL1M,MATCH(AO32,BktEur1mPL!$M$6:$M$72,0))</f>
        <v>347.0497919571913</v>
      </c>
      <c r="AR32" s="16"/>
      <c r="AS32" s="207" t="str">
        <v>12M</v>
      </c>
      <c r="AT32" s="26">
        <f t="shared" si="9"/>
        <v>706.65544355444399</v>
      </c>
      <c r="AU32" s="23">
        <f>(EurMkt!BF28-'reference set'!AC38)*100</f>
        <v>0.12999999999999956</v>
      </c>
      <c r="AV32" s="22">
        <f t="shared" si="10"/>
        <v>91.86520766207741</v>
      </c>
      <c r="AW32" s="207" t="str">
        <v>10M</v>
      </c>
      <c r="AX32" s="302">
        <f>INDEX(ReMappedSens1Y,MATCH(AW32,BktEur1ySens!$M$6:$M$70,0))</f>
        <v>-23.654743720824893</v>
      </c>
      <c r="AY32" s="208">
        <f>INDEX(ReMappedPL1Y,MATCH(AW32,BktEur1yPL!$M$6:$M$70,0))</f>
        <v>-9.8076991634711526</v>
      </c>
      <c r="AZ32" s="33"/>
      <c r="BA32" s="25" t="str">
        <v>10M</v>
      </c>
      <c r="BB32" s="26">
        <f t="shared" si="11"/>
        <v>-60.067502476549635</v>
      </c>
      <c r="BC32" s="23">
        <f>(EurMkt!BW28-'reference set'!AS38)*100</f>
        <v>-6.404240000000283E-2</v>
      </c>
      <c r="BD32" s="22">
        <f t="shared" si="12"/>
        <v>3.8468670206043525</v>
      </c>
      <c r="BE32" s="16"/>
      <c r="BF32" s="401"/>
      <c r="BG32" s="401"/>
      <c r="BH32" s="401"/>
      <c r="BI32" s="401"/>
      <c r="BJ32" s="401"/>
      <c r="BK32" s="401"/>
      <c r="BL32" s="401"/>
      <c r="BM32" s="401"/>
      <c r="BN32" s="401"/>
      <c r="BO32" s="401"/>
      <c r="BP32" s="401"/>
      <c r="BQ32" s="401"/>
      <c r="BR32" s="401"/>
      <c r="BS32" s="401"/>
      <c r="BT32" s="401"/>
      <c r="BU32" s="401"/>
      <c r="BV32" s="401"/>
      <c r="BW32" s="401"/>
      <c r="BX32" s="401"/>
      <c r="BY32" s="401"/>
      <c r="BZ32" s="401"/>
      <c r="CA32" s="401"/>
      <c r="CB32" s="401"/>
      <c r="CC32" s="401"/>
      <c r="CD32" s="401"/>
      <c r="CE32" s="401"/>
      <c r="CF32" s="401"/>
      <c r="CG32" s="401"/>
      <c r="CH32" s="401"/>
      <c r="CI32" s="401"/>
      <c r="CJ32" s="401"/>
      <c r="CK32" s="401"/>
      <c r="CL32" s="401"/>
      <c r="CM32" s="401"/>
      <c r="CN32" s="401"/>
      <c r="CO32" s="401"/>
      <c r="CP32" s="401"/>
    </row>
    <row r="33" spans="1:94" ht="15" customHeight="1">
      <c r="A33" s="207" t="str">
        <v>11M</v>
      </c>
      <c r="B33" s="163" t="str">
        <f t="shared" si="13"/>
        <v>11M</v>
      </c>
      <c r="C33" s="163" t="s">
        <v>508</v>
      </c>
      <c r="D33" s="302">
        <f t="shared" si="14"/>
        <v>4216.7122426214701</v>
      </c>
      <c r="E33" s="210">
        <f t="shared" si="19"/>
        <v>891.42518167459366</v>
      </c>
      <c r="F33" s="213">
        <f t="shared" si="15"/>
        <v>0</v>
      </c>
      <c r="G33" s="214">
        <f t="shared" si="16"/>
        <v>0</v>
      </c>
      <c r="H33" s="540">
        <f t="shared" si="17"/>
        <v>43180</v>
      </c>
      <c r="I33" s="541" t="str">
        <f t="shared" si="18"/>
        <v>F</v>
      </c>
      <c r="J33" s="56"/>
      <c r="K33" s="16"/>
      <c r="L33" s="207">
        <v>43180</v>
      </c>
      <c r="M33" s="163" t="str">
        <v>MAR 18</v>
      </c>
      <c r="N33" s="163" t="str">
        <v>F</v>
      </c>
      <c r="O33" s="120">
        <f t="shared" si="0"/>
        <v>0</v>
      </c>
      <c r="P33" s="302">
        <f t="shared" si="1"/>
        <v>22.7634093991485</v>
      </c>
      <c r="Q33" s="23">
        <f>IF(LEN(O33)&gt;0,(EurMkt!$BN29-'reference set'!$AK39)*100,"")</f>
        <v>2.5000000000005684</v>
      </c>
      <c r="R33" s="22">
        <f t="shared" si="2"/>
        <v>56.90852349788419</v>
      </c>
      <c r="S33" s="16"/>
      <c r="T33" s="207" t="str">
        <v>7M-13M</v>
      </c>
      <c r="U33" s="26">
        <f t="shared" si="3"/>
        <v>-9058.0642924297008</v>
      </c>
      <c r="V33" s="23">
        <f>IF(LEN(Q33)&gt;0,(EurMkt!$AL29-'reference set'!$I39)*100,"")</f>
        <v>-0.10000000000000009</v>
      </c>
      <c r="W33" s="22">
        <f t="shared" si="4"/>
        <v>905.80642924297092</v>
      </c>
      <c r="X33" s="207" t="str">
        <v>11M</v>
      </c>
      <c r="Y33" s="302">
        <f>INDEX(ReMappedSens6M,MATCH(X33,BktEur6mSens!$M$6:$M$70,0))</f>
        <v>-2050.0359117790058</v>
      </c>
      <c r="Z33" s="208">
        <f>INDEX(ReMappedPL6M,MATCH(X33,BktEur6mPL!$M$6:$M$70,0))</f>
        <v>1814.9602235740697</v>
      </c>
      <c r="AA33" s="16"/>
      <c r="AB33" s="207" t="str">
        <v>10M-13M</v>
      </c>
      <c r="AC33" s="120">
        <f t="shared" si="5"/>
        <v>4796.3625470883599</v>
      </c>
      <c r="AD33" s="26">
        <f t="shared" si="6"/>
        <v>-3494.4443155075296</v>
      </c>
      <c r="AE33" s="23">
        <f>IF(LEN(AB33)&gt;0,(EurMkt!$AW29-'reference set'!$U39)*100,"")</f>
        <v>-0.10000000000000009</v>
      </c>
      <c r="AF33" s="22">
        <f t="shared" si="7"/>
        <v>349.44443155075328</v>
      </c>
      <c r="AG33" s="207" t="str">
        <v>11M</v>
      </c>
      <c r="AH33" s="256">
        <f>INDEX(ReMappedSens3M,MATCH(AG33,BktEur3mSens!$M$6:$M$70,0))</f>
        <v>1583.5294672057043</v>
      </c>
      <c r="AI33" s="208">
        <f>INDEX(ReMappedPL3M,MATCH(AG33,BktEur3mPL!$M$6:$M$70,0))</f>
        <v>-236.01237973797714</v>
      </c>
      <c r="AJ33" s="16"/>
      <c r="AK33" s="25" t="str">
        <v>11M</v>
      </c>
      <c r="AL33" s="26">
        <f t="shared" si="20"/>
        <v>4416.2067091142999</v>
      </c>
      <c r="AM33" s="23">
        <f>(+EurMkt!CF29-'reference set'!BA39)*100</f>
        <v>-0.10000000000000009</v>
      </c>
      <c r="AN33" s="22">
        <f t="shared" si="8"/>
        <v>-441.62067091143041</v>
      </c>
      <c r="AO33" s="207" t="str">
        <v>11M</v>
      </c>
      <c r="AP33" s="302">
        <f>INDEX(ReMappedSens1M,MATCH(AO33,BktEur1mSens!$M$6:$M$70,0))</f>
        <v>4416.2067091142999</v>
      </c>
      <c r="AQ33" s="208">
        <f>INDEX(ReMappedPL1M,MATCH(AO33,BktEur1mPL!$M$6:$M$72,0))</f>
        <v>-441.62067091143041</v>
      </c>
      <c r="AR33" s="16"/>
      <c r="AS33" s="207" t="str">
        <v>1M-13M</v>
      </c>
      <c r="AT33" s="26">
        <f t="shared" si="9"/>
        <v>-26.873339644096401</v>
      </c>
      <c r="AU33" s="23">
        <f>(EurMkt!BF29-'reference set'!AC39)*100</f>
        <v>-0.10000000000000009</v>
      </c>
      <c r="AV33" s="22">
        <f t="shared" si="10"/>
        <v>2.6873339644096426</v>
      </c>
      <c r="AW33" s="207" t="str">
        <v>11M</v>
      </c>
      <c r="AX33" s="302">
        <f>INDEX(ReMappedSens1Y,MATCH(AW33,BktEur1ySens!$M$6:$M$70,0))</f>
        <v>337.06473956503658</v>
      </c>
      <c r="AY33" s="208">
        <f>INDEX(ReMappedPL1Y,MATCH(AW33,BktEur1yPL!$M$6:$M$70,0))</f>
        <v>-250.2023271245979</v>
      </c>
      <c r="AZ33" s="33"/>
      <c r="BA33" s="25" t="str">
        <v>11M</v>
      </c>
      <c r="BB33" s="26">
        <f t="shared" si="11"/>
        <v>-70.052761484564996</v>
      </c>
      <c r="BC33" s="23">
        <f>(EurMkt!BW29-'reference set'!AS39)*100</f>
        <v>-6.1387100000004358E-2</v>
      </c>
      <c r="BD33" s="22">
        <f t="shared" si="12"/>
        <v>4.3003358745294449</v>
      </c>
      <c r="BE33" s="16"/>
      <c r="BF33" s="401"/>
      <c r="BG33" s="401"/>
      <c r="BH33" s="401"/>
      <c r="BI33" s="401"/>
      <c r="BJ33" s="401"/>
      <c r="BK33" s="401"/>
      <c r="BL33" s="401"/>
      <c r="BM33" s="401"/>
      <c r="BN33" s="401"/>
      <c r="BO33" s="401"/>
      <c r="BP33" s="401"/>
      <c r="BQ33" s="401"/>
      <c r="BR33" s="401"/>
      <c r="BS33" s="401"/>
      <c r="BT33" s="401"/>
      <c r="BU33" s="401"/>
      <c r="BV33" s="401"/>
      <c r="BW33" s="401"/>
      <c r="BX33" s="401"/>
      <c r="BY33" s="401"/>
      <c r="BZ33" s="401"/>
      <c r="CA33" s="401"/>
      <c r="CB33" s="401"/>
      <c r="CC33" s="401"/>
      <c r="CD33" s="401"/>
      <c r="CE33" s="401"/>
      <c r="CF33" s="401"/>
      <c r="CG33" s="401"/>
      <c r="CH33" s="401"/>
      <c r="CI33" s="401"/>
      <c r="CJ33" s="401"/>
      <c r="CK33" s="401"/>
      <c r="CL33" s="401"/>
      <c r="CM33" s="401"/>
      <c r="CN33" s="401"/>
      <c r="CO33" s="401"/>
      <c r="CP33" s="401"/>
    </row>
    <row r="34" spans="1:94" ht="15" customHeight="1">
      <c r="A34" s="207" t="str">
        <v>1Y</v>
      </c>
      <c r="B34" s="163" t="str">
        <f t="shared" si="13"/>
        <v>1Y</v>
      </c>
      <c r="C34" s="163" t="s">
        <v>508</v>
      </c>
      <c r="D34" s="544">
        <f>Y34+AP34+AX34+AH34+BB34+SUM(P17:P36)</f>
        <v>-5177.0464539685945</v>
      </c>
      <c r="E34" s="210">
        <f t="shared" si="19"/>
        <v>2294.1256275479122</v>
      </c>
      <c r="F34" s="213">
        <f t="shared" si="15"/>
        <v>0</v>
      </c>
      <c r="G34" s="214">
        <f t="shared" si="16"/>
        <v>0</v>
      </c>
      <c r="H34" s="540">
        <f t="shared" si="17"/>
        <v>43271</v>
      </c>
      <c r="I34" s="541" t="str">
        <f t="shared" si="18"/>
        <v>F</v>
      </c>
      <c r="J34" s="56"/>
      <c r="K34" s="16"/>
      <c r="L34" s="207">
        <v>43271</v>
      </c>
      <c r="M34" s="163" t="str">
        <v>JUN 18</v>
      </c>
      <c r="N34" s="163" t="str">
        <v>F</v>
      </c>
      <c r="O34" s="120">
        <f t="shared" si="0"/>
        <v>0</v>
      </c>
      <c r="P34" s="302">
        <f t="shared" si="1"/>
        <v>9.8766936858627403</v>
      </c>
      <c r="Q34" s="23">
        <f>IF(LEN(O34)&gt;0,(EurMkt!$BN30-'reference set'!$AK40)*100,"")</f>
        <v>3.0000000000001137</v>
      </c>
      <c r="R34" s="22">
        <f t="shared" si="2"/>
        <v>29.630081057589344</v>
      </c>
      <c r="S34" s="16"/>
      <c r="T34" s="207" t="str">
        <v>8M-14M</v>
      </c>
      <c r="U34" s="26">
        <f t="shared" si="3"/>
        <v>-919.65656751260099</v>
      </c>
      <c r="V34" s="23">
        <f>IF(LEN(Q34)&gt;0,(EurMkt!$AL30-'reference set'!$I40)*100,"")</f>
        <v>-0.20000000000000018</v>
      </c>
      <c r="W34" s="22">
        <f t="shared" si="4"/>
        <v>183.93131350252037</v>
      </c>
      <c r="X34" s="207" t="str">
        <v>1Y</v>
      </c>
      <c r="Y34" s="302">
        <f>INDEX(ReMappedSens6M,MATCH(X34,BktEur6mSens!$M$6:$M$70,0))</f>
        <v>1435.3203779988235</v>
      </c>
      <c r="Z34" s="208">
        <f>INDEX(ReMappedPL6M,MATCH(X34,BktEur6mPL!$M$6:$M$70,0))</f>
        <v>-287.06407559976446</v>
      </c>
      <c r="AA34" s="16"/>
      <c r="AB34" s="207" t="str">
        <v>11M-14M</v>
      </c>
      <c r="AC34" s="120">
        <f t="shared" si="5"/>
        <v>-80.795608480259901</v>
      </c>
      <c r="AD34" s="26">
        <f t="shared" si="6"/>
        <v>-194.19504177017609</v>
      </c>
      <c r="AE34" s="23">
        <f>IF(LEN(AB34)&gt;0,(EurMkt!$AW30-'reference set'!$U40)*100,"")</f>
        <v>-0.20000000000000018</v>
      </c>
      <c r="AF34" s="22">
        <f t="shared" si="7"/>
        <v>38.839008354035251</v>
      </c>
      <c r="AG34" s="207" t="str">
        <v>1Y</v>
      </c>
      <c r="AH34" s="256">
        <f>INDEX(ReMappedSens3M,MATCH(AG34,BktEur3mSens!$M$6:$M$70,0))</f>
        <v>-5535.8925690621954</v>
      </c>
      <c r="AI34" s="208">
        <f>INDEX(ReMappedPL3M,MATCH(AG34,BktEur3mPL!$M$6:$M$70,0))</f>
        <v>2138.5446011730146</v>
      </c>
      <c r="AJ34" s="16"/>
      <c r="AK34" s="25" t="str">
        <v>12M</v>
      </c>
      <c r="AL34" s="26">
        <f t="shared" si="20"/>
        <v>-3238.7967676090502</v>
      </c>
      <c r="AM34" s="23">
        <f>(+EurMkt!CF30-'reference set'!BA40)*100</f>
        <v>-0.10000000000000009</v>
      </c>
      <c r="AN34" s="22">
        <f t="shared" si="8"/>
        <v>323.87967676090528</v>
      </c>
      <c r="AO34" s="207" t="str">
        <v>1Y</v>
      </c>
      <c r="AP34" s="302">
        <f>INDEX(ReMappedSens1M,MATCH(AO34,BktEur1mSens!$M$6:$M$70,0))</f>
        <v>-3238.7967676090502</v>
      </c>
      <c r="AQ34" s="208">
        <f>INDEX(ReMappedPL1M,MATCH(AO34,BktEur1mPL!$M$6:$M$72,0))</f>
        <v>323.87967676090528</v>
      </c>
      <c r="AR34" s="16"/>
      <c r="AS34" s="207" t="str">
        <v>2M-14M</v>
      </c>
      <c r="AT34" s="26">
        <f t="shared" si="9"/>
        <v>288.71057710561001</v>
      </c>
      <c r="AU34" s="23">
        <f>(EurMkt!BF30-'reference set'!AC40)*100</f>
        <v>-0.20000000000000018</v>
      </c>
      <c r="AV34" s="22">
        <f t="shared" si="10"/>
        <v>-57.742115421122051</v>
      </c>
      <c r="AW34" s="207" t="str">
        <v>1Y</v>
      </c>
      <c r="AX34" s="302">
        <f>INDEX(ReMappedSens1Y,MATCH(AW34,BktEur1ySens!$M$6:$M$70,0))</f>
        <v>80.170151087360068</v>
      </c>
      <c r="AY34" s="208">
        <f>INDEX(ReMappedPL1Y,MATCH(AW34,BktEur1yPL!$M$6:$M$70,0))</f>
        <v>405.10785389561926</v>
      </c>
      <c r="AZ34" s="33"/>
      <c r="BA34" s="25" t="str">
        <v>1Y</v>
      </c>
      <c r="BB34" s="26">
        <f t="shared" si="11"/>
        <v>3325.0665516500721</v>
      </c>
      <c r="BC34" s="23">
        <f>(EurMkt!BW30-'reference set'!AS40)*100</f>
        <v>-8.6116299999999812E-2</v>
      </c>
      <c r="BD34" s="22">
        <f t="shared" si="12"/>
        <v>-286.34242868186249</v>
      </c>
      <c r="BE34" s="16"/>
      <c r="BF34" s="401"/>
      <c r="BG34" s="401"/>
      <c r="BH34" s="401"/>
      <c r="BI34" s="401"/>
      <c r="BJ34" s="401"/>
      <c r="BK34" s="401"/>
      <c r="BL34" s="401"/>
      <c r="BM34" s="401"/>
      <c r="BN34" s="401"/>
      <c r="BO34" s="401"/>
      <c r="BP34" s="401"/>
      <c r="BQ34" s="401"/>
      <c r="BR34" s="401"/>
      <c r="BS34" s="401"/>
      <c r="BT34" s="401"/>
      <c r="BU34" s="401"/>
      <c r="BV34" s="401"/>
      <c r="BW34" s="401"/>
      <c r="BX34" s="401"/>
      <c r="BY34" s="401"/>
      <c r="BZ34" s="401"/>
      <c r="CA34" s="401"/>
      <c r="CB34" s="401"/>
      <c r="CC34" s="401"/>
      <c r="CD34" s="401"/>
      <c r="CE34" s="401"/>
      <c r="CF34" s="401"/>
      <c r="CG34" s="401"/>
      <c r="CH34" s="401"/>
      <c r="CI34" s="401"/>
      <c r="CJ34" s="401"/>
      <c r="CK34" s="401"/>
      <c r="CL34" s="401"/>
      <c r="CM34" s="401"/>
      <c r="CN34" s="401"/>
      <c r="CO34" s="401"/>
      <c r="CP34" s="401"/>
    </row>
    <row r="35" spans="1:94" ht="15" customHeight="1">
      <c r="A35" s="207" t="str">
        <v>13M</v>
      </c>
      <c r="B35" s="163" t="str">
        <f t="shared" si="13"/>
        <v>13M</v>
      </c>
      <c r="C35" s="163" t="s">
        <v>508</v>
      </c>
      <c r="D35" s="302">
        <f t="shared" si="14"/>
        <v>-14392.40774756141</v>
      </c>
      <c r="E35" s="210">
        <f t="shared" si="19"/>
        <v>266.68647343193015</v>
      </c>
      <c r="F35" s="213">
        <f t="shared" si="15"/>
        <v>-2500.0000000048317</v>
      </c>
      <c r="G35" s="214">
        <f t="shared" si="16"/>
        <v>0</v>
      </c>
      <c r="H35" s="540">
        <f t="shared" si="17"/>
        <v>43362</v>
      </c>
      <c r="I35" s="541" t="str">
        <f t="shared" si="18"/>
        <v>F</v>
      </c>
      <c r="J35" s="56"/>
      <c r="K35" s="16"/>
      <c r="L35" s="207">
        <v>43362</v>
      </c>
      <c r="M35" s="163" t="str">
        <v>SEP 18</v>
      </c>
      <c r="N35" s="163" t="str">
        <v>F</v>
      </c>
      <c r="O35" s="120">
        <f t="shared" si="0"/>
        <v>0</v>
      </c>
      <c r="P35" s="302">
        <f t="shared" si="1"/>
        <v>1.2151141194713599</v>
      </c>
      <c r="Q35" s="23">
        <f>IF(LEN(O35)&gt;0,(EurMkt!$BN31-'reference set'!$AK41)*100,"")</f>
        <v>3.4999999999996589</v>
      </c>
      <c r="R35" s="22">
        <f t="shared" si="2"/>
        <v>4.2528994181493456</v>
      </c>
      <c r="S35" s="16"/>
      <c r="T35" s="207" t="str">
        <v>9M-15M</v>
      </c>
      <c r="U35" s="26">
        <f t="shared" si="3"/>
        <v>-2363.7380005515001</v>
      </c>
      <c r="V35" s="23">
        <f>IF(LEN(Q35)&gt;0,(EurMkt!$AL31-'reference set'!$I41)*100,"")</f>
        <v>-0.30000000000000027</v>
      </c>
      <c r="W35" s="22">
        <f t="shared" si="4"/>
        <v>709.12140016545072</v>
      </c>
      <c r="X35" s="207" t="str">
        <v>13M</v>
      </c>
      <c r="Y35" s="302">
        <f>INDEX(ReMappedSens6M,MATCH(X35,BktEur6mSens!$M$6:$M$70,0))</f>
        <v>-11515.239777002642</v>
      </c>
      <c r="Z35" s="208">
        <f>INDEX(ReMappedPL6M,MATCH(X35,BktEur6mPL!$M$6:$M$70,0))</f>
        <v>328.09295393634852</v>
      </c>
      <c r="AA35" s="16"/>
      <c r="AB35" s="207" t="str">
        <v>12M-15M</v>
      </c>
      <c r="AC35" s="120">
        <f t="shared" si="5"/>
        <v>1.5818729084757299</v>
      </c>
      <c r="AD35" s="26">
        <f t="shared" si="6"/>
        <v>1777.2909061239143</v>
      </c>
      <c r="AE35" s="23">
        <f>IF(LEN(AB35)&gt;0,(EurMkt!$AW31-'reference set'!$U41)*100,"")</f>
        <v>-0.30000000000000027</v>
      </c>
      <c r="AF35" s="22">
        <f t="shared" si="7"/>
        <v>-533.18727183717476</v>
      </c>
      <c r="AG35" s="207" t="str">
        <v>13M</v>
      </c>
      <c r="AH35" s="256">
        <f>INDEX(ReMappedSens3M,MATCH(AG35,BktEur3mSens!$M$6:$M$70,0))</f>
        <v>5613.9758870272717</v>
      </c>
      <c r="AI35" s="208">
        <f>INDEX(ReMappedPL3M,MATCH(AG35,BktEur3mPL!$M$6:$M$70,0))</f>
        <v>1532.1794306456097</v>
      </c>
      <c r="AJ35" s="16"/>
      <c r="AK35" s="25" t="str">
        <v>15M</v>
      </c>
      <c r="AL35" s="26">
        <f t="shared" si="20"/>
        <v>-2069.7986788017201</v>
      </c>
      <c r="AM35" s="23">
        <f>(+EurMkt!CF31-'reference set'!BA41)*100</f>
        <v>-6.4271300000001697E-2</v>
      </c>
      <c r="AN35" s="22">
        <f t="shared" si="8"/>
        <v>133.0286518248725</v>
      </c>
      <c r="AO35" s="207" t="str">
        <v>13M</v>
      </c>
      <c r="AP35" s="302">
        <f>INDEX(ReMappedSens1M,MATCH(AO35,BktEur1mSens!$M$6:$M$70,0))</f>
        <v>0</v>
      </c>
      <c r="AQ35" s="208">
        <f>INDEX(ReMappedPL1M,MATCH(AO35,BktEur1mPL!$M$6:$M$72,0))</f>
        <v>0</v>
      </c>
      <c r="AR35" s="16"/>
      <c r="AS35" s="207" t="str">
        <v>3M-15M</v>
      </c>
      <c r="AT35" s="26">
        <f t="shared" si="9"/>
        <v>-72.771354750271996</v>
      </c>
      <c r="AU35" s="23">
        <f>(EurMkt!BF31-'reference set'!AC41)*100</f>
        <v>-0.20000000000000018</v>
      </c>
      <c r="AV35" s="22">
        <f t="shared" si="10"/>
        <v>14.554270950054413</v>
      </c>
      <c r="AW35" s="207" t="str">
        <v>13M</v>
      </c>
      <c r="AX35" s="302">
        <f>INDEX(ReMappedSens1Y,MATCH(AW35,BktEur1ySens!$M$6:$M$70,0))</f>
        <v>-29.376609638340998</v>
      </c>
      <c r="AY35" s="208">
        <f>INDEX(ReMappedPL1Y,MATCH(AW35,BktEur1yPL!$M$6:$M$70,0))</f>
        <v>2.9376609638341025</v>
      </c>
      <c r="AZ35" s="33"/>
      <c r="BA35" s="25" t="str">
        <v>13M</v>
      </c>
      <c r="BB35" s="26">
        <f t="shared" si="11"/>
        <v>-8461.7672479477005</v>
      </c>
      <c r="BC35" s="23">
        <f>(EurMkt!BW31-'reference set'!AS41)*100</f>
        <v>-0.10677159999999963</v>
      </c>
      <c r="BD35" s="22">
        <f t="shared" si="12"/>
        <v>903.4764278909696</v>
      </c>
      <c r="BE35" s="16"/>
      <c r="BF35" s="401"/>
      <c r="BG35" s="401"/>
      <c r="BH35" s="401"/>
      <c r="BI35" s="401"/>
      <c r="BJ35" s="401"/>
      <c r="BK35" s="401"/>
      <c r="BL35" s="401"/>
      <c r="BM35" s="401"/>
      <c r="BN35" s="401"/>
      <c r="BO35" s="401"/>
      <c r="BP35" s="401"/>
      <c r="BQ35" s="401"/>
      <c r="BR35" s="401"/>
      <c r="BS35" s="401"/>
      <c r="BT35" s="401"/>
      <c r="BU35" s="401"/>
      <c r="BV35" s="401"/>
      <c r="BW35" s="401"/>
      <c r="BX35" s="401"/>
      <c r="BY35" s="401"/>
      <c r="BZ35" s="401"/>
      <c r="CA35" s="401"/>
      <c r="CB35" s="401"/>
      <c r="CC35" s="401"/>
      <c r="CD35" s="401"/>
      <c r="CE35" s="401"/>
      <c r="CF35" s="401"/>
      <c r="CG35" s="401"/>
      <c r="CH35" s="401"/>
      <c r="CI35" s="401"/>
      <c r="CJ35" s="401"/>
      <c r="CK35" s="401"/>
      <c r="CL35" s="401"/>
      <c r="CM35" s="401"/>
      <c r="CN35" s="401"/>
      <c r="CO35" s="401"/>
      <c r="CP35" s="401"/>
    </row>
    <row r="36" spans="1:94" ht="15" customHeight="1">
      <c r="A36" s="207" t="str">
        <v>14M</v>
      </c>
      <c r="B36" s="163" t="str">
        <f t="shared" si="13"/>
        <v>14M</v>
      </c>
      <c r="C36" s="163" t="s">
        <v>508</v>
      </c>
      <c r="D36" s="302">
        <f t="shared" si="14"/>
        <v>10074.922334203235</v>
      </c>
      <c r="E36" s="210">
        <f t="shared" si="19"/>
        <v>-973.89261777104502</v>
      </c>
      <c r="F36" s="213">
        <f t="shared" si="15"/>
        <v>0</v>
      </c>
      <c r="G36" s="214">
        <f t="shared" si="16"/>
        <v>0</v>
      </c>
      <c r="H36" s="540" t="str">
        <f t="shared" si="17"/>
        <v>3Y</v>
      </c>
      <c r="I36" s="541" t="str">
        <f t="shared" si="18"/>
        <v>W</v>
      </c>
      <c r="J36" s="56"/>
      <c r="K36" s="16"/>
      <c r="L36" s="207" t="str">
        <v>3Y</v>
      </c>
      <c r="M36" s="163" t="str">
        <v>3Y</v>
      </c>
      <c r="N36" s="163" t="str">
        <v>W</v>
      </c>
      <c r="O36" s="120">
        <f t="shared" si="0"/>
        <v>45.686086077171502</v>
      </c>
      <c r="P36" s="302">
        <f t="shared" si="1"/>
        <v>-3.7588462203419013</v>
      </c>
      <c r="Q36" s="23">
        <f>IF(LEN(O36)&gt;0,(EurMkt!$BN32-'reference set'!$AK42)*100,"")</f>
        <v>-10021.25</v>
      </c>
      <c r="R36" s="22">
        <f t="shared" si="2"/>
        <v>37668.337685601276</v>
      </c>
      <c r="S36" s="16"/>
      <c r="T36" s="207" t="str">
        <v>10M-16M</v>
      </c>
      <c r="U36" s="26">
        <f t="shared" si="3"/>
        <v>-6785.8283768053097</v>
      </c>
      <c r="V36" s="23">
        <f>IF(LEN(Q36)&gt;0,(EurMkt!$AL32-'reference set'!$I42)*100,"")</f>
        <v>-0.30000000000000027</v>
      </c>
      <c r="W36" s="22">
        <f t="shared" si="4"/>
        <v>2035.7485130415948</v>
      </c>
      <c r="X36" s="207" t="str">
        <v>14M</v>
      </c>
      <c r="Y36" s="302">
        <f>INDEX(ReMappedSens6M,MATCH(X36,BktEur6mSens!$M$6:$M$70,0))</f>
        <v>-705.59290573388421</v>
      </c>
      <c r="Z36" s="208">
        <f>INDEX(ReMappedPL6M,MATCH(X36,BktEur6mPL!$M$6:$M$70,0))</f>
        <v>141.11858114677699</v>
      </c>
      <c r="AA36" s="16"/>
      <c r="AB36" s="207" t="str">
        <v>DEC 17</v>
      </c>
      <c r="AC36" s="120">
        <f t="shared" si="5"/>
        <v>2499.9436457264101</v>
      </c>
      <c r="AD36" s="26">
        <f t="shared" si="6"/>
        <v>-2477.0060768331141</v>
      </c>
      <c r="AE36" s="23">
        <f>IF(LEN(AB36)&gt;0,(EurMkt!$AW32-'reference set'!$U42)*100,"")</f>
        <v>0</v>
      </c>
      <c r="AF36" s="22">
        <f t="shared" si="7"/>
        <v>0</v>
      </c>
      <c r="AG36" s="207" t="str">
        <v>14M</v>
      </c>
      <c r="AH36" s="256">
        <f>INDEX(ReMappedSens3M,MATCH(AG36,BktEur3mSens!$M$6:$M$70,0))</f>
        <v>-1299.4063693152464</v>
      </c>
      <c r="AI36" s="208">
        <f>INDEX(ReMappedPL3M,MATCH(AG36,BktEur3mPL!$M$6:$M$70,0))</f>
        <v>183.5249845300566</v>
      </c>
      <c r="AJ36" s="16"/>
      <c r="AK36" s="25" t="str">
        <v>18M</v>
      </c>
      <c r="AL36" s="26">
        <f t="shared" si="20"/>
        <v>-9868.2128932927099</v>
      </c>
      <c r="AM36" s="23">
        <f>(+EurMkt!CF32-'reference set'!BA42)*100</f>
        <v>-2.8788000000001812E-2</v>
      </c>
      <c r="AN36" s="22">
        <f t="shared" si="8"/>
        <v>284.08611277212839</v>
      </c>
      <c r="AO36" s="207" t="str">
        <v>14M</v>
      </c>
      <c r="AP36" s="302">
        <f>INDEX(ReMappedSens1M,MATCH(AO36,BktEur1mSens!$M$6:$M$70,0))</f>
        <v>0</v>
      </c>
      <c r="AQ36" s="208">
        <f>INDEX(ReMappedPL1M,MATCH(AO36,BktEur1mPL!$M$6:$M$72,0))</f>
        <v>0</v>
      </c>
      <c r="AR36" s="16"/>
      <c r="AS36" s="207" t="str">
        <v>4M-16M</v>
      </c>
      <c r="AT36" s="26">
        <f t="shared" si="9"/>
        <v>-110.587378104802</v>
      </c>
      <c r="AU36" s="23">
        <f>(EurMkt!BF32-'reference set'!AC42)*100</f>
        <v>-0.30000000000000027</v>
      </c>
      <c r="AV36" s="22">
        <f t="shared" si="10"/>
        <v>33.17621343144063</v>
      </c>
      <c r="AW36" s="207" t="str">
        <v>14M</v>
      </c>
      <c r="AX36" s="302">
        <f>INDEX(ReMappedSens1Y,MATCH(AW36,BktEur1ySens!$M$6:$M$70,0))</f>
        <v>341.05919822915467</v>
      </c>
      <c r="AY36" s="208">
        <f>INDEX(ReMappedPL1Y,MATCH(AW36,BktEur1yPL!$M$6:$M$70,0))</f>
        <v>-68.211839645830992</v>
      </c>
      <c r="AZ36" s="33"/>
      <c r="BA36" s="25" t="str">
        <v>14M</v>
      </c>
      <c r="BB36" s="26">
        <f t="shared" si="11"/>
        <v>11738.86241102321</v>
      </c>
      <c r="BC36" s="23">
        <f>(EurMkt!BW32-'reference set'!AS42)*100</f>
        <v>-0.10480780000000078</v>
      </c>
      <c r="BD36" s="22">
        <f t="shared" si="12"/>
        <v>-1230.3243438020477</v>
      </c>
      <c r="BE36" s="16"/>
      <c r="BF36" s="401"/>
      <c r="BG36" s="401"/>
      <c r="BH36" s="401"/>
      <c r="BI36" s="401"/>
      <c r="BJ36" s="401"/>
      <c r="BK36" s="401"/>
      <c r="BL36" s="401"/>
      <c r="BM36" s="401"/>
      <c r="BN36" s="401"/>
      <c r="BO36" s="401"/>
      <c r="BP36" s="401"/>
      <c r="BQ36" s="401"/>
      <c r="BR36" s="401"/>
      <c r="BS36" s="401"/>
      <c r="BT36" s="401"/>
      <c r="BU36" s="401"/>
      <c r="BV36" s="401"/>
      <c r="BW36" s="401"/>
      <c r="BX36" s="401"/>
      <c r="BY36" s="401"/>
      <c r="BZ36" s="401"/>
      <c r="CA36" s="401"/>
      <c r="CB36" s="401"/>
      <c r="CC36" s="401"/>
      <c r="CD36" s="401"/>
      <c r="CE36" s="401"/>
      <c r="CF36" s="401"/>
      <c r="CG36" s="401"/>
      <c r="CH36" s="401"/>
      <c r="CI36" s="401"/>
      <c r="CJ36" s="401"/>
      <c r="CK36" s="401"/>
      <c r="CL36" s="401"/>
      <c r="CM36" s="401"/>
      <c r="CN36" s="401"/>
      <c r="CO36" s="401"/>
      <c r="CP36" s="401"/>
    </row>
    <row r="37" spans="1:94" ht="15" customHeight="1">
      <c r="A37" s="207" t="str">
        <v>15M</v>
      </c>
      <c r="B37" s="163" t="str">
        <f t="shared" si="13"/>
        <v>15M</v>
      </c>
      <c r="C37" s="163" t="s">
        <v>508</v>
      </c>
      <c r="D37" s="302">
        <f t="shared" si="14"/>
        <v>13300.861383894797</v>
      </c>
      <c r="E37" s="210">
        <f t="shared" si="19"/>
        <v>-1793.9067905797608</v>
      </c>
      <c r="F37" s="213">
        <f t="shared" si="15"/>
        <v>0</v>
      </c>
      <c r="G37" s="214">
        <f t="shared" si="16"/>
        <v>0</v>
      </c>
      <c r="H37" s="540" t="str">
        <f t="shared" si="17"/>
        <v>4Y</v>
      </c>
      <c r="I37" s="541" t="str">
        <f t="shared" si="18"/>
        <v>W</v>
      </c>
      <c r="J37" s="56"/>
      <c r="K37" s="16"/>
      <c r="L37" s="207" t="str">
        <v>4Y</v>
      </c>
      <c r="M37" s="163" t="str">
        <v>4Y</v>
      </c>
      <c r="N37" s="163" t="str">
        <v>W</v>
      </c>
      <c r="O37" s="120">
        <f t="shared" si="0"/>
        <v>955.88293828216604</v>
      </c>
      <c r="P37" s="302">
        <f t="shared" si="1"/>
        <v>-5.0022208597511053E-12</v>
      </c>
      <c r="Q37" s="23">
        <f>IF(LEN(O37)&gt;0,(EurMkt!$BN33-'reference set'!$AK43)*100,"")</f>
        <v>9.3000000000000007</v>
      </c>
      <c r="R37" s="22">
        <f t="shared" si="2"/>
        <v>-4.6520653995685285E-11</v>
      </c>
      <c r="S37" s="16"/>
      <c r="T37" s="207" t="str">
        <v>11M-17M</v>
      </c>
      <c r="U37" s="26">
        <f t="shared" si="3"/>
        <v>4321.7124940428102</v>
      </c>
      <c r="V37" s="23">
        <f>IF(LEN(Q37)&gt;0,(EurMkt!$AL33-'reference set'!$I43)*100,"")</f>
        <v>-0.30000000000000027</v>
      </c>
      <c r="W37" s="22">
        <f t="shared" si="4"/>
        <v>-1296.5137482128441</v>
      </c>
      <c r="X37" s="207" t="str">
        <v>15M</v>
      </c>
      <c r="Y37" s="302">
        <f>INDEX(ReMappedSens6M,MATCH(X37,BktEur6mSens!$M$6:$M$70,0))</f>
        <v>-3452.1194427345145</v>
      </c>
      <c r="Z37" s="208">
        <f>INDEX(ReMappedPL6M,MATCH(X37,BktEur6mPL!$M$6:$M$70,0))</f>
        <v>1776.6574210666997</v>
      </c>
      <c r="AA37" s="16"/>
      <c r="AB37" s="207" t="str">
        <v>MAR 18</v>
      </c>
      <c r="AC37" s="120">
        <f t="shared" si="5"/>
        <v>-2.98008586696596E-8</v>
      </c>
      <c r="AD37" s="26">
        <f t="shared" si="6"/>
        <v>2693.7497959968109</v>
      </c>
      <c r="AE37" s="23">
        <f>IF(LEN(AB37)&gt;0,(EurMkt!$AW33-'reference set'!$U43)*100,"")</f>
        <v>0</v>
      </c>
      <c r="AF37" s="22">
        <f t="shared" si="7"/>
        <v>0</v>
      </c>
      <c r="AG37" s="207" t="str">
        <v>15M</v>
      </c>
      <c r="AH37" s="256">
        <f>INDEX(ReMappedSens3M,MATCH(AG37,BktEur3mSens!$M$6:$M$70,0))</f>
        <v>8412.2583829021369</v>
      </c>
      <c r="AI37" s="208">
        <f>INDEX(ReMappedPL3M,MATCH(AG37,BktEur3mPL!$M$6:$M$70,0))</f>
        <v>-2671.7318730101892</v>
      </c>
      <c r="AJ37" s="16"/>
      <c r="AK37" s="25" t="str">
        <v>21M</v>
      </c>
      <c r="AL37" s="26">
        <f t="shared" si="20"/>
        <v>10448.226999991301</v>
      </c>
      <c r="AM37" s="23">
        <f>(+EurMkt!CF33-'reference set'!BA43)*100</f>
        <v>-2.6325900000001567E-2</v>
      </c>
      <c r="AN37" s="22">
        <f t="shared" si="8"/>
        <v>-275.05897917908737</v>
      </c>
      <c r="AO37" s="207" t="str">
        <v>15M</v>
      </c>
      <c r="AP37" s="302">
        <f>INDEX(ReMappedSens1M,MATCH(AO37,BktEur1mSens!$M$6:$M$70,0))</f>
        <v>-2069.7986788017201</v>
      </c>
      <c r="AQ37" s="208">
        <f>INDEX(ReMappedPL1M,MATCH(AO37,BktEur1mPL!$M$6:$M$72,0))</f>
        <v>133.0286518248725</v>
      </c>
      <c r="AR37" s="16"/>
      <c r="AS37" s="207" t="str">
        <v>5M-17M</v>
      </c>
      <c r="AT37" s="26">
        <f t="shared" si="9"/>
        <v>0</v>
      </c>
      <c r="AU37" s="23">
        <f>(EurMkt!BF33-'reference set'!AC43)*100</f>
        <v>-0.30000000000000027</v>
      </c>
      <c r="AV37" s="22">
        <f t="shared" si="10"/>
        <v>0</v>
      </c>
      <c r="AW37" s="207" t="str">
        <v>15M</v>
      </c>
      <c r="AX37" s="302">
        <f>INDEX(ReMappedSens1Y,MATCH(AW37,BktEur1ySens!$M$6:$M$70,0))</f>
        <v>-91.911217917466828</v>
      </c>
      <c r="AY37" s="208">
        <f>INDEX(ReMappedPL1Y,MATCH(AW37,BktEur1yPL!$M$6:$M$70,0))</f>
        <v>18.382243583493381</v>
      </c>
      <c r="AZ37" s="33"/>
      <c r="BA37" s="25" t="str">
        <v>15M</v>
      </c>
      <c r="BB37" s="26">
        <f t="shared" si="11"/>
        <v>10502.432340446361</v>
      </c>
      <c r="BC37" s="23">
        <f>(EurMkt!BW33-'reference set'!AS43)*100</f>
        <v>-0.10000000000000009</v>
      </c>
      <c r="BD37" s="22">
        <f t="shared" si="12"/>
        <v>-1050.2432340446371</v>
      </c>
      <c r="BE37" s="16"/>
      <c r="BF37" s="401"/>
      <c r="BG37" s="401"/>
      <c r="BH37" s="401"/>
      <c r="BI37" s="401"/>
      <c r="BJ37" s="401"/>
      <c r="BK37" s="401"/>
      <c r="BL37" s="401"/>
      <c r="BM37" s="401"/>
      <c r="BN37" s="401"/>
      <c r="BO37" s="401"/>
      <c r="BP37" s="401"/>
      <c r="BQ37" s="401"/>
      <c r="BR37" s="401"/>
      <c r="BS37" s="401"/>
      <c r="BT37" s="401"/>
      <c r="BU37" s="401"/>
      <c r="BV37" s="401"/>
      <c r="BW37" s="401"/>
      <c r="BX37" s="401"/>
      <c r="BY37" s="401"/>
      <c r="BZ37" s="401"/>
      <c r="CA37" s="401"/>
      <c r="CB37" s="401"/>
      <c r="CC37" s="401"/>
      <c r="CD37" s="401"/>
      <c r="CE37" s="401"/>
      <c r="CF37" s="401"/>
      <c r="CG37" s="401"/>
      <c r="CH37" s="401"/>
      <c r="CI37" s="401"/>
      <c r="CJ37" s="401"/>
      <c r="CK37" s="401"/>
      <c r="CL37" s="401"/>
      <c r="CM37" s="401"/>
      <c r="CN37" s="401"/>
      <c r="CO37" s="401"/>
      <c r="CP37" s="401"/>
    </row>
    <row r="38" spans="1:94" ht="15" customHeight="1">
      <c r="A38" s="207" t="str">
        <v>16M</v>
      </c>
      <c r="B38" s="163" t="str">
        <f t="shared" si="13"/>
        <v>16M</v>
      </c>
      <c r="C38" s="163" t="s">
        <v>508</v>
      </c>
      <c r="D38" s="302">
        <f t="shared" si="14"/>
        <v>-25287.669108335314</v>
      </c>
      <c r="E38" s="210">
        <f t="shared" si="19"/>
        <v>6374.096156473508</v>
      </c>
      <c r="F38" s="213">
        <f t="shared" si="15"/>
        <v>0</v>
      </c>
      <c r="G38" s="214">
        <f t="shared" si="16"/>
        <v>0</v>
      </c>
      <c r="H38" s="540" t="str">
        <f t="shared" si="17"/>
        <v>5Y</v>
      </c>
      <c r="I38" s="541" t="str">
        <f t="shared" si="18"/>
        <v>W</v>
      </c>
      <c r="J38" s="56"/>
      <c r="K38" s="16"/>
      <c r="L38" s="207" t="str">
        <v>5Y</v>
      </c>
      <c r="M38" s="163" t="str">
        <v>5Y</v>
      </c>
      <c r="N38" s="163" t="str">
        <v>W</v>
      </c>
      <c r="O38" s="120">
        <f t="shared" si="0"/>
        <v>1478.9106215807799</v>
      </c>
      <c r="P38" s="302">
        <f t="shared" si="1"/>
        <v>1.0004441719502211E-11</v>
      </c>
      <c r="Q38" s="23">
        <f>IF(LEN(O38)&gt;0,(EurMkt!$BN34-'reference set'!$AK44)*100,"")</f>
        <v>11.000000000000002</v>
      </c>
      <c r="R38" s="22">
        <f t="shared" si="2"/>
        <v>1.1004885891452433E-10</v>
      </c>
      <c r="S38" s="16"/>
      <c r="T38" s="207" t="str">
        <v>12M-18M</v>
      </c>
      <c r="U38" s="26">
        <f t="shared" si="3"/>
        <v>4574.8445019973296</v>
      </c>
      <c r="V38" s="23">
        <f>IF(LEN(Q38)&gt;0,(EurMkt!$AL34-'reference set'!$I44)*100,"")</f>
        <v>-0.20000000000000018</v>
      </c>
      <c r="W38" s="22">
        <f t="shared" si="4"/>
        <v>-914.96890039946675</v>
      </c>
      <c r="X38" s="207" t="str">
        <v>16M</v>
      </c>
      <c r="Y38" s="302">
        <f>INDEX(ReMappedSens6M,MATCH(X38,BktEur6mSens!$M$6:$M$70,0))</f>
        <v>-10775.919297537008</v>
      </c>
      <c r="Z38" s="208">
        <f>INDEX(ReMappedPL6M,MATCH(X38,BktEur6mPL!$M$6:$M$70,0))</f>
        <v>6255.6016089375698</v>
      </c>
      <c r="AA38" s="16"/>
      <c r="AB38" s="207" t="str">
        <v>JUN 18</v>
      </c>
      <c r="AC38" s="120">
        <f t="shared" si="5"/>
        <v>25.000031929781802</v>
      </c>
      <c r="AD38" s="26">
        <f t="shared" si="6"/>
        <v>-945.06065662460583</v>
      </c>
      <c r="AE38" s="23">
        <f>IF(LEN(AB38)&gt;0,(EurMkt!$AW34-'reference set'!$U44)*100,"")</f>
        <v>-1.0000036354540498E-7</v>
      </c>
      <c r="AF38" s="22">
        <f t="shared" si="7"/>
        <v>9.4506409234919721E-5</v>
      </c>
      <c r="AG38" s="207" t="str">
        <v>16M</v>
      </c>
      <c r="AH38" s="256">
        <f>INDEX(ReMappedSens3M,MATCH(AG38,BktEur3mSens!$M$6:$M$70,0))</f>
        <v>-13663.027054414466</v>
      </c>
      <c r="AI38" s="208">
        <f>INDEX(ReMappedPL3M,MATCH(AG38,BktEur3mPL!$M$6:$M$70,0))</f>
        <v>0</v>
      </c>
      <c r="AJ38" s="16"/>
      <c r="AK38" s="25" t="str">
        <v>2Y</v>
      </c>
      <c r="AL38" s="26">
        <f t="shared" si="20"/>
        <v>-4222.8477210135397</v>
      </c>
      <c r="AM38" s="23">
        <f>(+EurMkt!CF34-'reference set'!BA44)*100</f>
        <v>-5.5511151231257827E-15</v>
      </c>
      <c r="AN38" s="22">
        <f t="shared" si="8"/>
        <v>2.3441513846775506E-11</v>
      </c>
      <c r="AO38" s="207" t="str">
        <v>16M</v>
      </c>
      <c r="AP38" s="302">
        <f>INDEX(ReMappedSens1M,MATCH(AO38,BktEur1mSens!$M$6:$M$70,0))</f>
        <v>0</v>
      </c>
      <c r="AQ38" s="208">
        <f>INDEX(ReMappedPL1M,MATCH(AO38,BktEur1mPL!$M$6:$M$72,0))</f>
        <v>0</v>
      </c>
      <c r="AR38" s="16"/>
      <c r="AS38" s="207" t="str">
        <v>6M-18M</v>
      </c>
      <c r="AT38" s="26">
        <f t="shared" si="9"/>
        <v>4.3331688469585599</v>
      </c>
      <c r="AU38" s="23">
        <f>(EurMkt!BF34-'reference set'!AC44)*100</f>
        <v>-0.29999999999999993</v>
      </c>
      <c r="AV38" s="22">
        <f t="shared" si="10"/>
        <v>-1.2999506540875676</v>
      </c>
      <c r="AW38" s="207" t="str">
        <v>16M</v>
      </c>
      <c r="AX38" s="302">
        <f>INDEX(ReMappedSens1Y,MATCH(AW38,BktEur1ySens!$M$6:$M$70,0))</f>
        <v>-148.15678874862513</v>
      </c>
      <c r="AY38" s="208">
        <f>INDEX(ReMappedPL1Y,MATCH(AW38,BktEur1yPL!$M$6:$M$70,0))</f>
        <v>44.447036624587582</v>
      </c>
      <c r="AZ38" s="33"/>
      <c r="BA38" s="25" t="str">
        <v>16M</v>
      </c>
      <c r="BB38" s="26">
        <f t="shared" si="11"/>
        <v>-700.565967635216</v>
      </c>
      <c r="BC38" s="23">
        <f>(EurMkt!BW34-'reference set'!AS44)*100</f>
        <v>-0.10569670000000198</v>
      </c>
      <c r="BD38" s="22">
        <f t="shared" si="12"/>
        <v>74.047510911350514</v>
      </c>
      <c r="BE38" s="16"/>
      <c r="BF38" s="401"/>
      <c r="BG38" s="401"/>
      <c r="BH38" s="401"/>
      <c r="BI38" s="401"/>
      <c r="BJ38" s="401"/>
      <c r="BK38" s="401"/>
      <c r="BL38" s="401"/>
      <c r="BM38" s="401"/>
      <c r="BN38" s="401"/>
      <c r="BO38" s="401"/>
      <c r="BP38" s="401"/>
      <c r="BQ38" s="401"/>
      <c r="BR38" s="401"/>
      <c r="BS38" s="401"/>
      <c r="BT38" s="401"/>
      <c r="BU38" s="401"/>
      <c r="BV38" s="401"/>
      <c r="BW38" s="401"/>
      <c r="BX38" s="401"/>
      <c r="BY38" s="401"/>
      <c r="BZ38" s="401"/>
      <c r="CA38" s="401"/>
      <c r="CB38" s="401"/>
      <c r="CC38" s="401"/>
      <c r="CD38" s="401"/>
      <c r="CE38" s="401"/>
      <c r="CF38" s="401"/>
      <c r="CG38" s="401"/>
      <c r="CH38" s="401"/>
      <c r="CI38" s="401"/>
      <c r="CJ38" s="401"/>
      <c r="CK38" s="401"/>
      <c r="CL38" s="401"/>
      <c r="CM38" s="401"/>
      <c r="CN38" s="401"/>
      <c r="CO38" s="401"/>
      <c r="CP38" s="401"/>
    </row>
    <row r="39" spans="1:94" ht="15" customHeight="1">
      <c r="A39" s="207" t="str">
        <v>17M</v>
      </c>
      <c r="B39" s="163" t="str">
        <f t="shared" si="13"/>
        <v>17M</v>
      </c>
      <c r="C39" s="163" t="s">
        <v>508</v>
      </c>
      <c r="D39" s="302">
        <f t="shared" si="14"/>
        <v>2644.0811651262538</v>
      </c>
      <c r="E39" s="210">
        <f t="shared" si="19"/>
        <v>-3417.0526465485359</v>
      </c>
      <c r="F39" s="213">
        <f t="shared" si="15"/>
        <v>0</v>
      </c>
      <c r="G39" s="214">
        <f t="shared" si="16"/>
        <v>0</v>
      </c>
      <c r="H39" s="540" t="str">
        <f t="shared" si="17"/>
        <v>6Y</v>
      </c>
      <c r="I39" s="541" t="str">
        <f t="shared" si="18"/>
        <v>W</v>
      </c>
      <c r="J39" s="56"/>
      <c r="K39" s="16"/>
      <c r="L39" s="207" t="str">
        <v>6Y</v>
      </c>
      <c r="M39" s="163" t="str">
        <v>6Y</v>
      </c>
      <c r="N39" s="163" t="str">
        <v>W</v>
      </c>
      <c r="O39" s="120">
        <f t="shared" si="0"/>
        <v>-0.38790607814033201</v>
      </c>
      <c r="P39" s="302">
        <f t="shared" si="1"/>
        <v>-1.9984014443252818E-15</v>
      </c>
      <c r="Q39" s="23">
        <f>IF(LEN(O39)&gt;0,(EurMkt!$BN35-'reference set'!$AK45)*100,"")</f>
        <v>11.799999999999999</v>
      </c>
      <c r="R39" s="22">
        <f t="shared" si="2"/>
        <v>-2.3581137043038322E-14</v>
      </c>
      <c r="S39" s="16"/>
      <c r="T39" s="207" t="str">
        <v>13M-19M</v>
      </c>
      <c r="U39" s="26">
        <f t="shared" si="3"/>
        <v>-3756.00116102839</v>
      </c>
      <c r="V39" s="23">
        <f>IF(LEN(Q39)&gt;0,(EurMkt!$AL35-'reference set'!$I45)*100,"")</f>
        <v>-0.20000000000000018</v>
      </c>
      <c r="W39" s="22">
        <f t="shared" si="4"/>
        <v>751.20023220567862</v>
      </c>
      <c r="X39" s="207" t="str">
        <v>17M</v>
      </c>
      <c r="Y39" s="302">
        <f>INDEX(ReMappedSens6M,MATCH(X39,BktEur6mSens!$M$6:$M$70,0))</f>
        <v>8776.2392683427679</v>
      </c>
      <c r="Z39" s="208">
        <f>INDEX(ReMappedPL6M,MATCH(X39,BktEur6mPL!$M$6:$M$70,0))</f>
        <v>-4070.9743355751862</v>
      </c>
      <c r="AA39" s="16"/>
      <c r="AB39" s="207" t="str">
        <v>SEP 18</v>
      </c>
      <c r="AC39" s="120">
        <f t="shared" si="5"/>
        <v>5000.0063217919396</v>
      </c>
      <c r="AD39" s="26">
        <f t="shared" si="6"/>
        <v>-10162.016835381219</v>
      </c>
      <c r="AE39" s="23">
        <f>IF(LEN(AB39)&gt;0,(EurMkt!$AW35-'reference set'!$U45)*100,"")</f>
        <v>0</v>
      </c>
      <c r="AF39" s="22">
        <f t="shared" si="7"/>
        <v>0</v>
      </c>
      <c r="AG39" s="207" t="str">
        <v>17M</v>
      </c>
      <c r="AH39" s="256">
        <f>INDEX(ReMappedSens3M,MATCH(AG39,BktEur3mSens!$M$6:$M$70,0))</f>
        <v>0</v>
      </c>
      <c r="AI39" s="208">
        <f>INDEX(ReMappedPL3M,MATCH(AG39,BktEur3mPL!$M$6:$M$70,0))</f>
        <v>0</v>
      </c>
      <c r="AJ39" s="16"/>
      <c r="AK39" s="25" t="str">
        <v>2Y3M</v>
      </c>
      <c r="AL39" s="26">
        <f t="shared" si="20"/>
        <v>537.32470455294595</v>
      </c>
      <c r="AM39" s="23">
        <f>(+EurMkt!CF35-'reference set'!BA45)*100</f>
        <v>2.6389700000001293E-2</v>
      </c>
      <c r="AN39" s="22">
        <f t="shared" si="8"/>
        <v>14.179837755741572</v>
      </c>
      <c r="AO39" s="207" t="str">
        <v>17M</v>
      </c>
      <c r="AP39" s="302">
        <f>INDEX(ReMappedSens1M,MATCH(AO39,BktEur1mSens!$M$6:$M$70,0))</f>
        <v>0</v>
      </c>
      <c r="AQ39" s="208">
        <f>INDEX(ReMappedPL1M,MATCH(AO39,BktEur1mPL!$M$6:$M$72,0))</f>
        <v>0</v>
      </c>
      <c r="AR39" s="16"/>
      <c r="AS39" s="207" t="str">
        <v>7M-19M</v>
      </c>
      <c r="AT39" s="26">
        <f t="shared" si="9"/>
        <v>-48.197061631218503</v>
      </c>
      <c r="AU39" s="23">
        <f>(EurMkt!BF35-'reference set'!AC45)*100</f>
        <v>-0.40000000000000008</v>
      </c>
      <c r="AV39" s="22">
        <f t="shared" si="10"/>
        <v>19.278824652487405</v>
      </c>
      <c r="AW39" s="207" t="str">
        <v>17M</v>
      </c>
      <c r="AX39" s="302">
        <f>INDEX(ReMappedSens1Y,MATCH(AW39,BktEur1ySens!$M$6:$M$70,0))</f>
        <v>0</v>
      </c>
      <c r="AY39" s="208">
        <f>INDEX(ReMappedPL1Y,MATCH(AW39,BktEur1yPL!$M$6:$M$70,0))</f>
        <v>0</v>
      </c>
      <c r="AZ39" s="33"/>
      <c r="BA39" s="25" t="str">
        <v>17M</v>
      </c>
      <c r="BB39" s="26">
        <f t="shared" si="11"/>
        <v>-6132.1581032165141</v>
      </c>
      <c r="BC39" s="23">
        <f>(EurMkt!BW35-'reference set'!AS45)*100</f>
        <v>-0.10663810000000606</v>
      </c>
      <c r="BD39" s="22">
        <f t="shared" si="12"/>
        <v>653.92168902665014</v>
      </c>
      <c r="BE39" s="16"/>
      <c r="BF39" s="401"/>
      <c r="BG39" s="401"/>
      <c r="BH39" s="401"/>
      <c r="BI39" s="401"/>
      <c r="BJ39" s="401"/>
      <c r="BK39" s="401"/>
      <c r="BL39" s="401"/>
      <c r="BM39" s="401"/>
      <c r="BN39" s="401"/>
      <c r="BO39" s="401"/>
      <c r="BP39" s="401"/>
      <c r="BQ39" s="401"/>
      <c r="BR39" s="401"/>
      <c r="BS39" s="401"/>
      <c r="BT39" s="401"/>
      <c r="BU39" s="401"/>
      <c r="BV39" s="401"/>
      <c r="BW39" s="401"/>
      <c r="BX39" s="401"/>
      <c r="BY39" s="401"/>
      <c r="BZ39" s="401"/>
      <c r="CA39" s="401"/>
      <c r="CB39" s="401"/>
      <c r="CC39" s="401"/>
      <c r="CD39" s="401"/>
      <c r="CE39" s="401"/>
      <c r="CF39" s="401"/>
      <c r="CG39" s="401"/>
      <c r="CH39" s="401"/>
      <c r="CI39" s="401"/>
      <c r="CJ39" s="401"/>
      <c r="CK39" s="401"/>
      <c r="CL39" s="401"/>
      <c r="CM39" s="401"/>
      <c r="CN39" s="401"/>
      <c r="CO39" s="401"/>
      <c r="CP39" s="401"/>
    </row>
    <row r="40" spans="1:94" ht="15" customHeight="1">
      <c r="A40" s="207" t="str">
        <v>18M</v>
      </c>
      <c r="B40" s="163" t="str">
        <f t="shared" si="13"/>
        <v>18M</v>
      </c>
      <c r="C40" s="163" t="s">
        <v>508</v>
      </c>
      <c r="D40" s="302">
        <f t="shared" si="14"/>
        <v>16758.130947029164</v>
      </c>
      <c r="E40" s="210">
        <f t="shared" si="19"/>
        <v>-3564.0476771537305</v>
      </c>
      <c r="F40" s="213">
        <f t="shared" si="15"/>
        <v>0</v>
      </c>
      <c r="G40" s="214">
        <f t="shared" si="16"/>
        <v>0</v>
      </c>
      <c r="H40" s="540" t="str">
        <f t="shared" si="17"/>
        <v>7Y</v>
      </c>
      <c r="I40" s="541" t="str">
        <f t="shared" si="18"/>
        <v>W</v>
      </c>
      <c r="J40" s="56"/>
      <c r="K40" s="16"/>
      <c r="L40" s="207" t="str">
        <v>7Y</v>
      </c>
      <c r="M40" s="163" t="str">
        <v>7Y</v>
      </c>
      <c r="N40" s="163" t="str">
        <v>W</v>
      </c>
      <c r="O40" s="120">
        <f t="shared" si="0"/>
        <v>-0.45588735340422099</v>
      </c>
      <c r="P40" s="302">
        <f t="shared" si="1"/>
        <v>-9.9920072216264089E-16</v>
      </c>
      <c r="Q40" s="23">
        <f>IF(LEN(O40)&gt;0,(EurMkt!$BN36-'reference set'!$AK46)*100,"")</f>
        <v>12.2</v>
      </c>
      <c r="R40" s="22">
        <f t="shared" si="2"/>
        <v>-1.2190248810384218E-14</v>
      </c>
      <c r="S40" s="16"/>
      <c r="T40" s="207" t="str">
        <v>14M-20M</v>
      </c>
      <c r="U40" s="26">
        <f t="shared" si="3"/>
        <v>-621.01026787639898</v>
      </c>
      <c r="V40" s="23">
        <f>IF(LEN(Q40)&gt;0,(EurMkt!$AL36-'reference set'!$I46)*100,"")</f>
        <v>-0.20000000000000018</v>
      </c>
      <c r="W40" s="22">
        <f t="shared" si="4"/>
        <v>124.2020535752799</v>
      </c>
      <c r="X40" s="207" t="str">
        <v>18M</v>
      </c>
      <c r="Y40" s="302">
        <f>INDEX(ReMappedSens6M,MATCH(X40,BktEur6mSens!$M$6:$M$70,0))</f>
        <v>14470.529244636362</v>
      </c>
      <c r="Z40" s="208">
        <f>INDEX(ReMappedPL6M,MATCH(X40,BktEur6mPL!$M$6:$M$70,0))</f>
        <v>-2723.3854337107259</v>
      </c>
      <c r="AA40" s="16"/>
      <c r="AB40" s="207" t="str">
        <v>DEC 18</v>
      </c>
      <c r="AC40" s="120">
        <f t="shared" si="5"/>
        <v>2500.00468876884</v>
      </c>
      <c r="AD40" s="26">
        <f t="shared" si="6"/>
        <v>-5138.1831833752804</v>
      </c>
      <c r="AE40" s="23">
        <f>IF(LEN(AB40)&gt;0,(EurMkt!$AW36-'reference set'!$U46)*100,"")</f>
        <v>0.49999999999954525</v>
      </c>
      <c r="AF40" s="22">
        <f t="shared" si="7"/>
        <v>-2569.0915916853037</v>
      </c>
      <c r="AG40" s="207" t="str">
        <v>18M</v>
      </c>
      <c r="AH40" s="256">
        <f>INDEX(ReMappedSens3M,MATCH(AG40,BktEur3mSens!$M$6:$M$70,0))</f>
        <v>921.39028227823417</v>
      </c>
      <c r="AI40" s="208">
        <f>INDEX(ReMappedPL3M,MATCH(AG40,BktEur3mPL!$M$6:$M$70,0))</f>
        <v>-3.8372518195664951E-5</v>
      </c>
      <c r="AJ40" s="16"/>
      <c r="AK40" s="25" t="str">
        <v>2Y6M</v>
      </c>
      <c r="AL40" s="26">
        <f t="shared" si="20"/>
        <v>3866.5303755885202</v>
      </c>
      <c r="AM40" s="23">
        <f>(+EurMkt!CF36-'reference set'!BA46)*100</f>
        <v>6.513999999996356E-3</v>
      </c>
      <c r="AN40" s="22">
        <f t="shared" si="8"/>
        <v>25.18657886656953</v>
      </c>
      <c r="AO40" s="207" t="str">
        <v>18M</v>
      </c>
      <c r="AP40" s="302">
        <f>INDEX(ReMappedSens1M,MATCH(AO40,BktEur1mSens!$M$6:$M$70,0))</f>
        <v>-9868.2128932927099</v>
      </c>
      <c r="AQ40" s="208">
        <f>INDEX(ReMappedPL1M,MATCH(AO40,BktEur1mPL!$M$6:$M$72,0))</f>
        <v>284.08611277212839</v>
      </c>
      <c r="AR40" s="16"/>
      <c r="AS40" s="207" t="str">
        <v>8M-20M</v>
      </c>
      <c r="AT40" s="26">
        <f t="shared" si="9"/>
        <v>-9.1164252354211008</v>
      </c>
      <c r="AU40" s="23">
        <f>(EurMkt!BF36-'reference set'!AC46)*100</f>
        <v>-0.4</v>
      </c>
      <c r="AV40" s="22">
        <f t="shared" si="10"/>
        <v>3.6465700941684407</v>
      </c>
      <c r="AW40" s="207" t="str">
        <v>18M</v>
      </c>
      <c r="AX40" s="302">
        <f>INDEX(ReMappedSens1Y,MATCH(AW40,BktEur1ySens!$M$6:$M$70,0))</f>
        <v>6.5294325091156384</v>
      </c>
      <c r="AY40" s="208">
        <f>INDEX(ReMappedPL1Y,MATCH(AW40,BktEur1yPL!$M$6:$M$70,0))</f>
        <v>-1.958829752734691</v>
      </c>
      <c r="AZ40" s="33"/>
      <c r="BA40" s="25" t="str">
        <v>18M</v>
      </c>
      <c r="BB40" s="26">
        <f t="shared" si="11"/>
        <v>11227.894880898162</v>
      </c>
      <c r="BC40" s="23">
        <f>(EurMkt!BW36-'reference set'!AS46)*100</f>
        <v>-0.10000000000000564</v>
      </c>
      <c r="BD40" s="22">
        <f t="shared" si="12"/>
        <v>-1122.7894880898796</v>
      </c>
      <c r="BE40" s="16"/>
      <c r="BF40" s="401"/>
      <c r="BG40" s="401"/>
      <c r="BH40" s="401"/>
      <c r="BI40" s="401"/>
      <c r="BJ40" s="401"/>
      <c r="BK40" s="401"/>
      <c r="BL40" s="401"/>
      <c r="BM40" s="401"/>
      <c r="BN40" s="401"/>
      <c r="BO40" s="401"/>
      <c r="BP40" s="401"/>
      <c r="BQ40" s="401"/>
      <c r="BR40" s="401"/>
      <c r="BS40" s="401"/>
      <c r="BT40" s="401"/>
      <c r="BU40" s="401"/>
      <c r="BV40" s="401"/>
      <c r="BW40" s="401"/>
      <c r="BX40" s="401"/>
      <c r="BY40" s="401"/>
      <c r="BZ40" s="401"/>
      <c r="CA40" s="401"/>
      <c r="CB40" s="401"/>
      <c r="CC40" s="401"/>
      <c r="CD40" s="401"/>
      <c r="CE40" s="401"/>
      <c r="CF40" s="401"/>
      <c r="CG40" s="401"/>
      <c r="CH40" s="401"/>
      <c r="CI40" s="401"/>
      <c r="CJ40" s="401"/>
      <c r="CK40" s="401"/>
      <c r="CL40" s="401"/>
      <c r="CM40" s="401"/>
      <c r="CN40" s="401"/>
      <c r="CO40" s="401"/>
      <c r="CP40" s="401"/>
    </row>
    <row r="41" spans="1:94" ht="15" customHeight="1">
      <c r="A41" s="207" t="str">
        <v>19M</v>
      </c>
      <c r="B41" s="163" t="str">
        <f t="shared" si="13"/>
        <v>19M</v>
      </c>
      <c r="C41" s="163" t="s">
        <v>508</v>
      </c>
      <c r="D41" s="302">
        <f t="shared" si="14"/>
        <v>6604.5598749114324</v>
      </c>
      <c r="E41" s="210">
        <f t="shared" si="19"/>
        <v>2619.9774676692923</v>
      </c>
      <c r="F41" s="213">
        <f t="shared" si="15"/>
        <v>0</v>
      </c>
      <c r="G41" s="214">
        <f t="shared" si="16"/>
        <v>0</v>
      </c>
      <c r="H41" s="540" t="str">
        <f t="shared" si="17"/>
        <v>8Y</v>
      </c>
      <c r="I41" s="541" t="str">
        <f t="shared" si="18"/>
        <v>W</v>
      </c>
      <c r="J41" s="26"/>
      <c r="K41" s="49"/>
      <c r="L41" s="207" t="str">
        <v>8Y</v>
      </c>
      <c r="M41" s="163" t="str">
        <v>8Y</v>
      </c>
      <c r="N41" s="163" t="str">
        <v>W</v>
      </c>
      <c r="O41" s="120">
        <f t="shared" si="0"/>
        <v>-36.990008147196797</v>
      </c>
      <c r="P41" s="302">
        <f t="shared" si="1"/>
        <v>-4.0500935938325711E-13</v>
      </c>
      <c r="Q41" s="23">
        <f>IF(LEN(O41)&gt;0,(EurMkt!$BN37-'reference set'!$AK47)*100,"")</f>
        <v>12.200000000000005</v>
      </c>
      <c r="R41" s="22">
        <f t="shared" si="2"/>
        <v>-4.941114184475739E-12</v>
      </c>
      <c r="S41" s="49"/>
      <c r="T41" s="207" t="str">
        <v>15M-21M</v>
      </c>
      <c r="U41" s="26">
        <f t="shared" si="3"/>
        <v>-969.81133385819396</v>
      </c>
      <c r="V41" s="23">
        <f>IF(LEN(Q41)&gt;0,(EurMkt!$AL37-'reference set'!$I47)*100,"")</f>
        <v>0</v>
      </c>
      <c r="W41" s="22">
        <f t="shared" si="4"/>
        <v>0</v>
      </c>
      <c r="X41" s="207" t="str">
        <v>19M</v>
      </c>
      <c r="Y41" s="302">
        <f>INDEX(ReMappedSens6M,MATCH(X41,BktEur6mSens!$M$6:$M$70,0))</f>
        <v>-11990.311398667554</v>
      </c>
      <c r="Z41" s="208">
        <f>INDEX(ReMappedPL6M,MATCH(X41,BktEur6mPL!$M$6:$M$70,0))</f>
        <v>2398.0622797335127</v>
      </c>
      <c r="AA41" s="49"/>
      <c r="AB41" s="207" t="str">
        <v>MAR 19</v>
      </c>
      <c r="AC41" s="120">
        <f t="shared" si="5"/>
        <v>0</v>
      </c>
      <c r="AD41" s="26">
        <f t="shared" si="6"/>
        <v>4113.2626038502804</v>
      </c>
      <c r="AE41" s="23">
        <f>IF(LEN(AB41)&gt;0,(EurMkt!$AW37-'reference set'!$U47)*100,"")</f>
        <v>0.49999999999954525</v>
      </c>
      <c r="AF41" s="22">
        <f t="shared" si="7"/>
        <v>2056.6313019232698</v>
      </c>
      <c r="AG41" s="207" t="str">
        <v>19M</v>
      </c>
      <c r="AH41" s="256">
        <f>INDEX(ReMappedSens3M,MATCH(AG41,BktEur3mSens!$M$6:$M$70,0))</f>
        <v>21851.326928147511</v>
      </c>
      <c r="AI41" s="208">
        <f>INDEX(ReMappedPL3M,MATCH(AG41,BktEur3mPL!$M$6:$M$70,0))</f>
        <v>-5.5640151383714405E-4</v>
      </c>
      <c r="AJ41" s="50"/>
      <c r="AK41" s="25" t="str">
        <v>2Y9M</v>
      </c>
      <c r="AL41" s="26">
        <f t="shared" si="20"/>
        <v>-1526.9260425745499</v>
      </c>
      <c r="AM41" s="23">
        <f>(+EurMkt!CF37-'reference set'!BA47)*100</f>
        <v>4.3729799999997487E-2</v>
      </c>
      <c r="AN41" s="22">
        <f t="shared" si="8"/>
        <v>-66.772170456572709</v>
      </c>
      <c r="AO41" s="207" t="str">
        <v>19M</v>
      </c>
      <c r="AP41" s="302">
        <f>INDEX(ReMappedSens1M,MATCH(AO41,BktEur1mSens!$M$6:$M$70,0))</f>
        <v>0</v>
      </c>
      <c r="AQ41" s="208">
        <f>INDEX(ReMappedPL1M,MATCH(AO41,BktEur1mPL!$M$6:$M$72,0))</f>
        <v>0</v>
      </c>
      <c r="AR41" s="49"/>
      <c r="AS41" s="207" t="str">
        <v>9M-21M</v>
      </c>
      <c r="AT41" s="26">
        <f t="shared" si="9"/>
        <v>-4.2460808840955</v>
      </c>
      <c r="AU41" s="23">
        <f>(EurMkt!BF37-'reference set'!AC47)*100</f>
        <v>-0.39999999999999986</v>
      </c>
      <c r="AV41" s="22">
        <f t="shared" si="10"/>
        <v>1.6984323536381993</v>
      </c>
      <c r="AW41" s="207" t="str">
        <v>19M</v>
      </c>
      <c r="AX41" s="302">
        <f>INDEX(ReMappedSens1Y,MATCH(AW41,BktEur1ySens!$M$6:$M$70,0))</f>
        <v>-76.719158377364252</v>
      </c>
      <c r="AY41" s="208">
        <f>INDEX(ReMappedPL1Y,MATCH(AW41,BktEur1yPL!$M$6:$M$70,0))</f>
        <v>30.687663350945705</v>
      </c>
      <c r="AZ41" s="34"/>
      <c r="BA41" s="25" t="str">
        <v>19M</v>
      </c>
      <c r="BB41" s="26">
        <f t="shared" si="11"/>
        <v>-3179.7364961911603</v>
      </c>
      <c r="BC41" s="23">
        <f>(EurMkt!BW37-'reference set'!AS47)*100</f>
        <v>-6.0139600000003179E-2</v>
      </c>
      <c r="BD41" s="22">
        <f t="shared" si="12"/>
        <v>191.228080986348</v>
      </c>
      <c r="BE41" s="16"/>
      <c r="BF41" s="401"/>
      <c r="BG41" s="401"/>
      <c r="BH41" s="401"/>
      <c r="BI41" s="401"/>
      <c r="BJ41" s="401"/>
      <c r="BK41" s="401"/>
      <c r="BL41" s="401"/>
      <c r="BM41" s="401"/>
      <c r="BN41" s="401"/>
      <c r="BO41" s="401"/>
      <c r="BP41" s="401"/>
      <c r="BQ41" s="401"/>
      <c r="BR41" s="401"/>
      <c r="BS41" s="401"/>
      <c r="BT41" s="401"/>
      <c r="BU41" s="401"/>
      <c r="BV41" s="401"/>
      <c r="BW41" s="401"/>
      <c r="BX41" s="401"/>
      <c r="BY41" s="401"/>
      <c r="BZ41" s="401"/>
      <c r="CA41" s="401"/>
      <c r="CB41" s="401"/>
      <c r="CC41" s="401"/>
      <c r="CD41" s="401"/>
      <c r="CE41" s="401"/>
      <c r="CF41" s="401"/>
      <c r="CG41" s="401"/>
      <c r="CH41" s="401"/>
      <c r="CI41" s="401"/>
      <c r="CJ41" s="401"/>
      <c r="CK41" s="401"/>
      <c r="CL41" s="401"/>
      <c r="CM41" s="401"/>
      <c r="CN41" s="401"/>
      <c r="CO41" s="401"/>
      <c r="CP41" s="401"/>
    </row>
    <row r="42" spans="1:94" ht="15" customHeight="1">
      <c r="A42" s="207" t="str">
        <v>20M</v>
      </c>
      <c r="B42" s="163" t="str">
        <f t="shared" si="13"/>
        <v>20M</v>
      </c>
      <c r="C42" s="163" t="s">
        <v>508</v>
      </c>
      <c r="D42" s="302">
        <f t="shared" si="14"/>
        <v>-17035.295627111762</v>
      </c>
      <c r="E42" s="210">
        <f t="shared" si="19"/>
        <v>522.18660947449791</v>
      </c>
      <c r="F42" s="213">
        <f t="shared" si="15"/>
        <v>0</v>
      </c>
      <c r="G42" s="214">
        <f t="shared" si="16"/>
        <v>0</v>
      </c>
      <c r="H42" s="540" t="str">
        <f t="shared" si="17"/>
        <v>9Y</v>
      </c>
      <c r="I42" s="541" t="str">
        <f t="shared" si="18"/>
        <v>W</v>
      </c>
      <c r="J42" s="26"/>
      <c r="K42" s="16"/>
      <c r="L42" s="207" t="str">
        <v>9Y</v>
      </c>
      <c r="M42" s="163" t="str">
        <v>9Y</v>
      </c>
      <c r="N42" s="163" t="str">
        <v>W</v>
      </c>
      <c r="O42" s="120">
        <f t="shared" si="0"/>
        <v>-97.397485685386599</v>
      </c>
      <c r="P42" s="302">
        <f t="shared" si="1"/>
        <v>-3.979039320256561E-13</v>
      </c>
      <c r="Q42" s="23">
        <f>IF(LEN(O42)&gt;0,(EurMkt!$BN38-'reference set'!$AK48)*100,"")</f>
        <v>11.799999999999994</v>
      </c>
      <c r="R42" s="22">
        <f t="shared" si="2"/>
        <v>-4.6952663979027393E-12</v>
      </c>
      <c r="S42" s="16"/>
      <c r="T42" s="207" t="str">
        <v>16M-22M</v>
      </c>
      <c r="U42" s="26">
        <f t="shared" si="3"/>
        <v>-2874.4662702444898</v>
      </c>
      <c r="V42" s="23">
        <f>IF(LEN(Q42)&gt;0,(EurMkt!$AL38-'reference set'!$I48)*100,"")</f>
        <v>0.10000000000000009</v>
      </c>
      <c r="W42" s="22">
        <f t="shared" si="4"/>
        <v>-287.44662702444924</v>
      </c>
      <c r="X42" s="207" t="str">
        <v>20M</v>
      </c>
      <c r="Y42" s="302">
        <f>INDEX(ReMappedSens6M,MATCH(X42,BktEur6mSens!$M$6:$M$70,0))</f>
        <v>-2088.2323293426161</v>
      </c>
      <c r="Z42" s="208">
        <f>INDEX(ReMappedPL6M,MATCH(X42,BktEur6mPL!$M$6:$M$70,0))</f>
        <v>417.64646586852359</v>
      </c>
      <c r="AA42" s="16"/>
      <c r="AB42" s="207" t="str">
        <v>3Y</v>
      </c>
      <c r="AC42" s="120">
        <f t="shared" si="5"/>
        <v>0</v>
      </c>
      <c r="AD42" s="26">
        <f t="shared" si="6"/>
        <v>-12345.0303411856</v>
      </c>
      <c r="AE42" s="23">
        <f>IF(LEN(AB42)&gt;0,(EurMkt!$AW38-'reference set'!$U48)*100,"")</f>
        <v>0.10000000000000009</v>
      </c>
      <c r="AF42" s="22">
        <f t="shared" si="7"/>
        <v>-1234.5030341185611</v>
      </c>
      <c r="AG42" s="207" t="str">
        <v>20M</v>
      </c>
      <c r="AH42" s="256">
        <f>INDEX(ReMappedSens3M,MATCH(AG42,BktEur3mSens!$M$6:$M$70,0))</f>
        <v>0</v>
      </c>
      <c r="AI42" s="208">
        <f>INDEX(ReMappedPL3M,MATCH(AG42,BktEur3mPL!$M$6:$M$70,0))</f>
        <v>0</v>
      </c>
      <c r="AJ42" s="16"/>
      <c r="AK42" s="25" t="str">
        <v>3Y</v>
      </c>
      <c r="AL42" s="26">
        <f t="shared" si="20"/>
        <v>4800.2280671111002</v>
      </c>
      <c r="AM42" s="23">
        <f>(+EurMkt!CF38-'reference set'!BA48)*100</f>
        <v>9.9999999999994538E-2</v>
      </c>
      <c r="AN42" s="22">
        <f t="shared" si="8"/>
        <v>480.02280671108383</v>
      </c>
      <c r="AO42" s="207" t="str">
        <v>20M</v>
      </c>
      <c r="AP42" s="302">
        <f>INDEX(ReMappedSens1M,MATCH(AO42,BktEur1mSens!$M$6:$M$70,0))</f>
        <v>0</v>
      </c>
      <c r="AQ42" s="208">
        <f>INDEX(ReMappedPL1M,MATCH(AO42,BktEur1mPL!$M$6:$M$72,0))</f>
        <v>0</v>
      </c>
      <c r="AR42" s="16"/>
      <c r="AS42" s="207" t="str">
        <v>10M-22M</v>
      </c>
      <c r="AT42" s="26">
        <f t="shared" si="9"/>
        <v>-0.31963319745205498</v>
      </c>
      <c r="AU42" s="23">
        <f>(EurMkt!BF38-'reference set'!AC48)*100</f>
        <v>-0.39999999999999969</v>
      </c>
      <c r="AV42" s="22">
        <f t="shared" si="10"/>
        <v>0.12785327898082188</v>
      </c>
      <c r="AW42" s="207" t="str">
        <v>20M</v>
      </c>
      <c r="AX42" s="302">
        <f>INDEX(ReMappedSens1Y,MATCH(AW42,BktEur1ySens!$M$6:$M$70,0))</f>
        <v>-15.327616055158554</v>
      </c>
      <c r="AY42" s="208">
        <f>INDEX(ReMappedPL1Y,MATCH(AW42,BktEur1yPL!$M$6:$M$70,0))</f>
        <v>6.131046422063422</v>
      </c>
      <c r="AZ42" s="33"/>
      <c r="BA42" s="25" t="str">
        <v>20M</v>
      </c>
      <c r="BB42" s="26">
        <f t="shared" si="11"/>
        <v>-14931.735681713988</v>
      </c>
      <c r="BC42" s="23">
        <f>(EurMkt!BW38-'reference set'!AS48)*100</f>
        <v>-6.5906000000004461E-3</v>
      </c>
      <c r="BD42" s="22">
        <f t="shared" si="12"/>
        <v>98.409097183910873</v>
      </c>
      <c r="BE42" s="16"/>
      <c r="BF42" s="401"/>
      <c r="BG42" s="401"/>
      <c r="BH42" s="401"/>
      <c r="BI42" s="401"/>
      <c r="BJ42" s="401"/>
      <c r="BK42" s="401"/>
      <c r="BL42" s="401"/>
      <c r="BM42" s="401"/>
      <c r="BN42" s="401"/>
      <c r="BO42" s="401"/>
      <c r="BP42" s="401"/>
      <c r="BQ42" s="401"/>
      <c r="BR42" s="401"/>
      <c r="BS42" s="401"/>
      <c r="BT42" s="401"/>
      <c r="BU42" s="401"/>
      <c r="BV42" s="401"/>
      <c r="BW42" s="401"/>
      <c r="BX42" s="401"/>
      <c r="BY42" s="401"/>
      <c r="BZ42" s="401"/>
      <c r="CA42" s="401"/>
      <c r="CB42" s="401"/>
      <c r="CC42" s="401"/>
      <c r="CD42" s="401"/>
      <c r="CE42" s="401"/>
      <c r="CF42" s="401"/>
      <c r="CG42" s="401"/>
      <c r="CH42" s="401"/>
      <c r="CI42" s="401"/>
      <c r="CJ42" s="401"/>
      <c r="CK42" s="401"/>
      <c r="CL42" s="401"/>
      <c r="CM42" s="401"/>
      <c r="CN42" s="401"/>
      <c r="CO42" s="401"/>
      <c r="CP42" s="401"/>
    </row>
    <row r="43" spans="1:94" ht="15" customHeight="1">
      <c r="A43" s="207" t="str">
        <v>21M</v>
      </c>
      <c r="B43" s="163" t="str">
        <f t="shared" si="13"/>
        <v>21M</v>
      </c>
      <c r="C43" s="163" t="s">
        <v>508</v>
      </c>
      <c r="D43" s="302">
        <f t="shared" si="14"/>
        <v>7329.7897306338064</v>
      </c>
      <c r="E43" s="210">
        <f t="shared" si="19"/>
        <v>-272.07151598324413</v>
      </c>
      <c r="F43" s="213">
        <f t="shared" si="15"/>
        <v>0</v>
      </c>
      <c r="G43" s="214">
        <f t="shared" si="16"/>
        <v>0</v>
      </c>
      <c r="H43" s="540" t="str">
        <f t="shared" si="17"/>
        <v>10Y</v>
      </c>
      <c r="I43" s="541" t="str">
        <f t="shared" si="18"/>
        <v>W</v>
      </c>
      <c r="J43" s="26"/>
      <c r="K43" s="16"/>
      <c r="L43" s="207" t="str">
        <v>10Y</v>
      </c>
      <c r="M43" s="163" t="str">
        <v>10Y</v>
      </c>
      <c r="N43" s="163" t="str">
        <v>W</v>
      </c>
      <c r="O43" s="120">
        <f t="shared" si="0"/>
        <v>6.7501559897209505E-14</v>
      </c>
      <c r="P43" s="302">
        <f t="shared" si="1"/>
        <v>9.8851482555062489E-14</v>
      </c>
      <c r="Q43" s="23">
        <f>IF(LEN(O43)&gt;0,(EurMkt!$BN39-'reference set'!$AK49)*100,"")</f>
        <v>10.80000000000001</v>
      </c>
      <c r="R43" s="22">
        <f t="shared" si="2"/>
        <v>1.0675960115946758E-12</v>
      </c>
      <c r="S43" s="16"/>
      <c r="T43" s="207" t="str">
        <v>17M-23M</v>
      </c>
      <c r="U43" s="26">
        <f t="shared" si="3"/>
        <v>1255.9244962723999</v>
      </c>
      <c r="V43" s="23">
        <f>IF(LEN(Q43)&gt;0,(EurMkt!$AL39-'reference set'!$I49)*100,"")</f>
        <v>0.10000000000000009</v>
      </c>
      <c r="W43" s="22">
        <f t="shared" si="4"/>
        <v>125.5924496272401</v>
      </c>
      <c r="X43" s="207" t="str">
        <v>21M</v>
      </c>
      <c r="Y43" s="302">
        <f>INDEX(ReMappedSens6M,MATCH(X43,BktEur6mSens!$M$6:$M$70,0))</f>
        <v>-3439.8832946793395</v>
      </c>
      <c r="Z43" s="208">
        <f>INDEX(ReMappedPL6M,MATCH(X43,BktEur6mPL!$M$6:$M$70,0))</f>
        <v>0</v>
      </c>
      <c r="AA43" s="16"/>
      <c r="AB43" s="207" t="str">
        <v>4Y</v>
      </c>
      <c r="AC43" s="120">
        <f t="shared" si="5"/>
        <v>0</v>
      </c>
      <c r="AD43" s="26">
        <f t="shared" si="6"/>
        <v>-18717.013622028</v>
      </c>
      <c r="AE43" s="23">
        <f>IF(LEN(AB43)&gt;0,(EurMkt!$AW39-'reference set'!$U49)*100,"")</f>
        <v>0.39999999999999897</v>
      </c>
      <c r="AF43" s="22">
        <f t="shared" si="7"/>
        <v>-7486.8054488111811</v>
      </c>
      <c r="AG43" s="207" t="str">
        <v>21M</v>
      </c>
      <c r="AH43" s="256">
        <f>INDEX(ReMappedSens3M,MATCH(AG43,BktEur3mSens!$M$6:$M$70,0))</f>
        <v>4945.0996578431041</v>
      </c>
      <c r="AI43" s="208">
        <f>INDEX(ReMappedPL3M,MATCH(AG43,BktEur3mPL!$M$6:$M$70,0))</f>
        <v>8.3549144396088018E-5</v>
      </c>
      <c r="AJ43" s="16"/>
      <c r="AK43" s="25" t="str">
        <v>4Y</v>
      </c>
      <c r="AL43" s="26">
        <f t="shared" si="20"/>
        <v>-6144.0978926827902</v>
      </c>
      <c r="AM43" s="23">
        <f>(+EurMkt!CF39-'reference set'!BA49)*100</f>
        <v>0.40000000000000036</v>
      </c>
      <c r="AN43" s="22">
        <f t="shared" si="8"/>
        <v>-2457.6391570731184</v>
      </c>
      <c r="AO43" s="207" t="str">
        <v>21M</v>
      </c>
      <c r="AP43" s="302">
        <f>INDEX(ReMappedSens1M,MATCH(AO43,BktEur1mSens!$M$6:$M$70,0))</f>
        <v>10448.226999991301</v>
      </c>
      <c r="AQ43" s="208">
        <f>INDEX(ReMappedPL1M,MATCH(AO43,BktEur1mPL!$M$6:$M$72,0))</f>
        <v>-275.05897917908737</v>
      </c>
      <c r="AR43" s="16"/>
      <c r="AS43" s="207" t="str">
        <v>11M-23M</v>
      </c>
      <c r="AT43" s="26">
        <f t="shared" si="9"/>
        <v>-469.03218501510997</v>
      </c>
      <c r="AU43" s="23">
        <f>(EurMkt!BF39-'reference set'!AC49)*100</f>
        <v>-0.49999999999999978</v>
      </c>
      <c r="AV43" s="22">
        <f t="shared" si="10"/>
        <v>234.51609250755487</v>
      </c>
      <c r="AW43" s="207" t="str">
        <v>21M</v>
      </c>
      <c r="AX43" s="302">
        <f>INDEX(ReMappedSens1Y,MATCH(AW43,BktEur1ySens!$M$6:$M$70,0))</f>
        <v>-7.4684491166830433</v>
      </c>
      <c r="AY43" s="208">
        <f>INDEX(ReMappedPL1Y,MATCH(AW43,BktEur1yPL!$M$6:$M$70,0))</f>
        <v>2.9873796466732161</v>
      </c>
      <c r="AZ43" s="33"/>
      <c r="BA43" s="25" t="str">
        <v>21M</v>
      </c>
      <c r="BB43" s="26">
        <f t="shared" si="11"/>
        <v>-4616.1851834045765</v>
      </c>
      <c r="BC43" s="23">
        <f>(EurMkt!BW39-'reference set'!AS49)*100</f>
        <v>-5.5511151231257827E-15</v>
      </c>
      <c r="BD43" s="22">
        <f t="shared" si="12"/>
        <v>2.5624975382746309E-11</v>
      </c>
      <c r="BE43" s="16"/>
      <c r="BF43" s="401"/>
      <c r="BG43" s="401"/>
      <c r="BH43" s="401"/>
      <c r="BI43" s="401"/>
      <c r="BJ43" s="401"/>
      <c r="BK43" s="401"/>
      <c r="BL43" s="401"/>
      <c r="BM43" s="401"/>
      <c r="BN43" s="401"/>
      <c r="BO43" s="401"/>
      <c r="BP43" s="401"/>
      <c r="BQ43" s="401"/>
      <c r="BR43" s="401"/>
      <c r="BS43" s="401"/>
      <c r="BT43" s="401"/>
      <c r="BU43" s="401"/>
      <c r="BV43" s="401"/>
      <c r="BW43" s="401"/>
      <c r="BX43" s="401"/>
      <c r="BY43" s="401"/>
      <c r="BZ43" s="401"/>
      <c r="CA43" s="401"/>
      <c r="CB43" s="401"/>
      <c r="CC43" s="401"/>
      <c r="CD43" s="401"/>
      <c r="CE43" s="401"/>
      <c r="CF43" s="401"/>
      <c r="CG43" s="401"/>
      <c r="CH43" s="401"/>
      <c r="CI43" s="401"/>
      <c r="CJ43" s="401"/>
      <c r="CK43" s="401"/>
      <c r="CL43" s="401"/>
      <c r="CM43" s="401"/>
      <c r="CN43" s="401"/>
      <c r="CO43" s="401"/>
      <c r="CP43" s="401"/>
    </row>
    <row r="44" spans="1:94" ht="15" customHeight="1">
      <c r="A44" s="207" t="str">
        <v>22M</v>
      </c>
      <c r="B44" s="163" t="str">
        <f t="shared" si="13"/>
        <v>22M</v>
      </c>
      <c r="C44" s="163" t="s">
        <v>508</v>
      </c>
      <c r="D44" s="302">
        <f t="shared" si="14"/>
        <v>4605.395900521391</v>
      </c>
      <c r="E44" s="210">
        <f t="shared" si="19"/>
        <v>-1197.0959316193403</v>
      </c>
      <c r="F44" s="213">
        <f t="shared" si="15"/>
        <v>0</v>
      </c>
      <c r="G44" s="214">
        <f t="shared" si="16"/>
        <v>0</v>
      </c>
      <c r="H44" s="540" t="str">
        <f t="shared" si="17"/>
        <v>11Y</v>
      </c>
      <c r="I44" s="541" t="str">
        <f t="shared" si="18"/>
        <v>W</v>
      </c>
      <c r="J44" s="26"/>
      <c r="K44" s="16"/>
      <c r="L44" s="207" t="str">
        <v>11Y</v>
      </c>
      <c r="M44" s="163" t="str">
        <v>11Y</v>
      </c>
      <c r="N44" s="163" t="str">
        <v>W</v>
      </c>
      <c r="O44" s="120">
        <f t="shared" si="0"/>
        <v>0</v>
      </c>
      <c r="P44" s="302">
        <f t="shared" si="1"/>
        <v>0</v>
      </c>
      <c r="Q44" s="23">
        <f>IF(LEN(O44)&gt;0,(EurMkt!$BN40-'reference set'!$AK50)*100,"")</f>
        <v>9.7790120999999957</v>
      </c>
      <c r="R44" s="22">
        <f t="shared" si="2"/>
        <v>0</v>
      </c>
      <c r="S44" s="16"/>
      <c r="T44" s="207" t="str">
        <v>18M-24M</v>
      </c>
      <c r="U44" s="26">
        <f t="shared" si="3"/>
        <v>-190.37912969603099</v>
      </c>
      <c r="V44" s="23">
        <f>IF(LEN(Q44)&gt;0,(EurMkt!$AL40-'reference set'!$I50)*100,"")</f>
        <v>9.9999999999999395E-2</v>
      </c>
      <c r="W44" s="22">
        <f t="shared" si="4"/>
        <v>-19.037912969602985</v>
      </c>
      <c r="X44" s="207" t="str">
        <v>22M</v>
      </c>
      <c r="Y44" s="302">
        <f>INDEX(ReMappedSens6M,MATCH(X44,BktEur6mSens!$M$6:$M$70,0))</f>
        <v>-10431.530819435644</v>
      </c>
      <c r="Z44" s="208">
        <f>INDEX(ReMappedPL6M,MATCH(X44,BktEur6mPL!$M$6:$M$70,0))</f>
        <v>-1043.1530819435654</v>
      </c>
      <c r="AA44" s="16"/>
      <c r="AB44" s="207" t="str">
        <v>5Y</v>
      </c>
      <c r="AC44" s="120">
        <f t="shared" si="5"/>
        <v>0</v>
      </c>
      <c r="AD44" s="26">
        <f t="shared" si="6"/>
        <v>15659.1061716777</v>
      </c>
      <c r="AE44" s="23">
        <f>IF(LEN(AB44)&gt;0,(EurMkt!$AW40-'reference set'!$U50)*100,"")</f>
        <v>0.6</v>
      </c>
      <c r="AF44" s="22">
        <f t="shared" si="7"/>
        <v>9395.4637030066206</v>
      </c>
      <c r="AG44" s="207" t="str">
        <v>22M</v>
      </c>
      <c r="AH44" s="256">
        <f>INDEX(ReMappedSens3M,MATCH(AG44,BktEur3mSens!$M$6:$M$70,0))</f>
        <v>26350.469650942439</v>
      </c>
      <c r="AI44" s="208">
        <f>INDEX(ReMappedPL3M,MATCH(AG44,BktEur3mPL!$M$6:$M$70,0))</f>
        <v>6.0573129687164064E-4</v>
      </c>
      <c r="AJ44" s="16"/>
      <c r="AK44" s="25" t="str">
        <v>5Y</v>
      </c>
      <c r="AL44" s="26">
        <f t="shared" si="20"/>
        <v>-9030.7303297496092</v>
      </c>
      <c r="AM44" s="23">
        <f>(+EurMkt!CF40-'reference set'!BA50)*100</f>
        <v>0.5999999999999992</v>
      </c>
      <c r="AN44" s="22">
        <f t="shared" si="8"/>
        <v>-5418.4381978497586</v>
      </c>
      <c r="AO44" s="207" t="str">
        <v>22M</v>
      </c>
      <c r="AP44" s="302">
        <f>INDEX(ReMappedSens1M,MATCH(AO44,BktEur1mSens!$M$6:$M$70,0))</f>
        <v>0</v>
      </c>
      <c r="AQ44" s="208">
        <f>INDEX(ReMappedPL1M,MATCH(AO44,BktEur1mPL!$M$6:$M$72,0))</f>
        <v>0</v>
      </c>
      <c r="AR44" s="16"/>
      <c r="AS44" s="207" t="str">
        <v>12M-24M</v>
      </c>
      <c r="AT44" s="26">
        <f t="shared" si="9"/>
        <v>619.69412398505597</v>
      </c>
      <c r="AU44" s="23">
        <f>(EurMkt!BF40-'reference set'!AC50)*100</f>
        <v>-0.49999999999999978</v>
      </c>
      <c r="AV44" s="22">
        <f t="shared" si="10"/>
        <v>-309.84706199252787</v>
      </c>
      <c r="AW44" s="207" t="str">
        <v>22M</v>
      </c>
      <c r="AX44" s="302">
        <f>INDEX(ReMappedSens1Y,MATCH(AW44,BktEur1ySens!$M$6:$M$70,0))</f>
        <v>-0.58788122147176325</v>
      </c>
      <c r="AY44" s="208">
        <f>INDEX(ReMappedPL1Y,MATCH(AW44,BktEur1yPL!$M$6:$M$70,0))</f>
        <v>0.23515248858870511</v>
      </c>
      <c r="AZ44" s="33"/>
      <c r="BA44" s="25" t="str">
        <v>22M</v>
      </c>
      <c r="BB44" s="26">
        <f t="shared" si="11"/>
        <v>-11312.955049763932</v>
      </c>
      <c r="BC44" s="23">
        <f>(EurMkt!BW40-'reference set'!AS50)*100</f>
        <v>1.3628499999995825E-2</v>
      </c>
      <c r="BD44" s="22">
        <f t="shared" si="12"/>
        <v>-154.17860789566052</v>
      </c>
      <c r="BE44" s="16"/>
      <c r="BF44" s="401"/>
      <c r="BG44" s="401"/>
      <c r="BH44" s="401"/>
      <c r="BI44" s="401"/>
      <c r="BJ44" s="401"/>
      <c r="BK44" s="401"/>
      <c r="BL44" s="401"/>
      <c r="BM44" s="401"/>
      <c r="BN44" s="401"/>
      <c r="BO44" s="401"/>
      <c r="BP44" s="401"/>
      <c r="BQ44" s="401"/>
      <c r="BR44" s="401"/>
      <c r="BS44" s="401"/>
      <c r="BT44" s="401"/>
      <c r="BU44" s="401"/>
      <c r="BV44" s="401"/>
      <c r="BW44" s="401"/>
      <c r="BX44" s="401"/>
      <c r="BY44" s="401"/>
      <c r="BZ44" s="401"/>
      <c r="CA44" s="401"/>
      <c r="CB44" s="401"/>
      <c r="CC44" s="401"/>
      <c r="CD44" s="401"/>
      <c r="CE44" s="401"/>
      <c r="CF44" s="401"/>
      <c r="CG44" s="401"/>
      <c r="CH44" s="401"/>
      <c r="CI44" s="401"/>
      <c r="CJ44" s="401"/>
      <c r="CK44" s="401"/>
      <c r="CL44" s="401"/>
      <c r="CM44" s="401"/>
      <c r="CN44" s="401"/>
      <c r="CO44" s="401"/>
      <c r="CP44" s="401"/>
    </row>
    <row r="45" spans="1:94" ht="15" customHeight="1">
      <c r="A45" s="207" t="str">
        <v>23M</v>
      </c>
      <c r="B45" s="163" t="str">
        <f t="shared" si="13"/>
        <v>23M</v>
      </c>
      <c r="C45" s="163" t="s">
        <v>508</v>
      </c>
      <c r="D45" s="302">
        <f t="shared" si="14"/>
        <v>-139880.08072177498</v>
      </c>
      <c r="E45" s="210">
        <f t="shared" si="19"/>
        <v>6957.7984455242331</v>
      </c>
      <c r="F45" s="213">
        <f t="shared" si="15"/>
        <v>0</v>
      </c>
      <c r="G45" s="214">
        <f t="shared" si="16"/>
        <v>0</v>
      </c>
      <c r="H45" s="540" t="str">
        <f t="shared" si="17"/>
        <v>12Y</v>
      </c>
      <c r="I45" s="541" t="str">
        <f t="shared" si="18"/>
        <v>W</v>
      </c>
      <c r="J45" s="26"/>
      <c r="K45" s="16"/>
      <c r="L45" s="207" t="str">
        <v>12Y</v>
      </c>
      <c r="M45" s="163" t="str">
        <v>12Y</v>
      </c>
      <c r="N45" s="163" t="str">
        <v>W</v>
      </c>
      <c r="O45" s="120">
        <f t="shared" si="0"/>
        <v>0</v>
      </c>
      <c r="P45" s="302">
        <f t="shared" si="1"/>
        <v>0</v>
      </c>
      <c r="Q45" s="23">
        <f>IF(LEN(O45)&gt;0,(EurMkt!$BN41-'reference set'!$AK51)*100,"")</f>
        <v>8.828952000000001</v>
      </c>
      <c r="R45" s="22">
        <f t="shared" si="2"/>
        <v>0</v>
      </c>
      <c r="S45" s="16"/>
      <c r="T45" s="207" t="str">
        <v>24M-30M</v>
      </c>
      <c r="U45" s="26">
        <f t="shared" si="3"/>
        <v>2306.9750758037299</v>
      </c>
      <c r="V45" s="23">
        <f>IF(LEN(Q45)&gt;0,(EurMkt!$AL41-'reference set'!$I51)*100,"")</f>
        <v>0.9060349000000002</v>
      </c>
      <c r="W45" s="22">
        <f t="shared" si="4"/>
        <v>2090.1999321083254</v>
      </c>
      <c r="X45" s="207" t="str">
        <v>23M</v>
      </c>
      <c r="Y45" s="302">
        <f>INDEX(ReMappedSens6M,MATCH(X45,BktEur6mSens!$M$6:$M$70,0))</f>
        <v>4851.1808839532823</v>
      </c>
      <c r="Z45" s="208">
        <f>INDEX(ReMappedPL6M,MATCH(X45,BktEur6mPL!$M$6:$M$70,0))</f>
        <v>485.11808839532864</v>
      </c>
      <c r="AA45" s="16"/>
      <c r="AB45" s="207" t="str">
        <v>6Y</v>
      </c>
      <c r="AC45" s="120">
        <f t="shared" si="5"/>
        <v>0</v>
      </c>
      <c r="AD45" s="26">
        <f t="shared" si="6"/>
        <v>-14488.173226355801</v>
      </c>
      <c r="AE45" s="23">
        <f>IF(LEN(AB45)&gt;0,(EurMkt!$AW41-'reference set'!$U51)*100,"")</f>
        <v>0.9000000000000008</v>
      </c>
      <c r="AF45" s="22">
        <f t="shared" si="7"/>
        <v>-13039.355903720232</v>
      </c>
      <c r="AG45" s="207" t="str">
        <v>23M</v>
      </c>
      <c r="AH45" s="256">
        <f>INDEX(ReMappedSens3M,MATCH(AG45,BktEur3mSens!$M$6:$M$70,0))</f>
        <v>0</v>
      </c>
      <c r="AI45" s="208">
        <f>INDEX(ReMappedPL3M,MATCH(AG45,BktEur3mPL!$M$6:$M$70,0))</f>
        <v>0</v>
      </c>
      <c r="AJ45" s="16"/>
      <c r="AK45" s="25" t="str">
        <v>6Y</v>
      </c>
      <c r="AL45" s="26">
        <f t="shared" si="20"/>
        <v>-599.282450301111</v>
      </c>
      <c r="AM45" s="23">
        <f>(+EurMkt!CF41-'reference set'!BA51)*100</f>
        <v>0.89999999999999991</v>
      </c>
      <c r="AN45" s="22">
        <f t="shared" si="8"/>
        <v>-539.35420527099984</v>
      </c>
      <c r="AO45" s="207" t="str">
        <v>23M</v>
      </c>
      <c r="AP45" s="302">
        <f>INDEX(ReMappedSens1M,MATCH(AO45,BktEur1mSens!$M$6:$M$70,0))</f>
        <v>0</v>
      </c>
      <c r="AQ45" s="208">
        <f>INDEX(ReMappedPL1M,MATCH(AO45,BktEur1mPL!$M$6:$M$72,0))</f>
        <v>0</v>
      </c>
      <c r="AR45" s="16"/>
      <c r="AS45" s="207" t="str">
        <v>3Y</v>
      </c>
      <c r="AT45" s="26">
        <f t="shared" si="9"/>
        <v>539.814957009826</v>
      </c>
      <c r="AU45" s="23">
        <f>(EurMkt!BF41-'reference set'!AC51)*100</f>
        <v>0</v>
      </c>
      <c r="AV45" s="22">
        <f t="shared" si="10"/>
        <v>0</v>
      </c>
      <c r="AW45" s="207" t="str">
        <v>23M</v>
      </c>
      <c r="AX45" s="302">
        <f>INDEX(ReMappedSens1Y,MATCH(AW45,BktEur1ySens!$M$6:$M$70,0))</f>
        <v>-905.85062105940199</v>
      </c>
      <c r="AY45" s="208">
        <f>INDEX(ReMappedPL1Y,MATCH(AW45,BktEur1yPL!$M$6:$M$70,0))</f>
        <v>452.92531052970077</v>
      </c>
      <c r="AZ45" s="33"/>
      <c r="BA45" s="25" t="str">
        <v>23M</v>
      </c>
      <c r="BB45" s="26">
        <f t="shared" si="11"/>
        <v>-143825.41098466885</v>
      </c>
      <c r="BC45" s="23">
        <f>(EurMkt!BW41-'reference set'!AS51)*100</f>
        <v>-4.1854600000001962E-2</v>
      </c>
      <c r="BD45" s="22">
        <f t="shared" si="12"/>
        <v>6019.7550465992035</v>
      </c>
      <c r="BE45" s="16"/>
      <c r="BF45" s="401"/>
      <c r="BG45" s="401"/>
      <c r="BH45" s="401"/>
      <c r="BI45" s="401"/>
      <c r="BJ45" s="401"/>
      <c r="BK45" s="401"/>
      <c r="BL45" s="401"/>
      <c r="BM45" s="401"/>
      <c r="BN45" s="401"/>
      <c r="BO45" s="401"/>
      <c r="BP45" s="401"/>
      <c r="BQ45" s="401"/>
      <c r="BR45" s="401"/>
      <c r="BS45" s="401"/>
      <c r="BT45" s="401"/>
      <c r="BU45" s="401"/>
      <c r="BV45" s="401"/>
      <c r="BW45" s="401"/>
      <c r="BX45" s="401"/>
      <c r="BY45" s="401"/>
      <c r="BZ45" s="401"/>
      <c r="CA45" s="401"/>
      <c r="CB45" s="401"/>
      <c r="CC45" s="401"/>
      <c r="CD45" s="401"/>
      <c r="CE45" s="401"/>
      <c r="CF45" s="401"/>
      <c r="CG45" s="401"/>
      <c r="CH45" s="401"/>
      <c r="CI45" s="401"/>
      <c r="CJ45" s="401"/>
      <c r="CK45" s="401"/>
      <c r="CL45" s="401"/>
      <c r="CM45" s="401"/>
      <c r="CN45" s="401"/>
      <c r="CO45" s="401"/>
      <c r="CP45" s="401"/>
    </row>
    <row r="46" spans="1:94" ht="15" customHeight="1">
      <c r="A46" s="207" t="str">
        <v>2Y</v>
      </c>
      <c r="B46" s="163" t="str">
        <f t="shared" si="13"/>
        <v>2Y</v>
      </c>
      <c r="C46" s="163" t="s">
        <v>508</v>
      </c>
      <c r="D46" s="302">
        <f t="shared" si="14"/>
        <v>126828.77318420394</v>
      </c>
      <c r="E46" s="210">
        <f t="shared" si="19"/>
        <v>-14710.201827472551</v>
      </c>
      <c r="F46" s="213">
        <f t="shared" si="15"/>
        <v>1249.9999999988631</v>
      </c>
      <c r="G46" s="214">
        <f t="shared" si="16"/>
        <v>0</v>
      </c>
      <c r="H46" s="540" t="str">
        <f t="shared" si="17"/>
        <v>13Y</v>
      </c>
      <c r="I46" s="541" t="str">
        <f t="shared" si="18"/>
        <v>W</v>
      </c>
      <c r="J46" s="26"/>
      <c r="K46" s="16"/>
      <c r="L46" s="207" t="str">
        <v>13Y</v>
      </c>
      <c r="M46" s="163" t="str">
        <v>13Y</v>
      </c>
      <c r="N46" s="163" t="str">
        <v>W</v>
      </c>
      <c r="O46" s="120">
        <f t="shared" si="0"/>
        <v>0</v>
      </c>
      <c r="P46" s="302">
        <f t="shared" si="1"/>
        <v>0</v>
      </c>
      <c r="Q46" s="23">
        <f>IF(LEN(O46)&gt;0,(EurMkt!$BN42-'reference set'!$AK52)*100,"")</f>
        <v>7.748333400000007</v>
      </c>
      <c r="R46" s="22">
        <f t="shared" si="2"/>
        <v>0</v>
      </c>
      <c r="S46" s="16"/>
      <c r="T46" s="207" t="str">
        <v>3Y</v>
      </c>
      <c r="U46" s="26">
        <f t="shared" si="3"/>
        <v>15339.326027818999</v>
      </c>
      <c r="V46" s="23">
        <f>IF(LEN(Q46)&gt;0,(EurMkt!$AL42-'reference set'!$I52)*100,"")</f>
        <v>0.10000000000000009</v>
      </c>
      <c r="W46" s="22">
        <f t="shared" si="4"/>
        <v>1533.9326027819013</v>
      </c>
      <c r="X46" s="207" t="str">
        <v>2Y</v>
      </c>
      <c r="Y46" s="302">
        <f>INDEX(ReMappedSens6M,MATCH(X46,BktEur6mSens!$M$6:$M$70,0))</f>
        <v>1547.5278953858669</v>
      </c>
      <c r="Z46" s="208">
        <f>INDEX(ReMappedPL6M,MATCH(X46,BktEur6mPL!$M$6:$M$70,0))</f>
        <v>2014.2552140665396</v>
      </c>
      <c r="AA46" s="16"/>
      <c r="AB46" s="207" t="str">
        <v>7Y</v>
      </c>
      <c r="AC46" s="120">
        <f t="shared" si="5"/>
        <v>0</v>
      </c>
      <c r="AD46" s="26">
        <f t="shared" si="6"/>
        <v>43502.008095943696</v>
      </c>
      <c r="AE46" s="23">
        <f>IF(LEN(AB46)&gt;0,(EurMkt!$AW42-'reference set'!$U52)*100,"")</f>
        <v>1.0000000000000009</v>
      </c>
      <c r="AF46" s="22">
        <f t="shared" si="7"/>
        <v>43502.008095943733</v>
      </c>
      <c r="AG46" s="207" t="str">
        <v>2Y</v>
      </c>
      <c r="AH46" s="256">
        <f>INDEX(ReMappedSens3M,MATCH(AG46,BktEur3mSens!$M$6:$M$70,0))</f>
        <v>-44121.506572184437</v>
      </c>
      <c r="AI46" s="208">
        <f>INDEX(ReMappedPL3M,MATCH(AG46,BktEur3mPL!$M$6:$M$70,0))</f>
        <v>-316.51515316700716</v>
      </c>
      <c r="AJ46" s="16"/>
      <c r="AK46" s="25" t="str">
        <v>7Y</v>
      </c>
      <c r="AL46" s="26">
        <f t="shared" si="20"/>
        <v>1497.19335187301</v>
      </c>
      <c r="AM46" s="23">
        <f>(+EurMkt!CF42-'reference set'!BA52)*100</f>
        <v>1.0000000000000009</v>
      </c>
      <c r="AN46" s="22">
        <f t="shared" si="8"/>
        <v>1497.1933518730114</v>
      </c>
      <c r="AO46" s="207" t="str">
        <v>2Y</v>
      </c>
      <c r="AP46" s="302">
        <f>INDEX(ReMappedSens1M,MATCH(AO46,BktEur1mSens!$M$6:$M$70,0))</f>
        <v>-2256.6722757138587</v>
      </c>
      <c r="AQ46" s="208">
        <f>INDEX(ReMappedPL1M,MATCH(AO46,BktEur1mPL!$M$6:$M$72,0))</f>
        <v>6.4722918815619579</v>
      </c>
      <c r="AR46" s="16"/>
      <c r="AS46" s="207" t="str">
        <v>4Y</v>
      </c>
      <c r="AT46" s="26">
        <f t="shared" si="9"/>
        <v>-499.627648172308</v>
      </c>
      <c r="AU46" s="23">
        <f>(EurMkt!BF42-'reference set'!AC52)*100</f>
        <v>0.30000000000000027</v>
      </c>
      <c r="AV46" s="22">
        <f t="shared" si="10"/>
        <v>-149.88829445169253</v>
      </c>
      <c r="AW46" s="207" t="str">
        <v>2Y</v>
      </c>
      <c r="AX46" s="302">
        <f>INDEX(ReMappedSens1Y,MATCH(AW46,BktEur1ySens!$M$6:$M$70,0))</f>
        <v>1246.17941645214</v>
      </c>
      <c r="AY46" s="208">
        <f>INDEX(ReMappedPL1Y,MATCH(AW46,BktEur1yPL!$M$6:$M$70,0))</f>
        <v>-623.08970822606977</v>
      </c>
      <c r="AZ46" s="33"/>
      <c r="BA46" s="25" t="str">
        <v>2Y</v>
      </c>
      <c r="BB46" s="26">
        <f t="shared" si="11"/>
        <v>170413.24472026422</v>
      </c>
      <c r="BC46" s="23">
        <f>(EurMkt!BW42-'reference set'!AS52)*100</f>
        <v>-0.10000000000000009</v>
      </c>
      <c r="BD46" s="22">
        <f t="shared" si="12"/>
        <v>-17041.324472026437</v>
      </c>
      <c r="BE46" s="16"/>
      <c r="BF46" s="401"/>
      <c r="BG46" s="401"/>
      <c r="BH46" s="401"/>
      <c r="BI46" s="401"/>
      <c r="BJ46" s="401"/>
      <c r="BK46" s="401"/>
      <c r="BL46" s="401"/>
      <c r="BM46" s="401"/>
      <c r="BN46" s="401"/>
      <c r="BO46" s="401"/>
      <c r="BP46" s="401"/>
      <c r="BQ46" s="401"/>
      <c r="BR46" s="401"/>
      <c r="BS46" s="401"/>
      <c r="BT46" s="401"/>
      <c r="BU46" s="401"/>
      <c r="BV46" s="401"/>
      <c r="BW46" s="401"/>
      <c r="BX46" s="401"/>
      <c r="BY46" s="401"/>
      <c r="BZ46" s="401"/>
      <c r="CA46" s="401"/>
      <c r="CB46" s="401"/>
      <c r="CC46" s="401"/>
      <c r="CD46" s="401"/>
      <c r="CE46" s="401"/>
      <c r="CF46" s="401"/>
      <c r="CG46" s="401"/>
      <c r="CH46" s="401"/>
      <c r="CI46" s="401"/>
      <c r="CJ46" s="401"/>
      <c r="CK46" s="401"/>
      <c r="CL46" s="401"/>
      <c r="CM46" s="401"/>
      <c r="CN46" s="401"/>
      <c r="CO46" s="401"/>
      <c r="CP46" s="401"/>
    </row>
    <row r="47" spans="1:94" ht="15" customHeight="1">
      <c r="A47" s="207" t="str">
        <v>3Y</v>
      </c>
      <c r="B47" s="163" t="str">
        <f t="shared" si="13"/>
        <v>3Y</v>
      </c>
      <c r="C47" s="163" t="s">
        <v>508</v>
      </c>
      <c r="D47" s="302">
        <f>Y47+AP47+AX47+AH47+BB47+O37</f>
        <v>-6370.4193905878146</v>
      </c>
      <c r="E47" s="210">
        <f t="shared" si="19"/>
        <v>-1350.3671395414217</v>
      </c>
      <c r="F47" s="213">
        <f t="shared" si="15"/>
        <v>0</v>
      </c>
      <c r="G47" s="214">
        <f t="shared" si="16"/>
        <v>0</v>
      </c>
      <c r="H47" s="540" t="str">
        <f t="shared" si="17"/>
        <v>14Y</v>
      </c>
      <c r="I47" s="541" t="str">
        <f t="shared" si="18"/>
        <v>W</v>
      </c>
      <c r="J47" s="26"/>
      <c r="K47" s="16"/>
      <c r="L47" s="207" t="str">
        <v>14Y</v>
      </c>
      <c r="M47" s="163" t="str">
        <v>14Y</v>
      </c>
      <c r="N47" s="163" t="str">
        <v>W</v>
      </c>
      <c r="O47" s="120">
        <f t="shared" si="0"/>
        <v>0</v>
      </c>
      <c r="P47" s="302">
        <f t="shared" si="1"/>
        <v>0</v>
      </c>
      <c r="Q47" s="23">
        <f>IF(LEN(O47)&gt;0,(EurMkt!$BN43-'reference set'!$AK53)*100,"")</f>
        <v>6.8068860000000004</v>
      </c>
      <c r="R47" s="22">
        <f t="shared" si="2"/>
        <v>0</v>
      </c>
      <c r="S47" s="16"/>
      <c r="T47" s="207" t="str">
        <v>4Y</v>
      </c>
      <c r="U47" s="26">
        <f t="shared" si="3"/>
        <v>-1738.4900660464</v>
      </c>
      <c r="V47" s="23">
        <f>IF(LEN(Q47)&gt;0,(EurMkt!$AL43-'reference set'!$I53)*100,"")</f>
        <v>0.4</v>
      </c>
      <c r="W47" s="22">
        <f t="shared" si="4"/>
        <v>-695.39602641856004</v>
      </c>
      <c r="X47" s="207" t="str">
        <v>3Y</v>
      </c>
      <c r="Y47" s="302">
        <f>INDEX(ReMappedSens6M,MATCH(X47,BktEur6mSens!$M$6:$M$70,0))</f>
        <v>15339.326027818999</v>
      </c>
      <c r="Z47" s="208">
        <f>INDEX(ReMappedPL6M,MATCH(X47,BktEur6mPL!$M$6:$M$70,0))</f>
        <v>1533.9326027819013</v>
      </c>
      <c r="AA47" s="16"/>
      <c r="AB47" s="207" t="str">
        <v>8Y</v>
      </c>
      <c r="AC47" s="120">
        <f t="shared" si="5"/>
        <v>0</v>
      </c>
      <c r="AD47" s="26">
        <f t="shared" si="6"/>
        <v>-5622.0789885126396</v>
      </c>
      <c r="AE47" s="23">
        <f>IF(LEN(AB47)&gt;0,(EurMkt!$AW43-'reference set'!$U53)*100,"")</f>
        <v>1.0000000000000009</v>
      </c>
      <c r="AF47" s="22">
        <f t="shared" si="7"/>
        <v>-5622.0789885126442</v>
      </c>
      <c r="AG47" s="207" t="str">
        <v>3Y</v>
      </c>
      <c r="AH47" s="256">
        <f>INDEX(ReMappedSens3M,MATCH(AG47,BktEur3mSens!$M$6:$M$70,0))</f>
        <v>-9916.4616470258989</v>
      </c>
      <c r="AI47" s="208">
        <f>INDEX(ReMappedPL3M,MATCH(AG47,BktEur3mPL!$M$6:$M$70,0))</f>
        <v>-1430.4481707135865</v>
      </c>
      <c r="AJ47" s="16"/>
      <c r="AK47" s="25" t="str">
        <v>8Y</v>
      </c>
      <c r="AL47" s="26">
        <f t="shared" si="20"/>
        <v>10935.487610640301</v>
      </c>
      <c r="AM47" s="23">
        <f>(+EurMkt!CF43-'reference set'!BA53)*100</f>
        <v>1.100000000000001</v>
      </c>
      <c r="AN47" s="22">
        <f t="shared" si="8"/>
        <v>12029.036371704342</v>
      </c>
      <c r="AO47" s="207" t="str">
        <v>3Y</v>
      </c>
      <c r="AP47" s="302">
        <f>INDEX(ReMappedSens1M,MATCH(AO47,BktEur1mSens!$M$6:$M$70,0))</f>
        <v>5710.9816593783353</v>
      </c>
      <c r="AQ47" s="208">
        <f>INDEX(ReMappedPL1M,MATCH(AO47,BktEur1mPL!$M$6:$M$72,0))</f>
        <v>446.14476099528372</v>
      </c>
      <c r="AR47" s="16"/>
      <c r="AS47" s="207" t="str">
        <v>5Y</v>
      </c>
      <c r="AT47" s="26">
        <f t="shared" si="9"/>
        <v>-726.10747468906504</v>
      </c>
      <c r="AU47" s="23">
        <f>(EurMkt!BF43-'reference set'!AC53)*100</f>
        <v>0.50000000000000044</v>
      </c>
      <c r="AV47" s="22">
        <f t="shared" si="10"/>
        <v>-363.05373734453286</v>
      </c>
      <c r="AW47" s="207" t="str">
        <v>3Y</v>
      </c>
      <c r="AX47" s="302">
        <f>INDEX(ReMappedSens1Y,MATCH(AW47,BktEur1ySens!$M$6:$M$70,0))</f>
        <v>539.814957009826</v>
      </c>
      <c r="AY47" s="208">
        <f>INDEX(ReMappedPL1Y,MATCH(AW47,BktEur1yPL!$M$6:$M$70,0))</f>
        <v>0</v>
      </c>
      <c r="AZ47" s="33"/>
      <c r="BA47" s="25" t="str">
        <v>3Y</v>
      </c>
      <c r="BB47" s="26">
        <f t="shared" si="11"/>
        <v>-18999.963326051242</v>
      </c>
      <c r="BC47" s="23">
        <f>(EurMkt!BW43-'reference set'!AS53)*100</f>
        <v>9.9999999999994538E-2</v>
      </c>
      <c r="BD47" s="22">
        <f t="shared" si="12"/>
        <v>-1899.9963326050204</v>
      </c>
      <c r="BE47" s="16"/>
      <c r="BF47" s="401"/>
      <c r="BG47" s="401"/>
      <c r="BH47" s="401"/>
      <c r="BI47" s="401"/>
      <c r="BJ47" s="401"/>
      <c r="BK47" s="401"/>
      <c r="BL47" s="401"/>
      <c r="BM47" s="401"/>
      <c r="BN47" s="401"/>
      <c r="BO47" s="401"/>
      <c r="BP47" s="401"/>
      <c r="BQ47" s="401"/>
      <c r="BR47" s="401"/>
      <c r="BS47" s="401"/>
      <c r="BT47" s="401"/>
      <c r="BU47" s="401"/>
      <c r="BV47" s="401"/>
      <c r="BW47" s="401"/>
      <c r="BX47" s="401"/>
      <c r="BY47" s="401"/>
      <c r="BZ47" s="401"/>
      <c r="CA47" s="401"/>
      <c r="CB47" s="401"/>
      <c r="CC47" s="401"/>
      <c r="CD47" s="401"/>
      <c r="CE47" s="401"/>
      <c r="CF47" s="401"/>
      <c r="CG47" s="401"/>
      <c r="CH47" s="401"/>
      <c r="CI47" s="401"/>
      <c r="CJ47" s="401"/>
      <c r="CK47" s="401"/>
      <c r="CL47" s="401"/>
      <c r="CM47" s="401"/>
      <c r="CN47" s="401"/>
      <c r="CO47" s="401"/>
      <c r="CP47" s="401"/>
    </row>
    <row r="48" spans="1:94" ht="15" customHeight="1">
      <c r="A48" s="207" t="str">
        <v>4Y</v>
      </c>
      <c r="B48" s="163" t="str">
        <f t="shared" si="13"/>
        <v>4Y</v>
      </c>
      <c r="C48" s="163" t="s">
        <v>508</v>
      </c>
      <c r="D48" s="302">
        <f t="shared" ref="D48:D74" si="21">Y48+AP48+AX48+AH48+BB48+O38</f>
        <v>8210.2612925887624</v>
      </c>
      <c r="E48" s="210">
        <f t="shared" si="19"/>
        <v>-640.55495677339059</v>
      </c>
      <c r="F48" s="213">
        <f t="shared" si="15"/>
        <v>0</v>
      </c>
      <c r="G48" s="214">
        <f t="shared" si="16"/>
        <v>0</v>
      </c>
      <c r="H48" s="540" t="str">
        <f t="shared" si="17"/>
        <v>15Y</v>
      </c>
      <c r="I48" s="541" t="str">
        <f t="shared" si="18"/>
        <v>W</v>
      </c>
      <c r="J48" s="26"/>
      <c r="K48" s="16"/>
      <c r="L48" s="207" t="str">
        <v>15Y</v>
      </c>
      <c r="M48" s="163" t="str">
        <v>15Y</v>
      </c>
      <c r="N48" s="163" t="str">
        <v>W</v>
      </c>
      <c r="O48" s="120">
        <f t="shared" si="0"/>
        <v>0</v>
      </c>
      <c r="P48" s="302">
        <f t="shared" si="1"/>
        <v>0</v>
      </c>
      <c r="Q48" s="23">
        <f>IF(LEN(O48)&gt;0,(EurMkt!$BN44-'reference set'!$AK54)*100,"")</f>
        <v>5.9445418000000139</v>
      </c>
      <c r="R48" s="22">
        <f t="shared" si="2"/>
        <v>0</v>
      </c>
      <c r="S48" s="16"/>
      <c r="T48" s="207" t="str">
        <v>5Y</v>
      </c>
      <c r="U48" s="26">
        <f t="shared" si="3"/>
        <v>-3531.8524247124701</v>
      </c>
      <c r="V48" s="23">
        <f>IF(LEN(Q48)&gt;0,(EurMkt!$AL44-'reference set'!$I54)*100,"")</f>
        <v>0.60000000000000053</v>
      </c>
      <c r="W48" s="22">
        <f t="shared" si="4"/>
        <v>-2119.1114548274841</v>
      </c>
      <c r="X48" s="207" t="str">
        <v>4Y</v>
      </c>
      <c r="Y48" s="302">
        <f>INDEX(ReMappedSens6M,MATCH(X48,BktEur6mSens!$M$6:$M$70,0))</f>
        <v>-1738.4900660464</v>
      </c>
      <c r="Z48" s="208">
        <f>INDEX(ReMappedPL6M,MATCH(X48,BktEur6mPL!$M$6:$M$70,0))</f>
        <v>-695.39602641856004</v>
      </c>
      <c r="AA48" s="16"/>
      <c r="AB48" s="207" t="str">
        <v>9Y</v>
      </c>
      <c r="AC48" s="120">
        <f t="shared" si="5"/>
        <v>0</v>
      </c>
      <c r="AD48" s="26">
        <f t="shared" si="6"/>
        <v>13478.4848765076</v>
      </c>
      <c r="AE48" s="23">
        <f>IF(LEN(AB48)&gt;0,(EurMkt!$AW44-'reference set'!$U54)*100,"")</f>
        <v>1.2000000000000011</v>
      </c>
      <c r="AF48" s="22">
        <f t="shared" si="7"/>
        <v>16174.181851809135</v>
      </c>
      <c r="AG48" s="207" t="str">
        <v>4Y</v>
      </c>
      <c r="AH48" s="256">
        <f>INDEX(ReMappedSens3M,MATCH(AG48,BktEur3mSens!$M$6:$M$70,0))</f>
        <v>-18717.013622028</v>
      </c>
      <c r="AI48" s="208">
        <f>INDEX(ReMappedPL3M,MATCH(AG48,BktEur3mPL!$M$6:$M$70,0))</f>
        <v>-7486.8054488111811</v>
      </c>
      <c r="AJ48" s="16"/>
      <c r="AK48" s="25" t="str">
        <v>9Y</v>
      </c>
      <c r="AL48" s="26">
        <f t="shared" si="20"/>
        <v>-64294.064739210698</v>
      </c>
      <c r="AM48" s="23">
        <f>(+EurMkt!CF44-'reference set'!BA54)*100</f>
        <v>1.2000000000000011</v>
      </c>
      <c r="AN48" s="22">
        <f t="shared" si="8"/>
        <v>-77152.877687052911</v>
      </c>
      <c r="AO48" s="207" t="str">
        <v>4Y</v>
      </c>
      <c r="AP48" s="302">
        <f>INDEX(ReMappedSens1M,MATCH(AO48,BktEur1mSens!$M$6:$M$70,0))</f>
        <v>-6144.0978926827902</v>
      </c>
      <c r="AQ48" s="208">
        <f>INDEX(ReMappedPL1M,MATCH(AO48,BktEur1mPL!$M$6:$M$72,0))</f>
        <v>-2457.6391570731184</v>
      </c>
      <c r="AR48" s="16"/>
      <c r="AS48" s="207" t="str">
        <v>6Y</v>
      </c>
      <c r="AT48" s="26">
        <f t="shared" si="9"/>
        <v>169.333386094302</v>
      </c>
      <c r="AU48" s="23">
        <f>(EurMkt!BF44-'reference set'!AC54)*100</f>
        <v>0.70000000000000062</v>
      </c>
      <c r="AV48" s="22">
        <f t="shared" si="10"/>
        <v>118.5333702660115</v>
      </c>
      <c r="AW48" s="207" t="str">
        <v>4Y</v>
      </c>
      <c r="AX48" s="302">
        <f>INDEX(ReMappedSens1Y,MATCH(AW48,BktEur1ySens!$M$6:$M$70,0))</f>
        <v>-499.627648172308</v>
      </c>
      <c r="AY48" s="208">
        <f>INDEX(ReMappedPL1Y,MATCH(AW48,BktEur1yPL!$M$6:$M$70,0))</f>
        <v>-149.88829445169253</v>
      </c>
      <c r="AZ48" s="33"/>
      <c r="BA48" s="25" t="str">
        <v>4Y</v>
      </c>
      <c r="BB48" s="26">
        <f t="shared" si="11"/>
        <v>33830.579899937482</v>
      </c>
      <c r="BC48" s="23">
        <f>(EurMkt!BW44-'reference set'!AS54)*100</f>
        <v>0.29999999999999749</v>
      </c>
      <c r="BD48" s="22">
        <f t="shared" si="12"/>
        <v>10149.173969981161</v>
      </c>
      <c r="BE48" s="16"/>
      <c r="BF48" s="401"/>
      <c r="BG48" s="401"/>
      <c r="BH48" s="401"/>
      <c r="BI48" s="401"/>
      <c r="BJ48" s="401"/>
      <c r="BK48" s="401"/>
      <c r="BL48" s="401"/>
      <c r="BM48" s="401"/>
      <c r="BN48" s="401"/>
      <c r="BO48" s="401"/>
      <c r="BP48" s="401"/>
      <c r="BQ48" s="401"/>
      <c r="BR48" s="401"/>
      <c r="BS48" s="401"/>
      <c r="BT48" s="401"/>
      <c r="BU48" s="401"/>
      <c r="BV48" s="401"/>
      <c r="BW48" s="401"/>
      <c r="BX48" s="401"/>
      <c r="BY48" s="401"/>
      <c r="BZ48" s="401"/>
      <c r="CA48" s="401"/>
      <c r="CB48" s="401"/>
      <c r="CC48" s="401"/>
      <c r="CD48" s="401"/>
      <c r="CE48" s="401"/>
      <c r="CF48" s="401"/>
      <c r="CG48" s="401"/>
      <c r="CH48" s="401"/>
      <c r="CI48" s="401"/>
      <c r="CJ48" s="401"/>
      <c r="CK48" s="401"/>
      <c r="CL48" s="401"/>
      <c r="CM48" s="401"/>
      <c r="CN48" s="401"/>
      <c r="CO48" s="401"/>
      <c r="CP48" s="401"/>
    </row>
    <row r="49" spans="1:94" ht="15" customHeight="1">
      <c r="A49" s="207" t="str">
        <v>5Y</v>
      </c>
      <c r="B49" s="163" t="str">
        <f t="shared" si="13"/>
        <v>5Y</v>
      </c>
      <c r="C49" s="163" t="s">
        <v>508</v>
      </c>
      <c r="D49" s="302">
        <f t="shared" si="21"/>
        <v>-8736.9945260981822</v>
      </c>
      <c r="E49" s="210">
        <f t="shared" si="19"/>
        <v>-2969.353224543871</v>
      </c>
      <c r="F49" s="213">
        <f t="shared" si="15"/>
        <v>0</v>
      </c>
      <c r="G49" s="214">
        <f t="shared" si="16"/>
        <v>2199.9999999992497</v>
      </c>
      <c r="H49" s="540" t="str">
        <f t="shared" si="17"/>
        <v>16Y</v>
      </c>
      <c r="I49" s="541" t="str">
        <f t="shared" si="18"/>
        <v>W</v>
      </c>
      <c r="J49" s="26"/>
      <c r="K49" s="16"/>
      <c r="L49" s="207" t="str">
        <v>16Y</v>
      </c>
      <c r="M49" s="163" t="str">
        <v>16Y</v>
      </c>
      <c r="N49" s="163" t="str">
        <v>W</v>
      </c>
      <c r="O49" s="120">
        <f t="shared" ref="O49:O76" si="22">IF(N49="W",IF(VALUE(LEFT(M49,LEN(M49)-1))&gt;=3,VLOOKUP($P$4&amp;M49,SensFUT,$O$3,FALSE),0),0)</f>
        <v>0</v>
      </c>
      <c r="P49" s="302">
        <f t="shared" ref="P49:P77" si="23">IF(LEN(M49)&gt;0,VLOOKUP(M49,IRD,$Q$3,FALSE)-O49,"")</f>
        <v>0</v>
      </c>
      <c r="Q49" s="23">
        <f>IF(LEN(O49)&gt;0,(EurMkt!$BN45-'reference set'!$AK55)*100,"")</f>
        <v>5.123802700000013</v>
      </c>
      <c r="R49" s="22">
        <f t="shared" ref="R49:R77" si="24">IFERROR(P49*Q49,0)</f>
        <v>0</v>
      </c>
      <c r="S49" s="16"/>
      <c r="T49" s="207" t="str">
        <v>6Y</v>
      </c>
      <c r="U49" s="26">
        <f t="shared" ref="U49:U80" si="25">IF(LEN(T49)&gt;0,VLOOKUP($U$4&amp;T49,Sens,$U$3,FALSE),"")</f>
        <v>-11659.5805942754</v>
      </c>
      <c r="V49" s="23">
        <f>IF(LEN(Q49)&gt;0,(EurMkt!$AL45-'reference set'!$I55)*100,"")</f>
        <v>0.80000000000000071</v>
      </c>
      <c r="W49" s="22">
        <f t="shared" ref="W49:W80" si="26">IFERROR(U49*V49,0)</f>
        <v>-9327.664475420328</v>
      </c>
      <c r="X49" s="207" t="str">
        <v>5Y</v>
      </c>
      <c r="Y49" s="302">
        <f>INDEX(ReMappedSens6M,MATCH(X49,BktEur6mSens!$M$6:$M$70,0))</f>
        <v>-3531.8524247124701</v>
      </c>
      <c r="Z49" s="208">
        <f>INDEX(ReMappedPL6M,MATCH(X49,BktEur6mPL!$M$6:$M$70,0))</f>
        <v>-2119.1114548274841</v>
      </c>
      <c r="AA49" s="16"/>
      <c r="AB49" s="207" t="str">
        <v>10Y</v>
      </c>
      <c r="AC49" s="120">
        <f t="shared" ref="AC49:AC80" si="27">VLOOKUP($AD$4&amp;AB49,SensFUT,$AC$3,FALSE)</f>
        <v>0</v>
      </c>
      <c r="AD49" s="26">
        <f t="shared" ref="AD49:AD80" si="28">IF(LEN(AB49)&gt;0,VLOOKUP($AD$4&amp;AB49,Sens,$AD$3,FALSE)-AC49,"")</f>
        <v>-89005.369400818905</v>
      </c>
      <c r="AE49" s="23">
        <f>IF(LEN(AB49)&gt;0,(EurMkt!$AW45-'reference set'!$U55)*100,"")</f>
        <v>1.2000000000000011</v>
      </c>
      <c r="AF49" s="22">
        <f t="shared" ref="AF49:AF80" si="29">IFERROR(AD49*AE49,0)</f>
        <v>-106806.44328098278</v>
      </c>
      <c r="AG49" s="207" t="str">
        <v>5Y</v>
      </c>
      <c r="AH49" s="256">
        <f>INDEX(ReMappedSens3M,MATCH(AG49,BktEur3mSens!$M$6:$M$70,0))</f>
        <v>15659.1061716777</v>
      </c>
      <c r="AI49" s="208">
        <f>INDEX(ReMappedPL3M,MATCH(AG49,BktEur3mPL!$M$6:$M$70,0))</f>
        <v>9395.4637030066206</v>
      </c>
      <c r="AJ49" s="16"/>
      <c r="AK49" s="25" t="str">
        <v>10Y</v>
      </c>
      <c r="AL49" s="26">
        <f t="shared" ref="AL49:AL79" si="30">IF(LEN(AK49)&gt;0,VLOOKUP($AL$4&amp;AK49,Sens,$AL$3,FALSE),"")</f>
        <v>-22709.083387828901</v>
      </c>
      <c r="AM49" s="23">
        <f>(+EurMkt!CF45-'reference set'!BA55)*100</f>
        <v>1.2000000000000011</v>
      </c>
      <c r="AN49" s="22">
        <f t="shared" ref="AN49:AN79" si="31">IFERROR(AL49*AM49,0)</f>
        <v>-27250.900065394704</v>
      </c>
      <c r="AO49" s="207" t="str">
        <v>5Y</v>
      </c>
      <c r="AP49" s="302">
        <f>INDEX(ReMappedSens1M,MATCH(AO49,BktEur1mSens!$M$6:$M$70,0))</f>
        <v>-9030.7303297496092</v>
      </c>
      <c r="AQ49" s="208">
        <f>INDEX(ReMappedPL1M,MATCH(AO49,BktEur1mPL!$M$6:$M$72,0))</f>
        <v>-5418.4381978497586</v>
      </c>
      <c r="AR49" s="16"/>
      <c r="AS49" s="207" t="str">
        <v>7Y</v>
      </c>
      <c r="AT49" s="26">
        <f t="shared" ref="AT49:AT80" si="32">IF(LEN(AS49)&gt;0,VLOOKUP($AT$4&amp;AS49,Sens,$AT$3,FALSE),"")</f>
        <v>78.8475576590168</v>
      </c>
      <c r="AU49" s="23">
        <f>(EurMkt!BF45-'reference set'!AC55)*100</f>
        <v>0.80000000000000071</v>
      </c>
      <c r="AV49" s="22">
        <f t="shared" ref="AV49:AV80" si="33">IFERROR(AT49*AU49,0)</f>
        <v>63.078046127213497</v>
      </c>
      <c r="AW49" s="207" t="str">
        <v>5Y</v>
      </c>
      <c r="AX49" s="302">
        <f>INDEX(ReMappedSens1Y,MATCH(AW49,BktEur1ySens!$M$6:$M$70,0))</f>
        <v>-726.10747468906504</v>
      </c>
      <c r="AY49" s="208">
        <f>INDEX(ReMappedPL1Y,MATCH(AW49,BktEur1yPL!$M$6:$M$70,0))</f>
        <v>-363.05373734453286</v>
      </c>
      <c r="AZ49" s="33"/>
      <c r="BA49" s="25" t="str">
        <v>5Y</v>
      </c>
      <c r="BB49" s="26">
        <f t="shared" ref="BB49:BB78" si="34">IF(LEN(BA49)&gt;0,VLOOKUP($BB$4&amp;BA49,Sens,$BB$3,FALSE)+VLOOKUP($BC$4&amp;BA49,Sens,$BB$3,FALSE),"")</f>
        <v>-11107.022562546599</v>
      </c>
      <c r="BC49" s="23">
        <f>(EurMkt!BW45-'reference set'!AS55)*100</f>
        <v>0.60000000000000053</v>
      </c>
      <c r="BD49" s="22">
        <f t="shared" ref="BD49:BD78" si="35">IFERROR(BB49*BC49,0)</f>
        <v>-6664.2135375279659</v>
      </c>
      <c r="BE49" s="16"/>
      <c r="BF49" s="401"/>
      <c r="BG49" s="401"/>
      <c r="BH49" s="401"/>
      <c r="BI49" s="401"/>
      <c r="BJ49" s="401"/>
      <c r="BK49" s="401"/>
      <c r="BL49" s="401"/>
      <c r="BM49" s="401"/>
      <c r="BN49" s="401"/>
      <c r="BO49" s="401"/>
      <c r="BP49" s="401"/>
      <c r="BQ49" s="401"/>
      <c r="BR49" s="401"/>
      <c r="BS49" s="401"/>
      <c r="BT49" s="401"/>
      <c r="BU49" s="401"/>
      <c r="BV49" s="401"/>
      <c r="BW49" s="401"/>
      <c r="BX49" s="401"/>
      <c r="BY49" s="401"/>
      <c r="BZ49" s="401"/>
      <c r="CA49" s="401"/>
      <c r="CB49" s="401"/>
      <c r="CC49" s="401"/>
      <c r="CD49" s="401"/>
      <c r="CE49" s="401"/>
      <c r="CF49" s="401"/>
      <c r="CG49" s="401"/>
      <c r="CH49" s="401"/>
      <c r="CI49" s="401"/>
      <c r="CJ49" s="401"/>
      <c r="CK49" s="401"/>
      <c r="CL49" s="401"/>
      <c r="CM49" s="401"/>
      <c r="CN49" s="401"/>
      <c r="CO49" s="401"/>
      <c r="CP49" s="401"/>
    </row>
    <row r="50" spans="1:94" ht="15" customHeight="1">
      <c r="A50" s="207" t="str">
        <v>6Y</v>
      </c>
      <c r="B50" s="163" t="str">
        <f t="shared" si="13"/>
        <v>6Y</v>
      </c>
      <c r="C50" s="163" t="s">
        <v>508</v>
      </c>
      <c r="D50" s="302">
        <f t="shared" si="21"/>
        <v>-21931.730733339231</v>
      </c>
      <c r="E50" s="210">
        <f t="shared" si="19"/>
        <v>-19070.698783063803</v>
      </c>
      <c r="F50" s="213">
        <f t="shared" ref="F50:F76" si="36">IF(B50&lt;&gt;"",SUMIF(Fut_DestBuckets,B50,PL_LifFut),0)</f>
        <v>0</v>
      </c>
      <c r="G50" s="214">
        <f t="shared" ref="G50:G76" si="37">IF(I50="F",PL_SCHATZ2Y/6,IF(B50="10Y",PL_BTP10Y,IF(B50="5Y",PL_BOBL,IF(B50="9Y",PL_BUND,IF(B50="30Y",PL_BUXL30Y,0)))))</f>
        <v>0</v>
      </c>
      <c r="H50" s="540" t="str">
        <f t="shared" si="17"/>
        <v>17Y</v>
      </c>
      <c r="I50" s="541" t="str">
        <f t="shared" si="18"/>
        <v>W</v>
      </c>
      <c r="J50" s="56"/>
      <c r="K50" s="16"/>
      <c r="L50" s="207" t="str">
        <v>17Y</v>
      </c>
      <c r="M50" s="163" t="str">
        <v>17Y</v>
      </c>
      <c r="N50" s="163" t="str">
        <v>W</v>
      </c>
      <c r="O50" s="120">
        <f t="shared" si="22"/>
        <v>0</v>
      </c>
      <c r="P50" s="302">
        <f t="shared" si="23"/>
        <v>0</v>
      </c>
      <c r="Q50" s="23">
        <f>IF(LEN(O50)&gt;0,(EurMkt!$BN46-'reference set'!$AK56)*100,"")</f>
        <v>4.3848169000000103</v>
      </c>
      <c r="R50" s="22">
        <f t="shared" si="24"/>
        <v>0</v>
      </c>
      <c r="S50" s="16"/>
      <c r="T50" s="207" t="str">
        <v>7Y</v>
      </c>
      <c r="U50" s="26">
        <f t="shared" si="25"/>
        <v>12259.0319106268</v>
      </c>
      <c r="V50" s="23">
        <f>IF(LEN(Q50)&gt;0,(EurMkt!$AL46-'reference set'!$I56)*100,"")</f>
        <v>0.9000000000000008</v>
      </c>
      <c r="W50" s="22">
        <f t="shared" si="26"/>
        <v>11033.128719564129</v>
      </c>
      <c r="X50" s="207" t="str">
        <v>6Y</v>
      </c>
      <c r="Y50" s="302">
        <f>INDEX(ReMappedSens6M,MATCH(X50,BktEur6mSens!$M$6:$M$70,0))</f>
        <v>-11659.5805942754</v>
      </c>
      <c r="Z50" s="208">
        <f>INDEX(ReMappedPL6M,MATCH(X50,BktEur6mPL!$M$6:$M$70,0))</f>
        <v>-9327.664475420328</v>
      </c>
      <c r="AA50" s="16"/>
      <c r="AB50" s="207" t="str">
        <v>11Y</v>
      </c>
      <c r="AC50" s="120">
        <f t="shared" si="27"/>
        <v>0</v>
      </c>
      <c r="AD50" s="26">
        <f t="shared" si="28"/>
        <v>-60923.497455770899</v>
      </c>
      <c r="AE50" s="23">
        <f>IF(LEN(AB50)&gt;0,(EurMkt!$AW46-'reference set'!$U56)*100,"")</f>
        <v>1.1995161000000087</v>
      </c>
      <c r="AF50" s="22">
        <f t="shared" si="29"/>
        <v>-73078.716066506764</v>
      </c>
      <c r="AG50" s="207" t="str">
        <v>6Y</v>
      </c>
      <c r="AH50" s="256">
        <f>INDEX(ReMappedSens3M,MATCH(AG50,BktEur3mSens!$M$6:$M$70,0))</f>
        <v>-14488.173226355801</v>
      </c>
      <c r="AI50" s="208">
        <f>INDEX(ReMappedPL3M,MATCH(AG50,BktEur3mPL!$M$6:$M$70,0))</f>
        <v>-13039.355903720232</v>
      </c>
      <c r="AJ50" s="16"/>
      <c r="AK50" s="25" t="str">
        <v>11Y</v>
      </c>
      <c r="AL50" s="26">
        <f t="shared" si="30"/>
        <v>165999.65515405501</v>
      </c>
      <c r="AM50" s="23">
        <f>(+EurMkt!CF46-'reference set'!BA56)*100</f>
        <v>1.2099839000000001</v>
      </c>
      <c r="AN50" s="22">
        <f t="shared" si="31"/>
        <v>200856.91014195859</v>
      </c>
      <c r="AO50" s="207" t="str">
        <v>6Y</v>
      </c>
      <c r="AP50" s="302">
        <f>INDEX(ReMappedSens1M,MATCH(AO50,BktEur1mSens!$M$6:$M$70,0))</f>
        <v>-599.282450301111</v>
      </c>
      <c r="AQ50" s="208">
        <f>INDEX(ReMappedPL1M,MATCH(AO50,BktEur1mPL!$M$6:$M$72,0))</f>
        <v>-539.35420527099984</v>
      </c>
      <c r="AR50" s="16"/>
      <c r="AS50" s="207" t="str">
        <v>8Y</v>
      </c>
      <c r="AT50" s="26">
        <f t="shared" si="32"/>
        <v>-35.766774867537599</v>
      </c>
      <c r="AU50" s="23">
        <f>(EurMkt!BF46-'reference set'!AC56)*100</f>
        <v>0.9000000000000008</v>
      </c>
      <c r="AV50" s="22">
        <f t="shared" si="33"/>
        <v>-32.190097380783868</v>
      </c>
      <c r="AW50" s="207" t="str">
        <v>6Y</v>
      </c>
      <c r="AX50" s="302">
        <f>INDEX(ReMappedSens1Y,MATCH(AW50,BktEur1ySens!$M$6:$M$70,0))</f>
        <v>169.333386094302</v>
      </c>
      <c r="AY50" s="208">
        <f>INDEX(ReMappedPL1Y,MATCH(AW50,BktEur1yPL!$M$6:$M$70,0))</f>
        <v>118.5333702660115</v>
      </c>
      <c r="AZ50" s="33"/>
      <c r="BA50" s="25" t="str">
        <v>6Y</v>
      </c>
      <c r="BB50" s="26">
        <f t="shared" si="34"/>
        <v>4646.4280388521802</v>
      </c>
      <c r="BC50" s="23">
        <f>(EurMkt!BW46-'reference set'!AS56)*100</f>
        <v>0.8</v>
      </c>
      <c r="BD50" s="22">
        <f t="shared" si="35"/>
        <v>3717.1424310817442</v>
      </c>
      <c r="BE50" s="16"/>
      <c r="BF50" s="401"/>
      <c r="BG50" s="401"/>
      <c r="BH50" s="401"/>
      <c r="BI50" s="401"/>
      <c r="BJ50" s="401"/>
      <c r="BK50" s="401"/>
      <c r="BL50" s="401"/>
      <c r="BM50" s="401"/>
      <c r="BN50" s="401"/>
      <c r="BO50" s="401"/>
      <c r="BP50" s="401"/>
      <c r="BQ50" s="401"/>
      <c r="BR50" s="401"/>
      <c r="BS50" s="401"/>
      <c r="BT50" s="401"/>
      <c r="BU50" s="401"/>
      <c r="BV50" s="401"/>
      <c r="BW50" s="401"/>
      <c r="BX50" s="401"/>
      <c r="BY50" s="401"/>
      <c r="BZ50" s="401"/>
      <c r="CA50" s="401"/>
      <c r="CB50" s="401"/>
      <c r="CC50" s="401"/>
      <c r="CD50" s="401"/>
      <c r="CE50" s="401"/>
      <c r="CF50" s="401"/>
      <c r="CG50" s="401"/>
      <c r="CH50" s="401"/>
      <c r="CI50" s="401"/>
      <c r="CJ50" s="401"/>
      <c r="CK50" s="401"/>
      <c r="CL50" s="401"/>
      <c r="CM50" s="401"/>
      <c r="CN50" s="401"/>
      <c r="CO50" s="401"/>
      <c r="CP50" s="401"/>
    </row>
    <row r="51" spans="1:94" ht="15" customHeight="1">
      <c r="A51" s="207" t="str">
        <v>7Y</v>
      </c>
      <c r="B51" s="163" t="str">
        <f t="shared" si="13"/>
        <v>7Y</v>
      </c>
      <c r="C51" s="163" t="s">
        <v>508</v>
      </c>
      <c r="D51" s="302">
        <f t="shared" si="21"/>
        <v>12909.523648280727</v>
      </c>
      <c r="E51" s="210">
        <f t="shared" si="19"/>
        <v>11704.840953833453</v>
      </c>
      <c r="F51" s="213">
        <f t="shared" si="36"/>
        <v>0</v>
      </c>
      <c r="G51" s="214">
        <f t="shared" si="37"/>
        <v>0</v>
      </c>
      <c r="H51" s="540" t="str">
        <f t="shared" si="17"/>
        <v>18Y</v>
      </c>
      <c r="I51" s="541" t="str">
        <f t="shared" si="18"/>
        <v>W</v>
      </c>
      <c r="J51" s="69"/>
      <c r="K51" s="16"/>
      <c r="L51" s="207" t="str">
        <v>18Y</v>
      </c>
      <c r="M51" s="163" t="str">
        <v>18Y</v>
      </c>
      <c r="N51" s="163" t="str">
        <v>W</v>
      </c>
      <c r="O51" s="120">
        <f t="shared" si="22"/>
        <v>0</v>
      </c>
      <c r="P51" s="302">
        <f t="shared" si="23"/>
        <v>0</v>
      </c>
      <c r="Q51" s="23">
        <f>IF(LEN(O51)&gt;0,(EurMkt!$BN47-'reference set'!$AK57)*100,"")</f>
        <v>3.786932799999998</v>
      </c>
      <c r="R51" s="22">
        <f t="shared" si="24"/>
        <v>0</v>
      </c>
      <c r="S51" s="16"/>
      <c r="T51" s="207" t="str">
        <v>8Y</v>
      </c>
      <c r="U51" s="26">
        <f t="shared" si="25"/>
        <v>-7650.3760629800699</v>
      </c>
      <c r="V51" s="23">
        <f>IF(LEN(Q51)&gt;0,(EurMkt!$AL47-'reference set'!$I57)*100,"")</f>
        <v>1.0000000000000009</v>
      </c>
      <c r="W51" s="22">
        <f t="shared" si="26"/>
        <v>-7650.3760629800763</v>
      </c>
      <c r="X51" s="207" t="str">
        <v>7Y</v>
      </c>
      <c r="Y51" s="302">
        <f>INDEX(ReMappedSens6M,MATCH(X51,BktEur6mSens!$M$6:$M$70,0))</f>
        <v>12259.0319106268</v>
      </c>
      <c r="Z51" s="208">
        <f>INDEX(ReMappedPL6M,MATCH(X51,BktEur6mPL!$M$6:$M$70,0))</f>
        <v>11033.128719564129</v>
      </c>
      <c r="AA51" s="16"/>
      <c r="AB51" s="207" t="str">
        <v>12Y</v>
      </c>
      <c r="AC51" s="120">
        <f t="shared" si="27"/>
        <v>0</v>
      </c>
      <c r="AD51" s="26">
        <f t="shared" si="28"/>
        <v>63267.3705133111</v>
      </c>
      <c r="AE51" s="23">
        <f>IF(LEN(AB51)&gt;0,(EurMkt!$AW47-'reference set'!$U57)*100,"")</f>
        <v>1.2000000000000011</v>
      </c>
      <c r="AF51" s="22">
        <f t="shared" si="29"/>
        <v>75920.844615973387</v>
      </c>
      <c r="AG51" s="207" t="str">
        <v>7Y</v>
      </c>
      <c r="AH51" s="256">
        <f>INDEX(ReMappedSens3M,MATCH(AG51,BktEur3mSens!$M$6:$M$70,0))</f>
        <v>43502.008095943696</v>
      </c>
      <c r="AI51" s="208">
        <f>INDEX(ReMappedPL3M,MATCH(AG51,BktEur3mPL!$M$6:$M$70,0))</f>
        <v>43502.008095943733</v>
      </c>
      <c r="AJ51" s="16"/>
      <c r="AK51" s="25" t="str">
        <v>12Y</v>
      </c>
      <c r="AL51" s="26">
        <f t="shared" si="30"/>
        <v>-56614.123880405998</v>
      </c>
      <c r="AM51" s="23">
        <f>(+EurMkt!CF47-'reference set'!BA57)*100</f>
        <v>1.2000000000000011</v>
      </c>
      <c r="AN51" s="22">
        <f t="shared" si="31"/>
        <v>-67936.948656487264</v>
      </c>
      <c r="AO51" s="207" t="str">
        <v>7Y</v>
      </c>
      <c r="AP51" s="302">
        <f>INDEX(ReMappedSens1M,MATCH(AO51,BktEur1mSens!$M$6:$M$70,0))</f>
        <v>1497.19335187301</v>
      </c>
      <c r="AQ51" s="208">
        <f>INDEX(ReMappedPL1M,MATCH(AO51,BktEur1mPL!$M$6:$M$72,0))</f>
        <v>1497.1933518730114</v>
      </c>
      <c r="AR51" s="16"/>
      <c r="AS51" s="207" t="str">
        <v>9Y</v>
      </c>
      <c r="AT51" s="26">
        <f t="shared" si="32"/>
        <v>-271.00985269240999</v>
      </c>
      <c r="AU51" s="23">
        <f>(EurMkt!BF47-'reference set'!AC57)*100</f>
        <v>1.0000000000000009</v>
      </c>
      <c r="AV51" s="22">
        <f t="shared" si="33"/>
        <v>-271.00985269241022</v>
      </c>
      <c r="AW51" s="207" t="str">
        <v>7Y</v>
      </c>
      <c r="AX51" s="302">
        <f>INDEX(ReMappedSens1Y,MATCH(AW51,BktEur1ySens!$M$6:$M$70,0))</f>
        <v>78.8475576590168</v>
      </c>
      <c r="AY51" s="208">
        <f>INDEX(ReMappedPL1Y,MATCH(AW51,BktEur1yPL!$M$6:$M$70,0))</f>
        <v>63.078046127213497</v>
      </c>
      <c r="AZ51" s="33"/>
      <c r="BA51" s="25" t="str">
        <v>7Y</v>
      </c>
      <c r="BB51" s="26">
        <f t="shared" si="34"/>
        <v>-44390.567259674601</v>
      </c>
      <c r="BC51" s="23">
        <f>(EurMkt!BW47-'reference set'!AS57)*100</f>
        <v>1.0000000000000009</v>
      </c>
      <c r="BD51" s="22">
        <f t="shared" si="35"/>
        <v>-44390.567259674637</v>
      </c>
      <c r="BE51" s="16"/>
      <c r="BF51" s="401"/>
      <c r="BG51" s="401"/>
      <c r="BH51" s="401"/>
      <c r="BI51" s="401"/>
      <c r="BJ51" s="401"/>
      <c r="BK51" s="401"/>
      <c r="BL51" s="401"/>
      <c r="BM51" s="401"/>
      <c r="BN51" s="401"/>
      <c r="BO51" s="401"/>
      <c r="BP51" s="401"/>
      <c r="BQ51" s="401"/>
      <c r="BR51" s="401"/>
      <c r="BS51" s="401"/>
      <c r="BT51" s="401"/>
      <c r="BU51" s="401"/>
      <c r="BV51" s="401"/>
      <c r="BW51" s="401"/>
      <c r="BX51" s="401"/>
      <c r="BY51" s="401"/>
      <c r="BZ51" s="401"/>
      <c r="CA51" s="401"/>
      <c r="CB51" s="401"/>
      <c r="CC51" s="401"/>
      <c r="CD51" s="401"/>
      <c r="CE51" s="401"/>
      <c r="CF51" s="401"/>
      <c r="CG51" s="401"/>
      <c r="CH51" s="401"/>
      <c r="CI51" s="401"/>
      <c r="CJ51" s="401"/>
      <c r="CK51" s="401"/>
      <c r="CL51" s="401"/>
      <c r="CM51" s="401"/>
      <c r="CN51" s="401"/>
      <c r="CO51" s="401"/>
      <c r="CP51" s="401"/>
    </row>
    <row r="52" spans="1:94" ht="15" customHeight="1">
      <c r="A52" s="207" t="str">
        <v>8Y</v>
      </c>
      <c r="B52" s="163" t="str">
        <f t="shared" si="13"/>
        <v>8Y</v>
      </c>
      <c r="C52" s="163" t="s">
        <v>508</v>
      </c>
      <c r="D52" s="302">
        <f t="shared" si="21"/>
        <v>-10451.632155325375</v>
      </c>
      <c r="E52" s="210">
        <f t="shared" si="19"/>
        <v>-9257.1092310892109</v>
      </c>
      <c r="F52" s="213">
        <f t="shared" si="36"/>
        <v>0</v>
      </c>
      <c r="G52" s="214">
        <f t="shared" si="37"/>
        <v>0</v>
      </c>
      <c r="H52" s="540" t="str">
        <f t="shared" si="17"/>
        <v>19Y</v>
      </c>
      <c r="I52" s="541" t="str">
        <f t="shared" si="18"/>
        <v>W</v>
      </c>
      <c r="J52" s="69"/>
      <c r="K52" s="16"/>
      <c r="L52" s="207" t="str">
        <v>19Y</v>
      </c>
      <c r="M52" s="163" t="str">
        <v>19Y</v>
      </c>
      <c r="N52" s="163" t="str">
        <v>W</v>
      </c>
      <c r="O52" s="120">
        <f t="shared" si="22"/>
        <v>0</v>
      </c>
      <c r="P52" s="302">
        <f t="shared" si="23"/>
        <v>0</v>
      </c>
      <c r="Q52" s="23">
        <f>IF(LEN(O52)&gt;0,(EurMkt!$BN48-'reference set'!$AK58)*100,"")</f>
        <v>3.2805820000000097</v>
      </c>
      <c r="R52" s="22">
        <f t="shared" si="24"/>
        <v>0</v>
      </c>
      <c r="S52" s="16"/>
      <c r="T52" s="207" t="str">
        <v>9Y</v>
      </c>
      <c r="U52" s="26">
        <f t="shared" si="25"/>
        <v>57991.350881979699</v>
      </c>
      <c r="V52" s="23">
        <f>IF(LEN(Q52)&gt;0,(EurMkt!$AL48-'reference set'!$I58)*100,"")</f>
        <v>1.100000000000001</v>
      </c>
      <c r="W52" s="22">
        <f t="shared" si="26"/>
        <v>63790.485970177724</v>
      </c>
      <c r="X52" s="207" t="str">
        <v>8Y</v>
      </c>
      <c r="Y52" s="302">
        <f>INDEX(ReMappedSens6M,MATCH(X52,BktEur6mSens!$M$6:$M$70,0))</f>
        <v>-7650.3760629800699</v>
      </c>
      <c r="Z52" s="208">
        <f>INDEX(ReMappedPL6M,MATCH(X52,BktEur6mPL!$M$6:$M$70,0))</f>
        <v>-7650.3760629800763</v>
      </c>
      <c r="AA52" s="16"/>
      <c r="AB52" s="207" t="str">
        <v>13Y</v>
      </c>
      <c r="AC52" s="120">
        <f t="shared" si="27"/>
        <v>0</v>
      </c>
      <c r="AD52" s="26">
        <f t="shared" si="28"/>
        <v>9438.17676153701</v>
      </c>
      <c r="AE52" s="23">
        <f>IF(LEN(AB52)&gt;0,(EurMkt!$AW48-'reference set'!$U58)*100,"")</f>
        <v>1.2457964000000099</v>
      </c>
      <c r="AF52" s="22">
        <f t="shared" si="29"/>
        <v>11758.04663208656</v>
      </c>
      <c r="AG52" s="207" t="str">
        <v>8Y</v>
      </c>
      <c r="AH52" s="256">
        <f>INDEX(ReMappedSens3M,MATCH(AG52,BktEur3mSens!$M$6:$M$70,0))</f>
        <v>-5622.0789885126396</v>
      </c>
      <c r="AI52" s="208">
        <f>INDEX(ReMappedPL3M,MATCH(AG52,BktEur3mPL!$M$6:$M$70,0))</f>
        <v>-5622.0789885126442</v>
      </c>
      <c r="AJ52" s="16"/>
      <c r="AK52" s="25" t="str">
        <v>13Y</v>
      </c>
      <c r="AL52" s="26">
        <f t="shared" si="30"/>
        <v>-29487.523899883399</v>
      </c>
      <c r="AM52" s="23">
        <f>(+EurMkt!CF48-'reference set'!BA58)*100</f>
        <v>1.2372835000000082</v>
      </c>
      <c r="AN52" s="22">
        <f t="shared" si="31"/>
        <v>-36484.426777181623</v>
      </c>
      <c r="AO52" s="207" t="str">
        <v>8Y</v>
      </c>
      <c r="AP52" s="302">
        <f>INDEX(ReMappedSens1M,MATCH(AO52,BktEur1mSens!$M$6:$M$70,0))</f>
        <v>10935.487610640301</v>
      </c>
      <c r="AQ52" s="208">
        <f>INDEX(ReMappedPL1M,MATCH(AO52,BktEur1mPL!$M$6:$M$72,0))</f>
        <v>12029.036371704342</v>
      </c>
      <c r="AR52" s="16"/>
      <c r="AS52" s="207" t="str">
        <v>10Y</v>
      </c>
      <c r="AT52" s="26">
        <f t="shared" si="32"/>
        <v>183.32053664015899</v>
      </c>
      <c r="AU52" s="23">
        <f>(EurMkt!BF48-'reference set'!AC58)*100</f>
        <v>1.100000000000001</v>
      </c>
      <c r="AV52" s="22">
        <f t="shared" si="33"/>
        <v>201.65259030417508</v>
      </c>
      <c r="AW52" s="207" t="str">
        <v>8Y</v>
      </c>
      <c r="AX52" s="302">
        <f>INDEX(ReMappedSens1Y,MATCH(AW52,BktEur1ySens!$M$6:$M$70,0))</f>
        <v>-35.766774867537599</v>
      </c>
      <c r="AY52" s="208">
        <f>INDEX(ReMappedPL1Y,MATCH(AW52,BktEur1yPL!$M$6:$M$70,0))</f>
        <v>-32.190097380783868</v>
      </c>
      <c r="AZ52" s="33"/>
      <c r="BA52" s="25" t="str">
        <v>8Y</v>
      </c>
      <c r="BB52" s="26">
        <f t="shared" si="34"/>
        <v>-7981.5004539200399</v>
      </c>
      <c r="BC52" s="23">
        <f>(EurMkt!BW48-'reference set'!AS58)*100</f>
        <v>1.0000000000000009</v>
      </c>
      <c r="BD52" s="22">
        <f t="shared" si="35"/>
        <v>-7981.5004539200472</v>
      </c>
      <c r="BE52" s="16"/>
      <c r="BF52" s="401"/>
      <c r="BG52" s="401"/>
      <c r="BH52" s="401"/>
      <c r="BI52" s="401"/>
      <c r="BJ52" s="401"/>
      <c r="BK52" s="401"/>
      <c r="BL52" s="401"/>
      <c r="BM52" s="401"/>
      <c r="BN52" s="401"/>
      <c r="BO52" s="401"/>
      <c r="BP52" s="401"/>
      <c r="BQ52" s="401"/>
      <c r="BR52" s="401"/>
      <c r="BS52" s="401"/>
      <c r="BT52" s="401"/>
      <c r="BU52" s="401"/>
      <c r="BV52" s="401"/>
      <c r="BW52" s="401"/>
      <c r="BX52" s="401"/>
      <c r="BY52" s="401"/>
      <c r="BZ52" s="401"/>
      <c r="CA52" s="401"/>
      <c r="CB52" s="401"/>
      <c r="CC52" s="401"/>
      <c r="CD52" s="401"/>
      <c r="CE52" s="401"/>
      <c r="CF52" s="401"/>
      <c r="CG52" s="401"/>
      <c r="CH52" s="401"/>
      <c r="CI52" s="401"/>
      <c r="CJ52" s="401"/>
      <c r="CK52" s="401"/>
      <c r="CL52" s="401"/>
      <c r="CM52" s="401"/>
      <c r="CN52" s="401"/>
      <c r="CO52" s="401"/>
      <c r="CP52" s="401"/>
    </row>
    <row r="53" spans="1:94" ht="15" customHeight="1">
      <c r="A53" s="207" t="str">
        <v>9Y</v>
      </c>
      <c r="B53" s="163" t="str">
        <f t="shared" si="13"/>
        <v>9Y</v>
      </c>
      <c r="C53" s="163" t="s">
        <v>508</v>
      </c>
      <c r="D53" s="302">
        <f t="shared" si="21"/>
        <v>-2713.6868660770124</v>
      </c>
      <c r="E53" s="210">
        <f t="shared" si="19"/>
        <v>-8249.5125536857704</v>
      </c>
      <c r="F53" s="213">
        <f t="shared" si="36"/>
        <v>0</v>
      </c>
      <c r="G53" s="214">
        <f t="shared" si="37"/>
        <v>-209.99999999997954</v>
      </c>
      <c r="H53" s="540" t="str">
        <f t="shared" si="17"/>
        <v>20Y</v>
      </c>
      <c r="I53" s="541" t="str">
        <f t="shared" si="18"/>
        <v>W</v>
      </c>
      <c r="J53" s="69"/>
      <c r="K53" s="16"/>
      <c r="L53" s="207" t="str">
        <v>20Y</v>
      </c>
      <c r="M53" s="163" t="str">
        <v>20Y</v>
      </c>
      <c r="N53" s="163" t="str">
        <v>W</v>
      </c>
      <c r="O53" s="120">
        <f t="shared" si="22"/>
        <v>0</v>
      </c>
      <c r="P53" s="302">
        <f t="shared" si="23"/>
        <v>0</v>
      </c>
      <c r="Q53" s="23">
        <f>IF(LEN(O53)&gt;0,(EurMkt!$BN49-'reference set'!$AK59)*100,"")</f>
        <v>2.9125293999999968</v>
      </c>
      <c r="R53" s="22">
        <f t="shared" si="24"/>
        <v>0</v>
      </c>
      <c r="S53" s="16"/>
      <c r="T53" s="207" t="str">
        <v>10Y</v>
      </c>
      <c r="U53" s="26">
        <f t="shared" si="25"/>
        <v>-21826.042415834399</v>
      </c>
      <c r="V53" s="23">
        <f>IF(LEN(Q53)&gt;0,(EurMkt!$AL49-'reference set'!$I59)*100,"")</f>
        <v>1.100000000000001</v>
      </c>
      <c r="W53" s="22">
        <f t="shared" si="26"/>
        <v>-24008.646657417859</v>
      </c>
      <c r="X53" s="207" t="str">
        <v>9Y</v>
      </c>
      <c r="Y53" s="302">
        <f>INDEX(ReMappedSens6M,MATCH(X53,BktEur6mSens!$M$6:$M$70,0))</f>
        <v>57991.350881979699</v>
      </c>
      <c r="Z53" s="208">
        <f>INDEX(ReMappedPL6M,MATCH(X53,BktEur6mPL!$M$6:$M$70,0))</f>
        <v>63790.485970177724</v>
      </c>
      <c r="AA53" s="16"/>
      <c r="AB53" s="207" t="str">
        <v>14Y</v>
      </c>
      <c r="AC53" s="120">
        <f t="shared" si="27"/>
        <v>0</v>
      </c>
      <c r="AD53" s="26">
        <f t="shared" si="28"/>
        <v>88960.230802803897</v>
      </c>
      <c r="AE53" s="23">
        <f>IF(LEN(AB53)&gt;0,(EurMkt!$AW49-'reference set'!$U59)*100,"")</f>
        <v>1.2698204999999962</v>
      </c>
      <c r="AF53" s="22">
        <f t="shared" si="29"/>
        <v>112963.52475813151</v>
      </c>
      <c r="AG53" s="207" t="str">
        <v>9Y</v>
      </c>
      <c r="AH53" s="256">
        <f>INDEX(ReMappedSens3M,MATCH(AG53,BktEur3mSens!$M$6:$M$70,0))</f>
        <v>13478.4848765076</v>
      </c>
      <c r="AI53" s="208">
        <f>INDEX(ReMappedPL3M,MATCH(AG53,BktEur3mPL!$M$6:$M$70,0))</f>
        <v>16174.181851809135</v>
      </c>
      <c r="AJ53" s="16"/>
      <c r="AK53" s="25" t="str">
        <v>14Y</v>
      </c>
      <c r="AL53" s="26">
        <f t="shared" si="30"/>
        <v>-18179.723898906599</v>
      </c>
      <c r="AM53" s="23">
        <f>(+EurMkt!CF49-'reference set'!BA59)*100</f>
        <v>1.2603311999999978</v>
      </c>
      <c r="AN53" s="22">
        <f t="shared" si="31"/>
        <v>-22912.473237177594</v>
      </c>
      <c r="AO53" s="207" t="str">
        <v>9Y</v>
      </c>
      <c r="AP53" s="302">
        <f>INDEX(ReMappedSens1M,MATCH(AO53,BktEur1mSens!$M$6:$M$70,0))</f>
        <v>-64294.064739210698</v>
      </c>
      <c r="AQ53" s="208">
        <f>INDEX(ReMappedPL1M,MATCH(AO53,BktEur1mPL!$M$6:$M$72,0))</f>
        <v>-77152.877687052911</v>
      </c>
      <c r="AR53" s="16"/>
      <c r="AS53" s="207" t="str">
        <v>11Y</v>
      </c>
      <c r="AT53" s="26">
        <f t="shared" si="32"/>
        <v>862.74766509487699</v>
      </c>
      <c r="AU53" s="23">
        <f>(EurMkt!BF49-'reference set'!AC59)*100</f>
        <v>1.1347286999999984</v>
      </c>
      <c r="AV53" s="22">
        <f t="shared" si="33"/>
        <v>978.98453644114375</v>
      </c>
      <c r="AW53" s="207" t="str">
        <v>9Y</v>
      </c>
      <c r="AX53" s="302">
        <f>INDEX(ReMappedSens1Y,MATCH(AW53,BktEur1ySens!$M$6:$M$70,0))</f>
        <v>-271.00985269240999</v>
      </c>
      <c r="AY53" s="208">
        <f>INDEX(ReMappedPL1Y,MATCH(AW53,BktEur1yPL!$M$6:$M$70,0))</f>
        <v>-271.00985269241022</v>
      </c>
      <c r="AZ53" s="33"/>
      <c r="BA53" s="25" t="str">
        <v>9Y</v>
      </c>
      <c r="BB53" s="26">
        <f t="shared" si="34"/>
        <v>-9618.4480326612029</v>
      </c>
      <c r="BC53" s="23">
        <f>(EurMkt!BW49-'reference set'!AS59)*100</f>
        <v>1.100000000000001</v>
      </c>
      <c r="BD53" s="22">
        <f t="shared" si="35"/>
        <v>-10580.292835927332</v>
      </c>
      <c r="BE53" s="16"/>
      <c r="BF53" s="401"/>
      <c r="BG53" s="401"/>
      <c r="BH53" s="401"/>
      <c r="BI53" s="401"/>
      <c r="BJ53" s="401"/>
      <c r="BK53" s="401"/>
      <c r="BL53" s="401"/>
      <c r="BM53" s="401"/>
      <c r="BN53" s="401"/>
      <c r="BO53" s="401"/>
      <c r="BP53" s="401"/>
      <c r="BQ53" s="401"/>
      <c r="BR53" s="401"/>
      <c r="BS53" s="401"/>
      <c r="BT53" s="401"/>
      <c r="BU53" s="401"/>
      <c r="BV53" s="401"/>
      <c r="BW53" s="401"/>
      <c r="BX53" s="401"/>
      <c r="BY53" s="401"/>
      <c r="BZ53" s="401"/>
      <c r="CA53" s="401"/>
      <c r="CB53" s="401"/>
      <c r="CC53" s="401"/>
      <c r="CD53" s="401"/>
      <c r="CE53" s="401"/>
      <c r="CF53" s="401"/>
      <c r="CG53" s="401"/>
      <c r="CH53" s="401"/>
      <c r="CI53" s="401"/>
      <c r="CJ53" s="401"/>
      <c r="CK53" s="401"/>
      <c r="CL53" s="401"/>
      <c r="CM53" s="401"/>
      <c r="CN53" s="401"/>
      <c r="CO53" s="401"/>
      <c r="CP53" s="401"/>
    </row>
    <row r="54" spans="1:94" ht="15" customHeight="1">
      <c r="A54" s="207" t="str">
        <v>10Y</v>
      </c>
      <c r="B54" s="163" t="str">
        <f t="shared" si="13"/>
        <v>10Y</v>
      </c>
      <c r="C54" s="163" t="s">
        <v>508</v>
      </c>
      <c r="D54" s="302">
        <f t="shared" si="21"/>
        <v>-4807.7512657351472</v>
      </c>
      <c r="E54" s="210">
        <f t="shared" si="19"/>
        <v>9249.9130092479172</v>
      </c>
      <c r="F54" s="213">
        <f t="shared" si="36"/>
        <v>0</v>
      </c>
      <c r="G54" s="214">
        <f t="shared" si="37"/>
        <v>0</v>
      </c>
      <c r="H54" s="540" t="str">
        <f t="shared" si="17"/>
        <v>21Y</v>
      </c>
      <c r="I54" s="541" t="str">
        <f t="shared" si="18"/>
        <v>W</v>
      </c>
      <c r="J54" s="69"/>
      <c r="K54" s="16"/>
      <c r="L54" s="207" t="str">
        <v>21Y</v>
      </c>
      <c r="M54" s="163" t="str">
        <v>21Y</v>
      </c>
      <c r="N54" s="163" t="str">
        <v>W</v>
      </c>
      <c r="O54" s="120">
        <f t="shared" si="22"/>
        <v>0</v>
      </c>
      <c r="P54" s="302">
        <f t="shared" si="23"/>
        <v>0</v>
      </c>
      <c r="Q54" s="23">
        <f>IF(LEN(O54)&gt;0,(EurMkt!$BN50-'reference set'!$AK60)*100,"")</f>
        <v>2.5757542000000022</v>
      </c>
      <c r="R54" s="22">
        <f t="shared" si="24"/>
        <v>0</v>
      </c>
      <c r="S54" s="16"/>
      <c r="T54" s="207" t="str">
        <v>11Y</v>
      </c>
      <c r="U54" s="26">
        <f t="shared" si="25"/>
        <v>-70962.796994167802</v>
      </c>
      <c r="V54" s="23">
        <f>IF(LEN(Q54)&gt;0,(EurMkt!$AL50-'reference set'!$I60)*100,"")</f>
        <v>1.1079641000000029</v>
      </c>
      <c r="W54" s="22">
        <f t="shared" si="26"/>
        <v>-78624.231505126038</v>
      </c>
      <c r="X54" s="207" t="str">
        <v>10Y</v>
      </c>
      <c r="Y54" s="302">
        <f>INDEX(ReMappedSens6M,MATCH(X54,BktEur6mSens!$M$6:$M$70,0))</f>
        <v>-21826.042415834399</v>
      </c>
      <c r="Z54" s="208">
        <f>INDEX(ReMappedPL6M,MATCH(X54,BktEur6mPL!$M$6:$M$70,0))</f>
        <v>-24008.646657417859</v>
      </c>
      <c r="AA54" s="16"/>
      <c r="AB54" s="207" t="str">
        <v>15Y</v>
      </c>
      <c r="AC54" s="120">
        <f t="shared" si="27"/>
        <v>0</v>
      </c>
      <c r="AD54" s="26">
        <f t="shared" si="28"/>
        <v>16332.594059221699</v>
      </c>
      <c r="AE54" s="23">
        <f>IF(LEN(AB54)&gt;0,(EurMkt!$AW50-'reference set'!$U60)*100,"")</f>
        <v>1.3000000000000012</v>
      </c>
      <c r="AF54" s="22">
        <f t="shared" si="29"/>
        <v>21232.37227698823</v>
      </c>
      <c r="AG54" s="207" t="str">
        <v>10Y</v>
      </c>
      <c r="AH54" s="256">
        <f>INDEX(ReMappedSens3M,MATCH(AG54,BktEur3mSens!$M$6:$M$70,0))</f>
        <v>-89005.369400818905</v>
      </c>
      <c r="AI54" s="208">
        <f>INDEX(ReMappedPL3M,MATCH(AG54,BktEur3mPL!$M$6:$M$70,0))</f>
        <v>-106806.44328098278</v>
      </c>
      <c r="AJ54" s="16"/>
      <c r="AK54" s="25" t="str">
        <v>15Y</v>
      </c>
      <c r="AL54" s="26">
        <f t="shared" si="30"/>
        <v>-23433.102846004</v>
      </c>
      <c r="AM54" s="23">
        <f>(+EurMkt!CF50-'reference set'!BA60)*100</f>
        <v>1.3000000000000123</v>
      </c>
      <c r="AN54" s="22">
        <f t="shared" si="31"/>
        <v>-30463.033699805488</v>
      </c>
      <c r="AO54" s="207" t="str">
        <v>10Y</v>
      </c>
      <c r="AP54" s="302">
        <f>INDEX(ReMappedSens1M,MATCH(AO54,BktEur1mSens!$M$6:$M$70,0))</f>
        <v>-22709.083387828901</v>
      </c>
      <c r="AQ54" s="208">
        <f>INDEX(ReMappedPL1M,MATCH(AO54,BktEur1mPL!$M$6:$M$72,0))</f>
        <v>-27250.900065394704</v>
      </c>
      <c r="AR54" s="16"/>
      <c r="AS54" s="207" t="str">
        <v>12Y</v>
      </c>
      <c r="AT54" s="26">
        <f t="shared" si="32"/>
        <v>-20041.7225387488</v>
      </c>
      <c r="AU54" s="23">
        <f>(EurMkt!BF50-'reference set'!AC60)*100</f>
        <v>1.1000000000000121</v>
      </c>
      <c r="AV54" s="22">
        <f t="shared" si="33"/>
        <v>-22045.894792623923</v>
      </c>
      <c r="AW54" s="207" t="str">
        <v>10Y</v>
      </c>
      <c r="AX54" s="302">
        <f>INDEX(ReMappedSens1Y,MATCH(AW54,BktEur1ySens!$M$6:$M$70,0))</f>
        <v>183.32053664015899</v>
      </c>
      <c r="AY54" s="208">
        <f>INDEX(ReMappedPL1Y,MATCH(AW54,BktEur1yPL!$M$6:$M$70,0))</f>
        <v>201.65259030417508</v>
      </c>
      <c r="AZ54" s="33"/>
      <c r="BA54" s="25" t="str">
        <v>10Y</v>
      </c>
      <c r="BB54" s="26">
        <f t="shared" si="34"/>
        <v>128549.4234021069</v>
      </c>
      <c r="BC54" s="23">
        <f>(EurMkt!BW50-'reference set'!AS60)*100</f>
        <v>1.3000000000000012</v>
      </c>
      <c r="BD54" s="22">
        <f t="shared" si="35"/>
        <v>167114.2504227391</v>
      </c>
      <c r="BE54" s="16"/>
      <c r="BF54" s="401"/>
      <c r="BG54" s="401"/>
      <c r="BH54" s="401"/>
      <c r="BI54" s="401"/>
      <c r="BJ54" s="401"/>
      <c r="BK54" s="401"/>
      <c r="BL54" s="401"/>
      <c r="BM54" s="401"/>
      <c r="BN54" s="401"/>
      <c r="BO54" s="401"/>
      <c r="BP54" s="401"/>
      <c r="BQ54" s="401"/>
      <c r="BR54" s="401"/>
      <c r="BS54" s="401"/>
      <c r="BT54" s="401"/>
      <c r="BU54" s="401"/>
      <c r="BV54" s="401"/>
      <c r="BW54" s="401"/>
      <c r="BX54" s="401"/>
      <c r="BY54" s="401"/>
      <c r="BZ54" s="401"/>
      <c r="CA54" s="401"/>
      <c r="CB54" s="401"/>
      <c r="CC54" s="401"/>
      <c r="CD54" s="401"/>
      <c r="CE54" s="401"/>
      <c r="CF54" s="401"/>
      <c r="CG54" s="401"/>
      <c r="CH54" s="401"/>
      <c r="CI54" s="401"/>
      <c r="CJ54" s="401"/>
      <c r="CK54" s="401"/>
      <c r="CL54" s="401"/>
      <c r="CM54" s="401"/>
      <c r="CN54" s="401"/>
      <c r="CO54" s="401"/>
      <c r="CP54" s="401"/>
    </row>
    <row r="55" spans="1:94" ht="15" customHeight="1">
      <c r="A55" s="207" t="str">
        <v>11Y</v>
      </c>
      <c r="B55" s="163" t="str">
        <f t="shared" si="13"/>
        <v>11Y</v>
      </c>
      <c r="C55" s="163" t="s">
        <v>508</v>
      </c>
      <c r="D55" s="302">
        <f t="shared" si="21"/>
        <v>29528.363625198723</v>
      </c>
      <c r="E55" s="210">
        <f t="shared" si="19"/>
        <v>43050.878939550719</v>
      </c>
      <c r="F55" s="213">
        <f t="shared" si="36"/>
        <v>0</v>
      </c>
      <c r="G55" s="214">
        <f t="shared" si="37"/>
        <v>0</v>
      </c>
      <c r="H55" s="540" t="str">
        <f t="shared" si="17"/>
        <v>22Y</v>
      </c>
      <c r="I55" s="541" t="str">
        <f t="shared" si="18"/>
        <v>W</v>
      </c>
      <c r="J55" s="69"/>
      <c r="K55" s="16"/>
      <c r="L55" s="207" t="str">
        <v>22Y</v>
      </c>
      <c r="M55" s="163" t="str">
        <v>22Y</v>
      </c>
      <c r="N55" s="163" t="str">
        <v>W</v>
      </c>
      <c r="O55" s="120">
        <f t="shared" si="22"/>
        <v>0</v>
      </c>
      <c r="P55" s="302">
        <f t="shared" si="23"/>
        <v>0</v>
      </c>
      <c r="Q55" s="23">
        <f>IF(LEN(O55)&gt;0,(EurMkt!$BN51-'reference set'!$AK61)*100,"")</f>
        <v>2.3131807000000171</v>
      </c>
      <c r="R55" s="22">
        <f t="shared" si="24"/>
        <v>0</v>
      </c>
      <c r="S55" s="16"/>
      <c r="T55" s="207" t="str">
        <v>12Y</v>
      </c>
      <c r="U55" s="26">
        <f t="shared" si="25"/>
        <v>24599.672575668701</v>
      </c>
      <c r="V55" s="23">
        <f>IF(LEN(Q55)&gt;0,(EurMkt!$AL51-'reference set'!$I61)*100,"")</f>
        <v>1.100000000000001</v>
      </c>
      <c r="W55" s="22">
        <f t="shared" si="26"/>
        <v>27059.639833235597</v>
      </c>
      <c r="X55" s="207" t="str">
        <v>11Y</v>
      </c>
      <c r="Y55" s="302">
        <f>INDEX(ReMappedSens6M,MATCH(X55,BktEur6mSens!$M$6:$M$70,0))</f>
        <v>-70962.796994167802</v>
      </c>
      <c r="Z55" s="208">
        <f>INDEX(ReMappedPL6M,MATCH(X55,BktEur6mPL!$M$6:$M$70,0))</f>
        <v>-78624.231505126038</v>
      </c>
      <c r="AA55" s="16"/>
      <c r="AB55" s="207" t="str">
        <v>16Y</v>
      </c>
      <c r="AC55" s="120">
        <f t="shared" si="27"/>
        <v>0</v>
      </c>
      <c r="AD55" s="26">
        <f t="shared" si="28"/>
        <v>-67916.323501658306</v>
      </c>
      <c r="AE55" s="23">
        <f>IF(LEN(AB55)&gt;0,(EurMkt!$AW51-'reference set'!$U61)*100,"")</f>
        <v>1.3874162000000023</v>
      </c>
      <c r="AF55" s="22">
        <f t="shared" si="29"/>
        <v>-94228.207470641617</v>
      </c>
      <c r="AG55" s="207" t="str">
        <v>11Y</v>
      </c>
      <c r="AH55" s="256">
        <f>INDEX(ReMappedSens3M,MATCH(AG55,BktEur3mSens!$M$6:$M$70,0))</f>
        <v>-60923.497455770899</v>
      </c>
      <c r="AI55" s="208">
        <f>INDEX(ReMappedPL3M,MATCH(AG55,BktEur3mPL!$M$6:$M$70,0))</f>
        <v>-73078.716066506764</v>
      </c>
      <c r="AJ55" s="16"/>
      <c r="AK55" s="25" t="str">
        <v>16Y</v>
      </c>
      <c r="AL55" s="26">
        <f t="shared" si="30"/>
        <v>22928.154175529799</v>
      </c>
      <c r="AM55" s="23">
        <f>(+EurMkt!CF51-'reference set'!BA61)*100</f>
        <v>1.304610000000006</v>
      </c>
      <c r="AN55" s="22">
        <f t="shared" si="31"/>
        <v>29912.299218938067</v>
      </c>
      <c r="AO55" s="207" t="str">
        <v>11Y</v>
      </c>
      <c r="AP55" s="302">
        <f>INDEX(ReMappedSens1M,MATCH(AO55,BktEur1mSens!$M$6:$M$70,0))</f>
        <v>165999.65515405501</v>
      </c>
      <c r="AQ55" s="208">
        <f>INDEX(ReMappedPL1M,MATCH(AO55,BktEur1mPL!$M$6:$M$72,0))</f>
        <v>200856.91014195859</v>
      </c>
      <c r="AR55" s="16"/>
      <c r="AS55" s="207" t="str">
        <v>13Y</v>
      </c>
      <c r="AT55" s="26">
        <f t="shared" si="32"/>
        <v>-5404.92363017768</v>
      </c>
      <c r="AU55" s="23">
        <f>(EurMkt!BF51-'reference set'!AC61)*100</f>
        <v>1.1223132000000025</v>
      </c>
      <c r="AV55" s="22">
        <f t="shared" si="33"/>
        <v>-6066.0171351403415</v>
      </c>
      <c r="AW55" s="207" t="str">
        <v>11Y</v>
      </c>
      <c r="AX55" s="302">
        <f>INDEX(ReMappedSens1Y,MATCH(AW55,BktEur1ySens!$M$6:$M$70,0))</f>
        <v>862.74766509487699</v>
      </c>
      <c r="AY55" s="208">
        <f>INDEX(ReMappedPL1Y,MATCH(AW55,BktEur1yPL!$M$6:$M$70,0))</f>
        <v>978.98453644114375</v>
      </c>
      <c r="AZ55" s="33"/>
      <c r="BA55" s="25" t="str">
        <v>11Y</v>
      </c>
      <c r="BB55" s="26">
        <f t="shared" si="34"/>
        <v>-5447.7447440124706</v>
      </c>
      <c r="BC55" s="23">
        <f>(EurMkt!BW51-'reference set'!AS61)*100</f>
        <v>1.3000000000000012</v>
      </c>
      <c r="BD55" s="22">
        <f t="shared" si="35"/>
        <v>-7082.0681672162182</v>
      </c>
      <c r="BE55" s="16"/>
      <c r="BF55" s="401"/>
      <c r="BG55" s="401"/>
      <c r="BH55" s="401"/>
      <c r="BI55" s="401"/>
      <c r="BJ55" s="401"/>
      <c r="BK55" s="401"/>
      <c r="BL55" s="401"/>
      <c r="BM55" s="401"/>
      <c r="BN55" s="401"/>
      <c r="BO55" s="401"/>
      <c r="BP55" s="401"/>
      <c r="BQ55" s="401"/>
      <c r="BR55" s="401"/>
      <c r="BS55" s="401"/>
      <c r="BT55" s="401"/>
      <c r="BU55" s="401"/>
      <c r="BV55" s="401"/>
      <c r="BW55" s="401"/>
      <c r="BX55" s="401"/>
      <c r="BY55" s="401"/>
      <c r="BZ55" s="401"/>
      <c r="CA55" s="401"/>
      <c r="CB55" s="401"/>
      <c r="CC55" s="401"/>
      <c r="CD55" s="401"/>
      <c r="CE55" s="401"/>
      <c r="CF55" s="401"/>
      <c r="CG55" s="401"/>
      <c r="CH55" s="401"/>
      <c r="CI55" s="401"/>
      <c r="CJ55" s="401"/>
      <c r="CK55" s="401"/>
      <c r="CL55" s="401"/>
      <c r="CM55" s="401"/>
      <c r="CN55" s="401"/>
      <c r="CO55" s="401"/>
      <c r="CP55" s="401"/>
    </row>
    <row r="56" spans="1:94" ht="15" customHeight="1">
      <c r="A56" s="207" t="str">
        <v>12Y</v>
      </c>
      <c r="B56" s="163" t="str">
        <f t="shared" si="13"/>
        <v>12Y</v>
      </c>
      <c r="C56" s="163" t="s">
        <v>508</v>
      </c>
      <c r="D56" s="302">
        <f t="shared" si="21"/>
        <v>-47312.936420488099</v>
      </c>
      <c r="E56" s="210">
        <f t="shared" si="19"/>
        <v>-57231.318708277991</v>
      </c>
      <c r="F56" s="213">
        <f t="shared" si="36"/>
        <v>0</v>
      </c>
      <c r="G56" s="214">
        <f t="shared" si="37"/>
        <v>0</v>
      </c>
      <c r="H56" s="540" t="str">
        <f t="shared" si="17"/>
        <v>23Y</v>
      </c>
      <c r="I56" s="541" t="str">
        <f t="shared" si="18"/>
        <v>W</v>
      </c>
      <c r="J56" s="69"/>
      <c r="K56" s="16"/>
      <c r="L56" s="207" t="str">
        <v>23Y</v>
      </c>
      <c r="M56" s="163" t="str">
        <v>23Y</v>
      </c>
      <c r="N56" s="163" t="str">
        <v>W</v>
      </c>
      <c r="O56" s="120">
        <f t="shared" si="22"/>
        <v>0</v>
      </c>
      <c r="P56" s="302">
        <f t="shared" si="23"/>
        <v>0</v>
      </c>
      <c r="Q56" s="23">
        <f>IF(LEN(O56)&gt;0,(EurMkt!$BN52-'reference set'!$AK62)*100,"")</f>
        <v>2.1074326000000143</v>
      </c>
      <c r="R56" s="22">
        <f t="shared" si="24"/>
        <v>0</v>
      </c>
      <c r="S56" s="16"/>
      <c r="T56" s="207" t="str">
        <v>13Y</v>
      </c>
      <c r="U56" s="26">
        <f t="shared" si="25"/>
        <v>23645.940083761601</v>
      </c>
      <c r="V56" s="23">
        <f>IF(LEN(Q56)&gt;0,(EurMkt!$AL52-'reference set'!$I62)*100,"")</f>
        <v>1.1374753000000015</v>
      </c>
      <c r="W56" s="22">
        <f t="shared" si="26"/>
        <v>26896.672790558787</v>
      </c>
      <c r="X56" s="207" t="str">
        <v>12Y</v>
      </c>
      <c r="Y56" s="302">
        <f>INDEX(ReMappedSens6M,MATCH(X56,BktEur6mSens!$M$6:$M$70,0))</f>
        <v>24599.672575668701</v>
      </c>
      <c r="Z56" s="208">
        <f>INDEX(ReMappedPL6M,MATCH(X56,BktEur6mPL!$M$6:$M$70,0))</f>
        <v>27059.639833235597</v>
      </c>
      <c r="AA56" s="16"/>
      <c r="AB56" s="207" t="str">
        <v>17Y</v>
      </c>
      <c r="AC56" s="120">
        <f t="shared" si="27"/>
        <v>0</v>
      </c>
      <c r="AD56" s="26">
        <f t="shared" si="28"/>
        <v>4687.1531510352097</v>
      </c>
      <c r="AE56" s="23">
        <f>IF(LEN(AB56)&gt;0,(EurMkt!$AW52-'reference set'!$U62)*100,"")</f>
        <v>1.3095052000000051</v>
      </c>
      <c r="AF56" s="22">
        <f t="shared" si="29"/>
        <v>6137.8514244770167</v>
      </c>
      <c r="AG56" s="207" t="str">
        <v>12Y</v>
      </c>
      <c r="AH56" s="256">
        <f>INDEX(ReMappedSens3M,MATCH(AG56,BktEur3mSens!$M$6:$M$70,0))</f>
        <v>63267.3705133111</v>
      </c>
      <c r="AI56" s="208">
        <f>INDEX(ReMappedPL3M,MATCH(AG56,BktEur3mPL!$M$6:$M$70,0))</f>
        <v>75920.844615973387</v>
      </c>
      <c r="AJ56" s="16"/>
      <c r="AK56" s="25" t="str">
        <v>17Y</v>
      </c>
      <c r="AL56" s="26">
        <f t="shared" si="30"/>
        <v>8323.4482101735794</v>
      </c>
      <c r="AM56" s="23">
        <f>(+EurMkt!CF52-'reference set'!BA62)*100</f>
        <v>1.3514656000000125</v>
      </c>
      <c r="AN56" s="22">
        <f t="shared" si="31"/>
        <v>11248.853929431267</v>
      </c>
      <c r="AO56" s="207" t="str">
        <v>12Y</v>
      </c>
      <c r="AP56" s="302">
        <f>INDEX(ReMappedSens1M,MATCH(AO56,BktEur1mSens!$M$6:$M$70,0))</f>
        <v>-56614.123880405998</v>
      </c>
      <c r="AQ56" s="208">
        <f>INDEX(ReMappedPL1M,MATCH(AO56,BktEur1mPL!$M$6:$M$72,0))</f>
        <v>-67936.948656487264</v>
      </c>
      <c r="AR56" s="16"/>
      <c r="AS56" s="207" t="str">
        <v>14Y</v>
      </c>
      <c r="AT56" s="26">
        <f t="shared" si="32"/>
        <v>803.11538088440795</v>
      </c>
      <c r="AU56" s="23">
        <f>(EurMkt!BF52-'reference set'!AC62)*100</f>
        <v>1.1523280000000025</v>
      </c>
      <c r="AV56" s="22">
        <f t="shared" si="33"/>
        <v>925.45234062377006</v>
      </c>
      <c r="AW56" s="207" t="str">
        <v>12Y</v>
      </c>
      <c r="AX56" s="302">
        <f>INDEX(ReMappedSens1Y,MATCH(AW56,BktEur1ySens!$M$6:$M$70,0))</f>
        <v>-20041.7225387488</v>
      </c>
      <c r="AY56" s="208">
        <f>INDEX(ReMappedPL1Y,MATCH(AW56,BktEur1yPL!$M$6:$M$70,0))</f>
        <v>-22045.894792623923</v>
      </c>
      <c r="AZ56" s="33"/>
      <c r="BA56" s="25" t="str">
        <v>12Y</v>
      </c>
      <c r="BB56" s="26">
        <f t="shared" si="34"/>
        <v>-58524.133090313102</v>
      </c>
      <c r="BC56" s="23">
        <f>(EurMkt!BW52-'reference set'!AS62)*100</f>
        <v>1.2000000000000011</v>
      </c>
      <c r="BD56" s="22">
        <f t="shared" si="35"/>
        <v>-70228.959708375784</v>
      </c>
      <c r="BE56" s="16"/>
      <c r="BF56" s="401"/>
      <c r="BG56" s="401"/>
      <c r="BH56" s="401"/>
      <c r="BI56" s="401"/>
      <c r="BJ56" s="401"/>
      <c r="BK56" s="401"/>
      <c r="BL56" s="401"/>
      <c r="BM56" s="401"/>
      <c r="BN56" s="401"/>
      <c r="BO56" s="401"/>
      <c r="BP56" s="401"/>
      <c r="BQ56" s="401"/>
      <c r="BR56" s="401"/>
      <c r="BS56" s="401"/>
      <c r="BT56" s="401"/>
      <c r="BU56" s="401"/>
      <c r="BV56" s="401"/>
      <c r="BW56" s="401"/>
      <c r="BX56" s="401"/>
      <c r="BY56" s="401"/>
      <c r="BZ56" s="401"/>
      <c r="CA56" s="401"/>
      <c r="CB56" s="401"/>
      <c r="CC56" s="401"/>
      <c r="CD56" s="401"/>
      <c r="CE56" s="401"/>
      <c r="CF56" s="401"/>
      <c r="CG56" s="401"/>
      <c r="CH56" s="401"/>
      <c r="CI56" s="401"/>
      <c r="CJ56" s="401"/>
      <c r="CK56" s="401"/>
      <c r="CL56" s="401"/>
      <c r="CM56" s="401"/>
      <c r="CN56" s="401"/>
      <c r="CO56" s="401"/>
      <c r="CP56" s="401"/>
    </row>
    <row r="57" spans="1:94" ht="15" customHeight="1">
      <c r="A57" s="207" t="str">
        <v>13Y</v>
      </c>
      <c r="B57" s="163" t="str">
        <f t="shared" si="13"/>
        <v>13Y</v>
      </c>
      <c r="C57" s="163" t="s">
        <v>508</v>
      </c>
      <c r="D57" s="302">
        <f t="shared" si="21"/>
        <v>-3090.4758994528074</v>
      </c>
      <c r="E57" s="210">
        <f t="shared" si="19"/>
        <v>-5466.4239213752771</v>
      </c>
      <c r="F57" s="213">
        <f t="shared" si="36"/>
        <v>0</v>
      </c>
      <c r="G57" s="214">
        <f t="shared" si="37"/>
        <v>0</v>
      </c>
      <c r="H57" s="540" t="str">
        <f t="shared" si="17"/>
        <v>24Y</v>
      </c>
      <c r="I57" s="541" t="str">
        <f t="shared" si="18"/>
        <v>W</v>
      </c>
      <c r="J57" s="69"/>
      <c r="K57" s="16"/>
      <c r="L57" s="207" t="str">
        <v>24Y</v>
      </c>
      <c r="M57" s="163" t="str">
        <v>24Y</v>
      </c>
      <c r="N57" s="163" t="str">
        <v>W</v>
      </c>
      <c r="O57" s="120">
        <f t="shared" si="22"/>
        <v>0</v>
      </c>
      <c r="P57" s="302">
        <f t="shared" si="23"/>
        <v>0</v>
      </c>
      <c r="Q57" s="23">
        <f>IF(LEN(O57)&gt;0,(EurMkt!$BN53-'reference set'!$AK63)*100,"")</f>
        <v>1.9703049000000084</v>
      </c>
      <c r="R57" s="22">
        <f t="shared" si="24"/>
        <v>0</v>
      </c>
      <c r="S57" s="16"/>
      <c r="T57" s="207" t="str">
        <v>14Y</v>
      </c>
      <c r="U57" s="26">
        <f t="shared" si="25"/>
        <v>98.072987599063097</v>
      </c>
      <c r="V57" s="23">
        <f>IF(LEN(Q57)&gt;0,(EurMkt!$AL53-'reference set'!$I63)*100,"")</f>
        <v>1.1622859000000041</v>
      </c>
      <c r="W57" s="22">
        <f t="shared" si="26"/>
        <v>113.9888506572663</v>
      </c>
      <c r="X57" s="207" t="str">
        <v>13Y</v>
      </c>
      <c r="Y57" s="302">
        <f>INDEX(ReMappedSens6M,MATCH(X57,BktEur6mSens!$M$6:$M$70,0))</f>
        <v>23645.940083761601</v>
      </c>
      <c r="Z57" s="208">
        <f>INDEX(ReMappedPL6M,MATCH(X57,BktEur6mPL!$M$6:$M$70,0))</f>
        <v>26896.672790558787</v>
      </c>
      <c r="AA57" s="16"/>
      <c r="AB57" s="207" t="str">
        <v>18Y</v>
      </c>
      <c r="AC57" s="120">
        <f t="shared" si="27"/>
        <v>0</v>
      </c>
      <c r="AD57" s="26">
        <f t="shared" si="28"/>
        <v>5291.3447842202704</v>
      </c>
      <c r="AE57" s="23">
        <f>IF(LEN(AB57)&gt;0,(EurMkt!$AW53-'reference set'!$U63)*100,"")</f>
        <v>1.3226345000000084</v>
      </c>
      <c r="AF57" s="22">
        <f t="shared" si="29"/>
        <v>6998.5151630048294</v>
      </c>
      <c r="AG57" s="207" t="str">
        <v>13Y</v>
      </c>
      <c r="AH57" s="256">
        <f>INDEX(ReMappedSens3M,MATCH(AG57,BktEur3mSens!$M$6:$M$70,0))</f>
        <v>9438.17676153701</v>
      </c>
      <c r="AI57" s="208">
        <f>INDEX(ReMappedPL3M,MATCH(AG57,BktEur3mPL!$M$6:$M$70,0))</f>
        <v>11758.04663208656</v>
      </c>
      <c r="AJ57" s="16"/>
      <c r="AK57" s="25" t="str">
        <v>18Y</v>
      </c>
      <c r="AL57" s="26">
        <f t="shared" si="30"/>
        <v>-11560.0898545132</v>
      </c>
      <c r="AM57" s="23">
        <f>(+EurMkt!CF53-'reference set'!BA63)*100</f>
        <v>1.3886858999999974</v>
      </c>
      <c r="AN57" s="22">
        <f t="shared" si="31"/>
        <v>-16053.333783695502</v>
      </c>
      <c r="AO57" s="207" t="str">
        <v>13Y</v>
      </c>
      <c r="AP57" s="302">
        <f>INDEX(ReMappedSens1M,MATCH(AO57,BktEur1mSens!$M$6:$M$70,0))</f>
        <v>-29487.523899883399</v>
      </c>
      <c r="AQ57" s="208">
        <f>INDEX(ReMappedPL1M,MATCH(AO57,BktEur1mPL!$M$6:$M$72,0))</f>
        <v>-36484.426777181623</v>
      </c>
      <c r="AR57" s="16"/>
      <c r="AS57" s="207" t="str">
        <v>15Y</v>
      </c>
      <c r="AT57" s="26">
        <f t="shared" si="32"/>
        <v>-468.45610789465798</v>
      </c>
      <c r="AU57" s="23">
        <f>(EurMkt!BF53-'reference set'!AC63)*100</f>
        <v>1.2000000000000011</v>
      </c>
      <c r="AV57" s="22">
        <f t="shared" si="33"/>
        <v>-562.14732947359005</v>
      </c>
      <c r="AW57" s="207" t="str">
        <v>13Y</v>
      </c>
      <c r="AX57" s="302">
        <f>INDEX(ReMappedSens1Y,MATCH(AW57,BktEur1ySens!$M$6:$M$70,0))</f>
        <v>-5404.92363017768</v>
      </c>
      <c r="AY57" s="208">
        <f>INDEX(ReMappedPL1Y,MATCH(AW57,BktEur1yPL!$M$6:$M$70,0))</f>
        <v>-6066.0171351403415</v>
      </c>
      <c r="AZ57" s="33"/>
      <c r="BA57" s="25" t="str">
        <v>13Y</v>
      </c>
      <c r="BB57" s="26">
        <f t="shared" si="34"/>
        <v>-1282.1452146903393</v>
      </c>
      <c r="BC57" s="23">
        <f>(EurMkt!BW53-'reference set'!AS63)*100</f>
        <v>1.2250558000000078</v>
      </c>
      <c r="BD57" s="22">
        <f t="shared" si="35"/>
        <v>-1570.6994316986554</v>
      </c>
      <c r="BE57" s="16"/>
      <c r="BF57" s="401"/>
      <c r="BG57" s="401"/>
      <c r="BH57" s="401"/>
      <c r="BI57" s="401"/>
      <c r="BJ57" s="401"/>
      <c r="BK57" s="401"/>
      <c r="BL57" s="401"/>
      <c r="BM57" s="401"/>
      <c r="BN57" s="401"/>
      <c r="BO57" s="401"/>
      <c r="BP57" s="401"/>
      <c r="BQ57" s="401"/>
      <c r="BR57" s="401"/>
      <c r="BS57" s="401"/>
      <c r="BT57" s="401"/>
      <c r="BU57" s="401"/>
      <c r="BV57" s="401"/>
      <c r="BW57" s="401"/>
      <c r="BX57" s="401"/>
      <c r="BY57" s="401"/>
      <c r="BZ57" s="401"/>
      <c r="CA57" s="401"/>
      <c r="CB57" s="401"/>
      <c r="CC57" s="401"/>
      <c r="CD57" s="401"/>
      <c r="CE57" s="401"/>
      <c r="CF57" s="401"/>
      <c r="CG57" s="401"/>
      <c r="CH57" s="401"/>
      <c r="CI57" s="401"/>
      <c r="CJ57" s="401"/>
      <c r="CK57" s="401"/>
      <c r="CL57" s="401"/>
      <c r="CM57" s="401"/>
      <c r="CN57" s="401"/>
      <c r="CO57" s="401"/>
      <c r="CP57" s="401"/>
    </row>
    <row r="58" spans="1:94" ht="15" customHeight="1">
      <c r="A58" s="207" t="str">
        <v>14Y</v>
      </c>
      <c r="B58" s="163" t="str">
        <f t="shared" si="13"/>
        <v>14Y</v>
      </c>
      <c r="C58" s="163" t="s">
        <v>508</v>
      </c>
      <c r="D58" s="302">
        <f t="shared" si="21"/>
        <v>19472.891589042061</v>
      </c>
      <c r="E58" s="210">
        <f t="shared" si="19"/>
        <v>23337.49403681136</v>
      </c>
      <c r="F58" s="213">
        <f t="shared" si="36"/>
        <v>0</v>
      </c>
      <c r="G58" s="214">
        <f t="shared" si="37"/>
        <v>0</v>
      </c>
      <c r="H58" s="540" t="str">
        <f t="shared" si="17"/>
        <v>25Y</v>
      </c>
      <c r="I58" s="541" t="str">
        <f t="shared" si="18"/>
        <v>W</v>
      </c>
      <c r="J58" s="69"/>
      <c r="K58" s="16"/>
      <c r="L58" s="207" t="str">
        <v>25Y</v>
      </c>
      <c r="M58" s="163" t="str">
        <v>25Y</v>
      </c>
      <c r="N58" s="163" t="str">
        <v>W</v>
      </c>
      <c r="O58" s="120">
        <f t="shared" si="22"/>
        <v>0</v>
      </c>
      <c r="P58" s="302">
        <f t="shared" si="23"/>
        <v>0</v>
      </c>
      <c r="Q58" s="23">
        <f>IF(LEN(O58)&gt;0,(EurMkt!$BN54-'reference set'!$AK64)*100,"")</f>
        <v>1.8642602000000119</v>
      </c>
      <c r="R58" s="22">
        <f t="shared" si="24"/>
        <v>0</v>
      </c>
      <c r="S58" s="16"/>
      <c r="T58" s="207" t="str">
        <v>15Y</v>
      </c>
      <c r="U58" s="26">
        <f t="shared" si="25"/>
        <v>30012.796312491701</v>
      </c>
      <c r="V58" s="23">
        <f>IF(LEN(Q58)&gt;0,(EurMkt!$AL54-'reference set'!$I64)*100,"")</f>
        <v>1.2000000000000233</v>
      </c>
      <c r="W58" s="22">
        <f t="shared" si="26"/>
        <v>36015.355574990739</v>
      </c>
      <c r="X58" s="207" t="str">
        <v>14Y</v>
      </c>
      <c r="Y58" s="302">
        <f>INDEX(ReMappedSens6M,MATCH(X58,BktEur6mSens!$M$6:$M$70,0))</f>
        <v>98.072987599063097</v>
      </c>
      <c r="Z58" s="208">
        <f>INDEX(ReMappedPL6M,MATCH(X58,BktEur6mPL!$M$6:$M$70,0))</f>
        <v>113.9888506572663</v>
      </c>
      <c r="AA58" s="16"/>
      <c r="AB58" s="207" t="str">
        <v>19Y</v>
      </c>
      <c r="AC58" s="120">
        <f t="shared" si="27"/>
        <v>0</v>
      </c>
      <c r="AD58" s="26">
        <f t="shared" si="28"/>
        <v>-18935.929035528501</v>
      </c>
      <c r="AE58" s="23">
        <f>IF(LEN(AB58)&gt;0,(EurMkt!$AW54-'reference set'!$U64)*100,"")</f>
        <v>1.3594163000000048</v>
      </c>
      <c r="AF58" s="22">
        <f t="shared" si="29"/>
        <v>-25741.810586540814</v>
      </c>
      <c r="AG58" s="207" t="str">
        <v>14Y</v>
      </c>
      <c r="AH58" s="256">
        <f>INDEX(ReMappedSens3M,MATCH(AG58,BktEur3mSens!$M$6:$M$70,0))</f>
        <v>88960.230802803897</v>
      </c>
      <c r="AI58" s="208">
        <f>INDEX(ReMappedPL3M,MATCH(AG58,BktEur3mPL!$M$6:$M$70,0))</f>
        <v>112963.52475813151</v>
      </c>
      <c r="AJ58" s="16"/>
      <c r="AK58" s="25" t="str">
        <v>19Y</v>
      </c>
      <c r="AL58" s="26">
        <f t="shared" si="30"/>
        <v>-15819.463837727701</v>
      </c>
      <c r="AM58" s="23">
        <f>(+EurMkt!CF54-'reference set'!BA64)*100</f>
        <v>1.4468641000000004</v>
      </c>
      <c r="AN58" s="22">
        <f t="shared" si="31"/>
        <v>-22888.614308056443</v>
      </c>
      <c r="AO58" s="207" t="str">
        <v>14Y</v>
      </c>
      <c r="AP58" s="302">
        <f>INDEX(ReMappedSens1M,MATCH(AO58,BktEur1mSens!$M$6:$M$70,0))</f>
        <v>-18179.723898906599</v>
      </c>
      <c r="AQ58" s="208">
        <f>INDEX(ReMappedPL1M,MATCH(AO58,BktEur1mPL!$M$6:$M$72,0))</f>
        <v>-22912.473237177594</v>
      </c>
      <c r="AR58" s="16"/>
      <c r="AS58" s="207" t="str">
        <v>16Y</v>
      </c>
      <c r="AT58" s="26">
        <f t="shared" si="32"/>
        <v>2834.3729592667401</v>
      </c>
      <c r="AU58" s="23">
        <f>(EurMkt!BF54-'reference set'!AC64)*100</f>
        <v>1.2155800000000161</v>
      </c>
      <c r="AV58" s="22">
        <f t="shared" si="33"/>
        <v>3445.4070818255095</v>
      </c>
      <c r="AW58" s="207" t="str">
        <v>14Y</v>
      </c>
      <c r="AX58" s="302">
        <f>INDEX(ReMappedSens1Y,MATCH(AW58,BktEur1ySens!$M$6:$M$70,0))</f>
        <v>803.11538088440795</v>
      </c>
      <c r="AY58" s="208">
        <f>INDEX(ReMappedPL1Y,MATCH(AW58,BktEur1yPL!$M$6:$M$70,0))</f>
        <v>925.45234062377006</v>
      </c>
      <c r="AZ58" s="33"/>
      <c r="BA58" s="25" t="str">
        <v>14Y</v>
      </c>
      <c r="BB58" s="26">
        <f t="shared" si="34"/>
        <v>-52208.803683338701</v>
      </c>
      <c r="BC58" s="23">
        <f>(EurMkt!BW54-'reference set'!AS64)*100</f>
        <v>1.2977312999999935</v>
      </c>
      <c r="BD58" s="22">
        <f t="shared" si="35"/>
        <v>-67752.998675423587</v>
      </c>
      <c r="BE58" s="16"/>
      <c r="BF58" s="401"/>
      <c r="BG58" s="401"/>
      <c r="BH58" s="401"/>
      <c r="BI58" s="401"/>
      <c r="BJ58" s="401"/>
      <c r="BK58" s="401"/>
      <c r="BL58" s="401"/>
      <c r="BM58" s="401"/>
      <c r="BN58" s="401"/>
      <c r="BO58" s="401"/>
      <c r="BP58" s="401"/>
      <c r="BQ58" s="401"/>
      <c r="BR58" s="401"/>
      <c r="BS58" s="401"/>
      <c r="BT58" s="401"/>
      <c r="BU58" s="401"/>
      <c r="BV58" s="401"/>
      <c r="BW58" s="401"/>
      <c r="BX58" s="401"/>
      <c r="BY58" s="401"/>
      <c r="BZ58" s="401"/>
      <c r="CA58" s="401"/>
      <c r="CB58" s="401"/>
      <c r="CC58" s="401"/>
      <c r="CD58" s="401"/>
      <c r="CE58" s="401"/>
      <c r="CF58" s="401"/>
      <c r="CG58" s="401"/>
      <c r="CH58" s="401"/>
      <c r="CI58" s="401"/>
      <c r="CJ58" s="401"/>
      <c r="CK58" s="401"/>
      <c r="CL58" s="401"/>
      <c r="CM58" s="401"/>
      <c r="CN58" s="401"/>
      <c r="CO58" s="401"/>
      <c r="CP58" s="401"/>
    </row>
    <row r="59" spans="1:94" ht="15" customHeight="1">
      <c r="A59" s="207" t="str">
        <v>15Y</v>
      </c>
      <c r="B59" s="163" t="str">
        <f t="shared" si="13"/>
        <v>15Y</v>
      </c>
      <c r="C59" s="163" t="s">
        <v>508</v>
      </c>
      <c r="D59" s="302">
        <f t="shared" si="21"/>
        <v>29917.793147295095</v>
      </c>
      <c r="E59" s="210">
        <f t="shared" si="19"/>
        <v>36686.093243972398</v>
      </c>
      <c r="F59" s="213">
        <f t="shared" si="36"/>
        <v>0</v>
      </c>
      <c r="G59" s="214">
        <f t="shared" si="37"/>
        <v>0</v>
      </c>
      <c r="H59" s="540" t="str">
        <f t="shared" si="17"/>
        <v>26Y</v>
      </c>
      <c r="I59" s="541" t="str">
        <f t="shared" si="18"/>
        <v>W</v>
      </c>
      <c r="J59" s="69"/>
      <c r="K59" s="16"/>
      <c r="L59" s="207" t="str">
        <v>26Y</v>
      </c>
      <c r="M59" s="163" t="str">
        <v>26Y</v>
      </c>
      <c r="N59" s="163" t="str">
        <v>W</v>
      </c>
      <c r="O59" s="120">
        <f t="shared" si="22"/>
        <v>0</v>
      </c>
      <c r="P59" s="302">
        <f t="shared" si="23"/>
        <v>0</v>
      </c>
      <c r="Q59" s="23">
        <f>IF(LEN(O59)&gt;0,(EurMkt!$BN55-'reference set'!$AK65)*100,"")</f>
        <v>1.8245798000000146</v>
      </c>
      <c r="R59" s="22">
        <f t="shared" si="24"/>
        <v>0</v>
      </c>
      <c r="S59" s="16"/>
      <c r="T59" s="207" t="str">
        <v>16Y</v>
      </c>
      <c r="U59" s="26">
        <f t="shared" si="25"/>
        <v>6329.1737197025996</v>
      </c>
      <c r="V59" s="23">
        <f>IF(LEN(Q59)&gt;0,(EurMkt!$AL55-'reference set'!$I65)*100,"")</f>
        <v>1.2069480000000077</v>
      </c>
      <c r="W59" s="22">
        <f t="shared" si="26"/>
        <v>7638.9835626476615</v>
      </c>
      <c r="X59" s="207" t="str">
        <v>15Y</v>
      </c>
      <c r="Y59" s="302">
        <f>INDEX(ReMappedSens6M,MATCH(X59,BktEur6mSens!$M$6:$M$70,0))</f>
        <v>30012.796312491701</v>
      </c>
      <c r="Z59" s="208">
        <f>INDEX(ReMappedPL6M,MATCH(X59,BktEur6mPL!$M$6:$M$70,0))</f>
        <v>36015.355574990739</v>
      </c>
      <c r="AA59" s="16"/>
      <c r="AB59" s="207" t="str">
        <v>20Y</v>
      </c>
      <c r="AC59" s="120">
        <f t="shared" si="27"/>
        <v>0</v>
      </c>
      <c r="AD59" s="26">
        <f t="shared" si="28"/>
        <v>-27718.494650723202</v>
      </c>
      <c r="AE59" s="23">
        <f>IF(LEN(AB59)&gt;0,(EurMkt!$AW55-'reference set'!$U65)*100,"")</f>
        <v>1.4000000000000012</v>
      </c>
      <c r="AF59" s="22">
        <f t="shared" si="29"/>
        <v>-38805.89251101252</v>
      </c>
      <c r="AG59" s="207" t="str">
        <v>15Y</v>
      </c>
      <c r="AH59" s="256">
        <f>INDEX(ReMappedSens3M,MATCH(AG59,BktEur3mSens!$M$6:$M$70,0))</f>
        <v>16332.594059221699</v>
      </c>
      <c r="AI59" s="208">
        <f>INDEX(ReMappedPL3M,MATCH(AG59,BktEur3mPL!$M$6:$M$70,0))</f>
        <v>21232.37227698823</v>
      </c>
      <c r="AJ59" s="16"/>
      <c r="AK59" s="25" t="str">
        <v>20Y</v>
      </c>
      <c r="AL59" s="26">
        <f t="shared" si="30"/>
        <v>-19482.4483390063</v>
      </c>
      <c r="AM59" s="23">
        <f>(+EurMkt!CF55-'reference set'!BA65)*100</f>
        <v>1.5000000000000013</v>
      </c>
      <c r="AN59" s="22">
        <f t="shared" si="31"/>
        <v>-29223.672508509477</v>
      </c>
      <c r="AO59" s="207" t="str">
        <v>15Y</v>
      </c>
      <c r="AP59" s="302">
        <f>INDEX(ReMappedSens1M,MATCH(AO59,BktEur1mSens!$M$6:$M$70,0))</f>
        <v>-23433.102846004</v>
      </c>
      <c r="AQ59" s="208">
        <f>INDEX(ReMappedPL1M,MATCH(AO59,BktEur1mPL!$M$6:$M$72,0))</f>
        <v>-30463.033699805488</v>
      </c>
      <c r="AR59" s="16"/>
      <c r="AS59" s="207" t="str">
        <v>17Y</v>
      </c>
      <c r="AT59" s="26">
        <f t="shared" si="32"/>
        <v>-27413.470929782299</v>
      </c>
      <c r="AU59" s="23">
        <f>(EurMkt!BF55-'reference set'!AC65)*100</f>
        <v>1.258924699999997</v>
      </c>
      <c r="AV59" s="22">
        <f t="shared" si="33"/>
        <v>-34511.49566623482</v>
      </c>
      <c r="AW59" s="207" t="str">
        <v>15Y</v>
      </c>
      <c r="AX59" s="302">
        <f>INDEX(ReMappedSens1Y,MATCH(AW59,BktEur1ySens!$M$6:$M$70,0))</f>
        <v>-468.45610789465798</v>
      </c>
      <c r="AY59" s="208">
        <f>INDEX(ReMappedPL1Y,MATCH(AW59,BktEur1yPL!$M$6:$M$70,0))</f>
        <v>-562.14732947359005</v>
      </c>
      <c r="AZ59" s="33"/>
      <c r="BA59" s="25" t="str">
        <v>15Y</v>
      </c>
      <c r="BB59" s="26">
        <f t="shared" si="34"/>
        <v>7473.9617294803538</v>
      </c>
      <c r="BC59" s="23">
        <f>(EurMkt!BW55-'reference set'!AS65)*100</f>
        <v>1.4000000000000012</v>
      </c>
      <c r="BD59" s="22">
        <f t="shared" si="35"/>
        <v>10463.546421272506</v>
      </c>
      <c r="BE59" s="16"/>
      <c r="BF59" s="401"/>
      <c r="BG59" s="401"/>
      <c r="BH59" s="401"/>
      <c r="BI59" s="401"/>
      <c r="BJ59" s="401"/>
      <c r="BK59" s="401"/>
      <c r="BL59" s="401"/>
      <c r="BM59" s="401"/>
      <c r="BN59" s="401"/>
      <c r="BO59" s="401"/>
      <c r="BP59" s="401"/>
      <c r="BQ59" s="401"/>
      <c r="BR59" s="401"/>
      <c r="BS59" s="401"/>
      <c r="BT59" s="401"/>
      <c r="BU59" s="401"/>
      <c r="BV59" s="401"/>
      <c r="BW59" s="401"/>
      <c r="BX59" s="401"/>
      <c r="BY59" s="401"/>
      <c r="BZ59" s="401"/>
      <c r="CA59" s="401"/>
      <c r="CB59" s="401"/>
      <c r="CC59" s="401"/>
      <c r="CD59" s="401"/>
      <c r="CE59" s="401"/>
      <c r="CF59" s="401"/>
      <c r="CG59" s="401"/>
      <c r="CH59" s="401"/>
      <c r="CI59" s="401"/>
      <c r="CJ59" s="401"/>
      <c r="CK59" s="401"/>
      <c r="CL59" s="401"/>
      <c r="CM59" s="401"/>
      <c r="CN59" s="401"/>
      <c r="CO59" s="401"/>
      <c r="CP59" s="401"/>
    </row>
    <row r="60" spans="1:94" ht="15" customHeight="1">
      <c r="A60" s="207" t="str">
        <v>16Y</v>
      </c>
      <c r="B60" s="163" t="str">
        <f t="shared" si="13"/>
        <v>16Y</v>
      </c>
      <c r="C60" s="163" t="s">
        <v>508</v>
      </c>
      <c r="D60" s="302">
        <f t="shared" si="21"/>
        <v>-39074.562567644607</v>
      </c>
      <c r="E60" s="210">
        <f t="shared" si="19"/>
        <v>-57913.34758230055</v>
      </c>
      <c r="F60" s="213">
        <f t="shared" si="36"/>
        <v>0</v>
      </c>
      <c r="G60" s="214">
        <f t="shared" si="37"/>
        <v>0</v>
      </c>
      <c r="H60" s="540" t="str">
        <f t="shared" si="17"/>
        <v>27Y</v>
      </c>
      <c r="I60" s="541" t="str">
        <f t="shared" si="18"/>
        <v>W</v>
      </c>
      <c r="J60" s="69"/>
      <c r="K60" s="16"/>
      <c r="L60" s="207" t="str">
        <v>27Y</v>
      </c>
      <c r="M60" s="163" t="str">
        <v>27Y</v>
      </c>
      <c r="N60" s="163" t="str">
        <v>W</v>
      </c>
      <c r="O60" s="120">
        <f t="shared" si="22"/>
        <v>0</v>
      </c>
      <c r="P60" s="302">
        <f t="shared" si="23"/>
        <v>0</v>
      </c>
      <c r="Q60" s="23">
        <f>IF(LEN(O60)&gt;0,(EurMkt!$BN56-'reference set'!$AK66)*100,"")</f>
        <v>1.791587100000025</v>
      </c>
      <c r="R60" s="22">
        <f t="shared" si="24"/>
        <v>0</v>
      </c>
      <c r="S60" s="16"/>
      <c r="T60" s="207" t="str">
        <v>17Y</v>
      </c>
      <c r="U60" s="26">
        <f t="shared" si="25"/>
        <v>-2158.0673765025999</v>
      </c>
      <c r="V60" s="23">
        <f>IF(LEN(Q60)&gt;0,(EurMkt!$AL56-'reference set'!$I66)*100,"")</f>
        <v>1.2499181999999998</v>
      </c>
      <c r="W60" s="22">
        <f t="shared" si="26"/>
        <v>-2697.4076907168514</v>
      </c>
      <c r="X60" s="207" t="str">
        <v>16Y</v>
      </c>
      <c r="Y60" s="302">
        <f>INDEX(ReMappedSens6M,MATCH(X60,BktEur6mSens!$M$6:$M$70,0))</f>
        <v>6329.1737197025996</v>
      </c>
      <c r="Z60" s="208">
        <f>INDEX(ReMappedPL6M,MATCH(X60,BktEur6mPL!$M$6:$M$70,0))</f>
        <v>7638.9835626476615</v>
      </c>
      <c r="AA60" s="16"/>
      <c r="AB60" s="207" t="str">
        <v>21Y</v>
      </c>
      <c r="AC60" s="120">
        <f t="shared" si="27"/>
        <v>0</v>
      </c>
      <c r="AD60" s="26">
        <f t="shared" si="28"/>
        <v>114880.22288754401</v>
      </c>
      <c r="AE60" s="23">
        <f>IF(LEN(AB60)&gt;0,(EurMkt!$AW56-'reference set'!$U66)*100,"")</f>
        <v>1.4159267000000142</v>
      </c>
      <c r="AF60" s="22">
        <f t="shared" si="29"/>
        <v>162661.97488842628</v>
      </c>
      <c r="AG60" s="207" t="str">
        <v>16Y</v>
      </c>
      <c r="AH60" s="256">
        <f>INDEX(ReMappedSens3M,MATCH(AG60,BktEur3mSens!$M$6:$M$70,0))</f>
        <v>-67916.323501658306</v>
      </c>
      <c r="AI60" s="208">
        <f>INDEX(ReMappedPL3M,MATCH(AG60,BktEur3mPL!$M$6:$M$70,0))</f>
        <v>-94228.207470641617</v>
      </c>
      <c r="AJ60" s="16"/>
      <c r="AK60" s="25" t="str">
        <v>21Y</v>
      </c>
      <c r="AL60" s="26">
        <f t="shared" si="30"/>
        <v>16456.237811994601</v>
      </c>
      <c r="AM60" s="23">
        <f>(+EurMkt!CF56-'reference set'!BA66)*100</f>
        <v>1.5120656000000121</v>
      </c>
      <c r="AN60" s="22">
        <f t="shared" si="31"/>
        <v>24882.911100936501</v>
      </c>
      <c r="AO60" s="207" t="str">
        <v>16Y</v>
      </c>
      <c r="AP60" s="302">
        <f>INDEX(ReMappedSens1M,MATCH(AO60,BktEur1mSens!$M$6:$M$70,0))</f>
        <v>22928.154175529799</v>
      </c>
      <c r="AQ60" s="208">
        <f>INDEX(ReMappedPL1M,MATCH(AO60,BktEur1mPL!$M$6:$M$72,0))</f>
        <v>29912.299218938067</v>
      </c>
      <c r="AR60" s="16"/>
      <c r="AS60" s="207" t="str">
        <v>18Y</v>
      </c>
      <c r="AT60" s="26">
        <f t="shared" si="32"/>
        <v>-80566.952559293393</v>
      </c>
      <c r="AU60" s="23">
        <f>(EurMkt!BF56-'reference set'!AC66)*100</f>
        <v>1.2952391000000008</v>
      </c>
      <c r="AV60" s="22">
        <f t="shared" si="33"/>
        <v>-104353.46712264193</v>
      </c>
      <c r="AW60" s="207" t="str">
        <v>16Y</v>
      </c>
      <c r="AX60" s="302">
        <f>INDEX(ReMappedSens1Y,MATCH(AW60,BktEur1ySens!$M$6:$M$70,0))</f>
        <v>2834.3729592667401</v>
      </c>
      <c r="AY60" s="208">
        <f>INDEX(ReMappedPL1Y,MATCH(AW60,BktEur1yPL!$M$6:$M$70,0))</f>
        <v>3445.4070818255095</v>
      </c>
      <c r="AZ60" s="33"/>
      <c r="BA60" s="25" t="str">
        <v>16Y</v>
      </c>
      <c r="BB60" s="26">
        <f t="shared" si="34"/>
        <v>-3249.9399204854412</v>
      </c>
      <c r="BC60" s="23">
        <f>(EurMkt!BW56-'reference set'!AS66)*100</f>
        <v>1.4405897000000056</v>
      </c>
      <c r="BD60" s="22">
        <f t="shared" si="35"/>
        <v>-4681.8299750701635</v>
      </c>
      <c r="BE60" s="16"/>
      <c r="BF60" s="401"/>
      <c r="BG60" s="401"/>
      <c r="BH60" s="401"/>
      <c r="BI60" s="401"/>
      <c r="BJ60" s="401"/>
      <c r="BK60" s="401"/>
      <c r="BL60" s="401"/>
      <c r="BM60" s="401"/>
      <c r="BN60" s="401"/>
      <c r="BO60" s="401"/>
      <c r="BP60" s="401"/>
      <c r="BQ60" s="401"/>
      <c r="BR60" s="401"/>
      <c r="BS60" s="401"/>
      <c r="BT60" s="401"/>
      <c r="BU60" s="401"/>
      <c r="BV60" s="401"/>
      <c r="BW60" s="401"/>
      <c r="BX60" s="401"/>
      <c r="BY60" s="401"/>
      <c r="BZ60" s="401"/>
      <c r="CA60" s="401"/>
      <c r="CB60" s="401"/>
      <c r="CC60" s="401"/>
      <c r="CD60" s="401"/>
      <c r="CE60" s="401"/>
      <c r="CF60" s="401"/>
      <c r="CG60" s="401"/>
      <c r="CH60" s="401"/>
      <c r="CI60" s="401"/>
      <c r="CJ60" s="401"/>
      <c r="CK60" s="401"/>
      <c r="CL60" s="401"/>
      <c r="CM60" s="401"/>
      <c r="CN60" s="401"/>
      <c r="CO60" s="401"/>
      <c r="CP60" s="401"/>
    </row>
    <row r="61" spans="1:94" ht="15" customHeight="1">
      <c r="A61" s="207" t="str">
        <v>17Y</v>
      </c>
      <c r="B61" s="163" t="str">
        <f t="shared" si="13"/>
        <v>17Y</v>
      </c>
      <c r="C61" s="163" t="s">
        <v>508</v>
      </c>
      <c r="D61" s="302">
        <f t="shared" si="21"/>
        <v>-23235.291227269343</v>
      </c>
      <c r="E61" s="210">
        <f t="shared" si="19"/>
        <v>-29813.305902229738</v>
      </c>
      <c r="F61" s="213">
        <f t="shared" si="36"/>
        <v>0</v>
      </c>
      <c r="G61" s="214">
        <f t="shared" si="37"/>
        <v>0</v>
      </c>
      <c r="H61" s="540" t="str">
        <f t="shared" si="17"/>
        <v>28Y</v>
      </c>
      <c r="I61" s="541" t="str">
        <f t="shared" si="18"/>
        <v>W</v>
      </c>
      <c r="J61" s="69"/>
      <c r="K61" s="16"/>
      <c r="L61" s="207" t="str">
        <v>28Y</v>
      </c>
      <c r="M61" s="163" t="str">
        <v>28Y</v>
      </c>
      <c r="N61" s="163" t="str">
        <v>W</v>
      </c>
      <c r="O61" s="120">
        <f t="shared" si="22"/>
        <v>0</v>
      </c>
      <c r="P61" s="302">
        <f t="shared" si="23"/>
        <v>0</v>
      </c>
      <c r="Q61" s="23">
        <f>IF(LEN(O61)&gt;0,(EurMkt!$BN57-'reference set'!$AK67)*100,"")</f>
        <v>1.7685569000000179</v>
      </c>
      <c r="R61" s="22">
        <f t="shared" si="24"/>
        <v>0</v>
      </c>
      <c r="S61" s="16"/>
      <c r="T61" s="207" t="str">
        <v>18Y</v>
      </c>
      <c r="U61" s="26">
        <f t="shared" si="25"/>
        <v>84610.274432095102</v>
      </c>
      <c r="V61" s="23">
        <f>IF(LEN(Q61)&gt;0,(EurMkt!$AL57-'reference set'!$I67)*100,"")</f>
        <v>1.2874618999999976</v>
      </c>
      <c r="W61" s="22">
        <f t="shared" si="26"/>
        <v>108932.50467986638</v>
      </c>
      <c r="X61" s="207" t="str">
        <v>17Y</v>
      </c>
      <c r="Y61" s="302">
        <f>INDEX(ReMappedSens6M,MATCH(X61,BktEur6mSens!$M$6:$M$70,0))</f>
        <v>-2158.0673765025999</v>
      </c>
      <c r="Z61" s="208">
        <f>INDEX(ReMappedPL6M,MATCH(X61,BktEur6mPL!$M$6:$M$70,0))</f>
        <v>-2697.4076907168514</v>
      </c>
      <c r="AA61" s="16"/>
      <c r="AB61" s="207" t="str">
        <v>22Y</v>
      </c>
      <c r="AC61" s="120">
        <f t="shared" si="27"/>
        <v>0</v>
      </c>
      <c r="AD61" s="26">
        <f t="shared" si="28"/>
        <v>-44202.422140939903</v>
      </c>
      <c r="AE61" s="23">
        <f>IF(LEN(AB61)&gt;0,(EurMkt!$AW57-'reference set'!$U67)*100,"")</f>
        <v>1.4310229000000119</v>
      </c>
      <c r="AF61" s="22">
        <f t="shared" si="29"/>
        <v>-63254.678319152554</v>
      </c>
      <c r="AG61" s="207" t="str">
        <v>17Y</v>
      </c>
      <c r="AH61" s="256">
        <f>INDEX(ReMappedSens3M,MATCH(AG61,BktEur3mSens!$M$6:$M$70,0))</f>
        <v>4687.1531510352097</v>
      </c>
      <c r="AI61" s="208">
        <f>INDEX(ReMappedPL3M,MATCH(AG61,BktEur3mPL!$M$6:$M$70,0))</f>
        <v>6137.8514244770167</v>
      </c>
      <c r="AJ61" s="16"/>
      <c r="AK61" s="25" t="str">
        <v>22Y</v>
      </c>
      <c r="AL61" s="26">
        <f t="shared" si="30"/>
        <v>37242.8134750963</v>
      </c>
      <c r="AM61" s="23">
        <f>(+EurMkt!CF57-'reference set'!BA67)*100</f>
        <v>1.5117035000000056</v>
      </c>
      <c r="AN61" s="22">
        <f t="shared" si="31"/>
        <v>56300.091480150448</v>
      </c>
      <c r="AO61" s="207" t="str">
        <v>17Y</v>
      </c>
      <c r="AP61" s="302">
        <f>INDEX(ReMappedSens1M,MATCH(AO61,BktEur1mSens!$M$6:$M$70,0))</f>
        <v>8323.4482101735794</v>
      </c>
      <c r="AQ61" s="208">
        <f>INDEX(ReMappedPL1M,MATCH(AO61,BktEur1mPL!$M$6:$M$72,0))</f>
        <v>11248.853929431267</v>
      </c>
      <c r="AR61" s="16"/>
      <c r="AS61" s="207" t="str">
        <v>19Y</v>
      </c>
      <c r="AT61" s="26">
        <f t="shared" si="32"/>
        <v>114448.62245516801</v>
      </c>
      <c r="AU61" s="23">
        <f>(EurMkt!BF57-'reference set'!AC67)*100</f>
        <v>1.3477941000000104</v>
      </c>
      <c r="AV61" s="22">
        <f t="shared" si="33"/>
        <v>154253.17809820414</v>
      </c>
      <c r="AW61" s="207" t="str">
        <v>17Y</v>
      </c>
      <c r="AX61" s="302">
        <f>INDEX(ReMappedSens1Y,MATCH(AW61,BktEur1ySens!$M$6:$M$70,0))</f>
        <v>-27413.470929782299</v>
      </c>
      <c r="AY61" s="208">
        <f>INDEX(ReMappedPL1Y,MATCH(AW61,BktEur1yPL!$M$6:$M$70,0))</f>
        <v>-34511.49566623482</v>
      </c>
      <c r="AZ61" s="33"/>
      <c r="BA61" s="25" t="str">
        <v>17Y</v>
      </c>
      <c r="BB61" s="26">
        <f t="shared" si="34"/>
        <v>-6674.3542821932333</v>
      </c>
      <c r="BC61" s="23">
        <f>(EurMkt!BW57-'reference set'!AS67)*100</f>
        <v>1.4969400000000022</v>
      </c>
      <c r="BD61" s="22">
        <f t="shared" si="35"/>
        <v>-9991.1078991863524</v>
      </c>
      <c r="BE61" s="16"/>
      <c r="BF61" s="401"/>
      <c r="BG61" s="401"/>
      <c r="BH61" s="401"/>
      <c r="BI61" s="401"/>
      <c r="BJ61" s="401"/>
      <c r="BK61" s="401"/>
      <c r="BL61" s="401"/>
      <c r="BM61" s="401"/>
      <c r="BN61" s="401"/>
      <c r="BO61" s="401"/>
      <c r="BP61" s="401"/>
      <c r="BQ61" s="401"/>
      <c r="BR61" s="401"/>
      <c r="BS61" s="401"/>
      <c r="BT61" s="401"/>
      <c r="BU61" s="401"/>
      <c r="BV61" s="401"/>
      <c r="BW61" s="401"/>
      <c r="BX61" s="401"/>
      <c r="BY61" s="401"/>
      <c r="BZ61" s="401"/>
      <c r="CA61" s="401"/>
      <c r="CB61" s="401"/>
      <c r="CC61" s="401"/>
      <c r="CD61" s="401"/>
      <c r="CE61" s="401"/>
      <c r="CF61" s="401"/>
      <c r="CG61" s="401"/>
      <c r="CH61" s="401"/>
      <c r="CI61" s="401"/>
      <c r="CJ61" s="401"/>
      <c r="CK61" s="401"/>
      <c r="CL61" s="401"/>
      <c r="CM61" s="401"/>
      <c r="CN61" s="401"/>
      <c r="CO61" s="401"/>
      <c r="CP61" s="401"/>
    </row>
    <row r="62" spans="1:94" ht="15" customHeight="1">
      <c r="A62" s="207" t="str">
        <v>18Y</v>
      </c>
      <c r="B62" s="163" t="str">
        <f t="shared" si="13"/>
        <v>18Y</v>
      </c>
      <c r="C62" s="163" t="s">
        <v>508</v>
      </c>
      <c r="D62" s="302">
        <f t="shared" si="21"/>
        <v>-15238.527077180494</v>
      </c>
      <c r="E62" s="210">
        <f t="shared" si="19"/>
        <v>-24324.572114187635</v>
      </c>
      <c r="F62" s="213">
        <f t="shared" si="36"/>
        <v>0</v>
      </c>
      <c r="G62" s="214">
        <f t="shared" si="37"/>
        <v>0</v>
      </c>
      <c r="H62" s="540" t="str">
        <f t="shared" si="17"/>
        <v>29Y</v>
      </c>
      <c r="I62" s="541" t="str">
        <f t="shared" si="18"/>
        <v>W</v>
      </c>
      <c r="J62" s="69"/>
      <c r="K62" s="16"/>
      <c r="L62" s="207" t="str">
        <v>29Y</v>
      </c>
      <c r="M62" s="163" t="str">
        <v>29Y</v>
      </c>
      <c r="N62" s="163" t="str">
        <v>W</v>
      </c>
      <c r="O62" s="120">
        <f t="shared" si="22"/>
        <v>0</v>
      </c>
      <c r="P62" s="302">
        <f t="shared" si="23"/>
        <v>0</v>
      </c>
      <c r="Q62" s="23">
        <f>IF(LEN(O62)&gt;0,(EurMkt!$BN58-'reference set'!$AK68)*100,"")</f>
        <v>1.6238724000000149</v>
      </c>
      <c r="R62" s="22">
        <f t="shared" si="24"/>
        <v>0</v>
      </c>
      <c r="S62" s="16"/>
      <c r="T62" s="207" t="str">
        <v>19Y</v>
      </c>
      <c r="U62" s="26">
        <f t="shared" si="25"/>
        <v>-297245.53649835603</v>
      </c>
      <c r="V62" s="23">
        <f>IF(LEN(Q62)&gt;0,(EurMkt!$AL58-'reference set'!$I68)*100,"")</f>
        <v>1.34433570000001</v>
      </c>
      <c r="W62" s="22">
        <f t="shared" si="26"/>
        <v>-399597.78638039599</v>
      </c>
      <c r="X62" s="207" t="str">
        <v>18Y</v>
      </c>
      <c r="Y62" s="302">
        <f>INDEX(ReMappedSens6M,MATCH(X62,BktEur6mSens!$M$6:$M$70,0))</f>
        <v>84610.274432095102</v>
      </c>
      <c r="Z62" s="208">
        <f>INDEX(ReMappedPL6M,MATCH(X62,BktEur6mPL!$M$6:$M$70,0))</f>
        <v>108932.50467986638</v>
      </c>
      <c r="AA62" s="16"/>
      <c r="AB62" s="207" t="str">
        <v>23Y</v>
      </c>
      <c r="AC62" s="120">
        <f t="shared" si="27"/>
        <v>0</v>
      </c>
      <c r="AD62" s="26">
        <f t="shared" si="28"/>
        <v>-23023.017052544699</v>
      </c>
      <c r="AE62" s="23">
        <f>IF(LEN(AB62)&gt;0,(EurMkt!$AW58-'reference set'!$U68)*100,"")</f>
        <v>1.4498228000000113</v>
      </c>
      <c r="AF62" s="22">
        <f t="shared" si="29"/>
        <v>-33379.295047568361</v>
      </c>
      <c r="AG62" s="207" t="str">
        <v>18Y</v>
      </c>
      <c r="AH62" s="256">
        <f>INDEX(ReMappedSens3M,MATCH(AG62,BktEur3mSens!$M$6:$M$70,0))</f>
        <v>5291.3447842202704</v>
      </c>
      <c r="AI62" s="208">
        <f>INDEX(ReMappedPL3M,MATCH(AG62,BktEur3mPL!$M$6:$M$70,0))</f>
        <v>6998.5151630048294</v>
      </c>
      <c r="AJ62" s="16"/>
      <c r="AK62" s="25" t="str">
        <v>23Y</v>
      </c>
      <c r="AL62" s="26">
        <f t="shared" si="30"/>
        <v>-6521.3019414986702</v>
      </c>
      <c r="AM62" s="23">
        <f>(+EurMkt!CF58-'reference set'!BA68)*100</f>
        <v>1.5073086000000124</v>
      </c>
      <c r="AN62" s="22">
        <f t="shared" si="31"/>
        <v>-9829.6144996177227</v>
      </c>
      <c r="AO62" s="207" t="str">
        <v>18Y</v>
      </c>
      <c r="AP62" s="302">
        <f>INDEX(ReMappedSens1M,MATCH(AO62,BktEur1mSens!$M$6:$M$70,0))</f>
        <v>-11560.0898545132</v>
      </c>
      <c r="AQ62" s="208">
        <f>INDEX(ReMappedPL1M,MATCH(AO62,BktEur1mPL!$M$6:$M$72,0))</f>
        <v>-16053.333783695502</v>
      </c>
      <c r="AR62" s="16"/>
      <c r="AS62" s="207" t="str">
        <v>20Y</v>
      </c>
      <c r="AT62" s="26">
        <f t="shared" si="32"/>
        <v>240845.81626304699</v>
      </c>
      <c r="AU62" s="23">
        <f>(EurMkt!BF58-'reference set'!AC68)*100</f>
        <v>1.4000000000000012</v>
      </c>
      <c r="AV62" s="22">
        <f t="shared" si="33"/>
        <v>337184.14276826609</v>
      </c>
      <c r="AW62" s="207" t="str">
        <v>18Y</v>
      </c>
      <c r="AX62" s="302">
        <f>INDEX(ReMappedSens1Y,MATCH(AW62,BktEur1ySens!$M$6:$M$70,0))</f>
        <v>-80566.952559293393</v>
      </c>
      <c r="AY62" s="208">
        <f>INDEX(ReMappedPL1Y,MATCH(AW62,BktEur1yPL!$M$6:$M$70,0))</f>
        <v>-104353.46712264193</v>
      </c>
      <c r="AZ62" s="33"/>
      <c r="BA62" s="25" t="str">
        <v>18Y</v>
      </c>
      <c r="BB62" s="26">
        <f t="shared" si="34"/>
        <v>-13013.103879689279</v>
      </c>
      <c r="BC62" s="23">
        <f>(EurMkt!BW58-'reference set'!AS68)*100</f>
        <v>1.5252926000000055</v>
      </c>
      <c r="BD62" s="22">
        <f t="shared" si="35"/>
        <v>-19848.791050721418</v>
      </c>
      <c r="BE62" s="16"/>
      <c r="BF62" s="401"/>
      <c r="BG62" s="401"/>
      <c r="BH62" s="401"/>
      <c r="BI62" s="401"/>
      <c r="BJ62" s="401"/>
      <c r="BK62" s="401"/>
      <c r="BL62" s="401"/>
      <c r="BM62" s="401"/>
      <c r="BN62" s="401"/>
      <c r="BO62" s="401"/>
      <c r="BP62" s="401"/>
      <c r="BQ62" s="401"/>
      <c r="BR62" s="401"/>
      <c r="BS62" s="401"/>
      <c r="BT62" s="401"/>
      <c r="BU62" s="401"/>
      <c r="BV62" s="401"/>
      <c r="BW62" s="401"/>
      <c r="BX62" s="401"/>
      <c r="BY62" s="401"/>
      <c r="BZ62" s="401"/>
      <c r="CA62" s="401"/>
      <c r="CB62" s="401"/>
      <c r="CC62" s="401"/>
      <c r="CD62" s="401"/>
      <c r="CE62" s="401"/>
      <c r="CF62" s="401"/>
      <c r="CG62" s="401"/>
      <c r="CH62" s="401"/>
      <c r="CI62" s="401"/>
      <c r="CJ62" s="401"/>
      <c r="CK62" s="401"/>
      <c r="CL62" s="401"/>
      <c r="CM62" s="401"/>
      <c r="CN62" s="401"/>
      <c r="CO62" s="401"/>
      <c r="CP62" s="401"/>
    </row>
    <row r="63" spans="1:94" ht="15" customHeight="1">
      <c r="A63" s="207" t="str">
        <v>19Y</v>
      </c>
      <c r="B63" s="163" t="str">
        <f t="shared" si="13"/>
        <v>19Y</v>
      </c>
      <c r="C63" s="163" t="s">
        <v>508</v>
      </c>
      <c r="D63" s="302">
        <f t="shared" si="21"/>
        <v>1009.4252605315996</v>
      </c>
      <c r="E63" s="210">
        <f t="shared" si="19"/>
        <v>48211.443728854705</v>
      </c>
      <c r="F63" s="213">
        <f t="shared" si="36"/>
        <v>0</v>
      </c>
      <c r="G63" s="214">
        <f t="shared" si="37"/>
        <v>0</v>
      </c>
      <c r="H63" s="540" t="str">
        <f t="shared" si="17"/>
        <v>30Y</v>
      </c>
      <c r="I63" s="541" t="str">
        <f t="shared" si="18"/>
        <v>W</v>
      </c>
      <c r="J63" s="69"/>
      <c r="K63" s="16"/>
      <c r="L63" s="207" t="str">
        <v>30Y</v>
      </c>
      <c r="M63" s="163" t="str">
        <v>30Y</v>
      </c>
      <c r="N63" s="163" t="str">
        <v>W</v>
      </c>
      <c r="O63" s="120">
        <f t="shared" si="22"/>
        <v>0</v>
      </c>
      <c r="P63" s="302">
        <f t="shared" si="23"/>
        <v>0</v>
      </c>
      <c r="Q63" s="23">
        <f>IF(LEN(O63)&gt;0,(EurMkt!$BN59-'reference set'!$AK69)*100,"")</f>
        <v>1.6868313999999884</v>
      </c>
      <c r="R63" s="22">
        <f t="shared" si="24"/>
        <v>0</v>
      </c>
      <c r="S63" s="16"/>
      <c r="T63" s="207" t="str">
        <v>20Y</v>
      </c>
      <c r="U63" s="26">
        <f t="shared" si="25"/>
        <v>24403.592130513302</v>
      </c>
      <c r="V63" s="23">
        <f>IF(LEN(Q63)&gt;0,(EurMkt!$AL59-'reference set'!$I69)*100,"")</f>
        <v>1.4000000000000012</v>
      </c>
      <c r="W63" s="22">
        <f t="shared" si="26"/>
        <v>34165.02898271865</v>
      </c>
      <c r="X63" s="207" t="str">
        <v>19Y</v>
      </c>
      <c r="Y63" s="302">
        <f>INDEX(ReMappedSens6M,MATCH(X63,BktEur6mSens!$M$6:$M$70,0))</f>
        <v>-297245.53649835603</v>
      </c>
      <c r="Z63" s="208">
        <f>INDEX(ReMappedPL6M,MATCH(X63,BktEur6mPL!$M$6:$M$70,0))</f>
        <v>-399597.78638039599</v>
      </c>
      <c r="AA63" s="16"/>
      <c r="AB63" s="207" t="str">
        <v>24Y</v>
      </c>
      <c r="AC63" s="120">
        <f t="shared" si="27"/>
        <v>0</v>
      </c>
      <c r="AD63" s="26">
        <f t="shared" si="28"/>
        <v>-220.79907245247799</v>
      </c>
      <c r="AE63" s="23">
        <f>IF(LEN(AB63)&gt;0,(EurMkt!$AW59-'reference set'!$U69)*100,"")</f>
        <v>1.4703831000000056</v>
      </c>
      <c r="AF63" s="22">
        <f t="shared" si="29"/>
        <v>-324.65922462980041</v>
      </c>
      <c r="AG63" s="207" t="str">
        <v>19Y</v>
      </c>
      <c r="AH63" s="256">
        <f>INDEX(ReMappedSens3M,MATCH(AG63,BktEur3mSens!$M$6:$M$70,0))</f>
        <v>-18935.929035528501</v>
      </c>
      <c r="AI63" s="208">
        <f>INDEX(ReMappedPL3M,MATCH(AG63,BktEur3mPL!$M$6:$M$70,0))</f>
        <v>-25741.810586540814</v>
      </c>
      <c r="AJ63" s="16"/>
      <c r="AK63" s="25" t="str">
        <v>24Y</v>
      </c>
      <c r="AL63" s="26">
        <f t="shared" si="30"/>
        <v>272.30455508405402</v>
      </c>
      <c r="AM63" s="23">
        <f>(+EurMkt!CF59-'reference set'!BA69)*100</f>
        <v>1.4993398000000102</v>
      </c>
      <c r="AN63" s="22">
        <f t="shared" si="31"/>
        <v>408.27705715881729</v>
      </c>
      <c r="AO63" s="207" t="str">
        <v>19Y</v>
      </c>
      <c r="AP63" s="302">
        <f>INDEX(ReMappedSens1M,MATCH(AO63,BktEur1mSens!$M$6:$M$70,0))</f>
        <v>-15819.463837727701</v>
      </c>
      <c r="AQ63" s="208">
        <f>INDEX(ReMappedPL1M,MATCH(AO63,BktEur1mPL!$M$6:$M$72,0))</f>
        <v>-22888.614308056443</v>
      </c>
      <c r="AR63" s="16"/>
      <c r="AS63" s="207" t="str">
        <v>21Y</v>
      </c>
      <c r="AT63" s="26">
        <f t="shared" si="32"/>
        <v>-190562.77177239201</v>
      </c>
      <c r="AU63" s="23">
        <f>(EurMkt!BF59-'reference set'!AC69)*100</f>
        <v>1.4317002999999939</v>
      </c>
      <c r="AV63" s="22">
        <f t="shared" si="33"/>
        <v>-272828.777515364</v>
      </c>
      <c r="AW63" s="207" t="str">
        <v>19Y</v>
      </c>
      <c r="AX63" s="302">
        <f>INDEX(ReMappedSens1Y,MATCH(AW63,BktEur1ySens!$M$6:$M$70,0))</f>
        <v>114448.62245516801</v>
      </c>
      <c r="AY63" s="208">
        <f>INDEX(ReMappedPL1Y,MATCH(AW63,BktEur1yPL!$M$6:$M$70,0))</f>
        <v>154253.17809820414</v>
      </c>
      <c r="AZ63" s="33"/>
      <c r="BA63" s="25" t="str">
        <v>19Y</v>
      </c>
      <c r="BB63" s="26">
        <f t="shared" si="34"/>
        <v>218561.73217697581</v>
      </c>
      <c r="BC63" s="23">
        <f>(EurMkt!BW59-'reference set'!AS69)*100</f>
        <v>1.5656285000000159</v>
      </c>
      <c r="BD63" s="22">
        <f t="shared" si="35"/>
        <v>342186.47690564382</v>
      </c>
      <c r="BE63" s="16"/>
      <c r="BF63" s="401"/>
      <c r="BG63" s="401"/>
      <c r="BH63" s="401"/>
      <c r="BI63" s="401"/>
      <c r="BJ63" s="401"/>
      <c r="BK63" s="401"/>
      <c r="BL63" s="401"/>
      <c r="BM63" s="401"/>
      <c r="BN63" s="401"/>
      <c r="BO63" s="401"/>
      <c r="BP63" s="401"/>
      <c r="BQ63" s="401"/>
      <c r="BR63" s="401"/>
      <c r="BS63" s="401"/>
      <c r="BT63" s="401"/>
      <c r="BU63" s="401"/>
      <c r="BV63" s="401"/>
      <c r="BW63" s="401"/>
      <c r="BX63" s="401"/>
      <c r="BY63" s="401"/>
      <c r="BZ63" s="401"/>
      <c r="CA63" s="401"/>
      <c r="CB63" s="401"/>
      <c r="CC63" s="401"/>
      <c r="CD63" s="401"/>
      <c r="CE63" s="401"/>
      <c r="CF63" s="401"/>
      <c r="CG63" s="401"/>
      <c r="CH63" s="401"/>
      <c r="CI63" s="401"/>
      <c r="CJ63" s="401"/>
      <c r="CK63" s="401"/>
      <c r="CL63" s="401"/>
      <c r="CM63" s="401"/>
      <c r="CN63" s="401"/>
      <c r="CO63" s="401"/>
      <c r="CP63" s="401"/>
    </row>
    <row r="64" spans="1:94" ht="15" customHeight="1">
      <c r="A64" s="207" t="str">
        <v>20Y</v>
      </c>
      <c r="B64" s="163" t="str">
        <f t="shared" si="13"/>
        <v>20Y</v>
      </c>
      <c r="C64" s="163" t="s">
        <v>508</v>
      </c>
      <c r="D64" s="302">
        <f t="shared" si="21"/>
        <v>22618.681487310474</v>
      </c>
      <c r="E64" s="210">
        <f t="shared" si="19"/>
        <v>-9368.0475349699846</v>
      </c>
      <c r="F64" s="213">
        <f t="shared" si="36"/>
        <v>0</v>
      </c>
      <c r="G64" s="214">
        <f t="shared" si="37"/>
        <v>0</v>
      </c>
      <c r="H64" s="540" t="str">
        <f t="shared" si="17"/>
        <v>31Y</v>
      </c>
      <c r="I64" s="541" t="str">
        <f t="shared" si="18"/>
        <v>W</v>
      </c>
      <c r="J64" s="69"/>
      <c r="K64" s="16"/>
      <c r="L64" s="207" t="str">
        <v>31Y</v>
      </c>
      <c r="M64" s="163" t="str">
        <v>31Y</v>
      </c>
      <c r="N64" s="163" t="str">
        <v>W</v>
      </c>
      <c r="O64" s="120">
        <f t="shared" si="22"/>
        <v>0</v>
      </c>
      <c r="P64" s="302">
        <f t="shared" si="23"/>
        <v>0</v>
      </c>
      <c r="Q64" s="23">
        <f>IF(LEN(O64)&gt;0,(EurMkt!$BN60-'reference set'!$AK70)*100,"")</f>
        <v>1.6491172000000054</v>
      </c>
      <c r="R64" s="22">
        <f t="shared" si="24"/>
        <v>0</v>
      </c>
      <c r="S64" s="16"/>
      <c r="T64" s="207" t="str">
        <v>21Y</v>
      </c>
      <c r="U64" s="26">
        <f t="shared" si="25"/>
        <v>71238.179029862993</v>
      </c>
      <c r="V64" s="23">
        <f>IF(LEN(Q64)&gt;0,(EurMkt!$AL60-'reference set'!$I70)*100,"")</f>
        <v>1.4286519000000109</v>
      </c>
      <c r="W64" s="22">
        <f t="shared" si="26"/>
        <v>101774.55982355469</v>
      </c>
      <c r="X64" s="207" t="str">
        <v>20Y</v>
      </c>
      <c r="Y64" s="302">
        <f>INDEX(ReMappedSens6M,MATCH(X64,BktEur6mSens!$M$6:$M$70,0))</f>
        <v>24403.592130513302</v>
      </c>
      <c r="Z64" s="208">
        <f>INDEX(ReMappedPL6M,MATCH(X64,BktEur6mPL!$M$6:$M$70,0))</f>
        <v>34165.02898271865</v>
      </c>
      <c r="AA64" s="16"/>
      <c r="AB64" s="207" t="str">
        <v>25Y</v>
      </c>
      <c r="AC64" s="120">
        <f t="shared" si="27"/>
        <v>0</v>
      </c>
      <c r="AD64" s="26">
        <f t="shared" si="28"/>
        <v>4301.5886000052496</v>
      </c>
      <c r="AE64" s="23">
        <f>IF(LEN(AB64)&gt;0,(EurMkt!$AW60-'reference set'!$U70)*100,"")</f>
        <v>1.5000000000000124</v>
      </c>
      <c r="AF64" s="22">
        <f t="shared" si="29"/>
        <v>6452.3829000079277</v>
      </c>
      <c r="AG64" s="207" t="str">
        <v>20Y</v>
      </c>
      <c r="AH64" s="256">
        <f>INDEX(ReMappedSens3M,MATCH(AG64,BktEur3mSens!$M$6:$M$70,0))</f>
        <v>-27718.494650723202</v>
      </c>
      <c r="AI64" s="208">
        <f>INDEX(ReMappedPL3M,MATCH(AG64,BktEur3mPL!$M$6:$M$70,0))</f>
        <v>-38805.89251101252</v>
      </c>
      <c r="AJ64" s="16"/>
      <c r="AK64" s="25" t="str">
        <v>25Y</v>
      </c>
      <c r="AL64" s="26">
        <f t="shared" si="30"/>
        <v>9832.04622788503</v>
      </c>
      <c r="AM64" s="23">
        <f>(+EurMkt!CF60-'reference set'!BA70)*100</f>
        <v>1.4999999999999902</v>
      </c>
      <c r="AN64" s="22">
        <f t="shared" si="31"/>
        <v>14748.06934182745</v>
      </c>
      <c r="AO64" s="207" t="str">
        <v>20Y</v>
      </c>
      <c r="AP64" s="302">
        <f>INDEX(ReMappedSens1M,MATCH(AO64,BktEur1mSens!$M$6:$M$70,0))</f>
        <v>-19482.4483390063</v>
      </c>
      <c r="AQ64" s="208">
        <f>INDEX(ReMappedPL1M,MATCH(AO64,BktEur1mPL!$M$6:$M$72,0))</f>
        <v>-29223.672508509477</v>
      </c>
      <c r="AR64" s="16"/>
      <c r="AS64" s="207" t="str">
        <v>22Y</v>
      </c>
      <c r="AT64" s="26">
        <f t="shared" si="32"/>
        <v>-52084.329749373799</v>
      </c>
      <c r="AU64" s="23">
        <f>(EurMkt!BF60-'reference set'!AC70)*100</f>
        <v>1.4578329000000112</v>
      </c>
      <c r="AV64" s="22">
        <f t="shared" si="33"/>
        <v>-75930.24948308646</v>
      </c>
      <c r="AW64" s="207" t="str">
        <v>20Y</v>
      </c>
      <c r="AX64" s="302">
        <f>INDEX(ReMappedSens1Y,MATCH(AW64,BktEur1ySens!$M$6:$M$70,0))</f>
        <v>240845.81626304699</v>
      </c>
      <c r="AY64" s="208">
        <f>INDEX(ReMappedPL1Y,MATCH(AW64,BktEur1yPL!$M$6:$M$70,0))</f>
        <v>337184.14276826609</v>
      </c>
      <c r="AZ64" s="33"/>
      <c r="BA64" s="25" t="str">
        <v>20Y</v>
      </c>
      <c r="BB64" s="26">
        <f t="shared" si="34"/>
        <v>-195429.7839165203</v>
      </c>
      <c r="BC64" s="23">
        <f>(EurMkt!BW60-'reference set'!AS70)*100</f>
        <v>1.6000000000000014</v>
      </c>
      <c r="BD64" s="22">
        <f t="shared" si="35"/>
        <v>-312687.65426643274</v>
      </c>
      <c r="BE64" s="16"/>
      <c r="BF64" s="401"/>
      <c r="BG64" s="401"/>
      <c r="BH64" s="401"/>
      <c r="BI64" s="401"/>
      <c r="BJ64" s="401"/>
      <c r="BK64" s="401"/>
      <c r="BL64" s="401"/>
      <c r="BM64" s="401"/>
      <c r="BN64" s="401"/>
      <c r="BO64" s="401"/>
      <c r="BP64" s="401"/>
      <c r="BQ64" s="401"/>
      <c r="BR64" s="401"/>
      <c r="BS64" s="401"/>
      <c r="BT64" s="401"/>
      <c r="BU64" s="401"/>
      <c r="BV64" s="401"/>
      <c r="BW64" s="401"/>
      <c r="BX64" s="401"/>
      <c r="BY64" s="401"/>
      <c r="BZ64" s="401"/>
      <c r="CA64" s="401"/>
      <c r="CB64" s="401"/>
      <c r="CC64" s="401"/>
      <c r="CD64" s="401"/>
      <c r="CE64" s="401"/>
      <c r="CF64" s="401"/>
      <c r="CG64" s="401"/>
      <c r="CH64" s="401"/>
      <c r="CI64" s="401"/>
      <c r="CJ64" s="401"/>
      <c r="CK64" s="401"/>
      <c r="CL64" s="401"/>
      <c r="CM64" s="401"/>
      <c r="CN64" s="401"/>
      <c r="CO64" s="401"/>
      <c r="CP64" s="401"/>
    </row>
    <row r="65" spans="1:94" ht="15" customHeight="1">
      <c r="A65" s="207" t="str">
        <v>21Y</v>
      </c>
      <c r="B65" s="163" t="str">
        <f t="shared" si="13"/>
        <v>21Y</v>
      </c>
      <c r="C65" s="163" t="s">
        <v>508</v>
      </c>
      <c r="D65" s="302">
        <f t="shared" si="21"/>
        <v>31915.329937849398</v>
      </c>
      <c r="E65" s="210">
        <f t="shared" si="19"/>
        <v>48305.03665508928</v>
      </c>
      <c r="F65" s="213">
        <f t="shared" si="36"/>
        <v>0</v>
      </c>
      <c r="G65" s="214">
        <f t="shared" si="37"/>
        <v>0</v>
      </c>
      <c r="H65" s="540" t="str">
        <f t="shared" si="17"/>
        <v>32Y</v>
      </c>
      <c r="I65" s="541" t="str">
        <f t="shared" si="18"/>
        <v>W</v>
      </c>
      <c r="J65" s="69"/>
      <c r="K65" s="16"/>
      <c r="L65" s="207" t="str">
        <v>32Y</v>
      </c>
      <c r="M65" s="163" t="str">
        <v>32Y</v>
      </c>
      <c r="N65" s="163" t="str">
        <v>W</v>
      </c>
      <c r="O65" s="120">
        <f t="shared" si="22"/>
        <v>0</v>
      </c>
      <c r="P65" s="302">
        <f t="shared" si="23"/>
        <v>0</v>
      </c>
      <c r="Q65" s="23">
        <f>IF(LEN(O65)&gt;0,(EurMkt!$BN61-'reference set'!$AK71)*100,"")</f>
        <v>1.6238276000000162</v>
      </c>
      <c r="R65" s="22">
        <f t="shared" si="24"/>
        <v>0</v>
      </c>
      <c r="S65" s="16"/>
      <c r="T65" s="207" t="str">
        <v>22Y</v>
      </c>
      <c r="U65" s="26">
        <f t="shared" si="25"/>
        <v>67896.723439502195</v>
      </c>
      <c r="V65" s="23">
        <f>IF(LEN(Q65)&gt;0,(EurMkt!$AL61-'reference set'!$I71)*100,"")</f>
        <v>1.4502273000000176</v>
      </c>
      <c r="W65" s="22">
        <f t="shared" si="26"/>
        <v>98465.681912517175</v>
      </c>
      <c r="X65" s="207" t="str">
        <v>21Y</v>
      </c>
      <c r="Y65" s="302">
        <f>INDEX(ReMappedSens6M,MATCH(X65,BktEur6mSens!$M$6:$M$70,0))</f>
        <v>71238.179029862993</v>
      </c>
      <c r="Z65" s="208">
        <f>INDEX(ReMappedPL6M,MATCH(X65,BktEur6mPL!$M$6:$M$70,0))</f>
        <v>101774.55982355469</v>
      </c>
      <c r="AA65" s="16"/>
      <c r="AB65" s="207" t="str">
        <v>26Y</v>
      </c>
      <c r="AC65" s="120">
        <f t="shared" si="27"/>
        <v>0</v>
      </c>
      <c r="AD65" s="26">
        <f t="shared" si="28"/>
        <v>55.701433346150097</v>
      </c>
      <c r="AE65" s="23">
        <f>IF(LEN(AB65)&gt;0,(EurMkt!$AW61-'reference set'!$U71)*100,"")</f>
        <v>1.5383373000000145</v>
      </c>
      <c r="AF65" s="22">
        <f t="shared" si="29"/>
        <v>85.687592579847305</v>
      </c>
      <c r="AG65" s="207" t="str">
        <v>21Y</v>
      </c>
      <c r="AH65" s="256">
        <f>INDEX(ReMappedSens3M,MATCH(AG65,BktEur3mSens!$M$6:$M$70,0))</f>
        <v>114880.22288754401</v>
      </c>
      <c r="AI65" s="208">
        <f>INDEX(ReMappedPL3M,MATCH(AG65,BktEur3mPL!$M$6:$M$70,0))</f>
        <v>162661.97488842628</v>
      </c>
      <c r="AJ65" s="16"/>
      <c r="AK65" s="25" t="str">
        <v>26Y</v>
      </c>
      <c r="AL65" s="26">
        <f t="shared" si="30"/>
        <v>-1849.65016331417</v>
      </c>
      <c r="AM65" s="23">
        <f>(+EurMkt!CF61-'reference set'!BA71)*100</f>
        <v>1.5111948000000153</v>
      </c>
      <c r="AN65" s="22">
        <f t="shared" si="31"/>
        <v>-2795.1817086195529</v>
      </c>
      <c r="AO65" s="207" t="str">
        <v>21Y</v>
      </c>
      <c r="AP65" s="302">
        <f>INDEX(ReMappedSens1M,MATCH(AO65,BktEur1mSens!$M$6:$M$70,0))</f>
        <v>16456.237811994601</v>
      </c>
      <c r="AQ65" s="208">
        <f>INDEX(ReMappedPL1M,MATCH(AO65,BktEur1mPL!$M$6:$M$72,0))</f>
        <v>24882.911100936501</v>
      </c>
      <c r="AR65" s="16"/>
      <c r="AS65" s="207" t="str">
        <v>23Y</v>
      </c>
      <c r="AT65" s="26">
        <f t="shared" si="32"/>
        <v>6676.4861121958702</v>
      </c>
      <c r="AU65" s="23">
        <f>(EurMkt!BF61-'reference set'!AC71)*100</f>
        <v>1.4789208999999914</v>
      </c>
      <c r="AV65" s="22">
        <f t="shared" si="33"/>
        <v>9873.9948498861595</v>
      </c>
      <c r="AW65" s="207" t="str">
        <v>21Y</v>
      </c>
      <c r="AX65" s="302">
        <f>INDEX(ReMappedSens1Y,MATCH(AW65,BktEur1ySens!$M$6:$M$70,0))</f>
        <v>-190562.77177239201</v>
      </c>
      <c r="AY65" s="208">
        <f>INDEX(ReMappedPL1Y,MATCH(AW65,BktEur1yPL!$M$6:$M$70,0))</f>
        <v>-272828.777515364</v>
      </c>
      <c r="AZ65" s="33"/>
      <c r="BA65" s="25" t="str">
        <v>21Y</v>
      </c>
      <c r="BB65" s="26">
        <f t="shared" si="34"/>
        <v>19903.461980839798</v>
      </c>
      <c r="BC65" s="23">
        <f>(EurMkt!BW61-'reference set'!AS71)*100</f>
        <v>1.5984339000000181</v>
      </c>
      <c r="BD65" s="22">
        <f t="shared" si="35"/>
        <v>31814.368357535845</v>
      </c>
      <c r="BE65" s="16"/>
      <c r="BF65" s="401"/>
      <c r="BG65" s="401"/>
      <c r="BH65" s="401"/>
      <c r="BI65" s="401"/>
      <c r="BJ65" s="401"/>
      <c r="BK65" s="401"/>
      <c r="BL65" s="401"/>
      <c r="BM65" s="401"/>
      <c r="BN65" s="401"/>
      <c r="BO65" s="401"/>
      <c r="BP65" s="401"/>
      <c r="BQ65" s="401"/>
      <c r="BR65" s="401"/>
      <c r="BS65" s="401"/>
      <c r="BT65" s="401"/>
      <c r="BU65" s="401"/>
      <c r="BV65" s="401"/>
      <c r="BW65" s="401"/>
      <c r="BX65" s="401"/>
      <c r="BY65" s="401"/>
      <c r="BZ65" s="401"/>
      <c r="CA65" s="401"/>
      <c r="CB65" s="401"/>
      <c r="CC65" s="401"/>
      <c r="CD65" s="401"/>
      <c r="CE65" s="401"/>
      <c r="CF65" s="401"/>
      <c r="CG65" s="401"/>
      <c r="CH65" s="401"/>
      <c r="CI65" s="401"/>
      <c r="CJ65" s="401"/>
      <c r="CK65" s="401"/>
      <c r="CL65" s="401"/>
      <c r="CM65" s="401"/>
      <c r="CN65" s="401"/>
      <c r="CO65" s="401"/>
      <c r="CP65" s="401"/>
    </row>
    <row r="66" spans="1:94" ht="15" customHeight="1">
      <c r="A66" s="207" t="str">
        <v>22Y</v>
      </c>
      <c r="B66" s="163" t="str">
        <f t="shared" si="13"/>
        <v>22Y</v>
      </c>
      <c r="C66" s="163" t="s">
        <v>508</v>
      </c>
      <c r="D66" s="302">
        <f t="shared" si="21"/>
        <v>6744.3920982409154</v>
      </c>
      <c r="E66" s="210">
        <f t="shared" si="19"/>
        <v>12436.552413496403</v>
      </c>
      <c r="F66" s="213">
        <f t="shared" si="36"/>
        <v>0</v>
      </c>
      <c r="G66" s="214">
        <f t="shared" si="37"/>
        <v>0</v>
      </c>
      <c r="H66" s="540" t="str">
        <f t="shared" si="17"/>
        <v>33Y</v>
      </c>
      <c r="I66" s="541" t="str">
        <f t="shared" si="18"/>
        <v>W</v>
      </c>
      <c r="J66" s="69"/>
      <c r="K66" s="16"/>
      <c r="L66" s="207" t="str">
        <v>33Y</v>
      </c>
      <c r="M66" s="163" t="str">
        <v>33Y</v>
      </c>
      <c r="N66" s="163" t="str">
        <v>W</v>
      </c>
      <c r="O66" s="120">
        <f t="shared" si="22"/>
        <v>0</v>
      </c>
      <c r="P66" s="302">
        <f t="shared" si="23"/>
        <v>0</v>
      </c>
      <c r="Q66" s="23">
        <f>IF(LEN(O66)&gt;0,(EurMkt!$BN62-'reference set'!$AK72)*100,"")</f>
        <v>1.5888748000000286</v>
      </c>
      <c r="R66" s="22">
        <f t="shared" si="24"/>
        <v>0</v>
      </c>
      <c r="S66" s="16"/>
      <c r="T66" s="207" t="str">
        <v>23Y</v>
      </c>
      <c r="U66" s="26">
        <f t="shared" si="25"/>
        <v>6673.03720156701</v>
      </c>
      <c r="V66" s="23">
        <f>IF(LEN(Q66)&gt;0,(EurMkt!$AL62-'reference set'!$I72)*100,"")</f>
        <v>1.468679500000003</v>
      </c>
      <c r="W66" s="22">
        <f t="shared" si="26"/>
        <v>9800.5529406788555</v>
      </c>
      <c r="X66" s="207" t="str">
        <v>22Y</v>
      </c>
      <c r="Y66" s="302">
        <f>INDEX(ReMappedSens6M,MATCH(X66,BktEur6mSens!$M$6:$M$70,0))</f>
        <v>67896.723439502195</v>
      </c>
      <c r="Z66" s="208">
        <f>INDEX(ReMappedPL6M,MATCH(X66,BktEur6mPL!$M$6:$M$70,0))</f>
        <v>98465.681912517175</v>
      </c>
      <c r="AA66" s="16"/>
      <c r="AB66" s="207" t="str">
        <v>27Y</v>
      </c>
      <c r="AC66" s="120">
        <f t="shared" si="27"/>
        <v>0</v>
      </c>
      <c r="AD66" s="26">
        <f t="shared" si="28"/>
        <v>-0.20175470311256999</v>
      </c>
      <c r="AE66" s="23">
        <f>IF(LEN(AB66)&gt;0,(EurMkt!$AW62-'reference set'!$U72)*100,"")</f>
        <v>1.5782160999999961</v>
      </c>
      <c r="AF66" s="22">
        <f t="shared" si="29"/>
        <v>-0.31841252070297726</v>
      </c>
      <c r="AG66" s="207" t="str">
        <v>22Y</v>
      </c>
      <c r="AH66" s="256">
        <f>INDEX(ReMappedSens3M,MATCH(AG66,BktEur3mSens!$M$6:$M$70,0))</f>
        <v>-44202.422140939903</v>
      </c>
      <c r="AI66" s="208">
        <f>INDEX(ReMappedPL3M,MATCH(AG66,BktEur3mPL!$M$6:$M$70,0))</f>
        <v>-63254.678319152554</v>
      </c>
      <c r="AJ66" s="16"/>
      <c r="AK66" s="25" t="str">
        <v>27Y</v>
      </c>
      <c r="AL66" s="26">
        <f t="shared" si="30"/>
        <v>-1021.38812027604</v>
      </c>
      <c r="AM66" s="23">
        <f>(+EurMkt!CF62-'reference set'!BA72)*100</f>
        <v>1.525864400000021</v>
      </c>
      <c r="AN66" s="22">
        <f t="shared" si="31"/>
        <v>-1558.4997713121491</v>
      </c>
      <c r="AO66" s="207" t="str">
        <v>22Y</v>
      </c>
      <c r="AP66" s="302">
        <f>INDEX(ReMappedSens1M,MATCH(AO66,BktEur1mSens!$M$6:$M$70,0))</f>
        <v>37242.8134750963</v>
      </c>
      <c r="AQ66" s="208">
        <f>INDEX(ReMappedPL1M,MATCH(AO66,BktEur1mPL!$M$6:$M$72,0))</f>
        <v>56300.091480150448</v>
      </c>
      <c r="AR66" s="16"/>
      <c r="AS66" s="207" t="str">
        <v>24Y</v>
      </c>
      <c r="AT66" s="26">
        <f t="shared" si="32"/>
        <v>-0.27480742764294502</v>
      </c>
      <c r="AU66" s="23">
        <f>(EurMkt!BF62-'reference set'!AC72)*100</f>
        <v>1.4925134999999923</v>
      </c>
      <c r="AV66" s="22">
        <f t="shared" si="33"/>
        <v>-0.41015379565736648</v>
      </c>
      <c r="AW66" s="207" t="str">
        <v>22Y</v>
      </c>
      <c r="AX66" s="302">
        <f>INDEX(ReMappedSens1Y,MATCH(AW66,BktEur1ySens!$M$6:$M$70,0))</f>
        <v>-52084.329749373799</v>
      </c>
      <c r="AY66" s="208">
        <f>INDEX(ReMappedPL1Y,MATCH(AW66,BktEur1yPL!$M$6:$M$70,0))</f>
        <v>-75930.24948308646</v>
      </c>
      <c r="AZ66" s="33"/>
      <c r="BA66" s="25" t="str">
        <v>22Y</v>
      </c>
      <c r="BB66" s="26">
        <f t="shared" si="34"/>
        <v>-2108.3929260438699</v>
      </c>
      <c r="BC66" s="23">
        <f>(EurMkt!BW62-'reference set'!AS72)*100</f>
        <v>1.4913222000000115</v>
      </c>
      <c r="BD66" s="22">
        <f t="shared" si="35"/>
        <v>-3144.2931769322054</v>
      </c>
      <c r="BE66" s="16"/>
      <c r="BF66" s="401"/>
      <c r="BG66" s="401"/>
      <c r="BH66" s="401"/>
      <c r="BI66" s="401"/>
      <c r="BJ66" s="401"/>
      <c r="BK66" s="401"/>
      <c r="BL66" s="401"/>
      <c r="BM66" s="401"/>
      <c r="BN66" s="401"/>
      <c r="BO66" s="401"/>
      <c r="BP66" s="401"/>
      <c r="BQ66" s="401"/>
      <c r="BR66" s="401"/>
      <c r="BS66" s="401"/>
      <c r="BT66" s="401"/>
      <c r="BU66" s="401"/>
      <c r="BV66" s="401"/>
      <c r="BW66" s="401"/>
      <c r="BX66" s="401"/>
      <c r="BY66" s="401"/>
      <c r="BZ66" s="401"/>
      <c r="CA66" s="401"/>
      <c r="CB66" s="401"/>
      <c r="CC66" s="401"/>
      <c r="CD66" s="401"/>
      <c r="CE66" s="401"/>
      <c r="CF66" s="401"/>
      <c r="CG66" s="401"/>
      <c r="CH66" s="401"/>
      <c r="CI66" s="401"/>
      <c r="CJ66" s="401"/>
      <c r="CK66" s="401"/>
      <c r="CL66" s="401"/>
      <c r="CM66" s="401"/>
      <c r="CN66" s="401"/>
      <c r="CO66" s="401"/>
      <c r="CP66" s="401"/>
    </row>
    <row r="67" spans="1:94" ht="15" customHeight="1">
      <c r="A67" s="207" t="str">
        <v>23Y</v>
      </c>
      <c r="B67" s="163" t="str">
        <f t="shared" si="13"/>
        <v>23Y</v>
      </c>
      <c r="C67" s="163" t="s">
        <v>508</v>
      </c>
      <c r="D67" s="302">
        <f t="shared" si="21"/>
        <v>-17047.251314163954</v>
      </c>
      <c r="E67" s="210">
        <f t="shared" si="19"/>
        <v>-24802.094988601224</v>
      </c>
      <c r="F67" s="213">
        <f t="shared" si="36"/>
        <v>0</v>
      </c>
      <c r="G67" s="214">
        <f t="shared" si="37"/>
        <v>0</v>
      </c>
      <c r="H67" s="540" t="str">
        <f t="shared" si="17"/>
        <v>34Y</v>
      </c>
      <c r="I67" s="541" t="str">
        <f t="shared" si="18"/>
        <v>W</v>
      </c>
      <c r="J67" s="69"/>
      <c r="K67" s="16"/>
      <c r="L67" s="207" t="str">
        <v>34Y</v>
      </c>
      <c r="M67" s="163" t="str">
        <v>34Y</v>
      </c>
      <c r="N67" s="163" t="str">
        <v>W</v>
      </c>
      <c r="O67" s="120">
        <f t="shared" si="22"/>
        <v>0</v>
      </c>
      <c r="P67" s="302">
        <f t="shared" si="23"/>
        <v>0</v>
      </c>
      <c r="Q67" s="23">
        <f>IF(LEN(O67)&gt;0,(EurMkt!$BN63-'reference set'!$AK73)*100,"")</f>
        <v>1.5698478999999876</v>
      </c>
      <c r="R67" s="22">
        <f t="shared" si="24"/>
        <v>0</v>
      </c>
      <c r="S67" s="16"/>
      <c r="T67" s="207" t="str">
        <v>24Y</v>
      </c>
      <c r="U67" s="26">
        <f t="shared" si="25"/>
        <v>18734.066043765899</v>
      </c>
      <c r="V67" s="23">
        <f>IF(LEN(Q67)&gt;0,(EurMkt!$AL63-'reference set'!$I73)*100,"")</f>
        <v>1.4833739000000179</v>
      </c>
      <c r="W67" s="22">
        <f t="shared" si="26"/>
        <v>27789.624610198927</v>
      </c>
      <c r="X67" s="207" t="str">
        <v>23Y</v>
      </c>
      <c r="Y67" s="302">
        <f>INDEX(ReMappedSens6M,MATCH(X67,BktEur6mSens!$M$6:$M$70,0))</f>
        <v>6673.03720156701</v>
      </c>
      <c r="Z67" s="208">
        <f>INDEX(ReMappedPL6M,MATCH(X67,BktEur6mPL!$M$6:$M$70,0))</f>
        <v>9800.5529406788555</v>
      </c>
      <c r="AA67" s="16"/>
      <c r="AB67" s="207" t="str">
        <v>28Y</v>
      </c>
      <c r="AC67" s="120">
        <f t="shared" si="27"/>
        <v>0</v>
      </c>
      <c r="AD67" s="26">
        <f t="shared" si="28"/>
        <v>4.5827609814486302E-5</v>
      </c>
      <c r="AE67" s="23">
        <f>IF(LEN(AB67)&gt;0,(EurMkt!$AW63-'reference set'!$U73)*100,"")</f>
        <v>1.6207269999999996</v>
      </c>
      <c r="AF67" s="22">
        <f t="shared" si="29"/>
        <v>7.4274044571802928E-5</v>
      </c>
      <c r="AG67" s="207" t="str">
        <v>23Y</v>
      </c>
      <c r="AH67" s="256">
        <f>INDEX(ReMappedSens3M,MATCH(AG67,BktEur3mSens!$M$6:$M$70,0))</f>
        <v>-23023.017052544699</v>
      </c>
      <c r="AI67" s="208">
        <f>INDEX(ReMappedPL3M,MATCH(AG67,BktEur3mPL!$M$6:$M$70,0))</f>
        <v>-33379.295047568361</v>
      </c>
      <c r="AJ67" s="16"/>
      <c r="AK67" s="25" t="str">
        <v>28Y</v>
      </c>
      <c r="AL67" s="26">
        <f t="shared" si="30"/>
        <v>-1107.45660196331</v>
      </c>
      <c r="AM67" s="23">
        <f>(+EurMkt!CF63-'reference set'!BA73)*100</f>
        <v>1.5470835000000127</v>
      </c>
      <c r="AN67" s="22">
        <f t="shared" si="31"/>
        <v>-1713.3278358635187</v>
      </c>
      <c r="AO67" s="207" t="str">
        <v>23Y</v>
      </c>
      <c r="AP67" s="302">
        <f>INDEX(ReMappedSens1M,MATCH(AO67,BktEur1mSens!$M$6:$M$70,0))</f>
        <v>-6521.3019414986702</v>
      </c>
      <c r="AQ67" s="208">
        <f>INDEX(ReMappedPL1M,MATCH(AO67,BktEur1mPL!$M$6:$M$72,0))</f>
        <v>-9829.6144996177227</v>
      </c>
      <c r="AR67" s="16"/>
      <c r="AS67" s="207" t="str">
        <v>25Y</v>
      </c>
      <c r="AT67" s="26">
        <f t="shared" si="32"/>
        <v>0</v>
      </c>
      <c r="AU67" s="23">
        <f>(EurMkt!BF63-'reference set'!AC73)*100</f>
        <v>1.4999999999999902</v>
      </c>
      <c r="AV67" s="22">
        <f t="shared" si="33"/>
        <v>0</v>
      </c>
      <c r="AW67" s="207" t="str">
        <v>23Y</v>
      </c>
      <c r="AX67" s="302">
        <f>INDEX(ReMappedSens1Y,MATCH(AW67,BktEur1ySens!$M$6:$M$70,0))</f>
        <v>6676.4861121958702</v>
      </c>
      <c r="AY67" s="208">
        <f>INDEX(ReMappedPL1Y,MATCH(AW67,BktEur1yPL!$M$6:$M$70,0))</f>
        <v>9873.9948498861595</v>
      </c>
      <c r="AZ67" s="33"/>
      <c r="BA67" s="25" t="str">
        <v>23Y</v>
      </c>
      <c r="BB67" s="26">
        <f t="shared" si="34"/>
        <v>-852.45563388346295</v>
      </c>
      <c r="BC67" s="23">
        <f>(EurMkt!BW63-'reference set'!AS73)*100</f>
        <v>1.4871545000000097</v>
      </c>
      <c r="BD67" s="22">
        <f t="shared" si="35"/>
        <v>-1267.7332319801526</v>
      </c>
      <c r="BE67" s="16"/>
      <c r="BF67" s="401"/>
      <c r="BG67" s="401"/>
      <c r="BH67" s="401"/>
      <c r="BI67" s="401"/>
      <c r="BJ67" s="401"/>
      <c r="BK67" s="401"/>
      <c r="BL67" s="401"/>
      <c r="BM67" s="401"/>
      <c r="BN67" s="401"/>
      <c r="BO67" s="401"/>
      <c r="BP67" s="401"/>
      <c r="BQ67" s="401"/>
      <c r="BR67" s="401"/>
      <c r="BS67" s="401"/>
      <c r="BT67" s="401"/>
      <c r="BU67" s="401"/>
      <c r="BV67" s="401"/>
      <c r="BW67" s="401"/>
      <c r="BX67" s="401"/>
      <c r="BY67" s="401"/>
      <c r="BZ67" s="401"/>
      <c r="CA67" s="401"/>
      <c r="CB67" s="401"/>
      <c r="CC67" s="401"/>
      <c r="CD67" s="401"/>
      <c r="CE67" s="401"/>
      <c r="CF67" s="401"/>
      <c r="CG67" s="401"/>
      <c r="CH67" s="401"/>
      <c r="CI67" s="401"/>
      <c r="CJ67" s="401"/>
      <c r="CK67" s="401"/>
      <c r="CL67" s="401"/>
      <c r="CM67" s="401"/>
      <c r="CN67" s="401"/>
      <c r="CO67" s="401"/>
      <c r="CP67" s="401"/>
    </row>
    <row r="68" spans="1:94" ht="15" customHeight="1">
      <c r="A68" s="207" t="str">
        <v>24Y</v>
      </c>
      <c r="B68" s="163" t="str">
        <f t="shared" si="13"/>
        <v>24Y</v>
      </c>
      <c r="C68" s="163" t="s">
        <v>508</v>
      </c>
      <c r="D68" s="302">
        <f t="shared" si="21"/>
        <v>25181.833762213973</v>
      </c>
      <c r="E68" s="210">
        <f t="shared" si="19"/>
        <v>38016.268196343779</v>
      </c>
      <c r="F68" s="213">
        <f t="shared" si="36"/>
        <v>0</v>
      </c>
      <c r="G68" s="214">
        <f t="shared" si="37"/>
        <v>0</v>
      </c>
      <c r="H68" s="540" t="str">
        <f t="shared" si="17"/>
        <v>35Y</v>
      </c>
      <c r="I68" s="541" t="str">
        <f t="shared" si="18"/>
        <v>W</v>
      </c>
      <c r="J68" s="69"/>
      <c r="K68" s="16"/>
      <c r="L68" s="207" t="str">
        <v>35Y</v>
      </c>
      <c r="M68" s="163" t="str">
        <v>35Y</v>
      </c>
      <c r="N68" s="163" t="str">
        <v>W</v>
      </c>
      <c r="O68" s="120">
        <f t="shared" si="22"/>
        <v>0</v>
      </c>
      <c r="P68" s="302">
        <f t="shared" si="23"/>
        <v>0</v>
      </c>
      <c r="Q68" s="23">
        <f>IF(LEN(O68)&gt;0,(EurMkt!$BN64-'reference set'!$AK74)*100,"")</f>
        <v>1.5591731999999858</v>
      </c>
      <c r="R68" s="22">
        <f t="shared" si="24"/>
        <v>0</v>
      </c>
      <c r="S68" s="16"/>
      <c r="T68" s="207" t="str">
        <v>25Y</v>
      </c>
      <c r="U68" s="26">
        <f t="shared" si="25"/>
        <v>-17391.233549790399</v>
      </c>
      <c r="V68" s="23">
        <f>IF(LEN(Q68)&gt;0,(EurMkt!$AL64-'reference set'!$I74)*100,"")</f>
        <v>1.5000000000000124</v>
      </c>
      <c r="W68" s="22">
        <f t="shared" si="26"/>
        <v>-26086.850324685813</v>
      </c>
      <c r="X68" s="207" t="str">
        <v>24Y</v>
      </c>
      <c r="Y68" s="302">
        <f>INDEX(ReMappedSens6M,MATCH(X68,BktEur6mSens!$M$6:$M$70,0))</f>
        <v>18734.066043765899</v>
      </c>
      <c r="Z68" s="208">
        <f>INDEX(ReMappedPL6M,MATCH(X68,BktEur6mPL!$M$6:$M$70,0))</f>
        <v>27789.624610198927</v>
      </c>
      <c r="AA68" s="16"/>
      <c r="AB68" s="207" t="str">
        <v>29Y</v>
      </c>
      <c r="AC68" s="120">
        <f t="shared" si="27"/>
        <v>0</v>
      </c>
      <c r="AD68" s="26">
        <f t="shared" si="28"/>
        <v>-9.0752993753214502E-7</v>
      </c>
      <c r="AE68" s="23">
        <f>IF(LEN(AB68)&gt;0,(EurMkt!$AW64-'reference set'!$U74)*100,"")</f>
        <v>1.661529000000006</v>
      </c>
      <c r="AF68" s="22">
        <f t="shared" si="29"/>
        <v>-1.5078873095778529E-6</v>
      </c>
      <c r="AG68" s="207" t="str">
        <v>24Y</v>
      </c>
      <c r="AH68" s="256">
        <f>INDEX(ReMappedSens3M,MATCH(AG68,BktEur3mSens!$M$6:$M$70,0))</f>
        <v>-220.79907245247799</v>
      </c>
      <c r="AI68" s="208">
        <f>INDEX(ReMappedPL3M,MATCH(AG68,BktEur3mPL!$M$6:$M$70,0))</f>
        <v>-324.65922462980041</v>
      </c>
      <c r="AJ68" s="16"/>
      <c r="AK68" s="25" t="str">
        <v>29Y</v>
      </c>
      <c r="AL68" s="26">
        <f t="shared" si="30"/>
        <v>-1186.2919567843401</v>
      </c>
      <c r="AM68" s="23">
        <f>(+EurMkt!CF64-'reference set'!BA74)*100</f>
        <v>1.5712084000000015</v>
      </c>
      <c r="AN68" s="22">
        <f t="shared" si="31"/>
        <v>-1863.911887351994</v>
      </c>
      <c r="AO68" s="207" t="str">
        <v>24Y</v>
      </c>
      <c r="AP68" s="302">
        <f>INDEX(ReMappedSens1M,MATCH(AO68,BktEur1mSens!$M$6:$M$70,0))</f>
        <v>272.30455508405402</v>
      </c>
      <c r="AQ68" s="208">
        <f>INDEX(ReMappedPL1M,MATCH(AO68,BktEur1mPL!$M$6:$M$72,0))</f>
        <v>408.27705715881729</v>
      </c>
      <c r="AR68" s="16"/>
      <c r="AS68" s="207" t="str">
        <v>26Y</v>
      </c>
      <c r="AT68" s="26">
        <f t="shared" si="32"/>
        <v>0</v>
      </c>
      <c r="AU68" s="23">
        <f>(EurMkt!BF64-'reference set'!AC74)*100</f>
        <v>1.5010476000000272</v>
      </c>
      <c r="AV68" s="22">
        <f t="shared" si="33"/>
        <v>0</v>
      </c>
      <c r="AW68" s="207" t="str">
        <v>24Y</v>
      </c>
      <c r="AX68" s="302">
        <f>INDEX(ReMappedSens1Y,MATCH(AW68,BktEur1ySens!$M$6:$M$70,0))</f>
        <v>-0.27480742764294502</v>
      </c>
      <c r="AY68" s="208">
        <f>INDEX(ReMappedPL1Y,MATCH(AW68,BktEur1yPL!$M$6:$M$70,0))</f>
        <v>-0.41015379565736648</v>
      </c>
      <c r="AZ68" s="33"/>
      <c r="BA68" s="25" t="str">
        <v>24Y</v>
      </c>
      <c r="BB68" s="26">
        <f t="shared" si="34"/>
        <v>6396.5370432441396</v>
      </c>
      <c r="BC68" s="23">
        <f>(EurMkt!BW64-'reference set'!AS74)*100</f>
        <v>1.5857698999999892</v>
      </c>
      <c r="BD68" s="22">
        <f t="shared" si="35"/>
        <v>10143.435907411485</v>
      </c>
      <c r="BE68" s="16"/>
      <c r="BF68" s="401"/>
      <c r="BG68" s="401"/>
      <c r="BH68" s="401"/>
      <c r="BI68" s="401"/>
      <c r="BJ68" s="401"/>
      <c r="BK68" s="401"/>
      <c r="BL68" s="401"/>
      <c r="BM68" s="401"/>
      <c r="BN68" s="401"/>
      <c r="BO68" s="401"/>
      <c r="BP68" s="401"/>
      <c r="BQ68" s="401"/>
      <c r="BR68" s="401"/>
      <c r="BS68" s="401"/>
      <c r="BT68" s="401"/>
      <c r="BU68" s="401"/>
      <c r="BV68" s="401"/>
      <c r="BW68" s="401"/>
      <c r="BX68" s="401"/>
      <c r="BY68" s="401"/>
      <c r="BZ68" s="401"/>
      <c r="CA68" s="401"/>
      <c r="CB68" s="401"/>
      <c r="CC68" s="401"/>
      <c r="CD68" s="401"/>
      <c r="CE68" s="401"/>
      <c r="CF68" s="401"/>
      <c r="CG68" s="401"/>
      <c r="CH68" s="401"/>
      <c r="CI68" s="401"/>
      <c r="CJ68" s="401"/>
      <c r="CK68" s="401"/>
      <c r="CL68" s="401"/>
      <c r="CM68" s="401"/>
      <c r="CN68" s="401"/>
      <c r="CO68" s="401"/>
      <c r="CP68" s="401"/>
    </row>
    <row r="69" spans="1:94" ht="15" customHeight="1">
      <c r="A69" s="207" t="str">
        <v>25Y</v>
      </c>
      <c r="B69" s="163" t="str">
        <f t="shared" si="13"/>
        <v>25Y</v>
      </c>
      <c r="C69" s="163" t="s">
        <v>508</v>
      </c>
      <c r="D69" s="302">
        <f t="shared" si="21"/>
        <v>-8660.639603361129</v>
      </c>
      <c r="E69" s="210">
        <f t="shared" si="19"/>
        <v>-13531.263493188058</v>
      </c>
      <c r="F69" s="213">
        <f t="shared" si="36"/>
        <v>0</v>
      </c>
      <c r="G69" s="214">
        <f t="shared" si="37"/>
        <v>0</v>
      </c>
      <c r="H69" s="540" t="str">
        <f t="shared" si="17"/>
        <v>36Y</v>
      </c>
      <c r="I69" s="541" t="str">
        <f t="shared" si="18"/>
        <v>W</v>
      </c>
      <c r="J69" s="56"/>
      <c r="K69" s="16"/>
      <c r="L69" s="207" t="str">
        <v>36Y</v>
      </c>
      <c r="M69" s="163" t="str">
        <v>36Y</v>
      </c>
      <c r="N69" s="163" t="str">
        <v>W</v>
      </c>
      <c r="O69" s="120">
        <f t="shared" si="22"/>
        <v>0</v>
      </c>
      <c r="P69" s="302">
        <f t="shared" si="23"/>
        <v>0</v>
      </c>
      <c r="Q69" s="23">
        <f>IF(LEN(O69)&gt;0,(EurMkt!$BN65-'reference set'!$AK75)*100,"")</f>
        <v>1.5628854000000025</v>
      </c>
      <c r="R69" s="22">
        <f t="shared" si="24"/>
        <v>0</v>
      </c>
      <c r="S69" s="16"/>
      <c r="T69" s="207" t="str">
        <v>26Y</v>
      </c>
      <c r="U69" s="26">
        <f t="shared" si="25"/>
        <v>2970.4112254963302</v>
      </c>
      <c r="V69" s="23">
        <f>IF(LEN(Q69)&gt;0,(EurMkt!$AL65-'reference set'!$I75)*100,"")</f>
        <v>1.5193163000000176</v>
      </c>
      <c r="W69" s="22">
        <f t="shared" si="26"/>
        <v>4512.9941925996027</v>
      </c>
      <c r="X69" s="207" t="str">
        <v>25Y</v>
      </c>
      <c r="Y69" s="302">
        <f>INDEX(ReMappedSens6M,MATCH(X69,BktEur6mSens!$M$6:$M$70,0))</f>
        <v>-17391.233549790399</v>
      </c>
      <c r="Z69" s="208">
        <f>INDEX(ReMappedPL6M,MATCH(X69,BktEur6mPL!$M$6:$M$70,0))</f>
        <v>-26086.850324685813</v>
      </c>
      <c r="AA69" s="16"/>
      <c r="AB69" s="207" t="str">
        <v>30Y</v>
      </c>
      <c r="AC69" s="120">
        <f t="shared" si="27"/>
        <v>0</v>
      </c>
      <c r="AD69" s="26">
        <f t="shared" si="28"/>
        <v>-5.5835288789031596E-10</v>
      </c>
      <c r="AE69" s="23">
        <f>IF(LEN(AB69)&gt;0,(EurMkt!$AW65-'reference set'!$U75)*100,"")</f>
        <v>1.7000000000000126</v>
      </c>
      <c r="AF69" s="22">
        <f t="shared" si="29"/>
        <v>-9.4919990941354425E-10</v>
      </c>
      <c r="AG69" s="207" t="str">
        <v>25Y</v>
      </c>
      <c r="AH69" s="256">
        <f>INDEX(ReMappedSens3M,MATCH(AG69,BktEur3mSens!$M$6:$M$70,0))</f>
        <v>4301.5886000052496</v>
      </c>
      <c r="AI69" s="208">
        <f>INDEX(ReMappedPL3M,MATCH(AG69,BktEur3mPL!$M$6:$M$70,0))</f>
        <v>6452.3829000079277</v>
      </c>
      <c r="AJ69" s="16"/>
      <c r="AK69" s="25" t="str">
        <v>30Y</v>
      </c>
      <c r="AL69" s="26">
        <f t="shared" si="30"/>
        <v>-1284.1976198571001</v>
      </c>
      <c r="AM69" s="23">
        <f>(+EurMkt!CF65-'reference set'!BA75)*100</f>
        <v>1.6000000000000014</v>
      </c>
      <c r="AN69" s="22">
        <f t="shared" si="31"/>
        <v>-2054.716191771362</v>
      </c>
      <c r="AO69" s="207" t="str">
        <v>25Y</v>
      </c>
      <c r="AP69" s="302">
        <f>INDEX(ReMappedSens1M,MATCH(AO69,BktEur1mSens!$M$6:$M$70,0))</f>
        <v>9832.04622788503</v>
      </c>
      <c r="AQ69" s="208">
        <f>INDEX(ReMappedPL1M,MATCH(AO69,BktEur1mPL!$M$6:$M$72,0))</f>
        <v>14748.06934182745</v>
      </c>
      <c r="AR69" s="16"/>
      <c r="AS69" s="207" t="str">
        <v>27Y</v>
      </c>
      <c r="AT69" s="26">
        <f t="shared" si="32"/>
        <v>0</v>
      </c>
      <c r="AU69" s="23">
        <f>(EurMkt!BF65-'reference set'!AC75)*100</f>
        <v>1.4975321999999958</v>
      </c>
      <c r="AV69" s="22">
        <f t="shared" si="33"/>
        <v>0</v>
      </c>
      <c r="AW69" s="207" t="str">
        <v>25Y</v>
      </c>
      <c r="AX69" s="302">
        <f>INDEX(ReMappedSens1Y,MATCH(AW69,BktEur1ySens!$M$6:$M$70,0))</f>
        <v>0</v>
      </c>
      <c r="AY69" s="208">
        <f>INDEX(ReMappedPL1Y,MATCH(AW69,BktEur1yPL!$M$6:$M$70,0))</f>
        <v>0</v>
      </c>
      <c r="AZ69" s="33"/>
      <c r="BA69" s="25" t="str">
        <v>25Y</v>
      </c>
      <c r="BB69" s="26">
        <f t="shared" si="34"/>
        <v>-5403.04088146101</v>
      </c>
      <c r="BC69" s="23">
        <f>(EurMkt!BW65-'reference set'!AS75)*100</f>
        <v>1.6000000000000014</v>
      </c>
      <c r="BD69" s="22">
        <f t="shared" si="35"/>
        <v>-8644.865410337623</v>
      </c>
      <c r="BE69" s="16"/>
      <c r="BF69" s="401"/>
      <c r="BG69" s="401"/>
      <c r="BH69" s="401"/>
      <c r="BI69" s="401"/>
      <c r="BJ69" s="401"/>
      <c r="BK69" s="401"/>
      <c r="BL69" s="401"/>
      <c r="BM69" s="401"/>
      <c r="BN69" s="401"/>
      <c r="BO69" s="401"/>
      <c r="BP69" s="401"/>
      <c r="BQ69" s="401"/>
      <c r="BR69" s="401"/>
      <c r="BS69" s="401"/>
      <c r="BT69" s="401"/>
      <c r="BU69" s="401"/>
      <c r="BV69" s="401"/>
      <c r="BW69" s="401"/>
      <c r="BX69" s="401"/>
      <c r="BY69" s="401"/>
      <c r="BZ69" s="401"/>
      <c r="CA69" s="401"/>
      <c r="CB69" s="401"/>
      <c r="CC69" s="401"/>
      <c r="CD69" s="401"/>
      <c r="CE69" s="401"/>
      <c r="CF69" s="401"/>
      <c r="CG69" s="401"/>
      <c r="CH69" s="401"/>
      <c r="CI69" s="401"/>
      <c r="CJ69" s="401"/>
      <c r="CK69" s="401"/>
      <c r="CL69" s="401"/>
      <c r="CM69" s="401"/>
      <c r="CN69" s="401"/>
      <c r="CO69" s="401"/>
      <c r="CP69" s="401"/>
    </row>
    <row r="70" spans="1:94" ht="15" customHeight="1">
      <c r="A70" s="207" t="str">
        <v>26Y</v>
      </c>
      <c r="B70" s="163" t="str">
        <f t="shared" si="13"/>
        <v>26Y</v>
      </c>
      <c r="C70" s="163" t="s">
        <v>508</v>
      </c>
      <c r="D70" s="302">
        <f t="shared" si="21"/>
        <v>1179.9040749828998</v>
      </c>
      <c r="E70" s="210">
        <f t="shared" si="19"/>
        <v>1809.112788458943</v>
      </c>
      <c r="F70" s="213">
        <f t="shared" si="36"/>
        <v>0</v>
      </c>
      <c r="G70" s="214">
        <f t="shared" si="37"/>
        <v>0</v>
      </c>
      <c r="H70" s="540" t="str">
        <f t="shared" si="17"/>
        <v>37Y</v>
      </c>
      <c r="I70" s="541" t="str">
        <f t="shared" si="18"/>
        <v>W</v>
      </c>
      <c r="J70" s="56"/>
      <c r="K70" s="16"/>
      <c r="L70" s="207" t="str">
        <v>37Y</v>
      </c>
      <c r="M70" s="163" t="str">
        <v>37Y</v>
      </c>
      <c r="N70" s="163" t="str">
        <v>W</v>
      </c>
      <c r="O70" s="120">
        <f t="shared" si="22"/>
        <v>0</v>
      </c>
      <c r="P70" s="302">
        <f t="shared" si="23"/>
        <v>0</v>
      </c>
      <c r="Q70" s="23">
        <f>IF(LEN(O70)&gt;0,(EurMkt!$BN66-'reference set'!$AK76)*100,"")</f>
        <v>1.5468057999999951</v>
      </c>
      <c r="R70" s="22">
        <f t="shared" si="24"/>
        <v>0</v>
      </c>
      <c r="S70" s="16"/>
      <c r="T70" s="207" t="str">
        <v>27Y</v>
      </c>
      <c r="U70" s="26">
        <f t="shared" si="25"/>
        <v>980.67614071042703</v>
      </c>
      <c r="V70" s="23">
        <f>IF(LEN(Q70)&gt;0,(EurMkt!$AL66-'reference set'!$I76)*100,"")</f>
        <v>1.5382373000000227</v>
      </c>
      <c r="W70" s="22">
        <f t="shared" si="26"/>
        <v>1508.5126188608497</v>
      </c>
      <c r="X70" s="207" t="str">
        <v>26Y</v>
      </c>
      <c r="Y70" s="302">
        <f>INDEX(ReMappedSens6M,MATCH(X70,BktEur6mSens!$M$6:$M$70,0))</f>
        <v>2970.4112254963302</v>
      </c>
      <c r="Z70" s="208">
        <f>INDEX(ReMappedPL6M,MATCH(X70,BktEur6mPL!$M$6:$M$70,0))</f>
        <v>4512.9941925996027</v>
      </c>
      <c r="AA70" s="16"/>
      <c r="AB70" s="207" t="str">
        <v>31Y</v>
      </c>
      <c r="AC70" s="120">
        <f t="shared" si="27"/>
        <v>0</v>
      </c>
      <c r="AD70" s="26">
        <f t="shared" si="28"/>
        <v>0</v>
      </c>
      <c r="AE70" s="23">
        <f>IF(LEN(AB70)&gt;0,(EurMkt!$AW66-'reference set'!$U76)*100,"")</f>
        <v>1.7311763000000147</v>
      </c>
      <c r="AF70" s="22">
        <f t="shared" si="29"/>
        <v>0</v>
      </c>
      <c r="AG70" s="207" t="str">
        <v>26Y</v>
      </c>
      <c r="AH70" s="256">
        <f>INDEX(ReMappedSens3M,MATCH(AG70,BktEur3mSens!$M$6:$M$70,0))</f>
        <v>55.701433346150097</v>
      </c>
      <c r="AI70" s="208">
        <f>INDEX(ReMappedPL3M,MATCH(AG70,BktEur3mPL!$M$6:$M$70,0))</f>
        <v>85.687592579847305</v>
      </c>
      <c r="AJ70" s="16"/>
      <c r="AK70" s="25" t="str">
        <v>31Y</v>
      </c>
      <c r="AL70" s="26">
        <f t="shared" si="30"/>
        <v>-1422.36134600984</v>
      </c>
      <c r="AM70" s="23">
        <f>(+EurMkt!CF66-'reference set'!BA76)*100</f>
        <v>1.6279686000000071</v>
      </c>
      <c r="AN70" s="22">
        <f t="shared" si="31"/>
        <v>-2315.559609157765</v>
      </c>
      <c r="AO70" s="207" t="str">
        <v>26Y</v>
      </c>
      <c r="AP70" s="302">
        <f>INDEX(ReMappedSens1M,MATCH(AO70,BktEur1mSens!$M$6:$M$70,0))</f>
        <v>-1849.65016331417</v>
      </c>
      <c r="AQ70" s="208">
        <f>INDEX(ReMappedPL1M,MATCH(AO70,BktEur1mPL!$M$6:$M$72,0))</f>
        <v>-2795.1817086195529</v>
      </c>
      <c r="AR70" s="16"/>
      <c r="AS70" s="207" t="str">
        <v>28Y</v>
      </c>
      <c r="AT70" s="26">
        <f t="shared" si="32"/>
        <v>0</v>
      </c>
      <c r="AU70" s="23">
        <f>(EurMkt!BF66-'reference set'!AC76)*100</f>
        <v>1.4940636000000174</v>
      </c>
      <c r="AV70" s="22">
        <f t="shared" si="33"/>
        <v>0</v>
      </c>
      <c r="AW70" s="207" t="str">
        <v>26Y</v>
      </c>
      <c r="AX70" s="302">
        <f>INDEX(ReMappedSens1Y,MATCH(AW70,BktEur1ySens!$M$6:$M$70,0))</f>
        <v>0</v>
      </c>
      <c r="AY70" s="208">
        <f>INDEX(ReMappedPL1Y,MATCH(AW70,BktEur1yPL!$M$6:$M$70,0))</f>
        <v>0</v>
      </c>
      <c r="AZ70" s="33"/>
      <c r="BA70" s="25" t="str">
        <v>26Y</v>
      </c>
      <c r="BB70" s="26">
        <f t="shared" si="34"/>
        <v>3.4415794545896801</v>
      </c>
      <c r="BC70" s="23">
        <f>(EurMkt!BW66-'reference set'!AS76)*100</f>
        <v>1.6308534999999846</v>
      </c>
      <c r="BD70" s="22">
        <f t="shared" si="35"/>
        <v>5.6127118990456175</v>
      </c>
      <c r="BE70" s="16"/>
      <c r="BF70" s="401"/>
      <c r="BG70" s="401"/>
      <c r="BH70" s="401"/>
      <c r="BI70" s="401"/>
      <c r="BJ70" s="401"/>
      <c r="BK70" s="401"/>
      <c r="BL70" s="401"/>
      <c r="BM70" s="401"/>
      <c r="BN70" s="401"/>
      <c r="BO70" s="401"/>
      <c r="BP70" s="401"/>
      <c r="BQ70" s="401"/>
      <c r="BR70" s="401"/>
      <c r="BS70" s="401"/>
      <c r="BT70" s="401"/>
      <c r="BU70" s="401"/>
      <c r="BV70" s="401"/>
      <c r="BW70" s="401"/>
      <c r="BX70" s="401"/>
      <c r="BY70" s="401"/>
      <c r="BZ70" s="401"/>
      <c r="CA70" s="401"/>
      <c r="CB70" s="401"/>
      <c r="CC70" s="401"/>
      <c r="CD70" s="401"/>
      <c r="CE70" s="401"/>
      <c r="CF70" s="401"/>
      <c r="CG70" s="401"/>
      <c r="CH70" s="401"/>
      <c r="CI70" s="401"/>
      <c r="CJ70" s="401"/>
      <c r="CK70" s="401"/>
      <c r="CL70" s="401"/>
      <c r="CM70" s="401"/>
      <c r="CN70" s="401"/>
      <c r="CO70" s="401"/>
      <c r="CP70" s="401"/>
    </row>
    <row r="71" spans="1:94" ht="15" customHeight="1">
      <c r="A71" s="207" t="str">
        <v>27Y</v>
      </c>
      <c r="B71" s="163" t="str">
        <f t="shared" si="13"/>
        <v>27Y</v>
      </c>
      <c r="C71" s="163" t="s">
        <v>508</v>
      </c>
      <c r="D71" s="302">
        <f t="shared" si="21"/>
        <v>-38.263919948972806</v>
      </c>
      <c r="E71" s="210">
        <f t="shared" si="19"/>
        <v>-45.885860968601499</v>
      </c>
      <c r="F71" s="213">
        <f t="shared" si="36"/>
        <v>0</v>
      </c>
      <c r="G71" s="214">
        <f t="shared" si="37"/>
        <v>0</v>
      </c>
      <c r="H71" s="540" t="str">
        <f t="shared" si="17"/>
        <v>38Y</v>
      </c>
      <c r="I71" s="541" t="str">
        <f t="shared" si="18"/>
        <v>W</v>
      </c>
      <c r="J71" s="56"/>
      <c r="K71" s="16"/>
      <c r="L71" s="207" t="str">
        <v>38Y</v>
      </c>
      <c r="M71" s="163" t="str">
        <v>38Y</v>
      </c>
      <c r="N71" s="163" t="str">
        <v>W</v>
      </c>
      <c r="O71" s="120">
        <f t="shared" si="22"/>
        <v>0</v>
      </c>
      <c r="P71" s="302">
        <f t="shared" si="23"/>
        <v>0</v>
      </c>
      <c r="Q71" s="23">
        <f>IF(LEN(O71)&gt;0,(EurMkt!$BN67-'reference set'!$AK77)*100,"")</f>
        <v>1.5327416000000094</v>
      </c>
      <c r="R71" s="22">
        <f t="shared" si="24"/>
        <v>0</v>
      </c>
      <c r="S71" s="16"/>
      <c r="T71" s="207" t="str">
        <v>28Y</v>
      </c>
      <c r="U71" s="26">
        <f t="shared" si="25"/>
        <v>1040.8157529548801</v>
      </c>
      <c r="V71" s="23">
        <f>IF(LEN(Q71)&gt;0,(EurMkt!$AL67-'reference set'!$I77)*100,"")</f>
        <v>1.4586560000000137</v>
      </c>
      <c r="W71" s="22">
        <f t="shared" si="26"/>
        <v>1518.1921429421677</v>
      </c>
      <c r="X71" s="207" t="str">
        <v>27Y</v>
      </c>
      <c r="Y71" s="302">
        <f>INDEX(ReMappedSens6M,MATCH(X71,BktEur6mSens!$M$6:$M$70,0))</f>
        <v>980.67614071042703</v>
      </c>
      <c r="Z71" s="208">
        <f>INDEX(ReMappedPL6M,MATCH(X71,BktEur6mPL!$M$6:$M$70,0))</f>
        <v>1508.5126188608497</v>
      </c>
      <c r="AA71" s="16"/>
      <c r="AB71" s="207" t="str">
        <v>32Y</v>
      </c>
      <c r="AC71" s="120">
        <f t="shared" si="27"/>
        <v>0</v>
      </c>
      <c r="AD71" s="26">
        <f t="shared" si="28"/>
        <v>0</v>
      </c>
      <c r="AE71" s="23">
        <f>IF(LEN(AB71)&gt;0,(EurMkt!$AW67-'reference set'!$U77)*100,"")</f>
        <v>1.7554419000000099</v>
      </c>
      <c r="AF71" s="22">
        <f t="shared" si="29"/>
        <v>0</v>
      </c>
      <c r="AG71" s="207" t="str">
        <v>27Y</v>
      </c>
      <c r="AH71" s="256">
        <f>INDEX(ReMappedSens3M,MATCH(AG71,BktEur3mSens!$M$6:$M$70,0))</f>
        <v>-0.20175470311256999</v>
      </c>
      <c r="AI71" s="208">
        <f>INDEX(ReMappedPL3M,MATCH(AG71,BktEur3mPL!$M$6:$M$70,0))</f>
        <v>-0.31841252070297726</v>
      </c>
      <c r="AJ71" s="16"/>
      <c r="AK71" s="25" t="str">
        <v>32Y</v>
      </c>
      <c r="AL71" s="26">
        <f t="shared" si="30"/>
        <v>-678.51118956368896</v>
      </c>
      <c r="AM71" s="23">
        <f>(+EurMkt!CF67-'reference set'!BA77)*100</f>
        <v>1.6547883999999957</v>
      </c>
      <c r="AN71" s="22">
        <f t="shared" si="31"/>
        <v>-1122.7924457601907</v>
      </c>
      <c r="AO71" s="207" t="str">
        <v>27Y</v>
      </c>
      <c r="AP71" s="302">
        <f>INDEX(ReMappedSens1M,MATCH(AO71,BktEur1mSens!$M$6:$M$70,0))</f>
        <v>-1021.38812027604</v>
      </c>
      <c r="AQ71" s="208">
        <f>INDEX(ReMappedPL1M,MATCH(AO71,BktEur1mPL!$M$6:$M$72,0))</f>
        <v>-1558.4997713121491</v>
      </c>
      <c r="AR71" s="16"/>
      <c r="AS71" s="207" t="str">
        <v>29Y</v>
      </c>
      <c r="AT71" s="26">
        <f t="shared" si="32"/>
        <v>0</v>
      </c>
      <c r="AU71" s="23">
        <f>(EurMkt!BF67-'reference set'!AC77)*100</f>
        <v>1.4938165000000225</v>
      </c>
      <c r="AV71" s="22">
        <f t="shared" si="33"/>
        <v>0</v>
      </c>
      <c r="AW71" s="207" t="str">
        <v>27Y</v>
      </c>
      <c r="AX71" s="302">
        <f>INDEX(ReMappedSens1Y,MATCH(AW71,BktEur1ySens!$M$6:$M$70,0))</f>
        <v>0</v>
      </c>
      <c r="AY71" s="208">
        <f>INDEX(ReMappedPL1Y,MATCH(AW71,BktEur1yPL!$M$6:$M$70,0))</f>
        <v>0</v>
      </c>
      <c r="AZ71" s="33"/>
      <c r="BA71" s="25" t="str">
        <v>27Y</v>
      </c>
      <c r="BB71" s="26">
        <f t="shared" si="34"/>
        <v>2.64981431975274</v>
      </c>
      <c r="BC71" s="23">
        <f>(EurMkt!BW67-'reference set'!AS77)*100</f>
        <v>1.6679297000000259</v>
      </c>
      <c r="BD71" s="22">
        <f t="shared" si="35"/>
        <v>4.4197040034009607</v>
      </c>
      <c r="BE71" s="16"/>
      <c r="BF71" s="401"/>
      <c r="BG71" s="401"/>
      <c r="BH71" s="401"/>
      <c r="BI71" s="401"/>
      <c r="BJ71" s="401"/>
      <c r="BK71" s="401"/>
      <c r="BL71" s="401"/>
      <c r="BM71" s="401"/>
      <c r="BN71" s="401"/>
      <c r="BO71" s="401"/>
      <c r="BP71" s="401"/>
      <c r="BQ71" s="401"/>
      <c r="BR71" s="401"/>
      <c r="BS71" s="401"/>
      <c r="BT71" s="401"/>
      <c r="BU71" s="401"/>
      <c r="BV71" s="401"/>
      <c r="BW71" s="401"/>
      <c r="BX71" s="401"/>
      <c r="BY71" s="401"/>
      <c r="BZ71" s="401"/>
      <c r="CA71" s="401"/>
      <c r="CB71" s="401"/>
      <c r="CC71" s="401"/>
      <c r="CD71" s="401"/>
      <c r="CE71" s="401"/>
      <c r="CF71" s="401"/>
      <c r="CG71" s="401"/>
      <c r="CH71" s="401"/>
      <c r="CI71" s="401"/>
      <c r="CJ71" s="401"/>
      <c r="CK71" s="401"/>
      <c r="CL71" s="401"/>
      <c r="CM71" s="401"/>
      <c r="CN71" s="401"/>
      <c r="CO71" s="401"/>
      <c r="CP71" s="401"/>
    </row>
    <row r="72" spans="1:94" ht="15" customHeight="1">
      <c r="A72" s="207" t="str">
        <v>28Y</v>
      </c>
      <c r="B72" s="163" t="str">
        <f t="shared" si="13"/>
        <v>28Y</v>
      </c>
      <c r="C72" s="163" t="s">
        <v>508</v>
      </c>
      <c r="D72" s="302">
        <f t="shared" si="21"/>
        <v>-64.492689428541311</v>
      </c>
      <c r="E72" s="210">
        <f t="shared" si="19"/>
        <v>-191.45825090015444</v>
      </c>
      <c r="F72" s="213">
        <f t="shared" si="36"/>
        <v>0</v>
      </c>
      <c r="G72" s="214">
        <f t="shared" si="37"/>
        <v>0</v>
      </c>
      <c r="H72" s="540" t="str">
        <f t="shared" si="17"/>
        <v>39Y</v>
      </c>
      <c r="I72" s="541" t="str">
        <f t="shared" si="18"/>
        <v>W</v>
      </c>
      <c r="J72" s="56"/>
      <c r="K72" s="16"/>
      <c r="L72" s="207" t="str">
        <v>39Y</v>
      </c>
      <c r="M72" s="163" t="str">
        <v>39Y</v>
      </c>
      <c r="N72" s="163" t="str">
        <v>W</v>
      </c>
      <c r="O72" s="120">
        <f t="shared" si="22"/>
        <v>0</v>
      </c>
      <c r="P72" s="302">
        <f t="shared" si="23"/>
        <v>0</v>
      </c>
      <c r="Q72" s="23">
        <f>IF(LEN(O72)&gt;0,(EurMkt!$BN68-'reference set'!$AK78)*100,"")</f>
        <v>1.5088611000000141</v>
      </c>
      <c r="R72" s="22">
        <f t="shared" si="24"/>
        <v>0</v>
      </c>
      <c r="S72" s="16"/>
      <c r="T72" s="207" t="str">
        <v>29Y</v>
      </c>
      <c r="U72" s="26">
        <f t="shared" si="25"/>
        <v>1170.0179139389199</v>
      </c>
      <c r="V72" s="23">
        <f>IF(LEN(Q72)&gt;0,(EurMkt!$AL68-'reference set'!$I78)*100,"")</f>
        <v>1.5792180000000045</v>
      </c>
      <c r="W72" s="22">
        <f t="shared" si="26"/>
        <v>1847.7133500147984</v>
      </c>
      <c r="X72" s="207" t="str">
        <v>28Y</v>
      </c>
      <c r="Y72" s="302">
        <f>INDEX(ReMappedSens6M,MATCH(X72,BktEur6mSens!$M$6:$M$70,0))</f>
        <v>1040.8157529548801</v>
      </c>
      <c r="Z72" s="208">
        <f>INDEX(ReMappedPL6M,MATCH(X72,BktEur6mPL!$M$6:$M$70,0))</f>
        <v>1518.1921429421677</v>
      </c>
      <c r="AA72" s="16"/>
      <c r="AB72" s="207" t="str">
        <v>33Y</v>
      </c>
      <c r="AC72" s="120">
        <f t="shared" si="27"/>
        <v>0</v>
      </c>
      <c r="AD72" s="26">
        <f t="shared" si="28"/>
        <v>0</v>
      </c>
      <c r="AE72" s="23">
        <f>IF(LEN(AB72)&gt;0,(EurMkt!$AW68-'reference set'!$U78)*100,"")</f>
        <v>1.7728265000000132</v>
      </c>
      <c r="AF72" s="22">
        <f t="shared" si="29"/>
        <v>0</v>
      </c>
      <c r="AG72" s="207" t="str">
        <v>28Y</v>
      </c>
      <c r="AH72" s="256">
        <f>INDEX(ReMappedSens3M,MATCH(AG72,BktEur3mSens!$M$6:$M$70,0))</f>
        <v>4.5827609814486302E-5</v>
      </c>
      <c r="AI72" s="208">
        <f>INDEX(ReMappedPL3M,MATCH(AG72,BktEur3mPL!$M$6:$M$70,0))</f>
        <v>7.4274044571802928E-5</v>
      </c>
      <c r="AJ72" s="16"/>
      <c r="AK72" s="25" t="str">
        <v>33Y</v>
      </c>
      <c r="AL72" s="26">
        <f t="shared" si="30"/>
        <v>88.451415653441003</v>
      </c>
      <c r="AM72" s="23">
        <f>(+EurMkt!CF68-'reference set'!BA78)*100</f>
        <v>1.6788274999999908</v>
      </c>
      <c r="AN72" s="22">
        <f t="shared" si="31"/>
        <v>148.49466901292641</v>
      </c>
      <c r="AO72" s="207" t="str">
        <v>28Y</v>
      </c>
      <c r="AP72" s="302">
        <f>INDEX(ReMappedSens1M,MATCH(AO72,BktEur1mSens!$M$6:$M$70,0))</f>
        <v>-1107.45660196331</v>
      </c>
      <c r="AQ72" s="208">
        <f>INDEX(ReMappedPL1M,MATCH(AO72,BktEur1mPL!$M$6:$M$72,0))</f>
        <v>-1713.3278358635187</v>
      </c>
      <c r="AR72" s="16"/>
      <c r="AS72" s="207" t="str">
        <v>30Y</v>
      </c>
      <c r="AT72" s="26">
        <f t="shared" si="32"/>
        <v>0</v>
      </c>
      <c r="AU72" s="23">
        <f>(EurMkt!BF68-'reference set'!AC78)*100</f>
        <v>1.4999999999999902</v>
      </c>
      <c r="AV72" s="22">
        <f t="shared" si="33"/>
        <v>0</v>
      </c>
      <c r="AW72" s="207" t="str">
        <v>28Y</v>
      </c>
      <c r="AX72" s="302">
        <f>INDEX(ReMappedSens1Y,MATCH(AW72,BktEur1ySens!$M$6:$M$70,0))</f>
        <v>0</v>
      </c>
      <c r="AY72" s="208">
        <f>INDEX(ReMappedPL1Y,MATCH(AW72,BktEur1yPL!$M$6:$M$70,0))</f>
        <v>0</v>
      </c>
      <c r="AZ72" s="33"/>
      <c r="BA72" s="25" t="str">
        <v>28Y</v>
      </c>
      <c r="BB72" s="26">
        <f t="shared" si="34"/>
        <v>2.1481137522788698</v>
      </c>
      <c r="BC72" s="23">
        <f>(EurMkt!BW68-'reference set'!AS78)*100</f>
        <v>1.7119054999999994</v>
      </c>
      <c r="BD72" s="22">
        <f t="shared" si="35"/>
        <v>3.6773677471518336</v>
      </c>
      <c r="BE72" s="16"/>
      <c r="BF72" s="401"/>
      <c r="BG72" s="401"/>
      <c r="BH72" s="401"/>
      <c r="BI72" s="401"/>
      <c r="BJ72" s="401"/>
      <c r="BK72" s="401"/>
      <c r="BL72" s="401"/>
      <c r="BM72" s="401"/>
      <c r="BN72" s="401"/>
      <c r="BO72" s="401"/>
      <c r="BP72" s="401"/>
      <c r="BQ72" s="401"/>
      <c r="BR72" s="401"/>
      <c r="BS72" s="401"/>
      <c r="BT72" s="401"/>
      <c r="BU72" s="401"/>
      <c r="BV72" s="401"/>
      <c r="BW72" s="401"/>
      <c r="BX72" s="401"/>
      <c r="BY72" s="401"/>
      <c r="BZ72" s="401"/>
      <c r="CA72" s="401"/>
      <c r="CB72" s="401"/>
      <c r="CC72" s="401"/>
      <c r="CD72" s="401"/>
      <c r="CE72" s="401"/>
      <c r="CF72" s="401"/>
      <c r="CG72" s="401"/>
      <c r="CH72" s="401"/>
      <c r="CI72" s="401"/>
      <c r="CJ72" s="401"/>
      <c r="CK72" s="401"/>
      <c r="CL72" s="401"/>
      <c r="CM72" s="401"/>
      <c r="CN72" s="401"/>
      <c r="CO72" s="401"/>
      <c r="CP72" s="401"/>
    </row>
    <row r="73" spans="1:94" ht="15" customHeight="1">
      <c r="A73" s="207" t="str">
        <v>29Y</v>
      </c>
      <c r="B73" s="163" t="str">
        <f t="shared" si="13"/>
        <v>29Y</v>
      </c>
      <c r="C73" s="163" t="s">
        <v>508</v>
      </c>
      <c r="D73" s="302">
        <f t="shared" si="21"/>
        <v>-14.724230591718353</v>
      </c>
      <c r="E73" s="210">
        <f t="shared" si="19"/>
        <v>-13.476762395673946</v>
      </c>
      <c r="F73" s="213">
        <f t="shared" si="36"/>
        <v>0</v>
      </c>
      <c r="G73" s="214">
        <f t="shared" si="37"/>
        <v>0</v>
      </c>
      <c r="H73" s="540" t="str">
        <f t="shared" si="17"/>
        <v>40Y</v>
      </c>
      <c r="I73" s="541" t="str">
        <f t="shared" si="18"/>
        <v>W</v>
      </c>
      <c r="J73" s="56"/>
      <c r="K73" s="16"/>
      <c r="L73" s="207" t="str">
        <v>40Y</v>
      </c>
      <c r="M73" s="163" t="str">
        <v>40Y</v>
      </c>
      <c r="N73" s="163" t="str">
        <v>W</v>
      </c>
      <c r="O73" s="120">
        <f t="shared" si="22"/>
        <v>0</v>
      </c>
      <c r="P73" s="302">
        <f t="shared" si="23"/>
        <v>0</v>
      </c>
      <c r="Q73" s="23">
        <f>IF(LEN(O73)&gt;0,(EurMkt!$BN69-'reference set'!$AK79)*100,"")</f>
        <v>1.4770512000000124</v>
      </c>
      <c r="R73" s="22">
        <f t="shared" si="24"/>
        <v>0</v>
      </c>
      <c r="S73" s="16"/>
      <c r="T73" s="207" t="str">
        <v>30Y</v>
      </c>
      <c r="U73" s="26">
        <f t="shared" si="25"/>
        <v>1262.55006489324</v>
      </c>
      <c r="V73" s="23">
        <f>IF(LEN(Q73)&gt;0,(EurMkt!$AL69-'reference set'!$I79)*100,"")</f>
        <v>1.6000000000000014</v>
      </c>
      <c r="W73" s="22">
        <f t="shared" si="26"/>
        <v>2020.0801038291859</v>
      </c>
      <c r="X73" s="207" t="str">
        <v>29Y</v>
      </c>
      <c r="Y73" s="302">
        <f>INDEX(ReMappedSens6M,MATCH(X73,BktEur6mSens!$M$6:$M$70,0))</f>
        <v>1170.0179139389199</v>
      </c>
      <c r="Z73" s="208">
        <f>INDEX(ReMappedPL6M,MATCH(X73,BktEur6mPL!$M$6:$M$70,0))</f>
        <v>1847.7133500147984</v>
      </c>
      <c r="AA73" s="16"/>
      <c r="AB73" s="207" t="str">
        <v>34Y</v>
      </c>
      <c r="AC73" s="120">
        <f t="shared" si="27"/>
        <v>0</v>
      </c>
      <c r="AD73" s="26">
        <f t="shared" si="28"/>
        <v>0</v>
      </c>
      <c r="AE73" s="23">
        <f>IF(LEN(AB73)&gt;0,(EurMkt!$AW69-'reference set'!$U79)*100,"")</f>
        <v>1.7853977999999993</v>
      </c>
      <c r="AF73" s="22">
        <f t="shared" si="29"/>
        <v>0</v>
      </c>
      <c r="AG73" s="207" t="str">
        <v>29Y</v>
      </c>
      <c r="AH73" s="256">
        <f>INDEX(ReMappedSens3M,MATCH(AG73,BktEur3mSens!$M$6:$M$70,0))</f>
        <v>-9.0752993753214502E-7</v>
      </c>
      <c r="AI73" s="208">
        <f>INDEX(ReMappedPL3M,MATCH(AG73,BktEur3mPL!$M$6:$M$70,0))</f>
        <v>-1.5078873095778529E-6</v>
      </c>
      <c r="AJ73" s="17"/>
      <c r="AK73" s="25" t="str">
        <v>34Y</v>
      </c>
      <c r="AL73" s="26">
        <f t="shared" si="30"/>
        <v>3.8811730015612902E-2</v>
      </c>
      <c r="AM73" s="23">
        <f>(+EurMkt!CF69-'reference set'!BA79)*100</f>
        <v>1.7020374999999976</v>
      </c>
      <c r="AN73" s="22">
        <f t="shared" si="31"/>
        <v>6.6059019926448651E-2</v>
      </c>
      <c r="AO73" s="207" t="str">
        <v>29Y</v>
      </c>
      <c r="AP73" s="302">
        <f>INDEX(ReMappedSens1M,MATCH(AO73,BktEur1mSens!$M$6:$M$70,0))</f>
        <v>-1186.2919567843401</v>
      </c>
      <c r="AQ73" s="208">
        <f>INDEX(ReMappedPL1M,MATCH(AO73,BktEur1mPL!$M$6:$M$72,0))</f>
        <v>-1863.911887351994</v>
      </c>
      <c r="AR73" s="17"/>
      <c r="AS73" s="207" t="str">
        <v>31Y</v>
      </c>
      <c r="AT73" s="26">
        <f t="shared" si="32"/>
        <v>0</v>
      </c>
      <c r="AU73" s="23">
        <f>(EurMkt!BF69-'reference set'!AC79)*100</f>
        <v>1.5147530999999992</v>
      </c>
      <c r="AV73" s="22">
        <f t="shared" si="33"/>
        <v>0</v>
      </c>
      <c r="AW73" s="207" t="str">
        <v>29Y</v>
      </c>
      <c r="AX73" s="302">
        <f>INDEX(ReMappedSens1Y,MATCH(AW73,BktEur1ySens!$M$6:$M$70,0))</f>
        <v>0</v>
      </c>
      <c r="AY73" s="208">
        <f>INDEX(ReMappedPL1Y,MATCH(AW73,BktEur1yPL!$M$6:$M$70,0))</f>
        <v>0</v>
      </c>
      <c r="AZ73" s="33"/>
      <c r="BA73" s="25" t="str">
        <v>29Y</v>
      </c>
      <c r="BB73" s="26">
        <f t="shared" si="34"/>
        <v>1.5498131612317101</v>
      </c>
      <c r="BC73" s="23">
        <f>(EurMkt!BW69-'reference set'!AS79)*100</f>
        <v>1.7561965000000068</v>
      </c>
      <c r="BD73" s="22">
        <f t="shared" si="35"/>
        <v>2.7217764494090755</v>
      </c>
      <c r="BE73" s="17"/>
      <c r="BF73" s="401"/>
      <c r="BG73" s="401"/>
      <c r="BH73" s="401"/>
      <c r="BI73" s="401"/>
      <c r="BJ73" s="401"/>
      <c r="BK73" s="401"/>
      <c r="BL73" s="401"/>
      <c r="BM73" s="401"/>
      <c r="BN73" s="401"/>
      <c r="BO73" s="401"/>
      <c r="BP73" s="401"/>
      <c r="BQ73" s="401"/>
      <c r="BR73" s="401"/>
      <c r="BS73" s="401"/>
      <c r="BT73" s="401"/>
      <c r="BU73" s="401"/>
      <c r="BV73" s="401"/>
      <c r="BW73" s="401"/>
      <c r="BX73" s="401"/>
      <c r="BY73" s="401"/>
      <c r="BZ73" s="401"/>
      <c r="CA73" s="401"/>
      <c r="CB73" s="401"/>
      <c r="CC73" s="401"/>
      <c r="CD73" s="401"/>
      <c r="CE73" s="401"/>
      <c r="CF73" s="401"/>
      <c r="CG73" s="401"/>
      <c r="CH73" s="401"/>
      <c r="CI73" s="401"/>
      <c r="CJ73" s="401"/>
      <c r="CK73" s="401"/>
      <c r="CL73" s="401"/>
      <c r="CM73" s="401"/>
      <c r="CN73" s="401"/>
      <c r="CO73" s="401"/>
      <c r="CP73" s="401"/>
    </row>
    <row r="74" spans="1:94" ht="15" customHeight="1">
      <c r="A74" s="207" t="str">
        <v>30Y</v>
      </c>
      <c r="B74" s="163" t="str">
        <f t="shared" si="13"/>
        <v>30Y</v>
      </c>
      <c r="C74" s="163" t="s">
        <v>508</v>
      </c>
      <c r="D74" s="302">
        <f t="shared" si="21"/>
        <v>-17.729305603690587</v>
      </c>
      <c r="E74" s="210">
        <f t="shared" si="19"/>
        <v>-15.970495976605203</v>
      </c>
      <c r="F74" s="213">
        <f t="shared" si="36"/>
        <v>0</v>
      </c>
      <c r="G74" s="214">
        <f t="shared" si="37"/>
        <v>0</v>
      </c>
      <c r="H74" s="540" t="str">
        <f t="shared" si="17"/>
        <v>50Y</v>
      </c>
      <c r="I74" s="541" t="str">
        <f t="shared" si="18"/>
        <v>W</v>
      </c>
      <c r="J74" s="56"/>
      <c r="K74" s="16"/>
      <c r="L74" s="207" t="str">
        <v>50Y</v>
      </c>
      <c r="M74" s="163" t="str">
        <v>50Y</v>
      </c>
      <c r="N74" s="163" t="str">
        <v>W</v>
      </c>
      <c r="O74" s="120">
        <f t="shared" si="22"/>
        <v>0</v>
      </c>
      <c r="P74" s="302">
        <f t="shared" si="23"/>
        <v>0</v>
      </c>
      <c r="Q74" s="23">
        <f>IF(LEN(O74)&gt;0,(EurMkt!$BN70-'reference set'!$AK80)*100,"")</f>
        <v>-3.6000000000000032</v>
      </c>
      <c r="R74" s="22">
        <f t="shared" si="24"/>
        <v>0</v>
      </c>
      <c r="S74" s="16"/>
      <c r="T74" s="207" t="str">
        <v>31Y</v>
      </c>
      <c r="U74" s="26">
        <f t="shared" si="25"/>
        <v>1477.8877104936601</v>
      </c>
      <c r="V74" s="23">
        <f>IF(LEN(Q74)&gt;0,(EurMkt!$AL70-'reference set'!$I80)*100,"")</f>
        <v>1.6192532000000037</v>
      </c>
      <c r="W74" s="22">
        <f t="shared" si="26"/>
        <v>2393.0744044575381</v>
      </c>
      <c r="X74" s="207" t="str">
        <v>30Y</v>
      </c>
      <c r="Y74" s="302">
        <f>INDEX(ReMappedSens6M,MATCH(X74,BktEur6mSens!$M$6:$M$70,0))</f>
        <v>2775.0904395196194</v>
      </c>
      <c r="Z74" s="208">
        <f>INDEX(ReMappedPL6M,MATCH(X74,BktEur6mPL!$M$6:$M$70,0))</f>
        <v>4503.7413492964333</v>
      </c>
      <c r="AA74" s="16"/>
      <c r="AB74" s="207" t="str">
        <v>35Y</v>
      </c>
      <c r="AC74" s="120">
        <f t="shared" si="27"/>
        <v>0</v>
      </c>
      <c r="AD74" s="26">
        <f t="shared" si="28"/>
        <v>0</v>
      </c>
      <c r="AE74" s="23">
        <f>IF(LEN(AB74)&gt;0,(EurMkt!$AW70-'reference set'!$U80)*100,"")</f>
        <v>1.7938777000000128</v>
      </c>
      <c r="AF74" s="22">
        <f t="shared" si="29"/>
        <v>0</v>
      </c>
      <c r="AG74" s="207" t="str">
        <v>30Y</v>
      </c>
      <c r="AH74" s="256">
        <f>INDEX(ReMappedSens3M,MATCH(AG74,BktEur3mSens!$M$6:$M$70,0))</f>
        <v>-5.5835288789031596E-10</v>
      </c>
      <c r="AI74" s="208">
        <f>INDEX(ReMappedPL3M,MATCH(AG74,BktEur3mPL!$M$6:$M$70,0))</f>
        <v>-9.4919990941354425E-10</v>
      </c>
      <c r="AJ74" s="17"/>
      <c r="AK74" s="25" t="str">
        <v>35Y</v>
      </c>
      <c r="AL74" s="26">
        <f t="shared" si="30"/>
        <v>7.7702614125669507E-6</v>
      </c>
      <c r="AM74" s="23">
        <f>(+EurMkt!CF70-'reference set'!BA80)*100</f>
        <v>1.7232979000000093</v>
      </c>
      <c r="AN74" s="22">
        <f t="shared" si="31"/>
        <v>1.3390475174727732E-5</v>
      </c>
      <c r="AO74" s="207" t="str">
        <v>30Y</v>
      </c>
      <c r="AP74" s="302">
        <f>INDEX(ReMappedSens1M,MATCH(AO74,BktEur1mSens!$M$6:$M$70,0))</f>
        <v>-2793.3857185397851</v>
      </c>
      <c r="AQ74" s="208">
        <f>INDEX(ReMappedPL1M,MATCH(AO74,BktEur1mPL!$M$6:$M$72,0))</f>
        <v>-4520.7305974227493</v>
      </c>
      <c r="AR74" s="17"/>
      <c r="AS74" s="207" t="str">
        <v>32Y</v>
      </c>
      <c r="AT74" s="26">
        <f t="shared" si="32"/>
        <v>0</v>
      </c>
      <c r="AU74" s="23">
        <f>(EurMkt!BF70-'reference set'!AC80)*100</f>
        <v>1.5373545000000099</v>
      </c>
      <c r="AV74" s="22">
        <f t="shared" si="33"/>
        <v>0</v>
      </c>
      <c r="AW74" s="207" t="str">
        <v>30Y</v>
      </c>
      <c r="AX74" s="302">
        <f>INDEX(ReMappedSens1Y,MATCH(AW74,BktEur1ySens!$M$6:$M$70,0))</f>
        <v>0</v>
      </c>
      <c r="AY74" s="208">
        <f>INDEX(ReMappedPL1Y,MATCH(AW74,BktEur1yPL!$M$6:$M$70,0))</f>
        <v>0</v>
      </c>
      <c r="AZ74" s="33"/>
      <c r="BA74" s="25" t="str">
        <v>30Y</v>
      </c>
      <c r="BB74" s="26">
        <f t="shared" si="34"/>
        <v>0.56597341703347304</v>
      </c>
      <c r="BC74" s="23">
        <f>(EurMkt!BW70-'reference set'!AS80)*100</f>
        <v>1.8000000000000016</v>
      </c>
      <c r="BD74" s="22">
        <f t="shared" si="35"/>
        <v>1.0187521506602524</v>
      </c>
      <c r="BE74" s="17"/>
      <c r="BF74" s="401"/>
      <c r="BG74" s="401"/>
      <c r="BH74" s="401"/>
      <c r="BI74" s="401"/>
      <c r="BJ74" s="401"/>
      <c r="BK74" s="401"/>
      <c r="BL74" s="401"/>
      <c r="BM74" s="401"/>
      <c r="BN74" s="401"/>
      <c r="BO74" s="401"/>
      <c r="BP74" s="401"/>
      <c r="BQ74" s="401"/>
      <c r="BR74" s="401"/>
      <c r="BS74" s="401"/>
      <c r="BT74" s="401"/>
      <c r="BU74" s="401"/>
      <c r="BV74" s="401"/>
      <c r="BW74" s="401"/>
      <c r="BX74" s="401"/>
      <c r="BY74" s="401"/>
      <c r="BZ74" s="401"/>
      <c r="CA74" s="401"/>
      <c r="CB74" s="401"/>
      <c r="CC74" s="401"/>
      <c r="CD74" s="401"/>
      <c r="CE74" s="401"/>
      <c r="CF74" s="401"/>
      <c r="CG74" s="401"/>
      <c r="CH74" s="401"/>
      <c r="CI74" s="401"/>
      <c r="CJ74" s="401"/>
      <c r="CK74" s="401"/>
      <c r="CL74" s="401"/>
      <c r="CM74" s="401"/>
      <c r="CN74" s="401"/>
      <c r="CO74" s="401"/>
      <c r="CP74" s="401"/>
    </row>
    <row r="75" spans="1:94" ht="15" customHeight="1">
      <c r="A75" s="207" t="str">
        <v>35Y</v>
      </c>
      <c r="B75" s="163" t="str">
        <f t="shared" si="13"/>
        <v>35Y</v>
      </c>
      <c r="C75" s="163" t="s">
        <v>508</v>
      </c>
      <c r="D75" s="302">
        <f t="shared" si="14"/>
        <v>-1.4676455326559155</v>
      </c>
      <c r="E75" s="210">
        <f t="shared" si="19"/>
        <v>34.943561302058697</v>
      </c>
      <c r="F75" s="213">
        <f t="shared" si="36"/>
        <v>0</v>
      </c>
      <c r="G75" s="214">
        <f t="shared" si="37"/>
        <v>0</v>
      </c>
      <c r="H75" s="540" t="str">
        <f t="shared" si="17"/>
        <v>60Y</v>
      </c>
      <c r="I75" s="541" t="str">
        <f t="shared" si="18"/>
        <v>W</v>
      </c>
      <c r="J75" s="56"/>
      <c r="K75" s="16"/>
      <c r="L75" s="207" t="str">
        <v>60Y</v>
      </c>
      <c r="M75" s="163" t="str">
        <v>60Y</v>
      </c>
      <c r="N75" s="163" t="str">
        <v>W</v>
      </c>
      <c r="O75" s="120">
        <f t="shared" si="22"/>
        <v>0</v>
      </c>
      <c r="P75" s="302">
        <f t="shared" si="23"/>
        <v>0</v>
      </c>
      <c r="Q75" s="23">
        <f>IF(LEN(O75)&gt;0,(EurMkt!$BN71-'reference set'!$AK81)*100,"")</f>
        <v>-1.6999999999999904</v>
      </c>
      <c r="R75" s="22">
        <f t="shared" si="24"/>
        <v>0</v>
      </c>
      <c r="S75" s="16"/>
      <c r="T75" s="207" t="str">
        <v>32Y</v>
      </c>
      <c r="U75" s="26">
        <f t="shared" si="25"/>
        <v>579.80628946717798</v>
      </c>
      <c r="V75" s="23">
        <f>IF(LEN(Q75)&gt;0,(EurMkt!$AL71-'reference set'!$I81)*100,"")</f>
        <v>1.6378220000000221</v>
      </c>
      <c r="W75" s="22">
        <f t="shared" si="26"/>
        <v>949.6194966277252</v>
      </c>
      <c r="X75" s="207" t="str">
        <v>35Y</v>
      </c>
      <c r="Y75" s="302">
        <f>INDEX(ReMappedSens6M,MATCH(X75,BktEur6mSens!$M$6:$M$70,0))</f>
        <v>501.8908150693116</v>
      </c>
      <c r="Z75" s="208">
        <f>INDEX(ReMappedPL6M,MATCH(X75,BktEur6mPL!$M$6:$M$70,0))</f>
        <v>859.03265561801607</v>
      </c>
      <c r="AA75" s="16"/>
      <c r="AB75" s="207" t="str">
        <v>36Y</v>
      </c>
      <c r="AC75" s="120">
        <f t="shared" si="27"/>
        <v>0</v>
      </c>
      <c r="AD75" s="26">
        <f t="shared" si="28"/>
        <v>0</v>
      </c>
      <c r="AE75" s="23">
        <f>IF(LEN(AB75)&gt;0,(EurMkt!$AW71-'reference set'!$U81)*100,"")</f>
        <v>1.7984330000000215</v>
      </c>
      <c r="AF75" s="22">
        <f t="shared" si="29"/>
        <v>0</v>
      </c>
      <c r="AG75" s="207" t="str">
        <v>35Y</v>
      </c>
      <c r="AH75" s="256">
        <f>INDEX(ReMappedSens3M,MATCH(AG75,BktEur3mSens!$M$6:$M$70,0))</f>
        <v>0</v>
      </c>
      <c r="AI75" s="208">
        <f>INDEX(ReMappedPL3M,MATCH(AG75,BktEur3mPL!$M$6:$M$70,0))</f>
        <v>0</v>
      </c>
      <c r="AJ75" s="17"/>
      <c r="AK75" s="25" t="str">
        <v>36Y</v>
      </c>
      <c r="AL75" s="26">
        <f t="shared" si="30"/>
        <v>-1.2006905089505299E-10</v>
      </c>
      <c r="AM75" s="23">
        <f>(+EurMkt!CF71-'reference set'!BA81)*100</f>
        <v>1.7432698000000135</v>
      </c>
      <c r="AN75" s="22">
        <f t="shared" si="31"/>
        <v>-2.0931275034001047E-10</v>
      </c>
      <c r="AO75" s="207" t="str">
        <v>35Y</v>
      </c>
      <c r="AP75" s="302">
        <f>INDEX(ReMappedSens1M,MATCH(AO75,BktEur1mSens!$M$6:$M$70,0))</f>
        <v>-503.19420173722148</v>
      </c>
      <c r="AQ75" s="208">
        <f>INDEX(ReMappedPL1M,MATCH(AO75,BktEur1mPL!$M$6:$M$72,0))</f>
        <v>-823.77690784340791</v>
      </c>
      <c r="AR75" s="17"/>
      <c r="AS75" s="207" t="str">
        <v>33Y</v>
      </c>
      <c r="AT75" s="26">
        <f t="shared" si="32"/>
        <v>0</v>
      </c>
      <c r="AU75" s="23">
        <f>(EurMkt!BF71-'reference set'!AC81)*100</f>
        <v>1.5664946000000235</v>
      </c>
      <c r="AV75" s="22">
        <f t="shared" si="33"/>
        <v>0</v>
      </c>
      <c r="AW75" s="207" t="str">
        <v>35Y</v>
      </c>
      <c r="AX75" s="302">
        <f>INDEX(ReMappedSens1Y,MATCH(AW75,BktEur1ySens!$M$6:$M$70,0))</f>
        <v>0</v>
      </c>
      <c r="AY75" s="208">
        <f>INDEX(ReMappedPL1Y,MATCH(AW75,BktEur1yPL!$M$6:$M$70,0))</f>
        <v>0</v>
      </c>
      <c r="AZ75" s="33"/>
      <c r="BA75" s="25" t="str">
        <v>35Y</v>
      </c>
      <c r="BB75" s="26">
        <f t="shared" si="34"/>
        <v>-0.16425886474603901</v>
      </c>
      <c r="BC75" s="23">
        <f>(EurMkt!BW71-'reference set'!AS81)*100</f>
        <v>1.9005761000000065</v>
      </c>
      <c r="BD75" s="22">
        <f t="shared" si="35"/>
        <v>-0.31218647254945542</v>
      </c>
      <c r="BE75" s="17"/>
      <c r="BF75" s="401"/>
      <c r="BG75" s="401"/>
      <c r="BH75" s="401"/>
      <c r="BI75" s="401"/>
      <c r="BJ75" s="401"/>
      <c r="BK75" s="401"/>
      <c r="BL75" s="401"/>
      <c r="BM75" s="401"/>
      <c r="BN75" s="401"/>
      <c r="BO75" s="401"/>
      <c r="BP75" s="401"/>
      <c r="BQ75" s="401"/>
      <c r="BR75" s="401"/>
      <c r="BS75" s="401"/>
      <c r="BT75" s="401"/>
      <c r="BU75" s="401"/>
      <c r="BV75" s="401"/>
      <c r="BW75" s="401"/>
      <c r="BX75" s="401"/>
      <c r="BY75" s="401"/>
      <c r="BZ75" s="401"/>
      <c r="CA75" s="401"/>
      <c r="CB75" s="401"/>
      <c r="CC75" s="401"/>
      <c r="CD75" s="401"/>
      <c r="CE75" s="401"/>
      <c r="CF75" s="401"/>
      <c r="CG75" s="401"/>
      <c r="CH75" s="401"/>
      <c r="CI75" s="401"/>
      <c r="CJ75" s="401"/>
      <c r="CK75" s="401"/>
      <c r="CL75" s="401"/>
      <c r="CM75" s="401"/>
      <c r="CN75" s="401"/>
      <c r="CO75" s="401"/>
      <c r="CP75" s="401"/>
    </row>
    <row r="76" spans="1:94" ht="15" customHeight="1">
      <c r="A76" s="207" t="str">
        <v>40Y</v>
      </c>
      <c r="B76" s="163" t="str">
        <f t="shared" si="13"/>
        <v>40Y</v>
      </c>
      <c r="C76" s="163" t="s">
        <v>508</v>
      </c>
      <c r="D76" s="302">
        <f t="shared" si="14"/>
        <v>3.2329418131065047E-9</v>
      </c>
      <c r="E76" s="210">
        <f t="shared" si="19"/>
        <v>-4.1931289887489852E-11</v>
      </c>
      <c r="F76" s="213">
        <f t="shared" si="36"/>
        <v>0</v>
      </c>
      <c r="G76" s="214">
        <f t="shared" si="37"/>
        <v>0</v>
      </c>
      <c r="H76" s="540" t="str">
        <f t="shared" si="17"/>
        <v/>
      </c>
      <c r="I76" s="541" t="str">
        <f t="shared" si="18"/>
        <v/>
      </c>
      <c r="J76" s="56"/>
      <c r="K76" s="16"/>
      <c r="L76" s="207" t="str">
        <v/>
      </c>
      <c r="M76" s="163" t="str">
        <v/>
      </c>
      <c r="N76" s="163" t="str">
        <v/>
      </c>
      <c r="O76" s="120">
        <f t="shared" si="22"/>
        <v>0</v>
      </c>
      <c r="P76" s="302" t="str">
        <f t="shared" si="23"/>
        <v/>
      </c>
      <c r="Q76" s="23" t="e">
        <f>IF(LEN(O76)&gt;0,(EurMkt!$BN72-'reference set'!$AK82)*100,"")</f>
        <v>#VALUE!</v>
      </c>
      <c r="R76" s="22">
        <f t="shared" si="24"/>
        <v>0</v>
      </c>
      <c r="S76" s="16"/>
      <c r="T76" s="207" t="str">
        <v>33Y</v>
      </c>
      <c r="U76" s="26">
        <f t="shared" si="25"/>
        <v>-43.322161870202997</v>
      </c>
      <c r="V76" s="23" t="e">
        <f>IF(LEN(Q76)&gt;0,(EurMkt!$AL72-'reference set'!$I82)*100,"")</f>
        <v>#VALUE!</v>
      </c>
      <c r="W76" s="22">
        <f t="shared" si="26"/>
        <v>0</v>
      </c>
      <c r="X76" s="207" t="str">
        <v>40Y</v>
      </c>
      <c r="Y76" s="302">
        <f>INDEX(ReMappedSens6M,MATCH(X76,BktEur6mSens!$M$6:$M$70,0))</f>
        <v>3.2569950548293231E-9</v>
      </c>
      <c r="Z76" s="208">
        <f>INDEX(ReMappedPL6M,MATCH(X76,BktEur6mPL!$M$6:$M$70,0))</f>
        <v>0</v>
      </c>
      <c r="AA76" s="16"/>
      <c r="AB76" s="207" t="str">
        <v>37Y</v>
      </c>
      <c r="AC76" s="120">
        <f t="shared" si="27"/>
        <v>0</v>
      </c>
      <c r="AD76" s="26">
        <f t="shared" si="28"/>
        <v>0</v>
      </c>
      <c r="AE76" s="23">
        <f>IF(LEN(AB76)&gt;0,(EurMkt!$AW72-'reference set'!$U82)*100,"")</f>
        <v>1.7995690000000231</v>
      </c>
      <c r="AF76" s="22">
        <f t="shared" si="29"/>
        <v>0</v>
      </c>
      <c r="AG76" s="207" t="str">
        <v>40Y</v>
      </c>
      <c r="AH76" s="256">
        <f>INDEX(ReMappedSens3M,MATCH(AG76,BktEur3mSens!$M$6:$M$70,0))</f>
        <v>0</v>
      </c>
      <c r="AI76" s="208">
        <f>INDEX(ReMappedPL3M,MATCH(AG76,BktEur3mPL!$M$6:$M$70,0))</f>
        <v>0</v>
      </c>
      <c r="AJ76" s="17"/>
      <c r="AK76" s="25" t="str">
        <v>37Y</v>
      </c>
      <c r="AL76" s="26">
        <f t="shared" si="30"/>
        <v>0</v>
      </c>
      <c r="AM76" s="23">
        <f>(+EurMkt!CF72-'reference set'!BA82)*100</f>
        <v>1.7604007000000088</v>
      </c>
      <c r="AN76" s="22">
        <f t="shared" si="31"/>
        <v>0</v>
      </c>
      <c r="AO76" s="207" t="str">
        <v>40Y</v>
      </c>
      <c r="AP76" s="302">
        <f>INDEX(ReMappedSens1M,MATCH(AO76,BktEur1mSens!$M$6:$M$70,0))</f>
        <v>-2.4053241722818537E-11</v>
      </c>
      <c r="AQ76" s="208">
        <f>INDEX(ReMappedPL1M,MATCH(AO76,BktEur1mPL!$M$6:$M$72,0))</f>
        <v>-4.1931289887489852E-11</v>
      </c>
      <c r="AR76" s="17"/>
      <c r="AS76" s="207" t="str">
        <v>34Y</v>
      </c>
      <c r="AT76" s="26">
        <f t="shared" si="32"/>
        <v>0</v>
      </c>
      <c r="AU76" s="23">
        <f>(EurMkt!BF72-'reference set'!AC82)*100</f>
        <v>1.5997417000000125</v>
      </c>
      <c r="AV76" s="22">
        <f t="shared" si="33"/>
        <v>0</v>
      </c>
      <c r="AW76" s="207" t="str">
        <v>40Y</v>
      </c>
      <c r="AX76" s="302">
        <f>INDEX(ReMappedSens1Y,MATCH(AW76,BktEur1ySens!$M$6:$M$70,0))</f>
        <v>0</v>
      </c>
      <c r="AY76" s="208">
        <f>INDEX(ReMappedPL1Y,MATCH(AW76,BktEur1yPL!$M$6:$M$70,0))</f>
        <v>0</v>
      </c>
      <c r="AZ76" s="33"/>
      <c r="BA76" s="25" t="str">
        <v>40Y</v>
      </c>
      <c r="BB76" s="26">
        <f t="shared" si="34"/>
        <v>0</v>
      </c>
      <c r="BC76" s="23">
        <f>(EurMkt!BW72-'reference set'!AS82)*100</f>
        <v>1.8999999999999906</v>
      </c>
      <c r="BD76" s="22">
        <f t="shared" si="35"/>
        <v>0</v>
      </c>
      <c r="BE76" s="17"/>
      <c r="BF76" s="401"/>
      <c r="BG76" s="401"/>
      <c r="BH76" s="401"/>
      <c r="BI76" s="401"/>
      <c r="BJ76" s="401"/>
      <c r="BK76" s="401"/>
      <c r="BL76" s="401"/>
      <c r="BM76" s="401"/>
      <c r="BN76" s="401"/>
      <c r="BO76" s="401"/>
      <c r="BP76" s="401"/>
      <c r="BQ76" s="401"/>
      <c r="BR76" s="401"/>
      <c r="BS76" s="401"/>
      <c r="BT76" s="401"/>
      <c r="BU76" s="401"/>
      <c r="BV76" s="401"/>
      <c r="BW76" s="401"/>
      <c r="BX76" s="401"/>
      <c r="BY76" s="401"/>
      <c r="BZ76" s="401"/>
      <c r="CA76" s="401"/>
      <c r="CB76" s="401"/>
      <c r="CC76" s="401"/>
      <c r="CD76" s="401"/>
      <c r="CE76" s="401"/>
      <c r="CF76" s="401"/>
      <c r="CG76" s="401"/>
      <c r="CH76" s="401"/>
      <c r="CI76" s="401"/>
      <c r="CJ76" s="401"/>
      <c r="CK76" s="401"/>
      <c r="CL76" s="401"/>
      <c r="CM76" s="401"/>
      <c r="CN76" s="401"/>
      <c r="CO76" s="401"/>
      <c r="CP76" s="401"/>
    </row>
    <row r="77" spans="1:94" ht="15" customHeight="1">
      <c r="A77" s="207" t="str">
        <v>50Y</v>
      </c>
      <c r="B77" s="163" t="str">
        <f t="shared" si="13"/>
        <v>50Y</v>
      </c>
      <c r="C77" s="163" t="s">
        <v>508</v>
      </c>
      <c r="D77" s="302">
        <f t="shared" si="14"/>
        <v>0</v>
      </c>
      <c r="E77" s="210">
        <f t="shared" si="19"/>
        <v>0</v>
      </c>
      <c r="F77" s="213"/>
      <c r="G77" s="214"/>
      <c r="H77" s="540"/>
      <c r="I77" s="541"/>
      <c r="J77" s="56"/>
      <c r="K77" s="16"/>
      <c r="L77" s="207" t="str">
        <v/>
      </c>
      <c r="M77" s="163" t="str">
        <v/>
      </c>
      <c r="N77" s="163" t="str">
        <v/>
      </c>
      <c r="O77" s="120"/>
      <c r="P77" s="302" t="str">
        <f t="shared" si="23"/>
        <v/>
      </c>
      <c r="Q77" s="23" t="str">
        <f>IF(LEN(O77)&gt;0,(EurMkt!$BN73-'reference set'!$AK83)*100,"")</f>
        <v/>
      </c>
      <c r="R77" s="22">
        <f t="shared" si="24"/>
        <v>0</v>
      </c>
      <c r="S77" s="16"/>
      <c r="T77" s="207" t="str">
        <v>34Y</v>
      </c>
      <c r="U77" s="26">
        <f t="shared" si="25"/>
        <v>5.9935684072132803E-2</v>
      </c>
      <c r="V77" s="23" t="str">
        <f>IF(LEN(Q77)&gt;0,(EurMkt!$AL73-'reference set'!$I83)*100,"")</f>
        <v/>
      </c>
      <c r="W77" s="22">
        <f t="shared" si="26"/>
        <v>0</v>
      </c>
      <c r="X77" s="207" t="str">
        <v>50Y</v>
      </c>
      <c r="Y77" s="302">
        <f>INDEX(ReMappedSens6M,MATCH(X77,BktEur6mSens!$M$6:$M$70,0))</f>
        <v>0</v>
      </c>
      <c r="Z77" s="208">
        <f>INDEX(ReMappedPL6M,MATCH(X77,BktEur6mPL!$M$6:$M$70,0))</f>
        <v>0</v>
      </c>
      <c r="AA77" s="16"/>
      <c r="AB77" s="207" t="str">
        <v>38Y</v>
      </c>
      <c r="AC77" s="120">
        <f t="shared" si="27"/>
        <v>0</v>
      </c>
      <c r="AD77" s="26">
        <f t="shared" si="28"/>
        <v>0</v>
      </c>
      <c r="AE77" s="23">
        <f>IF(LEN(AB77)&gt;0,(EurMkt!$AW73-'reference set'!$U83)*100,"")</f>
        <v>1.7999118000000092</v>
      </c>
      <c r="AF77" s="22">
        <f t="shared" si="29"/>
        <v>0</v>
      </c>
      <c r="AG77" s="207" t="str">
        <v>50Y</v>
      </c>
      <c r="AH77" s="256">
        <f>INDEX(ReMappedSens3M,MATCH(AG77,BktEur3mSens!$M$6:$M$70,0))</f>
        <v>0</v>
      </c>
      <c r="AI77" s="208">
        <f>INDEX(ReMappedPL3M,MATCH(AG77,BktEur3mPL!$M$6:$M$70,0))</f>
        <v>0</v>
      </c>
      <c r="AJ77" s="17"/>
      <c r="AK77" s="25" t="str">
        <v>38Y</v>
      </c>
      <c r="AL77" s="26">
        <f t="shared" si="30"/>
        <v>0</v>
      </c>
      <c r="AM77" s="23">
        <f>(+EurMkt!CF73-'reference set'!BA83)*100</f>
        <v>1.7755382000000042</v>
      </c>
      <c r="AN77" s="22">
        <f t="shared" si="31"/>
        <v>0</v>
      </c>
      <c r="AO77" s="207" t="str">
        <v>50Y</v>
      </c>
      <c r="AP77" s="302">
        <f>INDEX(ReMappedSens1M,MATCH(AO77,BktEur1mSens!$M$6:$M$70,0))</f>
        <v>0</v>
      </c>
      <c r="AQ77" s="208">
        <f>INDEX(ReMappedPL1M,MATCH(AO77,BktEur1mPL!$M$6:$M$72,0))</f>
        <v>0</v>
      </c>
      <c r="AR77" s="17"/>
      <c r="AS77" s="207" t="str">
        <v>35Y</v>
      </c>
      <c r="AT77" s="26">
        <f t="shared" si="32"/>
        <v>0</v>
      </c>
      <c r="AU77" s="23">
        <f>(EurMkt!BF73-'reference set'!AC83)*100</f>
        <v>1.6370890000000138</v>
      </c>
      <c r="AV77" s="22">
        <f t="shared" si="33"/>
        <v>0</v>
      </c>
      <c r="AW77" s="207" t="str">
        <v>50Y</v>
      </c>
      <c r="AX77" s="302">
        <f>INDEX(ReMappedSens1Y,MATCH(AW77,BktEur1ySens!$M$6:$M$70,0))</f>
        <v>0</v>
      </c>
      <c r="AY77" s="208">
        <f>INDEX(ReMappedPL1Y,MATCH(AW77,BktEur1yPL!$M$6:$M$70,0))</f>
        <v>0</v>
      </c>
      <c r="AZ77" s="33"/>
      <c r="BA77" s="25" t="str">
        <v>50Y</v>
      </c>
      <c r="BB77" s="26">
        <f t="shared" si="34"/>
        <v>0</v>
      </c>
      <c r="BC77" s="23">
        <f>(EurMkt!BW73-'reference set'!AS83)*100</f>
        <v>1.8999999999999906</v>
      </c>
      <c r="BD77" s="22">
        <f t="shared" si="35"/>
        <v>0</v>
      </c>
      <c r="BE77" s="17"/>
      <c r="BF77" s="401"/>
      <c r="BG77" s="401"/>
      <c r="BH77" s="401"/>
      <c r="BI77" s="401"/>
      <c r="BJ77" s="401"/>
      <c r="BK77" s="401"/>
      <c r="BL77" s="401"/>
      <c r="BM77" s="401"/>
      <c r="BN77" s="401"/>
      <c r="BO77" s="401"/>
      <c r="BP77" s="401"/>
      <c r="BQ77" s="401"/>
      <c r="BR77" s="401"/>
      <c r="BS77" s="401"/>
      <c r="BT77" s="401"/>
      <c r="BU77" s="401"/>
      <c r="BV77" s="401"/>
      <c r="BW77" s="401"/>
      <c r="BX77" s="401"/>
      <c r="BY77" s="401"/>
      <c r="BZ77" s="401"/>
      <c r="CA77" s="401"/>
      <c r="CB77" s="401"/>
      <c r="CC77" s="401"/>
      <c r="CD77" s="401"/>
      <c r="CE77" s="401"/>
      <c r="CF77" s="401"/>
      <c r="CG77" s="401"/>
      <c r="CH77" s="401"/>
      <c r="CI77" s="401"/>
      <c r="CJ77" s="401"/>
      <c r="CK77" s="401"/>
      <c r="CL77" s="401"/>
      <c r="CM77" s="401"/>
      <c r="CN77" s="401"/>
      <c r="CO77" s="401"/>
      <c r="CP77" s="401"/>
    </row>
    <row r="78" spans="1:94" ht="15" customHeight="1">
      <c r="A78" s="207" t="str">
        <v>60Y</v>
      </c>
      <c r="B78" s="163" t="str">
        <f t="shared" si="13"/>
        <v>60Y</v>
      </c>
      <c r="C78" s="163" t="s">
        <v>508</v>
      </c>
      <c r="D78" s="302">
        <f t="shared" si="14"/>
        <v>0</v>
      </c>
      <c r="E78" s="210">
        <f t="shared" si="19"/>
        <v>0</v>
      </c>
      <c r="F78" s="213"/>
      <c r="G78" s="214"/>
      <c r="H78" s="540"/>
      <c r="I78" s="541"/>
      <c r="J78" s="56"/>
      <c r="K78" s="16"/>
      <c r="L78" s="487"/>
      <c r="M78" s="487"/>
      <c r="N78" s="487"/>
      <c r="O78" s="487"/>
      <c r="P78" s="487"/>
      <c r="Q78" s="487"/>
      <c r="R78" s="487"/>
      <c r="S78" s="16"/>
      <c r="T78" s="207" t="str">
        <v>35Y</v>
      </c>
      <c r="U78" s="26">
        <f t="shared" si="25"/>
        <v>-5.8409201819987003E-4</v>
      </c>
      <c r="V78" s="23" t="str">
        <f>IF(LEN(Q78)&gt;0,(EurMkt!$AL74-'reference set'!$I84)*100,"")</f>
        <v/>
      </c>
      <c r="W78" s="22">
        <f t="shared" si="26"/>
        <v>0</v>
      </c>
      <c r="X78" s="207" t="str">
        <v>60Y</v>
      </c>
      <c r="Y78" s="302">
        <f>INDEX(ReMappedSens6M,MATCH(X78,BktEur6mSens!$M$6:$M$70,0))</f>
        <v>0</v>
      </c>
      <c r="Z78" s="208">
        <f>INDEX(ReMappedPL6M,MATCH(X78,BktEur6mPL!$M$6:$M$70,0))</f>
        <v>0</v>
      </c>
      <c r="AA78" s="16"/>
      <c r="AB78" s="207" t="str">
        <v>39Y</v>
      </c>
      <c r="AC78" s="120">
        <f t="shared" si="27"/>
        <v>0</v>
      </c>
      <c r="AD78" s="26">
        <f t="shared" si="28"/>
        <v>0</v>
      </c>
      <c r="AE78" s="23">
        <f>IF(LEN(AB78)&gt;0,(EurMkt!$AW74-'reference set'!$U84)*100,"")</f>
        <v>1.7994587999999867</v>
      </c>
      <c r="AF78" s="22">
        <f t="shared" si="29"/>
        <v>0</v>
      </c>
      <c r="AG78" s="207" t="str">
        <v>60Y</v>
      </c>
      <c r="AH78" s="256">
        <f>INDEX(ReMappedSens3M,MATCH(AG78,BktEur3mSens!$M$6:$M$70,0))</f>
        <v>0</v>
      </c>
      <c r="AI78" s="208">
        <f>INDEX(ReMappedPL3M,MATCH(AG78,BktEur3mPL!$M$6:$M$70,0))</f>
        <v>0</v>
      </c>
      <c r="AJ78" s="17"/>
      <c r="AK78" s="25" t="str">
        <v>39Y</v>
      </c>
      <c r="AL78" s="26">
        <f t="shared" si="30"/>
        <v>0</v>
      </c>
      <c r="AM78" s="23">
        <f>(+EurMkt!CF74-'reference set'!BA84)*100</f>
        <v>1.7885082000000052</v>
      </c>
      <c r="AN78" s="22">
        <f t="shared" si="31"/>
        <v>0</v>
      </c>
      <c r="AO78" s="207" t="str">
        <v>60Y</v>
      </c>
      <c r="AP78" s="302">
        <f>INDEX(ReMappedSens1M,MATCH(AO78,BktEur1mSens!$M$6:$M$70,0))</f>
        <v>0</v>
      </c>
      <c r="AQ78" s="208">
        <f>INDEX(ReMappedPL1M,MATCH(AO78,BktEur1mPL!$M$6:$M$72,0))</f>
        <v>0</v>
      </c>
      <c r="AR78" s="17"/>
      <c r="AS78" s="207" t="str">
        <v>36Y</v>
      </c>
      <c r="AT78" s="26">
        <f t="shared" si="32"/>
        <v>0</v>
      </c>
      <c r="AU78" s="23">
        <f>(EurMkt!BF74-'reference set'!AC84)*100</f>
        <v>1.6727484000000015</v>
      </c>
      <c r="AV78" s="22">
        <f t="shared" si="33"/>
        <v>0</v>
      </c>
      <c r="AW78" s="207" t="str">
        <v>60Y</v>
      </c>
      <c r="AX78" s="302">
        <f>INDEX(ReMappedSens1Y,MATCH(AW78,BktEur1ySens!$M$6:$M$70,0))</f>
        <v>0</v>
      </c>
      <c r="AY78" s="208">
        <f>INDEX(ReMappedPL1Y,MATCH(AW78,BktEur1yPL!$M$6:$M$70,0))</f>
        <v>0</v>
      </c>
      <c r="AZ78" s="33"/>
      <c r="BA78" s="25" t="str">
        <v>60Y</v>
      </c>
      <c r="BB78" s="302">
        <f t="shared" si="34"/>
        <v>0</v>
      </c>
      <c r="BC78" s="23">
        <f>(EurMkt!BW74-'reference set'!AS84)*100</f>
        <v>1.9000000000000017</v>
      </c>
      <c r="BD78" s="22">
        <f t="shared" si="35"/>
        <v>0</v>
      </c>
      <c r="BE78" s="17"/>
      <c r="BF78" s="401"/>
      <c r="BG78" s="401"/>
      <c r="BH78" s="401"/>
      <c r="BI78" s="401"/>
      <c r="BJ78" s="401"/>
      <c r="BK78" s="401"/>
      <c r="BL78" s="401"/>
      <c r="BM78" s="401"/>
      <c r="BN78" s="401"/>
      <c r="BO78" s="401"/>
      <c r="BP78" s="401"/>
      <c r="BQ78" s="401"/>
      <c r="BR78" s="401"/>
      <c r="BS78" s="401"/>
      <c r="BT78" s="401"/>
      <c r="BU78" s="401"/>
      <c r="BV78" s="401"/>
      <c r="BW78" s="401"/>
      <c r="BX78" s="401"/>
      <c r="BY78" s="401"/>
      <c r="BZ78" s="401"/>
      <c r="CA78" s="401"/>
      <c r="CB78" s="401"/>
      <c r="CC78" s="401"/>
      <c r="CD78" s="401"/>
      <c r="CE78" s="401"/>
      <c r="CF78" s="401"/>
      <c r="CG78" s="401"/>
      <c r="CH78" s="401"/>
      <c r="CI78" s="401"/>
      <c r="CJ78" s="401"/>
      <c r="CK78" s="401"/>
      <c r="CL78" s="401"/>
      <c r="CM78" s="401"/>
      <c r="CN78" s="401"/>
      <c r="CO78" s="401"/>
      <c r="CP78" s="401"/>
    </row>
    <row r="79" spans="1:94" ht="15" customHeight="1">
      <c r="A79" s="487"/>
      <c r="B79" s="487"/>
      <c r="C79" s="487"/>
      <c r="D79" s="487"/>
      <c r="E79" s="487"/>
      <c r="F79" s="487"/>
      <c r="G79" s="487"/>
      <c r="H79" s="487"/>
      <c r="I79" s="487"/>
      <c r="J79" s="487"/>
      <c r="K79" s="16"/>
      <c r="L79" s="487"/>
      <c r="M79" s="487"/>
      <c r="N79" s="487"/>
      <c r="O79" s="487"/>
      <c r="P79" s="487"/>
      <c r="Q79" s="487"/>
      <c r="R79" s="487"/>
      <c r="S79" s="16"/>
      <c r="T79" s="207" t="str">
        <v>36Y</v>
      </c>
      <c r="U79" s="26">
        <f t="shared" si="25"/>
        <v>1.6258278593369299E-8</v>
      </c>
      <c r="V79" s="23" t="str">
        <f>IF(LEN(Q79)&gt;0,(EurMkt!$AL75-'reference set'!$I85)*100,"")</f>
        <v/>
      </c>
      <c r="W79" s="22">
        <f t="shared" si="26"/>
        <v>0</v>
      </c>
      <c r="X79" s="207" t="e">
        <v>#N/A</v>
      </c>
      <c r="Y79" s="302" t="e">
        <f>INDEX(ReMappedSens6M,MATCH(X79,BktEur6mSens!$M$6:$M$70,0))</f>
        <v>#N/A</v>
      </c>
      <c r="Z79" s="130" t="e">
        <f>INDEX(ReMappedPL6M,MATCH(X79,BktEur6mPL!$M$6:$M$70,0))</f>
        <v>#N/A</v>
      </c>
      <c r="AA79" s="16"/>
      <c r="AB79" s="207" t="str">
        <v>40Y</v>
      </c>
      <c r="AC79" s="120">
        <f t="shared" si="27"/>
        <v>0</v>
      </c>
      <c r="AD79" s="26">
        <f t="shared" si="28"/>
        <v>0</v>
      </c>
      <c r="AE79" s="23">
        <f>IF(LEN(AB79)&gt;0,(EurMkt!$AW75-'reference set'!$U85)*100,"")</f>
        <v>1.8000000000000238</v>
      </c>
      <c r="AF79" s="22">
        <f t="shared" si="29"/>
        <v>0</v>
      </c>
      <c r="AG79" s="207" t="e">
        <v>#N/A</v>
      </c>
      <c r="AH79" s="256" t="e">
        <f>INDEX(ReMappedSens3M,MATCH(AG79,BktEur3mSens!$M$6:$M$70,0))</f>
        <v>#N/A</v>
      </c>
      <c r="AI79" s="208" t="e">
        <f>INDEX(ReMappedPL3M,MATCH(AG79,BktEur3mPL!$M$6:$M$70,0))</f>
        <v>#N/A</v>
      </c>
      <c r="AJ79" s="17"/>
      <c r="AK79" s="25" t="str">
        <v>40Y</v>
      </c>
      <c r="AL79" s="26">
        <f t="shared" si="30"/>
        <v>0</v>
      </c>
      <c r="AM79" s="23">
        <f>(+EurMkt!CF75-'reference set'!BA85)*100</f>
        <v>1.8000000000000016</v>
      </c>
      <c r="AN79" s="22">
        <f t="shared" si="31"/>
        <v>0</v>
      </c>
      <c r="AO79" s="207" t="e">
        <v>#N/A</v>
      </c>
      <c r="AP79" s="302" t="e">
        <f>INDEX(ReMappedSens1M,MATCH(AO79,BktEur1mSens!$M$6:$M$70,0))</f>
        <v>#N/A</v>
      </c>
      <c r="AQ79" s="208" t="e">
        <f>INDEX(ReMappedPL1M,MATCH(AO79,BktEur1mPL!$M$6:$M$72,0))</f>
        <v>#N/A</v>
      </c>
      <c r="AR79" s="17"/>
      <c r="AS79" s="207" t="str">
        <v>37Y</v>
      </c>
      <c r="AT79" s="26">
        <f t="shared" si="32"/>
        <v>0</v>
      </c>
      <c r="AU79" s="23">
        <f>(EurMkt!BF75-'reference set'!AC85)*100</f>
        <v>1.7072294000000099</v>
      </c>
      <c r="AV79" s="22">
        <f t="shared" si="33"/>
        <v>0</v>
      </c>
      <c r="AW79" s="207" t="e">
        <v>#N/A</v>
      </c>
      <c r="AX79" s="302" t="e">
        <f>INDEX(ReMappedSens1Y,MATCH(AW79,BktEur1ySens!$M$6:$M$70,0))</f>
        <v>#N/A</v>
      </c>
      <c r="AY79" s="208" t="e">
        <f>INDEX(ReMappedPL1Y,MATCH(AW79,BktEur1yPL!$M$6:$M$70,0))</f>
        <v>#N/A</v>
      </c>
      <c r="AZ79" s="33"/>
      <c r="BA79" s="485"/>
      <c r="BB79" s="486"/>
      <c r="BC79" s="486"/>
      <c r="BD79" s="486"/>
      <c r="BE79" s="17"/>
      <c r="BF79" s="401"/>
      <c r="BG79" s="401"/>
      <c r="BH79" s="401"/>
      <c r="BI79" s="401"/>
      <c r="BJ79" s="401"/>
      <c r="BK79" s="401"/>
      <c r="BL79" s="401"/>
      <c r="BM79" s="401"/>
      <c r="BN79" s="401"/>
      <c r="BO79" s="401"/>
      <c r="BP79" s="401"/>
      <c r="BQ79" s="401"/>
      <c r="BR79" s="401"/>
      <c r="BS79" s="401"/>
      <c r="BT79" s="401"/>
      <c r="BU79" s="401"/>
      <c r="BV79" s="401"/>
      <c r="BW79" s="401"/>
      <c r="BX79" s="401"/>
      <c r="BY79" s="401"/>
      <c r="BZ79" s="401"/>
      <c r="CA79" s="401"/>
      <c r="CB79" s="401"/>
      <c r="CC79" s="401"/>
      <c r="CD79" s="401"/>
      <c r="CE79" s="401"/>
      <c r="CF79" s="401"/>
      <c r="CG79" s="401"/>
      <c r="CH79" s="401"/>
      <c r="CI79" s="401"/>
      <c r="CJ79" s="401"/>
      <c r="CK79" s="401"/>
      <c r="CL79" s="401"/>
      <c r="CM79" s="401"/>
      <c r="CN79" s="401"/>
      <c r="CO79" s="401"/>
      <c r="CP79" s="401"/>
    </row>
    <row r="80" spans="1:94" ht="15" customHeight="1">
      <c r="A80" s="487"/>
      <c r="B80" s="487"/>
      <c r="C80" s="487"/>
      <c r="D80" s="487"/>
      <c r="E80" s="487"/>
      <c r="F80" s="487"/>
      <c r="G80" s="487"/>
      <c r="H80" s="487"/>
      <c r="I80" s="487"/>
      <c r="J80" s="487"/>
      <c r="K80" s="16"/>
      <c r="L80" s="487"/>
      <c r="M80" s="487"/>
      <c r="N80" s="487"/>
      <c r="O80" s="487"/>
      <c r="P80" s="487"/>
      <c r="Q80" s="487"/>
      <c r="R80" s="487"/>
      <c r="S80" s="16"/>
      <c r="T80" s="207" t="str">
        <v>37Y</v>
      </c>
      <c r="U80" s="26">
        <f t="shared" si="25"/>
        <v>0</v>
      </c>
      <c r="V80" s="23" t="str">
        <f>IF(LEN(Q80)&gt;0,(EurMkt!$AL76-'reference set'!$I86)*100,"")</f>
        <v/>
      </c>
      <c r="W80" s="22">
        <f t="shared" si="26"/>
        <v>0</v>
      </c>
      <c r="X80" s="207" t="e">
        <v>#N/A</v>
      </c>
      <c r="Y80" s="302" t="e">
        <f>INDEX(ReMappedSens6M,MATCH(X80,BktEur6mSens!$M$6:$M$70,0))</f>
        <v>#N/A</v>
      </c>
      <c r="Z80" s="130" t="e">
        <f>INDEX(ReMappedPL6M,MATCH(X80,BktEur6mPL!$M$6:$M$70,0))</f>
        <v>#N/A</v>
      </c>
      <c r="AA80" s="16"/>
      <c r="AB80" s="207" t="str">
        <v>50Y</v>
      </c>
      <c r="AC80" s="120">
        <f t="shared" si="27"/>
        <v>0</v>
      </c>
      <c r="AD80" s="26">
        <f t="shared" si="28"/>
        <v>0</v>
      </c>
      <c r="AE80" s="23">
        <f>IF(LEN(AB80)&gt;0,(EurMkt!$AW76-'reference set'!$U86)*100,"")</f>
        <v>1.8000000000000016</v>
      </c>
      <c r="AF80" s="22">
        <f t="shared" si="29"/>
        <v>0</v>
      </c>
      <c r="AG80" s="207" t="e">
        <v>#N/A</v>
      </c>
      <c r="AH80" s="256" t="e">
        <f>INDEX(ReMappedSens3M,MATCH(AG80,BktEur3mSens!$M$6:$M$70,0))</f>
        <v>#N/A</v>
      </c>
      <c r="AI80" s="208" t="e">
        <f>INDEX(ReMappedPL3M,MATCH(AG80,BktEur3mPL!$M$6:$M$70,0))</f>
        <v>#N/A</v>
      </c>
      <c r="AJ80" s="17"/>
      <c r="AK80" s="25" t="str">
        <v>50Y</v>
      </c>
      <c r="AL80" s="302">
        <f t="shared" ref="AL80:AL81" si="38">IF(LEN(AK80)&gt;0,VLOOKUP($AL$4&amp;AK80,Sens,$AL$3,FALSE),"")</f>
        <v>0</v>
      </c>
      <c r="AM80" s="23">
        <f>(+EurMkt!CF76-'reference set'!BA86)*100</f>
        <v>1.8000000000000016</v>
      </c>
      <c r="AN80" s="22">
        <f t="shared" ref="AN80:AN81" si="39">IFERROR(AL80*AM80,0)</f>
        <v>0</v>
      </c>
      <c r="AO80" s="207" t="e">
        <v>#N/A</v>
      </c>
      <c r="AP80" s="302" t="e">
        <f>INDEX(ReMappedSens1M,MATCH(AO80,BktEur1mSens!$M$6:$M$70,0))</f>
        <v>#N/A</v>
      </c>
      <c r="AQ80" s="208" t="e">
        <f>INDEX(ReMappedPL1M,MATCH(AO80,BktEur1mPL!$M$6:$M$72,0))</f>
        <v>#N/A</v>
      </c>
      <c r="AR80" s="17"/>
      <c r="AS80" s="207" t="str">
        <v>38Y</v>
      </c>
      <c r="AT80" s="26">
        <f t="shared" si="32"/>
        <v>0</v>
      </c>
      <c r="AU80" s="23">
        <f>(EurMkt!BF76-'reference set'!AC86)*100</f>
        <v>1.7418509000000082</v>
      </c>
      <c r="AV80" s="22">
        <f t="shared" si="33"/>
        <v>0</v>
      </c>
      <c r="AW80" s="207" t="e">
        <v>#N/A</v>
      </c>
      <c r="AX80" s="302" t="e">
        <f>INDEX(ReMappedSens1Y,MATCH(AW80,BktEur1ySens!$M$6:$M$70,0))</f>
        <v>#N/A</v>
      </c>
      <c r="AY80" s="208" t="e">
        <f>INDEX(ReMappedPL1Y,MATCH(AW80,BktEur1yPL!$M$6:$M$70,0))</f>
        <v>#N/A</v>
      </c>
      <c r="AZ80" s="33"/>
      <c r="BA80" s="487"/>
      <c r="BB80" s="487"/>
      <c r="BC80" s="487"/>
      <c r="BD80" s="487"/>
      <c r="BE80" s="17"/>
      <c r="BF80" s="401"/>
      <c r="BG80" s="401"/>
      <c r="BH80" s="401"/>
      <c r="BI80" s="401"/>
      <c r="BJ80" s="401"/>
      <c r="BK80" s="401"/>
      <c r="BL80" s="401"/>
      <c r="BM80" s="401"/>
      <c r="BN80" s="401"/>
      <c r="BO80" s="401"/>
      <c r="BP80" s="401"/>
      <c r="BQ80" s="401"/>
      <c r="BR80" s="401"/>
      <c r="BS80" s="401"/>
      <c r="BT80" s="401"/>
      <c r="BU80" s="401"/>
      <c r="BV80" s="401"/>
      <c r="BW80" s="401"/>
      <c r="BX80" s="401"/>
      <c r="BY80" s="401"/>
      <c r="BZ80" s="401"/>
      <c r="CA80" s="401"/>
      <c r="CB80" s="401"/>
      <c r="CC80" s="401"/>
      <c r="CD80" s="401"/>
      <c r="CE80" s="401"/>
      <c r="CF80" s="401"/>
      <c r="CG80" s="401"/>
      <c r="CH80" s="401"/>
      <c r="CI80" s="401"/>
      <c r="CJ80" s="401"/>
      <c r="CK80" s="401"/>
      <c r="CL80" s="401"/>
      <c r="CM80" s="401"/>
      <c r="CN80" s="401"/>
      <c r="CO80" s="401"/>
      <c r="CP80" s="401"/>
    </row>
    <row r="81" spans="1:94" ht="15" customHeight="1">
      <c r="A81" s="487"/>
      <c r="B81" s="487"/>
      <c r="C81" s="487"/>
      <c r="D81" s="487"/>
      <c r="E81" s="487"/>
      <c r="F81" s="487"/>
      <c r="G81" s="487"/>
      <c r="H81" s="487"/>
      <c r="I81" s="487"/>
      <c r="J81" s="487"/>
      <c r="K81" s="16"/>
      <c r="L81" s="487"/>
      <c r="M81" s="487"/>
      <c r="N81" s="487"/>
      <c r="O81" s="487"/>
      <c r="P81" s="487"/>
      <c r="Q81" s="487"/>
      <c r="R81" s="487"/>
      <c r="S81" s="16"/>
      <c r="T81" s="207" t="str">
        <v>38Y</v>
      </c>
      <c r="U81" s="26">
        <f t="shared" ref="U81:U82" si="40">IF(LEN(T81)&gt;0,VLOOKUP($U$4&amp;T81,Sens,$U$3,FALSE),"")</f>
        <v>0</v>
      </c>
      <c r="V81" s="23" t="str">
        <f>IF(LEN(Q81)&gt;0,(EurMkt!$AL77-'reference set'!$I87)*100,"")</f>
        <v/>
      </c>
      <c r="W81" s="22">
        <f t="shared" ref="W81:W82" si="41">IFERROR(U81*V81,0)</f>
        <v>0</v>
      </c>
      <c r="X81" s="207" t="e">
        <v>#N/A</v>
      </c>
      <c r="Y81" s="302" t="e">
        <f>INDEX(ReMappedSens6M,MATCH(X81,BktEur6mSens!$M$6:$M$70,0))</f>
        <v>#N/A</v>
      </c>
      <c r="Z81" s="130" t="e">
        <f>INDEX(ReMappedPL6M,MATCH(X81,BktEur6mPL!$M$6:$M$70,0))</f>
        <v>#N/A</v>
      </c>
      <c r="AA81" s="16"/>
      <c r="AB81" s="207" t="str">
        <v>60Y</v>
      </c>
      <c r="AC81" s="120">
        <f t="shared" ref="AC81" si="42">VLOOKUP($AD$4&amp;AB81,SensFUT,$AC$3,FALSE)</f>
        <v>0</v>
      </c>
      <c r="AD81" s="26">
        <f t="shared" ref="AD81" si="43">IF(LEN(AB81)&gt;0,VLOOKUP($AD$4&amp;AB81,Sens,$AD$3,FALSE)-AC81,"")</f>
        <v>0</v>
      </c>
      <c r="AE81" s="23">
        <f>IF(LEN(AB81)&gt;0,(EurMkt!$AW77-'reference set'!$U87)*100,"")</f>
        <v>1.8000000000000016</v>
      </c>
      <c r="AF81" s="22">
        <f t="shared" ref="AF81" si="44">IFERROR(AD81*AE81,0)</f>
        <v>0</v>
      </c>
      <c r="AG81" s="207" t="e">
        <v>#N/A</v>
      </c>
      <c r="AH81" s="256" t="e">
        <f>INDEX(ReMappedSens3M,MATCH(AG81,BktEur3mSens!$M$6:$M$70,0))</f>
        <v>#N/A</v>
      </c>
      <c r="AI81" s="208" t="e">
        <f>INDEX(ReMappedPL3M,MATCH(AG81,BktEur3mPL!$M$6:$M$70,0))</f>
        <v>#N/A</v>
      </c>
      <c r="AJ81" s="17"/>
      <c r="AK81" s="25" t="str">
        <v>60Y</v>
      </c>
      <c r="AL81" s="302">
        <f t="shared" si="38"/>
        <v>0</v>
      </c>
      <c r="AM81" s="23">
        <f>(+EurMkt!CF77-'reference set'!BA87)*100</f>
        <v>1.8000000000000127</v>
      </c>
      <c r="AN81" s="22">
        <f t="shared" si="39"/>
        <v>0</v>
      </c>
      <c r="AO81" s="207" t="e">
        <v>#N/A</v>
      </c>
      <c r="AP81" s="302" t="e">
        <f>INDEX(ReMappedSens1M,MATCH(AO81,BktEur1mSens!$M$6:$M$70,0))</f>
        <v>#N/A</v>
      </c>
      <c r="AQ81" s="208" t="e">
        <f>INDEX(ReMappedPL1M,MATCH(AO81,BktEur1mPL!$M$6:$M$72,0))</f>
        <v>#N/A</v>
      </c>
      <c r="AR81" s="17"/>
      <c r="AS81" s="207" t="str">
        <v>39Y</v>
      </c>
      <c r="AT81" s="26">
        <f t="shared" ref="AT81" si="45">IF(LEN(AS81)&gt;0,VLOOKUP($AT$4&amp;AS81,Sens,$AT$3,FALSE),"")</f>
        <v>0</v>
      </c>
      <c r="AU81" s="23">
        <f>(EurMkt!BF77-'reference set'!AC87)*100</f>
        <v>1.7727829000000028</v>
      </c>
      <c r="AV81" s="22">
        <f t="shared" ref="AV81" si="46">IFERROR(AT81*AU81,0)</f>
        <v>0</v>
      </c>
      <c r="AW81" s="207" t="e">
        <v>#N/A</v>
      </c>
      <c r="AX81" s="302" t="e">
        <f>INDEX(ReMappedSens1Y,MATCH(AW81,BktEur1ySens!$M$6:$M$70,0))</f>
        <v>#N/A</v>
      </c>
      <c r="AY81" s="208" t="e">
        <f>INDEX(ReMappedPL1Y,MATCH(AW81,BktEur1yPL!$M$6:$M$70,0))</f>
        <v>#N/A</v>
      </c>
      <c r="AZ81" s="33"/>
      <c r="BA81" s="487"/>
      <c r="BB81" s="487"/>
      <c r="BC81" s="487"/>
      <c r="BD81" s="487"/>
      <c r="BE81" s="17"/>
      <c r="BF81" s="401"/>
      <c r="BG81" s="401"/>
      <c r="BH81" s="401"/>
      <c r="BI81" s="401"/>
      <c r="BJ81" s="401"/>
      <c r="BK81" s="401"/>
      <c r="BL81" s="401"/>
      <c r="BM81" s="401"/>
      <c r="BN81" s="401"/>
      <c r="BO81" s="401"/>
      <c r="BP81" s="401"/>
      <c r="BQ81" s="401"/>
      <c r="BR81" s="401"/>
      <c r="BS81" s="401"/>
      <c r="BT81" s="401"/>
      <c r="BU81" s="401"/>
      <c r="BV81" s="401"/>
      <c r="BW81" s="401"/>
      <c r="BX81" s="401"/>
      <c r="BY81" s="401"/>
      <c r="BZ81" s="401"/>
      <c r="CA81" s="401"/>
      <c r="CB81" s="401"/>
      <c r="CC81" s="401"/>
      <c r="CD81" s="401"/>
      <c r="CE81" s="401"/>
      <c r="CF81" s="401"/>
      <c r="CG81" s="401"/>
      <c r="CH81" s="401"/>
      <c r="CI81" s="401"/>
      <c r="CJ81" s="401"/>
      <c r="CK81" s="401"/>
      <c r="CL81" s="401"/>
      <c r="CM81" s="401"/>
      <c r="CN81" s="401"/>
      <c r="CO81" s="401"/>
      <c r="CP81" s="401"/>
    </row>
    <row r="82" spans="1:94" ht="15" customHeight="1">
      <c r="A82" s="487"/>
      <c r="B82" s="487"/>
      <c r="C82" s="487"/>
      <c r="D82" s="487"/>
      <c r="E82" s="487"/>
      <c r="F82" s="487"/>
      <c r="G82" s="487"/>
      <c r="H82" s="487"/>
      <c r="I82" s="487"/>
      <c r="J82" s="487"/>
      <c r="K82" s="16"/>
      <c r="L82" s="487"/>
      <c r="M82" s="487"/>
      <c r="N82" s="487"/>
      <c r="O82" s="487"/>
      <c r="P82" s="487"/>
      <c r="Q82" s="487"/>
      <c r="R82" s="487"/>
      <c r="S82" s="16"/>
      <c r="T82" s="207" t="str">
        <v>39Y</v>
      </c>
      <c r="U82" s="302">
        <f t="shared" si="40"/>
        <v>0</v>
      </c>
      <c r="V82" s="23" t="str">
        <f>IF(LEN(Q82)&gt;0,(EurMkt!$AL78-'reference set'!$I88)*100,"")</f>
        <v/>
      </c>
      <c r="W82" s="65">
        <f t="shared" si="41"/>
        <v>0</v>
      </c>
      <c r="X82" s="207" t="e">
        <v>#N/A</v>
      </c>
      <c r="Y82" s="302" t="e">
        <f>INDEX(ReMappedSens6M,MATCH(X82,BktEur6mSens!$M$6:$M$70,0))</f>
        <v>#N/A</v>
      </c>
      <c r="Z82" s="130" t="e">
        <f>INDEX(ReMappedPL6M,MATCH(X82,BktEur6mPL!$M$6:$M$70,0))</f>
        <v>#N/A</v>
      </c>
      <c r="AA82" s="16"/>
      <c r="AB82" s="487"/>
      <c r="AC82" s="487"/>
      <c r="AD82" s="487"/>
      <c r="AE82" s="487"/>
      <c r="AF82" s="487"/>
      <c r="AG82" s="487"/>
      <c r="AH82" s="487"/>
      <c r="AI82" s="487"/>
      <c r="AJ82" s="17"/>
      <c r="AK82" s="487"/>
      <c r="AL82" s="487"/>
      <c r="AM82" s="487"/>
      <c r="AN82" s="487"/>
      <c r="AO82" s="487"/>
      <c r="AP82" s="487"/>
      <c r="AQ82" s="487"/>
      <c r="AR82" s="17"/>
      <c r="AS82" s="207" t="str">
        <v>40Y</v>
      </c>
      <c r="AT82" s="302">
        <f t="shared" ref="AT82:AT84" si="47">IF(LEN(AS82)&gt;0,VLOOKUP($AT$4&amp;AS82,Sens,$AT$3,FALSE),"")</f>
        <v>0</v>
      </c>
      <c r="AU82" s="23">
        <f>(EurMkt!BF78-'reference set'!AC88)*100</f>
        <v>1.8000000000000016</v>
      </c>
      <c r="AV82" s="22">
        <f t="shared" ref="AV82:AV84" si="48">IFERROR(AT82*AU82,0)</f>
        <v>0</v>
      </c>
      <c r="AW82" s="207" t="e">
        <v>#N/A</v>
      </c>
      <c r="AX82" s="302" t="e">
        <f>INDEX(ReMappedSens1Y,MATCH(AW82,BktEur1ySens!$M$6:$M$70,0))</f>
        <v>#N/A</v>
      </c>
      <c r="AY82" s="208" t="e">
        <f>INDEX(ReMappedPL1Y,MATCH(AW82,BktEur1yPL!$M$6:$M$70,0))</f>
        <v>#N/A</v>
      </c>
      <c r="AZ82" s="33"/>
      <c r="BA82" s="487"/>
      <c r="BB82" s="487"/>
      <c r="BC82" s="487"/>
      <c r="BD82" s="487"/>
      <c r="BE82" s="17"/>
      <c r="BF82" s="401"/>
      <c r="BG82" s="401"/>
      <c r="BH82" s="401"/>
      <c r="BI82" s="401"/>
      <c r="BJ82" s="401"/>
      <c r="BK82" s="401"/>
      <c r="BL82" s="401"/>
      <c r="BM82" s="401"/>
      <c r="BN82" s="401"/>
      <c r="BO82" s="401"/>
      <c r="BP82" s="401"/>
      <c r="BQ82" s="401"/>
      <c r="BR82" s="401"/>
      <c r="BS82" s="401"/>
      <c r="BT82" s="401"/>
      <c r="BU82" s="401"/>
      <c r="BV82" s="401"/>
      <c r="BW82" s="401"/>
      <c r="BX82" s="401"/>
      <c r="BY82" s="401"/>
      <c r="BZ82" s="401"/>
      <c r="CA82" s="401"/>
      <c r="CB82" s="401"/>
      <c r="CC82" s="401"/>
      <c r="CD82" s="401"/>
      <c r="CE82" s="401"/>
      <c r="CF82" s="401"/>
      <c r="CG82" s="401"/>
      <c r="CH82" s="401"/>
      <c r="CI82" s="401"/>
      <c r="CJ82" s="401"/>
      <c r="CK82" s="401"/>
      <c r="CL82" s="401"/>
      <c r="CM82" s="401"/>
      <c r="CN82" s="401"/>
      <c r="CO82" s="401"/>
      <c r="CP82" s="401"/>
    </row>
    <row r="83" spans="1:94" ht="15" customHeight="1">
      <c r="A83" s="487"/>
      <c r="B83" s="487"/>
      <c r="C83" s="487"/>
      <c r="D83" s="487"/>
      <c r="E83" s="487"/>
      <c r="F83" s="487"/>
      <c r="G83" s="487"/>
      <c r="H83" s="487"/>
      <c r="I83" s="487"/>
      <c r="J83" s="487"/>
      <c r="K83" s="16"/>
      <c r="L83" s="487"/>
      <c r="M83" s="487"/>
      <c r="N83" s="487"/>
      <c r="O83" s="487"/>
      <c r="P83" s="487"/>
      <c r="Q83" s="487"/>
      <c r="R83" s="487"/>
      <c r="S83" s="16"/>
      <c r="T83" s="207" t="str">
        <v>40Y</v>
      </c>
      <c r="U83" s="302">
        <f t="shared" ref="U83:U85" si="49">IF(LEN(T83)&gt;0,VLOOKUP($U$4&amp;T83,Sens,$U$3,FALSE),"")</f>
        <v>0</v>
      </c>
      <c r="V83" s="23" t="str">
        <f>IF(LEN(Q83)&gt;0,(EurMkt!$AL79-'reference set'!$I89)*100,"")</f>
        <v/>
      </c>
      <c r="W83" s="65">
        <f t="shared" ref="W83:W85" si="50">IFERROR(U83*V83,0)</f>
        <v>0</v>
      </c>
      <c r="X83" s="207" t="e">
        <v>#N/A</v>
      </c>
      <c r="Y83" s="302" t="e">
        <f>INDEX(ReMappedSens6M,MATCH(X83,BktEur6mSens!$M$6:$M$70,0))</f>
        <v>#N/A</v>
      </c>
      <c r="Z83" s="130" t="e">
        <f>INDEX(ReMappedPL6M,MATCH(X83,BktEur6mPL!$M$6:$M$70,0))</f>
        <v>#N/A</v>
      </c>
      <c r="AA83" s="16"/>
      <c r="AB83" s="487"/>
      <c r="AC83" s="487"/>
      <c r="AD83" s="487"/>
      <c r="AE83" s="487"/>
      <c r="AF83" s="487"/>
      <c r="AG83" s="487"/>
      <c r="AH83" s="487"/>
      <c r="AI83" s="487"/>
      <c r="AJ83" s="17"/>
      <c r="AK83" s="487"/>
      <c r="AL83" s="487"/>
      <c r="AM83" s="487"/>
      <c r="AN83" s="487"/>
      <c r="AO83" s="487"/>
      <c r="AP83" s="487"/>
      <c r="AQ83" s="487"/>
      <c r="AR83" s="17"/>
      <c r="AS83" s="207" t="str">
        <v>50Y</v>
      </c>
      <c r="AT83" s="302">
        <f t="shared" si="47"/>
        <v>0</v>
      </c>
      <c r="AU83" s="23">
        <f>(EurMkt!BF79-'reference set'!AC89)*100</f>
        <v>1.8000000000000016</v>
      </c>
      <c r="AV83" s="22">
        <f t="shared" si="48"/>
        <v>0</v>
      </c>
      <c r="AW83" s="207" t="e">
        <v>#N/A</v>
      </c>
      <c r="AX83" s="302" t="e">
        <f>INDEX(ReMappedSens1Y,MATCH(AW83,BktEur1ySens!$M$6:$M$70,0))</f>
        <v>#N/A</v>
      </c>
      <c r="AY83" s="208" t="e">
        <f>INDEX(ReMappedPL1Y,MATCH(AW83,BktEur1yPL!$M$6:$M$70,0))</f>
        <v>#N/A</v>
      </c>
      <c r="AZ83" s="33"/>
      <c r="BA83" s="487"/>
      <c r="BB83" s="487"/>
      <c r="BC83" s="487"/>
      <c r="BD83" s="487"/>
      <c r="BE83" s="17"/>
      <c r="BF83" s="401"/>
      <c r="BG83" s="401"/>
      <c r="BH83" s="401"/>
      <c r="BI83" s="401"/>
      <c r="BJ83" s="401"/>
      <c r="BK83" s="401"/>
      <c r="BL83" s="401"/>
      <c r="BM83" s="401"/>
      <c r="BN83" s="401"/>
      <c r="BO83" s="401"/>
      <c r="BP83" s="401"/>
      <c r="BQ83" s="401"/>
      <c r="BR83" s="401"/>
      <c r="BS83" s="401"/>
      <c r="BT83" s="401"/>
      <c r="BU83" s="401"/>
      <c r="BV83" s="401"/>
      <c r="BW83" s="401"/>
      <c r="BX83" s="401"/>
      <c r="BY83" s="401"/>
      <c r="BZ83" s="401"/>
      <c r="CA83" s="401"/>
      <c r="CB83" s="401"/>
      <c r="CC83" s="401"/>
      <c r="CD83" s="401"/>
      <c r="CE83" s="401"/>
      <c r="CF83" s="401"/>
      <c r="CG83" s="401"/>
      <c r="CH83" s="401"/>
      <c r="CI83" s="401"/>
      <c r="CJ83" s="401"/>
      <c r="CK83" s="401"/>
      <c r="CL83" s="401"/>
      <c r="CM83" s="401"/>
      <c r="CN83" s="401"/>
      <c r="CO83" s="401"/>
      <c r="CP83" s="401"/>
    </row>
    <row r="84" spans="1:94" ht="15" customHeight="1">
      <c r="A84" s="487"/>
      <c r="B84" s="487"/>
      <c r="C84" s="487"/>
      <c r="D84" s="487"/>
      <c r="E84" s="487"/>
      <c r="F84" s="487"/>
      <c r="G84" s="487"/>
      <c r="H84" s="487"/>
      <c r="I84" s="487"/>
      <c r="J84" s="487"/>
      <c r="K84" s="16"/>
      <c r="L84" s="487"/>
      <c r="M84" s="487"/>
      <c r="N84" s="487"/>
      <c r="O84" s="487"/>
      <c r="P84" s="487"/>
      <c r="Q84" s="487"/>
      <c r="R84" s="487"/>
      <c r="S84" s="16"/>
      <c r="T84" s="207" t="str">
        <v>50Y</v>
      </c>
      <c r="U84" s="302">
        <f t="shared" si="49"/>
        <v>0</v>
      </c>
      <c r="V84" s="23" t="str">
        <f>IF(LEN(Q84)&gt;0,(EurMkt!$AL80-'reference set'!$I90)*100,"")</f>
        <v/>
      </c>
      <c r="W84" s="65">
        <f t="shared" si="50"/>
        <v>0</v>
      </c>
      <c r="X84" s="207" t="e">
        <v>#N/A</v>
      </c>
      <c r="Y84" s="302" t="e">
        <f>INDEX(ReMappedSens6M,MATCH(X84,BktEur6mSens!$M$6:$M$70,0))</f>
        <v>#N/A</v>
      </c>
      <c r="Z84" s="130" t="e">
        <f>INDEX(ReMappedPL6M,MATCH(X84,BktEur6mPL!$M$6:$M$70,0))</f>
        <v>#N/A</v>
      </c>
      <c r="AA84" s="16"/>
      <c r="AB84" s="487"/>
      <c r="AC84" s="487"/>
      <c r="AD84" s="487"/>
      <c r="AE84" s="487"/>
      <c r="AF84" s="487"/>
      <c r="AG84" s="487"/>
      <c r="AH84" s="487"/>
      <c r="AI84" s="487"/>
      <c r="AJ84" s="17"/>
      <c r="AK84" s="487"/>
      <c r="AL84" s="487"/>
      <c r="AM84" s="487"/>
      <c r="AN84" s="487"/>
      <c r="AO84" s="487"/>
      <c r="AP84" s="487"/>
      <c r="AQ84" s="487"/>
      <c r="AR84" s="17"/>
      <c r="AS84" s="207" t="str">
        <v>60Y</v>
      </c>
      <c r="AT84" s="302">
        <f t="shared" si="47"/>
        <v>0</v>
      </c>
      <c r="AU84" s="23">
        <f>(EurMkt!BF80-'reference set'!AC90)*100</f>
        <v>1.8000000000000016</v>
      </c>
      <c r="AV84" s="22">
        <f t="shared" si="48"/>
        <v>0</v>
      </c>
      <c r="AW84" s="207" t="e">
        <v>#N/A</v>
      </c>
      <c r="AX84" s="302" t="e">
        <f>INDEX(ReMappedSens1Y,MATCH(AW84,BktEur1ySens!$M$6:$M$70,0))</f>
        <v>#N/A</v>
      </c>
      <c r="AY84" s="208" t="e">
        <f>INDEX(ReMappedPL1Y,MATCH(AW84,BktEur1yPL!$M$6:$M$70,0))</f>
        <v>#N/A</v>
      </c>
      <c r="AZ84" s="33"/>
      <c r="BA84" s="487"/>
      <c r="BB84" s="487"/>
      <c r="BC84" s="487"/>
      <c r="BD84" s="487"/>
      <c r="BE84" s="17"/>
      <c r="BF84" s="401"/>
      <c r="BG84" s="401"/>
      <c r="BH84" s="401"/>
      <c r="BI84" s="401"/>
      <c r="BJ84" s="401"/>
      <c r="BK84" s="401"/>
      <c r="BL84" s="401"/>
      <c r="BM84" s="401"/>
      <c r="BN84" s="401"/>
      <c r="BO84" s="401"/>
      <c r="BP84" s="401"/>
      <c r="BQ84" s="401"/>
      <c r="BR84" s="401"/>
      <c r="BS84" s="401"/>
      <c r="BT84" s="401"/>
      <c r="BU84" s="401"/>
      <c r="BV84" s="401"/>
      <c r="BW84" s="401"/>
      <c r="BX84" s="401"/>
      <c r="BY84" s="401"/>
      <c r="BZ84" s="401"/>
      <c r="CA84" s="401"/>
      <c r="CB84" s="401"/>
      <c r="CC84" s="401"/>
      <c r="CD84" s="401"/>
      <c r="CE84" s="401"/>
      <c r="CF84" s="401"/>
      <c r="CG84" s="401"/>
      <c r="CH84" s="401"/>
      <c r="CI84" s="401"/>
      <c r="CJ84" s="401"/>
      <c r="CK84" s="401"/>
      <c r="CL84" s="401"/>
      <c r="CM84" s="401"/>
      <c r="CN84" s="401"/>
      <c r="CO84" s="401"/>
      <c r="CP84" s="401"/>
    </row>
    <row r="85" spans="1:94" ht="15" customHeight="1">
      <c r="A85" s="487"/>
      <c r="B85" s="487"/>
      <c r="C85" s="487"/>
      <c r="D85" s="487"/>
      <c r="E85" s="487"/>
      <c r="F85" s="487"/>
      <c r="G85" s="487"/>
      <c r="H85" s="487"/>
      <c r="I85" s="487"/>
      <c r="J85" s="487"/>
      <c r="K85" s="16"/>
      <c r="L85" s="487"/>
      <c r="M85" s="487"/>
      <c r="N85" s="487"/>
      <c r="O85" s="487"/>
      <c r="P85" s="487"/>
      <c r="Q85" s="487"/>
      <c r="R85" s="487"/>
      <c r="S85" s="16"/>
      <c r="T85" s="207" t="str">
        <v>60Y</v>
      </c>
      <c r="U85" s="302">
        <f t="shared" si="49"/>
        <v>0</v>
      </c>
      <c r="V85" s="23" t="str">
        <f>IF(LEN(Q85)&gt;0,(EurMkt!$AL81-'reference set'!$I91)*100,"")</f>
        <v/>
      </c>
      <c r="W85" s="65">
        <f t="shared" si="50"/>
        <v>0</v>
      </c>
      <c r="X85" s="207" t="e">
        <v>#N/A</v>
      </c>
      <c r="Y85" s="302" t="e">
        <f>INDEX(ReMappedSens6M,MATCH(X85,BktEur6mSens!$M$6:$M$70,0))</f>
        <v>#N/A</v>
      </c>
      <c r="Z85" s="130" t="e">
        <f>INDEX(ReMappedPL6M,MATCH(X85,BktEur6mPL!$M$6:$M$70,0))</f>
        <v>#N/A</v>
      </c>
      <c r="AA85" s="16"/>
      <c r="AB85" s="487"/>
      <c r="AC85" s="487"/>
      <c r="AD85" s="487"/>
      <c r="AE85" s="487"/>
      <c r="AF85" s="487"/>
      <c r="AG85" s="487"/>
      <c r="AH85" s="487"/>
      <c r="AI85" s="487"/>
      <c r="AJ85" s="17"/>
      <c r="AK85" s="487"/>
      <c r="AL85" s="487"/>
      <c r="AM85" s="487"/>
      <c r="AN85" s="487"/>
      <c r="AO85" s="487"/>
      <c r="AP85" s="487"/>
      <c r="AQ85" s="487"/>
      <c r="AR85" s="17"/>
      <c r="AS85" s="487"/>
      <c r="AT85" s="487"/>
      <c r="AU85" s="487"/>
      <c r="AV85" s="487"/>
      <c r="AW85" s="487"/>
      <c r="AX85" s="487"/>
      <c r="AY85" s="487"/>
      <c r="AZ85" s="33"/>
      <c r="BA85" s="487"/>
      <c r="BB85" s="487"/>
      <c r="BC85" s="487"/>
      <c r="BD85" s="487"/>
      <c r="BE85" s="17"/>
      <c r="BF85" s="401"/>
      <c r="BG85" s="401"/>
      <c r="BH85" s="401"/>
      <c r="BI85" s="401"/>
      <c r="BJ85" s="401"/>
      <c r="BK85" s="401"/>
      <c r="BL85" s="401"/>
      <c r="BM85" s="401"/>
      <c r="BN85" s="401"/>
      <c r="BO85" s="401"/>
      <c r="BP85" s="401"/>
      <c r="BQ85" s="401"/>
      <c r="BR85" s="401"/>
      <c r="BS85" s="401"/>
      <c r="BT85" s="401"/>
      <c r="BU85" s="401"/>
      <c r="BV85" s="401"/>
      <c r="BW85" s="401"/>
      <c r="BX85" s="401"/>
      <c r="BY85" s="401"/>
      <c r="BZ85" s="401"/>
      <c r="CA85" s="401"/>
      <c r="CB85" s="401"/>
      <c r="CC85" s="401"/>
      <c r="CD85" s="401"/>
      <c r="CE85" s="401"/>
      <c r="CF85" s="401"/>
      <c r="CG85" s="401"/>
      <c r="CH85" s="401"/>
      <c r="CI85" s="401"/>
      <c r="CJ85" s="401"/>
      <c r="CK85" s="401"/>
      <c r="CL85" s="401"/>
      <c r="CM85" s="401"/>
      <c r="CN85" s="401"/>
      <c r="CO85" s="401"/>
      <c r="CP85" s="401"/>
    </row>
    <row r="86" spans="1:94" ht="15" customHeight="1">
      <c r="A86" s="401"/>
      <c r="B86" s="401"/>
      <c r="C86" s="401"/>
      <c r="D86" s="401"/>
      <c r="E86" s="401"/>
      <c r="F86" s="401"/>
      <c r="G86" s="401"/>
      <c r="H86" s="401"/>
      <c r="I86" s="401"/>
      <c r="J86" s="401"/>
      <c r="K86" s="401"/>
      <c r="L86" s="401"/>
      <c r="O86" s="401"/>
      <c r="P86" s="401"/>
      <c r="Q86" s="401"/>
      <c r="R86" s="401"/>
      <c r="S86" s="401"/>
      <c r="T86" s="401"/>
      <c r="U86" s="401"/>
      <c r="V86" s="401"/>
      <c r="W86" s="401"/>
      <c r="AA86" s="401"/>
      <c r="AB86" s="401"/>
      <c r="AC86" s="401"/>
      <c r="AD86" s="401"/>
      <c r="AE86" s="401"/>
      <c r="AF86" s="401"/>
      <c r="AJ86" s="401"/>
      <c r="AK86" s="401"/>
      <c r="AL86" s="401"/>
      <c r="AM86" s="401"/>
      <c r="AN86" s="401"/>
      <c r="AO86" s="401"/>
      <c r="AP86" s="401"/>
      <c r="AQ86" s="401"/>
      <c r="AR86" s="401"/>
      <c r="AS86" s="401"/>
      <c r="AT86" s="401"/>
      <c r="AU86" s="401"/>
      <c r="AV86" s="401"/>
      <c r="AZ86" s="401"/>
      <c r="BA86" s="401"/>
      <c r="BB86" s="401"/>
      <c r="BC86" s="401"/>
      <c r="BD86" s="401"/>
      <c r="BE86" s="401"/>
      <c r="BF86" s="401"/>
      <c r="BG86" s="401"/>
      <c r="BH86" s="401"/>
      <c r="BI86" s="401"/>
      <c r="BJ86" s="401"/>
      <c r="BK86" s="401"/>
      <c r="BL86" s="401"/>
      <c r="BM86" s="401"/>
      <c r="BN86" s="401"/>
      <c r="BO86" s="401"/>
      <c r="BP86" s="401"/>
      <c r="BQ86" s="401"/>
      <c r="BR86" s="401"/>
      <c r="BS86" s="401"/>
      <c r="BT86" s="401"/>
      <c r="BU86" s="401"/>
      <c r="BV86" s="401"/>
      <c r="BW86" s="401"/>
      <c r="BX86" s="401"/>
      <c r="BY86" s="401"/>
      <c r="BZ86" s="401"/>
      <c r="CA86" s="401"/>
      <c r="CB86" s="401"/>
      <c r="CC86" s="401"/>
      <c r="CD86" s="401"/>
      <c r="CE86" s="401"/>
      <c r="CF86" s="401"/>
      <c r="CG86" s="401"/>
      <c r="CH86" s="401"/>
      <c r="CI86" s="401"/>
      <c r="CJ86" s="401"/>
      <c r="CK86" s="401"/>
      <c r="CL86" s="401"/>
      <c r="CM86" s="401"/>
      <c r="CN86" s="401"/>
      <c r="CO86" s="401"/>
      <c r="CP86" s="401"/>
    </row>
    <row r="87" spans="1:94" ht="15" customHeight="1">
      <c r="A87" s="401"/>
      <c r="B87" s="401"/>
      <c r="C87" s="401"/>
      <c r="D87" s="401"/>
      <c r="E87" s="401"/>
      <c r="F87" s="401"/>
      <c r="G87" s="401"/>
      <c r="H87" s="401"/>
      <c r="I87" s="401"/>
      <c r="J87" s="401"/>
      <c r="K87" s="401"/>
      <c r="L87" s="401"/>
      <c r="O87" s="401"/>
      <c r="P87" s="401"/>
      <c r="Q87" s="401"/>
      <c r="R87" s="401"/>
      <c r="S87" s="401"/>
      <c r="T87" s="401"/>
      <c r="U87" s="401"/>
      <c r="V87" s="401"/>
      <c r="W87" s="401"/>
      <c r="AA87" s="401"/>
      <c r="AB87" s="401"/>
      <c r="AC87" s="401"/>
      <c r="AD87" s="401"/>
      <c r="AE87" s="401"/>
      <c r="AF87" s="401"/>
      <c r="AJ87" s="401"/>
      <c r="AK87" s="401"/>
      <c r="AL87" s="401"/>
      <c r="AM87" s="401"/>
      <c r="AN87" s="401"/>
      <c r="AO87" s="401"/>
      <c r="AP87" s="401"/>
      <c r="AQ87" s="401"/>
      <c r="AR87" s="401"/>
      <c r="AS87" s="401"/>
      <c r="AT87" s="401"/>
      <c r="AU87" s="401"/>
      <c r="AV87" s="401"/>
      <c r="AZ87" s="401"/>
      <c r="BA87" s="401"/>
      <c r="BB87" s="401"/>
      <c r="BC87" s="401"/>
      <c r="BD87" s="401"/>
      <c r="BE87" s="401"/>
      <c r="BF87" s="401"/>
      <c r="BG87" s="401"/>
      <c r="BH87" s="401"/>
      <c r="BI87" s="401"/>
      <c r="BJ87" s="401"/>
      <c r="BK87" s="401"/>
      <c r="BL87" s="401"/>
      <c r="BM87" s="401"/>
      <c r="BN87" s="401"/>
      <c r="BO87" s="401"/>
      <c r="BP87" s="401"/>
      <c r="BQ87" s="401"/>
      <c r="BR87" s="401"/>
      <c r="BS87" s="401"/>
      <c r="BT87" s="401"/>
      <c r="BU87" s="401"/>
      <c r="BV87" s="401"/>
      <c r="BW87" s="401"/>
      <c r="BX87" s="401"/>
      <c r="BY87" s="401"/>
      <c r="BZ87" s="401"/>
      <c r="CA87" s="401"/>
      <c r="CB87" s="401"/>
      <c r="CC87" s="401"/>
      <c r="CD87" s="401"/>
      <c r="CE87" s="401"/>
      <c r="CF87" s="401"/>
      <c r="CG87" s="401"/>
      <c r="CH87" s="401"/>
      <c r="CI87" s="401"/>
      <c r="CJ87" s="401"/>
      <c r="CK87" s="401"/>
      <c r="CL87" s="401"/>
      <c r="CM87" s="401"/>
      <c r="CN87" s="401"/>
      <c r="CO87" s="401"/>
      <c r="CP87" s="401"/>
    </row>
    <row r="88" spans="1:94" ht="15" customHeight="1">
      <c r="A88" s="401"/>
      <c r="B88" s="401"/>
      <c r="C88" s="401"/>
      <c r="D88" s="401"/>
      <c r="E88" s="401"/>
      <c r="F88" s="401"/>
      <c r="G88" s="401"/>
      <c r="H88" s="401"/>
      <c r="I88" s="401"/>
      <c r="J88" s="401"/>
      <c r="K88" s="401"/>
      <c r="L88" s="401"/>
      <c r="O88" s="401"/>
      <c r="P88" s="401"/>
      <c r="Q88" s="401"/>
      <c r="R88" s="401"/>
      <c r="S88" s="401"/>
      <c r="T88" s="401"/>
      <c r="U88" s="401"/>
      <c r="V88" s="401"/>
      <c r="W88" s="401"/>
      <c r="AA88" s="401"/>
      <c r="AB88" s="401"/>
      <c r="AC88" s="401"/>
      <c r="AD88" s="401"/>
      <c r="AE88" s="401"/>
      <c r="AF88" s="401"/>
      <c r="AJ88" s="401"/>
      <c r="AK88" s="401"/>
      <c r="AL88" s="401"/>
      <c r="AM88" s="401"/>
      <c r="AN88" s="401"/>
      <c r="AO88" s="401"/>
      <c r="AP88" s="401"/>
      <c r="AQ88" s="401"/>
      <c r="AR88" s="401"/>
      <c r="AS88" s="401"/>
      <c r="AT88" s="401"/>
      <c r="AU88" s="401"/>
      <c r="AV88" s="401"/>
      <c r="AZ88" s="401"/>
      <c r="BA88" s="401"/>
      <c r="BB88" s="401"/>
      <c r="BC88" s="401"/>
      <c r="BD88" s="401"/>
      <c r="BE88" s="401"/>
      <c r="BF88" s="401"/>
      <c r="BG88" s="401"/>
      <c r="BH88" s="401"/>
      <c r="BI88" s="401"/>
      <c r="BJ88" s="401"/>
      <c r="BK88" s="401"/>
      <c r="BL88" s="401"/>
      <c r="BM88" s="401"/>
      <c r="BN88" s="401"/>
      <c r="BO88" s="401"/>
      <c r="BP88" s="401"/>
      <c r="BQ88" s="401"/>
      <c r="BR88" s="401"/>
      <c r="BS88" s="401"/>
      <c r="BT88" s="401"/>
      <c r="BU88" s="401"/>
      <c r="BV88" s="401"/>
      <c r="BW88" s="401"/>
      <c r="BX88" s="401"/>
      <c r="BY88" s="401"/>
      <c r="BZ88" s="401"/>
      <c r="CA88" s="401"/>
      <c r="CB88" s="401"/>
      <c r="CC88" s="401"/>
      <c r="CD88" s="401"/>
      <c r="CE88" s="401"/>
      <c r="CF88" s="401"/>
      <c r="CG88" s="401"/>
      <c r="CH88" s="401"/>
      <c r="CI88" s="401"/>
      <c r="CJ88" s="401"/>
      <c r="CK88" s="401"/>
      <c r="CL88" s="401"/>
      <c r="CM88" s="401"/>
      <c r="CN88" s="401"/>
      <c r="CO88" s="401"/>
      <c r="CP88" s="401"/>
    </row>
    <row r="89" spans="1:94" ht="15" customHeight="1">
      <c r="A89" s="335"/>
      <c r="B89" s="335"/>
      <c r="C89" s="335"/>
      <c r="D89" s="335"/>
      <c r="E89" s="335"/>
      <c r="J89" s="335"/>
      <c r="K89" s="335"/>
      <c r="L89" s="335"/>
      <c r="M89" s="335"/>
      <c r="N89" s="335"/>
      <c r="O89" s="335"/>
      <c r="P89" s="335"/>
      <c r="Q89" s="335"/>
      <c r="R89" s="335"/>
      <c r="S89" s="335"/>
      <c r="T89" s="335"/>
      <c r="U89" s="335"/>
      <c r="V89" s="335"/>
      <c r="W89" s="335"/>
      <c r="X89" s="335"/>
      <c r="Y89" s="335"/>
      <c r="Z89" s="335"/>
      <c r="AA89" s="335"/>
      <c r="AB89" s="335"/>
      <c r="AC89" s="335"/>
      <c r="AD89" s="335"/>
      <c r="AE89" s="335"/>
      <c r="AF89" s="335"/>
      <c r="AG89" s="335"/>
      <c r="AH89" s="335"/>
      <c r="AI89" s="335"/>
      <c r="AJ89" s="335"/>
      <c r="AK89" s="335"/>
      <c r="AL89" s="335"/>
      <c r="AM89" s="335"/>
      <c r="AN89" s="335"/>
      <c r="AO89" s="335"/>
      <c r="AP89" s="335"/>
      <c r="AQ89" s="335"/>
      <c r="AR89" s="335"/>
      <c r="AS89" s="335"/>
      <c r="AT89" s="335"/>
      <c r="AU89" s="335"/>
      <c r="AV89" s="335"/>
      <c r="AW89" s="335"/>
      <c r="AX89" s="335"/>
      <c r="AY89" s="335"/>
      <c r="AZ89" s="335"/>
      <c r="BA89" s="335"/>
      <c r="BB89" s="335"/>
      <c r="BC89" s="335"/>
      <c r="BD89" s="335"/>
      <c r="BE89" s="335"/>
      <c r="BF89" s="335"/>
      <c r="BG89" s="335"/>
      <c r="BH89" s="335"/>
      <c r="BI89" s="335"/>
      <c r="BJ89" s="335"/>
      <c r="BK89" s="335"/>
      <c r="BL89" s="335"/>
      <c r="BM89" s="335"/>
      <c r="BN89" s="335"/>
      <c r="BO89" s="335"/>
      <c r="BP89" s="335"/>
      <c r="BQ89" s="335"/>
      <c r="BR89" s="335"/>
      <c r="BS89" s="335"/>
      <c r="BT89" s="335"/>
      <c r="BU89" s="335"/>
      <c r="BV89" s="335"/>
      <c r="BW89" s="335"/>
      <c r="BX89" s="335"/>
      <c r="BY89" s="335"/>
      <c r="BZ89" s="335"/>
      <c r="CA89" s="335"/>
      <c r="CB89" s="335"/>
      <c r="CC89" s="335"/>
      <c r="CD89" s="335"/>
      <c r="CE89" s="335"/>
      <c r="CF89" s="335"/>
      <c r="CG89" s="335"/>
      <c r="CH89" s="335"/>
      <c r="CI89" s="335"/>
      <c r="CJ89" s="335"/>
      <c r="CK89" s="335"/>
      <c r="CL89" s="335"/>
      <c r="CM89" s="335"/>
      <c r="CN89" s="335"/>
      <c r="CO89" s="335"/>
      <c r="CP89" s="335"/>
    </row>
    <row r="90" spans="1:94" ht="15" customHeight="1">
      <c r="A90" s="335"/>
      <c r="B90" s="335"/>
      <c r="C90" s="335"/>
      <c r="D90" s="335"/>
      <c r="E90" s="335"/>
      <c r="J90" s="335"/>
      <c r="K90" s="335"/>
      <c r="L90" s="335"/>
      <c r="M90" s="335"/>
      <c r="N90" s="335"/>
      <c r="O90" s="335"/>
      <c r="P90" s="335"/>
      <c r="Q90" s="335"/>
      <c r="R90" s="335"/>
      <c r="S90" s="335"/>
      <c r="T90" s="335"/>
      <c r="U90" s="335"/>
      <c r="V90" s="335"/>
      <c r="W90" s="335"/>
      <c r="X90" s="335"/>
      <c r="Y90" s="335"/>
      <c r="Z90" s="335"/>
      <c r="AA90" s="335"/>
      <c r="AB90" s="335"/>
      <c r="AC90" s="335"/>
      <c r="AD90" s="335"/>
      <c r="AE90" s="335"/>
      <c r="AF90" s="335"/>
      <c r="AG90" s="335"/>
      <c r="AH90" s="335"/>
      <c r="AI90" s="335"/>
      <c r="AJ90" s="335"/>
      <c r="AK90" s="335"/>
      <c r="AL90" s="335"/>
      <c r="AM90" s="335"/>
      <c r="AN90" s="335"/>
      <c r="AO90" s="335"/>
      <c r="AP90" s="335"/>
      <c r="AQ90" s="335"/>
      <c r="AR90" s="335"/>
      <c r="AS90" s="335"/>
      <c r="AT90" s="335"/>
      <c r="AU90" s="335"/>
      <c r="AV90" s="335"/>
      <c r="AW90" s="335"/>
      <c r="AX90" s="335"/>
      <c r="AY90" s="335"/>
      <c r="AZ90" s="335"/>
      <c r="BA90" s="335"/>
      <c r="BB90" s="335"/>
      <c r="BC90" s="335"/>
      <c r="BD90" s="335"/>
      <c r="BE90" s="335"/>
      <c r="BF90" s="335"/>
      <c r="BG90" s="335"/>
      <c r="BH90" s="335"/>
      <c r="BI90" s="335"/>
      <c r="BJ90" s="335"/>
      <c r="BK90" s="335"/>
      <c r="BL90" s="335"/>
      <c r="BM90" s="335"/>
      <c r="BN90" s="335"/>
      <c r="BO90" s="335"/>
      <c r="BP90" s="335"/>
      <c r="BQ90" s="335"/>
      <c r="BR90" s="335"/>
      <c r="BS90" s="335"/>
      <c r="BT90" s="335"/>
      <c r="BU90" s="335"/>
      <c r="BV90" s="335"/>
      <c r="BW90" s="335"/>
      <c r="BX90" s="335"/>
      <c r="BY90" s="335"/>
      <c r="BZ90" s="335"/>
      <c r="CA90" s="335"/>
      <c r="CB90" s="335"/>
      <c r="CC90" s="335"/>
      <c r="CD90" s="335"/>
      <c r="CE90" s="335"/>
      <c r="CF90" s="335"/>
      <c r="CG90" s="335"/>
      <c r="CH90" s="335"/>
      <c r="CI90" s="335"/>
      <c r="CJ90" s="335"/>
      <c r="CK90" s="335"/>
      <c r="CL90" s="335"/>
      <c r="CM90" s="335"/>
      <c r="CN90" s="335"/>
      <c r="CO90" s="335"/>
      <c r="CP90" s="335"/>
    </row>
    <row r="91" spans="1:94" ht="15" customHeight="1">
      <c r="A91" s="335"/>
      <c r="B91" s="335"/>
      <c r="C91" s="335"/>
      <c r="D91" s="335"/>
      <c r="E91" s="335"/>
      <c r="F91" s="335"/>
      <c r="G91" s="335"/>
      <c r="H91" s="335"/>
      <c r="I91" s="335"/>
      <c r="J91" s="335"/>
      <c r="K91" s="335"/>
      <c r="L91" s="335"/>
      <c r="M91" s="335"/>
      <c r="N91" s="335"/>
      <c r="O91" s="335"/>
      <c r="P91" s="335"/>
      <c r="Q91" s="556">
        <f>SUM(R93:R113)+PL_BOBL+PL_BUND</f>
        <v>1364.9999999927331</v>
      </c>
      <c r="R91" s="557"/>
      <c r="S91" s="335"/>
      <c r="T91" s="335"/>
      <c r="U91" s="335"/>
      <c r="V91" s="335"/>
      <c r="W91" s="335"/>
      <c r="X91" s="335"/>
      <c r="Y91" s="335"/>
      <c r="Z91" s="335"/>
      <c r="AA91" s="335"/>
      <c r="AB91" s="335"/>
      <c r="AC91" s="335"/>
      <c r="AD91" s="335"/>
      <c r="AE91" s="335"/>
      <c r="AF91" s="335"/>
      <c r="AG91" s="335"/>
      <c r="AH91" s="335"/>
      <c r="AI91" s="335"/>
      <c r="AJ91" s="335"/>
      <c r="AK91" s="335"/>
      <c r="AL91" s="335"/>
      <c r="AM91" s="335"/>
      <c r="AN91" s="335"/>
      <c r="AO91" s="335"/>
      <c r="AP91" s="335"/>
      <c r="AQ91" s="335"/>
      <c r="AR91" s="335"/>
      <c r="AS91" s="335"/>
      <c r="AT91" s="335"/>
      <c r="AU91" s="335"/>
      <c r="AV91" s="335"/>
      <c r="AW91" s="335"/>
      <c r="AX91" s="335"/>
      <c r="AY91" s="335"/>
      <c r="AZ91" s="335"/>
      <c r="BA91" s="335"/>
      <c r="BB91" s="335"/>
      <c r="BC91" s="335"/>
      <c r="BD91" s="335"/>
      <c r="BE91" s="335"/>
      <c r="BF91" s="335"/>
      <c r="BG91" s="335"/>
      <c r="BH91" s="335"/>
      <c r="BI91" s="335"/>
      <c r="BJ91" s="335"/>
      <c r="BK91" s="335"/>
      <c r="BL91" s="335"/>
      <c r="BM91" s="335"/>
      <c r="BN91" s="335"/>
      <c r="BO91" s="335"/>
      <c r="BP91" s="335"/>
      <c r="BQ91" s="335"/>
      <c r="BR91" s="335"/>
      <c r="BS91" s="335"/>
      <c r="BT91" s="335"/>
      <c r="BU91" s="335"/>
      <c r="BV91" s="335"/>
      <c r="BW91" s="335"/>
      <c r="BX91" s="335"/>
      <c r="BY91" s="335"/>
      <c r="BZ91" s="335"/>
      <c r="CA91" s="335"/>
      <c r="CB91" s="335"/>
      <c r="CC91" s="335"/>
      <c r="CD91" s="335"/>
      <c r="CE91" s="335"/>
      <c r="CF91" s="335"/>
      <c r="CG91" s="335"/>
      <c r="CH91" s="335"/>
      <c r="CI91" s="335"/>
      <c r="CJ91" s="335"/>
      <c r="CK91" s="335"/>
      <c r="CL91" s="335"/>
      <c r="CM91" s="335"/>
      <c r="CN91" s="335"/>
      <c r="CO91" s="335"/>
      <c r="CP91" s="335"/>
    </row>
    <row r="92" spans="1:94" ht="15" customHeight="1">
      <c r="A92" s="335"/>
      <c r="B92" s="335"/>
      <c r="C92" s="335"/>
      <c r="D92" s="335"/>
      <c r="E92" s="310" t="s">
        <v>93</v>
      </c>
      <c r="F92" s="310"/>
      <c r="G92" s="310"/>
      <c r="H92" s="310"/>
      <c r="I92" s="310"/>
      <c r="J92" s="254" t="s">
        <v>617</v>
      </c>
      <c r="K92" s="310"/>
      <c r="L92" s="255" t="s">
        <v>161</v>
      </c>
      <c r="M92" s="311"/>
      <c r="N92" s="311"/>
      <c r="O92" s="311"/>
      <c r="P92" s="255" t="s">
        <v>555</v>
      </c>
      <c r="Q92" s="14" t="s">
        <v>84</v>
      </c>
      <c r="R92" s="14" t="s">
        <v>85</v>
      </c>
      <c r="S92" s="335"/>
      <c r="T92" s="367" t="s">
        <v>5179</v>
      </c>
      <c r="U92" s="367" t="s">
        <v>5180</v>
      </c>
      <c r="V92" s="14" t="s">
        <v>506</v>
      </c>
      <c r="W92" s="335"/>
      <c r="X92" s="335"/>
      <c r="Y92" s="335"/>
      <c r="Z92" s="335"/>
      <c r="AA92" s="335"/>
      <c r="AB92" s="335"/>
      <c r="AC92" s="335"/>
      <c r="AD92" s="335"/>
      <c r="AE92" s="335"/>
      <c r="AF92" s="335"/>
      <c r="AG92" s="335"/>
      <c r="AH92" s="335"/>
      <c r="AI92" s="335"/>
      <c r="AJ92" s="335"/>
      <c r="AK92" s="335"/>
      <c r="AL92" s="335"/>
      <c r="AM92" s="335"/>
      <c r="AN92" s="335"/>
      <c r="AO92" s="335"/>
      <c r="AP92" s="335"/>
      <c r="AQ92" s="335"/>
      <c r="AR92" s="335"/>
      <c r="AS92" s="335"/>
      <c r="AT92" s="335"/>
      <c r="AU92" s="335"/>
      <c r="AV92" s="335"/>
      <c r="AW92" s="335"/>
      <c r="AX92" s="335"/>
      <c r="AY92" s="335"/>
      <c r="AZ92" s="335"/>
      <c r="BA92" s="335"/>
      <c r="BB92" s="335"/>
      <c r="BC92" s="335"/>
      <c r="BD92" s="335"/>
      <c r="BE92" s="335"/>
      <c r="BF92" s="335"/>
      <c r="BG92" s="335"/>
      <c r="BH92" s="335"/>
      <c r="BI92" s="335"/>
      <c r="BJ92" s="335"/>
      <c r="BK92" s="335"/>
      <c r="BL92" s="335"/>
      <c r="BM92" s="335"/>
      <c r="BN92" s="335"/>
      <c r="BO92" s="335"/>
      <c r="BP92" s="335"/>
      <c r="BQ92" s="335"/>
      <c r="BR92" s="335"/>
      <c r="BS92" s="335"/>
      <c r="BT92" s="335"/>
      <c r="BU92" s="335"/>
      <c r="BV92" s="335"/>
      <c r="BW92" s="335"/>
      <c r="BX92" s="335"/>
      <c r="BY92" s="335"/>
      <c r="BZ92" s="335"/>
      <c r="CA92" s="335"/>
      <c r="CB92" s="335"/>
      <c r="CC92" s="335"/>
      <c r="CD92" s="335"/>
      <c r="CE92" s="335"/>
      <c r="CF92" s="335"/>
      <c r="CG92" s="335"/>
      <c r="CH92" s="335"/>
      <c r="CI92" s="335"/>
      <c r="CJ92" s="335"/>
      <c r="CK92" s="335"/>
      <c r="CL92" s="335"/>
      <c r="CM92" s="335"/>
      <c r="CN92" s="335"/>
      <c r="CO92" s="335"/>
      <c r="CP92" s="335"/>
    </row>
    <row r="93" spans="1:94" ht="15" customHeight="1">
      <c r="A93" s="335"/>
      <c r="B93" s="335"/>
      <c r="C93" s="335"/>
      <c r="D93" s="335"/>
      <c r="E93" s="58" t="str">
        <f>$G$2</f>
        <v>LIF EURIBOR 3M</v>
      </c>
      <c r="F93" s="309"/>
      <c r="G93" s="297"/>
      <c r="H93" s="297"/>
      <c r="I93" s="297"/>
      <c r="J93" s="26"/>
      <c r="K93" s="302"/>
      <c r="L93" s="26"/>
      <c r="M93" s="56"/>
      <c r="N93" s="56"/>
      <c r="P93" s="26"/>
      <c r="Q93" s="23"/>
      <c r="R93" s="22"/>
      <c r="S93" s="335"/>
      <c r="U93" s="401"/>
      <c r="V93" s="401"/>
      <c r="W93" s="335"/>
      <c r="X93" s="335"/>
      <c r="Y93" s="335"/>
      <c r="Z93" s="335"/>
      <c r="AA93" s="335"/>
      <c r="AB93" s="335"/>
      <c r="AC93" s="335"/>
      <c r="AD93" s="335"/>
      <c r="AE93" s="335"/>
      <c r="AF93" s="335"/>
      <c r="AG93" s="335"/>
      <c r="AH93" s="335"/>
      <c r="AI93" s="335"/>
      <c r="AJ93" s="335"/>
      <c r="AK93" s="335"/>
      <c r="AL93" s="335"/>
      <c r="AM93" s="335"/>
      <c r="AN93" s="335"/>
      <c r="AO93" s="335"/>
      <c r="AP93" s="335"/>
      <c r="AQ93" s="335"/>
      <c r="AR93" s="335"/>
      <c r="AS93" s="335"/>
      <c r="AT93" s="335"/>
      <c r="AU93" s="335"/>
      <c r="AV93" s="335"/>
      <c r="AW93" s="335"/>
      <c r="AX93" s="335"/>
      <c r="AY93" s="335"/>
      <c r="AZ93" s="335"/>
      <c r="BA93" s="335"/>
      <c r="BB93" s="335"/>
      <c r="BC93" s="335"/>
      <c r="BD93" s="335"/>
      <c r="BE93" s="335"/>
      <c r="BF93" s="335"/>
      <c r="BG93" s="335"/>
      <c r="BH93" s="335"/>
      <c r="BI93" s="335"/>
      <c r="BJ93" s="335"/>
      <c r="BK93" s="335"/>
      <c r="BL93" s="335"/>
      <c r="BM93" s="335"/>
      <c r="BN93" s="335"/>
      <c r="BO93" s="335"/>
      <c r="BP93" s="335"/>
      <c r="BQ93" s="335"/>
      <c r="BR93" s="335"/>
      <c r="BS93" s="335"/>
      <c r="BT93" s="335"/>
      <c r="BU93" s="335"/>
      <c r="BV93" s="335"/>
      <c r="BW93" s="335"/>
      <c r="BX93" s="335"/>
      <c r="BY93" s="335"/>
      <c r="BZ93" s="335"/>
      <c r="CA93" s="335"/>
      <c r="CB93" s="335"/>
      <c r="CC93" s="335"/>
      <c r="CD93" s="335"/>
      <c r="CE93" s="335"/>
      <c r="CF93" s="335"/>
      <c r="CG93" s="335"/>
      <c r="CH93" s="335"/>
      <c r="CI93" s="335"/>
      <c r="CJ93" s="335"/>
      <c r="CK93" s="335"/>
      <c r="CL93" s="335"/>
      <c r="CM93" s="335"/>
      <c r="CN93" s="335"/>
      <c r="CO93" s="335"/>
      <c r="CP93" s="335"/>
    </row>
    <row r="94" spans="1:94" ht="15" customHeight="1">
      <c r="A94" s="335"/>
      <c r="B94" s="335"/>
      <c r="C94" s="335"/>
      <c r="D94" s="335"/>
      <c r="E94" s="209">
        <f>IFERROR(EurMkt!F15,"")</f>
        <v>42690</v>
      </c>
      <c r="F94" s="553" t="str">
        <f t="shared" ref="F94:F113" si="51">IF(LEN(E94)&gt;0,$G$2&amp;";"&amp;UPPER(TEXT(E94,"MMM YY")),"")</f>
        <v>LIF EURIBOR 3M;NOV 16</v>
      </c>
      <c r="G94" s="553"/>
      <c r="H94" s="553"/>
      <c r="I94" s="553"/>
      <c r="J94" s="26" t="e">
        <f t="shared" ref="J94:J113" si="52">VLOOKUP(F94,FUT,$H$2,FALSE)</f>
        <v>#N/A</v>
      </c>
      <c r="K94" s="302"/>
      <c r="L94" s="59" t="e">
        <f t="shared" ref="L94:L113" si="53">VLOOKUP(F94,FUT,$I$2,FALSE)</f>
        <v>#N/A</v>
      </c>
      <c r="M94" s="492"/>
      <c r="N94" s="492"/>
      <c r="P94" s="59">
        <f>INDEX(EurMkt!MktFut_MID,MATCH(F94,EurMkt!MktFut_Code,0),1)</f>
        <v>100.3075</v>
      </c>
      <c r="Q94" s="23" t="e">
        <f t="shared" ref="Q94:Q113" si="54">(P94-L94)*100</f>
        <v>#N/A</v>
      </c>
      <c r="R94" s="22">
        <f t="shared" ref="R94:R113" si="55">IFERROR(Q94*J94*25,0)</f>
        <v>0</v>
      </c>
      <c r="S94" s="335"/>
      <c r="T94" s="373">
        <f>+E94-$D$11</f>
        <v>-2</v>
      </c>
      <c r="U94" s="373">
        <f>ROUND(T94/30,0)+3</f>
        <v>3</v>
      </c>
      <c r="V94" s="373" t="str">
        <f t="shared" ref="V94:V113" si="56">IF(U94&gt;23,"2Y",INDEX(BucketOIS,U94+6))</f>
        <v>3M</v>
      </c>
      <c r="W94" s="335"/>
      <c r="X94" s="335"/>
      <c r="Y94" s="335"/>
      <c r="Z94" s="335"/>
      <c r="AA94" s="335"/>
      <c r="AB94" s="335"/>
      <c r="AC94" s="335"/>
      <c r="AD94" s="335"/>
      <c r="AE94" s="335"/>
      <c r="AF94" s="335"/>
      <c r="AG94" s="335"/>
      <c r="AH94" s="335"/>
      <c r="AI94" s="335"/>
      <c r="AJ94" s="335"/>
      <c r="AK94" s="335"/>
      <c r="AL94" s="335"/>
      <c r="AM94" s="335"/>
      <c r="AN94" s="335"/>
      <c r="AO94" s="335"/>
      <c r="AP94" s="335"/>
      <c r="AQ94" s="335"/>
      <c r="AR94" s="335"/>
      <c r="AS94" s="335"/>
      <c r="AT94" s="335"/>
      <c r="AU94" s="335"/>
      <c r="AV94" s="335"/>
      <c r="AW94" s="335"/>
      <c r="AX94" s="335"/>
      <c r="AY94" s="335"/>
      <c r="AZ94" s="335"/>
      <c r="BA94" s="335"/>
      <c r="BB94" s="335"/>
      <c r="BC94" s="335"/>
      <c r="BD94" s="335"/>
      <c r="BE94" s="335"/>
      <c r="BF94" s="335"/>
      <c r="BG94" s="335"/>
      <c r="BH94" s="335"/>
      <c r="BI94" s="335"/>
      <c r="BJ94" s="335"/>
      <c r="BK94" s="335"/>
      <c r="BL94" s="335"/>
      <c r="BM94" s="335"/>
      <c r="BN94" s="335"/>
      <c r="BO94" s="335"/>
      <c r="BP94" s="335"/>
      <c r="BQ94" s="335"/>
      <c r="BR94" s="335"/>
      <c r="BS94" s="335"/>
      <c r="BT94" s="335"/>
      <c r="BU94" s="335"/>
      <c r="BV94" s="335"/>
      <c r="BW94" s="335"/>
      <c r="BX94" s="335"/>
      <c r="BY94" s="335"/>
      <c r="BZ94" s="335"/>
      <c r="CA94" s="335"/>
      <c r="CB94" s="335"/>
      <c r="CC94" s="335"/>
      <c r="CD94" s="335"/>
      <c r="CE94" s="335"/>
      <c r="CF94" s="335"/>
      <c r="CG94" s="335"/>
      <c r="CH94" s="335"/>
      <c r="CI94" s="335"/>
      <c r="CJ94" s="335"/>
      <c r="CK94" s="335"/>
      <c r="CL94" s="335"/>
      <c r="CM94" s="335"/>
      <c r="CN94" s="335"/>
      <c r="CO94" s="335"/>
      <c r="CP94" s="335"/>
    </row>
    <row r="95" spans="1:94" ht="15" customHeight="1">
      <c r="A95" s="335"/>
      <c r="B95" s="335"/>
      <c r="C95" s="335"/>
      <c r="D95" s="335"/>
      <c r="E95" s="209">
        <f>IFERROR(EurMkt!F16,"")</f>
        <v>42725</v>
      </c>
      <c r="F95" s="553" t="str">
        <f t="shared" si="51"/>
        <v>LIF EURIBOR 3M;DEC 16</v>
      </c>
      <c r="G95" s="553"/>
      <c r="H95" s="553"/>
      <c r="I95" s="553"/>
      <c r="J95" s="26">
        <f t="shared" si="52"/>
        <v>-100</v>
      </c>
      <c r="K95" s="302"/>
      <c r="L95" s="59">
        <f t="shared" si="53"/>
        <v>100.3075</v>
      </c>
      <c r="M95" s="492"/>
      <c r="N95" s="492"/>
      <c r="P95" s="59">
        <f>INDEX(EurMkt!MktFut_MID,MATCH(F95,EurMkt!MktFut_Code,0),1)</f>
        <v>100.30500000000001</v>
      </c>
      <c r="Q95" s="23">
        <f t="shared" si="54"/>
        <v>-0.24999999999977263</v>
      </c>
      <c r="R95" s="22">
        <f t="shared" si="55"/>
        <v>624.99999999943157</v>
      </c>
      <c r="S95" s="335"/>
      <c r="T95" s="373">
        <f t="shared" ref="T95:T113" si="57">+E95-$D$11</f>
        <v>33</v>
      </c>
      <c r="U95" s="373">
        <f t="shared" ref="U95:U113" si="58">ROUND(T95/30,0)+3</f>
        <v>4</v>
      </c>
      <c r="V95" s="373" t="str">
        <f t="shared" si="56"/>
        <v>4M</v>
      </c>
      <c r="W95" s="335"/>
      <c r="X95" s="335"/>
      <c r="Y95" s="335"/>
      <c r="Z95" s="335"/>
      <c r="AA95" s="335"/>
      <c r="AB95" s="335"/>
      <c r="AC95" s="335"/>
      <c r="AD95" s="335"/>
      <c r="AE95" s="335"/>
      <c r="AF95" s="335"/>
      <c r="AG95" s="335"/>
      <c r="AH95" s="335"/>
      <c r="AI95" s="335"/>
      <c r="AJ95" s="335"/>
      <c r="AK95" s="335"/>
      <c r="AL95" s="335"/>
      <c r="AM95" s="335"/>
      <c r="AN95" s="335"/>
      <c r="AO95" s="335"/>
      <c r="AP95" s="335"/>
      <c r="AQ95" s="335"/>
      <c r="AR95" s="335"/>
      <c r="AS95" s="335"/>
      <c r="AT95" s="335"/>
      <c r="AU95" s="335"/>
      <c r="AV95" s="335"/>
      <c r="AW95" s="335"/>
      <c r="AX95" s="335"/>
      <c r="AY95" s="335"/>
      <c r="AZ95" s="335"/>
      <c r="BA95" s="335"/>
      <c r="BB95" s="335"/>
      <c r="BC95" s="335"/>
      <c r="BD95" s="335"/>
      <c r="BE95" s="335"/>
      <c r="BF95" s="335"/>
      <c r="BG95" s="335"/>
      <c r="BH95" s="335"/>
      <c r="BI95" s="335"/>
      <c r="BJ95" s="335"/>
      <c r="BK95" s="335"/>
      <c r="BL95" s="335"/>
      <c r="BM95" s="335"/>
      <c r="BN95" s="335"/>
      <c r="BO95" s="335"/>
      <c r="BP95" s="335"/>
      <c r="BQ95" s="335"/>
      <c r="BR95" s="335"/>
      <c r="BS95" s="335"/>
      <c r="BT95" s="335"/>
      <c r="BU95" s="335"/>
      <c r="BV95" s="335"/>
      <c r="BW95" s="335"/>
      <c r="BX95" s="335"/>
      <c r="BY95" s="335"/>
      <c r="BZ95" s="335"/>
      <c r="CA95" s="335"/>
      <c r="CB95" s="335"/>
      <c r="CC95" s="335"/>
      <c r="CD95" s="335"/>
      <c r="CE95" s="335"/>
      <c r="CF95" s="335"/>
      <c r="CG95" s="335"/>
      <c r="CH95" s="335"/>
      <c r="CI95" s="335"/>
      <c r="CJ95" s="335"/>
      <c r="CK95" s="335"/>
      <c r="CL95" s="335"/>
      <c r="CM95" s="335"/>
      <c r="CN95" s="335"/>
      <c r="CO95" s="335"/>
      <c r="CP95" s="335"/>
    </row>
    <row r="96" spans="1:94" ht="15" customHeight="1">
      <c r="A96" s="335"/>
      <c r="B96" s="335"/>
      <c r="C96" s="335"/>
      <c r="D96" s="335"/>
      <c r="E96" s="209">
        <f>IFERROR(EurMkt!F17,"")</f>
        <v>42753</v>
      </c>
      <c r="F96" s="553" t="str">
        <f t="shared" si="51"/>
        <v>LIF EURIBOR 3M;JAN 17</v>
      </c>
      <c r="G96" s="553"/>
      <c r="H96" s="553"/>
      <c r="I96" s="553"/>
      <c r="J96" s="26" t="e">
        <f t="shared" si="52"/>
        <v>#N/A</v>
      </c>
      <c r="K96" s="302"/>
      <c r="L96" s="59" t="e">
        <f t="shared" si="53"/>
        <v>#N/A</v>
      </c>
      <c r="M96" s="492"/>
      <c r="N96" s="492"/>
      <c r="P96" s="59" t="e">
        <f>INDEX(EurMkt!MktFut_MID,MATCH(F96,EurMkt!MktFut_Code,0),1)</f>
        <v>#N/A</v>
      </c>
      <c r="Q96" s="23" t="e">
        <f t="shared" si="54"/>
        <v>#N/A</v>
      </c>
      <c r="R96" s="22">
        <f t="shared" si="55"/>
        <v>0</v>
      </c>
      <c r="S96" s="335"/>
      <c r="T96" s="373">
        <f t="shared" si="57"/>
        <v>61</v>
      </c>
      <c r="U96" s="373">
        <f t="shared" si="58"/>
        <v>5</v>
      </c>
      <c r="V96" s="373" t="str">
        <f t="shared" si="56"/>
        <v>5M</v>
      </c>
      <c r="W96" s="335"/>
      <c r="X96" s="335"/>
      <c r="Y96" s="335"/>
      <c r="Z96" s="335"/>
      <c r="AA96" s="335"/>
      <c r="AB96" s="335"/>
      <c r="AC96" s="335"/>
      <c r="AD96" s="335"/>
      <c r="AE96" s="335"/>
      <c r="AF96" s="335"/>
      <c r="AG96" s="335"/>
      <c r="AH96" s="335"/>
      <c r="AI96" s="335"/>
      <c r="AJ96" s="335"/>
      <c r="AK96" s="335"/>
      <c r="AL96" s="335"/>
      <c r="AM96" s="335"/>
      <c r="AN96" s="335"/>
      <c r="AO96" s="335"/>
      <c r="AP96" s="335"/>
      <c r="AQ96" s="335"/>
      <c r="AR96" s="335"/>
      <c r="AS96" s="335"/>
      <c r="AT96" s="335"/>
      <c r="AU96" s="335"/>
      <c r="AV96" s="335"/>
      <c r="AW96" s="335"/>
      <c r="AX96" s="335"/>
      <c r="AY96" s="335"/>
      <c r="AZ96" s="335"/>
      <c r="BA96" s="335"/>
      <c r="BB96" s="335"/>
      <c r="BC96" s="335"/>
      <c r="BD96" s="335"/>
      <c r="BE96" s="335"/>
      <c r="BF96" s="335"/>
      <c r="BG96" s="335"/>
      <c r="BH96" s="335"/>
      <c r="BI96" s="335"/>
      <c r="BJ96" s="335"/>
      <c r="BK96" s="335"/>
      <c r="BL96" s="335"/>
      <c r="BM96" s="335"/>
      <c r="BN96" s="335"/>
      <c r="BO96" s="335"/>
      <c r="BP96" s="335"/>
      <c r="BQ96" s="335"/>
      <c r="BR96" s="335"/>
      <c r="BS96" s="335"/>
      <c r="BT96" s="335"/>
      <c r="BU96" s="335"/>
      <c r="BV96" s="335"/>
      <c r="BW96" s="335"/>
      <c r="BX96" s="335"/>
      <c r="BY96" s="335"/>
      <c r="BZ96" s="335"/>
      <c r="CA96" s="335"/>
      <c r="CB96" s="335"/>
      <c r="CC96" s="335"/>
      <c r="CD96" s="335"/>
      <c r="CE96" s="335"/>
      <c r="CF96" s="335"/>
      <c r="CG96" s="335"/>
      <c r="CH96" s="335"/>
      <c r="CI96" s="335"/>
      <c r="CJ96" s="335"/>
      <c r="CK96" s="335"/>
      <c r="CL96" s="335"/>
      <c r="CM96" s="335"/>
      <c r="CN96" s="335"/>
      <c r="CO96" s="335"/>
      <c r="CP96" s="335"/>
    </row>
    <row r="97" spans="1:94" ht="15" customHeight="1">
      <c r="A97" s="335"/>
      <c r="B97" s="335"/>
      <c r="C97" s="335"/>
      <c r="D97" s="335"/>
      <c r="E97" s="209">
        <f>IFERROR(EurMkt!F18,"")</f>
        <v>42781</v>
      </c>
      <c r="F97" s="553" t="str">
        <f t="shared" si="51"/>
        <v>LIF EURIBOR 3M;FEB 17</v>
      </c>
      <c r="G97" s="553"/>
      <c r="H97" s="553"/>
      <c r="I97" s="553"/>
      <c r="J97" s="26" t="e">
        <f t="shared" si="52"/>
        <v>#N/A</v>
      </c>
      <c r="K97" s="302"/>
      <c r="L97" s="59" t="e">
        <f t="shared" si="53"/>
        <v>#N/A</v>
      </c>
      <c r="M97" s="492"/>
      <c r="N97" s="492"/>
      <c r="P97" s="59">
        <f>INDEX(EurMkt!MktFut_MID,MATCH(F97,EurMkt!MktFut_Code,0),1)</f>
        <v>100.2925</v>
      </c>
      <c r="Q97" s="23" t="e">
        <f t="shared" si="54"/>
        <v>#N/A</v>
      </c>
      <c r="R97" s="22">
        <f t="shared" si="55"/>
        <v>0</v>
      </c>
      <c r="S97" s="335"/>
      <c r="T97" s="373">
        <f t="shared" si="57"/>
        <v>89</v>
      </c>
      <c r="U97" s="373">
        <f t="shared" si="58"/>
        <v>6</v>
      </c>
      <c r="V97" s="373" t="str">
        <f t="shared" si="56"/>
        <v>6M</v>
      </c>
      <c r="W97" s="335"/>
      <c r="X97" s="335"/>
      <c r="Y97" s="335"/>
      <c r="Z97" s="335"/>
      <c r="AA97" s="335"/>
      <c r="AB97" s="335"/>
      <c r="AC97" s="335"/>
      <c r="AD97" s="335"/>
      <c r="AE97" s="335"/>
      <c r="AF97" s="335"/>
      <c r="AG97" s="335"/>
      <c r="AH97" s="335"/>
      <c r="AI97" s="335"/>
      <c r="AJ97" s="335"/>
      <c r="AK97" s="335"/>
      <c r="AL97" s="335"/>
      <c r="AM97" s="335"/>
      <c r="AN97" s="335"/>
      <c r="AO97" s="335"/>
      <c r="AP97" s="335"/>
      <c r="AQ97" s="335"/>
      <c r="AR97" s="335"/>
      <c r="AS97" s="335"/>
      <c r="AT97" s="335"/>
      <c r="AU97" s="335"/>
      <c r="AV97" s="335"/>
      <c r="AW97" s="335"/>
      <c r="AX97" s="335"/>
      <c r="AY97" s="335"/>
      <c r="AZ97" s="335"/>
      <c r="BA97" s="335"/>
      <c r="BB97" s="335"/>
      <c r="BC97" s="335"/>
      <c r="BD97" s="335"/>
      <c r="BE97" s="335"/>
      <c r="BF97" s="335"/>
      <c r="BG97" s="335"/>
      <c r="BH97" s="335"/>
      <c r="BI97" s="335"/>
      <c r="BJ97" s="335"/>
      <c r="BK97" s="335"/>
      <c r="BL97" s="335"/>
      <c r="BM97" s="335"/>
      <c r="BN97" s="335"/>
      <c r="BO97" s="335"/>
      <c r="BP97" s="335"/>
      <c r="BQ97" s="335"/>
      <c r="BR97" s="335"/>
      <c r="BS97" s="335"/>
      <c r="BT97" s="335"/>
      <c r="BU97" s="335"/>
      <c r="BV97" s="335"/>
      <c r="BW97" s="335"/>
      <c r="BX97" s="335"/>
      <c r="BY97" s="335"/>
      <c r="BZ97" s="335"/>
      <c r="CA97" s="335"/>
      <c r="CB97" s="335"/>
      <c r="CC97" s="335"/>
      <c r="CD97" s="335"/>
      <c r="CE97" s="335"/>
      <c r="CF97" s="335"/>
      <c r="CG97" s="335"/>
      <c r="CH97" s="335"/>
      <c r="CI97" s="335"/>
      <c r="CJ97" s="335"/>
      <c r="CK97" s="335"/>
      <c r="CL97" s="335"/>
      <c r="CM97" s="335"/>
      <c r="CN97" s="335"/>
      <c r="CO97" s="335"/>
      <c r="CP97" s="335"/>
    </row>
    <row r="98" spans="1:94" ht="15" customHeight="1">
      <c r="A98" s="335"/>
      <c r="B98" s="335"/>
      <c r="C98" s="335"/>
      <c r="D98" s="335"/>
      <c r="E98" s="209">
        <f>IFERROR(EurMkt!F19,"")</f>
        <v>42809</v>
      </c>
      <c r="F98" s="553" t="str">
        <f t="shared" si="51"/>
        <v>LIF EURIBOR 3M;MAR 17</v>
      </c>
      <c r="G98" s="553"/>
      <c r="H98" s="553"/>
      <c r="I98" s="553"/>
      <c r="J98" s="26">
        <f t="shared" si="52"/>
        <v>-100</v>
      </c>
      <c r="K98" s="302"/>
      <c r="L98" s="59">
        <f t="shared" si="53"/>
        <v>100.2925</v>
      </c>
      <c r="M98" s="492"/>
      <c r="N98" s="492"/>
      <c r="P98" s="59" t="e">
        <f>INDEX(EurMkt!MktFut_MID,MATCH(F98,EurMkt!MktFut_Code,0),1)</f>
        <v>#N/A</v>
      </c>
      <c r="Q98" s="23" t="e">
        <f t="shared" si="54"/>
        <v>#N/A</v>
      </c>
      <c r="R98" s="22">
        <f t="shared" si="55"/>
        <v>0</v>
      </c>
      <c r="S98" s="335"/>
      <c r="T98" s="373">
        <f t="shared" si="57"/>
        <v>117</v>
      </c>
      <c r="U98" s="373">
        <f t="shared" si="58"/>
        <v>7</v>
      </c>
      <c r="V98" s="373" t="str">
        <f t="shared" si="56"/>
        <v>7M</v>
      </c>
      <c r="W98" s="335"/>
      <c r="X98" s="335"/>
      <c r="Y98" s="335"/>
      <c r="Z98" s="335"/>
      <c r="AA98" s="335"/>
      <c r="AB98" s="335"/>
      <c r="AC98" s="335"/>
      <c r="AD98" s="335"/>
      <c r="AE98" s="335"/>
      <c r="AF98" s="335"/>
      <c r="AG98" s="335"/>
      <c r="AH98" s="335"/>
      <c r="AI98" s="335"/>
      <c r="AJ98" s="335"/>
      <c r="AK98" s="335"/>
      <c r="AL98" s="335"/>
      <c r="AM98" s="335"/>
      <c r="AN98" s="335"/>
      <c r="AO98" s="335"/>
      <c r="AP98" s="335"/>
      <c r="AQ98" s="335"/>
      <c r="AR98" s="335"/>
      <c r="AS98" s="335"/>
      <c r="AT98" s="335"/>
      <c r="AU98" s="335"/>
      <c r="AV98" s="335"/>
      <c r="AW98" s="335"/>
      <c r="AX98" s="335"/>
      <c r="AY98" s="335"/>
      <c r="AZ98" s="335"/>
      <c r="BA98" s="335"/>
      <c r="BB98" s="335"/>
      <c r="BC98" s="335"/>
      <c r="BD98" s="335"/>
      <c r="BE98" s="335"/>
      <c r="BF98" s="335"/>
      <c r="BG98" s="335"/>
      <c r="BH98" s="335"/>
      <c r="BI98" s="335"/>
      <c r="BJ98" s="335"/>
      <c r="BK98" s="335"/>
      <c r="BL98" s="335"/>
      <c r="BM98" s="335"/>
      <c r="BN98" s="335"/>
      <c r="BO98" s="335"/>
      <c r="BP98" s="335"/>
      <c r="BQ98" s="335"/>
      <c r="BR98" s="335"/>
      <c r="BS98" s="335"/>
      <c r="BT98" s="335"/>
      <c r="BU98" s="335"/>
      <c r="BV98" s="335"/>
      <c r="BW98" s="335"/>
      <c r="BX98" s="335"/>
      <c r="BY98" s="335"/>
      <c r="BZ98" s="335"/>
      <c r="CA98" s="335"/>
      <c r="CB98" s="335"/>
      <c r="CC98" s="335"/>
      <c r="CD98" s="335"/>
      <c r="CE98" s="335"/>
      <c r="CF98" s="335"/>
      <c r="CG98" s="335"/>
      <c r="CH98" s="335"/>
      <c r="CI98" s="335"/>
      <c r="CJ98" s="335"/>
      <c r="CK98" s="335"/>
      <c r="CL98" s="335"/>
      <c r="CM98" s="335"/>
      <c r="CN98" s="335"/>
      <c r="CO98" s="335"/>
      <c r="CP98" s="335"/>
    </row>
    <row r="99" spans="1:94" ht="15" customHeight="1">
      <c r="A99" s="335"/>
      <c r="B99" s="335"/>
      <c r="C99" s="335"/>
      <c r="D99" s="335"/>
      <c r="E99" s="209">
        <f>IFERROR(EurMkt!F20,"")</f>
        <v>42845</v>
      </c>
      <c r="F99" s="553" t="str">
        <f t="shared" si="51"/>
        <v>LIF EURIBOR 3M;APR 17</v>
      </c>
      <c r="G99" s="553"/>
      <c r="H99" s="553"/>
      <c r="I99" s="553"/>
      <c r="J99" s="26" t="e">
        <f t="shared" si="52"/>
        <v>#N/A</v>
      </c>
      <c r="K99" s="302"/>
      <c r="L99" s="59" t="e">
        <f t="shared" si="53"/>
        <v>#N/A</v>
      </c>
      <c r="M99" s="492"/>
      <c r="N99" s="492"/>
      <c r="P99" s="59" t="e">
        <f>INDEX(EurMkt!MktFut_MID,MATCH(F99,EurMkt!MktFut_Code,0),1)</f>
        <v>#N/A</v>
      </c>
      <c r="Q99" s="23" t="e">
        <f t="shared" si="54"/>
        <v>#N/A</v>
      </c>
      <c r="R99" s="22">
        <f t="shared" si="55"/>
        <v>0</v>
      </c>
      <c r="S99" s="335"/>
      <c r="T99" s="373">
        <f t="shared" si="57"/>
        <v>153</v>
      </c>
      <c r="U99" s="373">
        <f t="shared" si="58"/>
        <v>8</v>
      </c>
      <c r="V99" s="373" t="str">
        <f t="shared" si="56"/>
        <v>8M</v>
      </c>
      <c r="W99" s="335"/>
      <c r="X99" s="335"/>
      <c r="Y99" s="335"/>
      <c r="Z99" s="335"/>
      <c r="AA99" s="335"/>
      <c r="AB99" s="335"/>
      <c r="AC99" s="335"/>
      <c r="AD99" s="335"/>
      <c r="AE99" s="335"/>
      <c r="AF99" s="335"/>
      <c r="AG99" s="335"/>
      <c r="AH99" s="335"/>
      <c r="AI99" s="335"/>
      <c r="AJ99" s="335"/>
      <c r="AK99" s="335"/>
      <c r="AL99" s="335"/>
      <c r="AM99" s="335"/>
      <c r="AN99" s="335"/>
      <c r="AO99" s="335"/>
      <c r="AP99" s="335"/>
      <c r="AQ99" s="335"/>
      <c r="AR99" s="335"/>
      <c r="AS99" s="335"/>
      <c r="AT99" s="335"/>
      <c r="AU99" s="335"/>
      <c r="AV99" s="335"/>
      <c r="AW99" s="335"/>
      <c r="AX99" s="335"/>
      <c r="AY99" s="335"/>
      <c r="AZ99" s="335"/>
      <c r="BA99" s="335"/>
      <c r="BB99" s="335"/>
      <c r="BC99" s="335"/>
      <c r="BD99" s="335"/>
      <c r="BE99" s="335"/>
      <c r="BF99" s="335"/>
      <c r="BG99" s="335"/>
      <c r="BH99" s="335"/>
      <c r="BI99" s="335"/>
      <c r="BJ99" s="335"/>
      <c r="BK99" s="335"/>
      <c r="BL99" s="335"/>
      <c r="BM99" s="335"/>
      <c r="BN99" s="335"/>
      <c r="BO99" s="335"/>
      <c r="BP99" s="335"/>
      <c r="BQ99" s="335"/>
      <c r="BR99" s="335"/>
      <c r="BS99" s="335"/>
      <c r="BT99" s="335"/>
      <c r="BU99" s="335"/>
      <c r="BV99" s="335"/>
      <c r="BW99" s="335"/>
      <c r="BX99" s="335"/>
      <c r="BY99" s="335"/>
      <c r="BZ99" s="335"/>
      <c r="CA99" s="335"/>
      <c r="CB99" s="335"/>
      <c r="CC99" s="335"/>
      <c r="CD99" s="335"/>
      <c r="CE99" s="335"/>
      <c r="CF99" s="335"/>
      <c r="CG99" s="335"/>
      <c r="CH99" s="335"/>
      <c r="CI99" s="335"/>
      <c r="CJ99" s="335"/>
      <c r="CK99" s="335"/>
      <c r="CL99" s="335"/>
      <c r="CM99" s="335"/>
      <c r="CN99" s="335"/>
      <c r="CO99" s="335"/>
      <c r="CP99" s="335"/>
    </row>
    <row r="100" spans="1:94" ht="15" customHeight="1">
      <c r="A100" s="335"/>
      <c r="B100" s="335"/>
      <c r="C100" s="335"/>
      <c r="D100" s="335"/>
      <c r="E100" s="209">
        <f>IFERROR(EurMkt!F21,"")</f>
        <v>42907</v>
      </c>
      <c r="F100" s="553" t="str">
        <f t="shared" si="51"/>
        <v>LIF EURIBOR 3M;JUN 17</v>
      </c>
      <c r="G100" s="553"/>
      <c r="H100" s="553"/>
      <c r="I100" s="553"/>
      <c r="J100" s="26">
        <f t="shared" si="52"/>
        <v>-400</v>
      </c>
      <c r="K100" s="302"/>
      <c r="L100" s="59">
        <f t="shared" si="53"/>
        <v>100.2775</v>
      </c>
      <c r="M100" s="492"/>
      <c r="N100" s="492"/>
      <c r="P100" s="59">
        <f>INDEX(EurMkt!MktFut_MID,MATCH(F100,EurMkt!MktFut_Code,0),1)</f>
        <v>100.2775</v>
      </c>
      <c r="Q100" s="23">
        <f t="shared" si="54"/>
        <v>0</v>
      </c>
      <c r="R100" s="22">
        <f t="shared" si="55"/>
        <v>0</v>
      </c>
      <c r="S100" s="335"/>
      <c r="T100" s="373">
        <f t="shared" si="57"/>
        <v>215</v>
      </c>
      <c r="U100" s="373">
        <f t="shared" si="58"/>
        <v>10</v>
      </c>
      <c r="V100" s="373" t="str">
        <f t="shared" si="56"/>
        <v>10M</v>
      </c>
      <c r="W100" s="335"/>
      <c r="X100" s="335"/>
      <c r="Y100" s="335"/>
      <c r="Z100" s="335"/>
      <c r="AA100" s="335"/>
      <c r="AB100" s="335"/>
      <c r="AC100" s="335"/>
      <c r="AD100" s="335"/>
      <c r="AE100" s="335"/>
      <c r="AF100" s="335"/>
      <c r="AG100" s="335"/>
      <c r="AH100" s="335"/>
      <c r="AI100" s="335"/>
      <c r="AJ100" s="335"/>
      <c r="AK100" s="335"/>
      <c r="AL100" s="335"/>
      <c r="AM100" s="335"/>
      <c r="AN100" s="335"/>
      <c r="AO100" s="335"/>
      <c r="AP100" s="335"/>
      <c r="AQ100" s="335"/>
      <c r="AR100" s="335"/>
      <c r="AS100" s="335"/>
      <c r="AT100" s="335"/>
      <c r="AU100" s="335"/>
      <c r="AV100" s="335"/>
      <c r="AW100" s="335"/>
      <c r="AX100" s="335"/>
      <c r="AY100" s="335"/>
      <c r="AZ100" s="335"/>
      <c r="BA100" s="335"/>
      <c r="BB100" s="335"/>
      <c r="BC100" s="335"/>
      <c r="BD100" s="335"/>
      <c r="BE100" s="335"/>
      <c r="BF100" s="335"/>
      <c r="BG100" s="335"/>
      <c r="BH100" s="335"/>
      <c r="BI100" s="335"/>
      <c r="BJ100" s="335"/>
      <c r="BK100" s="335"/>
      <c r="BL100" s="335"/>
      <c r="BM100" s="335"/>
      <c r="BN100" s="335"/>
      <c r="BO100" s="335"/>
      <c r="BP100" s="335"/>
      <c r="BQ100" s="335"/>
      <c r="BR100" s="335"/>
      <c r="BS100" s="335"/>
      <c r="BT100" s="335"/>
      <c r="BU100" s="335"/>
      <c r="BV100" s="335"/>
      <c r="BW100" s="335"/>
      <c r="BX100" s="335"/>
      <c r="BY100" s="335"/>
      <c r="BZ100" s="335"/>
      <c r="CA100" s="335"/>
      <c r="CB100" s="335"/>
      <c r="CC100" s="335"/>
      <c r="CD100" s="335"/>
      <c r="CE100" s="335"/>
      <c r="CF100" s="335"/>
      <c r="CG100" s="335"/>
      <c r="CH100" s="335"/>
      <c r="CI100" s="335"/>
      <c r="CJ100" s="335"/>
      <c r="CK100" s="335"/>
      <c r="CL100" s="335"/>
      <c r="CM100" s="335"/>
      <c r="CN100" s="335"/>
      <c r="CO100" s="335"/>
      <c r="CP100" s="335"/>
    </row>
    <row r="101" spans="1:94" ht="15" customHeight="1">
      <c r="A101" s="335"/>
      <c r="B101" s="335"/>
      <c r="C101" s="335"/>
      <c r="D101" s="335"/>
      <c r="E101" s="209">
        <f>IFERROR(EurMkt!F22,"")</f>
        <v>42998</v>
      </c>
      <c r="F101" s="553" t="str">
        <f t="shared" si="51"/>
        <v>LIF EURIBOR 3M;SEP 17</v>
      </c>
      <c r="G101" s="553"/>
      <c r="H101" s="553"/>
      <c r="I101" s="553"/>
      <c r="J101" s="26">
        <f t="shared" si="52"/>
        <v>-200</v>
      </c>
      <c r="K101" s="302"/>
      <c r="L101" s="59">
        <f t="shared" si="53"/>
        <v>100.25749999999999</v>
      </c>
      <c r="M101" s="492"/>
      <c r="N101" s="492"/>
      <c r="P101" s="59">
        <f>INDEX(EurMkt!MktFut_MID,MATCH(F101,EurMkt!MktFut_Code,0),1)</f>
        <v>100.2625</v>
      </c>
      <c r="Q101" s="23">
        <f t="shared" si="54"/>
        <v>0.50000000000096634</v>
      </c>
      <c r="R101" s="22">
        <f t="shared" si="55"/>
        <v>-2500.0000000048317</v>
      </c>
      <c r="S101" s="335"/>
      <c r="T101" s="373">
        <f t="shared" si="57"/>
        <v>306</v>
      </c>
      <c r="U101" s="373">
        <f t="shared" si="58"/>
        <v>13</v>
      </c>
      <c r="V101" s="373" t="str">
        <f t="shared" si="56"/>
        <v>13M</v>
      </c>
      <c r="W101" s="335"/>
      <c r="X101" s="335"/>
      <c r="Y101" s="335"/>
      <c r="Z101" s="335"/>
      <c r="AA101" s="335"/>
      <c r="AB101" s="335"/>
      <c r="AC101" s="335"/>
      <c r="AD101" s="335"/>
      <c r="AE101" s="335"/>
      <c r="AF101" s="335"/>
      <c r="AG101" s="335"/>
      <c r="AH101" s="335"/>
      <c r="AI101" s="335"/>
      <c r="AJ101" s="335"/>
      <c r="AK101" s="335"/>
      <c r="AL101" s="335"/>
      <c r="AM101" s="335"/>
      <c r="AN101" s="335"/>
      <c r="AO101" s="335"/>
      <c r="AP101" s="335"/>
      <c r="AQ101" s="335"/>
      <c r="AR101" s="335"/>
      <c r="AS101" s="335"/>
      <c r="AT101" s="335"/>
      <c r="AU101" s="335"/>
      <c r="AV101" s="335"/>
      <c r="AW101" s="335"/>
      <c r="AX101" s="335"/>
      <c r="AY101" s="335"/>
      <c r="AZ101" s="335"/>
      <c r="BA101" s="335"/>
      <c r="BB101" s="335"/>
      <c r="BC101" s="335"/>
      <c r="BD101" s="335"/>
      <c r="BE101" s="335"/>
      <c r="BF101" s="335"/>
      <c r="BG101" s="335"/>
      <c r="BH101" s="335"/>
      <c r="BI101" s="335"/>
      <c r="BJ101" s="335"/>
      <c r="BK101" s="335"/>
      <c r="BL101" s="335"/>
      <c r="BM101" s="335"/>
      <c r="BN101" s="335"/>
      <c r="BO101" s="335"/>
      <c r="BP101" s="335"/>
      <c r="BQ101" s="335"/>
      <c r="BR101" s="335"/>
      <c r="BS101" s="335"/>
      <c r="BT101" s="335"/>
      <c r="BU101" s="335"/>
      <c r="BV101" s="335"/>
      <c r="BW101" s="335"/>
      <c r="BX101" s="335"/>
      <c r="BY101" s="335"/>
      <c r="BZ101" s="335"/>
      <c r="CA101" s="335"/>
      <c r="CB101" s="335"/>
      <c r="CC101" s="335"/>
      <c r="CD101" s="335"/>
      <c r="CE101" s="335"/>
      <c r="CF101" s="335"/>
      <c r="CG101" s="335"/>
      <c r="CH101" s="335"/>
      <c r="CI101" s="335"/>
      <c r="CJ101" s="335"/>
      <c r="CK101" s="335"/>
      <c r="CL101" s="335"/>
      <c r="CM101" s="335"/>
      <c r="CN101" s="335"/>
      <c r="CO101" s="335"/>
      <c r="CP101" s="335"/>
    </row>
    <row r="102" spans="1:94" ht="15" customHeight="1">
      <c r="A102" s="335"/>
      <c r="B102" s="335"/>
      <c r="C102" s="335"/>
      <c r="D102" s="335"/>
      <c r="E102" s="209">
        <f>IFERROR(EurMkt!F23,"")</f>
        <v>43089</v>
      </c>
      <c r="F102" s="553" t="str">
        <f t="shared" si="51"/>
        <v>LIF EURIBOR 3M;DEC 17</v>
      </c>
      <c r="G102" s="553"/>
      <c r="H102" s="553"/>
      <c r="I102" s="553"/>
      <c r="J102" s="26">
        <f t="shared" si="52"/>
        <v>-100</v>
      </c>
      <c r="K102" s="302"/>
      <c r="L102" s="59">
        <f t="shared" si="53"/>
        <v>100.24250000000001</v>
      </c>
      <c r="M102" s="492"/>
      <c r="N102" s="492"/>
      <c r="P102" s="59">
        <f>INDEX(EurMkt!MktFut_MID,MATCH(F102,EurMkt!MktFut_Code,0),1)</f>
        <v>100.24250000000001</v>
      </c>
      <c r="Q102" s="23">
        <f t="shared" si="54"/>
        <v>0</v>
      </c>
      <c r="R102" s="22">
        <f t="shared" si="55"/>
        <v>0</v>
      </c>
      <c r="S102" s="335"/>
      <c r="T102" s="373">
        <f t="shared" si="57"/>
        <v>397</v>
      </c>
      <c r="U102" s="373">
        <f t="shared" si="58"/>
        <v>16</v>
      </c>
      <c r="V102" s="373" t="str">
        <f t="shared" si="56"/>
        <v>16M</v>
      </c>
      <c r="W102" s="335"/>
      <c r="X102" s="335"/>
      <c r="Y102" s="335"/>
      <c r="Z102" s="335"/>
      <c r="AA102" s="335"/>
      <c r="AB102" s="335"/>
      <c r="AC102" s="335"/>
      <c r="AD102" s="335"/>
      <c r="AE102" s="335"/>
      <c r="AF102" s="335"/>
      <c r="AG102" s="335"/>
      <c r="AH102" s="335"/>
      <c r="AI102" s="335"/>
      <c r="AJ102" s="335"/>
      <c r="AK102" s="335"/>
      <c r="AL102" s="335"/>
      <c r="AM102" s="335"/>
      <c r="AN102" s="335"/>
      <c r="AO102" s="335"/>
      <c r="AP102" s="335"/>
      <c r="AQ102" s="335"/>
      <c r="AR102" s="335"/>
      <c r="AS102" s="335"/>
      <c r="AT102" s="335"/>
      <c r="AU102" s="335"/>
      <c r="AV102" s="335"/>
      <c r="AW102" s="335"/>
      <c r="AX102" s="335"/>
      <c r="AY102" s="335"/>
      <c r="AZ102" s="335"/>
      <c r="BA102" s="335"/>
      <c r="BB102" s="335"/>
      <c r="BC102" s="335"/>
      <c r="BD102" s="335"/>
      <c r="BE102" s="335"/>
      <c r="BF102" s="335"/>
      <c r="BG102" s="335"/>
      <c r="BH102" s="335"/>
      <c r="BI102" s="335"/>
      <c r="BJ102" s="335"/>
      <c r="BK102" s="335"/>
      <c r="BL102" s="335"/>
      <c r="BM102" s="335"/>
      <c r="BN102" s="335"/>
      <c r="BO102" s="335"/>
      <c r="BP102" s="335"/>
      <c r="BQ102" s="335"/>
      <c r="BR102" s="335"/>
      <c r="BS102" s="335"/>
      <c r="BT102" s="335"/>
      <c r="BU102" s="335"/>
      <c r="BV102" s="335"/>
      <c r="BW102" s="335"/>
      <c r="BX102" s="335"/>
      <c r="BY102" s="335"/>
      <c r="BZ102" s="335"/>
      <c r="CA102" s="335"/>
      <c r="CB102" s="335"/>
      <c r="CC102" s="335"/>
      <c r="CD102" s="335"/>
      <c r="CE102" s="335"/>
      <c r="CF102" s="335"/>
      <c r="CG102" s="335"/>
      <c r="CH102" s="335"/>
      <c r="CI102" s="335"/>
      <c r="CJ102" s="335"/>
      <c r="CK102" s="335"/>
      <c r="CL102" s="335"/>
      <c r="CM102" s="335"/>
      <c r="CN102" s="335"/>
      <c r="CO102" s="335"/>
      <c r="CP102" s="335"/>
    </row>
    <row r="103" spans="1:94" ht="15" customHeight="1">
      <c r="A103" s="335"/>
      <c r="B103" s="335"/>
      <c r="C103" s="335"/>
      <c r="D103" s="335"/>
      <c r="E103" s="209">
        <f>IFERROR(EurMkt!F24,"")</f>
        <v>43180</v>
      </c>
      <c r="F103" s="553" t="str">
        <f t="shared" si="51"/>
        <v>LIF EURIBOR 3M;MAR 18</v>
      </c>
      <c r="G103" s="553"/>
      <c r="H103" s="553"/>
      <c r="I103" s="553"/>
      <c r="J103" s="26" t="e">
        <f t="shared" si="52"/>
        <v>#N/A</v>
      </c>
      <c r="K103" s="302"/>
      <c r="L103" s="59" t="e">
        <f t="shared" si="53"/>
        <v>#N/A</v>
      </c>
      <c r="M103" s="492"/>
      <c r="N103" s="492"/>
      <c r="P103" s="59">
        <f>INDEX(EurMkt!MktFut_MID,MATCH(F103,EurMkt!MktFut_Code,0),1)</f>
        <v>100.2175</v>
      </c>
      <c r="Q103" s="23" t="e">
        <f t="shared" si="54"/>
        <v>#N/A</v>
      </c>
      <c r="R103" s="22">
        <f t="shared" si="55"/>
        <v>0</v>
      </c>
      <c r="S103" s="335"/>
      <c r="T103" s="373">
        <f t="shared" si="57"/>
        <v>488</v>
      </c>
      <c r="U103" s="373">
        <f t="shared" si="58"/>
        <v>19</v>
      </c>
      <c r="V103" s="373" t="str">
        <f t="shared" si="56"/>
        <v>19M</v>
      </c>
      <c r="W103" s="335"/>
      <c r="X103" s="335"/>
      <c r="Y103" s="335"/>
      <c r="Z103" s="335"/>
      <c r="AA103" s="335"/>
      <c r="AB103" s="335"/>
      <c r="AC103" s="335"/>
      <c r="AD103" s="335"/>
      <c r="AE103" s="335"/>
      <c r="AF103" s="335"/>
      <c r="AG103" s="335"/>
      <c r="AH103" s="335"/>
      <c r="AI103" s="335"/>
      <c r="AJ103" s="335"/>
      <c r="AK103" s="335"/>
      <c r="AL103" s="335"/>
      <c r="AM103" s="335"/>
      <c r="AN103" s="335"/>
      <c r="AO103" s="335"/>
      <c r="AP103" s="335"/>
      <c r="AQ103" s="335"/>
      <c r="AR103" s="335"/>
      <c r="AS103" s="335"/>
      <c r="AT103" s="335"/>
      <c r="AU103" s="335"/>
      <c r="AV103" s="335"/>
      <c r="AW103" s="335"/>
      <c r="AX103" s="335"/>
      <c r="AY103" s="335"/>
      <c r="AZ103" s="335"/>
      <c r="BA103" s="335"/>
      <c r="BB103" s="335"/>
      <c r="BC103" s="335"/>
      <c r="BD103" s="335"/>
      <c r="BE103" s="335"/>
      <c r="BF103" s="335"/>
      <c r="BG103" s="335"/>
      <c r="BH103" s="335"/>
      <c r="BI103" s="335"/>
      <c r="BJ103" s="335"/>
      <c r="BK103" s="335"/>
      <c r="BL103" s="335"/>
      <c r="BM103" s="335"/>
      <c r="BN103" s="335"/>
      <c r="BO103" s="335"/>
      <c r="BP103" s="335"/>
      <c r="BQ103" s="335"/>
      <c r="BR103" s="335"/>
      <c r="BS103" s="335"/>
      <c r="BT103" s="335"/>
      <c r="BU103" s="335"/>
      <c r="BV103" s="335"/>
      <c r="BW103" s="335"/>
      <c r="BX103" s="335"/>
      <c r="BY103" s="335"/>
      <c r="BZ103" s="335"/>
      <c r="CA103" s="335"/>
      <c r="CB103" s="335"/>
      <c r="CC103" s="335"/>
      <c r="CD103" s="335"/>
      <c r="CE103" s="335"/>
      <c r="CF103" s="335"/>
      <c r="CG103" s="335"/>
      <c r="CH103" s="335"/>
      <c r="CI103" s="335"/>
      <c r="CJ103" s="335"/>
      <c r="CK103" s="335"/>
      <c r="CL103" s="335"/>
      <c r="CM103" s="335"/>
      <c r="CN103" s="335"/>
      <c r="CO103" s="335"/>
      <c r="CP103" s="335"/>
    </row>
    <row r="104" spans="1:94" ht="15" customHeight="1">
      <c r="A104" s="335"/>
      <c r="B104" s="335"/>
      <c r="C104" s="335"/>
      <c r="D104" s="335"/>
      <c r="E104" s="209">
        <f>IFERROR(EurMkt!F25,"")</f>
        <v>43271</v>
      </c>
      <c r="F104" s="553" t="str">
        <f t="shared" si="51"/>
        <v>LIF EURIBOR 3M;JUN 18</v>
      </c>
      <c r="G104" s="553"/>
      <c r="H104" s="553"/>
      <c r="I104" s="553"/>
      <c r="J104" s="26">
        <f t="shared" si="52"/>
        <v>-1</v>
      </c>
      <c r="K104" s="302"/>
      <c r="L104" s="59">
        <f t="shared" si="53"/>
        <v>100.1875</v>
      </c>
      <c r="M104" s="492"/>
      <c r="N104" s="492"/>
      <c r="P104" s="59">
        <f>INDEX(EurMkt!MktFut_MID,MATCH(F104,EurMkt!MktFut_Code,0),1)</f>
        <v>100.1875</v>
      </c>
      <c r="Q104" s="23">
        <f t="shared" si="54"/>
        <v>0</v>
      </c>
      <c r="R104" s="22">
        <f t="shared" si="55"/>
        <v>0</v>
      </c>
      <c r="S104" s="335"/>
      <c r="T104" s="373">
        <f t="shared" si="57"/>
        <v>579</v>
      </c>
      <c r="U104" s="373">
        <f t="shared" si="58"/>
        <v>22</v>
      </c>
      <c r="V104" s="373" t="str">
        <f t="shared" si="56"/>
        <v>22M</v>
      </c>
      <c r="W104" s="335"/>
      <c r="X104" s="335"/>
      <c r="Y104" s="335"/>
      <c r="Z104" s="335"/>
      <c r="AA104" s="335"/>
      <c r="AB104" s="335"/>
      <c r="AC104" s="335"/>
      <c r="AD104" s="335"/>
      <c r="AE104" s="335"/>
      <c r="AF104" s="335"/>
      <c r="AG104" s="335"/>
      <c r="AH104" s="335"/>
      <c r="AI104" s="335"/>
      <c r="AJ104" s="335"/>
      <c r="AK104" s="335"/>
      <c r="AL104" s="335"/>
      <c r="AM104" s="335"/>
      <c r="AN104" s="335"/>
      <c r="AO104" s="335"/>
      <c r="AP104" s="335"/>
      <c r="AQ104" s="335"/>
      <c r="AR104" s="335"/>
      <c r="AS104" s="335"/>
      <c r="AT104" s="335"/>
      <c r="AU104" s="335"/>
      <c r="AV104" s="335"/>
      <c r="AW104" s="335"/>
      <c r="AX104" s="335"/>
      <c r="AY104" s="335"/>
      <c r="AZ104" s="335"/>
      <c r="BA104" s="335"/>
      <c r="BB104" s="335"/>
      <c r="BC104" s="335"/>
      <c r="BD104" s="335"/>
      <c r="BE104" s="335"/>
      <c r="BF104" s="335"/>
      <c r="BG104" s="335"/>
      <c r="BH104" s="335"/>
      <c r="BI104" s="335"/>
      <c r="BJ104" s="335"/>
      <c r="BK104" s="335"/>
      <c r="BL104" s="335"/>
      <c r="BM104" s="335"/>
      <c r="BN104" s="335"/>
      <c r="BO104" s="335"/>
      <c r="BP104" s="335"/>
      <c r="BQ104" s="335"/>
      <c r="BR104" s="335"/>
      <c r="BS104" s="335"/>
      <c r="BT104" s="335"/>
      <c r="BU104" s="335"/>
      <c r="BV104" s="335"/>
      <c r="BW104" s="335"/>
      <c r="BX104" s="335"/>
      <c r="BY104" s="335"/>
      <c r="BZ104" s="335"/>
      <c r="CA104" s="335"/>
      <c r="CB104" s="335"/>
      <c r="CC104" s="335"/>
      <c r="CD104" s="335"/>
      <c r="CE104" s="335"/>
      <c r="CF104" s="335"/>
      <c r="CG104" s="335"/>
      <c r="CH104" s="335"/>
      <c r="CI104" s="335"/>
      <c r="CJ104" s="335"/>
      <c r="CK104" s="335"/>
      <c r="CL104" s="335"/>
      <c r="CM104" s="335"/>
      <c r="CN104" s="335"/>
      <c r="CO104" s="335"/>
      <c r="CP104" s="335"/>
    </row>
    <row r="105" spans="1:94" ht="15" customHeight="1">
      <c r="A105" s="335"/>
      <c r="B105" s="335"/>
      <c r="C105" s="335"/>
      <c r="D105" s="335"/>
      <c r="E105" s="209">
        <f>IFERROR(EurMkt!F26,"")</f>
        <v>43362</v>
      </c>
      <c r="F105" s="553" t="str">
        <f t="shared" si="51"/>
        <v>LIF EURIBOR 3M;SEP 18</v>
      </c>
      <c r="G105" s="553"/>
      <c r="H105" s="553"/>
      <c r="I105" s="553"/>
      <c r="J105" s="26">
        <f t="shared" si="52"/>
        <v>-200</v>
      </c>
      <c r="K105" s="302"/>
      <c r="L105" s="59">
        <f t="shared" si="53"/>
        <v>100.1525</v>
      </c>
      <c r="M105" s="492"/>
      <c r="N105" s="492"/>
      <c r="P105" s="59">
        <f>INDEX(EurMkt!MktFut_MID,MATCH(F105,EurMkt!MktFut_Code,0),1)</f>
        <v>100.1525</v>
      </c>
      <c r="Q105" s="23">
        <f t="shared" si="54"/>
        <v>0</v>
      </c>
      <c r="R105" s="22">
        <f t="shared" si="55"/>
        <v>0</v>
      </c>
      <c r="S105" s="335"/>
      <c r="T105" s="373">
        <f t="shared" si="57"/>
        <v>670</v>
      </c>
      <c r="U105" s="373">
        <f t="shared" si="58"/>
        <v>25</v>
      </c>
      <c r="V105" s="373" t="str">
        <f t="shared" si="56"/>
        <v>2Y</v>
      </c>
      <c r="W105" s="335"/>
      <c r="X105" s="335"/>
      <c r="Y105" s="335"/>
      <c r="Z105" s="335"/>
      <c r="AA105" s="335"/>
      <c r="AB105" s="335"/>
      <c r="AC105" s="335"/>
      <c r="AD105" s="335"/>
      <c r="AE105" s="335"/>
      <c r="AF105" s="335"/>
      <c r="AG105" s="335"/>
      <c r="AH105" s="335"/>
      <c r="AI105" s="335"/>
      <c r="AJ105" s="335"/>
      <c r="AK105" s="335"/>
      <c r="AL105" s="335"/>
      <c r="AM105" s="335"/>
      <c r="AN105" s="335"/>
      <c r="AO105" s="335"/>
      <c r="AP105" s="335"/>
      <c r="AQ105" s="335"/>
      <c r="AR105" s="335"/>
      <c r="AS105" s="335"/>
      <c r="AT105" s="335"/>
      <c r="AU105" s="335"/>
      <c r="AV105" s="335"/>
      <c r="AW105" s="335"/>
      <c r="AX105" s="335"/>
      <c r="AY105" s="335"/>
      <c r="AZ105" s="335"/>
      <c r="BA105" s="335"/>
      <c r="BB105" s="335"/>
      <c r="BC105" s="335"/>
      <c r="BD105" s="335"/>
      <c r="BE105" s="335"/>
      <c r="BF105" s="335"/>
      <c r="BG105" s="335"/>
      <c r="BH105" s="335"/>
      <c r="BI105" s="335"/>
      <c r="BJ105" s="335"/>
      <c r="BK105" s="335"/>
      <c r="BL105" s="335"/>
      <c r="BM105" s="335"/>
      <c r="BN105" s="335"/>
      <c r="BO105" s="335"/>
      <c r="BP105" s="335"/>
      <c r="BQ105" s="335"/>
      <c r="BR105" s="335"/>
      <c r="BS105" s="335"/>
      <c r="BT105" s="335"/>
      <c r="BU105" s="335"/>
      <c r="BV105" s="335"/>
      <c r="BW105" s="335"/>
      <c r="BX105" s="335"/>
      <c r="BY105" s="335"/>
      <c r="BZ105" s="335"/>
      <c r="CA105" s="335"/>
      <c r="CB105" s="335"/>
      <c r="CC105" s="335"/>
      <c r="CD105" s="335"/>
      <c r="CE105" s="335"/>
      <c r="CF105" s="335"/>
      <c r="CG105" s="335"/>
      <c r="CH105" s="335"/>
      <c r="CI105" s="335"/>
      <c r="CJ105" s="335"/>
      <c r="CK105" s="335"/>
      <c r="CL105" s="335"/>
      <c r="CM105" s="335"/>
      <c r="CN105" s="335"/>
      <c r="CO105" s="335"/>
      <c r="CP105" s="335"/>
    </row>
    <row r="106" spans="1:94" ht="15" customHeight="1">
      <c r="A106" s="335"/>
      <c r="B106" s="335"/>
      <c r="C106" s="335"/>
      <c r="D106" s="335"/>
      <c r="E106" s="209">
        <f>IFERROR(EurMkt!F27,"")</f>
        <v>43453</v>
      </c>
      <c r="F106" s="553" t="str">
        <f t="shared" si="51"/>
        <v>LIF EURIBOR 3M;DEC 18</v>
      </c>
      <c r="G106" s="553"/>
      <c r="H106" s="553"/>
      <c r="I106" s="553"/>
      <c r="J106" s="26">
        <f t="shared" si="52"/>
        <v>-100</v>
      </c>
      <c r="K106" s="302"/>
      <c r="L106" s="59">
        <f t="shared" si="53"/>
        <v>100.1125</v>
      </c>
      <c r="M106" s="492"/>
      <c r="N106" s="492"/>
      <c r="P106" s="59">
        <f>INDEX(EurMkt!MktFut_MID,MATCH(F106,EurMkt!MktFut_Code,0),1)</f>
        <v>100.1075</v>
      </c>
      <c r="Q106" s="23">
        <f t="shared" si="54"/>
        <v>-0.49999999999954525</v>
      </c>
      <c r="R106" s="22">
        <f t="shared" si="55"/>
        <v>1249.9999999988631</v>
      </c>
      <c r="S106" s="335"/>
      <c r="T106" s="373">
        <f t="shared" si="57"/>
        <v>761</v>
      </c>
      <c r="U106" s="373">
        <f t="shared" si="58"/>
        <v>28</v>
      </c>
      <c r="V106" s="373" t="str">
        <f t="shared" si="56"/>
        <v>2Y</v>
      </c>
      <c r="W106" s="335"/>
      <c r="X106" s="335"/>
      <c r="Y106" s="335"/>
      <c r="Z106" s="335"/>
      <c r="AA106" s="335"/>
      <c r="AB106" s="335"/>
      <c r="AC106" s="335"/>
      <c r="AD106" s="335"/>
      <c r="AE106" s="335"/>
      <c r="AF106" s="335"/>
      <c r="AG106" s="335"/>
      <c r="AH106" s="335"/>
      <c r="AI106" s="335"/>
      <c r="AJ106" s="335"/>
      <c r="AK106" s="335"/>
      <c r="AL106" s="335"/>
      <c r="AM106" s="335"/>
      <c r="AN106" s="335"/>
      <c r="AO106" s="335"/>
      <c r="AP106" s="335"/>
      <c r="AQ106" s="335"/>
      <c r="AR106" s="335"/>
      <c r="AS106" s="335"/>
      <c r="AT106" s="335"/>
      <c r="AU106" s="335"/>
      <c r="AV106" s="335"/>
      <c r="AW106" s="335"/>
      <c r="AX106" s="335"/>
      <c r="AY106" s="335"/>
      <c r="AZ106" s="335"/>
      <c r="BA106" s="335"/>
      <c r="BB106" s="335"/>
      <c r="BC106" s="335"/>
      <c r="BD106" s="335"/>
      <c r="BE106" s="335"/>
      <c r="BF106" s="335"/>
      <c r="BG106" s="335"/>
      <c r="BH106" s="335"/>
      <c r="BI106" s="335"/>
      <c r="BJ106" s="335"/>
      <c r="BK106" s="335"/>
      <c r="BL106" s="335"/>
      <c r="BM106" s="335"/>
      <c r="BN106" s="335"/>
      <c r="BO106" s="335"/>
      <c r="BP106" s="335"/>
      <c r="BQ106" s="335"/>
      <c r="BR106" s="335"/>
      <c r="BS106" s="335"/>
      <c r="BT106" s="335"/>
      <c r="BU106" s="335"/>
      <c r="BV106" s="335"/>
      <c r="BW106" s="335"/>
      <c r="BX106" s="335"/>
      <c r="BY106" s="335"/>
      <c r="BZ106" s="335"/>
      <c r="CA106" s="335"/>
      <c r="CB106" s="335"/>
      <c r="CC106" s="335"/>
      <c r="CD106" s="335"/>
      <c r="CE106" s="335"/>
      <c r="CF106" s="335"/>
      <c r="CG106" s="335"/>
      <c r="CH106" s="335"/>
      <c r="CI106" s="335"/>
      <c r="CJ106" s="335"/>
      <c r="CK106" s="335"/>
      <c r="CL106" s="335"/>
      <c r="CM106" s="335"/>
      <c r="CN106" s="335"/>
      <c r="CO106" s="335"/>
      <c r="CP106" s="335"/>
    </row>
    <row r="107" spans="1:94" ht="15" customHeight="1">
      <c r="A107" s="335"/>
      <c r="B107" s="335"/>
      <c r="C107" s="335"/>
      <c r="D107" s="335"/>
      <c r="E107" s="209">
        <f>IFERROR(EurMkt!F28,"")</f>
        <v>43544</v>
      </c>
      <c r="F107" s="553" t="str">
        <f t="shared" si="51"/>
        <v>LIF EURIBOR 3M;MAR 19</v>
      </c>
      <c r="G107" s="553"/>
      <c r="H107" s="553"/>
      <c r="I107" s="553"/>
      <c r="J107" s="26" t="e">
        <f t="shared" si="52"/>
        <v>#N/A</v>
      </c>
      <c r="K107" s="302"/>
      <c r="L107" s="59" t="e">
        <f t="shared" si="53"/>
        <v>#N/A</v>
      </c>
      <c r="M107" s="492"/>
      <c r="N107" s="492"/>
      <c r="P107" s="59">
        <f>INDEX(EurMkt!MktFut_MID,MATCH(F107,EurMkt!MktFut_Code,0),1)</f>
        <v>100.0625</v>
      </c>
      <c r="Q107" s="23" t="e">
        <f t="shared" si="54"/>
        <v>#N/A</v>
      </c>
      <c r="R107" s="22">
        <f t="shared" si="55"/>
        <v>0</v>
      </c>
      <c r="S107" s="335"/>
      <c r="T107" s="373">
        <f t="shared" si="57"/>
        <v>852</v>
      </c>
      <c r="U107" s="373">
        <f t="shared" si="58"/>
        <v>31</v>
      </c>
      <c r="V107" s="373" t="str">
        <f t="shared" si="56"/>
        <v>2Y</v>
      </c>
      <c r="W107" s="335"/>
      <c r="X107" s="335"/>
      <c r="Y107" s="335"/>
      <c r="Z107" s="335"/>
      <c r="AA107" s="335"/>
      <c r="AB107" s="335"/>
      <c r="AC107" s="335"/>
      <c r="AD107" s="335"/>
      <c r="AE107" s="335"/>
      <c r="AF107" s="335"/>
      <c r="AG107" s="335"/>
      <c r="AH107" s="335"/>
      <c r="AI107" s="335"/>
      <c r="AJ107" s="335"/>
      <c r="AK107" s="335"/>
      <c r="AL107" s="335"/>
      <c r="AM107" s="335"/>
      <c r="AN107" s="335"/>
      <c r="AO107" s="335"/>
      <c r="AP107" s="335"/>
      <c r="AQ107" s="335"/>
      <c r="AR107" s="335"/>
      <c r="AS107" s="335"/>
      <c r="AT107" s="335"/>
      <c r="AU107" s="335"/>
      <c r="AV107" s="335"/>
      <c r="AW107" s="335"/>
      <c r="AX107" s="335"/>
      <c r="AY107" s="335"/>
      <c r="AZ107" s="335"/>
      <c r="BA107" s="335"/>
      <c r="BB107" s="335"/>
      <c r="BC107" s="335"/>
      <c r="BD107" s="335"/>
      <c r="BE107" s="335"/>
      <c r="BF107" s="335"/>
      <c r="BG107" s="335"/>
      <c r="BH107" s="335"/>
      <c r="BI107" s="335"/>
      <c r="BJ107" s="335"/>
      <c r="BK107" s="335"/>
      <c r="BL107" s="335"/>
      <c r="BM107" s="335"/>
      <c r="BN107" s="335"/>
      <c r="BO107" s="335"/>
      <c r="BP107" s="335"/>
      <c r="BQ107" s="335"/>
      <c r="BR107" s="335"/>
      <c r="BS107" s="335"/>
      <c r="BT107" s="335"/>
      <c r="BU107" s="335"/>
      <c r="BV107" s="335"/>
      <c r="BW107" s="335"/>
      <c r="BX107" s="335"/>
      <c r="BY107" s="335"/>
      <c r="BZ107" s="335"/>
      <c r="CA107" s="335"/>
      <c r="CB107" s="335"/>
      <c r="CC107" s="335"/>
      <c r="CD107" s="335"/>
      <c r="CE107" s="335"/>
      <c r="CF107" s="335"/>
      <c r="CG107" s="335"/>
      <c r="CH107" s="335"/>
      <c r="CI107" s="335"/>
      <c r="CJ107" s="335"/>
      <c r="CK107" s="335"/>
      <c r="CL107" s="335"/>
      <c r="CM107" s="335"/>
      <c r="CN107" s="335"/>
      <c r="CO107" s="335"/>
      <c r="CP107" s="335"/>
    </row>
    <row r="108" spans="1:94" ht="15" customHeight="1">
      <c r="A108" s="335"/>
      <c r="B108" s="335"/>
      <c r="C108" s="335"/>
      <c r="D108" s="335"/>
      <c r="E108" s="209">
        <f>IFERROR(EurMkt!F29,"")</f>
        <v>43635</v>
      </c>
      <c r="F108" s="553" t="str">
        <f t="shared" si="51"/>
        <v>LIF EURIBOR 3M;JUN 19</v>
      </c>
      <c r="G108" s="553"/>
      <c r="H108" s="553"/>
      <c r="I108" s="553"/>
      <c r="J108" s="26" t="e">
        <f t="shared" si="52"/>
        <v>#N/A</v>
      </c>
      <c r="K108" s="302"/>
      <c r="L108" s="59" t="e">
        <f t="shared" si="53"/>
        <v>#N/A</v>
      </c>
      <c r="M108" s="492"/>
      <c r="N108" s="492"/>
      <c r="P108" s="59">
        <f>INDEX(EurMkt!MktFut_MID,MATCH(F108,EurMkt!MktFut_Code,0),1)</f>
        <v>100.0175</v>
      </c>
      <c r="Q108" s="23" t="e">
        <f t="shared" si="54"/>
        <v>#N/A</v>
      </c>
      <c r="R108" s="22">
        <f t="shared" si="55"/>
        <v>0</v>
      </c>
      <c r="S108" s="335"/>
      <c r="T108" s="373">
        <f t="shared" si="57"/>
        <v>943</v>
      </c>
      <c r="U108" s="373">
        <f t="shared" si="58"/>
        <v>34</v>
      </c>
      <c r="V108" s="373" t="str">
        <f t="shared" si="56"/>
        <v>2Y</v>
      </c>
      <c r="W108" s="335"/>
      <c r="X108" s="335"/>
      <c r="Y108" s="335"/>
      <c r="Z108" s="335"/>
      <c r="AA108" s="335"/>
      <c r="AB108" s="335"/>
      <c r="AC108" s="335"/>
      <c r="AD108" s="335"/>
      <c r="AE108" s="335"/>
      <c r="AF108" s="335"/>
      <c r="AG108" s="335"/>
      <c r="AH108" s="335"/>
      <c r="AI108" s="335"/>
      <c r="AJ108" s="335"/>
      <c r="AK108" s="335"/>
      <c r="AL108" s="335"/>
      <c r="AM108" s="335"/>
      <c r="AN108" s="335"/>
      <c r="AO108" s="335"/>
      <c r="AP108" s="335"/>
      <c r="AQ108" s="335"/>
      <c r="AR108" s="335"/>
      <c r="AS108" s="335"/>
      <c r="AT108" s="335"/>
      <c r="AU108" s="335"/>
      <c r="AV108" s="335"/>
      <c r="AW108" s="335"/>
      <c r="AX108" s="335"/>
      <c r="AY108" s="335"/>
      <c r="AZ108" s="335"/>
      <c r="BA108" s="335"/>
      <c r="BB108" s="335"/>
      <c r="BC108" s="335"/>
      <c r="BD108" s="335"/>
      <c r="BE108" s="335"/>
      <c r="BF108" s="335"/>
      <c r="BG108" s="335"/>
      <c r="BH108" s="335"/>
      <c r="BI108" s="335"/>
      <c r="BJ108" s="335"/>
      <c r="BK108" s="335"/>
      <c r="BL108" s="335"/>
      <c r="BM108" s="335"/>
      <c r="BN108" s="335"/>
      <c r="BO108" s="335"/>
      <c r="BP108" s="335"/>
      <c r="BQ108" s="335"/>
      <c r="BR108" s="335"/>
      <c r="BS108" s="335"/>
      <c r="BT108" s="335"/>
      <c r="BU108" s="335"/>
      <c r="BV108" s="335"/>
      <c r="BW108" s="335"/>
      <c r="BX108" s="335"/>
      <c r="BY108" s="335"/>
      <c r="BZ108" s="335"/>
      <c r="CA108" s="335"/>
      <c r="CB108" s="335"/>
      <c r="CC108" s="335"/>
      <c r="CD108" s="335"/>
      <c r="CE108" s="335"/>
      <c r="CF108" s="335"/>
      <c r="CG108" s="335"/>
      <c r="CH108" s="335"/>
      <c r="CI108" s="335"/>
      <c r="CJ108" s="335"/>
      <c r="CK108" s="335"/>
      <c r="CL108" s="335"/>
      <c r="CM108" s="335"/>
      <c r="CN108" s="335"/>
      <c r="CO108" s="335"/>
      <c r="CP108" s="335"/>
    </row>
    <row r="109" spans="1:94" ht="15" customHeight="1">
      <c r="A109" s="335"/>
      <c r="B109" s="335"/>
      <c r="C109" s="335"/>
      <c r="D109" s="335"/>
      <c r="E109" s="209">
        <f>IFERROR(EurMkt!F30,"")</f>
        <v>43726</v>
      </c>
      <c r="F109" s="553" t="str">
        <f t="shared" si="51"/>
        <v>LIF EURIBOR 3M;SEP 19</v>
      </c>
      <c r="G109" s="553"/>
      <c r="H109" s="553"/>
      <c r="I109" s="553"/>
      <c r="J109" s="26" t="e">
        <f t="shared" si="52"/>
        <v>#N/A</v>
      </c>
      <c r="K109" s="302"/>
      <c r="L109" s="59" t="e">
        <f t="shared" si="53"/>
        <v>#N/A</v>
      </c>
      <c r="M109" s="492"/>
      <c r="N109" s="492"/>
      <c r="P109" s="59">
        <f>INDEX(EurMkt!MktFut_MID,MATCH(F109,EurMkt!MktFut_Code,0),1)</f>
        <v>99.967500000000001</v>
      </c>
      <c r="Q109" s="23" t="e">
        <f t="shared" si="54"/>
        <v>#N/A</v>
      </c>
      <c r="R109" s="22">
        <f t="shared" si="55"/>
        <v>0</v>
      </c>
      <c r="S109" s="335"/>
      <c r="T109" s="373">
        <f t="shared" si="57"/>
        <v>1034</v>
      </c>
      <c r="U109" s="373">
        <f t="shared" si="58"/>
        <v>37</v>
      </c>
      <c r="V109" s="373" t="str">
        <f t="shared" si="56"/>
        <v>2Y</v>
      </c>
      <c r="W109" s="335"/>
      <c r="X109" s="335"/>
      <c r="Y109" s="335"/>
      <c r="Z109" s="335"/>
      <c r="AA109" s="335"/>
      <c r="AB109" s="335"/>
      <c r="AC109" s="335"/>
      <c r="AD109" s="335"/>
      <c r="AE109" s="335"/>
      <c r="AF109" s="335"/>
      <c r="AG109" s="335"/>
      <c r="AH109" s="335"/>
      <c r="AI109" s="335"/>
      <c r="AJ109" s="335"/>
      <c r="AK109" s="335"/>
      <c r="AL109" s="335"/>
      <c r="AM109" s="335"/>
      <c r="AN109" s="335"/>
      <c r="AO109" s="335"/>
      <c r="AP109" s="335"/>
      <c r="AQ109" s="335"/>
      <c r="AR109" s="335"/>
      <c r="AS109" s="335"/>
      <c r="AT109" s="335"/>
      <c r="AU109" s="335"/>
      <c r="AV109" s="335"/>
      <c r="AW109" s="335"/>
      <c r="AX109" s="335"/>
      <c r="AY109" s="335"/>
      <c r="AZ109" s="335"/>
      <c r="BA109" s="335"/>
      <c r="BB109" s="335"/>
      <c r="BC109" s="335"/>
      <c r="BD109" s="335"/>
      <c r="BE109" s="335"/>
      <c r="BF109" s="335"/>
      <c r="BG109" s="335"/>
      <c r="BH109" s="335"/>
      <c r="BI109" s="335"/>
      <c r="BJ109" s="335"/>
      <c r="BK109" s="335"/>
      <c r="BL109" s="335"/>
      <c r="BM109" s="335"/>
      <c r="BN109" s="335"/>
      <c r="BO109" s="335"/>
      <c r="BP109" s="335"/>
      <c r="BQ109" s="335"/>
      <c r="BR109" s="335"/>
      <c r="BS109" s="335"/>
      <c r="BT109" s="335"/>
      <c r="BU109" s="335"/>
      <c r="BV109" s="335"/>
      <c r="BW109" s="335"/>
      <c r="BX109" s="335"/>
      <c r="BY109" s="335"/>
      <c r="BZ109" s="335"/>
      <c r="CA109" s="335"/>
      <c r="CB109" s="335"/>
      <c r="CC109" s="335"/>
      <c r="CD109" s="335"/>
      <c r="CE109" s="335"/>
      <c r="CF109" s="335"/>
      <c r="CG109" s="335"/>
      <c r="CH109" s="335"/>
      <c r="CI109" s="335"/>
      <c r="CJ109" s="335"/>
      <c r="CK109" s="335"/>
      <c r="CL109" s="335"/>
      <c r="CM109" s="335"/>
      <c r="CN109" s="335"/>
      <c r="CO109" s="335"/>
      <c r="CP109" s="335"/>
    </row>
    <row r="110" spans="1:94" ht="15" customHeight="1">
      <c r="A110" s="335"/>
      <c r="B110" s="335"/>
      <c r="C110" s="335"/>
      <c r="D110" s="335"/>
      <c r="E110" s="209">
        <f>IFERROR(EurMkt!F31,"")</f>
        <v>43817</v>
      </c>
      <c r="F110" s="553" t="str">
        <f t="shared" si="51"/>
        <v>LIF EURIBOR 3M;DEC 19</v>
      </c>
      <c r="G110" s="553"/>
      <c r="H110" s="553"/>
      <c r="I110" s="553"/>
      <c r="J110" s="26" t="e">
        <f t="shared" si="52"/>
        <v>#N/A</v>
      </c>
      <c r="K110" s="302"/>
      <c r="L110" s="59" t="e">
        <f t="shared" si="53"/>
        <v>#N/A</v>
      </c>
      <c r="M110" s="492"/>
      <c r="N110" s="492"/>
      <c r="P110" s="59">
        <f>INDEX(EurMkt!MktFut_MID,MATCH(F110,EurMkt!MktFut_Code,0),1)</f>
        <v>99.912499999999994</v>
      </c>
      <c r="Q110" s="23" t="e">
        <f t="shared" si="54"/>
        <v>#N/A</v>
      </c>
      <c r="R110" s="22">
        <f t="shared" si="55"/>
        <v>0</v>
      </c>
      <c r="S110" s="335"/>
      <c r="T110" s="373">
        <f t="shared" si="57"/>
        <v>1125</v>
      </c>
      <c r="U110" s="373">
        <f t="shared" si="58"/>
        <v>41</v>
      </c>
      <c r="V110" s="373" t="str">
        <f t="shared" si="56"/>
        <v>2Y</v>
      </c>
      <c r="W110" s="335"/>
      <c r="X110" s="335"/>
      <c r="Y110" s="335"/>
      <c r="Z110" s="335"/>
      <c r="AA110" s="335"/>
      <c r="AB110" s="335"/>
      <c r="AC110" s="335"/>
      <c r="AD110" s="335"/>
      <c r="AE110" s="335"/>
      <c r="AF110" s="335"/>
      <c r="AG110" s="335"/>
      <c r="AH110" s="335"/>
      <c r="AI110" s="335"/>
      <c r="AJ110" s="335"/>
      <c r="AK110" s="335"/>
      <c r="AL110" s="335"/>
      <c r="AM110" s="335"/>
      <c r="AN110" s="335"/>
      <c r="AO110" s="335"/>
      <c r="AP110" s="335"/>
      <c r="AQ110" s="335"/>
      <c r="AR110" s="335"/>
      <c r="AS110" s="335"/>
      <c r="AT110" s="335"/>
      <c r="AU110" s="335"/>
      <c r="AV110" s="335"/>
      <c r="AW110" s="335"/>
      <c r="AX110" s="335"/>
      <c r="AY110" s="335"/>
      <c r="AZ110" s="335"/>
      <c r="BA110" s="335"/>
      <c r="BB110" s="335"/>
      <c r="BC110" s="335"/>
      <c r="BD110" s="335"/>
      <c r="BE110" s="335"/>
      <c r="BF110" s="335"/>
      <c r="BG110" s="335"/>
      <c r="BH110" s="335"/>
      <c r="BI110" s="335"/>
      <c r="BJ110" s="335"/>
      <c r="BK110" s="335"/>
      <c r="BL110" s="335"/>
      <c r="BM110" s="335"/>
      <c r="BN110" s="335"/>
      <c r="BO110" s="335"/>
      <c r="BP110" s="335"/>
      <c r="BQ110" s="335"/>
      <c r="BR110" s="335"/>
      <c r="BS110" s="335"/>
      <c r="BT110" s="335"/>
      <c r="BU110" s="335"/>
      <c r="BV110" s="335"/>
      <c r="BW110" s="335"/>
      <c r="BX110" s="335"/>
      <c r="BY110" s="335"/>
      <c r="BZ110" s="335"/>
      <c r="CA110" s="335"/>
      <c r="CB110" s="335"/>
      <c r="CC110" s="335"/>
      <c r="CD110" s="335"/>
      <c r="CE110" s="335"/>
      <c r="CF110" s="335"/>
      <c r="CG110" s="335"/>
      <c r="CH110" s="335"/>
      <c r="CI110" s="335"/>
      <c r="CJ110" s="335"/>
      <c r="CK110" s="335"/>
      <c r="CL110" s="335"/>
      <c r="CM110" s="335"/>
      <c r="CN110" s="335"/>
      <c r="CO110" s="335"/>
      <c r="CP110" s="335"/>
    </row>
    <row r="111" spans="1:94" ht="15" customHeight="1">
      <c r="A111" s="335"/>
      <c r="B111" s="335"/>
      <c r="C111" s="335"/>
      <c r="D111" s="335"/>
      <c r="E111" s="209">
        <f>IFERROR(EurMkt!F32,"")</f>
        <v>43908</v>
      </c>
      <c r="F111" s="553" t="str">
        <f t="shared" si="51"/>
        <v>LIF EURIBOR 3M;MAR 20</v>
      </c>
      <c r="G111" s="553"/>
      <c r="H111" s="553"/>
      <c r="I111" s="553"/>
      <c r="J111" s="26" t="e">
        <f t="shared" si="52"/>
        <v>#N/A</v>
      </c>
      <c r="K111" s="302"/>
      <c r="L111" s="59" t="e">
        <f t="shared" si="53"/>
        <v>#N/A</v>
      </c>
      <c r="M111" s="492"/>
      <c r="N111" s="492"/>
      <c r="P111" s="59">
        <f>INDEX(EurMkt!MktFut_MID,MATCH(F111,EurMkt!MktFut_Code,0),1)</f>
        <v>99.857500000000002</v>
      </c>
      <c r="Q111" s="23" t="e">
        <f t="shared" si="54"/>
        <v>#N/A</v>
      </c>
      <c r="R111" s="22">
        <f t="shared" si="55"/>
        <v>0</v>
      </c>
      <c r="S111" s="335"/>
      <c r="T111" s="373">
        <f t="shared" si="57"/>
        <v>1216</v>
      </c>
      <c r="U111" s="373">
        <f t="shared" si="58"/>
        <v>44</v>
      </c>
      <c r="V111" s="373" t="str">
        <f t="shared" si="56"/>
        <v>2Y</v>
      </c>
      <c r="W111" s="335"/>
      <c r="X111" s="335"/>
      <c r="Y111" s="335"/>
      <c r="Z111" s="335"/>
      <c r="AA111" s="335"/>
      <c r="AB111" s="335"/>
      <c r="AC111" s="335"/>
      <c r="AD111" s="335"/>
      <c r="AE111" s="335"/>
      <c r="AF111" s="335"/>
      <c r="AG111" s="335"/>
      <c r="AH111" s="335"/>
      <c r="AI111" s="335"/>
      <c r="AJ111" s="335"/>
      <c r="AK111" s="335"/>
      <c r="AL111" s="335"/>
      <c r="AM111" s="335"/>
      <c r="AN111" s="335"/>
      <c r="AO111" s="335"/>
      <c r="AP111" s="335"/>
      <c r="AQ111" s="335"/>
      <c r="AR111" s="335"/>
      <c r="AS111" s="335"/>
      <c r="AT111" s="335"/>
      <c r="AU111" s="335"/>
      <c r="AV111" s="335"/>
      <c r="AW111" s="335"/>
      <c r="AX111" s="335"/>
      <c r="AY111" s="335"/>
      <c r="AZ111" s="335"/>
      <c r="BA111" s="335"/>
      <c r="BB111" s="335"/>
      <c r="BC111" s="335"/>
      <c r="BD111" s="335"/>
      <c r="BE111" s="335"/>
      <c r="BF111" s="335"/>
      <c r="BG111" s="335"/>
      <c r="BH111" s="335"/>
      <c r="BI111" s="335"/>
      <c r="BJ111" s="335"/>
      <c r="BK111" s="335"/>
      <c r="BL111" s="335"/>
      <c r="BM111" s="335"/>
      <c r="BN111" s="335"/>
      <c r="BO111" s="335"/>
      <c r="BP111" s="335"/>
      <c r="BQ111" s="335"/>
      <c r="BR111" s="335"/>
      <c r="BS111" s="335"/>
      <c r="BT111" s="335"/>
      <c r="BU111" s="335"/>
      <c r="BV111" s="335"/>
      <c r="BW111" s="335"/>
      <c r="BX111" s="335"/>
      <c r="BY111" s="335"/>
      <c r="BZ111" s="335"/>
      <c r="CA111" s="335"/>
      <c r="CB111" s="335"/>
      <c r="CC111" s="335"/>
      <c r="CD111" s="335"/>
      <c r="CE111" s="335"/>
      <c r="CF111" s="335"/>
      <c r="CG111" s="335"/>
      <c r="CH111" s="335"/>
      <c r="CI111" s="335"/>
      <c r="CJ111" s="335"/>
      <c r="CK111" s="335"/>
      <c r="CL111" s="335"/>
      <c r="CM111" s="335"/>
      <c r="CN111" s="335"/>
      <c r="CO111" s="335"/>
      <c r="CP111" s="335"/>
    </row>
    <row r="112" spans="1:94" ht="15" customHeight="1">
      <c r="A112" s="335"/>
      <c r="B112" s="335"/>
      <c r="C112" s="335"/>
      <c r="D112" s="335"/>
      <c r="E112" s="209">
        <f>IFERROR(EurMkt!F33,"")</f>
        <v>43999</v>
      </c>
      <c r="F112" s="553" t="str">
        <f t="shared" si="51"/>
        <v>LIF EURIBOR 3M;JUN 20</v>
      </c>
      <c r="G112" s="553"/>
      <c r="H112" s="553"/>
      <c r="I112" s="553"/>
      <c r="J112" s="26" t="e">
        <f t="shared" si="52"/>
        <v>#N/A</v>
      </c>
      <c r="K112" s="302"/>
      <c r="L112" s="59" t="e">
        <f t="shared" si="53"/>
        <v>#N/A</v>
      </c>
      <c r="M112" s="492"/>
      <c r="N112" s="492"/>
      <c r="P112" s="59">
        <f>INDEX(EurMkt!MktFut_MID,MATCH(F112,EurMkt!MktFut_Code,0),1)</f>
        <v>99.797499999999999</v>
      </c>
      <c r="Q112" s="23" t="e">
        <f t="shared" si="54"/>
        <v>#N/A</v>
      </c>
      <c r="R112" s="22">
        <f t="shared" si="55"/>
        <v>0</v>
      </c>
      <c r="S112" s="335"/>
      <c r="T112" s="373">
        <f t="shared" si="57"/>
        <v>1307</v>
      </c>
      <c r="U112" s="373">
        <f t="shared" si="58"/>
        <v>47</v>
      </c>
      <c r="V112" s="373" t="str">
        <f t="shared" si="56"/>
        <v>2Y</v>
      </c>
      <c r="W112" s="335"/>
      <c r="X112" s="335"/>
      <c r="Y112" s="335"/>
      <c r="Z112" s="335"/>
      <c r="AA112" s="335"/>
      <c r="AB112" s="335"/>
      <c r="AC112" s="335"/>
      <c r="AD112" s="335"/>
      <c r="AE112" s="335"/>
      <c r="AF112" s="335"/>
      <c r="AG112" s="335"/>
      <c r="AH112" s="335"/>
      <c r="AI112" s="335"/>
      <c r="AJ112" s="335"/>
      <c r="AK112" s="335"/>
      <c r="AL112" s="335"/>
      <c r="AM112" s="335"/>
      <c r="AN112" s="335"/>
      <c r="AO112" s="335"/>
      <c r="AP112" s="335"/>
      <c r="AQ112" s="335"/>
      <c r="AR112" s="335"/>
      <c r="AS112" s="335"/>
      <c r="AT112" s="335"/>
      <c r="AU112" s="335"/>
      <c r="AV112" s="335"/>
      <c r="AW112" s="335"/>
      <c r="AX112" s="335"/>
      <c r="AY112" s="335"/>
      <c r="AZ112" s="335"/>
      <c r="BA112" s="335"/>
      <c r="BB112" s="335"/>
      <c r="BC112" s="335"/>
      <c r="BD112" s="335"/>
      <c r="BE112" s="335"/>
      <c r="BF112" s="335"/>
      <c r="BG112" s="335"/>
      <c r="BH112" s="335"/>
      <c r="BI112" s="335"/>
      <c r="BJ112" s="335"/>
      <c r="BK112" s="335"/>
      <c r="BL112" s="335"/>
      <c r="BM112" s="335"/>
      <c r="BN112" s="335"/>
      <c r="BO112" s="335"/>
      <c r="BP112" s="335"/>
      <c r="BQ112" s="335"/>
      <c r="BR112" s="335"/>
      <c r="BS112" s="335"/>
      <c r="BT112" s="335"/>
      <c r="BU112" s="335"/>
      <c r="BV112" s="335"/>
      <c r="BW112" s="335"/>
      <c r="BX112" s="335"/>
      <c r="BY112" s="335"/>
      <c r="BZ112" s="335"/>
      <c r="CA112" s="335"/>
      <c r="CB112" s="335"/>
      <c r="CC112" s="335"/>
      <c r="CD112" s="335"/>
      <c r="CE112" s="335"/>
      <c r="CF112" s="335"/>
      <c r="CG112" s="335"/>
      <c r="CH112" s="335"/>
      <c r="CI112" s="335"/>
      <c r="CJ112" s="335"/>
      <c r="CK112" s="335"/>
      <c r="CL112" s="335"/>
      <c r="CM112" s="335"/>
      <c r="CN112" s="335"/>
      <c r="CO112" s="335"/>
      <c r="CP112" s="335"/>
    </row>
    <row r="113" spans="1:94" ht="15" customHeight="1">
      <c r="A113" s="335"/>
      <c r="B113" s="335"/>
      <c r="C113" s="335"/>
      <c r="D113" s="335"/>
      <c r="E113" s="209">
        <f>IFERROR(EurMkt!F34,"")</f>
        <v>44090</v>
      </c>
      <c r="F113" s="553" t="str">
        <f t="shared" si="51"/>
        <v>LIF EURIBOR 3M;SEP 20</v>
      </c>
      <c r="G113" s="553"/>
      <c r="H113" s="553"/>
      <c r="I113" s="553"/>
      <c r="J113" s="26" t="e">
        <f t="shared" si="52"/>
        <v>#N/A</v>
      </c>
      <c r="K113" s="302"/>
      <c r="L113" s="59" t="e">
        <f t="shared" si="53"/>
        <v>#N/A</v>
      </c>
      <c r="M113" s="492"/>
      <c r="N113" s="492"/>
      <c r="P113" s="59">
        <f>INDEX(EurMkt!MktFut_MID,MATCH(F113,EurMkt!MktFut_Code,0),1)</f>
        <v>99.727500000000006</v>
      </c>
      <c r="Q113" s="23" t="e">
        <f t="shared" si="54"/>
        <v>#N/A</v>
      </c>
      <c r="R113" s="22">
        <f t="shared" si="55"/>
        <v>0</v>
      </c>
      <c r="S113" s="335"/>
      <c r="T113" s="373">
        <f t="shared" si="57"/>
        <v>1398</v>
      </c>
      <c r="U113" s="373">
        <f t="shared" si="58"/>
        <v>50</v>
      </c>
      <c r="V113" s="373" t="str">
        <f t="shared" si="56"/>
        <v>2Y</v>
      </c>
      <c r="W113" s="335"/>
      <c r="X113" s="335"/>
      <c r="Y113" s="335"/>
      <c r="Z113" s="335"/>
      <c r="AA113" s="335"/>
      <c r="AB113" s="335"/>
      <c r="AC113" s="335"/>
      <c r="AD113" s="335"/>
      <c r="AE113" s="335"/>
      <c r="AF113" s="335"/>
      <c r="AG113" s="335"/>
      <c r="AH113" s="335"/>
      <c r="AI113" s="335"/>
      <c r="AJ113" s="335"/>
      <c r="AK113" s="335"/>
      <c r="AL113" s="335"/>
      <c r="AM113" s="335"/>
      <c r="AN113" s="335"/>
      <c r="AO113" s="335"/>
      <c r="AP113" s="335"/>
      <c r="AQ113" s="335"/>
      <c r="AR113" s="335"/>
      <c r="AS113" s="335"/>
      <c r="AT113" s="335"/>
      <c r="AU113" s="335"/>
      <c r="AV113" s="335"/>
      <c r="AW113" s="335"/>
      <c r="AX113" s="335"/>
      <c r="AY113" s="335"/>
      <c r="AZ113" s="335"/>
      <c r="BA113" s="335"/>
      <c r="BB113" s="335"/>
      <c r="BC113" s="335"/>
      <c r="BD113" s="335"/>
      <c r="BE113" s="335"/>
      <c r="BF113" s="335"/>
      <c r="BG113" s="335"/>
      <c r="BH113" s="335"/>
      <c r="BI113" s="335"/>
      <c r="BJ113" s="335"/>
      <c r="BK113" s="335"/>
      <c r="BL113" s="335"/>
      <c r="BM113" s="335"/>
      <c r="BN113" s="335"/>
      <c r="BO113" s="335"/>
      <c r="BP113" s="335"/>
      <c r="BQ113" s="335"/>
      <c r="BR113" s="335"/>
      <c r="BS113" s="335"/>
      <c r="BT113" s="335"/>
      <c r="BU113" s="335"/>
      <c r="BV113" s="335"/>
      <c r="BW113" s="335"/>
      <c r="BX113" s="335"/>
      <c r="BY113" s="335"/>
      <c r="BZ113" s="335"/>
      <c r="CA113" s="335"/>
      <c r="CB113" s="335"/>
      <c r="CC113" s="335"/>
      <c r="CD113" s="335"/>
      <c r="CE113" s="335"/>
      <c r="CF113" s="335"/>
      <c r="CG113" s="335"/>
      <c r="CH113" s="335"/>
      <c r="CI113" s="335"/>
      <c r="CJ113" s="335"/>
      <c r="CK113" s="335"/>
      <c r="CL113" s="335"/>
      <c r="CM113" s="335"/>
      <c r="CN113" s="335"/>
      <c r="CO113" s="335"/>
      <c r="CP113" s="335"/>
    </row>
    <row r="114" spans="1:94" ht="15" customHeight="1">
      <c r="A114" s="335"/>
      <c r="B114" s="335"/>
      <c r="C114" s="335"/>
      <c r="D114" s="335"/>
      <c r="E114" s="335"/>
      <c r="F114" s="39"/>
      <c r="G114" s="303"/>
      <c r="H114" s="303"/>
      <c r="I114" s="303"/>
      <c r="J114" s="39"/>
      <c r="K114" s="303"/>
      <c r="L114" s="39"/>
      <c r="M114" s="303"/>
      <c r="N114" s="303"/>
      <c r="O114" s="303"/>
      <c r="P114" s="39"/>
      <c r="Q114" s="39"/>
      <c r="R114" s="36"/>
      <c r="S114" s="335"/>
      <c r="T114" s="335"/>
      <c r="U114" s="335"/>
      <c r="V114" s="335"/>
      <c r="W114" s="335"/>
      <c r="X114" s="335"/>
      <c r="Y114" s="335"/>
      <c r="Z114" s="335"/>
      <c r="AA114" s="335"/>
      <c r="AB114" s="335"/>
      <c r="AC114" s="335"/>
      <c r="AD114" s="335"/>
      <c r="AE114" s="335"/>
      <c r="AF114" s="335"/>
      <c r="AG114" s="335"/>
      <c r="AH114" s="335"/>
      <c r="AI114" s="335"/>
      <c r="AJ114" s="335"/>
      <c r="AK114" s="335"/>
      <c r="AL114" s="335"/>
      <c r="AM114" s="335"/>
      <c r="AN114" s="335"/>
      <c r="AO114" s="335"/>
      <c r="AP114" s="335"/>
      <c r="AQ114" s="335"/>
      <c r="AR114" s="335"/>
      <c r="AS114" s="335"/>
      <c r="AT114" s="335"/>
      <c r="AU114" s="335"/>
      <c r="AV114" s="335"/>
      <c r="AW114" s="335"/>
      <c r="AX114" s="335"/>
      <c r="AY114" s="335"/>
      <c r="AZ114" s="335"/>
      <c r="BA114" s="335"/>
      <c r="BB114" s="335"/>
      <c r="BC114" s="335"/>
      <c r="BD114" s="335"/>
      <c r="BE114" s="335"/>
      <c r="BF114" s="335"/>
      <c r="BG114" s="335"/>
      <c r="BH114" s="335"/>
      <c r="BI114" s="335"/>
      <c r="BJ114" s="335"/>
      <c r="BK114" s="335"/>
      <c r="BL114" s="335"/>
      <c r="BM114" s="335"/>
      <c r="BN114" s="335"/>
      <c r="BO114" s="335"/>
      <c r="BP114" s="335"/>
      <c r="BQ114" s="335"/>
      <c r="BR114" s="335"/>
      <c r="BS114" s="335"/>
      <c r="BT114" s="335"/>
      <c r="BU114" s="335"/>
      <c r="BV114" s="335"/>
      <c r="BW114" s="335"/>
      <c r="BX114" s="335"/>
      <c r="BY114" s="335"/>
      <c r="BZ114" s="335"/>
      <c r="CA114" s="335"/>
      <c r="CB114" s="335"/>
      <c r="CC114" s="335"/>
      <c r="CD114" s="335"/>
      <c r="CE114" s="335"/>
      <c r="CF114" s="335"/>
      <c r="CG114" s="335"/>
      <c r="CH114" s="335"/>
      <c r="CI114" s="335"/>
      <c r="CJ114" s="335"/>
      <c r="CK114" s="335"/>
      <c r="CL114" s="335"/>
      <c r="CM114" s="335"/>
      <c r="CN114" s="335"/>
      <c r="CO114" s="335"/>
      <c r="CP114" s="335"/>
    </row>
    <row r="115" spans="1:94" ht="15" customHeight="1">
      <c r="A115" s="335"/>
      <c r="B115" s="335"/>
      <c r="C115" s="335"/>
      <c r="D115" s="335"/>
      <c r="E115" s="335"/>
      <c r="F115" s="254"/>
      <c r="G115" s="310"/>
      <c r="H115" s="310"/>
      <c r="I115" s="310"/>
      <c r="J115" s="254" t="s">
        <v>617</v>
      </c>
      <c r="K115" s="310"/>
      <c r="L115" s="255" t="s">
        <v>161</v>
      </c>
      <c r="M115" s="493"/>
      <c r="N115" s="493"/>
      <c r="O115" s="303"/>
      <c r="P115" s="255" t="s">
        <v>555</v>
      </c>
      <c r="Q115" s="14" t="s">
        <v>84</v>
      </c>
      <c r="R115" s="14" t="s">
        <v>85</v>
      </c>
      <c r="S115" s="335"/>
      <c r="T115" s="335"/>
      <c r="U115" s="335"/>
      <c r="V115" s="335"/>
      <c r="W115" s="335"/>
      <c r="X115" s="335"/>
      <c r="Y115" s="335"/>
      <c r="Z115" s="335"/>
      <c r="AA115" s="335"/>
      <c r="AB115" s="335"/>
      <c r="AC115" s="335"/>
      <c r="AD115" s="335"/>
      <c r="AE115" s="335"/>
      <c r="AF115" s="335"/>
      <c r="AG115" s="335"/>
      <c r="AH115" s="335"/>
      <c r="AI115" s="335"/>
      <c r="AJ115" s="335"/>
      <c r="AK115" s="335"/>
      <c r="AL115" s="335"/>
      <c r="AM115" s="335"/>
      <c r="AN115" s="335"/>
      <c r="AO115" s="335"/>
      <c r="AP115" s="335"/>
      <c r="AQ115" s="335"/>
      <c r="AR115" s="335"/>
      <c r="AS115" s="335"/>
      <c r="AT115" s="335"/>
      <c r="AU115" s="335"/>
      <c r="AV115" s="335"/>
      <c r="AW115" s="335"/>
      <c r="AX115" s="335"/>
      <c r="AY115" s="335"/>
      <c r="AZ115" s="335"/>
      <c r="BA115" s="335"/>
      <c r="BB115" s="335"/>
      <c r="BC115" s="335"/>
      <c r="BD115" s="335"/>
      <c r="BE115" s="335"/>
      <c r="BF115" s="335"/>
      <c r="BG115" s="335"/>
      <c r="BH115" s="335"/>
      <c r="BI115" s="335"/>
      <c r="BJ115" s="335"/>
      <c r="BK115" s="335"/>
      <c r="BL115" s="335"/>
      <c r="BM115" s="335"/>
      <c r="BN115" s="335"/>
      <c r="BO115" s="335"/>
      <c r="BP115" s="335"/>
      <c r="BQ115" s="335"/>
      <c r="BR115" s="335"/>
      <c r="BS115" s="335"/>
      <c r="BT115" s="335"/>
      <c r="BU115" s="335"/>
      <c r="BV115" s="335"/>
      <c r="BW115" s="335"/>
      <c r="BX115" s="335"/>
      <c r="BY115" s="335"/>
      <c r="BZ115" s="335"/>
      <c r="CA115" s="335"/>
      <c r="CB115" s="335"/>
      <c r="CC115" s="335"/>
      <c r="CD115" s="335"/>
      <c r="CE115" s="335"/>
      <c r="CF115" s="335"/>
      <c r="CG115" s="335"/>
      <c r="CH115" s="335"/>
      <c r="CI115" s="335"/>
      <c r="CJ115" s="335"/>
      <c r="CK115" s="335"/>
      <c r="CL115" s="335"/>
      <c r="CM115" s="335"/>
      <c r="CN115" s="335"/>
      <c r="CO115" s="335"/>
      <c r="CP115" s="335"/>
    </row>
    <row r="116" spans="1:94" ht="15" customHeight="1">
      <c r="A116" s="335"/>
      <c r="B116" s="335"/>
      <c r="C116" s="335"/>
      <c r="D116" s="335"/>
      <c r="E116" s="58" t="str">
        <f>$G$3</f>
        <v>EUREX BOBL 5Y</v>
      </c>
      <c r="F116" s="553" t="str">
        <f>$G$3&amp;";"&amp;EurMkt!$M$3</f>
        <v>EUREX BOBL 5Y;DEC 16</v>
      </c>
      <c r="G116" s="553"/>
      <c r="H116" s="553"/>
      <c r="I116" s="553"/>
      <c r="J116" s="26">
        <f>VLOOKUP(F116,FUT,$H$2,FALSE)</f>
        <v>-44</v>
      </c>
      <c r="K116" s="302"/>
      <c r="L116" s="59">
        <f>VLOOKUP(F116,FUT,$I$2,FALSE)</f>
        <v>130.845</v>
      </c>
      <c r="M116" s="492"/>
      <c r="N116" s="492"/>
      <c r="O116" s="303"/>
      <c r="P116" s="59">
        <f>EurMkt!MktBOBL1</f>
        <v>130.79500000000002</v>
      </c>
      <c r="Q116" s="23">
        <f>+(P116-L116)*100</f>
        <v>-4.9999999999982947</v>
      </c>
      <c r="R116" s="8">
        <f>+Q116*J116*10</f>
        <v>2199.9999999992497</v>
      </c>
      <c r="S116" s="335"/>
      <c r="T116" s="335"/>
      <c r="U116" s="335"/>
      <c r="V116" s="335"/>
      <c r="W116" s="335"/>
      <c r="X116" s="335"/>
      <c r="Y116" s="335"/>
      <c r="Z116" s="335"/>
      <c r="AA116" s="335"/>
      <c r="AB116" s="335"/>
      <c r="AC116" s="335"/>
      <c r="AD116" s="335"/>
      <c r="AE116" s="335"/>
      <c r="AF116" s="335"/>
      <c r="AG116" s="335"/>
      <c r="AH116" s="335"/>
      <c r="AI116" s="335"/>
      <c r="AJ116" s="335"/>
      <c r="AK116" s="335"/>
      <c r="AL116" s="335"/>
      <c r="AM116" s="335"/>
      <c r="AN116" s="335"/>
      <c r="AO116" s="335"/>
      <c r="AP116" s="335"/>
      <c r="AQ116" s="335"/>
      <c r="AR116" s="335"/>
      <c r="AS116" s="335"/>
      <c r="AT116" s="335"/>
      <c r="AU116" s="335"/>
      <c r="AV116" s="335"/>
      <c r="AW116" s="335"/>
      <c r="AX116" s="335"/>
      <c r="AY116" s="335"/>
      <c r="AZ116" s="335"/>
      <c r="BA116" s="335"/>
      <c r="BB116" s="335"/>
      <c r="BC116" s="335"/>
      <c r="BD116" s="335"/>
      <c r="BE116" s="335"/>
      <c r="BF116" s="335"/>
      <c r="BG116" s="335"/>
      <c r="BH116" s="335"/>
      <c r="BI116" s="335"/>
      <c r="BJ116" s="335"/>
      <c r="BK116" s="335"/>
      <c r="BL116" s="335"/>
      <c r="BM116" s="335"/>
      <c r="BN116" s="335"/>
      <c r="BO116" s="335"/>
      <c r="BP116" s="335"/>
      <c r="BQ116" s="335"/>
      <c r="BR116" s="335"/>
      <c r="BS116" s="335"/>
      <c r="BT116" s="335"/>
      <c r="BU116" s="335"/>
      <c r="BV116" s="335"/>
      <c r="BW116" s="335"/>
      <c r="BX116" s="335"/>
      <c r="BY116" s="335"/>
      <c r="BZ116" s="335"/>
      <c r="CA116" s="335"/>
      <c r="CB116" s="335"/>
      <c r="CC116" s="335"/>
      <c r="CD116" s="335"/>
      <c r="CE116" s="335"/>
      <c r="CF116" s="335"/>
      <c r="CG116" s="335"/>
      <c r="CH116" s="335"/>
      <c r="CI116" s="335"/>
      <c r="CJ116" s="335"/>
      <c r="CK116" s="335"/>
      <c r="CL116" s="335"/>
      <c r="CM116" s="335"/>
      <c r="CN116" s="335"/>
      <c r="CO116" s="335"/>
      <c r="CP116" s="335"/>
    </row>
    <row r="117" spans="1:94" ht="15" customHeight="1" thickBot="1">
      <c r="A117" s="335"/>
      <c r="B117" s="335"/>
      <c r="C117" s="335"/>
      <c r="D117" s="335"/>
      <c r="E117" s="25"/>
      <c r="F117" s="553" t="str">
        <f>$G$3&amp;";"&amp;EurMkt!$M$4</f>
        <v>EUREX BOBL 5Y;MAR 17</v>
      </c>
      <c r="G117" s="553"/>
      <c r="H117" s="553"/>
      <c r="I117" s="553"/>
      <c r="J117" s="302" t="e">
        <f>VLOOKUP(F117,FUT,$H$2,FALSE)</f>
        <v>#N/A</v>
      </c>
      <c r="K117" s="302"/>
      <c r="L117" s="305" t="e">
        <f>VLOOKUP(F117,FUT,$I$2,FALSE)</f>
        <v>#N/A</v>
      </c>
      <c r="M117" s="492"/>
      <c r="N117" s="492"/>
      <c r="O117" s="303"/>
      <c r="P117" s="59">
        <f>EurMkt!MktBOBL2</f>
        <v>132.28</v>
      </c>
      <c r="Q117" s="23" t="e">
        <f>+(P117-L117)*100</f>
        <v>#N/A</v>
      </c>
      <c r="R117" s="84" t="e">
        <f>+Q117*J117*10</f>
        <v>#N/A</v>
      </c>
      <c r="S117" s="335"/>
      <c r="T117" s="335"/>
      <c r="U117" s="335"/>
      <c r="V117" s="335"/>
      <c r="W117" s="335"/>
      <c r="X117" s="335"/>
      <c r="Y117" s="335"/>
      <c r="Z117" s="335"/>
      <c r="AA117" s="335"/>
      <c r="AB117" s="335"/>
      <c r="AC117" s="335"/>
      <c r="AD117" s="335"/>
      <c r="AE117" s="335"/>
      <c r="AF117" s="335"/>
      <c r="AG117" s="335"/>
      <c r="AH117" s="335"/>
      <c r="AI117" s="335"/>
      <c r="AJ117" s="335"/>
      <c r="AK117" s="335"/>
      <c r="AL117" s="335"/>
      <c r="AM117" s="335"/>
      <c r="AN117" s="335"/>
      <c r="AO117" s="335"/>
      <c r="AP117" s="335"/>
      <c r="AQ117" s="335"/>
      <c r="AR117" s="335"/>
      <c r="AS117" s="335"/>
      <c r="AT117" s="335"/>
      <c r="AU117" s="335"/>
      <c r="AV117" s="335"/>
      <c r="AW117" s="335"/>
      <c r="AX117" s="335"/>
      <c r="AY117" s="335"/>
      <c r="AZ117" s="335"/>
      <c r="BA117" s="335"/>
      <c r="BB117" s="335"/>
      <c r="BC117" s="335"/>
      <c r="BD117" s="335"/>
      <c r="BE117" s="335"/>
      <c r="BF117" s="335"/>
      <c r="BG117" s="335"/>
      <c r="BH117" s="335"/>
      <c r="BI117" s="335"/>
      <c r="BJ117" s="335"/>
      <c r="BK117" s="335"/>
      <c r="BL117" s="335"/>
      <c r="BM117" s="335"/>
      <c r="BN117" s="335"/>
      <c r="BO117" s="335"/>
      <c r="BP117" s="335"/>
      <c r="BQ117" s="335"/>
      <c r="BR117" s="335"/>
      <c r="BS117" s="335"/>
      <c r="BT117" s="335"/>
      <c r="BU117" s="335"/>
      <c r="BV117" s="335"/>
      <c r="BW117" s="335"/>
      <c r="BX117" s="335"/>
      <c r="BY117" s="335"/>
      <c r="BZ117" s="335"/>
      <c r="CA117" s="335"/>
      <c r="CB117" s="335"/>
      <c r="CC117" s="335"/>
      <c r="CD117" s="335"/>
      <c r="CE117" s="335"/>
      <c r="CF117" s="335"/>
      <c r="CG117" s="335"/>
      <c r="CH117" s="335"/>
      <c r="CI117" s="335"/>
      <c r="CJ117" s="335"/>
      <c r="CK117" s="335"/>
      <c r="CL117" s="335"/>
      <c r="CM117" s="335"/>
      <c r="CN117" s="335"/>
      <c r="CO117" s="335"/>
      <c r="CP117" s="335"/>
    </row>
    <row r="118" spans="1:94" ht="15" customHeight="1" thickBot="1">
      <c r="A118" s="335"/>
      <c r="B118" s="335"/>
      <c r="C118" s="335"/>
      <c r="D118" s="335"/>
      <c r="E118" s="35"/>
      <c r="F118" s="39"/>
      <c r="G118" s="303"/>
      <c r="H118" s="303"/>
      <c r="I118" s="303"/>
      <c r="J118" s="39"/>
      <c r="K118" s="303"/>
      <c r="L118" s="39"/>
      <c r="M118" s="303"/>
      <c r="N118" s="303"/>
      <c r="O118" s="303"/>
      <c r="P118" s="39"/>
      <c r="Q118" s="39"/>
      <c r="R118" s="281">
        <f>SUMIF(R116:R117,"&lt;&gt;"&amp;NA)</f>
        <v>2199.9999999992497</v>
      </c>
      <c r="S118" s="335"/>
      <c r="T118" s="335"/>
      <c r="U118" s="335"/>
      <c r="V118" s="335"/>
      <c r="W118" s="335"/>
      <c r="X118" s="335"/>
      <c r="Y118" s="335"/>
      <c r="Z118" s="335"/>
      <c r="AA118" s="335"/>
      <c r="AB118" s="335"/>
      <c r="AC118" s="335"/>
      <c r="AD118" s="335"/>
      <c r="AE118" s="335"/>
      <c r="AF118" s="335"/>
      <c r="AG118" s="335"/>
      <c r="AH118" s="335"/>
      <c r="AI118" s="335"/>
      <c r="AJ118" s="335"/>
      <c r="AK118" s="335"/>
      <c r="AL118" s="335"/>
      <c r="AM118" s="335"/>
      <c r="AN118" s="335"/>
      <c r="AO118" s="335"/>
      <c r="AP118" s="335"/>
      <c r="AQ118" s="335"/>
      <c r="AR118" s="335"/>
      <c r="AS118" s="335"/>
      <c r="AT118" s="335"/>
      <c r="AU118" s="335"/>
      <c r="AV118" s="335"/>
      <c r="AW118" s="335"/>
      <c r="AX118" s="335"/>
      <c r="AY118" s="335"/>
      <c r="AZ118" s="335"/>
      <c r="BA118" s="335"/>
      <c r="BB118" s="335"/>
      <c r="BC118" s="335"/>
      <c r="BD118" s="335"/>
      <c r="BE118" s="335"/>
      <c r="BF118" s="335"/>
      <c r="BG118" s="335"/>
      <c r="BH118" s="335"/>
      <c r="BI118" s="335"/>
      <c r="BJ118" s="335"/>
      <c r="BK118" s="335"/>
      <c r="BL118" s="335"/>
      <c r="BM118" s="335"/>
      <c r="BN118" s="335"/>
      <c r="BO118" s="335"/>
      <c r="BP118" s="335"/>
      <c r="BQ118" s="335"/>
      <c r="BR118" s="335"/>
      <c r="BS118" s="335"/>
      <c r="BT118" s="335"/>
      <c r="BU118" s="335"/>
      <c r="BV118" s="335"/>
      <c r="BW118" s="335"/>
      <c r="BX118" s="335"/>
      <c r="BY118" s="335"/>
      <c r="BZ118" s="335"/>
      <c r="CA118" s="335"/>
      <c r="CB118" s="335"/>
      <c r="CC118" s="335"/>
      <c r="CD118" s="335"/>
      <c r="CE118" s="335"/>
      <c r="CF118" s="335"/>
      <c r="CG118" s="335"/>
      <c r="CH118" s="335"/>
      <c r="CI118" s="335"/>
      <c r="CJ118" s="335"/>
      <c r="CK118" s="335"/>
      <c r="CL118" s="335"/>
      <c r="CM118" s="335"/>
      <c r="CN118" s="335"/>
      <c r="CO118" s="335"/>
      <c r="CP118" s="335"/>
    </row>
    <row r="119" spans="1:94" ht="15" customHeight="1">
      <c r="A119" s="335"/>
      <c r="B119" s="335"/>
      <c r="C119" s="335"/>
      <c r="D119" s="335"/>
      <c r="E119" s="35"/>
      <c r="F119" s="39"/>
      <c r="G119" s="303"/>
      <c r="H119" s="303"/>
      <c r="I119" s="303"/>
      <c r="J119" s="39"/>
      <c r="K119" s="303"/>
      <c r="L119" s="39"/>
      <c r="M119" s="303"/>
      <c r="N119" s="303"/>
      <c r="O119" s="303"/>
      <c r="P119" s="39"/>
      <c r="Q119" s="39"/>
      <c r="R119" s="36"/>
      <c r="S119" s="335"/>
      <c r="T119" s="335"/>
      <c r="U119" s="335"/>
      <c r="V119" s="335"/>
      <c r="W119" s="335"/>
      <c r="X119" s="335"/>
      <c r="Y119" s="335"/>
      <c r="Z119" s="335"/>
      <c r="AA119" s="335"/>
      <c r="AB119" s="335"/>
      <c r="AC119" s="335"/>
      <c r="AD119" s="335"/>
      <c r="AE119" s="335"/>
      <c r="AF119" s="335"/>
      <c r="AG119" s="335"/>
      <c r="AH119" s="335"/>
      <c r="AI119" s="335"/>
      <c r="AJ119" s="335"/>
      <c r="AK119" s="335"/>
      <c r="AL119" s="335"/>
      <c r="AM119" s="335"/>
      <c r="AN119" s="335"/>
      <c r="AO119" s="335"/>
      <c r="AP119" s="335"/>
      <c r="AQ119" s="335"/>
      <c r="AR119" s="335"/>
      <c r="AS119" s="335"/>
      <c r="AT119" s="335"/>
      <c r="AU119" s="335"/>
      <c r="AV119" s="335"/>
      <c r="AW119" s="335"/>
      <c r="AX119" s="335"/>
      <c r="AY119" s="335"/>
      <c r="AZ119" s="335"/>
      <c r="BA119" s="335"/>
      <c r="BB119" s="335"/>
      <c r="BC119" s="335"/>
      <c r="BD119" s="335"/>
      <c r="BE119" s="335"/>
      <c r="BF119" s="335"/>
      <c r="BG119" s="335"/>
      <c r="BH119" s="335"/>
      <c r="BI119" s="335"/>
      <c r="BJ119" s="335"/>
      <c r="BK119" s="335"/>
      <c r="BL119" s="335"/>
      <c r="BM119" s="335"/>
      <c r="BN119" s="335"/>
      <c r="BO119" s="335"/>
      <c r="BP119" s="335"/>
      <c r="BQ119" s="335"/>
      <c r="BR119" s="335"/>
      <c r="BS119" s="335"/>
      <c r="BT119" s="335"/>
      <c r="BU119" s="335"/>
      <c r="BV119" s="335"/>
      <c r="BW119" s="335"/>
      <c r="BX119" s="335"/>
      <c r="BY119" s="335"/>
      <c r="BZ119" s="335"/>
      <c r="CA119" s="335"/>
      <c r="CB119" s="335"/>
      <c r="CC119" s="335"/>
      <c r="CD119" s="335"/>
      <c r="CE119" s="335"/>
      <c r="CF119" s="335"/>
      <c r="CG119" s="335"/>
      <c r="CH119" s="335"/>
      <c r="CI119" s="335"/>
      <c r="CJ119" s="335"/>
      <c r="CK119" s="335"/>
      <c r="CL119" s="335"/>
      <c r="CM119" s="335"/>
      <c r="CN119" s="335"/>
      <c r="CO119" s="335"/>
      <c r="CP119" s="335"/>
    </row>
    <row r="120" spans="1:94" ht="15" customHeight="1">
      <c r="A120" s="335"/>
      <c r="B120" s="335"/>
      <c r="C120" s="335"/>
      <c r="D120" s="335"/>
      <c r="E120" s="35"/>
      <c r="F120" s="254"/>
      <c r="G120" s="310"/>
      <c r="H120" s="310"/>
      <c r="I120" s="310"/>
      <c r="J120" s="254" t="s">
        <v>617</v>
      </c>
      <c r="K120" s="310"/>
      <c r="L120" s="255" t="s">
        <v>161</v>
      </c>
      <c r="M120" s="493"/>
      <c r="N120" s="493"/>
      <c r="O120" s="303"/>
      <c r="P120" s="255" t="s">
        <v>555</v>
      </c>
      <c r="Q120" s="14" t="s">
        <v>84</v>
      </c>
      <c r="R120" s="14" t="s">
        <v>85</v>
      </c>
      <c r="S120" s="335"/>
      <c r="T120" s="335"/>
      <c r="U120" s="335"/>
      <c r="V120" s="335"/>
      <c r="W120" s="335"/>
      <c r="X120" s="335"/>
      <c r="Y120" s="335"/>
      <c r="Z120" s="335"/>
      <c r="AA120" s="335"/>
      <c r="AB120" s="335"/>
      <c r="AC120" s="335"/>
      <c r="AD120" s="335"/>
      <c r="AE120" s="335"/>
      <c r="AF120" s="335"/>
      <c r="AG120" s="335"/>
      <c r="AH120" s="335"/>
      <c r="AI120" s="335"/>
      <c r="AJ120" s="335"/>
      <c r="AK120" s="335"/>
      <c r="AL120" s="335"/>
      <c r="AM120" s="335"/>
      <c r="AN120" s="335"/>
      <c r="AO120" s="335"/>
      <c r="AP120" s="335"/>
      <c r="AQ120" s="335"/>
      <c r="AR120" s="335"/>
      <c r="AS120" s="335"/>
      <c r="AT120" s="335"/>
      <c r="AU120" s="335"/>
      <c r="AV120" s="335"/>
      <c r="AW120" s="335"/>
      <c r="AX120" s="335"/>
      <c r="AY120" s="335"/>
      <c r="AZ120" s="335"/>
      <c r="BA120" s="335"/>
      <c r="BB120" s="335"/>
      <c r="BC120" s="335"/>
      <c r="BD120" s="335"/>
      <c r="BE120" s="335"/>
      <c r="BF120" s="335"/>
      <c r="BG120" s="335"/>
      <c r="BH120" s="335"/>
      <c r="BI120" s="335"/>
      <c r="BJ120" s="335"/>
      <c r="BK120" s="335"/>
      <c r="BL120" s="335"/>
      <c r="BM120" s="335"/>
      <c r="BN120" s="335"/>
      <c r="BO120" s="335"/>
      <c r="BP120" s="335"/>
      <c r="BQ120" s="335"/>
      <c r="BR120" s="335"/>
      <c r="BS120" s="335"/>
      <c r="BT120" s="335"/>
      <c r="BU120" s="335"/>
      <c r="BV120" s="335"/>
      <c r="BW120" s="335"/>
      <c r="BX120" s="335"/>
      <c r="BY120" s="335"/>
      <c r="BZ120" s="335"/>
      <c r="CA120" s="335"/>
      <c r="CB120" s="335"/>
      <c r="CC120" s="335"/>
      <c r="CD120" s="335"/>
      <c r="CE120" s="335"/>
      <c r="CF120" s="335"/>
      <c r="CG120" s="335"/>
      <c r="CH120" s="335"/>
      <c r="CI120" s="335"/>
      <c r="CJ120" s="335"/>
      <c r="CK120" s="335"/>
      <c r="CL120" s="335"/>
      <c r="CM120" s="335"/>
      <c r="CN120" s="335"/>
      <c r="CO120" s="335"/>
      <c r="CP120" s="335"/>
    </row>
    <row r="121" spans="1:94" ht="15" customHeight="1">
      <c r="A121" s="335"/>
      <c r="B121" s="335"/>
      <c r="C121" s="335"/>
      <c r="D121" s="335"/>
      <c r="E121" s="58" t="str">
        <f>$G$4</f>
        <v>EUREX BUND 10Y</v>
      </c>
      <c r="F121" s="553" t="str">
        <f>$G$4&amp;";"&amp;EurMkt!$M$3</f>
        <v>EUREX BUND 10Y;DEC 16</v>
      </c>
      <c r="G121" s="553"/>
      <c r="H121" s="553"/>
      <c r="I121" s="553"/>
      <c r="J121" s="26">
        <f>VLOOKUP(F121,FUT,$H$2,FALSE)</f>
        <v>1</v>
      </c>
      <c r="K121" s="302"/>
      <c r="L121" s="59">
        <f>VLOOKUP(F121,FUT,$I$2,FALSE)</f>
        <v>160.79499999999999</v>
      </c>
      <c r="M121" s="492"/>
      <c r="N121" s="492"/>
      <c r="O121" s="303"/>
      <c r="P121" s="59">
        <f>EurMkt!MktBUND1</f>
        <v>160.58500000000001</v>
      </c>
      <c r="Q121" s="23">
        <f>+(P121-L121)*100</f>
        <v>-20.999999999997954</v>
      </c>
      <c r="R121" s="8">
        <f>+Q121*J121*10</f>
        <v>-209.99999999997954</v>
      </c>
      <c r="S121" s="335"/>
      <c r="T121" s="335"/>
      <c r="U121" s="335"/>
      <c r="V121" s="335"/>
      <c r="W121" s="335"/>
      <c r="X121" s="335"/>
      <c r="Y121" s="335"/>
      <c r="Z121" s="335"/>
      <c r="AA121" s="335"/>
      <c r="AB121" s="335"/>
      <c r="AC121" s="335"/>
      <c r="AD121" s="335"/>
      <c r="AE121" s="335"/>
      <c r="AF121" s="335"/>
      <c r="AG121" s="335"/>
      <c r="AH121" s="335"/>
      <c r="AI121" s="335"/>
      <c r="AJ121" s="335"/>
      <c r="AK121" s="335"/>
      <c r="AL121" s="335"/>
      <c r="AM121" s="335"/>
      <c r="AN121" s="335"/>
      <c r="AO121" s="335"/>
      <c r="AP121" s="335"/>
      <c r="AQ121" s="335"/>
      <c r="AR121" s="335"/>
      <c r="AS121" s="335"/>
      <c r="AT121" s="335"/>
      <c r="AU121" s="335"/>
      <c r="AV121" s="335"/>
      <c r="AW121" s="335"/>
      <c r="AX121" s="335"/>
      <c r="AY121" s="335"/>
      <c r="AZ121" s="335"/>
      <c r="BA121" s="335"/>
      <c r="BB121" s="335"/>
      <c r="BC121" s="335"/>
      <c r="BD121" s="335"/>
      <c r="BE121" s="335"/>
      <c r="BF121" s="335"/>
      <c r="BG121" s="335"/>
      <c r="BH121" s="335"/>
      <c r="BI121" s="335"/>
      <c r="BJ121" s="335"/>
      <c r="BK121" s="335"/>
      <c r="BL121" s="335"/>
      <c r="BM121" s="335"/>
      <c r="BN121" s="335"/>
      <c r="BO121" s="335"/>
      <c r="BP121" s="335"/>
      <c r="BQ121" s="335"/>
      <c r="BR121" s="335"/>
      <c r="BS121" s="335"/>
      <c r="BT121" s="335"/>
      <c r="BU121" s="335"/>
      <c r="BV121" s="335"/>
      <c r="BW121" s="335"/>
      <c r="BX121" s="335"/>
      <c r="BY121" s="335"/>
      <c r="BZ121" s="335"/>
      <c r="CA121" s="335"/>
      <c r="CB121" s="335"/>
      <c r="CC121" s="335"/>
      <c r="CD121" s="335"/>
      <c r="CE121" s="335"/>
      <c r="CF121" s="335"/>
      <c r="CG121" s="335"/>
      <c r="CH121" s="335"/>
      <c r="CI121" s="335"/>
      <c r="CJ121" s="335"/>
      <c r="CK121" s="335"/>
      <c r="CL121" s="335"/>
      <c r="CM121" s="335"/>
      <c r="CN121" s="335"/>
      <c r="CO121" s="335"/>
      <c r="CP121" s="335"/>
    </row>
    <row r="122" spans="1:94" ht="15" customHeight="1" thickBot="1">
      <c r="A122" s="335"/>
      <c r="B122" s="335"/>
      <c r="C122" s="335"/>
      <c r="D122" s="335"/>
      <c r="E122" s="25"/>
      <c r="F122" s="553" t="str">
        <f>$G$4&amp;";"&amp;EurMkt!$M$4</f>
        <v>EUREX BUND 10Y;MAR 17</v>
      </c>
      <c r="G122" s="553"/>
      <c r="H122" s="553"/>
      <c r="I122" s="553"/>
      <c r="J122" s="302" t="e">
        <f>VLOOKUP(F122,FUT,$H$2,FALSE)</f>
        <v>#N/A</v>
      </c>
      <c r="K122" s="302"/>
      <c r="L122" s="305" t="e">
        <f>VLOOKUP(F122,FUT,$I$2,FALSE)</f>
        <v>#N/A</v>
      </c>
      <c r="M122" s="492"/>
      <c r="N122" s="492"/>
      <c r="O122" s="303"/>
      <c r="P122" s="279">
        <f>EurMkt!MktBUND2</f>
        <v>162.34</v>
      </c>
      <c r="Q122" s="24" t="e">
        <f>+(P122-L122)*100</f>
        <v>#N/A</v>
      </c>
      <c r="R122" s="84" t="e">
        <f>+Q122*J122*10</f>
        <v>#N/A</v>
      </c>
      <c r="S122" s="335"/>
      <c r="T122" s="335"/>
      <c r="U122" s="335"/>
      <c r="V122" s="335"/>
      <c r="W122" s="335"/>
      <c r="X122" s="335"/>
      <c r="Y122" s="335"/>
      <c r="Z122" s="335"/>
      <c r="AA122" s="335"/>
      <c r="AB122" s="335"/>
      <c r="AC122" s="335"/>
      <c r="AD122" s="335"/>
      <c r="AE122" s="335"/>
      <c r="AF122" s="335"/>
      <c r="AG122" s="335"/>
      <c r="AH122" s="335"/>
      <c r="AI122" s="335"/>
      <c r="AJ122" s="335"/>
      <c r="AK122" s="335"/>
      <c r="AL122" s="335"/>
      <c r="AM122" s="335"/>
      <c r="AN122" s="335"/>
      <c r="AO122" s="335"/>
      <c r="AP122" s="335"/>
      <c r="AQ122" s="335"/>
      <c r="AR122" s="335"/>
      <c r="AS122" s="335"/>
      <c r="AT122" s="335"/>
      <c r="AU122" s="335"/>
      <c r="AV122" s="335"/>
      <c r="AW122" s="335"/>
      <c r="AX122" s="335"/>
      <c r="AY122" s="335"/>
      <c r="AZ122" s="335"/>
      <c r="BA122" s="335"/>
      <c r="BB122" s="335"/>
      <c r="BC122" s="335"/>
      <c r="BD122" s="335"/>
      <c r="BE122" s="335"/>
      <c r="BF122" s="335"/>
      <c r="BG122" s="335"/>
      <c r="BH122" s="335"/>
      <c r="BI122" s="335"/>
      <c r="BJ122" s="335"/>
      <c r="BK122" s="335"/>
      <c r="BL122" s="335"/>
      <c r="BM122" s="335"/>
      <c r="BN122" s="335"/>
      <c r="BO122" s="335"/>
      <c r="BP122" s="335"/>
      <c r="BQ122" s="335"/>
      <c r="BR122" s="335"/>
      <c r="BS122" s="335"/>
      <c r="BT122" s="335"/>
      <c r="BU122" s="335"/>
      <c r="BV122" s="335"/>
      <c r="BW122" s="335"/>
      <c r="BX122" s="335"/>
      <c r="BY122" s="335"/>
      <c r="BZ122" s="335"/>
      <c r="CA122" s="335"/>
      <c r="CB122" s="335"/>
      <c r="CC122" s="335"/>
      <c r="CD122" s="335"/>
      <c r="CE122" s="335"/>
      <c r="CF122" s="335"/>
      <c r="CG122" s="335"/>
      <c r="CH122" s="335"/>
      <c r="CI122" s="335"/>
      <c r="CJ122" s="335"/>
      <c r="CK122" s="335"/>
      <c r="CL122" s="335"/>
      <c r="CM122" s="335"/>
      <c r="CN122" s="335"/>
      <c r="CO122" s="335"/>
      <c r="CP122" s="335"/>
    </row>
    <row r="123" spans="1:94" ht="15" customHeight="1" thickBot="1">
      <c r="A123" s="335"/>
      <c r="B123" s="335"/>
      <c r="C123" s="335"/>
      <c r="D123" s="335"/>
      <c r="E123" s="35"/>
      <c r="F123" s="39"/>
      <c r="G123" s="303"/>
      <c r="H123" s="303"/>
      <c r="I123" s="303"/>
      <c r="J123" s="39"/>
      <c r="K123" s="303"/>
      <c r="L123" s="39"/>
      <c r="M123" s="303"/>
      <c r="N123" s="303"/>
      <c r="O123" s="303"/>
      <c r="P123" s="39"/>
      <c r="Q123" s="39"/>
      <c r="R123" s="281">
        <f>SUMIF(R121:R122,"&lt;&gt;"&amp;NA)</f>
        <v>-209.99999999997954</v>
      </c>
      <c r="S123" s="335"/>
      <c r="T123" s="335"/>
      <c r="U123" s="335"/>
      <c r="V123" s="335"/>
      <c r="W123" s="335"/>
      <c r="X123" s="335"/>
      <c r="Y123" s="335"/>
      <c r="Z123" s="335"/>
      <c r="AA123" s="335"/>
      <c r="AB123" s="335"/>
      <c r="AC123" s="335"/>
      <c r="AD123" s="335"/>
      <c r="AE123" s="335"/>
      <c r="AF123" s="335"/>
      <c r="AG123" s="335"/>
      <c r="AH123" s="335"/>
      <c r="AI123" s="335"/>
      <c r="AJ123" s="335"/>
      <c r="AK123" s="335"/>
      <c r="AL123" s="335"/>
      <c r="AM123" s="335"/>
      <c r="AN123" s="335"/>
      <c r="AO123" s="335"/>
      <c r="AP123" s="335"/>
      <c r="AQ123" s="335"/>
      <c r="AR123" s="335"/>
      <c r="AS123" s="335"/>
      <c r="AT123" s="335"/>
      <c r="AU123" s="335"/>
      <c r="AV123" s="335"/>
      <c r="AW123" s="335"/>
      <c r="AX123" s="335"/>
      <c r="AY123" s="335"/>
      <c r="AZ123" s="335"/>
      <c r="BA123" s="335"/>
      <c r="BB123" s="335"/>
      <c r="BC123" s="335"/>
      <c r="BD123" s="335"/>
      <c r="BE123" s="335"/>
      <c r="BF123" s="335"/>
      <c r="BG123" s="335"/>
      <c r="BH123" s="335"/>
      <c r="BI123" s="335"/>
      <c r="BJ123" s="335"/>
      <c r="BK123" s="335"/>
      <c r="BL123" s="335"/>
      <c r="BM123" s="335"/>
      <c r="BN123" s="335"/>
      <c r="BO123" s="335"/>
      <c r="BP123" s="335"/>
      <c r="BQ123" s="335"/>
      <c r="BR123" s="335"/>
      <c r="BS123" s="335"/>
      <c r="BT123" s="335"/>
      <c r="BU123" s="335"/>
      <c r="BV123" s="335"/>
      <c r="BW123" s="335"/>
      <c r="BX123" s="335"/>
      <c r="BY123" s="335"/>
      <c r="BZ123" s="335"/>
      <c r="CA123" s="335"/>
      <c r="CB123" s="335"/>
      <c r="CC123" s="335"/>
      <c r="CD123" s="335"/>
      <c r="CE123" s="335"/>
      <c r="CF123" s="335"/>
      <c r="CG123" s="335"/>
      <c r="CH123" s="335"/>
      <c r="CI123" s="335"/>
      <c r="CJ123" s="335"/>
      <c r="CK123" s="335"/>
      <c r="CL123" s="335"/>
      <c r="CM123" s="335"/>
      <c r="CN123" s="335"/>
      <c r="CO123" s="335"/>
      <c r="CP123" s="335"/>
    </row>
    <row r="124" spans="1:94" ht="15" customHeight="1">
      <c r="A124" s="335"/>
      <c r="B124" s="335"/>
      <c r="C124" s="335"/>
      <c r="D124" s="335"/>
      <c r="E124" s="35"/>
      <c r="F124" s="39"/>
      <c r="G124" s="303"/>
      <c r="H124" s="303"/>
      <c r="I124" s="303"/>
      <c r="J124" s="39"/>
      <c r="K124" s="303"/>
      <c r="L124" s="39"/>
      <c r="M124" s="303"/>
      <c r="N124" s="303"/>
      <c r="O124" s="303"/>
      <c r="P124" s="39"/>
      <c r="Q124" s="39"/>
      <c r="R124" s="36"/>
      <c r="S124" s="335"/>
      <c r="T124" s="335"/>
      <c r="U124" s="335"/>
      <c r="V124" s="335"/>
      <c r="W124" s="335"/>
      <c r="X124" s="335"/>
      <c r="Y124" s="335"/>
      <c r="Z124" s="335"/>
      <c r="AA124" s="335"/>
      <c r="AB124" s="335"/>
      <c r="AC124" s="335"/>
      <c r="AD124" s="335"/>
      <c r="AE124" s="335"/>
      <c r="AF124" s="335"/>
      <c r="AG124" s="335"/>
      <c r="AH124" s="335"/>
      <c r="AI124" s="335"/>
      <c r="AJ124" s="335"/>
      <c r="AK124" s="335"/>
      <c r="AL124" s="335"/>
      <c r="AM124" s="335"/>
      <c r="AN124" s="335"/>
      <c r="AO124" s="335"/>
      <c r="AP124" s="335"/>
      <c r="AQ124" s="335"/>
      <c r="AR124" s="335"/>
      <c r="AS124" s="335"/>
      <c r="AT124" s="335"/>
      <c r="AU124" s="335"/>
      <c r="AV124" s="335"/>
      <c r="AW124" s="335"/>
      <c r="AX124" s="335"/>
      <c r="AY124" s="335"/>
      <c r="AZ124" s="335"/>
      <c r="BA124" s="335"/>
      <c r="BB124" s="335"/>
      <c r="BC124" s="335"/>
      <c r="BD124" s="335"/>
      <c r="BE124" s="335"/>
      <c r="BF124" s="335"/>
      <c r="BG124" s="335"/>
      <c r="BH124" s="335"/>
      <c r="BI124" s="335"/>
      <c r="BJ124" s="335"/>
      <c r="BK124" s="335"/>
      <c r="BL124" s="335"/>
      <c r="BM124" s="335"/>
      <c r="BN124" s="335"/>
      <c r="BO124" s="335"/>
      <c r="BP124" s="335"/>
      <c r="BQ124" s="335"/>
      <c r="BR124" s="335"/>
      <c r="BS124" s="335"/>
      <c r="BT124" s="335"/>
      <c r="BU124" s="335"/>
      <c r="BV124" s="335"/>
      <c r="BW124" s="335"/>
      <c r="BX124" s="335"/>
      <c r="BY124" s="335"/>
      <c r="BZ124" s="335"/>
      <c r="CA124" s="335"/>
      <c r="CB124" s="335"/>
      <c r="CC124" s="335"/>
      <c r="CD124" s="335"/>
      <c r="CE124" s="335"/>
      <c r="CF124" s="335"/>
      <c r="CG124" s="335"/>
      <c r="CH124" s="335"/>
      <c r="CI124" s="335"/>
      <c r="CJ124" s="335"/>
      <c r="CK124" s="335"/>
      <c r="CL124" s="335"/>
      <c r="CM124" s="335"/>
      <c r="CN124" s="335"/>
      <c r="CO124" s="335"/>
      <c r="CP124" s="335"/>
    </row>
    <row r="125" spans="1:94" ht="15" customHeight="1">
      <c r="A125" s="335"/>
      <c r="B125" s="335"/>
      <c r="C125" s="335"/>
      <c r="D125" s="335"/>
      <c r="E125" s="35"/>
      <c r="F125" s="310"/>
      <c r="G125" s="310"/>
      <c r="H125" s="310"/>
      <c r="I125" s="310"/>
      <c r="J125" s="310" t="s">
        <v>617</v>
      </c>
      <c r="K125" s="310"/>
      <c r="L125" s="311" t="s">
        <v>161</v>
      </c>
      <c r="M125" s="493"/>
      <c r="N125" s="493"/>
      <c r="O125" s="303"/>
      <c r="P125" s="311" t="s">
        <v>555</v>
      </c>
      <c r="Q125" s="14" t="s">
        <v>84</v>
      </c>
      <c r="R125" s="14" t="s">
        <v>85</v>
      </c>
      <c r="S125" s="335"/>
      <c r="T125" s="335"/>
      <c r="U125" s="335"/>
      <c r="V125" s="335"/>
      <c r="W125" s="335"/>
      <c r="X125" s="335"/>
      <c r="Y125" s="335"/>
      <c r="Z125" s="335"/>
      <c r="AA125" s="335"/>
      <c r="AB125" s="335"/>
      <c r="AC125" s="335"/>
      <c r="AD125" s="335"/>
      <c r="AE125" s="335"/>
      <c r="AF125" s="335"/>
      <c r="AG125" s="335"/>
      <c r="AH125" s="335"/>
      <c r="AI125" s="335"/>
      <c r="AJ125" s="335"/>
      <c r="AK125" s="335"/>
      <c r="AL125" s="335"/>
      <c r="AM125" s="335"/>
      <c r="AN125" s="335"/>
      <c r="AO125" s="335"/>
      <c r="AP125" s="335"/>
      <c r="AQ125" s="335"/>
      <c r="AR125" s="335"/>
      <c r="AS125" s="335"/>
      <c r="AT125" s="335"/>
      <c r="AU125" s="335"/>
      <c r="AV125" s="335"/>
      <c r="AW125" s="335"/>
      <c r="AX125" s="335"/>
      <c r="AY125" s="335"/>
      <c r="AZ125" s="335"/>
      <c r="BA125" s="335"/>
      <c r="BB125" s="335"/>
      <c r="BC125" s="335"/>
      <c r="BD125" s="335"/>
      <c r="BE125" s="335"/>
      <c r="BF125" s="335"/>
      <c r="BG125" s="335"/>
      <c r="BH125" s="335"/>
      <c r="BI125" s="335"/>
      <c r="BJ125" s="335"/>
      <c r="BK125" s="335"/>
      <c r="BL125" s="335"/>
      <c r="BM125" s="335"/>
      <c r="BN125" s="335"/>
      <c r="BO125" s="335"/>
      <c r="BP125" s="335"/>
      <c r="BQ125" s="335"/>
      <c r="BR125" s="335"/>
      <c r="BS125" s="335"/>
      <c r="BT125" s="335"/>
      <c r="BU125" s="335"/>
      <c r="BV125" s="335"/>
      <c r="BW125" s="335"/>
      <c r="BX125" s="335"/>
      <c r="BY125" s="335"/>
      <c r="BZ125" s="335"/>
      <c r="CA125" s="335"/>
      <c r="CB125" s="335"/>
      <c r="CC125" s="335"/>
      <c r="CD125" s="335"/>
      <c r="CE125" s="335"/>
      <c r="CF125" s="335"/>
      <c r="CG125" s="335"/>
      <c r="CH125" s="335"/>
      <c r="CI125" s="335"/>
      <c r="CJ125" s="335"/>
      <c r="CK125" s="335"/>
      <c r="CL125" s="335"/>
      <c r="CM125" s="335"/>
      <c r="CN125" s="335"/>
      <c r="CO125" s="335"/>
      <c r="CP125" s="335"/>
    </row>
    <row r="126" spans="1:94" ht="15" customHeight="1">
      <c r="A126" s="335"/>
      <c r="B126" s="335"/>
      <c r="C126" s="335"/>
      <c r="D126" s="335"/>
      <c r="E126" s="58" t="str">
        <f>$H$3</f>
        <v>EUREX BTP 10Y</v>
      </c>
      <c r="F126" s="553" t="str">
        <f>$H$3&amp;";"&amp;EurMkt!$M$3</f>
        <v>EUREX BTP 10Y;DEC 16</v>
      </c>
      <c r="G126" s="553"/>
      <c r="H126" s="553"/>
      <c r="I126" s="553"/>
      <c r="J126" s="302" t="e">
        <f>VLOOKUP(F126,FUT,$H$2,FALSE)</f>
        <v>#N/A</v>
      </c>
      <c r="K126" s="302"/>
      <c r="L126" s="305" t="e">
        <f>VLOOKUP(F126,FUT,$I$2,FALSE)</f>
        <v>#N/A</v>
      </c>
      <c r="M126" s="492"/>
      <c r="N126" s="492"/>
      <c r="O126" s="303"/>
      <c r="P126" s="305">
        <f>EurMkt!MktBTP10Y1</f>
        <v>133.88499999999999</v>
      </c>
      <c r="Q126" s="23" t="e">
        <f>+(P126-L126)*100</f>
        <v>#N/A</v>
      </c>
      <c r="R126" s="8" t="e">
        <f>+Q126*J126*10</f>
        <v>#N/A</v>
      </c>
      <c r="S126" s="335"/>
      <c r="T126" s="335"/>
      <c r="U126" s="335"/>
      <c r="V126" s="335"/>
      <c r="W126" s="335"/>
      <c r="X126" s="335"/>
      <c r="Y126" s="335"/>
      <c r="Z126" s="335"/>
      <c r="AA126" s="335"/>
      <c r="AB126" s="335"/>
      <c r="AC126" s="335"/>
      <c r="AD126" s="335"/>
      <c r="AE126" s="335"/>
      <c r="AF126" s="335"/>
      <c r="AG126" s="335"/>
      <c r="AH126" s="335"/>
      <c r="AI126" s="335"/>
      <c r="AJ126" s="335"/>
      <c r="AK126" s="335"/>
      <c r="AL126" s="335"/>
      <c r="AM126" s="335"/>
      <c r="AN126" s="335"/>
      <c r="AO126" s="335"/>
      <c r="AP126" s="335"/>
      <c r="AQ126" s="335"/>
      <c r="AR126" s="335"/>
      <c r="AS126" s="335"/>
      <c r="AT126" s="335"/>
      <c r="AU126" s="335"/>
      <c r="AV126" s="335"/>
      <c r="AW126" s="335"/>
      <c r="AX126" s="335"/>
      <c r="AY126" s="335"/>
      <c r="AZ126" s="335"/>
      <c r="BA126" s="335"/>
      <c r="BB126" s="335"/>
      <c r="BC126" s="335"/>
      <c r="BD126" s="335"/>
      <c r="BE126" s="335"/>
      <c r="BF126" s="335"/>
      <c r="BG126" s="335"/>
      <c r="BH126" s="335"/>
      <c r="BI126" s="335"/>
      <c r="BJ126" s="335"/>
      <c r="BK126" s="335"/>
      <c r="BL126" s="335"/>
      <c r="BM126" s="335"/>
      <c r="BN126" s="335"/>
      <c r="BO126" s="335"/>
      <c r="BP126" s="335"/>
      <c r="BQ126" s="335"/>
      <c r="BR126" s="335"/>
      <c r="BS126" s="335"/>
      <c r="BT126" s="335"/>
      <c r="BU126" s="335"/>
      <c r="BV126" s="335"/>
      <c r="BW126" s="335"/>
      <c r="BX126" s="335"/>
      <c r="BY126" s="335"/>
      <c r="BZ126" s="335"/>
      <c r="CA126" s="335"/>
      <c r="CB126" s="335"/>
      <c r="CC126" s="335"/>
      <c r="CD126" s="335"/>
      <c r="CE126" s="335"/>
      <c r="CF126" s="335"/>
      <c r="CG126" s="335"/>
      <c r="CH126" s="335"/>
      <c r="CI126" s="335"/>
      <c r="CJ126" s="335"/>
      <c r="CK126" s="335"/>
      <c r="CL126" s="335"/>
      <c r="CM126" s="335"/>
      <c r="CN126" s="335"/>
      <c r="CO126" s="335"/>
      <c r="CP126" s="335"/>
    </row>
    <row r="127" spans="1:94" ht="15" customHeight="1" thickBot="1">
      <c r="A127" s="335"/>
      <c r="B127" s="335"/>
      <c r="C127" s="335"/>
      <c r="D127" s="335"/>
      <c r="E127" s="25"/>
      <c r="F127" s="553" t="str">
        <f>$H$3&amp;";"&amp;EurMkt!$M$4</f>
        <v>EUREX BTP 10Y;MAR 17</v>
      </c>
      <c r="G127" s="553"/>
      <c r="H127" s="553"/>
      <c r="I127" s="553"/>
      <c r="J127" s="302" t="e">
        <f>VLOOKUP(F127,FUT,$H$2,FALSE)</f>
        <v>#N/A</v>
      </c>
      <c r="K127" s="302"/>
      <c r="L127" s="305" t="e">
        <f>VLOOKUP(F127,FUT,$I$2,FALSE)</f>
        <v>#N/A</v>
      </c>
      <c r="M127" s="492"/>
      <c r="N127" s="492"/>
      <c r="O127" s="303"/>
      <c r="P127" s="305">
        <f>EurMkt!MktBTP10Y2</f>
        <v>131.93</v>
      </c>
      <c r="Q127" s="23" t="e">
        <f>+(P127-L127)*100</f>
        <v>#N/A</v>
      </c>
      <c r="R127" s="84" t="e">
        <f>+Q127*J127*10</f>
        <v>#N/A</v>
      </c>
      <c r="S127" s="335"/>
      <c r="T127" s="335"/>
      <c r="U127" s="335"/>
      <c r="V127" s="335"/>
      <c r="W127" s="335"/>
      <c r="X127" s="335"/>
      <c r="Y127" s="335"/>
      <c r="Z127" s="335"/>
      <c r="AA127" s="335"/>
      <c r="AB127" s="335"/>
      <c r="AC127" s="335"/>
      <c r="AD127" s="335"/>
      <c r="AE127" s="335"/>
      <c r="AF127" s="335"/>
      <c r="AG127" s="335"/>
      <c r="AH127" s="335"/>
      <c r="AI127" s="335"/>
      <c r="AJ127" s="335"/>
      <c r="AK127" s="335"/>
      <c r="AL127" s="335"/>
      <c r="AM127" s="335"/>
      <c r="AN127" s="335"/>
      <c r="AO127" s="335"/>
      <c r="AP127" s="335"/>
      <c r="AQ127" s="335"/>
      <c r="AR127" s="335"/>
      <c r="AS127" s="335"/>
      <c r="AT127" s="335"/>
      <c r="AU127" s="335"/>
      <c r="AV127" s="335"/>
      <c r="AW127" s="335"/>
      <c r="AX127" s="335"/>
      <c r="AY127" s="335"/>
      <c r="AZ127" s="335"/>
      <c r="BA127" s="335"/>
      <c r="BB127" s="335"/>
      <c r="BC127" s="335"/>
      <c r="BD127" s="335"/>
      <c r="BE127" s="335"/>
      <c r="BF127" s="335"/>
      <c r="BG127" s="335"/>
      <c r="BH127" s="335"/>
      <c r="BI127" s="335"/>
      <c r="BJ127" s="335"/>
      <c r="BK127" s="335"/>
      <c r="BL127" s="335"/>
      <c r="BM127" s="335"/>
      <c r="BN127" s="335"/>
      <c r="BO127" s="335"/>
      <c r="BP127" s="335"/>
      <c r="BQ127" s="335"/>
      <c r="BR127" s="335"/>
      <c r="BS127" s="335"/>
      <c r="BT127" s="335"/>
      <c r="BU127" s="335"/>
      <c r="BV127" s="335"/>
      <c r="BW127" s="335"/>
      <c r="BX127" s="335"/>
      <c r="BY127" s="335"/>
      <c r="BZ127" s="335"/>
      <c r="CA127" s="335"/>
      <c r="CB127" s="335"/>
      <c r="CC127" s="335"/>
      <c r="CD127" s="335"/>
      <c r="CE127" s="335"/>
      <c r="CF127" s="335"/>
      <c r="CG127" s="335"/>
      <c r="CH127" s="335"/>
      <c r="CI127" s="335"/>
      <c r="CJ127" s="335"/>
      <c r="CK127" s="335"/>
      <c r="CL127" s="335"/>
      <c r="CM127" s="335"/>
      <c r="CN127" s="335"/>
      <c r="CO127" s="335"/>
      <c r="CP127" s="335"/>
    </row>
    <row r="128" spans="1:94" ht="15" customHeight="1" thickBot="1">
      <c r="A128" s="335"/>
      <c r="B128" s="335"/>
      <c r="C128" s="335"/>
      <c r="D128" s="335"/>
      <c r="E128" s="35"/>
      <c r="F128" s="303"/>
      <c r="G128" s="303"/>
      <c r="H128" s="303"/>
      <c r="I128" s="303"/>
      <c r="J128" s="303"/>
      <c r="K128" s="303"/>
      <c r="L128" s="303"/>
      <c r="M128" s="303"/>
      <c r="N128" s="303"/>
      <c r="O128" s="303"/>
      <c r="P128" s="303"/>
      <c r="Q128" s="303"/>
      <c r="R128" s="281">
        <f>SUMIF(R126:R127,"&lt;&gt;"&amp;NA)</f>
        <v>0</v>
      </c>
      <c r="S128" s="335"/>
      <c r="T128" s="335"/>
      <c r="U128" s="335"/>
      <c r="V128" s="335"/>
      <c r="W128" s="335"/>
      <c r="X128" s="335"/>
      <c r="Y128" s="335"/>
      <c r="Z128" s="335"/>
      <c r="AA128" s="335"/>
      <c r="AB128" s="335"/>
      <c r="AC128" s="335"/>
      <c r="AD128" s="335"/>
      <c r="AE128" s="335"/>
      <c r="AF128" s="335"/>
      <c r="AG128" s="335"/>
      <c r="AH128" s="335"/>
      <c r="AI128" s="335"/>
      <c r="AJ128" s="335"/>
      <c r="AK128" s="335"/>
      <c r="AL128" s="335"/>
      <c r="AM128" s="335"/>
      <c r="AN128" s="335"/>
      <c r="AO128" s="335"/>
      <c r="AP128" s="335"/>
      <c r="AQ128" s="335"/>
      <c r="AR128" s="335"/>
      <c r="AS128" s="335"/>
      <c r="AT128" s="335"/>
      <c r="AU128" s="335"/>
      <c r="AV128" s="335"/>
      <c r="AW128" s="335"/>
      <c r="AX128" s="335"/>
      <c r="AY128" s="335"/>
      <c r="AZ128" s="335"/>
      <c r="BA128" s="335"/>
      <c r="BB128" s="335"/>
      <c r="BC128" s="335"/>
      <c r="BD128" s="335"/>
      <c r="BE128" s="335"/>
      <c r="BF128" s="335"/>
      <c r="BG128" s="335"/>
      <c r="BH128" s="335"/>
      <c r="BI128" s="335"/>
      <c r="BJ128" s="335"/>
      <c r="BK128" s="335"/>
      <c r="BL128" s="335"/>
      <c r="BM128" s="335"/>
      <c r="BN128" s="335"/>
      <c r="BO128" s="335"/>
      <c r="BP128" s="335"/>
      <c r="BQ128" s="335"/>
      <c r="BR128" s="335"/>
      <c r="BS128" s="335"/>
      <c r="BT128" s="335"/>
      <c r="BU128" s="335"/>
      <c r="BV128" s="335"/>
      <c r="BW128" s="335"/>
      <c r="BX128" s="335"/>
      <c r="BY128" s="335"/>
      <c r="BZ128" s="335"/>
      <c r="CA128" s="335"/>
      <c r="CB128" s="335"/>
      <c r="CC128" s="335"/>
      <c r="CD128" s="335"/>
      <c r="CE128" s="335"/>
      <c r="CF128" s="335"/>
      <c r="CG128" s="335"/>
      <c r="CH128" s="335"/>
      <c r="CI128" s="335"/>
      <c r="CJ128" s="335"/>
      <c r="CK128" s="335"/>
      <c r="CL128" s="335"/>
      <c r="CM128" s="335"/>
      <c r="CN128" s="335"/>
      <c r="CO128" s="335"/>
      <c r="CP128" s="335"/>
    </row>
    <row r="129" spans="1:94" ht="15" customHeight="1">
      <c r="A129" s="335"/>
      <c r="B129" s="335"/>
      <c r="C129" s="335"/>
      <c r="D129" s="335"/>
      <c r="E129" s="35"/>
      <c r="F129" s="303"/>
      <c r="G129" s="303"/>
      <c r="H129" s="303"/>
      <c r="I129" s="303"/>
      <c r="J129" s="303"/>
      <c r="K129" s="303"/>
      <c r="L129" s="303"/>
      <c r="M129" s="303"/>
      <c r="N129" s="303"/>
      <c r="O129" s="303"/>
      <c r="P129" s="303"/>
      <c r="Q129" s="303"/>
      <c r="R129" s="36"/>
      <c r="S129" s="335"/>
      <c r="T129" s="335"/>
      <c r="U129" s="335"/>
      <c r="V129" s="335"/>
      <c r="W129" s="335"/>
      <c r="X129" s="335"/>
      <c r="Y129" s="335"/>
      <c r="Z129" s="335"/>
      <c r="AA129" s="335"/>
      <c r="AB129" s="335"/>
      <c r="AC129" s="335"/>
      <c r="AD129" s="335"/>
      <c r="AE129" s="335"/>
      <c r="AF129" s="335"/>
      <c r="AG129" s="335"/>
      <c r="AH129" s="335"/>
      <c r="AI129" s="335"/>
      <c r="AJ129" s="335"/>
      <c r="AK129" s="335"/>
      <c r="AL129" s="335"/>
      <c r="AM129" s="335"/>
      <c r="AN129" s="335"/>
      <c r="AO129" s="335"/>
      <c r="AP129" s="335"/>
      <c r="AQ129" s="335"/>
      <c r="AR129" s="335"/>
      <c r="AS129" s="335"/>
      <c r="AT129" s="335"/>
      <c r="AU129" s="335"/>
      <c r="AV129" s="335"/>
      <c r="AW129" s="335"/>
      <c r="AX129" s="335"/>
      <c r="AY129" s="335"/>
      <c r="AZ129" s="335"/>
      <c r="BA129" s="335"/>
      <c r="BB129" s="335"/>
      <c r="BC129" s="335"/>
      <c r="BD129" s="335"/>
      <c r="BE129" s="335"/>
      <c r="BF129" s="335"/>
      <c r="BG129" s="335"/>
      <c r="BH129" s="335"/>
      <c r="BI129" s="335"/>
      <c r="BJ129" s="335"/>
      <c r="BK129" s="335"/>
      <c r="BL129" s="335"/>
      <c r="BM129" s="335"/>
      <c r="BN129" s="335"/>
      <c r="BO129" s="335"/>
      <c r="BP129" s="335"/>
      <c r="BQ129" s="335"/>
      <c r="BR129" s="335"/>
      <c r="BS129" s="335"/>
      <c r="BT129" s="335"/>
      <c r="BU129" s="335"/>
      <c r="BV129" s="335"/>
      <c r="BW129" s="335"/>
      <c r="BX129" s="335"/>
      <c r="BY129" s="335"/>
      <c r="BZ129" s="335"/>
      <c r="CA129" s="335"/>
      <c r="CB129" s="335"/>
      <c r="CC129" s="335"/>
      <c r="CD129" s="335"/>
      <c r="CE129" s="335"/>
      <c r="CF129" s="335"/>
      <c r="CG129" s="335"/>
      <c r="CH129" s="335"/>
      <c r="CI129" s="335"/>
      <c r="CJ129" s="335"/>
      <c r="CK129" s="335"/>
      <c r="CL129" s="335"/>
      <c r="CM129" s="335"/>
      <c r="CN129" s="335"/>
      <c r="CO129" s="335"/>
      <c r="CP129" s="335"/>
    </row>
    <row r="130" spans="1:94" ht="15" customHeight="1">
      <c r="A130" s="335"/>
      <c r="B130" s="335"/>
      <c r="C130" s="335"/>
      <c r="D130" s="335"/>
      <c r="E130" s="35"/>
      <c r="F130" s="310"/>
      <c r="G130" s="310"/>
      <c r="H130" s="310"/>
      <c r="I130" s="310"/>
      <c r="J130" s="310" t="s">
        <v>617</v>
      </c>
      <c r="K130" s="310"/>
      <c r="L130" s="311" t="s">
        <v>161</v>
      </c>
      <c r="M130" s="493"/>
      <c r="N130" s="493"/>
      <c r="O130" s="303"/>
      <c r="P130" s="311" t="s">
        <v>555</v>
      </c>
      <c r="Q130" s="14" t="s">
        <v>84</v>
      </c>
      <c r="R130" s="14" t="s">
        <v>85</v>
      </c>
      <c r="S130" s="335"/>
      <c r="T130" s="335"/>
      <c r="U130" s="335"/>
      <c r="V130" s="335"/>
      <c r="W130" s="335"/>
      <c r="X130" s="335"/>
      <c r="Y130" s="335"/>
      <c r="Z130" s="335"/>
      <c r="AA130" s="335"/>
      <c r="AB130" s="335"/>
      <c r="AC130" s="335"/>
      <c r="AD130" s="335"/>
      <c r="AE130" s="335"/>
      <c r="AF130" s="335"/>
      <c r="AG130" s="335"/>
      <c r="AH130" s="335"/>
      <c r="AI130" s="335"/>
      <c r="AJ130" s="335"/>
      <c r="AK130" s="335"/>
      <c r="AL130" s="335"/>
      <c r="AM130" s="335"/>
      <c r="AN130" s="335"/>
      <c r="AO130" s="335"/>
      <c r="AP130" s="335"/>
      <c r="AQ130" s="335"/>
      <c r="AR130" s="335"/>
      <c r="AS130" s="335"/>
      <c r="AT130" s="335"/>
      <c r="AU130" s="335"/>
      <c r="AV130" s="335"/>
      <c r="AW130" s="335"/>
      <c r="AX130" s="335"/>
      <c r="AY130" s="335"/>
      <c r="AZ130" s="335"/>
      <c r="BA130" s="335"/>
      <c r="BB130" s="335"/>
      <c r="BC130" s="335"/>
      <c r="BD130" s="335"/>
      <c r="BE130" s="335"/>
      <c r="BF130" s="335"/>
      <c r="BG130" s="335"/>
      <c r="BH130" s="335"/>
      <c r="BI130" s="335"/>
      <c r="BJ130" s="335"/>
      <c r="BK130" s="335"/>
      <c r="BL130" s="335"/>
      <c r="BM130" s="335"/>
      <c r="BN130" s="335"/>
      <c r="BO130" s="335"/>
      <c r="BP130" s="335"/>
      <c r="BQ130" s="335"/>
      <c r="BR130" s="335"/>
      <c r="BS130" s="335"/>
      <c r="BT130" s="335"/>
      <c r="BU130" s="335"/>
      <c r="BV130" s="335"/>
      <c r="BW130" s="335"/>
      <c r="BX130" s="335"/>
      <c r="BY130" s="335"/>
      <c r="BZ130" s="335"/>
      <c r="CA130" s="335"/>
      <c r="CB130" s="335"/>
      <c r="CC130" s="335"/>
      <c r="CD130" s="335"/>
      <c r="CE130" s="335"/>
      <c r="CF130" s="335"/>
      <c r="CG130" s="335"/>
      <c r="CH130" s="335"/>
      <c r="CI130" s="335"/>
      <c r="CJ130" s="335"/>
      <c r="CK130" s="335"/>
      <c r="CL130" s="335"/>
      <c r="CM130" s="335"/>
      <c r="CN130" s="335"/>
      <c r="CO130" s="335"/>
      <c r="CP130" s="335"/>
    </row>
    <row r="131" spans="1:94" ht="15" customHeight="1">
      <c r="A131" s="335"/>
      <c r="B131" s="335"/>
      <c r="C131" s="335"/>
      <c r="D131" s="335"/>
      <c r="E131" s="58" t="str">
        <f>$H$4</f>
        <v>EUREX SCHATZ 2Y</v>
      </c>
      <c r="F131" s="553" t="str">
        <f>$H$4&amp;";"&amp;EurMkt!$M$3</f>
        <v>EUREX SCHATZ 2Y;DEC 16</v>
      </c>
      <c r="G131" s="553"/>
      <c r="H131" s="553"/>
      <c r="I131" s="553"/>
      <c r="J131" s="302" t="e">
        <f>VLOOKUP(F131,FUT,$H$2,FALSE)</f>
        <v>#N/A</v>
      </c>
      <c r="K131" s="302"/>
      <c r="L131" s="305" t="e">
        <f>VLOOKUP(F131,FUT,$I$2,FALSE)</f>
        <v>#N/A</v>
      </c>
      <c r="M131" s="492"/>
      <c r="N131" s="492"/>
      <c r="O131" s="303"/>
      <c r="P131" s="305">
        <f>EurMkt!MktSCHATZ2Y1</f>
        <v>112.05250000000001</v>
      </c>
      <c r="Q131" s="23" t="e">
        <f>+(P131-L131)*100</f>
        <v>#N/A</v>
      </c>
      <c r="R131" s="8" t="e">
        <f>+Q131*J131*10</f>
        <v>#N/A</v>
      </c>
      <c r="S131" s="335"/>
      <c r="T131" s="335"/>
      <c r="U131" s="335"/>
      <c r="V131" s="335"/>
      <c r="W131" s="335"/>
      <c r="X131" s="335"/>
      <c r="Y131" s="335"/>
      <c r="Z131" s="335"/>
      <c r="AA131" s="335"/>
      <c r="AB131" s="335"/>
      <c r="AC131" s="335"/>
      <c r="AD131" s="335"/>
      <c r="AE131" s="335"/>
      <c r="AF131" s="335"/>
      <c r="AG131" s="335"/>
      <c r="AH131" s="335"/>
      <c r="AI131" s="335"/>
      <c r="AJ131" s="335"/>
      <c r="AK131" s="335"/>
      <c r="AL131" s="335"/>
      <c r="AM131" s="335"/>
      <c r="AN131" s="335"/>
      <c r="AO131" s="335"/>
      <c r="AP131" s="335"/>
      <c r="AQ131" s="335"/>
      <c r="AR131" s="335"/>
      <c r="AS131" s="335"/>
      <c r="AT131" s="335"/>
      <c r="AU131" s="335"/>
      <c r="AV131" s="335"/>
      <c r="AW131" s="335"/>
      <c r="AX131" s="335"/>
      <c r="AY131" s="335"/>
      <c r="AZ131" s="335"/>
      <c r="BA131" s="335"/>
      <c r="BB131" s="335"/>
      <c r="BC131" s="335"/>
      <c r="BD131" s="335"/>
      <c r="BE131" s="335"/>
      <c r="BF131" s="335"/>
      <c r="BG131" s="335"/>
      <c r="BH131" s="335"/>
      <c r="BI131" s="335"/>
      <c r="BJ131" s="335"/>
      <c r="BK131" s="335"/>
      <c r="BL131" s="335"/>
      <c r="BM131" s="335"/>
      <c r="BN131" s="335"/>
      <c r="BO131" s="335"/>
      <c r="BP131" s="335"/>
      <c r="BQ131" s="335"/>
      <c r="BR131" s="335"/>
      <c r="BS131" s="335"/>
      <c r="BT131" s="335"/>
      <c r="BU131" s="335"/>
      <c r="BV131" s="335"/>
      <c r="BW131" s="335"/>
      <c r="BX131" s="335"/>
      <c r="BY131" s="335"/>
      <c r="BZ131" s="335"/>
      <c r="CA131" s="335"/>
      <c r="CB131" s="335"/>
      <c r="CC131" s="335"/>
      <c r="CD131" s="335"/>
      <c r="CE131" s="335"/>
      <c r="CF131" s="335"/>
      <c r="CG131" s="335"/>
      <c r="CH131" s="335"/>
      <c r="CI131" s="335"/>
      <c r="CJ131" s="335"/>
      <c r="CK131" s="335"/>
      <c r="CL131" s="335"/>
      <c r="CM131" s="335"/>
      <c r="CN131" s="335"/>
      <c r="CO131" s="335"/>
      <c r="CP131" s="335"/>
    </row>
    <row r="132" spans="1:94" ht="15" customHeight="1" thickBot="1">
      <c r="A132" s="335"/>
      <c r="B132" s="335"/>
      <c r="C132" s="335"/>
      <c r="D132" s="335"/>
      <c r="E132" s="25"/>
      <c r="F132" s="553" t="str">
        <f>$H$4&amp;";"&amp;EurMkt!$M$4</f>
        <v>EUREX SCHATZ 2Y;MAR 17</v>
      </c>
      <c r="G132" s="553"/>
      <c r="H132" s="553"/>
      <c r="I132" s="553"/>
      <c r="J132" s="302" t="e">
        <f>VLOOKUP(F132,FUT,$H$2,FALSE)</f>
        <v>#N/A</v>
      </c>
      <c r="K132" s="302"/>
      <c r="L132" s="305" t="e">
        <f>VLOOKUP(F132,FUT,$I$2,FALSE)</f>
        <v>#N/A</v>
      </c>
      <c r="M132" s="492"/>
      <c r="N132" s="492"/>
      <c r="O132" s="303"/>
      <c r="P132" s="279">
        <f>EurMkt!MktSCHATZ2Y2</f>
        <v>111.98500000000001</v>
      </c>
      <c r="Q132" s="24" t="e">
        <f>+(P132-L132)*100</f>
        <v>#N/A</v>
      </c>
      <c r="R132" s="84" t="e">
        <f>+Q132*J132*10</f>
        <v>#N/A</v>
      </c>
      <c r="S132" s="335"/>
      <c r="T132" s="335"/>
      <c r="U132" s="335"/>
      <c r="V132" s="335"/>
      <c r="W132" s="335"/>
      <c r="X132" s="335"/>
      <c r="Y132" s="335"/>
      <c r="Z132" s="335"/>
      <c r="AA132" s="335"/>
      <c r="AB132" s="335"/>
      <c r="AC132" s="335"/>
      <c r="AD132" s="335"/>
      <c r="AE132" s="335"/>
      <c r="AF132" s="335"/>
      <c r="AG132" s="335"/>
      <c r="AH132" s="335"/>
      <c r="AI132" s="335"/>
      <c r="AJ132" s="335"/>
      <c r="AK132" s="335"/>
      <c r="AL132" s="335"/>
      <c r="AM132" s="335"/>
      <c r="AN132" s="335"/>
      <c r="AO132" s="335"/>
      <c r="AP132" s="335"/>
      <c r="AQ132" s="335"/>
      <c r="AR132" s="335"/>
      <c r="AS132" s="335"/>
      <c r="AT132" s="335"/>
      <c r="AU132" s="335"/>
      <c r="AV132" s="335"/>
      <c r="AW132" s="335"/>
      <c r="AX132" s="335"/>
      <c r="AY132" s="335"/>
      <c r="AZ132" s="335"/>
      <c r="BA132" s="335"/>
      <c r="BB132" s="335"/>
      <c r="BC132" s="335"/>
      <c r="BD132" s="335"/>
      <c r="BE132" s="335"/>
      <c r="BF132" s="335"/>
      <c r="BG132" s="335"/>
      <c r="BH132" s="335"/>
      <c r="BI132" s="335"/>
      <c r="BJ132" s="335"/>
      <c r="BK132" s="335"/>
      <c r="BL132" s="335"/>
      <c r="BM132" s="335"/>
      <c r="BN132" s="335"/>
      <c r="BO132" s="335"/>
      <c r="BP132" s="335"/>
      <c r="BQ132" s="335"/>
      <c r="BR132" s="335"/>
      <c r="BS132" s="335"/>
      <c r="BT132" s="335"/>
      <c r="BU132" s="335"/>
      <c r="BV132" s="335"/>
      <c r="BW132" s="335"/>
      <c r="BX132" s="335"/>
      <c r="BY132" s="335"/>
      <c r="BZ132" s="335"/>
      <c r="CA132" s="335"/>
      <c r="CB132" s="335"/>
      <c r="CC132" s="335"/>
      <c r="CD132" s="335"/>
      <c r="CE132" s="335"/>
      <c r="CF132" s="335"/>
      <c r="CG132" s="335"/>
      <c r="CH132" s="335"/>
      <c r="CI132" s="335"/>
      <c r="CJ132" s="335"/>
      <c r="CK132" s="335"/>
      <c r="CL132" s="335"/>
      <c r="CM132" s="335"/>
      <c r="CN132" s="335"/>
      <c r="CO132" s="335"/>
      <c r="CP132" s="335"/>
    </row>
    <row r="133" spans="1:94" ht="15" customHeight="1" thickBot="1">
      <c r="A133" s="335"/>
      <c r="B133" s="335"/>
      <c r="C133" s="335"/>
      <c r="D133" s="335"/>
      <c r="E133" s="35"/>
      <c r="F133" s="303"/>
      <c r="G133" s="303"/>
      <c r="H133" s="303"/>
      <c r="I133" s="303"/>
      <c r="J133" s="303"/>
      <c r="K133" s="303"/>
      <c r="L133" s="303"/>
      <c r="M133" s="303"/>
      <c r="N133" s="303"/>
      <c r="O133" s="303"/>
      <c r="P133" s="303"/>
      <c r="Q133" s="303"/>
      <c r="R133" s="281">
        <f>SUMIF(R131:R132,"&lt;&gt;"&amp;NA)</f>
        <v>0</v>
      </c>
      <c r="S133" s="335"/>
      <c r="T133" s="335"/>
      <c r="U133" s="335"/>
      <c r="V133" s="335"/>
      <c r="W133" s="335"/>
      <c r="X133" s="335"/>
      <c r="Y133" s="335"/>
      <c r="Z133" s="335"/>
      <c r="AA133" s="335"/>
      <c r="AB133" s="335"/>
      <c r="AC133" s="335"/>
      <c r="AD133" s="335"/>
      <c r="AE133" s="335"/>
      <c r="AF133" s="335"/>
      <c r="AG133" s="335"/>
      <c r="AH133" s="335"/>
      <c r="AI133" s="335"/>
      <c r="AJ133" s="335"/>
      <c r="AK133" s="335"/>
      <c r="AL133" s="335"/>
      <c r="AM133" s="335"/>
      <c r="AN133" s="335"/>
      <c r="AO133" s="335"/>
      <c r="AP133" s="335"/>
      <c r="AQ133" s="335"/>
      <c r="AR133" s="335"/>
      <c r="AS133" s="335"/>
      <c r="AT133" s="335"/>
      <c r="AU133" s="335"/>
      <c r="AV133" s="335"/>
      <c r="AW133" s="335"/>
      <c r="AX133" s="335"/>
      <c r="AY133" s="335"/>
      <c r="AZ133" s="335"/>
      <c r="BA133" s="335"/>
      <c r="BB133" s="335"/>
      <c r="BC133" s="335"/>
      <c r="BD133" s="335"/>
      <c r="BE133" s="335"/>
      <c r="BF133" s="335"/>
      <c r="BG133" s="335"/>
      <c r="BH133" s="335"/>
      <c r="BI133" s="335"/>
      <c r="BJ133" s="335"/>
      <c r="BK133" s="335"/>
      <c r="BL133" s="335"/>
      <c r="BM133" s="335"/>
      <c r="BN133" s="335"/>
      <c r="BO133" s="335"/>
      <c r="BP133" s="335"/>
      <c r="BQ133" s="335"/>
      <c r="BR133" s="335"/>
      <c r="BS133" s="335"/>
      <c r="BT133" s="335"/>
      <c r="BU133" s="335"/>
      <c r="BV133" s="335"/>
      <c r="BW133" s="335"/>
      <c r="BX133" s="335"/>
      <c r="BY133" s="335"/>
      <c r="BZ133" s="335"/>
      <c r="CA133" s="335"/>
      <c r="CB133" s="335"/>
      <c r="CC133" s="335"/>
      <c r="CD133" s="335"/>
      <c r="CE133" s="335"/>
      <c r="CF133" s="335"/>
      <c r="CG133" s="335"/>
      <c r="CH133" s="335"/>
      <c r="CI133" s="335"/>
      <c r="CJ133" s="335"/>
      <c r="CK133" s="335"/>
      <c r="CL133" s="335"/>
      <c r="CM133" s="335"/>
      <c r="CN133" s="335"/>
      <c r="CO133" s="335"/>
      <c r="CP133" s="335"/>
    </row>
    <row r="134" spans="1:94" ht="15" customHeight="1">
      <c r="A134" s="335"/>
      <c r="B134" s="335"/>
      <c r="C134" s="335"/>
      <c r="D134" s="335"/>
      <c r="E134" s="35"/>
      <c r="F134" s="303"/>
      <c r="G134" s="303"/>
      <c r="H134" s="303"/>
      <c r="I134" s="303"/>
      <c r="J134" s="303"/>
      <c r="K134" s="303"/>
      <c r="L134" s="303"/>
      <c r="M134" s="303"/>
      <c r="N134" s="303"/>
      <c r="O134" s="303"/>
      <c r="P134" s="303"/>
      <c r="Q134" s="303"/>
      <c r="R134" s="36"/>
      <c r="S134" s="335"/>
      <c r="T134" s="335"/>
      <c r="U134" s="335"/>
      <c r="V134" s="335"/>
      <c r="W134" s="335"/>
      <c r="X134" s="335"/>
      <c r="Y134" s="335"/>
      <c r="Z134" s="335"/>
      <c r="AA134" s="335"/>
      <c r="AB134" s="335"/>
      <c r="AC134" s="335"/>
      <c r="AD134" s="335"/>
      <c r="AE134" s="335"/>
      <c r="AF134" s="335"/>
      <c r="AG134" s="335"/>
      <c r="AH134" s="335"/>
      <c r="AI134" s="335"/>
      <c r="AJ134" s="335"/>
      <c r="AK134" s="335"/>
      <c r="AL134" s="335"/>
      <c r="AM134" s="335"/>
      <c r="AN134" s="335"/>
      <c r="AO134" s="335"/>
      <c r="AP134" s="335"/>
      <c r="AQ134" s="335"/>
      <c r="AR134" s="335"/>
      <c r="AS134" s="335"/>
      <c r="AT134" s="335"/>
      <c r="AU134" s="335"/>
      <c r="AV134" s="335"/>
      <c r="AW134" s="335"/>
      <c r="AX134" s="335"/>
      <c r="AY134" s="335"/>
      <c r="AZ134" s="335"/>
      <c r="BA134" s="335"/>
      <c r="BB134" s="335"/>
      <c r="BC134" s="335"/>
      <c r="BD134" s="335"/>
      <c r="BE134" s="335"/>
      <c r="BF134" s="335"/>
      <c r="BG134" s="335"/>
      <c r="BH134" s="335"/>
      <c r="BI134" s="335"/>
      <c r="BJ134" s="335"/>
      <c r="BK134" s="335"/>
      <c r="BL134" s="335"/>
      <c r="BM134" s="335"/>
      <c r="BN134" s="335"/>
      <c r="BO134" s="335"/>
      <c r="BP134" s="335"/>
      <c r="BQ134" s="335"/>
      <c r="BR134" s="335"/>
      <c r="BS134" s="335"/>
      <c r="BT134" s="335"/>
      <c r="BU134" s="335"/>
      <c r="BV134" s="335"/>
      <c r="BW134" s="335"/>
      <c r="BX134" s="335"/>
      <c r="BY134" s="335"/>
      <c r="BZ134" s="335"/>
      <c r="CA134" s="335"/>
      <c r="CB134" s="335"/>
      <c r="CC134" s="335"/>
      <c r="CD134" s="335"/>
      <c r="CE134" s="335"/>
      <c r="CF134" s="335"/>
      <c r="CG134" s="335"/>
      <c r="CH134" s="335"/>
      <c r="CI134" s="335"/>
      <c r="CJ134" s="335"/>
      <c r="CK134" s="335"/>
      <c r="CL134" s="335"/>
      <c r="CM134" s="335"/>
      <c r="CN134" s="335"/>
      <c r="CO134" s="335"/>
      <c r="CP134" s="335"/>
    </row>
    <row r="135" spans="1:94" ht="15" customHeight="1">
      <c r="A135" s="335"/>
      <c r="B135" s="335"/>
      <c r="C135" s="335"/>
      <c r="D135" s="335"/>
      <c r="E135" s="35"/>
      <c r="F135" s="310"/>
      <c r="G135" s="310"/>
      <c r="H135" s="310"/>
      <c r="I135" s="310"/>
      <c r="J135" s="310" t="s">
        <v>617</v>
      </c>
      <c r="K135" s="310"/>
      <c r="L135" s="311" t="s">
        <v>161</v>
      </c>
      <c r="M135" s="493"/>
      <c r="N135" s="493"/>
      <c r="O135" s="303"/>
      <c r="P135" s="311" t="s">
        <v>555</v>
      </c>
      <c r="Q135" s="14" t="s">
        <v>84</v>
      </c>
      <c r="R135" s="14" t="s">
        <v>85</v>
      </c>
      <c r="S135" s="335"/>
      <c r="T135" s="335"/>
      <c r="U135" s="335"/>
      <c r="V135" s="335"/>
      <c r="W135" s="335"/>
      <c r="X135" s="335"/>
      <c r="Y135" s="335"/>
      <c r="Z135" s="335"/>
      <c r="AA135" s="335"/>
      <c r="AB135" s="335"/>
      <c r="AC135" s="335"/>
      <c r="AD135" s="335"/>
      <c r="AE135" s="335"/>
      <c r="AF135" s="335"/>
      <c r="AG135" s="335"/>
      <c r="AH135" s="335"/>
      <c r="AI135" s="335"/>
      <c r="AJ135" s="335"/>
      <c r="AK135" s="335"/>
      <c r="AL135" s="335"/>
      <c r="AM135" s="335"/>
      <c r="AN135" s="335"/>
      <c r="AO135" s="335"/>
      <c r="AP135" s="335"/>
      <c r="AQ135" s="335"/>
      <c r="AR135" s="335"/>
      <c r="AS135" s="335"/>
      <c r="AT135" s="335"/>
      <c r="AU135" s="335"/>
      <c r="AV135" s="335"/>
      <c r="AW135" s="335"/>
      <c r="AX135" s="335"/>
      <c r="AY135" s="335"/>
      <c r="AZ135" s="335"/>
      <c r="BA135" s="335"/>
      <c r="BB135" s="335"/>
      <c r="BC135" s="335"/>
      <c r="BD135" s="335"/>
      <c r="BE135" s="335"/>
      <c r="BF135" s="335"/>
      <c r="BG135" s="335"/>
      <c r="BH135" s="335"/>
      <c r="BI135" s="335"/>
      <c r="BJ135" s="335"/>
      <c r="BK135" s="335"/>
      <c r="BL135" s="335"/>
      <c r="BM135" s="335"/>
      <c r="BN135" s="335"/>
      <c r="BO135" s="335"/>
      <c r="BP135" s="335"/>
      <c r="BQ135" s="335"/>
      <c r="BR135" s="335"/>
      <c r="BS135" s="335"/>
      <c r="BT135" s="335"/>
      <c r="BU135" s="335"/>
      <c r="BV135" s="335"/>
      <c r="BW135" s="335"/>
      <c r="BX135" s="335"/>
      <c r="BY135" s="335"/>
      <c r="BZ135" s="335"/>
      <c r="CA135" s="335"/>
      <c r="CB135" s="335"/>
      <c r="CC135" s="335"/>
      <c r="CD135" s="335"/>
      <c r="CE135" s="335"/>
      <c r="CF135" s="335"/>
      <c r="CG135" s="335"/>
      <c r="CH135" s="335"/>
      <c r="CI135" s="335"/>
      <c r="CJ135" s="335"/>
      <c r="CK135" s="335"/>
      <c r="CL135" s="335"/>
      <c r="CM135" s="335"/>
      <c r="CN135" s="335"/>
      <c r="CO135" s="335"/>
      <c r="CP135" s="335"/>
    </row>
    <row r="136" spans="1:94" ht="15" customHeight="1">
      <c r="A136" s="335"/>
      <c r="B136" s="335"/>
      <c r="C136" s="335"/>
      <c r="D136" s="335"/>
      <c r="E136" s="58" t="str">
        <f>$I$3</f>
        <v>EUREX BUXL 30Y</v>
      </c>
      <c r="F136" s="553" t="str">
        <f>$I$3&amp;";"&amp;EurMkt!$M$3</f>
        <v>EUREX BUXL 30Y;DEC 16</v>
      </c>
      <c r="G136" s="553"/>
      <c r="H136" s="553"/>
      <c r="I136" s="553"/>
      <c r="J136" s="302" t="e">
        <f>VLOOKUP(F136,FUT,$H$2,FALSE)</f>
        <v>#N/A</v>
      </c>
      <c r="K136" s="302"/>
      <c r="L136" s="305" t="e">
        <f>VLOOKUP(F136,FUT,$I$2,FALSE)</f>
        <v>#N/A</v>
      </c>
      <c r="M136" s="492"/>
      <c r="N136" s="492"/>
      <c r="O136" s="303"/>
      <c r="P136" s="305">
        <f>EurMkt!MktBUXL30Y1</f>
        <v>176</v>
      </c>
      <c r="Q136" s="23" t="e">
        <f>+(P136-L136)*100</f>
        <v>#N/A</v>
      </c>
      <c r="R136" s="8" t="e">
        <f>+Q136*J136*10</f>
        <v>#N/A</v>
      </c>
      <c r="S136" s="335"/>
      <c r="T136" s="335"/>
      <c r="U136" s="335"/>
      <c r="V136" s="335"/>
      <c r="W136" s="335"/>
      <c r="X136" s="335"/>
      <c r="Y136" s="335"/>
      <c r="Z136" s="335"/>
      <c r="AA136" s="335"/>
      <c r="AB136" s="335"/>
      <c r="AC136" s="335"/>
      <c r="AD136" s="335"/>
      <c r="AE136" s="335"/>
      <c r="AF136" s="335"/>
      <c r="AG136" s="335"/>
      <c r="AH136" s="335"/>
      <c r="AI136" s="335"/>
      <c r="AJ136" s="335"/>
      <c r="AK136" s="335"/>
      <c r="AL136" s="335"/>
      <c r="AM136" s="335"/>
      <c r="AN136" s="335"/>
      <c r="AO136" s="335"/>
      <c r="AP136" s="335"/>
      <c r="AQ136" s="335"/>
      <c r="AR136" s="335"/>
      <c r="AS136" s="335"/>
      <c r="AT136" s="335"/>
      <c r="AU136" s="335"/>
      <c r="AV136" s="335"/>
      <c r="AW136" s="335"/>
      <c r="AX136" s="335"/>
      <c r="AY136" s="335"/>
      <c r="AZ136" s="335"/>
      <c r="BA136" s="335"/>
      <c r="BB136" s="335"/>
      <c r="BC136" s="335"/>
      <c r="BD136" s="335"/>
      <c r="BE136" s="335"/>
      <c r="BF136" s="335"/>
      <c r="BG136" s="335"/>
      <c r="BH136" s="335"/>
      <c r="BI136" s="335"/>
      <c r="BJ136" s="335"/>
      <c r="BK136" s="335"/>
      <c r="BL136" s="335"/>
      <c r="BM136" s="335"/>
      <c r="BN136" s="335"/>
      <c r="BO136" s="335"/>
      <c r="BP136" s="335"/>
      <c r="BQ136" s="335"/>
      <c r="BR136" s="335"/>
      <c r="BS136" s="335"/>
      <c r="BT136" s="335"/>
      <c r="BU136" s="335"/>
      <c r="BV136" s="335"/>
      <c r="BW136" s="335"/>
      <c r="BX136" s="335"/>
      <c r="BY136" s="335"/>
      <c r="BZ136" s="335"/>
      <c r="CA136" s="335"/>
      <c r="CB136" s="335"/>
      <c r="CC136" s="335"/>
      <c r="CD136" s="335"/>
      <c r="CE136" s="335"/>
      <c r="CF136" s="335"/>
      <c r="CG136" s="335"/>
      <c r="CH136" s="335"/>
      <c r="CI136" s="335"/>
      <c r="CJ136" s="335"/>
      <c r="CK136" s="335"/>
      <c r="CL136" s="335"/>
      <c r="CM136" s="335"/>
      <c r="CN136" s="335"/>
      <c r="CO136" s="335"/>
      <c r="CP136" s="335"/>
    </row>
    <row r="137" spans="1:94" ht="15" customHeight="1" thickBot="1">
      <c r="A137" s="335"/>
      <c r="B137" s="335"/>
      <c r="C137" s="335"/>
      <c r="D137" s="335"/>
      <c r="E137" s="25"/>
      <c r="F137" s="553" t="str">
        <f>$I$3&amp;";"&amp;EurMkt!$M$4</f>
        <v>EUREX BUXL 30Y;MAR 17</v>
      </c>
      <c r="G137" s="553"/>
      <c r="H137" s="553"/>
      <c r="I137" s="553"/>
      <c r="J137" s="302" t="e">
        <f>VLOOKUP(F137,FUT,$H$2,FALSE)</f>
        <v>#N/A</v>
      </c>
      <c r="K137" s="302"/>
      <c r="L137" s="305" t="e">
        <f>VLOOKUP(F137,FUT,$I$2,FALSE)</f>
        <v>#N/A</v>
      </c>
      <c r="M137" s="492"/>
      <c r="N137" s="492"/>
      <c r="O137" s="303"/>
      <c r="P137" s="279">
        <f>EurMkt!MktBUXL30Y2</f>
        <v>174.09</v>
      </c>
      <c r="Q137" s="24" t="e">
        <f>+(P137-L137)*100</f>
        <v>#N/A</v>
      </c>
      <c r="R137" s="84" t="e">
        <f>+Q137*J137*10</f>
        <v>#N/A</v>
      </c>
      <c r="S137" s="335"/>
      <c r="T137" s="335"/>
      <c r="U137" s="335"/>
      <c r="V137" s="335"/>
      <c r="W137" s="335"/>
      <c r="X137" s="335"/>
      <c r="Y137" s="335"/>
      <c r="Z137" s="335"/>
      <c r="AA137" s="335"/>
      <c r="AB137" s="335"/>
      <c r="AC137" s="335"/>
      <c r="AD137" s="335"/>
      <c r="AE137" s="335"/>
      <c r="AF137" s="335"/>
      <c r="AG137" s="335"/>
      <c r="AH137" s="335"/>
      <c r="AI137" s="335"/>
      <c r="AJ137" s="335"/>
      <c r="AK137" s="335"/>
      <c r="AL137" s="335"/>
      <c r="AM137" s="335"/>
      <c r="AN137" s="335"/>
      <c r="AO137" s="335"/>
      <c r="AP137" s="335"/>
      <c r="AQ137" s="335"/>
      <c r="AR137" s="335"/>
      <c r="AS137" s="335"/>
      <c r="AT137" s="335"/>
      <c r="AU137" s="335"/>
      <c r="AV137" s="335"/>
      <c r="AW137" s="335"/>
      <c r="AX137" s="335"/>
      <c r="AY137" s="335"/>
      <c r="AZ137" s="335"/>
      <c r="BA137" s="335"/>
      <c r="BB137" s="335"/>
      <c r="BC137" s="335"/>
      <c r="BD137" s="335"/>
      <c r="BE137" s="335"/>
      <c r="BF137" s="335"/>
      <c r="BG137" s="335"/>
      <c r="BH137" s="335"/>
      <c r="BI137" s="335"/>
      <c r="BJ137" s="335"/>
      <c r="BK137" s="335"/>
      <c r="BL137" s="335"/>
      <c r="BM137" s="335"/>
      <c r="BN137" s="335"/>
      <c r="BO137" s="335"/>
      <c r="BP137" s="335"/>
      <c r="BQ137" s="335"/>
      <c r="BR137" s="335"/>
      <c r="BS137" s="335"/>
      <c r="BT137" s="335"/>
      <c r="BU137" s="335"/>
      <c r="BV137" s="335"/>
      <c r="BW137" s="335"/>
      <c r="BX137" s="335"/>
      <c r="BY137" s="335"/>
      <c r="BZ137" s="335"/>
      <c r="CA137" s="335"/>
      <c r="CB137" s="335"/>
      <c r="CC137" s="335"/>
      <c r="CD137" s="335"/>
      <c r="CE137" s="335"/>
      <c r="CF137" s="335"/>
      <c r="CG137" s="335"/>
      <c r="CH137" s="335"/>
      <c r="CI137" s="335"/>
      <c r="CJ137" s="335"/>
      <c r="CK137" s="335"/>
      <c r="CL137" s="335"/>
      <c r="CM137" s="335"/>
      <c r="CN137" s="335"/>
      <c r="CO137" s="335"/>
      <c r="CP137" s="335"/>
    </row>
    <row r="138" spans="1:94" ht="15" customHeight="1" thickBot="1">
      <c r="A138" s="335"/>
      <c r="B138" s="335"/>
      <c r="C138" s="335"/>
      <c r="D138" s="335"/>
      <c r="E138" s="335"/>
      <c r="F138" s="303"/>
      <c r="G138" s="303"/>
      <c r="H138" s="303"/>
      <c r="I138" s="303"/>
      <c r="J138" s="303"/>
      <c r="K138" s="303"/>
      <c r="L138" s="303"/>
      <c r="M138" s="303"/>
      <c r="N138" s="303"/>
      <c r="O138" s="303"/>
      <c r="P138" s="303"/>
      <c r="Q138" s="303"/>
      <c r="R138" s="281">
        <f>SUMIF(R136:R137,"&lt;&gt;"&amp;NA)</f>
        <v>0</v>
      </c>
      <c r="S138" s="335"/>
      <c r="T138" s="335"/>
      <c r="U138" s="335"/>
      <c r="V138" s="335"/>
      <c r="W138" s="335"/>
      <c r="X138" s="335"/>
      <c r="Y138" s="335"/>
      <c r="Z138" s="335"/>
      <c r="AA138" s="335"/>
      <c r="AB138" s="335"/>
      <c r="AC138" s="335"/>
      <c r="AD138" s="335"/>
      <c r="AE138" s="335"/>
      <c r="AF138" s="335"/>
      <c r="AG138" s="335"/>
      <c r="AH138" s="335"/>
      <c r="AI138" s="335"/>
      <c r="AJ138" s="335"/>
      <c r="AK138" s="335"/>
      <c r="AL138" s="335"/>
      <c r="AM138" s="335"/>
      <c r="AN138" s="335"/>
      <c r="AO138" s="335"/>
      <c r="AP138" s="335"/>
      <c r="AQ138" s="335"/>
      <c r="AR138" s="335"/>
      <c r="AS138" s="335"/>
      <c r="AT138" s="335"/>
      <c r="AU138" s="335"/>
      <c r="AV138" s="335"/>
      <c r="AW138" s="335"/>
      <c r="AX138" s="335"/>
      <c r="AY138" s="335"/>
      <c r="AZ138" s="335"/>
      <c r="BA138" s="335"/>
      <c r="BB138" s="335"/>
      <c r="BC138" s="335"/>
      <c r="BD138" s="335"/>
      <c r="BE138" s="335"/>
      <c r="BF138" s="335"/>
      <c r="BG138" s="335"/>
      <c r="BH138" s="335"/>
      <c r="BI138" s="335"/>
      <c r="BJ138" s="335"/>
      <c r="BK138" s="335"/>
      <c r="BL138" s="335"/>
      <c r="BM138" s="335"/>
      <c r="BN138" s="335"/>
      <c r="BO138" s="335"/>
      <c r="BP138" s="335"/>
      <c r="BQ138" s="335"/>
      <c r="BR138" s="335"/>
      <c r="BS138" s="335"/>
      <c r="BT138" s="335"/>
      <c r="BU138" s="335"/>
      <c r="BV138" s="335"/>
      <c r="BW138" s="335"/>
      <c r="BX138" s="335"/>
      <c r="BY138" s="335"/>
      <c r="BZ138" s="335"/>
      <c r="CA138" s="335"/>
      <c r="CB138" s="335"/>
      <c r="CC138" s="335"/>
      <c r="CD138" s="335"/>
      <c r="CE138" s="335"/>
      <c r="CF138" s="335"/>
      <c r="CG138" s="335"/>
      <c r="CH138" s="335"/>
      <c r="CI138" s="335"/>
      <c r="CJ138" s="335"/>
      <c r="CK138" s="335"/>
      <c r="CL138" s="335"/>
      <c r="CM138" s="335"/>
      <c r="CN138" s="335"/>
      <c r="CO138" s="335"/>
      <c r="CP138" s="335"/>
    </row>
    <row r="139" spans="1:94" ht="15" customHeight="1">
      <c r="A139" s="335"/>
      <c r="B139" s="335"/>
      <c r="C139" s="335"/>
      <c r="D139" s="335"/>
      <c r="E139" s="335"/>
      <c r="F139" s="303"/>
      <c r="G139" s="303"/>
      <c r="H139" s="303"/>
      <c r="I139" s="303"/>
      <c r="J139" s="303"/>
      <c r="K139" s="303"/>
      <c r="L139" s="303"/>
      <c r="M139" s="303"/>
      <c r="N139" s="303"/>
      <c r="O139" s="303"/>
      <c r="P139" s="303"/>
      <c r="Q139" s="303"/>
      <c r="R139" s="36"/>
      <c r="S139" s="335"/>
      <c r="T139" s="335"/>
      <c r="U139" s="335"/>
      <c r="V139" s="335"/>
      <c r="W139" s="335"/>
      <c r="X139" s="335"/>
      <c r="Y139" s="335"/>
      <c r="Z139" s="335"/>
      <c r="AA139" s="335"/>
      <c r="AB139" s="335"/>
      <c r="AC139" s="335"/>
      <c r="AD139" s="335"/>
      <c r="AE139" s="335"/>
      <c r="AF139" s="335"/>
      <c r="AG139" s="335"/>
      <c r="AH139" s="335"/>
      <c r="AI139" s="335"/>
      <c r="AJ139" s="335"/>
      <c r="AK139" s="335"/>
      <c r="AL139" s="335"/>
      <c r="AM139" s="335"/>
      <c r="AN139" s="335"/>
      <c r="AO139" s="335"/>
      <c r="AP139" s="335"/>
      <c r="AQ139" s="335"/>
      <c r="AR139" s="335"/>
      <c r="AS139" s="335"/>
      <c r="AT139" s="335"/>
      <c r="AU139" s="335"/>
      <c r="AV139" s="335"/>
      <c r="AW139" s="335"/>
      <c r="AX139" s="335"/>
      <c r="AY139" s="335"/>
      <c r="AZ139" s="335"/>
      <c r="BA139" s="335"/>
      <c r="BB139" s="335"/>
      <c r="BC139" s="335"/>
      <c r="BD139" s="335"/>
      <c r="BE139" s="335"/>
      <c r="BF139" s="335"/>
      <c r="BG139" s="335"/>
      <c r="BH139" s="335"/>
      <c r="BI139" s="335"/>
      <c r="BJ139" s="335"/>
      <c r="BK139" s="335"/>
      <c r="BL139" s="335"/>
      <c r="BM139" s="335"/>
      <c r="BN139" s="335"/>
      <c r="BO139" s="335"/>
      <c r="BP139" s="335"/>
      <c r="BQ139" s="335"/>
      <c r="BR139" s="335"/>
      <c r="BS139" s="335"/>
      <c r="BT139" s="335"/>
      <c r="BU139" s="335"/>
      <c r="BV139" s="335"/>
      <c r="BW139" s="335"/>
      <c r="BX139" s="335"/>
      <c r="BY139" s="335"/>
      <c r="BZ139" s="335"/>
      <c r="CA139" s="335"/>
      <c r="CB139" s="335"/>
      <c r="CC139" s="335"/>
      <c r="CD139" s="335"/>
      <c r="CE139" s="335"/>
      <c r="CF139" s="335"/>
      <c r="CG139" s="335"/>
      <c r="CH139" s="335"/>
      <c r="CI139" s="335"/>
      <c r="CJ139" s="335"/>
      <c r="CK139" s="335"/>
      <c r="CL139" s="335"/>
      <c r="CM139" s="335"/>
      <c r="CN139" s="335"/>
      <c r="CO139" s="335"/>
      <c r="CP139" s="335"/>
    </row>
    <row r="140" spans="1:94" ht="15" customHeight="1">
      <c r="A140" s="335"/>
      <c r="B140" s="335"/>
      <c r="C140" s="335"/>
      <c r="D140" s="335"/>
      <c r="E140" s="335"/>
      <c r="F140" s="40"/>
      <c r="G140" s="304"/>
      <c r="H140" s="304"/>
      <c r="I140" s="304"/>
      <c r="J140" s="40"/>
      <c r="K140" s="304"/>
      <c r="L140" s="40"/>
      <c r="M140" s="304"/>
      <c r="N140" s="304"/>
      <c r="O140" s="304"/>
      <c r="P140" s="40"/>
      <c r="Q140" s="40"/>
      <c r="R140" s="38"/>
      <c r="S140" s="335"/>
      <c r="T140" s="335"/>
      <c r="U140" s="335"/>
      <c r="V140" s="335"/>
      <c r="W140" s="335"/>
      <c r="X140" s="335"/>
      <c r="Y140" s="335"/>
      <c r="Z140" s="335"/>
      <c r="AA140" s="335"/>
      <c r="AB140" s="335"/>
      <c r="AC140" s="335"/>
      <c r="AD140" s="335"/>
      <c r="AE140" s="335"/>
      <c r="AF140" s="335"/>
      <c r="AG140" s="335"/>
      <c r="AH140" s="335"/>
      <c r="AI140" s="335"/>
      <c r="AJ140" s="335"/>
      <c r="AK140" s="335"/>
      <c r="AL140" s="335"/>
      <c r="AM140" s="335"/>
      <c r="AN140" s="335"/>
      <c r="AO140" s="335"/>
      <c r="AP140" s="335"/>
      <c r="AQ140" s="335"/>
      <c r="AR140" s="335"/>
      <c r="AS140" s="335"/>
      <c r="AT140" s="335"/>
      <c r="AU140" s="335"/>
      <c r="AV140" s="335"/>
      <c r="AW140" s="335"/>
      <c r="AX140" s="335"/>
      <c r="AY140" s="335"/>
      <c r="AZ140" s="335"/>
      <c r="BA140" s="335"/>
      <c r="BB140" s="335"/>
      <c r="BC140" s="335"/>
      <c r="BD140" s="335"/>
      <c r="BE140" s="335"/>
      <c r="BF140" s="335"/>
      <c r="BG140" s="335"/>
      <c r="BH140" s="335"/>
      <c r="BI140" s="335"/>
      <c r="BJ140" s="335"/>
      <c r="BK140" s="335"/>
      <c r="BL140" s="335"/>
      <c r="BM140" s="335"/>
      <c r="BN140" s="335"/>
      <c r="BO140" s="335"/>
      <c r="BP140" s="335"/>
      <c r="BQ140" s="335"/>
      <c r="BR140" s="335"/>
      <c r="BS140" s="335"/>
      <c r="BT140" s="335"/>
      <c r="BU140" s="335"/>
      <c r="BV140" s="335"/>
      <c r="BW140" s="335"/>
      <c r="BX140" s="335"/>
      <c r="BY140" s="335"/>
      <c r="BZ140" s="335"/>
      <c r="CA140" s="335"/>
      <c r="CB140" s="335"/>
      <c r="CC140" s="335"/>
      <c r="CD140" s="335"/>
      <c r="CE140" s="335"/>
      <c r="CF140" s="335"/>
      <c r="CG140" s="335"/>
      <c r="CH140" s="335"/>
      <c r="CI140" s="335"/>
      <c r="CJ140" s="335"/>
      <c r="CK140" s="335"/>
      <c r="CL140" s="335"/>
      <c r="CM140" s="335"/>
      <c r="CN140" s="335"/>
      <c r="CO140" s="335"/>
      <c r="CP140" s="335"/>
    </row>
    <row r="141" spans="1:94" ht="15" customHeight="1">
      <c r="L141" s="401"/>
      <c r="O141" s="401"/>
      <c r="P141" s="401"/>
      <c r="Q141" s="401"/>
      <c r="R141" s="401"/>
      <c r="S141" s="401"/>
      <c r="T141" s="401"/>
      <c r="U141" s="401"/>
      <c r="V141" s="401"/>
      <c r="W141" s="401"/>
      <c r="AA141" s="401"/>
      <c r="AB141" s="401"/>
      <c r="AC141" s="401"/>
      <c r="AD141" s="401"/>
      <c r="AE141" s="401"/>
      <c r="AF141" s="401"/>
      <c r="AJ141" s="401"/>
      <c r="AK141" s="401"/>
      <c r="AL141" s="401"/>
      <c r="AM141" s="401"/>
      <c r="AN141" s="401"/>
      <c r="AO141" s="401"/>
      <c r="AP141" s="401"/>
      <c r="AQ141" s="401"/>
      <c r="AR141" s="401"/>
      <c r="AS141" s="401"/>
      <c r="AT141" s="401"/>
      <c r="AU141" s="401"/>
      <c r="AV141" s="401"/>
      <c r="AZ141" s="401"/>
      <c r="BA141" s="401"/>
      <c r="BB141" s="401"/>
      <c r="BC141" s="401"/>
      <c r="BD141" s="401"/>
      <c r="BE141" s="401"/>
      <c r="BF141" s="401"/>
      <c r="BG141" s="401"/>
      <c r="BH141" s="401"/>
      <c r="BI141" s="401"/>
      <c r="BJ141" s="401"/>
      <c r="BK141" s="401"/>
      <c r="BL141" s="401"/>
      <c r="BM141" s="401"/>
      <c r="BN141" s="401"/>
      <c r="BO141" s="401"/>
      <c r="BP141" s="401"/>
      <c r="BQ141" s="401"/>
      <c r="BR141" s="401"/>
      <c r="BS141" s="401"/>
      <c r="BT141" s="401"/>
      <c r="BU141" s="401"/>
      <c r="BV141" s="401"/>
      <c r="BW141" s="401"/>
      <c r="BX141" s="401"/>
      <c r="BY141" s="401"/>
      <c r="BZ141" s="401"/>
      <c r="CA141" s="401"/>
      <c r="CB141" s="401"/>
      <c r="CC141" s="401"/>
      <c r="CD141" s="401"/>
      <c r="CE141" s="401"/>
      <c r="CF141" s="401"/>
      <c r="CG141" s="401"/>
      <c r="CH141" s="401"/>
      <c r="CI141" s="401"/>
      <c r="CJ141" s="401"/>
      <c r="CK141" s="401"/>
      <c r="CL141" s="401"/>
      <c r="CM141" s="401"/>
      <c r="CN141" s="401"/>
      <c r="CO141" s="401"/>
      <c r="CP141" s="401"/>
    </row>
    <row r="142" spans="1:94" ht="15" customHeight="1">
      <c r="L142" s="401"/>
      <c r="O142" s="401"/>
      <c r="P142" s="401"/>
      <c r="Q142" s="401"/>
      <c r="R142" s="401"/>
      <c r="S142" s="401"/>
      <c r="T142" s="401"/>
      <c r="U142" s="401"/>
      <c r="V142" s="401"/>
      <c r="W142" s="401"/>
      <c r="AA142" s="401"/>
      <c r="AB142" s="401"/>
      <c r="AC142" s="401"/>
      <c r="AD142" s="401"/>
      <c r="AE142" s="401"/>
      <c r="AF142" s="401"/>
      <c r="AJ142" s="401"/>
      <c r="AK142" s="401"/>
      <c r="AL142" s="401"/>
      <c r="AM142" s="401"/>
      <c r="AN142" s="401"/>
      <c r="AO142" s="401"/>
      <c r="AP142" s="401"/>
      <c r="AQ142" s="401"/>
      <c r="AR142" s="401"/>
      <c r="AS142" s="401"/>
      <c r="AT142" s="401"/>
      <c r="AU142" s="401"/>
      <c r="AV142" s="401"/>
      <c r="AZ142" s="401"/>
      <c r="BA142" s="401"/>
      <c r="BB142" s="401"/>
      <c r="BC142" s="401"/>
      <c r="BD142" s="401"/>
      <c r="BE142" s="401"/>
      <c r="BF142" s="401"/>
      <c r="BG142" s="401"/>
      <c r="BH142" s="401"/>
      <c r="BI142" s="401"/>
      <c r="BJ142" s="401"/>
      <c r="BK142" s="401"/>
      <c r="BL142" s="401"/>
      <c r="BM142" s="401"/>
      <c r="BN142" s="401"/>
      <c r="BO142" s="401"/>
      <c r="BP142" s="401"/>
      <c r="BQ142" s="401"/>
      <c r="BR142" s="401"/>
      <c r="BS142" s="401"/>
      <c r="BT142" s="401"/>
      <c r="BU142" s="401"/>
      <c r="BV142" s="401"/>
      <c r="BW142" s="401"/>
      <c r="BX142" s="401"/>
      <c r="BY142" s="401"/>
      <c r="BZ142" s="401"/>
      <c r="CA142" s="401"/>
      <c r="CB142" s="401"/>
      <c r="CC142" s="401"/>
      <c r="CD142" s="401"/>
      <c r="CE142" s="401"/>
      <c r="CF142" s="401"/>
      <c r="CG142" s="401"/>
      <c r="CH142" s="401"/>
      <c r="CI142" s="401"/>
      <c r="CJ142" s="401"/>
      <c r="CK142" s="401"/>
      <c r="CL142" s="401"/>
      <c r="CM142" s="401"/>
      <c r="CN142" s="401"/>
      <c r="CO142" s="401"/>
      <c r="CP142" s="401"/>
    </row>
    <row r="143" spans="1:94" ht="15" customHeight="1">
      <c r="L143" s="401"/>
      <c r="O143" s="401"/>
      <c r="P143" s="401"/>
      <c r="Q143" s="401"/>
      <c r="R143" s="401"/>
      <c r="S143" s="401"/>
      <c r="T143" s="401"/>
      <c r="U143" s="401"/>
      <c r="V143" s="401"/>
      <c r="W143" s="401"/>
      <c r="AA143" s="401"/>
      <c r="AB143" s="401"/>
      <c r="AC143" s="401"/>
      <c r="AD143" s="401"/>
      <c r="AE143" s="401"/>
      <c r="AF143" s="401"/>
      <c r="AJ143" s="401"/>
      <c r="AK143" s="401"/>
      <c r="AL143" s="401"/>
      <c r="AM143" s="401"/>
      <c r="AN143" s="401"/>
      <c r="AO143" s="401"/>
      <c r="AP143" s="401"/>
      <c r="AQ143" s="401"/>
      <c r="AR143" s="401"/>
      <c r="AS143" s="401"/>
      <c r="AT143" s="401"/>
      <c r="AU143" s="401"/>
      <c r="AV143" s="401"/>
      <c r="AZ143" s="401"/>
      <c r="BA143" s="401"/>
      <c r="BB143" s="401"/>
      <c r="BC143" s="401"/>
      <c r="BD143" s="401"/>
      <c r="BE143" s="401"/>
      <c r="BF143" s="401"/>
      <c r="BG143" s="401"/>
      <c r="BH143" s="401"/>
      <c r="BI143" s="401"/>
      <c r="BJ143" s="401"/>
      <c r="BK143" s="401"/>
      <c r="BL143" s="401"/>
      <c r="BM143" s="401"/>
      <c r="BN143" s="401"/>
      <c r="BO143" s="401"/>
      <c r="BP143" s="401"/>
      <c r="BQ143" s="401"/>
      <c r="BR143" s="401"/>
      <c r="BS143" s="401"/>
      <c r="BT143" s="401"/>
      <c r="BU143" s="401"/>
      <c r="BV143" s="401"/>
      <c r="BW143" s="401"/>
      <c r="BX143" s="401"/>
      <c r="BY143" s="401"/>
      <c r="BZ143" s="401"/>
      <c r="CA143" s="401"/>
      <c r="CB143" s="401"/>
      <c r="CC143" s="401"/>
      <c r="CD143" s="401"/>
      <c r="CE143" s="401"/>
      <c r="CF143" s="401"/>
      <c r="CG143" s="401"/>
      <c r="CH143" s="401"/>
      <c r="CI143" s="401"/>
      <c r="CJ143" s="401"/>
      <c r="CK143" s="401"/>
      <c r="CL143" s="401"/>
      <c r="CM143" s="401"/>
      <c r="CN143" s="401"/>
      <c r="CO143" s="401"/>
      <c r="CP143" s="401"/>
    </row>
    <row r="144" spans="1:94" ht="15" customHeight="1">
      <c r="L144" s="401"/>
      <c r="O144" s="401"/>
      <c r="P144" s="401"/>
      <c r="Q144" s="401"/>
      <c r="R144" s="401"/>
      <c r="S144" s="401"/>
      <c r="T144" s="401"/>
      <c r="U144" s="401"/>
      <c r="V144" s="401"/>
      <c r="W144" s="401"/>
      <c r="AA144" s="401"/>
      <c r="AB144" s="401"/>
      <c r="AC144" s="401"/>
      <c r="AD144" s="401"/>
      <c r="AE144" s="401"/>
      <c r="AF144" s="401"/>
      <c r="AJ144" s="401"/>
      <c r="AK144" s="401"/>
      <c r="AL144" s="401"/>
      <c r="AM144" s="401"/>
      <c r="AN144" s="401"/>
      <c r="AO144" s="401"/>
      <c r="AP144" s="401"/>
      <c r="AQ144" s="401"/>
      <c r="AR144" s="401"/>
      <c r="AS144" s="401"/>
      <c r="AT144" s="401"/>
      <c r="AU144" s="401"/>
      <c r="AV144" s="401"/>
      <c r="AZ144" s="401"/>
      <c r="BA144" s="401"/>
      <c r="BB144" s="401"/>
      <c r="BC144" s="401"/>
      <c r="BD144" s="401"/>
      <c r="BE144" s="401"/>
      <c r="BF144" s="401"/>
      <c r="BG144" s="401"/>
      <c r="BH144" s="401"/>
      <c r="BI144" s="401"/>
      <c r="BJ144" s="401"/>
      <c r="BK144" s="401"/>
      <c r="BL144" s="401"/>
      <c r="BM144" s="401"/>
      <c r="BN144" s="401"/>
      <c r="BO144" s="401"/>
      <c r="BP144" s="401"/>
      <c r="BQ144" s="401"/>
      <c r="BR144" s="401"/>
      <c r="BS144" s="401"/>
      <c r="BT144" s="401"/>
      <c r="BU144" s="401"/>
      <c r="BV144" s="401"/>
      <c r="BW144" s="401"/>
      <c r="BX144" s="401"/>
      <c r="BY144" s="401"/>
      <c r="BZ144" s="401"/>
      <c r="CA144" s="401"/>
      <c r="CB144" s="401"/>
      <c r="CC144" s="401"/>
      <c r="CD144" s="401"/>
      <c r="CE144" s="401"/>
      <c r="CF144" s="401"/>
      <c r="CG144" s="401"/>
      <c r="CH144" s="401"/>
      <c r="CI144" s="401"/>
      <c r="CJ144" s="401"/>
      <c r="CK144" s="401"/>
      <c r="CL144" s="401"/>
      <c r="CM144" s="401"/>
      <c r="CN144" s="401"/>
      <c r="CO144" s="401"/>
      <c r="CP144" s="401"/>
    </row>
    <row r="145" spans="12:94" ht="15" customHeight="1">
      <c r="L145" s="401"/>
      <c r="O145" s="401"/>
      <c r="P145" s="401"/>
      <c r="Q145" s="401"/>
      <c r="R145" s="401"/>
      <c r="S145" s="401"/>
      <c r="T145" s="401"/>
      <c r="U145" s="401"/>
      <c r="V145" s="401"/>
      <c r="W145" s="401"/>
      <c r="AA145" s="401"/>
      <c r="AB145" s="401"/>
      <c r="AC145" s="401"/>
      <c r="AD145" s="401"/>
      <c r="AE145" s="401"/>
      <c r="AF145" s="401"/>
      <c r="AJ145" s="401"/>
      <c r="AK145" s="401"/>
      <c r="AL145" s="401"/>
      <c r="AM145" s="401"/>
      <c r="AN145" s="401"/>
      <c r="AO145" s="401"/>
      <c r="AP145" s="401"/>
      <c r="AQ145" s="401"/>
      <c r="AR145" s="401"/>
      <c r="AS145" s="401"/>
      <c r="AT145" s="401"/>
      <c r="AU145" s="401"/>
      <c r="AV145" s="401"/>
      <c r="AZ145" s="401"/>
      <c r="BA145" s="401"/>
      <c r="BB145" s="401"/>
      <c r="BC145" s="401"/>
      <c r="BD145" s="401"/>
      <c r="BE145" s="401"/>
      <c r="BF145" s="401"/>
      <c r="BG145" s="401"/>
      <c r="BH145" s="401"/>
      <c r="BI145" s="401"/>
      <c r="BJ145" s="401"/>
      <c r="BK145" s="401"/>
      <c r="BL145" s="401"/>
      <c r="BM145" s="401"/>
      <c r="BN145" s="401"/>
      <c r="BO145" s="401"/>
      <c r="BP145" s="401"/>
      <c r="BQ145" s="401"/>
      <c r="BR145" s="401"/>
      <c r="BS145" s="401"/>
      <c r="BT145" s="401"/>
      <c r="BU145" s="401"/>
      <c r="BV145" s="401"/>
      <c r="BW145" s="401"/>
      <c r="BX145" s="401"/>
      <c r="BY145" s="401"/>
      <c r="BZ145" s="401"/>
      <c r="CA145" s="401"/>
      <c r="CB145" s="401"/>
      <c r="CC145" s="401"/>
      <c r="CD145" s="401"/>
      <c r="CE145" s="401"/>
      <c r="CF145" s="401"/>
      <c r="CG145" s="401"/>
      <c r="CH145" s="401"/>
      <c r="CI145" s="401"/>
      <c r="CJ145" s="401"/>
      <c r="CK145" s="401"/>
      <c r="CL145" s="401"/>
      <c r="CM145" s="401"/>
      <c r="CN145" s="401"/>
      <c r="CO145" s="401"/>
      <c r="CP145" s="401"/>
    </row>
    <row r="146" spans="12:94" ht="15" customHeight="1">
      <c r="L146" s="401"/>
      <c r="O146" s="401"/>
      <c r="P146" s="401"/>
      <c r="Q146" s="401"/>
      <c r="R146" s="401"/>
      <c r="S146" s="401"/>
      <c r="T146" s="401"/>
      <c r="U146" s="401"/>
      <c r="V146" s="401"/>
      <c r="W146" s="401"/>
      <c r="AA146" s="401"/>
      <c r="AB146" s="401"/>
      <c r="AC146" s="401"/>
      <c r="AD146" s="401"/>
      <c r="AE146" s="401"/>
      <c r="AF146" s="401"/>
      <c r="AJ146" s="401"/>
      <c r="AK146" s="401"/>
      <c r="AL146" s="401"/>
      <c r="AM146" s="401"/>
      <c r="AN146" s="401"/>
      <c r="AO146" s="401"/>
      <c r="AP146" s="401"/>
      <c r="AQ146" s="401"/>
      <c r="AR146" s="401"/>
      <c r="AS146" s="401"/>
      <c r="AT146" s="401"/>
      <c r="AU146" s="401"/>
      <c r="AV146" s="401"/>
      <c r="AZ146" s="401"/>
      <c r="BA146" s="401"/>
      <c r="BB146" s="401"/>
      <c r="BC146" s="401"/>
      <c r="BD146" s="401"/>
      <c r="BE146" s="401"/>
      <c r="BF146" s="401"/>
      <c r="BG146" s="401"/>
      <c r="BH146" s="401"/>
      <c r="BI146" s="401"/>
      <c r="BJ146" s="401"/>
      <c r="BK146" s="401"/>
      <c r="BL146" s="401"/>
      <c r="BM146" s="401"/>
      <c r="BN146" s="401"/>
      <c r="BO146" s="401"/>
      <c r="BP146" s="401"/>
      <c r="BQ146" s="401"/>
      <c r="BR146" s="401"/>
      <c r="BS146" s="401"/>
      <c r="BT146" s="401"/>
      <c r="BU146" s="401"/>
      <c r="BV146" s="401"/>
      <c r="BW146" s="401"/>
      <c r="BX146" s="401"/>
      <c r="BY146" s="401"/>
      <c r="BZ146" s="401"/>
      <c r="CA146" s="401"/>
      <c r="CB146" s="401"/>
      <c r="CC146" s="401"/>
      <c r="CD146" s="401"/>
      <c r="CE146" s="401"/>
      <c r="CF146" s="401"/>
      <c r="CG146" s="401"/>
      <c r="CH146" s="401"/>
      <c r="CI146" s="401"/>
      <c r="CJ146" s="401"/>
      <c r="CK146" s="401"/>
      <c r="CL146" s="401"/>
      <c r="CM146" s="401"/>
      <c r="CN146" s="401"/>
      <c r="CO146" s="401"/>
      <c r="CP146" s="401"/>
    </row>
    <row r="147" spans="12:94" ht="15" customHeight="1">
      <c r="L147" s="401"/>
      <c r="O147" s="401"/>
      <c r="P147" s="401"/>
      <c r="Q147" s="401"/>
      <c r="R147" s="401"/>
      <c r="S147" s="401"/>
      <c r="T147" s="401"/>
      <c r="U147" s="401"/>
      <c r="V147" s="401"/>
      <c r="W147" s="401"/>
      <c r="AA147" s="401"/>
      <c r="AB147" s="401"/>
      <c r="AC147" s="401"/>
      <c r="AD147" s="401"/>
      <c r="AE147" s="401"/>
      <c r="AF147" s="401"/>
      <c r="AJ147" s="401"/>
      <c r="AK147" s="401"/>
      <c r="AL147" s="401"/>
      <c r="AM147" s="401"/>
      <c r="AN147" s="401"/>
      <c r="AO147" s="401"/>
      <c r="AP147" s="401"/>
      <c r="AQ147" s="401"/>
      <c r="AR147" s="401"/>
      <c r="AS147" s="401"/>
      <c r="AT147" s="401"/>
      <c r="AU147" s="401"/>
      <c r="AV147" s="401"/>
      <c r="AZ147" s="401"/>
      <c r="BA147" s="401"/>
      <c r="BB147" s="401"/>
      <c r="BC147" s="401"/>
      <c r="BD147" s="401"/>
      <c r="BE147" s="401"/>
      <c r="BF147" s="401"/>
      <c r="BG147" s="401"/>
      <c r="BH147" s="401"/>
      <c r="BI147" s="401"/>
      <c r="BJ147" s="401"/>
      <c r="BK147" s="401"/>
      <c r="BL147" s="401"/>
      <c r="BM147" s="401"/>
      <c r="BN147" s="401"/>
      <c r="BO147" s="401"/>
      <c r="BP147" s="401"/>
      <c r="BQ147" s="401"/>
      <c r="BR147" s="401"/>
      <c r="BS147" s="401"/>
      <c r="BT147" s="401"/>
      <c r="BU147" s="401"/>
      <c r="BV147" s="401"/>
      <c r="BW147" s="401"/>
      <c r="BX147" s="401"/>
      <c r="BY147" s="401"/>
      <c r="BZ147" s="401"/>
      <c r="CA147" s="401"/>
      <c r="CB147" s="401"/>
      <c r="CC147" s="401"/>
      <c r="CD147" s="401"/>
      <c r="CE147" s="401"/>
      <c r="CF147" s="401"/>
      <c r="CG147" s="401"/>
      <c r="CH147" s="401"/>
      <c r="CI147" s="401"/>
      <c r="CJ147" s="401"/>
      <c r="CK147" s="401"/>
      <c r="CL147" s="401"/>
      <c r="CM147" s="401"/>
      <c r="CN147" s="401"/>
      <c r="CO147" s="401"/>
      <c r="CP147" s="401"/>
    </row>
    <row r="148" spans="12:94" ht="15" customHeight="1">
      <c r="L148" s="401"/>
      <c r="O148" s="401"/>
      <c r="P148" s="401"/>
      <c r="Q148" s="401"/>
      <c r="R148" s="401"/>
      <c r="S148" s="401"/>
      <c r="T148" s="401"/>
      <c r="U148" s="401"/>
      <c r="V148" s="401"/>
      <c r="W148" s="401"/>
      <c r="AA148" s="401"/>
      <c r="AB148" s="401"/>
      <c r="AC148" s="401"/>
      <c r="AD148" s="401"/>
      <c r="AE148" s="401"/>
      <c r="AF148" s="401"/>
      <c r="AJ148" s="401"/>
      <c r="AK148" s="401"/>
      <c r="AL148" s="401"/>
      <c r="AM148" s="401"/>
      <c r="AN148" s="401"/>
      <c r="AO148" s="401"/>
      <c r="AP148" s="401"/>
      <c r="AQ148" s="401"/>
      <c r="AR148" s="401"/>
      <c r="AS148" s="401"/>
      <c r="AT148" s="401"/>
      <c r="AU148" s="401"/>
      <c r="AV148" s="401"/>
      <c r="AZ148" s="401"/>
      <c r="BA148" s="401"/>
      <c r="BB148" s="401"/>
      <c r="BC148" s="401"/>
      <c r="BD148" s="401"/>
      <c r="BE148" s="401"/>
      <c r="BF148" s="401"/>
      <c r="BG148" s="401"/>
      <c r="BH148" s="401"/>
      <c r="BI148" s="401"/>
      <c r="BJ148" s="401"/>
      <c r="BK148" s="401"/>
      <c r="BL148" s="401"/>
      <c r="BM148" s="401"/>
      <c r="BN148" s="401"/>
      <c r="BO148" s="401"/>
      <c r="BP148" s="401"/>
      <c r="BQ148" s="401"/>
      <c r="BR148" s="401"/>
      <c r="BS148" s="401"/>
      <c r="BT148" s="401"/>
      <c r="BU148" s="401"/>
      <c r="BV148" s="401"/>
      <c r="BW148" s="401"/>
      <c r="BX148" s="401"/>
      <c r="BY148" s="401"/>
      <c r="BZ148" s="401"/>
      <c r="CA148" s="401"/>
      <c r="CB148" s="401"/>
      <c r="CC148" s="401"/>
      <c r="CD148" s="401"/>
      <c r="CE148" s="401"/>
      <c r="CF148" s="401"/>
      <c r="CG148" s="401"/>
      <c r="CH148" s="401"/>
      <c r="CI148" s="401"/>
      <c r="CJ148" s="401"/>
      <c r="CK148" s="401"/>
      <c r="CL148" s="401"/>
      <c r="CM148" s="401"/>
      <c r="CN148" s="401"/>
      <c r="CO148" s="401"/>
      <c r="CP148" s="401"/>
    </row>
  </sheetData>
  <mergeCells count="49">
    <mergeCell ref="Q91:R91"/>
    <mergeCell ref="F94:I94"/>
    <mergeCell ref="F95:I95"/>
    <mergeCell ref="F96:I96"/>
    <mergeCell ref="V15:W15"/>
    <mergeCell ref="F108:I108"/>
    <mergeCell ref="F103:I103"/>
    <mergeCell ref="F104:I104"/>
    <mergeCell ref="F105:I105"/>
    <mergeCell ref="F106:I106"/>
    <mergeCell ref="F107:I107"/>
    <mergeCell ref="F136:I136"/>
    <mergeCell ref="F137:I137"/>
    <mergeCell ref="F109:I109"/>
    <mergeCell ref="F110:I110"/>
    <mergeCell ref="F111:I111"/>
    <mergeCell ref="F112:I112"/>
    <mergeCell ref="F122:I122"/>
    <mergeCell ref="F113:I113"/>
    <mergeCell ref="F116:I116"/>
    <mergeCell ref="F117:I117"/>
    <mergeCell ref="F121:I121"/>
    <mergeCell ref="F126:I126"/>
    <mergeCell ref="F127:I127"/>
    <mergeCell ref="F131:I131"/>
    <mergeCell ref="F132:I132"/>
    <mergeCell ref="A15:D15"/>
    <mergeCell ref="L15:P15"/>
    <mergeCell ref="Q15:R15"/>
    <mergeCell ref="T15:U15"/>
    <mergeCell ref="AU15:AV15"/>
    <mergeCell ref="X15:Z15"/>
    <mergeCell ref="BA15:BB15"/>
    <mergeCell ref="BC15:BD15"/>
    <mergeCell ref="AB15:AD15"/>
    <mergeCell ref="AE15:AF15"/>
    <mergeCell ref="AK15:AL15"/>
    <mergeCell ref="AM15:AN15"/>
    <mergeCell ref="AS15:AT15"/>
    <mergeCell ref="AO15:AQ15"/>
    <mergeCell ref="AG15:AI15"/>
    <mergeCell ref="AW15:AY15"/>
    <mergeCell ref="A16:C16"/>
    <mergeCell ref="F98:I98"/>
    <mergeCell ref="F99:I99"/>
    <mergeCell ref="F100:I100"/>
    <mergeCell ref="F102:I102"/>
    <mergeCell ref="F101:I101"/>
    <mergeCell ref="F97:I97"/>
  </mergeCells>
  <conditionalFormatting sqref="F93:I93">
    <cfRule type="cellIs" dxfId="128" priority="231" stopIfTrue="1" operator="greaterThanOrEqual">
      <formula>0</formula>
    </cfRule>
    <cfRule type="cellIs" dxfId="127" priority="232" stopIfTrue="1" operator="lessThan">
      <formula>0</formula>
    </cfRule>
  </conditionalFormatting>
  <conditionalFormatting sqref="F15:J15 F16:H16">
    <cfRule type="cellIs" dxfId="126" priority="211" stopIfTrue="1" operator="greaterThan">
      <formula>0</formula>
    </cfRule>
    <cfRule type="cellIs" dxfId="125" priority="212" stopIfTrue="1" operator="lessThanOrEqual">
      <formula>0</formula>
    </cfRule>
  </conditionalFormatting>
  <conditionalFormatting sqref="I16">
    <cfRule type="cellIs" dxfId="124" priority="187" stopIfTrue="1" operator="greaterThan">
      <formula>0</formula>
    </cfRule>
    <cfRule type="cellIs" dxfId="123" priority="188" stopIfTrue="1" operator="lessThanOrEqual">
      <formula>0</formula>
    </cfRule>
  </conditionalFormatting>
  <conditionalFormatting sqref="R118 R123 P93:R113 J93:N113 P116:Q116 P121:Q121 P117:R117 J116:N117 P122:R122 J121:N122 O17:R77 U17:W85 AC17:AF81 AT17:AV84 BB17:BD78 AL17:AN81 D17:J78">
    <cfRule type="cellIs" dxfId="1" priority="239" operator="lessThan">
      <formula>0</formula>
    </cfRule>
    <cfRule type="cellIs" dxfId="0" priority="247" operator="greaterThan">
      <formula>0</formula>
    </cfRule>
  </conditionalFormatting>
  <conditionalFormatting sqref="BB9">
    <cfRule type="expression" dxfId="122" priority="111">
      <formula>ABS(BB9-BA$15)&gt;eps</formula>
    </cfRule>
  </conditionalFormatting>
  <conditionalFormatting sqref="BB8">
    <cfRule type="expression" dxfId="121" priority="110">
      <formula>ABS(BB8-BA$15)&gt;eps</formula>
    </cfRule>
  </conditionalFormatting>
  <conditionalFormatting sqref="AT8">
    <cfRule type="expression" dxfId="120" priority="109">
      <formula>ABS(AT8-AS$15)&gt;eps</formula>
    </cfRule>
  </conditionalFormatting>
  <conditionalFormatting sqref="AT9">
    <cfRule type="expression" dxfId="119" priority="108">
      <formula>ABS(AT9-AS$15)&gt;eps</formula>
    </cfRule>
  </conditionalFormatting>
  <conditionalFormatting sqref="AL8:AL9">
    <cfRule type="expression" dxfId="118" priority="107">
      <formula>ABS(AL8-AK$15)&gt;eps</formula>
    </cfRule>
  </conditionalFormatting>
  <conditionalFormatting sqref="U8:U9">
    <cfRule type="expression" dxfId="117" priority="106">
      <formula>ABS(U8-T$15)&gt;eps</formula>
    </cfRule>
  </conditionalFormatting>
  <conditionalFormatting sqref="AD8:AD9">
    <cfRule type="expression" dxfId="116" priority="105">
      <formula>ABS(AD8-AB$15)&gt;eps</formula>
    </cfRule>
  </conditionalFormatting>
  <conditionalFormatting sqref="P8:P9">
    <cfRule type="expression" dxfId="115" priority="104">
      <formula>ABS(P8-L$15)&gt;eps</formula>
    </cfRule>
  </conditionalFormatting>
  <conditionalFormatting sqref="D9">
    <cfRule type="expression" dxfId="114" priority="103">
      <formula>ABS(D9-A$15)&gt;eps</formula>
    </cfRule>
  </conditionalFormatting>
  <conditionalFormatting sqref="D8">
    <cfRule type="expression" dxfId="113" priority="102">
      <formula>ABS(D8-A$15)&gt;eps</formula>
    </cfRule>
  </conditionalFormatting>
  <conditionalFormatting sqref="E11">
    <cfRule type="expression" dxfId="112" priority="233" stopIfTrue="1">
      <formula>IF(ISLOGICAL(E11),NOT(E11),FALSE)</formula>
    </cfRule>
  </conditionalFormatting>
  <conditionalFormatting sqref="F8:F9">
    <cfRule type="expression" dxfId="111" priority="84">
      <formula>ABS($F$8-$F$9)&gt;eps</formula>
    </cfRule>
  </conditionalFormatting>
  <conditionalFormatting sqref="R128 R133 P126:Q126 P131:Q131 P127:R127 J126:N127 P132:R132 J131:N132">
    <cfRule type="cellIs" dxfId="110" priority="82" operator="lessThan">
      <formula>0</formula>
    </cfRule>
    <cfRule type="cellIs" dxfId="109" priority="83" operator="greaterThan">
      <formula>0</formula>
    </cfRule>
  </conditionalFormatting>
  <conditionalFormatting sqref="R138 P136:Q136 P137:R137 J136:N137">
    <cfRule type="cellIs" dxfId="108" priority="77" operator="lessThan">
      <formula>0</formula>
    </cfRule>
    <cfRule type="cellIs" dxfId="107" priority="78" operator="greaterThan">
      <formula>0</formula>
    </cfRule>
  </conditionalFormatting>
  <conditionalFormatting sqref="G14">
    <cfRule type="cellIs" dxfId="106" priority="73" stopIfTrue="1" operator="greaterThan">
      <formula>0</formula>
    </cfRule>
    <cfRule type="cellIs" dxfId="105" priority="74" stopIfTrue="1" operator="lessThanOrEqual">
      <formula>0</formula>
    </cfRule>
  </conditionalFormatting>
  <conditionalFormatting sqref="Z17:Z85">
    <cfRule type="cellIs" dxfId="104" priority="45" operator="lessThan">
      <formula>0</formula>
    </cfRule>
    <cfRule type="cellIs" dxfId="103" priority="46" operator="greaterThan">
      <formula>0</formula>
    </cfRule>
  </conditionalFormatting>
  <conditionalFormatting sqref="AY17:AY84">
    <cfRule type="cellIs" dxfId="102" priority="28" operator="lessThan">
      <formula>0</formula>
    </cfRule>
    <cfRule type="cellIs" dxfId="101" priority="29" operator="greaterThan">
      <formula>0</formula>
    </cfRule>
  </conditionalFormatting>
  <conditionalFormatting sqref="AI17:AI81">
    <cfRule type="cellIs" dxfId="100" priority="43" operator="lessThan">
      <formula>0</formula>
    </cfRule>
    <cfRule type="cellIs" dxfId="99" priority="44" operator="greaterThan">
      <formula>0</formula>
    </cfRule>
  </conditionalFormatting>
  <conditionalFormatting sqref="BC15">
    <cfRule type="expression" dxfId="98" priority="266">
      <formula>ABS(BC15-#REF!)&gt;eps</formula>
    </cfRule>
  </conditionalFormatting>
  <conditionalFormatting sqref="BD15">
    <cfRule type="expression" dxfId="97" priority="267">
      <formula>ABS(BD15-#REF!)&gt;eps</formula>
    </cfRule>
  </conditionalFormatting>
  <conditionalFormatting sqref="AQ17:AQ81">
    <cfRule type="cellIs" dxfId="96" priority="26" operator="lessThan">
      <formula>0</formula>
    </cfRule>
    <cfRule type="cellIs" dxfId="95" priority="27" operator="greaterThan">
      <formula>0</formula>
    </cfRule>
  </conditionalFormatting>
  <conditionalFormatting sqref="Y17:Y85">
    <cfRule type="cellIs" dxfId="94" priority="24" operator="lessThan">
      <formula>0</formula>
    </cfRule>
    <cfRule type="cellIs" dxfId="93" priority="25" operator="greaterThan">
      <formula>0</formula>
    </cfRule>
  </conditionalFormatting>
  <conditionalFormatting sqref="AP17:AP81">
    <cfRule type="cellIs" dxfId="92" priority="19" operator="lessThan">
      <formula>0</formula>
    </cfRule>
    <cfRule type="cellIs" dxfId="91" priority="20" operator="greaterThan">
      <formula>0</formula>
    </cfRule>
  </conditionalFormatting>
  <conditionalFormatting sqref="AX18:AX84">
    <cfRule type="cellIs" dxfId="90" priority="17" operator="lessThan">
      <formula>0</formula>
    </cfRule>
    <cfRule type="cellIs" dxfId="89" priority="18" operator="greaterThan">
      <formula>0</formula>
    </cfRule>
  </conditionalFormatting>
  <conditionalFormatting sqref="AH17:AH81">
    <cfRule type="cellIs" dxfId="88" priority="15" operator="lessThan">
      <formula>0</formula>
    </cfRule>
    <cfRule type="cellIs" dxfId="87" priority="16" operator="greaterThan">
      <formula>0</formula>
    </cfRule>
  </conditionalFormatting>
  <conditionalFormatting sqref="AX17">
    <cfRule type="cellIs" dxfId="86" priority="9" operator="lessThan">
      <formula>0</formula>
    </cfRule>
    <cfRule type="cellIs" dxfId="85" priority="10" operator="greaterThan">
      <formula>0</formula>
    </cfRule>
  </conditionalFormatting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4" name="Button 1">
              <controlPr defaultSize="0" print="0" autoFill="0" autoPict="0" macro="[0]!FuturesView_Click">
                <anchor moveWithCells="1">
                  <from>
                    <xdr:col>0</xdr:col>
                    <xdr:colOff>28575</xdr:colOff>
                    <xdr:row>11</xdr:row>
                    <xdr:rowOff>0</xdr:rowOff>
                  </from>
                  <to>
                    <xdr:col>0</xdr:col>
                    <xdr:colOff>714375</xdr:colOff>
                    <xdr:row>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6" r:id="rId5" name="Button 2">
              <controlPr defaultSize="0" print="0" autoFill="0" autoPict="0" macro="[0]!Home_Click">
                <anchor moveWithCells="1">
                  <from>
                    <xdr:col>0</xdr:col>
                    <xdr:colOff>19050</xdr:colOff>
                    <xdr:row>88</xdr:row>
                    <xdr:rowOff>0</xdr:rowOff>
                  </from>
                  <to>
                    <xdr:col>0</xdr:col>
                    <xdr:colOff>704850</xdr:colOff>
                    <xdr:row>88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7" r:id="rId6" name="Button 3">
              <controlPr defaultSize="0" print="0" autoFill="0" autoPict="0" macro="[0]!Home_Click">
                <anchor moveWithCells="1">
                  <from>
                    <xdr:col>36</xdr:col>
                    <xdr:colOff>19050</xdr:colOff>
                    <xdr:row>9</xdr:row>
                    <xdr:rowOff>9525</xdr:rowOff>
                  </from>
                  <to>
                    <xdr:col>36</xdr:col>
                    <xdr:colOff>704850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9" r:id="rId7" name="Button 5">
              <controlPr defaultSize="0" print="0" autoFill="0" autoPict="0" macro="[0]!Bkmk1Y_Click">
                <anchor moveWithCells="1">
                  <from>
                    <xdr:col>3</xdr:col>
                    <xdr:colOff>19050</xdr:colOff>
                    <xdr:row>11</xdr:row>
                    <xdr:rowOff>0</xdr:rowOff>
                  </from>
                  <to>
                    <xdr:col>3</xdr:col>
                    <xdr:colOff>704850</xdr:colOff>
                    <xdr:row>14</xdr:row>
                    <xdr:rowOff>19050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65" stopIfTrue="1" id="{628BDB45-CAAF-4919-AE5D-BF9966896EB9}">
            <xm:f>Main!$G$22="Recalc"</xm:f>
            <x14:dxf>
              <font>
                <color auto="1"/>
              </font>
              <fill>
                <patternFill>
                  <bgColor theme="0" tint="-0.14996795556505021"/>
                </patternFill>
              </fill>
            </x14:dxf>
          </x14:cfRule>
          <xm:sqref>BB17:BB78 AL17:AL81</xm:sqref>
        </x14:conditionalFormatting>
        <x14:conditionalFormatting xmlns:xm="http://schemas.microsoft.com/office/excel/2006/main">
          <x14:cfRule type="expression" priority="21" stopIfTrue="1" id="{1D786162-B27B-4070-B8A0-2331668E5826}">
            <xm:f>Main!$G$22="Recalc"</xm:f>
            <x14:dxf>
              <font>
                <color auto="1"/>
              </font>
              <fill>
                <patternFill>
                  <bgColor theme="0" tint="-0.14996795556505021"/>
                </patternFill>
              </fill>
            </x14:dxf>
          </x14:cfRule>
          <xm:sqref>AP17:AP81</xm:sqref>
        </x14:conditionalFormatting>
        <x14:conditionalFormatting xmlns:xm="http://schemas.microsoft.com/office/excel/2006/main">
          <x14:cfRule type="expression" priority="11" stopIfTrue="1" id="{3B881353-FCBE-4199-8257-066E6B6F09DD}">
            <xm:f>Main!$G$22="Recalc"</xm:f>
            <x14:dxf>
              <font>
                <color auto="1"/>
              </font>
              <fill>
                <patternFill>
                  <bgColor theme="0" tint="-0.14996795556505021"/>
                </patternFill>
              </fill>
            </x14:dxf>
          </x14:cfRule>
          <xm:sqref>AX17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>
    <outlinePr summaryRight="0"/>
  </sheetPr>
  <dimension ref="A1:BA158"/>
  <sheetViews>
    <sheetView topLeftCell="A10" workbookViewId="0">
      <selection activeCell="A24" sqref="A24"/>
    </sheetView>
  </sheetViews>
  <sheetFormatPr defaultColWidth="10.7109375" defaultRowHeight="15" customHeight="1" outlineLevelRow="2" outlineLevelCol="1"/>
  <cols>
    <col min="1" max="1" width="10.7109375" style="2" customWidth="1" collapsed="1"/>
    <col min="2" max="2" width="11.5703125" style="2" hidden="1" customWidth="1" outlineLevel="1"/>
    <col min="3" max="3" width="10.7109375" style="2" hidden="1" customWidth="1" outlineLevel="1"/>
    <col min="4" max="4" width="13.42578125" style="2" customWidth="1"/>
    <col min="5" max="5" width="13.42578125" style="2" bestFit="1" customWidth="1" collapsed="1"/>
    <col min="6" max="6" width="12.42578125" style="2" hidden="1" customWidth="1" outlineLevel="1"/>
    <col min="7" max="9" width="10.7109375" style="2" hidden="1" customWidth="1" outlineLevel="1"/>
    <col min="10" max="10" width="11.85546875" style="2" customWidth="1"/>
    <col min="11" max="11" width="10.7109375" style="332" customWidth="1" collapsed="1"/>
    <col min="12" max="12" width="12.28515625" style="332" hidden="1" customWidth="1" outlineLevel="1"/>
    <col min="13" max="13" width="10.7109375" style="332" customWidth="1"/>
    <col min="14" max="14" width="11.85546875" style="332" bestFit="1" customWidth="1"/>
    <col min="15" max="15" width="13.42578125" style="332" bestFit="1" customWidth="1"/>
    <col min="16" max="16" width="0.5703125" style="332" customWidth="1"/>
    <col min="17" max="20" width="10.7109375" style="332" customWidth="1"/>
    <col min="21" max="21" width="0.5703125" style="332" customWidth="1"/>
    <col min="22" max="22" width="11.5703125" style="332" bestFit="1" customWidth="1" collapsed="1"/>
    <col min="23" max="23" width="10.7109375" style="332" hidden="1" customWidth="1" outlineLevel="1"/>
    <col min="24" max="25" width="10.7109375" style="332" customWidth="1"/>
    <col min="26" max="26" width="11.42578125" style="332" bestFit="1" customWidth="1"/>
    <col min="27" max="27" width="0.5703125" style="332" customWidth="1"/>
    <col min="28" max="31" width="10.7109375" style="332" customWidth="1"/>
    <col min="32" max="32" width="0.5703125" style="332" customWidth="1"/>
    <col min="33" max="36" width="10.7109375" style="332" customWidth="1"/>
    <col min="37" max="37" width="0.5703125" style="332" customWidth="1"/>
    <col min="38" max="40" width="10.7109375" style="401" customWidth="1"/>
    <col min="41" max="41" width="11.42578125" style="401" customWidth="1" collapsed="1"/>
    <col min="42" max="44" width="11.42578125" style="401" hidden="1" customWidth="1" outlineLevel="1"/>
    <col min="45" max="45" width="0.5703125" style="401" customWidth="1"/>
    <col min="46" max="47" width="10.7109375" style="332"/>
    <col min="48" max="48" width="10.7109375" style="401"/>
    <col min="49" max="16384" width="10.7109375" style="332"/>
  </cols>
  <sheetData>
    <row r="1" spans="1:46" ht="15" hidden="1" customHeight="1" outlineLevel="2">
      <c r="D1" s="96" t="s">
        <v>243</v>
      </c>
      <c r="E1" s="96" t="s">
        <v>243</v>
      </c>
      <c r="G1" s="312" t="s">
        <v>739</v>
      </c>
      <c r="H1" s="308" t="s">
        <v>83</v>
      </c>
      <c r="I1" s="308" t="s">
        <v>2</v>
      </c>
      <c r="K1" s="103" t="s">
        <v>230</v>
      </c>
      <c r="L1" s="2"/>
      <c r="N1" s="96" t="s">
        <v>243</v>
      </c>
      <c r="O1" s="2"/>
      <c r="P1" s="17"/>
      <c r="Q1" s="103" t="s">
        <v>230</v>
      </c>
      <c r="S1" s="96" t="s">
        <v>243</v>
      </c>
      <c r="T1" s="2"/>
      <c r="U1" s="17"/>
      <c r="V1" s="103" t="s">
        <v>230</v>
      </c>
      <c r="W1" s="2"/>
      <c r="Y1" s="96" t="s">
        <v>243</v>
      </c>
      <c r="Z1" s="2"/>
      <c r="AA1" s="17"/>
      <c r="AB1" s="103" t="s">
        <v>230</v>
      </c>
      <c r="AC1" s="96" t="s">
        <v>243</v>
      </c>
      <c r="AD1" s="96" t="s">
        <v>243</v>
      </c>
      <c r="AE1" s="113"/>
      <c r="AF1" s="17"/>
      <c r="AG1" s="103" t="s">
        <v>230</v>
      </c>
      <c r="AH1" s="96" t="s">
        <v>243</v>
      </c>
      <c r="AI1" s="96" t="s">
        <v>243</v>
      </c>
      <c r="AJ1" s="2"/>
      <c r="AK1" s="32"/>
      <c r="AL1" s="412" t="s">
        <v>230</v>
      </c>
      <c r="AM1" s="96" t="s">
        <v>243</v>
      </c>
      <c r="AN1" s="96" t="s">
        <v>243</v>
      </c>
      <c r="AO1" s="148"/>
      <c r="AP1" s="148"/>
      <c r="AQ1" s="148"/>
      <c r="AR1" s="148"/>
      <c r="AS1" s="229"/>
    </row>
    <row r="2" spans="1:46" ht="15" hidden="1" customHeight="1" outlineLevel="2">
      <c r="D2" s="114" t="s">
        <v>691</v>
      </c>
      <c r="E2" s="114" t="s">
        <v>1175</v>
      </c>
      <c r="G2" s="356" t="s">
        <v>679</v>
      </c>
      <c r="H2" s="354">
        <f>MATCH(H1,FUT_hd,0)</f>
        <v>7</v>
      </c>
      <c r="I2" s="354">
        <f>MATCH(I1,FUT_hd,0)</f>
        <v>8</v>
      </c>
      <c r="K2" s="354">
        <f>MATCH(K1,Sens_hd,0)</f>
        <v>3</v>
      </c>
      <c r="L2" s="114" t="s">
        <v>207</v>
      </c>
      <c r="N2" s="114" t="s">
        <v>655</v>
      </c>
      <c r="O2" s="2"/>
      <c r="P2" s="17"/>
      <c r="Q2" s="354">
        <f>MATCH(Q1,Sens_hd,0)</f>
        <v>3</v>
      </c>
      <c r="S2" s="114" t="s">
        <v>829</v>
      </c>
      <c r="T2" s="2"/>
      <c r="U2" s="17"/>
      <c r="V2" s="354">
        <f>MATCH(V1,Sens_hd,0)</f>
        <v>3</v>
      </c>
      <c r="W2" s="114" t="s">
        <v>207</v>
      </c>
      <c r="Y2" s="114" t="s">
        <v>651</v>
      </c>
      <c r="Z2" s="2"/>
      <c r="AA2" s="17"/>
      <c r="AB2" s="354">
        <f>MATCH(AB1,Sens_hd,0)</f>
        <v>3</v>
      </c>
      <c r="AC2" s="114" t="s">
        <v>207</v>
      </c>
      <c r="AD2" s="114" t="s">
        <v>649</v>
      </c>
      <c r="AE2" s="2"/>
      <c r="AF2" s="17"/>
      <c r="AG2" s="354">
        <f>MATCH(AG1,Sens_hd,0)</f>
        <v>3</v>
      </c>
      <c r="AH2" s="114" t="s">
        <v>207</v>
      </c>
      <c r="AI2" s="114" t="s">
        <v>653</v>
      </c>
      <c r="AJ2" s="2"/>
      <c r="AK2" s="32"/>
      <c r="AL2" s="413">
        <f>MATCH(AL1,Sens_hd,0)</f>
        <v>3</v>
      </c>
      <c r="AM2" s="114" t="s">
        <v>207</v>
      </c>
      <c r="AN2" s="114" t="s">
        <v>1164</v>
      </c>
      <c r="AO2" s="149"/>
      <c r="AP2" s="149"/>
      <c r="AQ2" s="149"/>
      <c r="AR2" s="149"/>
      <c r="AS2" s="229"/>
    </row>
    <row r="3" spans="1:46" ht="15" hidden="1" customHeight="1" outlineLevel="2">
      <c r="D3" s="354">
        <f>MATCH(D2,IRD_hd,0)</f>
        <v>21</v>
      </c>
      <c r="E3" s="416">
        <f>MATCH(E2,IRD_hd,0)</f>
        <v>3</v>
      </c>
      <c r="G3" s="300" t="s">
        <v>824</v>
      </c>
      <c r="H3" s="300" t="s">
        <v>825</v>
      </c>
      <c r="I3" s="300" t="s">
        <v>1013</v>
      </c>
      <c r="K3" s="103" t="s">
        <v>206</v>
      </c>
      <c r="L3" s="354">
        <f>MATCH(L2,SensFUT_hd,0)</f>
        <v>7</v>
      </c>
      <c r="M3" s="113"/>
      <c r="N3" s="354">
        <f>MATCH(N2,IRD_hd,0)</f>
        <v>25</v>
      </c>
      <c r="O3" s="2"/>
      <c r="P3" s="17"/>
      <c r="Q3" s="103" t="s">
        <v>206</v>
      </c>
      <c r="S3" s="354" t="e">
        <f>MATCH(S2,IRD_hd,0)</f>
        <v>#N/A</v>
      </c>
      <c r="T3" s="2"/>
      <c r="U3" s="17"/>
      <c r="V3" s="103" t="s">
        <v>206</v>
      </c>
      <c r="W3" s="354">
        <f>MATCH(W2,SensFUT_hd,0)</f>
        <v>7</v>
      </c>
      <c r="Y3" s="354">
        <f>MATCH(Y2,IRD_hd,0)</f>
        <v>23</v>
      </c>
      <c r="Z3" s="2"/>
      <c r="AA3" s="17"/>
      <c r="AB3" s="103" t="s">
        <v>206</v>
      </c>
      <c r="AC3" s="354">
        <f>MATCH(AC2,Sens_hd,0)</f>
        <v>7</v>
      </c>
      <c r="AD3" s="354">
        <f>MATCH(AD2,IRD_hd,0)</f>
        <v>22</v>
      </c>
      <c r="AE3" s="2"/>
      <c r="AF3" s="17"/>
      <c r="AG3" s="103" t="s">
        <v>206</v>
      </c>
      <c r="AH3" s="354">
        <f>MATCH(AH2,Sens_hd,0)</f>
        <v>7</v>
      </c>
      <c r="AI3" s="354">
        <f>MATCH(AI2,IRD_hd,0)</f>
        <v>24</v>
      </c>
      <c r="AJ3" s="2"/>
      <c r="AK3" s="32"/>
      <c r="AL3" s="412" t="s">
        <v>206</v>
      </c>
      <c r="AM3" s="413">
        <f>MATCH(AM2,Sens_hd,0)</f>
        <v>7</v>
      </c>
      <c r="AN3" s="413">
        <f>MATCH(AN2,IRD_hd,0)</f>
        <v>28</v>
      </c>
      <c r="AO3" s="150"/>
      <c r="AP3" s="150"/>
      <c r="AQ3" s="150"/>
      <c r="AR3" s="150"/>
      <c r="AS3" s="229"/>
    </row>
    <row r="4" spans="1:46" ht="15" hidden="1" customHeight="1" outlineLevel="2" thickBot="1">
      <c r="A4" s="240"/>
      <c r="B4" s="240"/>
      <c r="C4" s="240"/>
      <c r="D4" s="151" t="s">
        <v>828</v>
      </c>
      <c r="E4" s="241"/>
      <c r="F4" s="240"/>
      <c r="G4" s="299"/>
      <c r="H4" s="299"/>
      <c r="I4" s="299"/>
      <c r="J4" s="241"/>
      <c r="K4" s="242">
        <f>MATCH(K$3,Sens_hd,0)</f>
        <v>6</v>
      </c>
      <c r="L4" s="243" t="s">
        <v>157</v>
      </c>
      <c r="M4" s="151" t="s">
        <v>832</v>
      </c>
      <c r="N4" s="244"/>
      <c r="O4" s="245"/>
      <c r="P4" s="246"/>
      <c r="Q4" s="242">
        <f>MATCH(Q$3,Sens_hd,0)</f>
        <v>6</v>
      </c>
      <c r="R4" s="151" t="s">
        <v>1169</v>
      </c>
      <c r="S4" s="244"/>
      <c r="T4" s="245"/>
      <c r="U4" s="246"/>
      <c r="V4" s="242">
        <f>MATCH(V$3,Sens_hd,0)</f>
        <v>6</v>
      </c>
      <c r="W4" s="243" t="s">
        <v>157</v>
      </c>
      <c r="X4" s="151" t="s">
        <v>835</v>
      </c>
      <c r="Y4" s="244"/>
      <c r="Z4" s="245"/>
      <c r="AA4" s="246"/>
      <c r="AB4" s="242">
        <f>MATCH(AB$3,Sens_hd,0)</f>
        <v>6</v>
      </c>
      <c r="AC4" s="151" t="s">
        <v>836</v>
      </c>
      <c r="AD4" s="244"/>
      <c r="AE4" s="245"/>
      <c r="AF4" s="246"/>
      <c r="AG4" s="242">
        <f>MATCH(AG$3,Sens_hd,0)</f>
        <v>6</v>
      </c>
      <c r="AH4" s="151" t="s">
        <v>837</v>
      </c>
      <c r="AI4" s="244"/>
      <c r="AJ4" s="245"/>
      <c r="AK4" s="248"/>
      <c r="AL4" s="242">
        <f>MATCH(AL$3,Sens_hd,0)</f>
        <v>6</v>
      </c>
      <c r="AM4" s="151" t="s">
        <v>1167</v>
      </c>
      <c r="AN4" s="244"/>
      <c r="AS4" s="229"/>
    </row>
    <row r="5" spans="1:46" ht="15" hidden="1" customHeight="1" outlineLevel="2">
      <c r="A5" s="332"/>
      <c r="B5" s="332"/>
      <c r="C5" s="332"/>
      <c r="D5" s="332"/>
      <c r="E5" s="332"/>
      <c r="F5" s="332"/>
      <c r="G5" s="332"/>
      <c r="H5" s="332"/>
      <c r="I5" s="332"/>
      <c r="J5" s="332"/>
    </row>
    <row r="6" spans="1:46" ht="15" hidden="1" customHeight="1" outlineLevel="2">
      <c r="A6" s="332"/>
      <c r="B6" s="332"/>
      <c r="C6" s="332"/>
      <c r="D6" s="332"/>
      <c r="E6" s="332"/>
      <c r="F6" s="332"/>
      <c r="G6" s="332"/>
      <c r="H6" s="332"/>
      <c r="I6" s="332"/>
      <c r="J6" s="332"/>
      <c r="AJ6" s="401"/>
      <c r="AK6" s="401"/>
    </row>
    <row r="7" spans="1:46" ht="15" hidden="1" customHeight="1" outlineLevel="1">
      <c r="A7" s="249" t="s">
        <v>742</v>
      </c>
      <c r="B7" s="332"/>
      <c r="C7" s="332"/>
      <c r="D7" s="332"/>
      <c r="E7" s="332"/>
      <c r="F7" s="374" t="s">
        <v>849</v>
      </c>
      <c r="G7" s="374" t="s">
        <v>1041</v>
      </c>
      <c r="H7" s="332"/>
      <c r="I7" s="332"/>
      <c r="J7" s="332"/>
    </row>
    <row r="8" spans="1:46" ht="15" hidden="1" customHeight="1" outlineLevel="1">
      <c r="A8" s="250" t="s">
        <v>238</v>
      </c>
      <c r="B8" s="332"/>
      <c r="C8" s="332"/>
      <c r="D8" s="237">
        <f>VLOOKUP("Total",IRD,D3,FALSE)</f>
        <v>7920.3198510719303</v>
      </c>
      <c r="E8" s="332"/>
      <c r="F8" s="237">
        <f>SUM(PL_LifFut)</f>
        <v>-625.00000000653699</v>
      </c>
      <c r="G8" s="390">
        <f>SUM(G17:G82)</f>
        <v>0</v>
      </c>
      <c r="H8" s="332"/>
      <c r="I8" s="332"/>
      <c r="J8" s="332"/>
      <c r="L8" s="238">
        <f>VLOOKUP("Total",IRD,N3,FALSE)</f>
        <v>102.157218563998</v>
      </c>
      <c r="M8" s="237">
        <f>L8-SUM(L$17:L$82)</f>
        <v>102.15721856399762</v>
      </c>
      <c r="R8" s="237" t="e">
        <f>VLOOKUP("Total",IRD,S3,FALSE)</f>
        <v>#REF!</v>
      </c>
      <c r="W8" s="238">
        <f>VLOOKUP("Total",IRD,Y3,FALSE)</f>
        <v>-8859.2892595756093</v>
      </c>
      <c r="X8" s="237">
        <f>W8-SUMIF(W$17:W$82,"&lt;&gt;"&amp;NA)</f>
        <v>24089.796785460694</v>
      </c>
      <c r="AC8" s="237">
        <f>VLOOKUP("Total",IRD,AD3,FALSE)</f>
        <v>7461.6448901950498</v>
      </c>
      <c r="AH8" s="237">
        <f>VLOOKUP("Total",IRD,AI3,FALSE)</f>
        <v>-952.83711970899105</v>
      </c>
      <c r="AL8" s="2"/>
      <c r="AM8" s="237">
        <f>AN8</f>
        <v>16417.2538006098</v>
      </c>
      <c r="AN8" s="238">
        <f>VLOOKUP("Total",IRD,AN3,FALSE)</f>
        <v>16417.2538006098</v>
      </c>
    </row>
    <row r="9" spans="1:46" ht="15" hidden="1" customHeight="1" outlineLevel="1">
      <c r="A9" s="250" t="s">
        <v>237</v>
      </c>
      <c r="B9" s="332"/>
      <c r="C9" s="332"/>
      <c r="D9" s="237">
        <f>VLOOKUP(D4,Sens,$AH$3,FALSE)</f>
        <v>7920.31985107538</v>
      </c>
      <c r="E9" s="332"/>
      <c r="F9" s="237">
        <f>SUM(F17:F82)</f>
        <v>-24212.499999983342</v>
      </c>
      <c r="G9" s="332"/>
      <c r="H9" s="332"/>
      <c r="I9" s="332"/>
      <c r="L9" s="239">
        <f>VLOOKUP(M4&amp;"Total "&amp;N2,Sens,$AH$3,FALSE)</f>
        <v>100.60027110892401</v>
      </c>
      <c r="M9" s="237">
        <f>L9-SUM(L$17:L$82)</f>
        <v>100.60027110892362</v>
      </c>
      <c r="R9" s="237" t="e">
        <f>VLOOKUP(R4&amp;"Total "&amp;S2,Sens,$AH$3,FALSE)</f>
        <v>#N/A</v>
      </c>
      <c r="W9" s="239">
        <f>VLOOKUP(X4&amp;"Total "&amp;Y2,Sens,$AH$3,FALSE)</f>
        <v>-8859.2892595773392</v>
      </c>
      <c r="X9" s="237">
        <f>W9-SUMIF(W$17:W$82,"&lt;&gt;"&amp;NA)</f>
        <v>24089.796785458966</v>
      </c>
      <c r="AC9" s="237">
        <f>VLOOKUP(AC4&amp;"Total "&amp;AD2,Sens,$AH$3,FALSE)</f>
        <v>7461.6448901951399</v>
      </c>
      <c r="AH9" s="237">
        <f>VLOOKUP(AH4&amp;"Total "&amp;AI2,Sens,$AH$3,FALSE)</f>
        <v>-952.83711970908598</v>
      </c>
      <c r="AL9" s="2"/>
      <c r="AM9" s="237">
        <f>AN9</f>
        <v>16417.332321064001</v>
      </c>
      <c r="AN9" s="239">
        <f>VLOOKUP(AM4&amp;"Total "&amp;AN2,Sens,$AM$3,FALSE)</f>
        <v>16417.332321064001</v>
      </c>
    </row>
    <row r="10" spans="1:46" ht="15" customHeight="1" collapsed="1">
      <c r="A10" s="296" t="s">
        <v>741</v>
      </c>
      <c r="B10" s="335"/>
      <c r="C10" s="335"/>
      <c r="D10" s="236" t="s">
        <v>623</v>
      </c>
      <c r="E10" s="236" t="s">
        <v>624</v>
      </c>
      <c r="F10" s="335"/>
      <c r="G10" s="335"/>
      <c r="H10" s="335"/>
      <c r="I10" s="335"/>
      <c r="J10" s="401"/>
      <c r="K10" s="401"/>
      <c r="L10" s="401"/>
      <c r="M10" s="401"/>
      <c r="N10" s="401"/>
      <c r="O10" s="401"/>
      <c r="P10" s="401"/>
      <c r="Q10" s="401"/>
      <c r="R10" s="401"/>
      <c r="S10" s="401"/>
      <c r="T10" s="401"/>
      <c r="U10" s="401"/>
      <c r="V10" s="401"/>
      <c r="W10" s="401"/>
      <c r="X10" s="401"/>
      <c r="Y10" s="401"/>
      <c r="Z10" s="401"/>
      <c r="AA10" s="401"/>
      <c r="AB10" s="401"/>
      <c r="AC10" s="401"/>
      <c r="AD10" s="401"/>
      <c r="AE10" s="401"/>
      <c r="AF10" s="401"/>
      <c r="AG10" s="401"/>
      <c r="AH10" s="401"/>
      <c r="AI10" s="401"/>
      <c r="AJ10" s="401"/>
      <c r="AK10" s="401"/>
      <c r="AT10" s="401"/>
    </row>
    <row r="11" spans="1:46" ht="15" customHeight="1">
      <c r="A11" s="296" t="s">
        <v>740</v>
      </c>
      <c r="B11" s="335"/>
      <c r="C11" s="335"/>
      <c r="D11" s="235">
        <f>today</f>
        <v>42692</v>
      </c>
      <c r="E11" s="230" t="b">
        <f>RealTime</f>
        <v>1</v>
      </c>
      <c r="F11" s="335"/>
      <c r="G11" s="335"/>
      <c r="H11" s="335"/>
      <c r="I11" s="335"/>
      <c r="J11" s="401"/>
      <c r="K11" s="401"/>
      <c r="L11" s="401"/>
      <c r="M11" s="401"/>
      <c r="N11" s="401"/>
      <c r="O11" s="401"/>
      <c r="P11" s="401"/>
      <c r="Q11" s="401"/>
      <c r="R11" s="401"/>
      <c r="S11" s="401"/>
      <c r="T11" s="401"/>
      <c r="U11" s="401"/>
      <c r="V11" s="401"/>
      <c r="W11" s="401"/>
      <c r="X11" s="401"/>
      <c r="Y11" s="401"/>
      <c r="Z11" s="401"/>
      <c r="AA11" s="401"/>
      <c r="AB11" s="401"/>
      <c r="AC11" s="401"/>
      <c r="AD11" s="401"/>
      <c r="AE11" s="401"/>
      <c r="AF11" s="401"/>
      <c r="AG11" s="401"/>
      <c r="AH11" s="401"/>
      <c r="AI11" s="401"/>
      <c r="AJ11" s="401"/>
      <c r="AK11" s="401"/>
      <c r="AT11" s="401"/>
    </row>
    <row r="12" spans="1:46" ht="15" hidden="1" customHeight="1" outlineLevel="1">
      <c r="A12" s="401"/>
      <c r="B12" s="401"/>
      <c r="C12" s="401"/>
      <c r="D12" s="401"/>
      <c r="E12" s="401"/>
      <c r="F12" s="401"/>
      <c r="G12" s="401"/>
      <c r="H12" s="401"/>
      <c r="I12" s="401"/>
      <c r="J12" s="401"/>
      <c r="K12" s="401"/>
      <c r="L12" s="401"/>
      <c r="M12" s="401"/>
      <c r="N12" s="401"/>
      <c r="O12" s="401"/>
      <c r="P12" s="401"/>
      <c r="Q12" s="401"/>
      <c r="R12" s="401"/>
      <c r="S12" s="401"/>
      <c r="T12" s="401"/>
      <c r="U12" s="401"/>
      <c r="V12" s="401"/>
      <c r="W12" s="401"/>
      <c r="X12" s="401"/>
      <c r="Y12" s="401"/>
      <c r="Z12" s="401"/>
      <c r="AA12" s="401"/>
      <c r="AB12" s="401"/>
      <c r="AC12" s="401"/>
      <c r="AD12" s="401"/>
      <c r="AE12" s="401"/>
      <c r="AF12" s="401"/>
      <c r="AG12" s="401"/>
      <c r="AH12" s="401"/>
      <c r="AI12" s="401"/>
      <c r="AJ12" s="401"/>
      <c r="AK12" s="401"/>
      <c r="AT12" s="401"/>
    </row>
    <row r="13" spans="1:46" ht="15" hidden="1" customHeight="1" outlineLevel="1">
      <c r="A13" s="401"/>
      <c r="B13" s="401"/>
      <c r="C13" s="401"/>
      <c r="D13" s="401"/>
      <c r="E13" s="401"/>
      <c r="F13" s="401"/>
      <c r="G13" s="401"/>
      <c r="H13" s="401"/>
      <c r="I13" s="401"/>
      <c r="J13" s="401"/>
      <c r="K13" s="401"/>
      <c r="L13" s="401"/>
      <c r="M13" s="401"/>
      <c r="N13" s="401"/>
      <c r="O13" s="401"/>
      <c r="P13" s="401"/>
      <c r="Q13" s="401"/>
      <c r="R13" s="401"/>
      <c r="S13" s="401"/>
      <c r="T13" s="401"/>
      <c r="U13" s="401"/>
      <c r="V13" s="401"/>
      <c r="W13" s="401"/>
      <c r="X13" s="401"/>
      <c r="Y13" s="401"/>
      <c r="Z13" s="401"/>
      <c r="AA13" s="401"/>
      <c r="AB13" s="401"/>
      <c r="AC13" s="401"/>
      <c r="AD13" s="401"/>
      <c r="AE13" s="401"/>
      <c r="AF13" s="401"/>
      <c r="AG13" s="401"/>
      <c r="AH13" s="401"/>
      <c r="AI13" s="401"/>
      <c r="AJ13" s="401"/>
      <c r="AK13" s="401"/>
      <c r="AT13" s="401"/>
    </row>
    <row r="14" spans="1:46" ht="15" customHeight="1" collapsed="1">
      <c r="A14" s="401"/>
      <c r="B14" s="401"/>
      <c r="C14" s="401"/>
      <c r="D14" s="401"/>
      <c r="E14" s="401"/>
      <c r="F14" s="401"/>
      <c r="G14" s="401"/>
      <c r="H14" s="401"/>
      <c r="I14" s="401"/>
      <c r="J14" s="401"/>
      <c r="K14" s="401"/>
      <c r="L14" s="401"/>
      <c r="M14" s="401"/>
      <c r="N14" s="401"/>
      <c r="O14" s="401"/>
      <c r="P14" s="401"/>
      <c r="Q14" s="401"/>
      <c r="R14" s="401"/>
      <c r="S14" s="401"/>
      <c r="T14" s="401"/>
      <c r="U14" s="401"/>
      <c r="V14" s="401"/>
      <c r="W14" s="401"/>
      <c r="X14" s="401"/>
      <c r="Y14" s="401"/>
      <c r="Z14" s="401"/>
      <c r="AA14" s="401"/>
      <c r="AB14" s="401"/>
      <c r="AC14" s="401"/>
      <c r="AD14" s="401"/>
      <c r="AE14" s="401"/>
      <c r="AF14" s="401"/>
      <c r="AG14" s="401"/>
      <c r="AH14" s="401"/>
      <c r="AI14" s="401"/>
      <c r="AJ14" s="401"/>
      <c r="AK14" s="401"/>
      <c r="AT14" s="401"/>
    </row>
    <row r="15" spans="1:46" ht="15" customHeight="1">
      <c r="A15" s="558">
        <f>SUMIF(D17:D67,"&lt;&gt;"&amp;NA)</f>
        <v>7920.3198510725251</v>
      </c>
      <c r="B15" s="558"/>
      <c r="C15" s="558"/>
      <c r="D15" s="557"/>
      <c r="E15" s="221">
        <f>SUM(E17:E67)</f>
        <v>10459.502619671675</v>
      </c>
      <c r="F15" s="211"/>
      <c r="G15" s="212" t="s">
        <v>820</v>
      </c>
      <c r="H15" s="212"/>
      <c r="I15" s="83"/>
      <c r="J15" s="56"/>
      <c r="K15" s="554">
        <f>SUMIF(M17:M82,"&lt;&gt;"&amp;NA)</f>
        <v>102.15721856343261</v>
      </c>
      <c r="L15" s="558"/>
      <c r="M15" s="557"/>
      <c r="N15" s="556">
        <f>SUM(O17:O82)</f>
        <v>97.912666363674759</v>
      </c>
      <c r="O15" s="557"/>
      <c r="P15" s="17"/>
      <c r="Q15" s="554" t="e">
        <f>SUMIF(R17:R82,"&lt;&gt;"&amp;NA)</f>
        <v>#REF!</v>
      </c>
      <c r="R15" s="555"/>
      <c r="S15" s="556">
        <f>SUM(T17:T82)</f>
        <v>0</v>
      </c>
      <c r="T15" s="557"/>
      <c r="U15" s="17"/>
      <c r="V15" s="554">
        <f>SUMIF(X17:X82,"&lt;&gt;"&amp;NA)</f>
        <v>24089.796785458522</v>
      </c>
      <c r="W15" s="558"/>
      <c r="X15" s="555"/>
      <c r="Y15" s="556">
        <f>SUM(Z17:Z82)</f>
        <v>-151815.38245928381</v>
      </c>
      <c r="Z15" s="557"/>
      <c r="AA15" s="17"/>
      <c r="AB15" s="554">
        <f>SUMIF(AC17:AC81,"&lt;&gt;"&amp;NA)</f>
        <v>7461.6448901950971</v>
      </c>
      <c r="AC15" s="555"/>
      <c r="AD15" s="556">
        <f>SUM(AE17:AE81)</f>
        <v>38052.756034211154</v>
      </c>
      <c r="AE15" s="557"/>
      <c r="AF15" s="17"/>
      <c r="AG15" s="554">
        <f>SUMIF(AH17:AH82,"&lt;&gt;"&amp;NA)</f>
        <v>-952.83711970900185</v>
      </c>
      <c r="AH15" s="555"/>
      <c r="AI15" s="556">
        <f>SUM(AJ17:AK82)</f>
        <v>22927.638417585669</v>
      </c>
      <c r="AJ15" s="557"/>
      <c r="AK15" s="32"/>
      <c r="AL15" s="554">
        <f>SUMIF(AM17:AM54,"&lt;&gt;"&amp;NA)</f>
        <v>16417.332321063383</v>
      </c>
      <c r="AM15" s="555"/>
      <c r="AN15" s="556">
        <f>SUM(AO17:AO54)</f>
        <v>125409.07796077838</v>
      </c>
      <c r="AO15" s="557"/>
      <c r="AP15" s="556">
        <f>SUMIF(AR17:AR67,"&lt;&gt;"&amp;NA)</f>
        <v>125409.07796077835</v>
      </c>
      <c r="AQ15" s="559"/>
      <c r="AR15" s="557"/>
      <c r="AS15" s="17"/>
    </row>
    <row r="16" spans="1:46" ht="15" customHeight="1">
      <c r="A16" s="552" t="s">
        <v>831</v>
      </c>
      <c r="B16" s="552"/>
      <c r="C16" s="552"/>
      <c r="D16" s="314" t="s">
        <v>237</v>
      </c>
      <c r="E16" s="28" t="s">
        <v>85</v>
      </c>
      <c r="F16" s="82" t="s">
        <v>480</v>
      </c>
      <c r="G16" s="57" t="s">
        <v>838</v>
      </c>
      <c r="H16" s="57"/>
      <c r="I16" s="27"/>
      <c r="J16" s="355"/>
      <c r="K16" s="28" t="s">
        <v>833</v>
      </c>
      <c r="L16" s="355" t="s">
        <v>693</v>
      </c>
      <c r="M16" s="314" t="s">
        <v>237</v>
      </c>
      <c r="N16" s="14" t="s">
        <v>84</v>
      </c>
      <c r="O16" s="314" t="s">
        <v>85</v>
      </c>
      <c r="P16" s="257"/>
      <c r="Q16" s="28" t="s">
        <v>841</v>
      </c>
      <c r="R16" s="314" t="s">
        <v>237</v>
      </c>
      <c r="S16" s="14" t="s">
        <v>84</v>
      </c>
      <c r="T16" s="14" t="s">
        <v>85</v>
      </c>
      <c r="U16" s="257"/>
      <c r="V16" s="28" t="s">
        <v>834</v>
      </c>
      <c r="W16" s="355" t="s">
        <v>693</v>
      </c>
      <c r="X16" s="314" t="s">
        <v>237</v>
      </c>
      <c r="Y16" s="14" t="s">
        <v>84</v>
      </c>
      <c r="Z16" s="14" t="s">
        <v>85</v>
      </c>
      <c r="AA16" s="257"/>
      <c r="AB16" s="28" t="s">
        <v>842</v>
      </c>
      <c r="AC16" s="314" t="s">
        <v>237</v>
      </c>
      <c r="AD16" s="14" t="s">
        <v>84</v>
      </c>
      <c r="AE16" s="14" t="s">
        <v>85</v>
      </c>
      <c r="AF16" s="257"/>
      <c r="AG16" s="28" t="s">
        <v>843</v>
      </c>
      <c r="AH16" s="314" t="s">
        <v>237</v>
      </c>
      <c r="AI16" s="14" t="s">
        <v>84</v>
      </c>
      <c r="AJ16" s="28" t="s">
        <v>85</v>
      </c>
      <c r="AK16" s="259"/>
      <c r="AL16" s="28" t="s">
        <v>69</v>
      </c>
      <c r="AM16" s="314" t="s">
        <v>237</v>
      </c>
      <c r="AN16" s="14" t="s">
        <v>84</v>
      </c>
      <c r="AO16" s="14" t="s">
        <v>85</v>
      </c>
      <c r="AP16" s="258" t="s">
        <v>692</v>
      </c>
      <c r="AQ16" s="314" t="s">
        <v>237</v>
      </c>
      <c r="AR16" s="14" t="s">
        <v>85</v>
      </c>
      <c r="AS16" s="258"/>
    </row>
    <row r="17" spans="1:53" ht="15" customHeight="1">
      <c r="A17" s="207" t="str">
        <f t="array" ref="A17:A71">UsdCommonBucket</f>
        <v>O/N</v>
      </c>
      <c r="B17" s="163" t="str">
        <f t="array" ref="B17:B71">UsdCommonMxSearch</f>
        <v>O/N</v>
      </c>
      <c r="C17" s="163" t="str">
        <f t="array" ref="C17:C71">UsdCommon_Instrument</f>
        <v>D</v>
      </c>
      <c r="D17" s="302">
        <f>IF(AND(Main!$G$22="Default"),VLOOKUP(B17,IRD,$D$3,FALSE),VLOOKUP(B17,IRD,$E$3,FALSE)+AQ17)</f>
        <v>46.452881909449097</v>
      </c>
      <c r="E17" s="210">
        <f>+O17+T17+Z17+AE17+AJ17+F17+G17+AR17</f>
        <v>0</v>
      </c>
      <c r="F17" s="213">
        <f t="shared" ref="F17:F39" si="0">IF(A17&lt;&gt;"",SUMIF(Fut_USDestBuckets,A17,PL_CMEFut),0)</f>
        <v>0</v>
      </c>
      <c r="G17" s="214">
        <f t="shared" ref="G17:G48" si="1">IF(B17="4Y",PL_NOTE5Y,IF(B17="7Y",PL_NOTE10Y,IF(B17="16Y",PL_NOTE30Y,0)))</f>
        <v>0</v>
      </c>
      <c r="H17" s="214"/>
      <c r="I17" s="215"/>
      <c r="J17" s="56"/>
      <c r="K17" s="207" t="str">
        <f t="array" ref="K17:K71">UsdCommonBucket</f>
        <v>O/N</v>
      </c>
      <c r="L17" s="120">
        <f t="shared" ref="L17:L48" si="2">IF(C17="W",IF(VALUE(LEFT(B17,LEN(B17)-1))&gt;=3,VLOOKUP($M$4&amp;B17,SensFUT,$L$3,FALSE),0),0)</f>
        <v>0</v>
      </c>
      <c r="M17" s="302">
        <f t="shared" ref="M17:M71" si="3">IF(LEN(B17)&gt;0,VLOOKUP(B17,IRD,$N$3,FALSE)-L17,"")</f>
        <v>1.1708876646388</v>
      </c>
      <c r="N17" s="23">
        <f>IF(LEN(K17)&gt;0,(UsdMkt!$AK13-'reference set'!$I96)*100,"")</f>
        <v>0</v>
      </c>
      <c r="O17" s="22">
        <f t="shared" ref="O17:O48" si="4">IFERROR(M17*N17,0)</f>
        <v>0</v>
      </c>
      <c r="P17" s="16"/>
      <c r="Q17" s="207" t="str">
        <f t="array" ref="Q17:Q71">UsdCommonBucket</f>
        <v>O/N</v>
      </c>
      <c r="R17" s="256" t="e">
        <f t="shared" ref="R17:R71" si="5">IF(LEN(B17)&gt;0,VLOOKUP(B17,IRD,$S$3,FALSE),"")</f>
        <v>#REF!</v>
      </c>
      <c r="S17" s="23">
        <f>IF(LEN(Q17)&gt;0,(UsdMkt!$AT13-'reference set'!$U96)*100,"")</f>
        <v>0</v>
      </c>
      <c r="T17" s="22">
        <f t="shared" ref="T17:T48" si="6">IFERROR(R17*S17,0)</f>
        <v>0</v>
      </c>
      <c r="U17" s="16"/>
      <c r="V17" s="207" t="str">
        <f t="array" ref="V17:V71">UsdCommonBucket</f>
        <v>O/N</v>
      </c>
      <c r="W17" s="120">
        <f t="shared" ref="W17:W48" si="7">IF(AND(C17&lt;&gt;"",C17&lt;&gt;"W"),VLOOKUP($X$4&amp;B17,SensFUT,$W$3,FALSE),0)</f>
        <v>1.2590895659414501E-8</v>
      </c>
      <c r="X17" s="302">
        <f t="shared" ref="X17:X71" si="8">IF(LEN(B17)&gt;0,VLOOKUP(B17,IRD,$Y$3,FALSE)-W17,"")</f>
        <v>-1.5557459005151794E-3</v>
      </c>
      <c r="Y17" s="23">
        <f>IF(LEN(V17)&gt;0,(UsdMkt!$BJ13-'reference set'!$AK96)*100,"")</f>
        <v>0</v>
      </c>
      <c r="Z17" s="22">
        <f t="shared" ref="Z17:Z48" si="9">IFERROR(X17*Y17,0)</f>
        <v>0</v>
      </c>
      <c r="AA17" s="16"/>
      <c r="AB17" s="207" t="str">
        <f t="array" ref="AB17:AB71">UsdCommonBucket</f>
        <v>O/N</v>
      </c>
      <c r="AC17" s="302">
        <f t="shared" ref="AC17:AC48" si="10">IF(LEN($B17)&gt;0,VLOOKUP($B17,IRD,$AD$3,FALSE),"")</f>
        <v>4.0687248015203202E-10</v>
      </c>
      <c r="AD17" s="23">
        <f>IF(LEN(AB17)&gt;0,(UsdMkt!$BB13-'reference set'!$AC96)*100,"")</f>
        <v>0</v>
      </c>
      <c r="AE17" s="22">
        <f t="shared" ref="AE17:AE48" si="11">IFERROR(AC17*AD17,0)</f>
        <v>0</v>
      </c>
      <c r="AF17" s="16"/>
      <c r="AG17" s="207" t="str">
        <f t="array" ref="AG17:AG67">UsdCommonBucket</f>
        <v>O/N</v>
      </c>
      <c r="AH17" s="302">
        <f t="shared" ref="AH17:AH48" si="12">IF(LEN($B17)&gt;0,VLOOKUP($B17,IRD,$AI$3,FALSE),"")</f>
        <v>-8.1405900466749398E-9</v>
      </c>
      <c r="AI17" s="23">
        <f>IF(LEN(AG17)&gt;0,(UsdMkt!$BS13-'reference set'!$AS96)*100,"")</f>
        <v>0</v>
      </c>
      <c r="AJ17" s="22">
        <f t="shared" ref="AJ17:AJ48" si="13">IFERROR(AH17*AI17,0)</f>
        <v>0</v>
      </c>
      <c r="AK17" s="33"/>
      <c r="AL17" s="25" t="str">
        <f t="array" ref="AL17:AL54">UsdBucketOIS</f>
        <v>O/N</v>
      </c>
      <c r="AM17" s="302">
        <f t="shared" ref="AM17:AM54" si="14">IF(LEN(AL17)&gt;0,VLOOKUP($AM$4&amp;AL17,Sens,$AM$3,FALSE),"")</f>
        <v>107.483642932772</v>
      </c>
      <c r="AN17" s="23">
        <f>(UsdMkt!CC13-'reference set'!BA96)*100</f>
        <v>0</v>
      </c>
      <c r="AO17" s="22">
        <f t="shared" ref="AO17:AO54" si="15">IFERROR(AM17*AN17,0)</f>
        <v>0</v>
      </c>
      <c r="AP17" s="207" t="str">
        <f t="array" ref="AP17:AP71">UsdCommonBucket</f>
        <v>O/N</v>
      </c>
      <c r="AQ17" s="302">
        <f>BktUsdOisSens!L9</f>
        <v>107.483642932772</v>
      </c>
      <c r="AR17" s="208">
        <f>INDEX(BktUsdOisPL!PL_OIS_bckt,MATCH(B17,BktUsdOisPL!$F$9:$F$73,0))</f>
        <v>0</v>
      </c>
      <c r="AS17" s="16"/>
      <c r="AU17" s="401"/>
      <c r="AW17" s="401"/>
      <c r="AX17" s="401"/>
      <c r="AY17" s="401"/>
      <c r="AZ17" s="401"/>
      <c r="BA17" s="401"/>
    </row>
    <row r="18" spans="1:53" ht="15" customHeight="1">
      <c r="A18" s="207" t="str">
        <v>T/N</v>
      </c>
      <c r="B18" s="163" t="str">
        <v>T/N</v>
      </c>
      <c r="C18" s="163" t="str">
        <v>D</v>
      </c>
      <c r="D18" s="302">
        <f>IF(AND(Main!$G$22="Default"),VLOOKUP(B18,IRD,$D$3,FALSE),VLOOKUP(B18,IRD,$E$3,FALSE)+AQ18)</f>
        <v>10.5780002722619</v>
      </c>
      <c r="E18" s="210">
        <f t="shared" ref="E18:E71" si="16">+O18+T18+Z18+AE18+AJ18+F18+G18+AR18</f>
        <v>4.3275476016294256E-15</v>
      </c>
      <c r="F18" s="213">
        <f t="shared" si="0"/>
        <v>0</v>
      </c>
      <c r="G18" s="214">
        <f t="shared" si="1"/>
        <v>0</v>
      </c>
      <c r="H18" s="214"/>
      <c r="I18" s="215"/>
      <c r="J18" s="56"/>
      <c r="K18" s="207" t="str">
        <v>T/N</v>
      </c>
      <c r="L18" s="120">
        <f t="shared" si="2"/>
        <v>0</v>
      </c>
      <c r="M18" s="302">
        <f t="shared" si="3"/>
        <v>0.390309436614517</v>
      </c>
      <c r="N18" s="23">
        <f>IF(LEN(K18)&gt;0,(UsdMkt!$AK14-'reference set'!$I97)*100,"")</f>
        <v>1.1102230246251565E-14</v>
      </c>
      <c r="O18" s="22">
        <f t="shared" si="4"/>
        <v>4.333305232579099E-15</v>
      </c>
      <c r="P18" s="16"/>
      <c r="Q18" s="207" t="str">
        <v>T/N</v>
      </c>
      <c r="R18" s="302" t="e">
        <f t="shared" si="5"/>
        <v>#REF!</v>
      </c>
      <c r="S18" s="23">
        <f>IF(LEN(Q18)&gt;0,(UsdMkt!$AT14-'reference set'!$U97)*100,"")</f>
        <v>1.1102230246251565E-14</v>
      </c>
      <c r="T18" s="22">
        <f t="shared" si="6"/>
        <v>0</v>
      </c>
      <c r="U18" s="16"/>
      <c r="V18" s="207" t="str">
        <v>T/N</v>
      </c>
      <c r="W18" s="120">
        <f t="shared" si="7"/>
        <v>3.9414769226198099E-9</v>
      </c>
      <c r="X18" s="302">
        <f t="shared" si="8"/>
        <v>-5.1859800676161058E-4</v>
      </c>
      <c r="Y18" s="23">
        <f>IF(LEN(V18)&gt;0,(UsdMkt!$BJ14-'reference set'!$AK97)*100,"")</f>
        <v>1.1102230246251565E-14</v>
      </c>
      <c r="Z18" s="22">
        <f t="shared" si="9"/>
        <v>-5.7575944763145265E-18</v>
      </c>
      <c r="AA18" s="16"/>
      <c r="AB18" s="207" t="str">
        <v>T/N</v>
      </c>
      <c r="AC18" s="302">
        <f t="shared" si="10"/>
        <v>1.3837109236192199E-10</v>
      </c>
      <c r="AD18" s="23">
        <f>IF(LEN(AB18)&gt;0,(UsdMkt!$BB14-'reference set'!$AC97)*100,"")</f>
        <v>1.1102230246251565E-14</v>
      </c>
      <c r="AE18" s="22">
        <f t="shared" si="11"/>
        <v>1.5362277268273993E-24</v>
      </c>
      <c r="AF18" s="16"/>
      <c r="AG18" s="207" t="str">
        <v>T/N</v>
      </c>
      <c r="AH18" s="302">
        <f t="shared" si="12"/>
        <v>-3.4235991836634201E-9</v>
      </c>
      <c r="AI18" s="23">
        <f>IF(LEN(AG18)&gt;0,(UsdMkt!$BS14-'reference set'!$AS97)*100,"")</f>
        <v>1.1102230246251565E-14</v>
      </c>
      <c r="AJ18" s="22">
        <f t="shared" si="13"/>
        <v>-3.8009586407910188E-23</v>
      </c>
      <c r="AK18" s="33"/>
      <c r="AL18" s="25" t="str">
        <v>T/N</v>
      </c>
      <c r="AM18" s="302">
        <f t="shared" si="14"/>
        <v>48.303425245799701</v>
      </c>
      <c r="AN18" s="23">
        <f>(UsdMkt!CC14-'reference set'!BA97)*100</f>
        <v>0</v>
      </c>
      <c r="AO18" s="22">
        <f t="shared" si="15"/>
        <v>0</v>
      </c>
      <c r="AP18" s="207" t="str">
        <v>T/N</v>
      </c>
      <c r="AQ18" s="302">
        <f>BktUsdOisSens!L10</f>
        <v>48.303425245799701</v>
      </c>
      <c r="AR18" s="208">
        <f>INDEX(BktUsdOisPL!PL_OIS_bckt,MATCH(B18,BktUsdOisPL!$F$9:$F$73,0))</f>
        <v>0</v>
      </c>
      <c r="AS18" s="16"/>
      <c r="AU18" s="401"/>
      <c r="AW18" s="401"/>
      <c r="AX18" s="401"/>
      <c r="AY18" s="401"/>
      <c r="AZ18" s="401"/>
      <c r="BA18" s="401"/>
    </row>
    <row r="19" spans="1:53" ht="15" customHeight="1">
      <c r="A19" s="207" t="str">
        <v>S/N</v>
      </c>
      <c r="B19" s="163" t="str">
        <v>S/N</v>
      </c>
      <c r="C19" s="163" t="str">
        <v>D</v>
      </c>
      <c r="D19" s="302">
        <f>IF(AND(Main!$G$22="Default"),VLOOKUP(B19,IRD,$D$3,FALSE),VLOOKUP(B19,IRD,$E$3,FALSE)+AQ19)</f>
        <v>49.135859632009399</v>
      </c>
      <c r="E19" s="210">
        <f t="shared" si="16"/>
        <v>0</v>
      </c>
      <c r="F19" s="213">
        <f t="shared" si="0"/>
        <v>0</v>
      </c>
      <c r="G19" s="214">
        <f t="shared" si="1"/>
        <v>0</v>
      </c>
      <c r="H19" s="214"/>
      <c r="I19" s="215"/>
      <c r="J19" s="56"/>
      <c r="K19" s="207" t="str">
        <v>S/N</v>
      </c>
      <c r="L19" s="120">
        <f t="shared" si="2"/>
        <v>0</v>
      </c>
      <c r="M19" s="302">
        <f t="shared" si="3"/>
        <v>-0.22370409610696901</v>
      </c>
      <c r="N19" s="23">
        <f>IF(LEN(K19)&gt;0,(UsdMkt!$AK15-'reference set'!$I98)*100,"")</f>
        <v>0</v>
      </c>
      <c r="O19" s="22">
        <f t="shared" si="4"/>
        <v>0</v>
      </c>
      <c r="P19" s="16"/>
      <c r="Q19" s="207" t="str">
        <v>S/N</v>
      </c>
      <c r="R19" s="302" t="e">
        <f t="shared" si="5"/>
        <v>#REF!</v>
      </c>
      <c r="S19" s="23">
        <f>IF(LEN(Q19)&gt;0,(UsdMkt!$AT15-'reference set'!$U98)*100,"")</f>
        <v>0</v>
      </c>
      <c r="T19" s="22">
        <f t="shared" si="6"/>
        <v>0</v>
      </c>
      <c r="U19" s="16"/>
      <c r="V19" s="207" t="str">
        <v>S/N</v>
      </c>
      <c r="W19" s="120">
        <f t="shared" si="7"/>
        <v>0</v>
      </c>
      <c r="X19" s="302">
        <f t="shared" si="8"/>
        <v>-0.544531578855593</v>
      </c>
      <c r="Y19" s="23">
        <f>IF(LEN(V19)&gt;0,(UsdMkt!$BJ15-'reference set'!$AK98)*100,"")</f>
        <v>0</v>
      </c>
      <c r="Z19" s="22">
        <f t="shared" si="9"/>
        <v>0</v>
      </c>
      <c r="AA19" s="16"/>
      <c r="AB19" s="207" t="str">
        <v>S/N</v>
      </c>
      <c r="AC19" s="302">
        <f t="shared" si="10"/>
        <v>-0.36732878072928399</v>
      </c>
      <c r="AD19" s="23">
        <f>IF(LEN(AB19)&gt;0,(UsdMkt!$BB15-'reference set'!$AC98)*100,"")</f>
        <v>0</v>
      </c>
      <c r="AE19" s="22">
        <f t="shared" si="11"/>
        <v>0</v>
      </c>
      <c r="AF19" s="16"/>
      <c r="AG19" s="207" t="str">
        <v>S/N</v>
      </c>
      <c r="AH19" s="302">
        <f t="shared" si="12"/>
        <v>-1.54088090725778</v>
      </c>
      <c r="AI19" s="23">
        <f>IF(LEN(AG19)&gt;0,(UsdMkt!$BS15-'reference set'!$AS98)*100,"")</f>
        <v>0</v>
      </c>
      <c r="AJ19" s="22">
        <f t="shared" si="13"/>
        <v>0</v>
      </c>
      <c r="AK19" s="33"/>
      <c r="AL19" s="25" t="str">
        <v>S/N</v>
      </c>
      <c r="AM19" s="302">
        <f t="shared" si="14"/>
        <v>51.812304994959</v>
      </c>
      <c r="AN19" s="23">
        <f>(UsdMkt!CC15-'reference set'!BA98)*100</f>
        <v>0</v>
      </c>
      <c r="AO19" s="22">
        <f t="shared" si="15"/>
        <v>0</v>
      </c>
      <c r="AP19" s="207" t="str">
        <v>S/N</v>
      </c>
      <c r="AQ19" s="302">
        <f>BktUsdOisSens!L11</f>
        <v>51.812304994959</v>
      </c>
      <c r="AR19" s="208">
        <f>INDEX(BktUsdOisPL!PL_OIS_bckt,MATCH(B19,BktUsdOisPL!$F$9:$F$73,0))</f>
        <v>0</v>
      </c>
      <c r="AS19" s="16"/>
      <c r="AU19" s="401"/>
      <c r="AW19" s="401"/>
      <c r="AX19" s="401"/>
      <c r="AY19" s="401"/>
      <c r="AZ19" s="401"/>
      <c r="BA19" s="401"/>
    </row>
    <row r="20" spans="1:53" ht="15" customHeight="1">
      <c r="A20" s="207" t="str">
        <v>1W</v>
      </c>
      <c r="B20" s="163" t="str">
        <v>1W</v>
      </c>
      <c r="C20" s="163" t="str">
        <v>D</v>
      </c>
      <c r="D20" s="302">
        <f>IF(AND(Main!$G$22="Default"),VLOOKUP(B20,IRD,$D$3,FALSE),VLOOKUP(B20,IRD,$E$3,FALSE)+AQ20)</f>
        <v>-66.081418751758406</v>
      </c>
      <c r="E20" s="210">
        <f t="shared" si="16"/>
        <v>-464.20253995180241</v>
      </c>
      <c r="F20" s="213">
        <f t="shared" si="0"/>
        <v>0</v>
      </c>
      <c r="G20" s="214">
        <f t="shared" si="1"/>
        <v>0</v>
      </c>
      <c r="H20" s="214"/>
      <c r="I20" s="215"/>
      <c r="J20" s="56"/>
      <c r="K20" s="207" t="str">
        <v>1W</v>
      </c>
      <c r="L20" s="120">
        <f t="shared" si="2"/>
        <v>0</v>
      </c>
      <c r="M20" s="302">
        <f t="shared" si="3"/>
        <v>0</v>
      </c>
      <c r="N20" s="23">
        <f>IF(LEN(K20)&gt;0,(UsdMkt!$AK16-'reference set'!$I99)*100,"")</f>
        <v>0</v>
      </c>
      <c r="O20" s="22">
        <f t="shared" si="4"/>
        <v>0</v>
      </c>
      <c r="P20" s="16"/>
      <c r="Q20" s="207" t="str">
        <v>1W</v>
      </c>
      <c r="R20" s="302" t="e">
        <f t="shared" si="5"/>
        <v>#REF!</v>
      </c>
      <c r="S20" s="23">
        <f>IF(LEN(Q20)&gt;0,(UsdMkt!$AT16-'reference set'!$U99)*100,"")</f>
        <v>-4.8542236000000072</v>
      </c>
      <c r="T20" s="22">
        <f t="shared" si="6"/>
        <v>0</v>
      </c>
      <c r="U20" s="16"/>
      <c r="V20" s="207" t="str">
        <v>1W</v>
      </c>
      <c r="W20" s="120">
        <f t="shared" si="7"/>
        <v>0</v>
      </c>
      <c r="X20" s="302">
        <f t="shared" si="8"/>
        <v>151.49301426316401</v>
      </c>
      <c r="Y20" s="23">
        <f>IF(LEN(V20)&gt;0,(UsdMkt!$BJ16-'reference set'!$AK99)*100,"")</f>
        <v>-1.2134456999999932</v>
      </c>
      <c r="Z20" s="22">
        <f t="shared" si="9"/>
        <v>-183.828546737674</v>
      </c>
      <c r="AA20" s="16"/>
      <c r="AB20" s="207" t="str">
        <v>1W</v>
      </c>
      <c r="AC20" s="302">
        <f t="shared" si="10"/>
        <v>39.156965284602201</v>
      </c>
      <c r="AD20" s="23">
        <f>IF(LEN(AB20)&gt;0,(UsdMkt!$BB16-'reference set'!$AC99)*100,"")</f>
        <v>-1.2499999999999956</v>
      </c>
      <c r="AE20" s="22">
        <f t="shared" si="11"/>
        <v>-48.946206605752579</v>
      </c>
      <c r="AF20" s="16"/>
      <c r="AG20" s="207" t="str">
        <v>1W</v>
      </c>
      <c r="AH20" s="302">
        <f t="shared" si="12"/>
        <v>15.5079767362406</v>
      </c>
      <c r="AI20" s="23">
        <f>IF(LEN(AG20)&gt;0,(UsdMkt!$BS16-'reference set'!$AS99)*100,"")</f>
        <v>-3.4801141999999841</v>
      </c>
      <c r="AJ20" s="22">
        <f t="shared" si="13"/>
        <v>-53.969530053060318</v>
      </c>
      <c r="AK20" s="33"/>
      <c r="AL20" s="25" t="str">
        <v>1W</v>
      </c>
      <c r="AM20" s="302">
        <f t="shared" si="14"/>
        <v>-272.23937503576599</v>
      </c>
      <c r="AN20" s="23">
        <f>(UsdMkt!CC16-'reference set'!BA99)*100</f>
        <v>0.65184640000000571</v>
      </c>
      <c r="AO20" s="22">
        <f t="shared" si="15"/>
        <v>-177.45825655531547</v>
      </c>
      <c r="AP20" s="207" t="str">
        <v>1W</v>
      </c>
      <c r="AQ20" s="302">
        <f>BktUsdOisSens!L12</f>
        <v>-272.23937503576599</v>
      </c>
      <c r="AR20" s="208">
        <f>INDEX(BktUsdOisPL!PL_OIS_bckt,MATCH(B20,BktUsdOisPL!$F$9:$F$73,0))</f>
        <v>-177.45825655531547</v>
      </c>
      <c r="AS20" s="16"/>
      <c r="AU20" s="401"/>
      <c r="AW20" s="401"/>
      <c r="AX20" s="401"/>
      <c r="AY20" s="401"/>
      <c r="AZ20" s="401"/>
      <c r="BA20" s="401"/>
    </row>
    <row r="21" spans="1:53" ht="15" customHeight="1">
      <c r="A21" s="207" t="str">
        <v>2W</v>
      </c>
      <c r="B21" s="163" t="str">
        <v>2W</v>
      </c>
      <c r="C21" s="163" t="str">
        <v>D</v>
      </c>
      <c r="D21" s="302">
        <f>IF(AND(Main!$G$22="Default"),VLOOKUP(B21,IRD,$D$3,FALSE),VLOOKUP(B21,IRD,$E$3,FALSE)+AQ21)</f>
        <v>-251.77221223428199</v>
      </c>
      <c r="E21" s="210">
        <f t="shared" si="16"/>
        <v>207.67806791143593</v>
      </c>
      <c r="F21" s="213">
        <f t="shared" si="0"/>
        <v>0</v>
      </c>
      <c r="G21" s="214">
        <f t="shared" si="1"/>
        <v>0</v>
      </c>
      <c r="H21" s="214"/>
      <c r="I21" s="215"/>
      <c r="J21" s="56"/>
      <c r="K21" s="207" t="str">
        <v>2W</v>
      </c>
      <c r="L21" s="120">
        <f t="shared" si="2"/>
        <v>0</v>
      </c>
      <c r="M21" s="302">
        <f t="shared" si="3"/>
        <v>0</v>
      </c>
      <c r="N21" s="23">
        <f>IF(LEN(K21)&gt;0,(UsdMkt!$AK17-'reference set'!$I100)*100,"")</f>
        <v>5.5511151231257827E-15</v>
      </c>
      <c r="O21" s="22">
        <f t="shared" si="4"/>
        <v>0</v>
      </c>
      <c r="P21" s="16"/>
      <c r="Q21" s="207" t="str">
        <v>2W</v>
      </c>
      <c r="R21" s="302" t="e">
        <f t="shared" si="5"/>
        <v>#REF!</v>
      </c>
      <c r="S21" s="23">
        <f>IF(LEN(Q21)&gt;0,(UsdMkt!$AT17-'reference set'!$U100)*100,"")</f>
        <v>-4.8383572999999958</v>
      </c>
      <c r="T21" s="22">
        <f t="shared" si="6"/>
        <v>0</v>
      </c>
      <c r="U21" s="16"/>
      <c r="V21" s="207" t="str">
        <v>2W</v>
      </c>
      <c r="W21" s="120">
        <f t="shared" si="7"/>
        <v>-20.393747850231101</v>
      </c>
      <c r="X21" s="302">
        <f t="shared" si="8"/>
        <v>-169.42974325180688</v>
      </c>
      <c r="Y21" s="23">
        <f>IF(LEN(V21)&gt;0,(UsdMkt!$BJ17-'reference set'!$AK100)*100,"")</f>
        <v>-1.169755699999997</v>
      </c>
      <c r="Z21" s="22">
        <f t="shared" si="9"/>
        <v>198.19140791833712</v>
      </c>
      <c r="AA21" s="16"/>
      <c r="AB21" s="207" t="str">
        <v>2W</v>
      </c>
      <c r="AC21" s="302">
        <f t="shared" si="10"/>
        <v>-47.926665392290701</v>
      </c>
      <c r="AD21" s="23">
        <f>IF(LEN(AB21)&gt;0,(UsdMkt!$BB17-'reference set'!$AC100)*100,"")</f>
        <v>-0.79683229999999439</v>
      </c>
      <c r="AE21" s="22">
        <f t="shared" si="11"/>
        <v>38.189515015869134</v>
      </c>
      <c r="AF21" s="16"/>
      <c r="AG21" s="207" t="str">
        <v>2W</v>
      </c>
      <c r="AH21" s="302">
        <f t="shared" si="12"/>
        <v>4.2392946488721996</v>
      </c>
      <c r="AI21" s="23">
        <f>IF(LEN(AG21)&gt;0,(UsdMkt!$BS17-'reference set'!$AS100)*100,"")</f>
        <v>-3.402697099999985</v>
      </c>
      <c r="AJ21" s="22">
        <f t="shared" si="13"/>
        <v>-14.425035607762888</v>
      </c>
      <c r="AK21" s="33"/>
      <c r="AL21" s="25" t="str">
        <v>2W</v>
      </c>
      <c r="AM21" s="302">
        <f t="shared" si="14"/>
        <v>-18.2613503888259</v>
      </c>
      <c r="AN21" s="23">
        <f>(UsdMkt!CC17-'reference set'!BA100)*100</f>
        <v>0.78186000000000089</v>
      </c>
      <c r="AO21" s="22">
        <f t="shared" si="15"/>
        <v>-14.277819415007434</v>
      </c>
      <c r="AP21" s="207" t="str">
        <v>2W</v>
      </c>
      <c r="AQ21" s="302">
        <f>BktUsdOisSens!L13</f>
        <v>-18.2613503888259</v>
      </c>
      <c r="AR21" s="208">
        <f>INDEX(BktUsdOisPL!PL_OIS_bckt,MATCH(B21,BktUsdOisPL!$F$9:$F$73,0))</f>
        <v>-14.277819415007434</v>
      </c>
      <c r="AS21" s="16"/>
      <c r="AU21" s="401"/>
      <c r="AW21" s="401"/>
      <c r="AX21" s="401"/>
      <c r="AY21" s="401"/>
      <c r="AZ21" s="401"/>
      <c r="BA21" s="401"/>
    </row>
    <row r="22" spans="1:53" ht="15" customHeight="1">
      <c r="A22" s="207" t="str">
        <v>3W</v>
      </c>
      <c r="B22" s="163" t="str">
        <v>3W</v>
      </c>
      <c r="C22" s="163" t="str">
        <v>D</v>
      </c>
      <c r="D22" s="302">
        <f>IF(AND(Main!$G$22="Default"),VLOOKUP(B22,IRD,$D$3,FALSE),VLOOKUP(B22,IRD,$E$3,FALSE)+AQ22)</f>
        <v>-2136.8905947908402</v>
      </c>
      <c r="E22" s="210">
        <f t="shared" si="16"/>
        <v>2554.7550736451931</v>
      </c>
      <c r="F22" s="213">
        <f t="shared" si="0"/>
        <v>0</v>
      </c>
      <c r="G22" s="214">
        <f t="shared" si="1"/>
        <v>0</v>
      </c>
      <c r="H22" s="214"/>
      <c r="I22" s="215"/>
      <c r="J22" s="56"/>
      <c r="K22" s="207" t="str">
        <v>3W</v>
      </c>
      <c r="L22" s="120">
        <f t="shared" si="2"/>
        <v>0</v>
      </c>
      <c r="M22" s="302">
        <f t="shared" si="3"/>
        <v>4.4408920985006301E-15</v>
      </c>
      <c r="N22" s="23">
        <f>IF(LEN(K22)&gt;0,(UsdMkt!$AK18-'reference set'!$I101)*100,"")</f>
        <v>0</v>
      </c>
      <c r="O22" s="22">
        <f t="shared" si="4"/>
        <v>0</v>
      </c>
      <c r="P22" s="16"/>
      <c r="Q22" s="207" t="str">
        <v>3W</v>
      </c>
      <c r="R22" s="302" t="e">
        <f t="shared" si="5"/>
        <v>#REF!</v>
      </c>
      <c r="S22" s="23">
        <f>IF(LEN(Q22)&gt;0,(UsdMkt!$AT18-'reference set'!$U101)*100,"")</f>
        <v>-4.811278699999999</v>
      </c>
      <c r="T22" s="22">
        <f t="shared" si="6"/>
        <v>0</v>
      </c>
      <c r="U22" s="16"/>
      <c r="V22" s="207" t="str">
        <v>3W</v>
      </c>
      <c r="W22" s="120">
        <f t="shared" si="7"/>
        <v>352.845074131812</v>
      </c>
      <c r="X22" s="302">
        <f t="shared" si="8"/>
        <v>-2427.907614763762</v>
      </c>
      <c r="Y22" s="23">
        <f>IF(LEN(V22)&gt;0,(UsdMkt!$BJ18-'reference set'!$AK101)*100,"")</f>
        <v>-1.0968059999999946</v>
      </c>
      <c r="Z22" s="22">
        <f t="shared" si="9"/>
        <v>2662.9436393185697</v>
      </c>
      <c r="AA22" s="16"/>
      <c r="AB22" s="207" t="str">
        <v>3W</v>
      </c>
      <c r="AC22" s="302">
        <f t="shared" si="10"/>
        <v>-9.9437670244825291</v>
      </c>
      <c r="AD22" s="23">
        <f>IF(LEN(AB22)&gt;0,(UsdMkt!$BB18-'reference set'!$AC101)*100,"")</f>
        <v>-0.38176659999999973</v>
      </c>
      <c r="AE22" s="22">
        <f t="shared" si="11"/>
        <v>3.7961981281288093</v>
      </c>
      <c r="AF22" s="16"/>
      <c r="AG22" s="207" t="str">
        <v>3W</v>
      </c>
      <c r="AH22" s="302">
        <f t="shared" si="12"/>
        <v>16.2292612487133</v>
      </c>
      <c r="AI22" s="23">
        <f>IF(LEN(AG22)&gt;0,(UsdMkt!$BS18-'reference set'!$AS101)*100,"")</f>
        <v>-3.2731641000000034</v>
      </c>
      <c r="AJ22" s="22">
        <f t="shared" si="13"/>
        <v>-53.121035288809601</v>
      </c>
      <c r="AK22" s="33"/>
      <c r="AL22" s="25" t="str">
        <v>3W</v>
      </c>
      <c r="AM22" s="302">
        <f t="shared" si="14"/>
        <v>-68.113548383123998</v>
      </c>
      <c r="AN22" s="23">
        <f>(UsdMkt!CC18-'reference set'!BA101)*100</f>
        <v>0.8641999999999983</v>
      </c>
      <c r="AO22" s="22">
        <f t="shared" si="15"/>
        <v>-58.863728512695644</v>
      </c>
      <c r="AP22" s="207" t="str">
        <v>3W</v>
      </c>
      <c r="AQ22" s="302">
        <f>BktUsdOisSens!L14</f>
        <v>-68.113548383123998</v>
      </c>
      <c r="AR22" s="208">
        <f>INDEX(BktUsdOisPL!PL_OIS_bckt,MATCH(B22,BktUsdOisPL!$F$9:$F$73,0))</f>
        <v>-58.863728512695644</v>
      </c>
      <c r="AS22" s="16"/>
      <c r="AU22" s="401"/>
      <c r="AW22" s="401"/>
      <c r="AX22" s="401"/>
      <c r="AY22" s="401"/>
      <c r="AZ22" s="401"/>
      <c r="BA22" s="401"/>
    </row>
    <row r="23" spans="1:53" ht="15" customHeight="1">
      <c r="A23" s="207" t="str">
        <v>1M</v>
      </c>
      <c r="B23" s="163" t="str">
        <v>1M</v>
      </c>
      <c r="C23" s="163" t="str">
        <v>D</v>
      </c>
      <c r="D23" s="302">
        <f>IF(AND(Main!$G$22="Default"),VLOOKUP(B23,IRD,$D$3,FALSE),VLOOKUP(B23,IRD,$E$3,FALSE)+AQ23)</f>
        <v>1653.1170606051501</v>
      </c>
      <c r="E23" s="210">
        <f t="shared" si="16"/>
        <v>2594.6371509813162</v>
      </c>
      <c r="F23" s="213">
        <f t="shared" si="0"/>
        <v>0</v>
      </c>
      <c r="G23" s="214">
        <f t="shared" si="1"/>
        <v>0</v>
      </c>
      <c r="H23" s="214"/>
      <c r="I23" s="215"/>
      <c r="J23" s="56"/>
      <c r="K23" s="207" t="str">
        <v>1M</v>
      </c>
      <c r="L23" s="120">
        <f t="shared" si="2"/>
        <v>0</v>
      </c>
      <c r="M23" s="302">
        <f t="shared" si="3"/>
        <v>-3.2862601528904602E-14</v>
      </c>
      <c r="N23" s="23">
        <f>IF(LEN(K23)&gt;0,(UsdMkt!$AK19-'reference set'!$I102)*100,"")</f>
        <v>1.1102230246251565E-14</v>
      </c>
      <c r="O23" s="22">
        <f t="shared" si="4"/>
        <v>-3.648481686647176E-28</v>
      </c>
      <c r="P23" s="16"/>
      <c r="Q23" s="207" t="str">
        <v>1M</v>
      </c>
      <c r="R23" s="302" t="e">
        <f t="shared" si="5"/>
        <v>#REF!</v>
      </c>
      <c r="S23" s="23">
        <f>IF(LEN(Q23)&gt;0,(UsdMkt!$AT19-'reference set'!$U102)*100,"")</f>
        <v>-4.7600000000000087</v>
      </c>
      <c r="T23" s="22">
        <f t="shared" si="6"/>
        <v>0</v>
      </c>
      <c r="U23" s="16"/>
      <c r="V23" s="207" t="str">
        <v>1M</v>
      </c>
      <c r="W23" s="120">
        <f t="shared" si="7"/>
        <v>5446.6199669565704</v>
      </c>
      <c r="X23" s="302">
        <f t="shared" si="8"/>
        <v>-4323.4631028188205</v>
      </c>
      <c r="Y23" s="23">
        <f>IF(LEN(V23)&gt;0,(UsdMkt!$BJ19-'reference set'!$AK102)*100,"")</f>
        <v>-0.95999999999999419</v>
      </c>
      <c r="Z23" s="22">
        <f t="shared" si="9"/>
        <v>4150.524578706043</v>
      </c>
      <c r="AA23" s="16"/>
      <c r="AB23" s="207" t="str">
        <v>1M</v>
      </c>
      <c r="AC23" s="302">
        <f t="shared" si="10"/>
        <v>0.995353598577424</v>
      </c>
      <c r="AD23" s="23">
        <f>IF(LEN(AB23)&gt;0,(UsdMkt!$BB19-'reference set'!$AC102)*100,"")</f>
        <v>1.1102230246251565E-14</v>
      </c>
      <c r="AE23" s="22">
        <f t="shared" si="11"/>
        <v>1.1050644827841617E-14</v>
      </c>
      <c r="AF23" s="16"/>
      <c r="AG23" s="207" t="str">
        <v>1M</v>
      </c>
      <c r="AH23" s="302">
        <f t="shared" si="12"/>
        <v>517.03710890849504</v>
      </c>
      <c r="AI23" s="23">
        <f>IF(LEN(AG23)&gt;0,(UsdMkt!$BS19-'reference set'!$AS102)*100,"")</f>
        <v>-3.0299998999999911</v>
      </c>
      <c r="AJ23" s="22">
        <f t="shared" si="13"/>
        <v>-1566.6223882890245</v>
      </c>
      <c r="AK23" s="33"/>
      <c r="AL23" s="25" t="str">
        <v>1M</v>
      </c>
      <c r="AM23" s="302">
        <f t="shared" si="14"/>
        <v>11.927733960330601</v>
      </c>
      <c r="AN23" s="23">
        <f>(UsdMkt!CC19-'reference set'!BA102)*100</f>
        <v>0.9000000000000008</v>
      </c>
      <c r="AO23" s="22">
        <f t="shared" si="15"/>
        <v>10.73496056429755</v>
      </c>
      <c r="AP23" s="207" t="str">
        <v>1M</v>
      </c>
      <c r="AQ23" s="302">
        <f>BktUsdOisSens!L15</f>
        <v>11.927733960330601</v>
      </c>
      <c r="AR23" s="208">
        <f>INDEX(BktUsdOisPL!PL_OIS_bckt,MATCH(B23,BktUsdOisPL!$F$9:$F$73,0))</f>
        <v>10.73496056429755</v>
      </c>
      <c r="AS23" s="16"/>
      <c r="AU23" s="401"/>
      <c r="AW23" s="401"/>
      <c r="AX23" s="401"/>
      <c r="AY23" s="401"/>
      <c r="AZ23" s="401"/>
      <c r="BA23" s="401"/>
    </row>
    <row r="24" spans="1:53" ht="15" customHeight="1">
      <c r="A24" s="207" t="str">
        <v>2M</v>
      </c>
      <c r="B24" s="163" t="str">
        <v>2M</v>
      </c>
      <c r="C24" s="163" t="str">
        <v>D</v>
      </c>
      <c r="D24" s="302">
        <f>IF(AND(Main!$G$22="Default"),VLOOKUP(B24,IRD,$D$3,FALSE),VLOOKUP(B24,IRD,$E$3,FALSE)+AQ24)</f>
        <v>1255.9989345419599</v>
      </c>
      <c r="E24" s="210">
        <f t="shared" si="16"/>
        <v>-1000.563055427718</v>
      </c>
      <c r="F24" s="213">
        <f t="shared" si="0"/>
        <v>0</v>
      </c>
      <c r="G24" s="214">
        <f t="shared" si="1"/>
        <v>0</v>
      </c>
      <c r="H24" s="214"/>
      <c r="I24" s="215"/>
      <c r="J24" s="56"/>
      <c r="K24" s="207" t="str">
        <v>2M</v>
      </c>
      <c r="L24" s="120">
        <f t="shared" si="2"/>
        <v>0</v>
      </c>
      <c r="M24" s="302">
        <f t="shared" si="3"/>
        <v>-5.3290705182007498E-15</v>
      </c>
      <c r="N24" s="23">
        <f>IF(LEN(K24)&gt;0,(UsdMkt!$AK20-'reference set'!$I103)*100,"")</f>
        <v>0</v>
      </c>
      <c r="O24" s="22">
        <f t="shared" si="4"/>
        <v>0</v>
      </c>
      <c r="P24" s="16"/>
      <c r="Q24" s="207" t="str">
        <v>2M</v>
      </c>
      <c r="R24" s="302" t="e">
        <f t="shared" si="5"/>
        <v>#REF!</v>
      </c>
      <c r="S24" s="23">
        <f>IF(LEN(Q24)&gt;0,(UsdMkt!$AT20-'reference set'!$U103)*100,"")</f>
        <v>-4.7800000000000065</v>
      </c>
      <c r="T24" s="22">
        <f t="shared" si="6"/>
        <v>0</v>
      </c>
      <c r="U24" s="16"/>
      <c r="V24" s="207" t="str">
        <v>2M</v>
      </c>
      <c r="W24" s="120">
        <f t="shared" si="7"/>
        <v>-186.45474613915201</v>
      </c>
      <c r="X24" s="302">
        <f t="shared" si="8"/>
        <v>1243.688655610832</v>
      </c>
      <c r="Y24" s="23">
        <f>IF(LEN(V24)&gt;0,(UsdMkt!$BJ20-'reference set'!$AK103)*100,"")</f>
        <v>-0.55999999999999384</v>
      </c>
      <c r="Z24" s="22">
        <f t="shared" si="9"/>
        <v>-696.46564714205829</v>
      </c>
      <c r="AA24" s="16"/>
      <c r="AB24" s="207" t="str">
        <v>2M</v>
      </c>
      <c r="AC24" s="302">
        <f t="shared" si="10"/>
        <v>-70.582242328735205</v>
      </c>
      <c r="AD24" s="23">
        <f>IF(LEN(AB24)&gt;0,(UsdMkt!$BB20-'reference set'!$AC103)*100,"")</f>
        <v>0.25595090000001264</v>
      </c>
      <c r="AE24" s="22">
        <f t="shared" si="11"/>
        <v>-18.065588448058765</v>
      </c>
      <c r="AF24" s="16"/>
      <c r="AG24" s="207" t="str">
        <v>2M</v>
      </c>
      <c r="AH24" s="302">
        <f t="shared" si="12"/>
        <v>159.358126339812</v>
      </c>
      <c r="AI24" s="23">
        <f>IF(LEN(AG24)&gt;0,(UsdMkt!$BS20-'reference set'!$AS103)*100,"")</f>
        <v>-2.1400000000000086</v>
      </c>
      <c r="AJ24" s="22">
        <f t="shared" si="13"/>
        <v>-341.02639036719904</v>
      </c>
      <c r="AK24" s="33"/>
      <c r="AL24" s="25" t="str">
        <v>2M</v>
      </c>
      <c r="AM24" s="302">
        <f t="shared" si="14"/>
        <v>109.989141059196</v>
      </c>
      <c r="AN24" s="23">
        <f>(UsdMkt!CC20-'reference set'!BA103)*100</f>
        <v>0.50000000000000044</v>
      </c>
      <c r="AO24" s="22">
        <f t="shared" si="15"/>
        <v>54.99457052959805</v>
      </c>
      <c r="AP24" s="207" t="str">
        <v>2M</v>
      </c>
      <c r="AQ24" s="302">
        <f>BktUsdOisSens!L16</f>
        <v>109.989141059196</v>
      </c>
      <c r="AR24" s="208">
        <f>INDEX(BktUsdOisPL!PL_OIS_bckt,MATCH(B24,BktUsdOisPL!$F$9:$F$73,0))</f>
        <v>54.99457052959805</v>
      </c>
      <c r="AS24" s="16"/>
      <c r="AU24" s="401"/>
      <c r="AW24" s="401"/>
      <c r="AX24" s="401"/>
      <c r="AY24" s="401"/>
      <c r="AZ24" s="401"/>
      <c r="BA24" s="401"/>
    </row>
    <row r="25" spans="1:53" ht="15" customHeight="1">
      <c r="A25" s="207" t="str">
        <v>3M</v>
      </c>
      <c r="B25" s="163" t="str">
        <v>3M</v>
      </c>
      <c r="C25" s="163" t="str">
        <v>D</v>
      </c>
      <c r="D25" s="302">
        <f>IF(AND(Main!$G$22="Default"),VLOOKUP(B25,IRD,$D$3,FALSE),VLOOKUP(B25,IRD,$E$3,FALSE)+AQ25)</f>
        <v>-1498.3614490427799</v>
      </c>
      <c r="E25" s="210">
        <f t="shared" si="16"/>
        <v>-9938.1531634542462</v>
      </c>
      <c r="F25" s="213">
        <f t="shared" si="0"/>
        <v>-10937.499999990052</v>
      </c>
      <c r="G25" s="214">
        <f t="shared" si="1"/>
        <v>0</v>
      </c>
      <c r="H25" s="214"/>
      <c r="I25" s="215"/>
      <c r="J25" s="56"/>
      <c r="K25" s="207" t="str">
        <v>3M</v>
      </c>
      <c r="L25" s="120">
        <f t="shared" si="2"/>
        <v>0</v>
      </c>
      <c r="M25" s="302">
        <f t="shared" si="3"/>
        <v>4.66329806423149E-2</v>
      </c>
      <c r="N25" s="23">
        <f>IF(LEN(K25)&gt;0,(UsdMkt!$AK21-'reference set'!$I104)*100,"")</f>
        <v>0</v>
      </c>
      <c r="O25" s="22">
        <f t="shared" si="4"/>
        <v>0</v>
      </c>
      <c r="P25" s="16"/>
      <c r="Q25" s="207" t="str">
        <v>3M</v>
      </c>
      <c r="R25" s="302" t="e">
        <f t="shared" si="5"/>
        <v>#REF!</v>
      </c>
      <c r="S25" s="23">
        <f>IF(LEN(Q25)&gt;0,(UsdMkt!$AT21-'reference set'!$U104)*100,"")</f>
        <v>-4.269999999999996</v>
      </c>
      <c r="T25" s="22">
        <f t="shared" si="6"/>
        <v>0</v>
      </c>
      <c r="U25" s="16"/>
      <c r="V25" s="207" t="str">
        <v>3M</v>
      </c>
      <c r="W25" s="120">
        <f t="shared" si="7"/>
        <v>588.82420996390294</v>
      </c>
      <c r="X25" s="302">
        <f t="shared" si="8"/>
        <v>-1181.1052154702088</v>
      </c>
      <c r="Y25" s="23">
        <f>IF(LEN(V25)&gt;0,(UsdMkt!$BJ21-'reference set'!$AK104)*100,"")</f>
        <v>0</v>
      </c>
      <c r="Z25" s="22">
        <f t="shared" si="9"/>
        <v>0</v>
      </c>
      <c r="AA25" s="16"/>
      <c r="AB25" s="207" t="str">
        <v>3M</v>
      </c>
      <c r="AC25" s="302">
        <f t="shared" si="10"/>
        <v>44.1468141666886</v>
      </c>
      <c r="AD25" s="23">
        <f>IF(LEN(AB25)&gt;0,(UsdMkt!$BB21-'reference set'!$AC104)*100,"")</f>
        <v>0.49959210000001253</v>
      </c>
      <c r="AE25" s="22">
        <f t="shared" si="11"/>
        <v>22.055399597846261</v>
      </c>
      <c r="AF25" s="16"/>
      <c r="AG25" s="207" t="str">
        <v>3M</v>
      </c>
      <c r="AH25" s="302">
        <f t="shared" si="12"/>
        <v>-864.35111510907097</v>
      </c>
      <c r="AI25" s="23">
        <f>IF(LEN(AG25)&gt;0,(UsdMkt!$BS21-'reference set'!$AS104)*100,"")</f>
        <v>-1.1600000000000055</v>
      </c>
      <c r="AJ25" s="22">
        <f t="shared" si="13"/>
        <v>1002.6472935265271</v>
      </c>
      <c r="AK25" s="33"/>
      <c r="AL25" s="25" t="str">
        <v>3M</v>
      </c>
      <c r="AM25" s="302">
        <f t="shared" si="14"/>
        <v>-50.711713177132999</v>
      </c>
      <c r="AN25" s="23">
        <f>(UsdMkt!CC21-'reference set'!BA104)*100</f>
        <v>0.50000000000000044</v>
      </c>
      <c r="AO25" s="22">
        <f t="shared" si="15"/>
        <v>-25.355856588566521</v>
      </c>
      <c r="AP25" s="207" t="str">
        <v>3M</v>
      </c>
      <c r="AQ25" s="302">
        <f>BktUsdOisSens!L17</f>
        <v>-50.711713177132999</v>
      </c>
      <c r="AR25" s="208">
        <f>INDEX(BktUsdOisPL!PL_OIS_bckt,MATCH(B25,BktUsdOisPL!$F$9:$F$73,0))</f>
        <v>-25.355856588566521</v>
      </c>
      <c r="AS25" s="16"/>
      <c r="AU25" s="401"/>
      <c r="AW25" s="401"/>
      <c r="AX25" s="401"/>
      <c r="AY25" s="401"/>
      <c r="AZ25" s="401"/>
      <c r="BA25" s="401"/>
    </row>
    <row r="26" spans="1:53" ht="15" customHeight="1">
      <c r="A26" s="207" t="str">
        <v>4M</v>
      </c>
      <c r="B26" s="163" t="str">
        <v>4M</v>
      </c>
      <c r="C26" s="163" t="str">
        <v>D</v>
      </c>
      <c r="D26" s="302">
        <f>IF(AND(Main!$G$22="Default"),VLOOKUP(B26,IRD,$D$3,FALSE),VLOOKUP(B26,IRD,$E$3,FALSE)+AQ26)</f>
        <v>-4596.9736524248101</v>
      </c>
      <c r="E26" s="210">
        <f t="shared" si="16"/>
        <v>2394.3148220275712</v>
      </c>
      <c r="F26" s="213">
        <f t="shared" si="0"/>
        <v>0</v>
      </c>
      <c r="G26" s="214">
        <f t="shared" si="1"/>
        <v>0</v>
      </c>
      <c r="H26" s="214"/>
      <c r="I26" s="215"/>
      <c r="J26" s="56"/>
      <c r="K26" s="207" t="str">
        <v>4M</v>
      </c>
      <c r="L26" s="120">
        <f t="shared" si="2"/>
        <v>0</v>
      </c>
      <c r="M26" s="302">
        <f t="shared" si="3"/>
        <v>1.74220922187915E-3</v>
      </c>
      <c r="N26" s="23">
        <f>IF(LEN(K26)&gt;0,(UsdMkt!$AK22-'reference set'!$I105)*100,"")</f>
        <v>0.12712560000003315</v>
      </c>
      <c r="O26" s="22">
        <f t="shared" si="4"/>
        <v>2.2147939265697783E-4</v>
      </c>
      <c r="P26" s="16"/>
      <c r="Q26" s="207" t="str">
        <v>4M</v>
      </c>
      <c r="R26" s="302" t="e">
        <f t="shared" si="5"/>
        <v>#REF!</v>
      </c>
      <c r="S26" s="23">
        <f>IF(LEN(Q26)&gt;0,(UsdMkt!$AT22-'reference set'!$U105)*100,"")</f>
        <v>-3.9699999999999847</v>
      </c>
      <c r="T26" s="22">
        <f t="shared" si="6"/>
        <v>0</v>
      </c>
      <c r="U26" s="16"/>
      <c r="V26" s="207" t="str">
        <v>4M</v>
      </c>
      <c r="W26" s="120">
        <f t="shared" si="7"/>
        <v>-18469.124870050098</v>
      </c>
      <c r="X26" s="302">
        <f t="shared" si="8"/>
        <v>13308.835558617768</v>
      </c>
      <c r="Y26" s="23">
        <f>IF(LEN(V26)&gt;0,(UsdMkt!$BJ22-'reference set'!$AK105)*100,"")</f>
        <v>0.21565230000000213</v>
      </c>
      <c r="Z26" s="22">
        <f t="shared" si="9"/>
        <v>2870.0809985377346</v>
      </c>
      <c r="AA26" s="16"/>
      <c r="AB26" s="207" t="str">
        <v>4M</v>
      </c>
      <c r="AC26" s="302">
        <f t="shared" si="10"/>
        <v>-145.479720563673</v>
      </c>
      <c r="AD26" s="23">
        <f>IF(LEN(AB26)&gt;0,(UsdMkt!$BB22-'reference set'!$AC105)*100,"")</f>
        <v>0.49324139999999961</v>
      </c>
      <c r="AE26" s="22">
        <f t="shared" si="11"/>
        <v>-71.756621042434801</v>
      </c>
      <c r="AF26" s="16"/>
      <c r="AG26" s="207" t="str">
        <v>4M</v>
      </c>
      <c r="AH26" s="302">
        <f t="shared" si="12"/>
        <v>755.73309809310695</v>
      </c>
      <c r="AI26" s="23">
        <f>IF(LEN(AG26)&gt;0,(UsdMkt!$BS22-'reference set'!$AS105)*100,"")</f>
        <v>-0.60000000000000053</v>
      </c>
      <c r="AJ26" s="22">
        <f t="shared" si="13"/>
        <v>-453.43985885586454</v>
      </c>
      <c r="AK26" s="33"/>
      <c r="AL26" s="25" t="str">
        <v>4M</v>
      </c>
      <c r="AM26" s="302">
        <f t="shared" si="14"/>
        <v>123.575204771858</v>
      </c>
      <c r="AN26" s="23">
        <f>(UsdMkt!CC22-'reference set'!BA105)*100</f>
        <v>0.40000000000000036</v>
      </c>
      <c r="AO26" s="22">
        <f t="shared" si="15"/>
        <v>49.43008190874324</v>
      </c>
      <c r="AP26" s="207" t="str">
        <v>4M</v>
      </c>
      <c r="AQ26" s="302">
        <f>BktUsdOisSens!L18</f>
        <v>123.575204771858</v>
      </c>
      <c r="AR26" s="208">
        <f>INDEX(BktUsdOisPL!PL_OIS_bckt,MATCH(B26,BktUsdOisPL!$F$9:$F$73,0))</f>
        <v>49.43008190874324</v>
      </c>
      <c r="AS26" s="16"/>
      <c r="AU26" s="401"/>
      <c r="AW26" s="401"/>
      <c r="AX26" s="401"/>
      <c r="AY26" s="401"/>
      <c r="AZ26" s="401"/>
      <c r="BA26" s="401"/>
    </row>
    <row r="27" spans="1:53" ht="15" customHeight="1">
      <c r="A27" s="207" t="str">
        <v>5M</v>
      </c>
      <c r="B27" s="163" t="str">
        <v>5M</v>
      </c>
      <c r="C27" s="163" t="str">
        <v>D</v>
      </c>
      <c r="D27" s="302">
        <f>IF(AND(Main!$G$22="Default"),VLOOKUP(B27,IRD,$D$3,FALSE),VLOOKUP(B27,IRD,$E$3,FALSE)+AQ27)</f>
        <v>7139.3618408487901</v>
      </c>
      <c r="E27" s="210">
        <f t="shared" si="16"/>
        <v>1436.6429492403629</v>
      </c>
      <c r="F27" s="213">
        <f t="shared" si="0"/>
        <v>0</v>
      </c>
      <c r="G27" s="214">
        <f t="shared" si="1"/>
        <v>0</v>
      </c>
      <c r="H27" s="214"/>
      <c r="I27" s="215"/>
      <c r="J27" s="56"/>
      <c r="K27" s="207" t="str">
        <v>5M</v>
      </c>
      <c r="L27" s="120">
        <f t="shared" si="2"/>
        <v>0</v>
      </c>
      <c r="M27" s="302">
        <f t="shared" si="3"/>
        <v>-1.9966250874858799E-12</v>
      </c>
      <c r="N27" s="23">
        <f>IF(LEN(K27)&gt;0,(UsdMkt!$AK23-'reference set'!$I106)*100,"")</f>
        <v>1.0851076999999876</v>
      </c>
      <c r="O27" s="22">
        <f t="shared" si="4"/>
        <v>-2.1665532564440772E-12</v>
      </c>
      <c r="P27" s="16"/>
      <c r="Q27" s="207" t="str">
        <v>5M</v>
      </c>
      <c r="R27" s="302" t="e">
        <f t="shared" si="5"/>
        <v>#REF!</v>
      </c>
      <c r="S27" s="23">
        <f>IF(LEN(Q27)&gt;0,(UsdMkt!$AT23-'reference set'!$U106)*100,"")</f>
        <v>-3.3499999999999863</v>
      </c>
      <c r="T27" s="22">
        <f t="shared" si="6"/>
        <v>0</v>
      </c>
      <c r="U27" s="16"/>
      <c r="V27" s="207" t="str">
        <v>5M</v>
      </c>
      <c r="W27" s="120">
        <f t="shared" si="7"/>
        <v>125.344304979874</v>
      </c>
      <c r="X27" s="302">
        <f t="shared" si="8"/>
        <v>7432.4975287850757</v>
      </c>
      <c r="Y27" s="23">
        <f>IF(LEN(V27)&gt;0,(UsdMkt!$BJ23-'reference set'!$AK106)*100,"")</f>
        <v>0.20080130000000862</v>
      </c>
      <c r="Z27" s="22">
        <f t="shared" si="9"/>
        <v>1492.4551660268946</v>
      </c>
      <c r="AA27" s="16"/>
      <c r="AB27" s="207" t="str">
        <v>5M</v>
      </c>
      <c r="AC27" s="302">
        <f t="shared" si="10"/>
        <v>9.736470779103E-2</v>
      </c>
      <c r="AD27" s="23">
        <f>IF(LEN(AB27)&gt;0,(UsdMkt!$BB23-'reference set'!$AC106)*100,"")</f>
        <v>0.55697670000001143</v>
      </c>
      <c r="AE27" s="22">
        <f t="shared" si="11"/>
        <v>5.4229873641913291E-2</v>
      </c>
      <c r="AF27" s="16"/>
      <c r="AG27" s="207" t="str">
        <v>5M</v>
      </c>
      <c r="AH27" s="302">
        <f t="shared" si="12"/>
        <v>-128.82973387228799</v>
      </c>
      <c r="AI27" s="23">
        <f>IF(LEN(AG27)&gt;0,(UsdMkt!$BS23-'reference set'!$AS106)*100,"")</f>
        <v>-0.11999999999998678</v>
      </c>
      <c r="AJ27" s="22">
        <f t="shared" si="13"/>
        <v>15.459568064672856</v>
      </c>
      <c r="AK27" s="33"/>
      <c r="AL27" s="25" t="str">
        <v>5M</v>
      </c>
      <c r="AM27" s="302">
        <f t="shared" si="14"/>
        <v>-178.31503681210501</v>
      </c>
      <c r="AN27" s="23">
        <f>(UsdMkt!CC23-'reference set'!BA106)*100</f>
        <v>0.40000000000001146</v>
      </c>
      <c r="AO27" s="22">
        <f t="shared" si="15"/>
        <v>-71.326014724844043</v>
      </c>
      <c r="AP27" s="207" t="str">
        <v>5M</v>
      </c>
      <c r="AQ27" s="302">
        <f>BktUsdOisSens!L19</f>
        <v>-178.31503681210501</v>
      </c>
      <c r="AR27" s="208">
        <f>INDEX(BktUsdOisPL!PL_OIS_bckt,MATCH(B27,BktUsdOisPL!$F$9:$F$73,0))</f>
        <v>-71.326014724844043</v>
      </c>
      <c r="AS27" s="16"/>
      <c r="AU27" s="401"/>
      <c r="AW27" s="401"/>
      <c r="AX27" s="401"/>
      <c r="AY27" s="401"/>
      <c r="AZ27" s="401"/>
      <c r="BA27" s="401"/>
    </row>
    <row r="28" spans="1:53" ht="15" customHeight="1">
      <c r="A28" s="207" t="str">
        <v>6M</v>
      </c>
      <c r="B28" s="163" t="str">
        <v>6M</v>
      </c>
      <c r="C28" s="163" t="str">
        <v>D</v>
      </c>
      <c r="D28" s="302">
        <f>IF(AND(Main!$G$22="Default"),VLOOKUP(B28,IRD,$D$3,FALSE),VLOOKUP(B28,IRD,$E$3,FALSE)+AQ28)</f>
        <v>12921.0696811826</v>
      </c>
      <c r="E28" s="210">
        <f t="shared" si="16"/>
        <v>1929.081204971503</v>
      </c>
      <c r="F28" s="213">
        <f t="shared" si="0"/>
        <v>-1056.2499999990393</v>
      </c>
      <c r="G28" s="214">
        <f t="shared" si="1"/>
        <v>0</v>
      </c>
      <c r="H28" s="214"/>
      <c r="I28" s="215"/>
      <c r="J28" s="56"/>
      <c r="K28" s="207" t="str">
        <v>6M</v>
      </c>
      <c r="L28" s="120">
        <f t="shared" si="2"/>
        <v>0</v>
      </c>
      <c r="M28" s="302">
        <f t="shared" si="3"/>
        <v>9.5604028965876595E-2</v>
      </c>
      <c r="N28" s="23">
        <f>IF(LEN(K28)&gt;0,(UsdMkt!$AK24-'reference set'!$I107)*100,"")</f>
        <v>0</v>
      </c>
      <c r="O28" s="22">
        <f t="shared" si="4"/>
        <v>0</v>
      </c>
      <c r="P28" s="16"/>
      <c r="Q28" s="207" t="str">
        <v>6M</v>
      </c>
      <c r="R28" s="302" t="e">
        <f t="shared" si="5"/>
        <v>#REF!</v>
      </c>
      <c r="S28" s="23">
        <f>IF(LEN(Q28)&gt;0,(UsdMkt!$AT24-'reference set'!$U107)*100,"")</f>
        <v>-3.2699999999999951</v>
      </c>
      <c r="T28" s="22">
        <f t="shared" si="6"/>
        <v>0</v>
      </c>
      <c r="U28" s="16"/>
      <c r="V28" s="207" t="str">
        <v>6M</v>
      </c>
      <c r="W28" s="120">
        <f t="shared" si="7"/>
        <v>-1444.4023835396099</v>
      </c>
      <c r="X28" s="302">
        <f t="shared" si="8"/>
        <v>14610.04938844461</v>
      </c>
      <c r="Y28" s="23">
        <f>IF(LEN(V28)&gt;0,(UsdMkt!$BJ24-'reference set'!$AK107)*100,"")</f>
        <v>0.19938550000000443</v>
      </c>
      <c r="Z28" s="22">
        <f t="shared" si="9"/>
        <v>2913.0320023397876</v>
      </c>
      <c r="AA28" s="16"/>
      <c r="AB28" s="207" t="str">
        <v>6M</v>
      </c>
      <c r="AC28" s="302">
        <f t="shared" si="10"/>
        <v>-64.677389554026803</v>
      </c>
      <c r="AD28" s="23">
        <f>IF(LEN(AB28)&gt;0,(UsdMkt!$BB24-'reference set'!$AC107)*100,"")</f>
        <v>0.39995970000000769</v>
      </c>
      <c r="AE28" s="22">
        <f t="shared" si="11"/>
        <v>-25.86834932281219</v>
      </c>
      <c r="AF28" s="16"/>
      <c r="AG28" s="207" t="str">
        <v>6M</v>
      </c>
      <c r="AH28" s="302">
        <f t="shared" si="12"/>
        <v>-330.58609692341599</v>
      </c>
      <c r="AI28" s="23">
        <f>IF(LEN(AG28)&gt;0,(UsdMkt!$BS24-'reference set'!$AS107)*100,"")</f>
        <v>2.2204460492503131E-14</v>
      </c>
      <c r="AJ28" s="22">
        <f t="shared" si="13"/>
        <v>-7.3404859285068007E-12</v>
      </c>
      <c r="AK28" s="33"/>
      <c r="AL28" s="25" t="str">
        <v>6M</v>
      </c>
      <c r="AM28" s="302">
        <f t="shared" si="14"/>
        <v>145.3971358073</v>
      </c>
      <c r="AN28" s="23">
        <f>(UsdMkt!CC24-'reference set'!BA107)*100</f>
        <v>0.30000000000000027</v>
      </c>
      <c r="AO28" s="22">
        <f t="shared" si="15"/>
        <v>43.619140742190041</v>
      </c>
      <c r="AP28" s="207" t="str">
        <v>6M</v>
      </c>
      <c r="AQ28" s="302">
        <f>BktUsdOisSens!L20</f>
        <v>327.2251731785808</v>
      </c>
      <c r="AR28" s="208">
        <f>INDEX(BktUsdOisPL!PL_OIS_bckt,MATCH(B28,BktUsdOisPL!$F$9:$F$73,0))</f>
        <v>98.167551953574346</v>
      </c>
      <c r="AS28" s="16"/>
      <c r="AU28" s="401"/>
      <c r="AW28" s="401"/>
      <c r="AX28" s="401"/>
      <c r="AY28" s="401"/>
      <c r="AZ28" s="401"/>
      <c r="BA28" s="401"/>
    </row>
    <row r="29" spans="1:53" ht="15" customHeight="1">
      <c r="A29" s="207" t="str">
        <v>#20170621</v>
      </c>
      <c r="B29" s="163" t="str">
        <v>21/06/17</v>
      </c>
      <c r="C29" s="163" t="str">
        <v>S</v>
      </c>
      <c r="D29" s="302">
        <f>IF(AND(Main!$G$22="Default"),VLOOKUP(B29,IRD,$D$3,FALSE),VLOOKUP(B29,IRD,$E$3,FALSE)+AQ29)</f>
        <v>-6437.1852666269397</v>
      </c>
      <c r="E29" s="210">
        <f t="shared" si="16"/>
        <v>-1833.7066676225761</v>
      </c>
      <c r="F29" s="213">
        <f t="shared" si="0"/>
        <v>0</v>
      </c>
      <c r="G29" s="214">
        <f t="shared" si="1"/>
        <v>0</v>
      </c>
      <c r="H29" s="214"/>
      <c r="I29" s="215"/>
      <c r="J29" s="56"/>
      <c r="K29" s="207" t="str">
        <v>#20170621</v>
      </c>
      <c r="L29" s="120">
        <f t="shared" si="2"/>
        <v>0</v>
      </c>
      <c r="M29" s="302">
        <f t="shared" si="3"/>
        <v>47.095345472463201</v>
      </c>
      <c r="N29" s="23">
        <f>IF(LEN(K29)&gt;0,(UsdMkt!$AK25-'reference set'!$I108)*100,"")</f>
        <v>-2.9371899999985907E-2</v>
      </c>
      <c r="O29" s="22">
        <f t="shared" si="4"/>
        <v>-1.3832797776819781</v>
      </c>
      <c r="P29" s="16"/>
      <c r="Q29" s="207" t="str">
        <v>#20170621</v>
      </c>
      <c r="R29" s="302" t="e">
        <f t="shared" si="5"/>
        <v>#REF!</v>
      </c>
      <c r="S29" s="23">
        <f>IF(LEN(Q29)&gt;0,(UsdMkt!$AT25-'reference set'!$U108)*100,"")</f>
        <v>-2.8063909999999748</v>
      </c>
      <c r="T29" s="22">
        <f t="shared" si="6"/>
        <v>0</v>
      </c>
      <c r="U29" s="16"/>
      <c r="V29" s="207" t="str">
        <v>#20170621</v>
      </c>
      <c r="W29" s="120">
        <f t="shared" si="7"/>
        <v>-8150.6584265012398</v>
      </c>
      <c r="X29" s="302">
        <f t="shared" si="8"/>
        <v>3882.8903887374599</v>
      </c>
      <c r="Y29" s="23">
        <f>IF(LEN(V29)&gt;0,(UsdMkt!$BJ25-'reference set'!$AK108)*100,"")</f>
        <v>0.35459730000000356</v>
      </c>
      <c r="Z29" s="22">
        <f t="shared" si="9"/>
        <v>1376.8624480422675</v>
      </c>
      <c r="AA29" s="16"/>
      <c r="AB29" s="207" t="str">
        <v>#20170621</v>
      </c>
      <c r="AC29" s="302">
        <f t="shared" si="10"/>
        <v>-691.75250529121001</v>
      </c>
      <c r="AD29" s="23">
        <f>IF(LEN(AB29)&gt;0,(UsdMkt!$BB25-'reference set'!$AC108)*100,"")</f>
        <v>0.38382740000000304</v>
      </c>
      <c r="AE29" s="22">
        <f t="shared" si="11"/>
        <v>-265.5135655494135</v>
      </c>
      <c r="AF29" s="16"/>
      <c r="AG29" s="207" t="str">
        <v>#20170621</v>
      </c>
      <c r="AH29" s="302">
        <f t="shared" si="12"/>
        <v>-1272.5714353685501</v>
      </c>
      <c r="AI29" s="23">
        <f>IF(LEN(AG29)&gt;0,(UsdMkt!$BS25-'reference set'!$AS108)*100,"")</f>
        <v>-9.5221500000008952E-2</v>
      </c>
      <c r="AJ29" s="22">
        <f t="shared" si="13"/>
        <v>121.17616093295779</v>
      </c>
      <c r="AK29" s="33"/>
      <c r="AL29" s="25" t="str">
        <v>7M</v>
      </c>
      <c r="AM29" s="302">
        <f t="shared" si="14"/>
        <v>391.629618953528</v>
      </c>
      <c r="AN29" s="23">
        <f>(UsdMkt!CC25-'reference set'!BA108)*100</f>
        <v>0.30000000000000027</v>
      </c>
      <c r="AO29" s="22">
        <f t="shared" si="15"/>
        <v>117.48888568605851</v>
      </c>
      <c r="AP29" s="207" t="str">
        <v>#20170621</v>
      </c>
      <c r="AQ29" s="302">
        <f>BktUsdOisSens!L21</f>
        <v>-2555.3433153929609</v>
      </c>
      <c r="AR29" s="208">
        <f>INDEX(BktUsdOisPL!PL_OIS_bckt,MATCH(B29,BktUsdOisPL!$F$9:$F$73,0))</f>
        <v>-3064.848431270706</v>
      </c>
      <c r="AS29" s="16"/>
      <c r="AU29" s="401"/>
      <c r="AW29" s="401"/>
      <c r="AX29" s="401"/>
      <c r="AY29" s="401"/>
      <c r="AZ29" s="401"/>
      <c r="BA29" s="401"/>
    </row>
    <row r="30" spans="1:53" ht="15" customHeight="1">
      <c r="A30" s="207">
        <v>42907</v>
      </c>
      <c r="B30" s="163" t="str">
        <v>JUN 17</v>
      </c>
      <c r="C30" s="163" t="str">
        <v>F</v>
      </c>
      <c r="D30" s="302">
        <f>IF(AND(Main!$G$22="Default"),VLOOKUP(B30,IRD,$D$3,FALSE),VLOOKUP(B30,IRD,$E$3,FALSE)+AQ30)</f>
        <v>1765.80549154038</v>
      </c>
      <c r="E30" s="210">
        <f t="shared" si="16"/>
        <v>-156.41391141116219</v>
      </c>
      <c r="F30" s="213">
        <f t="shared" si="0"/>
        <v>-14093.749999987182</v>
      </c>
      <c r="G30" s="214">
        <f t="shared" si="1"/>
        <v>0</v>
      </c>
      <c r="H30" s="214"/>
      <c r="I30" s="215"/>
      <c r="J30" s="56"/>
      <c r="K30" s="207">
        <v>42907</v>
      </c>
      <c r="L30" s="120">
        <f t="shared" si="2"/>
        <v>0</v>
      </c>
      <c r="M30" s="302">
        <f t="shared" si="3"/>
        <v>20.374539392038301</v>
      </c>
      <c r="N30" s="23">
        <f>IF(LEN(K30)&gt;0,(UsdMkt!$AK26-'reference set'!$I109)*100,"")</f>
        <v>1.2499999999988631</v>
      </c>
      <c r="O30" s="22">
        <f t="shared" si="4"/>
        <v>25.468174240024712</v>
      </c>
      <c r="P30" s="16"/>
      <c r="Q30" s="207">
        <v>42907</v>
      </c>
      <c r="R30" s="302" t="e">
        <f t="shared" si="5"/>
        <v>#REF!</v>
      </c>
      <c r="S30" s="23">
        <f>IF(LEN(Q30)&gt;0,(UsdMkt!$AT26-'reference set'!$U109)*100,"")</f>
        <v>1.7017506999991383</v>
      </c>
      <c r="T30" s="22">
        <f t="shared" si="6"/>
        <v>0</v>
      </c>
      <c r="U30" s="16"/>
      <c r="V30" s="207">
        <v>42907</v>
      </c>
      <c r="W30" s="120">
        <f t="shared" si="7"/>
        <v>-11191.6283258108</v>
      </c>
      <c r="X30" s="302">
        <f t="shared" si="8"/>
        <v>15107.33566575216</v>
      </c>
      <c r="Y30" s="23">
        <f>IF(LEN(V30)&gt;0,(UsdMkt!$BJ26-'reference set'!$AK109)*100,"")</f>
        <v>0.99005139999945868</v>
      </c>
      <c r="Z30" s="22">
        <f t="shared" si="9"/>
        <v>14957.03882613968</v>
      </c>
      <c r="AA30" s="16"/>
      <c r="AB30" s="207">
        <v>42907</v>
      </c>
      <c r="AC30" s="302">
        <f t="shared" si="10"/>
        <v>-222.94205376614201</v>
      </c>
      <c r="AD30" s="23">
        <f>IF(LEN(AB30)&gt;0,(UsdMkt!$BB26-'reference set'!$AC109)*100,"")</f>
        <v>0.78397999999992862</v>
      </c>
      <c r="AE30" s="22">
        <f t="shared" si="11"/>
        <v>-174.78211131156411</v>
      </c>
      <c r="AF30" s="16"/>
      <c r="AG30" s="207">
        <v>42907</v>
      </c>
      <c r="AH30" s="302">
        <f t="shared" si="12"/>
        <v>288.656128997189</v>
      </c>
      <c r="AI30" s="23">
        <f>IF(LEN(AG30)&gt;0,(UsdMkt!$BS26-'reference set'!$AS109)*100,"")</f>
        <v>0.84339089999900807</v>
      </c>
      <c r="AJ30" s="22">
        <f t="shared" si="13"/>
        <v>243.44995242516902</v>
      </c>
      <c r="AK30" s="33"/>
      <c r="AL30" s="25" t="str">
        <v>8M</v>
      </c>
      <c r="AM30" s="302">
        <f t="shared" si="14"/>
        <v>-268.06871089390802</v>
      </c>
      <c r="AN30" s="23">
        <f>(UsdMkt!CC26-'reference set'!BA109)*100</f>
        <v>0.60000000000000053</v>
      </c>
      <c r="AO30" s="22">
        <f t="shared" si="15"/>
        <v>-160.84122653634495</v>
      </c>
      <c r="AP30" s="207">
        <v>42907</v>
      </c>
      <c r="AQ30" s="302">
        <f>BktUsdOisSens!L22</f>
        <v>-869.07617494197689</v>
      </c>
      <c r="AR30" s="208">
        <f>INDEX(BktUsdOisPL!PL_OIS_bckt,MATCH(B30,BktUsdOisPL!$F$9:$F$73,0))</f>
        <v>-1113.8387529172905</v>
      </c>
      <c r="AS30" s="16"/>
      <c r="AU30" s="401"/>
      <c r="AW30" s="401"/>
      <c r="AX30" s="401"/>
      <c r="AY30" s="401"/>
      <c r="AZ30" s="401"/>
      <c r="BA30" s="401"/>
    </row>
    <row r="31" spans="1:53" ht="15" customHeight="1">
      <c r="A31" s="207">
        <v>42998</v>
      </c>
      <c r="B31" s="163" t="str">
        <v>SEP 17</v>
      </c>
      <c r="C31" s="163" t="str">
        <v>F</v>
      </c>
      <c r="D31" s="302">
        <f>IF(AND(Main!$G$22="Default"),VLOOKUP(B31,IRD,$D$3,FALSE),VLOOKUP(B31,IRD,$E$3,FALSE)+AQ31)</f>
        <v>858.83031210090201</v>
      </c>
      <c r="E31" s="210">
        <f t="shared" si="16"/>
        <v>5080.9482549317645</v>
      </c>
      <c r="F31" s="213">
        <f t="shared" si="0"/>
        <v>-4374.9999999995734</v>
      </c>
      <c r="G31" s="214">
        <f t="shared" si="1"/>
        <v>0</v>
      </c>
      <c r="H31" s="214"/>
      <c r="I31" s="215"/>
      <c r="J31" s="56"/>
      <c r="K31" s="207">
        <v>42998</v>
      </c>
      <c r="L31" s="120">
        <f t="shared" si="2"/>
        <v>0</v>
      </c>
      <c r="M31" s="302">
        <f t="shared" si="3"/>
        <v>15.035504821966301</v>
      </c>
      <c r="N31" s="23">
        <f>IF(LEN(K31)&gt;0,(UsdMkt!$AK27-'reference set'!$I110)*100,"")</f>
        <v>1.7499999999998295</v>
      </c>
      <c r="O31" s="22">
        <f t="shared" si="4"/>
        <v>26.312133438438462</v>
      </c>
      <c r="P31" s="16"/>
      <c r="Q31" s="207">
        <v>42998</v>
      </c>
      <c r="R31" s="302" t="e">
        <f t="shared" si="5"/>
        <v>#REF!</v>
      </c>
      <c r="S31" s="23">
        <f>IF(LEN(Q31)&gt;0,(UsdMkt!$AT27-'reference set'!$U110)*100,"")</f>
        <v>6.4826850999992303</v>
      </c>
      <c r="T31" s="22">
        <f t="shared" si="6"/>
        <v>0</v>
      </c>
      <c r="U31" s="16"/>
      <c r="V31" s="207">
        <v>42998</v>
      </c>
      <c r="W31" s="120">
        <f t="shared" si="7"/>
        <v>-2500.0302125205499</v>
      </c>
      <c r="X31" s="302">
        <f t="shared" si="8"/>
        <v>4608.2756694121499</v>
      </c>
      <c r="Y31" s="23">
        <f>IF(LEN(V31)&gt;0,(UsdMkt!$BJ27-'reference set'!$AK110)*100,"")</f>
        <v>1.9823974999994221</v>
      </c>
      <c r="Z31" s="22">
        <f t="shared" si="9"/>
        <v>9135.4341663508094</v>
      </c>
      <c r="AA31" s="16"/>
      <c r="AB31" s="207">
        <v>42998</v>
      </c>
      <c r="AC31" s="302">
        <f t="shared" si="10"/>
        <v>-101.61432622309</v>
      </c>
      <c r="AD31" s="23">
        <f>IF(LEN(AB31)&gt;0,(UsdMkt!$BB27-'reference set'!$AC110)*100,"")</f>
        <v>1.824332999999001</v>
      </c>
      <c r="AE31" s="22">
        <f t="shared" si="11"/>
        <v>-185.37836860144694</v>
      </c>
      <c r="AF31" s="16"/>
      <c r="AG31" s="207">
        <v>42998</v>
      </c>
      <c r="AH31" s="302">
        <f t="shared" si="12"/>
        <v>537.25217623527703</v>
      </c>
      <c r="AI31" s="23">
        <f>IF(LEN(AG31)&gt;0,(UsdMkt!$BS27-'reference set'!$AS110)*100,"")</f>
        <v>2.5350568000007456</v>
      </c>
      <c r="AJ31" s="22">
        <f t="shared" si="13"/>
        <v>1361.964782680438</v>
      </c>
      <c r="AK31" s="33"/>
      <c r="AL31" s="25" t="str">
        <v>9M</v>
      </c>
      <c r="AM31" s="302">
        <f t="shared" si="14"/>
        <v>-632.18982752819397</v>
      </c>
      <c r="AN31" s="23">
        <f>(UsdMkt!CC27-'reference set'!BA110)*100</f>
        <v>0.40000000000000036</v>
      </c>
      <c r="AO31" s="22">
        <f t="shared" si="15"/>
        <v>-252.87593101127783</v>
      </c>
      <c r="AP31" s="207">
        <v>42998</v>
      </c>
      <c r="AQ31" s="302">
        <f>BktUsdOisSens!L23</f>
        <v>-505.76660232954214</v>
      </c>
      <c r="AR31" s="208">
        <f>INDEX(BktUsdOisPL!PL_OIS_bckt,MATCH(B31,BktUsdOisPL!$F$9:$F$73,0))</f>
        <v>-882.38445893690005</v>
      </c>
      <c r="AS31" s="16"/>
      <c r="AU31" s="401"/>
      <c r="AW31" s="401"/>
      <c r="AX31" s="401"/>
      <c r="AY31" s="401"/>
      <c r="AZ31" s="401"/>
      <c r="BA31" s="401"/>
    </row>
    <row r="32" spans="1:53" ht="15" customHeight="1">
      <c r="A32" s="207">
        <v>43089</v>
      </c>
      <c r="B32" s="163" t="str">
        <v>DEC 17</v>
      </c>
      <c r="C32" s="163" t="str">
        <v>F</v>
      </c>
      <c r="D32" s="302">
        <f>IF(AND(Main!$G$22="Default"),VLOOKUP(B32,IRD,$D$3,FALSE),VLOOKUP(B32,IRD,$E$3,FALSE)+AQ32)</f>
        <v>-4410.92923314377</v>
      </c>
      <c r="E32" s="210">
        <f t="shared" si="16"/>
        <v>1373.1852013046014</v>
      </c>
      <c r="F32" s="213">
        <f t="shared" si="0"/>
        <v>2812.500000000995</v>
      </c>
      <c r="G32" s="214">
        <f t="shared" si="1"/>
        <v>0</v>
      </c>
      <c r="H32" s="214"/>
      <c r="I32" s="215"/>
      <c r="J32" s="56"/>
      <c r="K32" s="207">
        <v>43089</v>
      </c>
      <c r="L32" s="120">
        <f t="shared" si="2"/>
        <v>0</v>
      </c>
      <c r="M32" s="302">
        <f t="shared" si="3"/>
        <v>4.90612759662472</v>
      </c>
      <c r="N32" s="23">
        <f>IF(LEN(K32)&gt;0,(UsdMkt!$AK28-'reference set'!$I111)*100,"")</f>
        <v>2.2500000000007958</v>
      </c>
      <c r="O32" s="22">
        <f t="shared" si="4"/>
        <v>11.038787092409525</v>
      </c>
      <c r="P32" s="16"/>
      <c r="Q32" s="207">
        <v>43089</v>
      </c>
      <c r="R32" s="302" t="e">
        <f t="shared" si="5"/>
        <v>#REF!</v>
      </c>
      <c r="S32" s="23">
        <f>IF(LEN(Q32)&gt;0,(UsdMkt!$AT28-'reference set'!$U111)*100,"")</f>
        <v>-0.94746369999967328</v>
      </c>
      <c r="T32" s="22">
        <f t="shared" si="6"/>
        <v>0</v>
      </c>
      <c r="U32" s="16"/>
      <c r="V32" s="207">
        <v>43089</v>
      </c>
      <c r="W32" s="120">
        <f t="shared" si="7"/>
        <v>1250.0186789084701</v>
      </c>
      <c r="X32" s="302">
        <f t="shared" si="8"/>
        <v>-712.25179640510203</v>
      </c>
      <c r="Y32" s="23">
        <f>IF(LEN(V32)&gt;0,(UsdMkt!$BJ28-'reference set'!$AK111)*100,"")</f>
        <v>1.972834699999737</v>
      </c>
      <c r="Z32" s="22">
        <f t="shared" si="9"/>
        <v>-1405.1550590851332</v>
      </c>
      <c r="AA32" s="16"/>
      <c r="AB32" s="207">
        <v>43089</v>
      </c>
      <c r="AC32" s="302">
        <f t="shared" si="10"/>
        <v>-20.428815845142601</v>
      </c>
      <c r="AD32" s="23">
        <f>IF(LEN(AB32)&gt;0,(UsdMkt!$BB28-'reference set'!$AC111)*100,"")</f>
        <v>2.3468311000002018</v>
      </c>
      <c r="AE32" s="22">
        <f t="shared" si="11"/>
        <v>-47.942980361557566</v>
      </c>
      <c r="AF32" s="16"/>
      <c r="AG32" s="207">
        <v>43089</v>
      </c>
      <c r="AH32" s="302">
        <f t="shared" si="12"/>
        <v>557.64060378017405</v>
      </c>
      <c r="AI32" s="23">
        <f>IF(LEN(AG32)&gt;0,(UsdMkt!$BS28-'reference set'!$AS111)*100,"")</f>
        <v>1.4172007999988523</v>
      </c>
      <c r="AJ32" s="22">
        <f t="shared" si="13"/>
        <v>790.28870978910572</v>
      </c>
      <c r="AK32" s="33"/>
      <c r="AL32" s="25" t="str">
        <v>10M</v>
      </c>
      <c r="AM32" s="302">
        <f t="shared" si="14"/>
        <v>341.26432876459802</v>
      </c>
      <c r="AN32" s="23">
        <f>(UsdMkt!CC28-'reference set'!BA111)*100</f>
        <v>0.50000000000000044</v>
      </c>
      <c r="AO32" s="22">
        <f t="shared" si="15"/>
        <v>170.63216438229915</v>
      </c>
      <c r="AP32" s="207">
        <v>43089</v>
      </c>
      <c r="AQ32" s="302">
        <f>BktUsdOisSens!L24</f>
        <v>-403.98299514484552</v>
      </c>
      <c r="AR32" s="208">
        <f>INDEX(BktUsdOisPL!PL_OIS_bckt,MATCH(B32,BktUsdOisPL!$F$9:$F$73,0))</f>
        <v>-787.54425613121794</v>
      </c>
      <c r="AS32" s="16"/>
      <c r="AU32" s="401"/>
      <c r="AW32" s="401"/>
      <c r="AX32" s="401"/>
      <c r="AY32" s="401"/>
      <c r="AZ32" s="401"/>
      <c r="BA32" s="401"/>
    </row>
    <row r="33" spans="1:53" ht="15" customHeight="1">
      <c r="A33" s="207">
        <v>43180</v>
      </c>
      <c r="B33" s="163" t="str">
        <v>MAR 18</v>
      </c>
      <c r="C33" s="163" t="str">
        <v>F</v>
      </c>
      <c r="D33" s="302">
        <f>IF(AND(Main!$G$22="Default"),VLOOKUP(B33,IRD,$D$3,FALSE),VLOOKUP(B33,IRD,$E$3,FALSE)+AQ33)</f>
        <v>199.36218066918701</v>
      </c>
      <c r="E33" s="210">
        <f t="shared" si="16"/>
        <v>4434.6015897037923</v>
      </c>
      <c r="F33" s="213">
        <f t="shared" si="0"/>
        <v>17256.249999993226</v>
      </c>
      <c r="G33" s="214">
        <f t="shared" si="1"/>
        <v>0</v>
      </c>
      <c r="H33" s="214"/>
      <c r="I33" s="215"/>
      <c r="J33" s="56"/>
      <c r="K33" s="207">
        <v>43180</v>
      </c>
      <c r="L33" s="120">
        <f t="shared" si="2"/>
        <v>0</v>
      </c>
      <c r="M33" s="302">
        <f t="shared" si="3"/>
        <v>4.9763054797186701</v>
      </c>
      <c r="N33" s="23">
        <f>IF(LEN(K33)&gt;0,(UsdMkt!$AK29-'reference set'!$I112)*100,"")</f>
        <v>2.74999999999892</v>
      </c>
      <c r="O33" s="22">
        <f t="shared" si="4"/>
        <v>13.684840069220968</v>
      </c>
      <c r="P33" s="16"/>
      <c r="Q33" s="207">
        <v>43180</v>
      </c>
      <c r="R33" s="302" t="e">
        <f t="shared" si="5"/>
        <v>#REF!</v>
      </c>
      <c r="S33" s="23">
        <f>IF(LEN(Q33)&gt;0,(UsdMkt!$AT29-'reference set'!$U112)*100,"")</f>
        <v>2.2615238999989629</v>
      </c>
      <c r="T33" s="22">
        <f t="shared" si="6"/>
        <v>0</v>
      </c>
      <c r="U33" s="16"/>
      <c r="V33" s="207">
        <v>43180</v>
      </c>
      <c r="W33" s="120">
        <f t="shared" si="7"/>
        <v>6275.03948193012</v>
      </c>
      <c r="X33" s="302">
        <f t="shared" si="8"/>
        <v>-5327.1135832563614</v>
      </c>
      <c r="Y33" s="23">
        <f>IF(LEN(V33)&gt;0,(UsdMkt!$BJ29-'reference set'!$AK112)*100,"")</f>
        <v>2.9610403999981827</v>
      </c>
      <c r="Z33" s="22">
        <f t="shared" si="9"/>
        <v>-15773.798535401169</v>
      </c>
      <c r="AA33" s="16"/>
      <c r="AB33" s="207">
        <v>43180</v>
      </c>
      <c r="AC33" s="302">
        <f t="shared" si="10"/>
        <v>-28.319034126441299</v>
      </c>
      <c r="AD33" s="23">
        <f>IF(LEN(AB33)&gt;0,(UsdMkt!$BB29-'reference set'!$AC112)*100,"")</f>
        <v>2.8436127999981409</v>
      </c>
      <c r="AE33" s="22">
        <f t="shared" si="11"/>
        <v>-80.528367925532649</v>
      </c>
      <c r="AF33" s="16"/>
      <c r="AG33" s="207">
        <v>43180</v>
      </c>
      <c r="AH33" s="302">
        <f t="shared" si="12"/>
        <v>702.37638346556605</v>
      </c>
      <c r="AI33" s="23">
        <f>IF(LEN(AG33)&gt;0,(UsdMkt!$BS29-'reference set'!$AS112)*100,"")</f>
        <v>3.4667335999998272</v>
      </c>
      <c r="AJ33" s="22">
        <f t="shared" si="13"/>
        <v>2434.9518084064407</v>
      </c>
      <c r="AK33" s="33"/>
      <c r="AL33" s="25" t="str">
        <v>11M</v>
      </c>
      <c r="AM33" s="302">
        <f t="shared" si="14"/>
        <v>-1136.46851569568</v>
      </c>
      <c r="AN33" s="23">
        <f>(UsdMkt!CC29-'reference set'!BA112)*100</f>
        <v>0.60000000000001164</v>
      </c>
      <c r="AO33" s="22">
        <f t="shared" si="15"/>
        <v>-681.88110941742127</v>
      </c>
      <c r="AP33" s="207">
        <v>43180</v>
      </c>
      <c r="AQ33" s="302">
        <f>BktUsdOisSens!L25</f>
        <v>589.66786410332202</v>
      </c>
      <c r="AR33" s="208">
        <f>INDEX(BktUsdOisPL!PL_OIS_bckt,MATCH(B33,BktUsdOisPL!$F$9:$F$73,0))</f>
        <v>584.04184456160692</v>
      </c>
      <c r="AS33" s="16"/>
      <c r="AU33" s="401"/>
      <c r="AW33" s="401"/>
      <c r="AX33" s="401"/>
      <c r="AY33" s="401"/>
      <c r="AZ33" s="401"/>
      <c r="BA33" s="401"/>
    </row>
    <row r="34" spans="1:53" ht="15" customHeight="1">
      <c r="A34" s="207">
        <v>43271</v>
      </c>
      <c r="B34" s="163" t="str">
        <v>JUN 18</v>
      </c>
      <c r="C34" s="163" t="str">
        <v>F</v>
      </c>
      <c r="D34" s="302">
        <f>IF(AND(Main!$G$22="Default"),VLOOKUP(B34,IRD,$D$3,FALSE),VLOOKUP(B34,IRD,$E$3,FALSE)+AQ34)</f>
        <v>13490.358137637601</v>
      </c>
      <c r="E34" s="210">
        <f t="shared" si="16"/>
        <v>10823.942002511103</v>
      </c>
      <c r="F34" s="213">
        <f t="shared" si="0"/>
        <v>-13818.750000001713</v>
      </c>
      <c r="G34" s="214">
        <f t="shared" si="1"/>
        <v>0</v>
      </c>
      <c r="H34" s="214"/>
      <c r="I34" s="215"/>
      <c r="J34" s="56"/>
      <c r="K34" s="207">
        <v>43271</v>
      </c>
      <c r="L34" s="120">
        <f t="shared" si="2"/>
        <v>0</v>
      </c>
      <c r="M34" s="302">
        <f t="shared" si="3"/>
        <v>4.9302105199522899</v>
      </c>
      <c r="N34" s="23">
        <f>IF(LEN(K34)&gt;0,(UsdMkt!$AK30-'reference set'!$I113)*100,"")</f>
        <v>2.7500000000003411</v>
      </c>
      <c r="O34" s="22">
        <f t="shared" si="4"/>
        <v>13.558078929870479</v>
      </c>
      <c r="P34" s="16"/>
      <c r="Q34" s="207">
        <v>43271</v>
      </c>
      <c r="R34" s="302" t="e">
        <f t="shared" si="5"/>
        <v>#REF!</v>
      </c>
      <c r="S34" s="23">
        <f>IF(LEN(Q34)&gt;0,(UsdMkt!$AT30-'reference set'!$U113)*100,"")</f>
        <v>2.7203550999999493</v>
      </c>
      <c r="T34" s="22">
        <f t="shared" si="6"/>
        <v>0</v>
      </c>
      <c r="U34" s="16"/>
      <c r="V34" s="207">
        <v>43271</v>
      </c>
      <c r="W34" s="120">
        <f t="shared" si="7"/>
        <v>-5025.0850495119103</v>
      </c>
      <c r="X34" s="302">
        <f t="shared" si="8"/>
        <v>7990.9702757979803</v>
      </c>
      <c r="Y34" s="23">
        <f>IF(LEN(V34)&gt;0,(UsdMkt!$BJ30-'reference set'!$AK113)*100,"")</f>
        <v>2.9475757000000158</v>
      </c>
      <c r="Z34" s="22">
        <f t="shared" si="9"/>
        <v>23553.989804364552</v>
      </c>
      <c r="AA34" s="16"/>
      <c r="AB34" s="207">
        <v>43271</v>
      </c>
      <c r="AC34" s="302">
        <f t="shared" si="10"/>
        <v>-31.255523092006101</v>
      </c>
      <c r="AD34" s="23">
        <f>IF(LEN(AB34)&gt;0,(UsdMkt!$BB30-'reference set'!$AC113)*100,"")</f>
        <v>3.3518896999993331</v>
      </c>
      <c r="AE34" s="22">
        <f t="shared" si="11"/>
        <v>-104.76506592018656</v>
      </c>
      <c r="AF34" s="16"/>
      <c r="AG34" s="207">
        <v>43271</v>
      </c>
      <c r="AH34" s="302">
        <f t="shared" si="12"/>
        <v>913.45921612738402</v>
      </c>
      <c r="AI34" s="23">
        <f>IF(LEN(AG34)&gt;0,(UsdMkt!$BS30-'reference set'!$AS113)*100,"")</f>
        <v>2.7165529999990667</v>
      </c>
      <c r="AJ34" s="22">
        <f t="shared" si="13"/>
        <v>2481.4603739476411</v>
      </c>
      <c r="AK34" s="33"/>
      <c r="AL34" s="25" t="str">
        <v>1Y</v>
      </c>
      <c r="AM34" s="302">
        <f t="shared" si="14"/>
        <v>-299.72156066605999</v>
      </c>
      <c r="AN34" s="23">
        <f>(UsdMkt!CC30-'reference set'!BA113)*100</f>
        <v>0.80000000000000071</v>
      </c>
      <c r="AO34" s="22">
        <f t="shared" si="15"/>
        <v>-239.7772485328482</v>
      </c>
      <c r="AP34" s="207">
        <v>43271</v>
      </c>
      <c r="AQ34" s="302">
        <f>BktUsdOisSens!L26</f>
        <v>-515.53698356680275</v>
      </c>
      <c r="AR34" s="208">
        <f>INDEX(BktUsdOisPL!PL_OIS_bckt,MATCH(B34,BktUsdOisPL!$F$9:$F$73,0))</f>
        <v>-1301.5511888090584</v>
      </c>
      <c r="AS34" s="16"/>
      <c r="AU34" s="401"/>
      <c r="AW34" s="401"/>
      <c r="AX34" s="401"/>
      <c r="AY34" s="401"/>
      <c r="AZ34" s="401"/>
      <c r="BA34" s="401"/>
    </row>
    <row r="35" spans="1:53" ht="15" customHeight="1">
      <c r="A35" s="207">
        <v>43362</v>
      </c>
      <c r="B35" s="163" t="str">
        <v>SEP 18</v>
      </c>
      <c r="C35" s="163" t="str">
        <v>F</v>
      </c>
      <c r="D35" s="302">
        <f>IF(AND(Main!$G$22="Default"),VLOOKUP(B35,IRD,$D$3,FALSE),VLOOKUP(B35,IRD,$E$3,FALSE)+AQ35)</f>
        <v>-14691.694889317299</v>
      </c>
      <c r="E35" s="210">
        <f t="shared" si="16"/>
        <v>-16350.178751629772</v>
      </c>
      <c r="F35" s="213">
        <f t="shared" si="0"/>
        <v>0</v>
      </c>
      <c r="G35" s="214">
        <f t="shared" si="1"/>
        <v>0</v>
      </c>
      <c r="H35" s="214"/>
      <c r="I35" s="215"/>
      <c r="J35" s="56"/>
      <c r="K35" s="207">
        <v>43362</v>
      </c>
      <c r="L35" s="120">
        <f t="shared" si="2"/>
        <v>0</v>
      </c>
      <c r="M35" s="302">
        <f t="shared" si="3"/>
        <v>3.35771306125574</v>
      </c>
      <c r="N35" s="23">
        <f>IF(LEN(K35)&gt;0,(UsdMkt!$AK31-'reference set'!$I114)*100,"")</f>
        <v>2.7499999999984759</v>
      </c>
      <c r="O35" s="22">
        <f t="shared" si="4"/>
        <v>9.2337109184481676</v>
      </c>
      <c r="P35" s="16"/>
      <c r="Q35" s="207">
        <v>43362</v>
      </c>
      <c r="R35" s="302" t="e">
        <f t="shared" si="5"/>
        <v>#REF!</v>
      </c>
      <c r="S35" s="23">
        <f>IF(LEN(Q35)&gt;0,(UsdMkt!$AT31-'reference set'!$U114)*100,"")</f>
        <v>6.0296047999993441</v>
      </c>
      <c r="T35" s="22">
        <f t="shared" si="6"/>
        <v>0</v>
      </c>
      <c r="U35" s="16"/>
      <c r="V35" s="207">
        <v>43362</v>
      </c>
      <c r="W35" s="120">
        <f t="shared" si="7"/>
        <v>0</v>
      </c>
      <c r="X35" s="302">
        <f t="shared" si="8"/>
        <v>-6210.1954877506596</v>
      </c>
      <c r="Y35" s="23">
        <f>IF(LEN(V35)&gt;0,(UsdMkt!$BJ31-'reference set'!$AK114)*100,"")</f>
        <v>2.9324439999996343</v>
      </c>
      <c r="Z35" s="22">
        <f t="shared" si="9"/>
        <v>-18211.050496879223</v>
      </c>
      <c r="AA35" s="16"/>
      <c r="AB35" s="207">
        <v>43362</v>
      </c>
      <c r="AC35" s="302">
        <f t="shared" si="10"/>
        <v>-15.2044294581376</v>
      </c>
      <c r="AD35" s="23">
        <f>IF(LEN(AB35)&gt;0,(UsdMkt!$BB31-'reference set'!$AC114)*100,"")</f>
        <v>3.3745275999986113</v>
      </c>
      <c r="AE35" s="22">
        <f t="shared" si="11"/>
        <v>-51.307766848717264</v>
      </c>
      <c r="AF35" s="16"/>
      <c r="AG35" s="207">
        <v>43362</v>
      </c>
      <c r="AH35" s="302">
        <f t="shared" si="12"/>
        <v>604.23034606241197</v>
      </c>
      <c r="AI35" s="23">
        <f>IF(LEN(AG35)&gt;0,(UsdMkt!$BS31-'reference set'!$AS114)*100,"")</f>
        <v>5.1260169999991945</v>
      </c>
      <c r="AJ35" s="22">
        <f t="shared" si="13"/>
        <v>3097.2950258313199</v>
      </c>
      <c r="AK35" s="33"/>
      <c r="AL35" s="25" t="str">
        <v>15M</v>
      </c>
      <c r="AM35" s="302">
        <f t="shared" si="14"/>
        <v>-482.74384557898998</v>
      </c>
      <c r="AN35" s="23">
        <f>(UsdMkt!CC31-'reference set'!BA114)*100</f>
        <v>1.100000000000001</v>
      </c>
      <c r="AO35" s="22">
        <f t="shared" si="15"/>
        <v>-531.01823013688943</v>
      </c>
      <c r="AP35" s="207">
        <v>43362</v>
      </c>
      <c r="AQ35" s="302">
        <f>BktUsdOisSens!L27</f>
        <v>-628.6048550797891</v>
      </c>
      <c r="AR35" s="208">
        <f>INDEX(BktUsdOisPL!PL_OIS_bckt,MATCH(B35,BktUsdOisPL!$F$9:$F$73,0))</f>
        <v>-1194.3492246516003</v>
      </c>
      <c r="AS35" s="16"/>
      <c r="AU35" s="401"/>
      <c r="AW35" s="401"/>
      <c r="AX35" s="401"/>
      <c r="AY35" s="401"/>
      <c r="AZ35" s="401"/>
      <c r="BA35" s="401"/>
    </row>
    <row r="36" spans="1:53" ht="15" customHeight="1">
      <c r="A36" s="207" t="str">
        <v>3Y</v>
      </c>
      <c r="B36" s="163" t="str">
        <v>3Y</v>
      </c>
      <c r="C36" s="163" t="str">
        <v>W</v>
      </c>
      <c r="D36" s="302">
        <f>IF(AND(Main!$G$22="Default"),VLOOKUP(B36,IRD,$D$3,FALSE),VLOOKUP(B36,IRD,$E$3,FALSE)+AQ36)</f>
        <v>-9395.0396543648803</v>
      </c>
      <c r="E36" s="210">
        <f t="shared" si="16"/>
        <v>-25483.776083152665</v>
      </c>
      <c r="F36" s="213">
        <f t="shared" si="0"/>
        <v>0</v>
      </c>
      <c r="G36" s="214">
        <f t="shared" si="1"/>
        <v>0</v>
      </c>
      <c r="H36" s="214"/>
      <c r="I36" s="215"/>
      <c r="J36" s="56"/>
      <c r="K36" s="207" t="str">
        <v>3Y</v>
      </c>
      <c r="L36" s="120">
        <f t="shared" si="2"/>
        <v>-1.33226762955019E-15</v>
      </c>
      <c r="M36" s="302">
        <f t="shared" si="3"/>
        <v>7.3341333006737809E-12</v>
      </c>
      <c r="N36" s="23">
        <f>IF(LEN(K36)&gt;0,(UsdMkt!$AK32-'reference set'!$I115)*100,"")</f>
        <v>2.6999984000000143</v>
      </c>
      <c r="O36" s="22">
        <f t="shared" si="4"/>
        <v>1.9802148177206031E-11</v>
      </c>
      <c r="P36" s="16"/>
      <c r="Q36" s="207" t="str">
        <v>3Y</v>
      </c>
      <c r="R36" s="302" t="e">
        <f t="shared" si="5"/>
        <v>#REF!</v>
      </c>
      <c r="S36" s="23">
        <f>IF(LEN(Q36)&gt;0,(UsdMkt!$AT32-'reference set'!$U115)*100,"")</f>
        <v>2.4551680000000298</v>
      </c>
      <c r="T36" s="22">
        <f t="shared" si="6"/>
        <v>0</v>
      </c>
      <c r="U36" s="16"/>
      <c r="V36" s="207" t="str">
        <v>3Y</v>
      </c>
      <c r="W36" s="120">
        <f t="shared" si="7"/>
        <v>0</v>
      </c>
      <c r="X36" s="302">
        <f t="shared" si="8"/>
        <v>-8733.4709192115606</v>
      </c>
      <c r="Y36" s="23">
        <f>IF(LEN(V36)&gt;0,(UsdMkt!$BJ32-'reference set'!$AK115)*100,"")</f>
        <v>2.6999984000000143</v>
      </c>
      <c r="Z36" s="22">
        <f t="shared" si="9"/>
        <v>-23580.357508317869</v>
      </c>
      <c r="AA36" s="16"/>
      <c r="AB36" s="207" t="str">
        <v>3Y</v>
      </c>
      <c r="AC36" s="302">
        <f t="shared" si="10"/>
        <v>7.70446168133003</v>
      </c>
      <c r="AD36" s="23">
        <f>IF(LEN(AB36)&gt;0,(UsdMkt!$BB32-'reference set'!$AC115)*100,"")</f>
        <v>2.9988642000000176</v>
      </c>
      <c r="AE36" s="22">
        <f t="shared" si="11"/>
        <v>23.104634316412572</v>
      </c>
      <c r="AF36" s="16"/>
      <c r="AG36" s="207" t="str">
        <v>3Y</v>
      </c>
      <c r="AH36" s="302">
        <f t="shared" si="12"/>
        <v>542.19880471075305</v>
      </c>
      <c r="AI36" s="23">
        <f>IF(LEN(AG36)&gt;0,(UsdMkt!$BS32-'reference set'!$AS115)*100,"")</f>
        <v>2.7030646000000047</v>
      </c>
      <c r="AJ36" s="22">
        <f t="shared" si="13"/>
        <v>1465.5983951759524</v>
      </c>
      <c r="AK36" s="33"/>
      <c r="AL36" s="25" t="str">
        <v>18M</v>
      </c>
      <c r="AM36" s="302">
        <f t="shared" si="14"/>
        <v>-9436.0234081921099</v>
      </c>
      <c r="AN36" s="23">
        <f>(UsdMkt!CC32-'reference set'!BA115)*100</f>
        <v>1.4000000000000012</v>
      </c>
      <c r="AO36" s="22">
        <f t="shared" si="15"/>
        <v>-13210.432771468966</v>
      </c>
      <c r="AP36" s="207" t="str">
        <v>3Y</v>
      </c>
      <c r="AQ36" s="302">
        <f>BktUsdOisSens!L28</f>
        <v>-1211.47200154542</v>
      </c>
      <c r="AR36" s="208">
        <f>INDEX(BktUsdOisPL!PL_OIS_bckt,MATCH(B36,BktUsdOisPL!$F$9:$F$73,0))</f>
        <v>-3392.1216043271788</v>
      </c>
      <c r="AS36" s="16"/>
      <c r="AU36" s="401"/>
      <c r="AW36" s="401"/>
      <c r="AX36" s="401"/>
      <c r="AY36" s="401"/>
      <c r="AZ36" s="401"/>
      <c r="BA36" s="401"/>
    </row>
    <row r="37" spans="1:53" ht="15" customHeight="1">
      <c r="A37" s="207" t="str">
        <v>4Y</v>
      </c>
      <c r="B37" s="163" t="str">
        <v>4Y</v>
      </c>
      <c r="C37" s="163" t="str">
        <v>W</v>
      </c>
      <c r="D37" s="302">
        <f>IF(AND(Main!$G$22="Default"),VLOOKUP(B37,IRD,$D$3,FALSE),VLOOKUP(B37,IRD,$E$3,FALSE)+AQ37)</f>
        <v>8466.9741038137709</v>
      </c>
      <c r="E37" s="210">
        <f t="shared" si="16"/>
        <v>30711.529097517032</v>
      </c>
      <c r="F37" s="213">
        <f t="shared" si="0"/>
        <v>0</v>
      </c>
      <c r="G37" s="214">
        <f t="shared" si="1"/>
        <v>0</v>
      </c>
      <c r="H37" s="214"/>
      <c r="I37" s="215"/>
      <c r="J37" s="56"/>
      <c r="K37" s="207" t="str">
        <v>4Y</v>
      </c>
      <c r="L37" s="120">
        <f t="shared" si="2"/>
        <v>4.79616346638068E-14</v>
      </c>
      <c r="M37" s="302">
        <f t="shared" si="3"/>
        <v>9.842793247116783E-12</v>
      </c>
      <c r="N37" s="23">
        <f>IF(LEN(K37)&gt;0,(UsdMkt!$AK33-'reference set'!$I116)*100,"")</f>
        <v>3.8999988000000041</v>
      </c>
      <c r="O37" s="22">
        <f t="shared" si="4"/>
        <v>3.8386881852403597E-11</v>
      </c>
      <c r="P37" s="16"/>
      <c r="Q37" s="207" t="str">
        <v>4Y</v>
      </c>
      <c r="R37" s="302" t="e">
        <f t="shared" si="5"/>
        <v>#REF!</v>
      </c>
      <c r="S37" s="23">
        <f>IF(LEN(Q37)&gt;0,(UsdMkt!$AT33-'reference set'!$U116)*100,"")</f>
        <v>3.2801379000000352</v>
      </c>
      <c r="T37" s="22">
        <f t="shared" si="6"/>
        <v>0</v>
      </c>
      <c r="U37" s="16"/>
      <c r="V37" s="207" t="str">
        <v>4Y</v>
      </c>
      <c r="W37" s="120">
        <f t="shared" si="7"/>
        <v>0</v>
      </c>
      <c r="X37" s="302">
        <f t="shared" si="8"/>
        <v>30931.499476198402</v>
      </c>
      <c r="Y37" s="23">
        <f>IF(LEN(V37)&gt;0,(UsdMkt!$BJ33-'reference set'!$AK116)*100,"")</f>
        <v>3.8999988000000041</v>
      </c>
      <c r="Z37" s="22">
        <f t="shared" si="9"/>
        <v>120632.81083937452</v>
      </c>
      <c r="AA37" s="16"/>
      <c r="AB37" s="207" t="str">
        <v>4Y</v>
      </c>
      <c r="AC37" s="302">
        <f t="shared" si="10"/>
        <v>11.685761021814001</v>
      </c>
      <c r="AD37" s="23">
        <f>IF(LEN(AB37)&gt;0,(UsdMkt!$BB33-'reference set'!$AC116)*100,"")</f>
        <v>5.3977957000000076</v>
      </c>
      <c r="AE37" s="22">
        <f t="shared" si="11"/>
        <v>63.077350594775311</v>
      </c>
      <c r="AF37" s="16"/>
      <c r="AG37" s="207" t="str">
        <v>4Y</v>
      </c>
      <c r="AH37" s="302">
        <f t="shared" si="12"/>
        <v>-18610.780298789199</v>
      </c>
      <c r="AI37" s="23">
        <f>IF(LEN(AG37)&gt;0,(UsdMkt!$BS33-'reference set'!$AS116)*100,"")</f>
        <v>4.0042725000000168</v>
      </c>
      <c r="AJ37" s="22">
        <f t="shared" si="13"/>
        <v>-74522.63575398369</v>
      </c>
      <c r="AK37" s="33"/>
      <c r="AL37" s="25" t="str">
        <v>21M</v>
      </c>
      <c r="AM37" s="302">
        <f t="shared" si="14"/>
        <v>19555.612306779502</v>
      </c>
      <c r="AN37" s="23">
        <f>(UsdMkt!CC33-'reference set'!BA116)*100</f>
        <v>1.6000000000000014</v>
      </c>
      <c r="AO37" s="22">
        <f t="shared" si="15"/>
        <v>31288.979690847231</v>
      </c>
      <c r="AP37" s="207" t="str">
        <v>4Y</v>
      </c>
      <c r="AQ37" s="302">
        <f>BktUsdOisSens!L29</f>
        <v>-3865.4308346171501</v>
      </c>
      <c r="AR37" s="208">
        <f>INDEX(BktUsdOisPL!PL_OIS_bckt,MATCH(B37,BktUsdOisPL!$F$9:$F$73,0))</f>
        <v>-15461.723338468615</v>
      </c>
      <c r="AS37" s="16"/>
      <c r="AU37" s="401"/>
      <c r="AW37" s="401"/>
      <c r="AX37" s="401"/>
      <c r="AY37" s="401"/>
      <c r="AZ37" s="401"/>
      <c r="BA37" s="401"/>
    </row>
    <row r="38" spans="1:53" ht="15" customHeight="1">
      <c r="A38" s="207" t="str">
        <v>5Y</v>
      </c>
      <c r="B38" s="163" t="str">
        <v>5Y</v>
      </c>
      <c r="C38" s="163" t="str">
        <v>W</v>
      </c>
      <c r="D38" s="302">
        <f>IF(AND(Main!$G$22="Default"),VLOOKUP(B38,IRD,$D$3,FALSE),VLOOKUP(B38,IRD,$E$3,FALSE)+AQ38)</f>
        <v>-8932.8858752898504</v>
      </c>
      <c r="E38" s="210">
        <f t="shared" si="16"/>
        <v>-44126.936764430131</v>
      </c>
      <c r="F38" s="213">
        <f t="shared" si="0"/>
        <v>0</v>
      </c>
      <c r="G38" s="214">
        <f t="shared" si="1"/>
        <v>0</v>
      </c>
      <c r="H38" s="214"/>
      <c r="I38" s="215"/>
      <c r="J38" s="56"/>
      <c r="K38" s="207" t="str">
        <v>5Y</v>
      </c>
      <c r="L38" s="120">
        <f t="shared" si="2"/>
        <v>1.3322676295501901E-14</v>
      </c>
      <c r="M38" s="302">
        <f t="shared" si="3"/>
        <v>1.0218492718649899E-11</v>
      </c>
      <c r="N38" s="23">
        <f>IF(LEN(K38)&gt;0,(UsdMkt!$AK34-'reference set'!$I117)*100,"")</f>
        <v>5.0999989999999995</v>
      </c>
      <c r="O38" s="22">
        <f t="shared" si="4"/>
        <v>5.2114302646621758E-11</v>
      </c>
      <c r="P38" s="16"/>
      <c r="Q38" s="207" t="str">
        <v>5Y</v>
      </c>
      <c r="R38" s="302" t="e">
        <f t="shared" si="5"/>
        <v>#REF!</v>
      </c>
      <c r="S38" s="23">
        <f>IF(LEN(Q38)&gt;0,(UsdMkt!$AT34-'reference set'!$U117)*100,"")</f>
        <v>5.4871302000000455</v>
      </c>
      <c r="T38" s="22">
        <f t="shared" si="6"/>
        <v>0</v>
      </c>
      <c r="U38" s="16"/>
      <c r="V38" s="207" t="str">
        <v>5Y</v>
      </c>
      <c r="W38" s="120">
        <f t="shared" si="7"/>
        <v>0</v>
      </c>
      <c r="X38" s="302">
        <f t="shared" si="8"/>
        <v>-25038.292586890399</v>
      </c>
      <c r="Y38" s="23">
        <f>IF(LEN(V38)&gt;0,(UsdMkt!$BJ34-'reference set'!$AK117)*100,"")</f>
        <v>5.0999989999999995</v>
      </c>
      <c r="Z38" s="22">
        <f t="shared" si="9"/>
        <v>-127695.26715484844</v>
      </c>
      <c r="AA38" s="16"/>
      <c r="AB38" s="207" t="str">
        <v>5Y</v>
      </c>
      <c r="AC38" s="302">
        <f t="shared" si="10"/>
        <v>-130.858986742496</v>
      </c>
      <c r="AD38" s="23">
        <f>IF(LEN(AB38)&gt;0,(UsdMkt!$BB34-'reference set'!$AC117)*100,"")</f>
        <v>5.297371399999995</v>
      </c>
      <c r="AE38" s="22">
        <f t="shared" si="11"/>
        <v>-693.20865380267685</v>
      </c>
      <c r="AF38" s="16"/>
      <c r="AG38" s="207" t="str">
        <v>5Y</v>
      </c>
      <c r="AH38" s="302">
        <f t="shared" si="12"/>
        <v>13885.598253852901</v>
      </c>
      <c r="AI38" s="23">
        <f>IF(LEN(AG38)&gt;0,(UsdMkt!$BS34-'reference set'!$AS117)*100,"")</f>
        <v>5.2048989000000212</v>
      </c>
      <c r="AJ38" s="22">
        <f t="shared" si="13"/>
        <v>72273.135077321174</v>
      </c>
      <c r="AK38" s="33"/>
      <c r="AL38" s="25" t="str">
        <v>2Y</v>
      </c>
      <c r="AM38" s="302">
        <f t="shared" si="14"/>
        <v>-12740.105410923999</v>
      </c>
      <c r="AN38" s="23">
        <f>(UsdMkt!CC34-'reference set'!BA117)*100</f>
        <v>1.9000000000000017</v>
      </c>
      <c r="AO38" s="22">
        <f t="shared" si="15"/>
        <v>-24206.20028075562</v>
      </c>
      <c r="AP38" s="207" t="str">
        <v>5Y</v>
      </c>
      <c r="AQ38" s="302">
        <f>BktUsdOisSens!L30</f>
        <v>2350.66744449014</v>
      </c>
      <c r="AR38" s="208">
        <f>INDEX(BktUsdOisPL!PL_OIS_bckt,MATCH(B38,BktUsdOisPL!$F$9:$F$73,0))</f>
        <v>11988.40396689975</v>
      </c>
      <c r="AS38" s="16"/>
      <c r="AU38" s="401"/>
      <c r="AW38" s="401"/>
      <c r="AX38" s="401"/>
      <c r="AY38" s="401"/>
      <c r="AZ38" s="401"/>
      <c r="BA38" s="401"/>
    </row>
    <row r="39" spans="1:53" ht="15" customHeight="1">
      <c r="A39" s="207" t="str">
        <v>6Y</v>
      </c>
      <c r="B39" s="163" t="str">
        <v>6Y</v>
      </c>
      <c r="C39" s="163" t="str">
        <v>W</v>
      </c>
      <c r="D39" s="302">
        <f>IF(AND(Main!$G$22="Default"),VLOOKUP(B39,IRD,$D$3,FALSE),VLOOKUP(B39,IRD,$E$3,FALSE)+AQ39)</f>
        <v>13181.9402590385</v>
      </c>
      <c r="E39" s="210">
        <f t="shared" si="16"/>
        <v>62307.433097805624</v>
      </c>
      <c r="F39" s="213">
        <f t="shared" si="0"/>
        <v>0</v>
      </c>
      <c r="G39" s="214">
        <f t="shared" si="1"/>
        <v>0</v>
      </c>
      <c r="H39" s="214"/>
      <c r="I39" s="215"/>
      <c r="J39" s="56"/>
      <c r="K39" s="207" t="str">
        <v>6Y</v>
      </c>
      <c r="L39" s="120">
        <f t="shared" si="2"/>
        <v>-6.3948846218408997E-13</v>
      </c>
      <c r="M39" s="302">
        <f t="shared" si="3"/>
        <v>-2.5756179411473559E-9</v>
      </c>
      <c r="N39" s="23">
        <f>IF(LEN(K39)&gt;0,(UsdMkt!$AK35-'reference set'!$I118)*100,"")</f>
        <v>5.6999990000000222</v>
      </c>
      <c r="O39" s="22">
        <f t="shared" si="4"/>
        <v>-1.4681019688922045E-8</v>
      </c>
      <c r="P39" s="16"/>
      <c r="Q39" s="207" t="str">
        <v>6Y</v>
      </c>
      <c r="R39" s="302" t="e">
        <f t="shared" si="5"/>
        <v>#REF!</v>
      </c>
      <c r="S39" s="23">
        <f>IF(LEN(Q39)&gt;0,(UsdMkt!$AT35-'reference set'!$U118)*100,"")</f>
        <v>5.8369792999999781</v>
      </c>
      <c r="T39" s="22">
        <f t="shared" si="6"/>
        <v>0</v>
      </c>
      <c r="U39" s="16"/>
      <c r="V39" s="207" t="str">
        <v>6Y</v>
      </c>
      <c r="W39" s="120">
        <f t="shared" si="7"/>
        <v>0</v>
      </c>
      <c r="X39" s="302">
        <f t="shared" si="8"/>
        <v>22141.879246586301</v>
      </c>
      <c r="Y39" s="23">
        <f>IF(LEN(V39)&gt;0,(UsdMkt!$BJ35-'reference set'!$AK118)*100,"")</f>
        <v>5.6999990000000222</v>
      </c>
      <c r="Z39" s="22">
        <f t="shared" si="9"/>
        <v>126208.68956366317</v>
      </c>
      <c r="AA39" s="16"/>
      <c r="AB39" s="207" t="str">
        <v>6Y</v>
      </c>
      <c r="AC39" s="302">
        <f t="shared" si="10"/>
        <v>8709.6490915086397</v>
      </c>
      <c r="AD39" s="23">
        <f>IF(LEN(AB39)&gt;0,(UsdMkt!$BB35-'reference set'!$AC118)*100,"")</f>
        <v>4.3957980000000285</v>
      </c>
      <c r="AE39" s="22">
        <f t="shared" si="11"/>
        <v>38285.858057155747</v>
      </c>
      <c r="AF39" s="16"/>
      <c r="AG39" s="207" t="str">
        <v>6Y</v>
      </c>
      <c r="AH39" s="302">
        <f t="shared" si="12"/>
        <v>-21787.640521131401</v>
      </c>
      <c r="AI39" s="23">
        <f>IF(LEN(AG39)&gt;0,(UsdMkt!$BS35-'reference set'!$AS118)*100,"")</f>
        <v>5.8052924000000061</v>
      </c>
      <c r="AJ39" s="22">
        <f t="shared" si="13"/>
        <v>-126483.6239312563</v>
      </c>
      <c r="AK39" s="33"/>
      <c r="AL39" s="25" t="str">
        <v>3Y</v>
      </c>
      <c r="AM39" s="302">
        <f t="shared" si="14"/>
        <v>-1211.47200154542</v>
      </c>
      <c r="AN39" s="23">
        <f>(UsdMkt!CC35-'reference set'!BA118)*100</f>
        <v>2.8000000000000025</v>
      </c>
      <c r="AO39" s="22">
        <f t="shared" si="15"/>
        <v>-3392.1216043271788</v>
      </c>
      <c r="AP39" s="207" t="str">
        <v>6Y</v>
      </c>
      <c r="AQ39" s="302">
        <f>BktUsdOisSens!L31</f>
        <v>4118.0524420775801</v>
      </c>
      <c r="AR39" s="208">
        <f>INDEX(BktUsdOisPL!PL_OIS_bckt,MATCH(B39,BktUsdOisPL!$F$9:$F$73,0))</f>
        <v>24296.509408257698</v>
      </c>
      <c r="AS39" s="16"/>
      <c r="AU39" s="401"/>
      <c r="AW39" s="401"/>
      <c r="AX39" s="401"/>
      <c r="AY39" s="401"/>
      <c r="AZ39" s="401"/>
      <c r="BA39" s="401"/>
    </row>
    <row r="40" spans="1:53" ht="15" customHeight="1">
      <c r="A40" s="207" t="str">
        <v>7Y</v>
      </c>
      <c r="B40" s="163" t="str">
        <v>7Y</v>
      </c>
      <c r="C40" s="163" t="str">
        <v>W</v>
      </c>
      <c r="D40" s="302">
        <f>IF(AND(Main!$G$22="Default"),VLOOKUP(B40,IRD,$D$3,FALSE),VLOOKUP(B40,IRD,$E$3,FALSE)+AQ40)</f>
        <v>1057.29822403699</v>
      </c>
      <c r="E40" s="210">
        <f t="shared" si="16"/>
        <v>7152.6371394036105</v>
      </c>
      <c r="F40" s="213"/>
      <c r="G40" s="214">
        <f t="shared" si="1"/>
        <v>0</v>
      </c>
      <c r="H40" s="214"/>
      <c r="I40" s="215"/>
      <c r="J40" s="56"/>
      <c r="K40" s="207" t="str">
        <v>7Y</v>
      </c>
      <c r="L40" s="120">
        <f t="shared" si="2"/>
        <v>9.6633812063373605E-13</v>
      </c>
      <c r="M40" s="302">
        <f t="shared" si="3"/>
        <v>-2.0127686184423539E-9</v>
      </c>
      <c r="N40" s="23">
        <f>IF(LEN(K40)&gt;0,(UsdMkt!$AK36-'reference set'!$I119)*100,"")</f>
        <v>5.8999991999999946</v>
      </c>
      <c r="O40" s="22">
        <f t="shared" si="4"/>
        <v>-1.1875333238594983E-8</v>
      </c>
      <c r="P40" s="16"/>
      <c r="Q40" s="207" t="str">
        <v>7Y</v>
      </c>
      <c r="R40" s="302" t="e">
        <f t="shared" si="5"/>
        <v>#REF!</v>
      </c>
      <c r="S40" s="23">
        <f>IF(LEN(Q40)&gt;0,(UsdMkt!$AT36-'reference set'!$U119)*100,"")</f>
        <v>5.7852834999999825</v>
      </c>
      <c r="T40" s="22">
        <f t="shared" si="6"/>
        <v>0</v>
      </c>
      <c r="U40" s="16"/>
      <c r="V40" s="207" t="str">
        <v>7Y</v>
      </c>
      <c r="W40" s="120">
        <f t="shared" si="7"/>
        <v>0</v>
      </c>
      <c r="X40" s="302">
        <f t="shared" si="8"/>
        <v>-3720.58136471334</v>
      </c>
      <c r="Y40" s="23">
        <f>IF(LEN(V40)&gt;0,(UsdMkt!$BJ36-'reference set'!$AK119)*100,"")</f>
        <v>5.8999991999999946</v>
      </c>
      <c r="Z40" s="22">
        <f t="shared" si="9"/>
        <v>-21951.427075343596</v>
      </c>
      <c r="AA40" s="16"/>
      <c r="AB40" s="207" t="str">
        <v>7Y</v>
      </c>
      <c r="AC40" s="302">
        <f t="shared" si="10"/>
        <v>238.54746851501599</v>
      </c>
      <c r="AD40" s="23">
        <f>IF(LEN(AB40)&gt;0,(UsdMkt!$BB36-'reference set'!$AC119)*100,"")</f>
        <v>5.9967058000000018</v>
      </c>
      <c r="AE40" s="22">
        <f t="shared" si="11"/>
        <v>1430.4989880193143</v>
      </c>
      <c r="AF40" s="16"/>
      <c r="AG40" s="207" t="str">
        <v>7Y</v>
      </c>
      <c r="AH40" s="302">
        <f t="shared" si="12"/>
        <v>-2803.8914666226401</v>
      </c>
      <c r="AI40" s="23">
        <f>IF(LEN(AG40)&gt;0,(UsdMkt!$BS36-'reference set'!$AS119)*100,"")</f>
        <v>6.105835000000015</v>
      </c>
      <c r="AJ40" s="22">
        <f t="shared" si="13"/>
        <v>-17120.098653105892</v>
      </c>
      <c r="AK40" s="33"/>
      <c r="AL40" s="25" t="str">
        <v>4Y</v>
      </c>
      <c r="AM40" s="302">
        <f t="shared" si="14"/>
        <v>-3865.4308346171501</v>
      </c>
      <c r="AN40" s="23">
        <f>(UsdMkt!CC36-'reference set'!BA119)*100</f>
        <v>4.0000000000000036</v>
      </c>
      <c r="AO40" s="22">
        <f t="shared" si="15"/>
        <v>-15461.723338468615</v>
      </c>
      <c r="AP40" s="207" t="str">
        <v>7Y</v>
      </c>
      <c r="AQ40" s="302">
        <f>BktUsdOisSens!L32</f>
        <v>7343.22358685995</v>
      </c>
      <c r="AR40" s="208">
        <f>INDEX(BktUsdOisPL!PL_OIS_bckt,MATCH(B40,BktUsdOisPL!$F$9:$F$73,0))</f>
        <v>44793.663879845655</v>
      </c>
      <c r="AS40" s="16"/>
      <c r="AU40" s="401"/>
      <c r="AW40" s="401"/>
      <c r="AX40" s="401"/>
      <c r="AY40" s="401"/>
      <c r="AZ40" s="401"/>
      <c r="BA40" s="401"/>
    </row>
    <row r="41" spans="1:53" ht="15" customHeight="1">
      <c r="A41" s="207" t="str">
        <v>8Y</v>
      </c>
      <c r="B41" s="163" t="str">
        <v>8Y</v>
      </c>
      <c r="C41" s="163" t="str">
        <v>W</v>
      </c>
      <c r="D41" s="302">
        <f>IF(AND(Main!$G$22="Default"),VLOOKUP(B41,IRD,$D$3,FALSE),VLOOKUP(B41,IRD,$E$3,FALSE)+AQ41)</f>
        <v>34696.455162715603</v>
      </c>
      <c r="E41" s="210">
        <f t="shared" si="16"/>
        <v>213240.54636471305</v>
      </c>
      <c r="F41" s="213"/>
      <c r="G41" s="214">
        <f t="shared" si="1"/>
        <v>0</v>
      </c>
      <c r="H41" s="214"/>
      <c r="I41" s="215"/>
      <c r="J41" s="302"/>
      <c r="K41" s="207" t="str">
        <v>8Y</v>
      </c>
      <c r="L41" s="120">
        <f t="shared" si="2"/>
        <v>0</v>
      </c>
      <c r="M41" s="302">
        <f t="shared" si="3"/>
        <v>0</v>
      </c>
      <c r="N41" s="23">
        <f>IF(LEN(K41)&gt;0,(UsdMkt!$AK37-'reference set'!$I120)*100,"")</f>
        <v>6.0999993000000252</v>
      </c>
      <c r="O41" s="22">
        <f t="shared" si="4"/>
        <v>0</v>
      </c>
      <c r="P41" s="49"/>
      <c r="Q41" s="207" t="str">
        <v>8Y</v>
      </c>
      <c r="R41" s="302" t="e">
        <f t="shared" si="5"/>
        <v>#REF!</v>
      </c>
      <c r="S41" s="23">
        <f>IF(LEN(Q41)&gt;0,(UsdMkt!$AT37-'reference set'!$U120)*100,"")</f>
        <v>6.1109754000000294</v>
      </c>
      <c r="T41" s="22">
        <f t="shared" si="6"/>
        <v>0</v>
      </c>
      <c r="U41" s="49"/>
      <c r="V41" s="207" t="str">
        <v>8Y</v>
      </c>
      <c r="W41" s="120">
        <f t="shared" si="7"/>
        <v>0</v>
      </c>
      <c r="X41" s="302">
        <f t="shared" si="8"/>
        <v>26679.116757669199</v>
      </c>
      <c r="Y41" s="23">
        <f>IF(LEN(V41)&gt;0,(UsdMkt!$BJ37-'reference set'!$AK120)*100,"")</f>
        <v>6.0999993000000252</v>
      </c>
      <c r="Z41" s="22">
        <f t="shared" si="9"/>
        <v>162742.59354640104</v>
      </c>
      <c r="AA41" s="50"/>
      <c r="AB41" s="207" t="str">
        <v>8Y</v>
      </c>
      <c r="AC41" s="302">
        <f t="shared" si="10"/>
        <v>-8.9838836544604295</v>
      </c>
      <c r="AD41" s="23">
        <f>IF(LEN(AB41)&gt;0,(UsdMkt!$BB37-'reference set'!$AC120)*100,"")</f>
        <v>5.0984101000000059</v>
      </c>
      <c r="AE41" s="22">
        <f t="shared" si="11"/>
        <v>-45.803523161126016</v>
      </c>
      <c r="AF41" s="49"/>
      <c r="AG41" s="207" t="str">
        <v>8Y</v>
      </c>
      <c r="AH41" s="302">
        <f t="shared" si="12"/>
        <v>-3741.3690410049599</v>
      </c>
      <c r="AI41" s="23">
        <f>IF(LEN(AG41)&gt;0,(UsdMkt!$BS37-'reference set'!$AS120)*100,"")</f>
        <v>6.305900000000042</v>
      </c>
      <c r="AJ41" s="22">
        <f t="shared" si="13"/>
        <v>-23592.699035673333</v>
      </c>
      <c r="AK41" s="34"/>
      <c r="AL41" s="25" t="str">
        <v>5Y</v>
      </c>
      <c r="AM41" s="302">
        <f t="shared" si="14"/>
        <v>2350.66744449014</v>
      </c>
      <c r="AN41" s="23">
        <f>(UsdMkt!CC37-'reference set'!BA120)*100</f>
        <v>5.1000000000000156</v>
      </c>
      <c r="AO41" s="22">
        <f t="shared" si="15"/>
        <v>11988.40396689975</v>
      </c>
      <c r="AP41" s="207" t="str">
        <v>8Y</v>
      </c>
      <c r="AQ41" s="302">
        <f>BktUsdOisSens!L33</f>
        <v>11767.6913297058</v>
      </c>
      <c r="AR41" s="208">
        <f>INDEX(BktUsdOisPL!PL_OIS_bckt,MATCH(B41,BktUsdOisPL!$F$9:$F$73,0))</f>
        <v>74136.455377146471</v>
      </c>
      <c r="AS41" s="16"/>
      <c r="AU41" s="401"/>
      <c r="AW41" s="401"/>
      <c r="AX41" s="401"/>
      <c r="AY41" s="401"/>
      <c r="AZ41" s="401"/>
      <c r="BA41" s="401"/>
    </row>
    <row r="42" spans="1:53" ht="15" customHeight="1">
      <c r="A42" s="207" t="str">
        <v>9Y</v>
      </c>
      <c r="B42" s="163" t="str">
        <v>9Y</v>
      </c>
      <c r="C42" s="163" t="str">
        <v>W</v>
      </c>
      <c r="D42" s="302">
        <f>IF(AND(Main!$G$22="Default"),VLOOKUP(B42,IRD,$D$3,FALSE),VLOOKUP(B42,IRD,$E$3,FALSE)+AQ42)</f>
        <v>-101631.948993848</v>
      </c>
      <c r="E42" s="210">
        <f t="shared" si="16"/>
        <v>-634109.25716127641</v>
      </c>
      <c r="F42" s="213"/>
      <c r="G42" s="214">
        <f t="shared" si="1"/>
        <v>0</v>
      </c>
      <c r="H42" s="214"/>
      <c r="I42" s="215"/>
      <c r="J42" s="302"/>
      <c r="K42" s="207" t="str">
        <v>9Y</v>
      </c>
      <c r="L42" s="120">
        <f t="shared" si="2"/>
        <v>0</v>
      </c>
      <c r="M42" s="302">
        <f t="shared" si="3"/>
        <v>0</v>
      </c>
      <c r="N42" s="23">
        <f>IF(LEN(K42)&gt;0,(UsdMkt!$AK38-'reference set'!$I121)*100,"")</f>
        <v>6.1999992999999698</v>
      </c>
      <c r="O42" s="22">
        <f t="shared" si="4"/>
        <v>0</v>
      </c>
      <c r="P42" s="16"/>
      <c r="Q42" s="207" t="str">
        <v>9Y</v>
      </c>
      <c r="R42" s="302" t="e">
        <f t="shared" si="5"/>
        <v>#REF!</v>
      </c>
      <c r="S42" s="23">
        <f>IF(LEN(Q42)&gt;0,(UsdMkt!$AT38-'reference set'!$U121)*100,"")</f>
        <v>6.0852113000000152</v>
      </c>
      <c r="T42" s="22">
        <f t="shared" si="6"/>
        <v>0</v>
      </c>
      <c r="U42" s="16"/>
      <c r="V42" s="207" t="str">
        <v>9Y</v>
      </c>
      <c r="W42" s="120">
        <f t="shared" si="7"/>
        <v>0</v>
      </c>
      <c r="X42" s="302">
        <f t="shared" si="8"/>
        <v>-77666.384094553607</v>
      </c>
      <c r="Y42" s="23">
        <f>IF(LEN(V42)&gt;0,(UsdMkt!$BJ38-'reference set'!$AK121)*100,"")</f>
        <v>6.1999992999999698</v>
      </c>
      <c r="Z42" s="22">
        <f t="shared" si="9"/>
        <v>-481531.52701976115</v>
      </c>
      <c r="AA42" s="16"/>
      <c r="AB42" s="207" t="str">
        <v>9Y</v>
      </c>
      <c r="AC42" s="302">
        <f t="shared" si="10"/>
        <v>-1.7167147241598901E-3</v>
      </c>
      <c r="AD42" s="23">
        <f>IF(LEN(AB42)&gt;0,(UsdMkt!$BB38-'reference set'!$AC121)*100,"")</f>
        <v>6.498507099999995</v>
      </c>
      <c r="AE42" s="22">
        <f t="shared" si="11"/>
        <v>-1.1156082823627579E-2</v>
      </c>
      <c r="AF42" s="16"/>
      <c r="AG42" s="207" t="str">
        <v>9Y</v>
      </c>
      <c r="AH42" s="302">
        <f t="shared" si="12"/>
        <v>-16433.260793103302</v>
      </c>
      <c r="AI42" s="23">
        <f>IF(LEN(AG42)&gt;0,(UsdMkt!$BS38-'reference set'!$AS121)*100,"")</f>
        <v>6.3053678000000168</v>
      </c>
      <c r="AJ42" s="22">
        <f t="shared" si="13"/>
        <v>-103617.7534538363</v>
      </c>
      <c r="AK42" s="33"/>
      <c r="AL42" s="25" t="str">
        <v>6Y</v>
      </c>
      <c r="AM42" s="302">
        <f t="shared" si="14"/>
        <v>4118.0524420775801</v>
      </c>
      <c r="AN42" s="23">
        <f>(UsdMkt!CC38-'reference set'!BA121)*100</f>
        <v>5.8999999999999941</v>
      </c>
      <c r="AO42" s="22">
        <f t="shared" si="15"/>
        <v>24296.509408257698</v>
      </c>
      <c r="AP42" s="207" t="str">
        <v>9Y</v>
      </c>
      <c r="AQ42" s="302">
        <f>BktUsdOisSens!L34</f>
        <v>-7532.3023894763101</v>
      </c>
      <c r="AR42" s="208">
        <f>INDEX(BktUsdOisPL!PL_OIS_bckt,MATCH(B42,BktUsdOisPL!$F$9:$F$73,0))</f>
        <v>-48959.965531596143</v>
      </c>
      <c r="AS42" s="16"/>
      <c r="AU42" s="401"/>
      <c r="AW42" s="401"/>
      <c r="AX42" s="401"/>
      <c r="AY42" s="401"/>
      <c r="AZ42" s="401"/>
      <c r="BA42" s="401"/>
    </row>
    <row r="43" spans="1:53" ht="15" customHeight="1">
      <c r="A43" s="207" t="str">
        <v>10Y</v>
      </c>
      <c r="B43" s="163" t="str">
        <v>10Y</v>
      </c>
      <c r="C43" s="163" t="str">
        <v>W</v>
      </c>
      <c r="D43" s="302">
        <f>IF(AND(Main!$G$22="Default"),VLOOKUP(B43,IRD,$D$3,FALSE),VLOOKUP(B43,IRD,$E$3,FALSE)+AQ43)</f>
        <v>72268.0976994839</v>
      </c>
      <c r="E43" s="210">
        <f t="shared" si="16"/>
        <v>452343.75098345999</v>
      </c>
      <c r="F43" s="213"/>
      <c r="G43" s="214">
        <f t="shared" si="1"/>
        <v>0</v>
      </c>
      <c r="H43" s="214"/>
      <c r="I43" s="215"/>
      <c r="J43" s="302"/>
      <c r="K43" s="207" t="str">
        <v>10Y</v>
      </c>
      <c r="L43" s="120">
        <f t="shared" si="2"/>
        <v>0</v>
      </c>
      <c r="M43" s="302">
        <f t="shared" si="3"/>
        <v>0</v>
      </c>
      <c r="N43" s="23">
        <f>IF(LEN(K43)&gt;0,(UsdMkt!$AK39-'reference set'!$I122)*100,"")</f>
        <v>6.1999993999999781</v>
      </c>
      <c r="O43" s="22">
        <f t="shared" si="4"/>
        <v>0</v>
      </c>
      <c r="P43" s="16"/>
      <c r="Q43" s="207" t="str">
        <v>10Y</v>
      </c>
      <c r="R43" s="302" t="e">
        <f t="shared" si="5"/>
        <v>#REF!</v>
      </c>
      <c r="S43" s="23">
        <f>IF(LEN(Q43)&gt;0,(UsdMkt!$AT39-'reference set'!$U122)*100,"")</f>
        <v>6.0843328000000252</v>
      </c>
      <c r="T43" s="22">
        <f t="shared" si="6"/>
        <v>0</v>
      </c>
      <c r="U43" s="16"/>
      <c r="V43" s="207" t="str">
        <v>10Y</v>
      </c>
      <c r="W43" s="120">
        <f t="shared" si="7"/>
        <v>0</v>
      </c>
      <c r="X43" s="302">
        <f t="shared" si="8"/>
        <v>34471.124349730402</v>
      </c>
      <c r="Y43" s="23">
        <f>IF(LEN(V43)&gt;0,(UsdMkt!$BJ39-'reference set'!$AK122)*100,"")</f>
        <v>6.1999993999999781</v>
      </c>
      <c r="Z43" s="22">
        <f t="shared" si="9"/>
        <v>213720.95028565312</v>
      </c>
      <c r="AA43" s="16"/>
      <c r="AB43" s="207" t="str">
        <v>10Y</v>
      </c>
      <c r="AC43" s="302">
        <f t="shared" si="10"/>
        <v>-1.7305549502897601E-6</v>
      </c>
      <c r="AD43" s="23">
        <f>IF(LEN(AB43)&gt;0,(UsdMkt!$BB39-'reference set'!$AC122)*100,"")</f>
        <v>7.7989063000000192</v>
      </c>
      <c r="AE43" s="22">
        <f t="shared" si="11"/>
        <v>-1.349643590431103E-5</v>
      </c>
      <c r="AF43" s="16"/>
      <c r="AG43" s="207" t="str">
        <v>10Y</v>
      </c>
      <c r="AH43" s="302">
        <f t="shared" si="12"/>
        <v>34536.433607620202</v>
      </c>
      <c r="AI43" s="23">
        <f>IF(LEN(AG43)&gt;0,(UsdMkt!$BS39-'reference set'!$AS122)*100,"")</f>
        <v>6.3050907000000045</v>
      </c>
      <c r="AJ43" s="22">
        <f t="shared" si="13"/>
        <v>217755.34635057373</v>
      </c>
      <c r="AK43" s="33"/>
      <c r="AL43" s="25" t="str">
        <v>7Y</v>
      </c>
      <c r="AM43" s="302">
        <f t="shared" si="14"/>
        <v>7343.22358685995</v>
      </c>
      <c r="AN43" s="23">
        <f>(UsdMkt!CC39-'reference set'!BA122)*100</f>
        <v>6.0999999999999943</v>
      </c>
      <c r="AO43" s="22">
        <f t="shared" si="15"/>
        <v>44793.663879845655</v>
      </c>
      <c r="AP43" s="207" t="str">
        <v>10Y</v>
      </c>
      <c r="AQ43" s="302">
        <f>BktUsdOisSens!L35</f>
        <v>3260.5397438639902</v>
      </c>
      <c r="AR43" s="208">
        <f>INDEX(BktUsdOisPL!PL_OIS_bckt,MATCH(B43,BktUsdOisPL!$F$9:$F$73,0))</f>
        <v>20867.454360729556</v>
      </c>
      <c r="AS43" s="16"/>
      <c r="AU43" s="401"/>
      <c r="AW43" s="401"/>
      <c r="AX43" s="401"/>
      <c r="AY43" s="401"/>
      <c r="AZ43" s="401"/>
      <c r="BA43" s="401"/>
    </row>
    <row r="44" spans="1:53" ht="15" customHeight="1">
      <c r="A44" s="207" t="str">
        <v>11Y</v>
      </c>
      <c r="B44" s="163" t="str">
        <v>11Y</v>
      </c>
      <c r="C44" s="163" t="str">
        <v>W</v>
      </c>
      <c r="D44" s="302">
        <f>IF(AND(Main!$G$22="Default"),VLOOKUP(B44,IRD,$D$3,FALSE),VLOOKUP(B44,IRD,$E$3,FALSE)+AQ44)</f>
        <v>-38384.110042213899</v>
      </c>
      <c r="E44" s="210">
        <f t="shared" si="16"/>
        <v>-234564.37823117239</v>
      </c>
      <c r="F44" s="213"/>
      <c r="G44" s="214">
        <f t="shared" si="1"/>
        <v>0</v>
      </c>
      <c r="H44" s="214"/>
      <c r="I44" s="215"/>
      <c r="J44" s="302"/>
      <c r="K44" s="207" t="str">
        <v>11Y</v>
      </c>
      <c r="L44" s="120">
        <f t="shared" si="2"/>
        <v>0</v>
      </c>
      <c r="M44" s="302">
        <f t="shared" si="3"/>
        <v>0</v>
      </c>
      <c r="N44" s="23">
        <f>IF(LEN(K44)&gt;0,(UsdMkt!$AK40-'reference set'!$I123)*100,"")</f>
        <v>6.1176047000000011</v>
      </c>
      <c r="O44" s="22">
        <f t="shared" si="4"/>
        <v>0</v>
      </c>
      <c r="P44" s="16"/>
      <c r="Q44" s="207" t="str">
        <v>11Y</v>
      </c>
      <c r="R44" s="302" t="e">
        <f t="shared" si="5"/>
        <v>#REF!</v>
      </c>
      <c r="S44" s="23">
        <f>IF(LEN(Q44)&gt;0,(UsdMkt!$AT40-'reference set'!$U123)*100,"")</f>
        <v>6.1274366000000136</v>
      </c>
      <c r="T44" s="22">
        <f t="shared" si="6"/>
        <v>0</v>
      </c>
      <c r="U44" s="16"/>
      <c r="V44" s="207" t="str">
        <v>11Y</v>
      </c>
      <c r="W44" s="120">
        <f t="shared" si="7"/>
        <v>0</v>
      </c>
      <c r="X44" s="302">
        <f t="shared" si="8"/>
        <v>-50498.446217722703</v>
      </c>
      <c r="Y44" s="23">
        <f>IF(LEN(V44)&gt;0,(UsdMkt!$BJ40-'reference set'!$AK123)*100,"")</f>
        <v>6.1176047000000011</v>
      </c>
      <c r="Z44" s="22">
        <f t="shared" si="9"/>
        <v>-308929.53192423767</v>
      </c>
      <c r="AA44" s="16"/>
      <c r="AB44" s="207" t="str">
        <v>11Y</v>
      </c>
      <c r="AC44" s="302">
        <f t="shared" si="10"/>
        <v>-1.56457140697842E-9</v>
      </c>
      <c r="AD44" s="23">
        <f>IF(LEN(AB44)&gt;0,(UsdMkt!$BB40-'reference set'!$AC123)*100,"")</f>
        <v>6.4171897000000033</v>
      </c>
      <c r="AE44" s="22">
        <f t="shared" si="11"/>
        <v>-1.004015151777643E-8</v>
      </c>
      <c r="AF44" s="16"/>
      <c r="AG44" s="207" t="str">
        <v>11Y</v>
      </c>
      <c r="AH44" s="302">
        <f t="shared" si="12"/>
        <v>12114.3361755103</v>
      </c>
      <c r="AI44" s="23">
        <f>IF(LEN(AG44)&gt;0,(UsdMkt!$BS40-'reference set'!$AS123)*100,"")</f>
        <v>6.1386074000000068</v>
      </c>
      <c r="AJ44" s="22">
        <f t="shared" si="13"/>
        <v>74365.153693075306</v>
      </c>
      <c r="AK44" s="33"/>
      <c r="AL44" s="25" t="str">
        <v>8Y</v>
      </c>
      <c r="AM44" s="302">
        <f t="shared" si="14"/>
        <v>11767.6913297058</v>
      </c>
      <c r="AN44" s="23">
        <f>(UsdMkt!CC40-'reference set'!BA123)*100</f>
        <v>6.2999999999999945</v>
      </c>
      <c r="AO44" s="22">
        <f t="shared" si="15"/>
        <v>74136.455377146471</v>
      </c>
      <c r="AP44" s="207" t="str">
        <v>11Y</v>
      </c>
      <c r="AQ44" s="302">
        <f>BktUsdOisSens!L36</f>
        <v>0</v>
      </c>
      <c r="AR44" s="208">
        <f>INDEX(BktUsdOisPL!PL_OIS_bckt,MATCH(B44,BktUsdOisPL!$F$9:$F$73,0))</f>
        <v>0</v>
      </c>
      <c r="AS44" s="16"/>
      <c r="AU44" s="401"/>
      <c r="AW44" s="401"/>
      <c r="AX44" s="401"/>
      <c r="AY44" s="401"/>
      <c r="AZ44" s="401"/>
      <c r="BA44" s="401"/>
    </row>
    <row r="45" spans="1:53" ht="15" customHeight="1">
      <c r="A45" s="207" t="str">
        <v>12Y</v>
      </c>
      <c r="B45" s="163" t="str">
        <v>12Y</v>
      </c>
      <c r="C45" s="163" t="str">
        <v>W</v>
      </c>
      <c r="D45" s="302">
        <f>IF(AND(Main!$G$22="Default"),VLOOKUP(B45,IRD,$D$3,FALSE),VLOOKUP(B45,IRD,$E$3,FALSE)+AQ45)</f>
        <v>-17343.9616926259</v>
      </c>
      <c r="E45" s="210">
        <f t="shared" si="16"/>
        <v>-106018.98327381103</v>
      </c>
      <c r="F45" s="213"/>
      <c r="G45" s="214">
        <f t="shared" si="1"/>
        <v>0</v>
      </c>
      <c r="H45" s="214"/>
      <c r="I45" s="215"/>
      <c r="J45" s="302"/>
      <c r="K45" s="207" t="str">
        <v>12Y</v>
      </c>
      <c r="L45" s="120">
        <f t="shared" si="2"/>
        <v>0</v>
      </c>
      <c r="M45" s="302">
        <f t="shared" si="3"/>
        <v>0</v>
      </c>
      <c r="N45" s="23">
        <f>IF(LEN(K45)&gt;0,(UsdMkt!$AK41-'reference set'!$I124)*100,"")</f>
        <v>6.0000001000000136</v>
      </c>
      <c r="O45" s="22">
        <f t="shared" si="4"/>
        <v>0</v>
      </c>
      <c r="P45" s="16"/>
      <c r="Q45" s="207" t="str">
        <v>12Y</v>
      </c>
      <c r="R45" s="302" t="e">
        <f t="shared" si="5"/>
        <v>#REF!</v>
      </c>
      <c r="S45" s="23">
        <f>IF(LEN(Q45)&gt;0,(UsdMkt!$AT41-'reference set'!$U124)*100,"")</f>
        <v>6.0095723999999962</v>
      </c>
      <c r="T45" s="22">
        <f t="shared" si="6"/>
        <v>0</v>
      </c>
      <c r="U45" s="16"/>
      <c r="V45" s="207" t="str">
        <v>12Y</v>
      </c>
      <c r="W45" s="120">
        <f t="shared" si="7"/>
        <v>0</v>
      </c>
      <c r="X45" s="302">
        <f t="shared" si="8"/>
        <v>-9336.5525233141507</v>
      </c>
      <c r="Y45" s="23">
        <f>IF(LEN(V45)&gt;0,(UsdMkt!$BJ41-'reference set'!$AK124)*100,"")</f>
        <v>6.0000001000000136</v>
      </c>
      <c r="Z45" s="22">
        <f t="shared" si="9"/>
        <v>-56019.316073540285</v>
      </c>
      <c r="AA45" s="16"/>
      <c r="AB45" s="207" t="str">
        <v>12Y</v>
      </c>
      <c r="AC45" s="302">
        <f t="shared" si="10"/>
        <v>8.7409279881956502E-14</v>
      </c>
      <c r="AD45" s="23">
        <f>IF(LEN(AB45)&gt;0,(UsdMkt!$BB41-'reference set'!$AC124)*100,"")</f>
        <v>4.9993173000000279</v>
      </c>
      <c r="AE45" s="22">
        <f t="shared" si="11"/>
        <v>4.3698672509440953E-13</v>
      </c>
      <c r="AF45" s="16"/>
      <c r="AG45" s="207" t="str">
        <v>12Y</v>
      </c>
      <c r="AH45" s="302">
        <f t="shared" si="12"/>
        <v>-1127.5930025129601</v>
      </c>
      <c r="AI45" s="23">
        <f>IF(LEN(AG45)&gt;0,(UsdMkt!$BS41-'reference set'!$AS124)*100,"")</f>
        <v>5.9035710000000297</v>
      </c>
      <c r="AJ45" s="22">
        <f t="shared" si="13"/>
        <v>-6656.8253494384717</v>
      </c>
      <c r="AK45" s="33"/>
      <c r="AL45" s="25" t="str">
        <v>9Y</v>
      </c>
      <c r="AM45" s="302">
        <f t="shared" si="14"/>
        <v>-7532.3023894763101</v>
      </c>
      <c r="AN45" s="23">
        <f>(UsdMkt!CC41-'reference set'!BA124)*100</f>
        <v>6.5000000000000169</v>
      </c>
      <c r="AO45" s="22">
        <f t="shared" si="15"/>
        <v>-48959.965531596143</v>
      </c>
      <c r="AP45" s="207" t="str">
        <v>12Y</v>
      </c>
      <c r="AQ45" s="302">
        <f>BktUsdOisSens!L37</f>
        <v>-6879.8161667987797</v>
      </c>
      <c r="AR45" s="208">
        <f>INDEX(BktUsdOisPL!PL_OIS_bckt,MATCH(B45,BktUsdOisPL!$F$9:$F$73,0))</f>
        <v>-43342.841850832272</v>
      </c>
      <c r="AS45" s="16"/>
      <c r="AU45" s="401"/>
      <c r="AW45" s="401"/>
      <c r="AX45" s="401"/>
      <c r="AY45" s="401"/>
      <c r="AZ45" s="401"/>
      <c r="BA45" s="401"/>
    </row>
    <row r="46" spans="1:53" ht="15" customHeight="1">
      <c r="A46" s="207" t="str">
        <v>13Y</v>
      </c>
      <c r="B46" s="163" t="str">
        <v>13Y</v>
      </c>
      <c r="C46" s="163" t="str">
        <v>W</v>
      </c>
      <c r="D46" s="302">
        <f>IF(AND(Main!$G$22="Default"),VLOOKUP(B46,IRD,$D$3,FALSE),VLOOKUP(B46,IRD,$E$3,FALSE)+AQ46)</f>
        <v>25525.776457520398</v>
      </c>
      <c r="E46" s="210">
        <f t="shared" si="16"/>
        <v>150068.58082905051</v>
      </c>
      <c r="F46" s="213"/>
      <c r="G46" s="214">
        <f t="shared" si="1"/>
        <v>0</v>
      </c>
      <c r="H46" s="214"/>
      <c r="I46" s="215"/>
      <c r="J46" s="302"/>
      <c r="K46" s="207" t="str">
        <v>13Y</v>
      </c>
      <c r="L46" s="120">
        <f t="shared" si="2"/>
        <v>0</v>
      </c>
      <c r="M46" s="302">
        <f t="shared" si="3"/>
        <v>0</v>
      </c>
      <c r="N46" s="23">
        <f>IF(LEN(K46)&gt;0,(UsdMkt!$AK42-'reference set'!$I125)*100,"")</f>
        <v>5.8790947999999954</v>
      </c>
      <c r="O46" s="22">
        <f t="shared" si="4"/>
        <v>0</v>
      </c>
      <c r="P46" s="16"/>
      <c r="Q46" s="207" t="str">
        <v>13Y</v>
      </c>
      <c r="R46" s="302" t="e">
        <f t="shared" si="5"/>
        <v>#REF!</v>
      </c>
      <c r="S46" s="23">
        <f>IF(LEN(Q46)&gt;0,(UsdMkt!$AT42-'reference set'!$U125)*100,"")</f>
        <v>5.8263785999999929</v>
      </c>
      <c r="T46" s="22">
        <f t="shared" si="6"/>
        <v>0</v>
      </c>
      <c r="U46" s="16"/>
      <c r="V46" s="207" t="str">
        <v>13Y</v>
      </c>
      <c r="W46" s="120">
        <f t="shared" si="7"/>
        <v>0</v>
      </c>
      <c r="X46" s="302">
        <f t="shared" si="8"/>
        <v>25526.483253434799</v>
      </c>
      <c r="Y46" s="23">
        <f>IF(LEN(V46)&gt;0,(UsdMkt!$BJ42-'reference set'!$AK125)*100,"")</f>
        <v>5.8790947999999954</v>
      </c>
      <c r="Z46" s="22">
        <f t="shared" si="9"/>
        <v>150072.61495755549</v>
      </c>
      <c r="AA46" s="16"/>
      <c r="AB46" s="207" t="str">
        <v>13Y</v>
      </c>
      <c r="AC46" s="302">
        <f t="shared" si="10"/>
        <v>0</v>
      </c>
      <c r="AD46" s="23">
        <f>IF(LEN(AB46)&gt;0,(UsdMkt!$BB42-'reference set'!$AC125)*100,"")</f>
        <v>6.1887023999999791</v>
      </c>
      <c r="AE46" s="22">
        <f t="shared" si="11"/>
        <v>0</v>
      </c>
      <c r="AF46" s="16"/>
      <c r="AG46" s="207" t="str">
        <v>13Y</v>
      </c>
      <c r="AH46" s="302">
        <f t="shared" si="12"/>
        <v>-0.70679591444468304</v>
      </c>
      <c r="AI46" s="23">
        <f>IF(LEN(AG46)&gt;0,(UsdMkt!$BS42-'reference set'!$AS125)*100,"")</f>
        <v>5.7076285000000393</v>
      </c>
      <c r="AJ46" s="22">
        <f t="shared" si="13"/>
        <v>-4.034128504968062</v>
      </c>
      <c r="AK46" s="33"/>
      <c r="AL46" s="25" t="str">
        <v>10Y</v>
      </c>
      <c r="AM46" s="302">
        <f t="shared" si="14"/>
        <v>3260.5397438639902</v>
      </c>
      <c r="AN46" s="23">
        <f>(UsdMkt!CC42-'reference set'!BA125)*100</f>
        <v>6.4000000000000057</v>
      </c>
      <c r="AO46" s="22">
        <f t="shared" si="15"/>
        <v>20867.454360729556</v>
      </c>
      <c r="AP46" s="207" t="str">
        <v>13Y</v>
      </c>
      <c r="AQ46" s="302">
        <f>BktUsdOisSens!L38</f>
        <v>0</v>
      </c>
      <c r="AR46" s="208">
        <f>INDEX(BktUsdOisPL!PL_OIS_bckt,MATCH(B46,BktUsdOisPL!$F$9:$F$73,0))</f>
        <v>0</v>
      </c>
      <c r="AS46" s="16"/>
      <c r="AU46" s="401"/>
      <c r="AW46" s="401"/>
      <c r="AX46" s="401"/>
      <c r="AY46" s="401"/>
      <c r="AZ46" s="401"/>
      <c r="BA46" s="401"/>
    </row>
    <row r="47" spans="1:53" ht="15" customHeight="1">
      <c r="A47" s="207" t="str">
        <v>14Y</v>
      </c>
      <c r="B47" s="163" t="str">
        <v>14Y</v>
      </c>
      <c r="C47" s="163" t="str">
        <v>W</v>
      </c>
      <c r="D47" s="302">
        <f>IF(AND(Main!$G$22="Default"),VLOOKUP(B47,IRD,$D$3,FALSE),VLOOKUP(B47,IRD,$E$3,FALSE)+AQ47)</f>
        <v>-8414.9423031643291</v>
      </c>
      <c r="E47" s="210">
        <f t="shared" si="16"/>
        <v>-49541.049502806178</v>
      </c>
      <c r="F47" s="213"/>
      <c r="G47" s="214">
        <f t="shared" si="1"/>
        <v>0</v>
      </c>
      <c r="H47" s="214"/>
      <c r="I47" s="215"/>
      <c r="J47" s="302"/>
      <c r="K47" s="207" t="str">
        <v>14Y</v>
      </c>
      <c r="L47" s="120">
        <f t="shared" si="2"/>
        <v>0</v>
      </c>
      <c r="M47" s="302">
        <f t="shared" si="3"/>
        <v>0</v>
      </c>
      <c r="N47" s="23">
        <f>IF(LEN(K47)&gt;0,(UsdMkt!$AK43-'reference set'!$I126)*100,"")</f>
        <v>5.8872715000000131</v>
      </c>
      <c r="O47" s="22">
        <f t="shared" si="4"/>
        <v>0</v>
      </c>
      <c r="P47" s="16"/>
      <c r="Q47" s="207" t="str">
        <v>14Y</v>
      </c>
      <c r="R47" s="302" t="e">
        <f t="shared" si="5"/>
        <v>#REF!</v>
      </c>
      <c r="S47" s="23">
        <f>IF(LEN(Q47)&gt;0,(UsdMkt!$AT43-'reference set'!$U126)*100,"")</f>
        <v>5.8005840999999947</v>
      </c>
      <c r="T47" s="22">
        <f t="shared" si="6"/>
        <v>0</v>
      </c>
      <c r="U47" s="16"/>
      <c r="V47" s="207" t="str">
        <v>14Y</v>
      </c>
      <c r="W47" s="120">
        <f t="shared" si="7"/>
        <v>0</v>
      </c>
      <c r="X47" s="302">
        <f t="shared" si="8"/>
        <v>-8414.9398028309897</v>
      </c>
      <c r="Y47" s="23">
        <f>IF(LEN(V47)&gt;0,(UsdMkt!$BJ43-'reference set'!$AK126)*100,"")</f>
        <v>5.8872715000000131</v>
      </c>
      <c r="Z47" s="22">
        <f t="shared" si="9"/>
        <v>-49541.035275422619</v>
      </c>
      <c r="AA47" s="16"/>
      <c r="AB47" s="207" t="str">
        <v>14Y</v>
      </c>
      <c r="AC47" s="302">
        <f t="shared" si="10"/>
        <v>0</v>
      </c>
      <c r="AD47" s="23">
        <f>IF(LEN(AB47)&gt;0,(UsdMkt!$BB43-'reference set'!$AC126)*100,"")</f>
        <v>7.4998068999999834</v>
      </c>
      <c r="AE47" s="22">
        <f t="shared" si="11"/>
        <v>0</v>
      </c>
      <c r="AF47" s="16"/>
      <c r="AG47" s="207" t="str">
        <v>14Y</v>
      </c>
      <c r="AH47" s="302">
        <f t="shared" si="12"/>
        <v>-2.5003333474059798E-3</v>
      </c>
      <c r="AI47" s="23">
        <f>IF(LEN(AG47)&gt;0,(UsdMkt!$BS43-'reference set'!$AS126)*100,"")</f>
        <v>5.6901947000000064</v>
      </c>
      <c r="AJ47" s="22">
        <f t="shared" si="13"/>
        <v>-1.4227383561642781E-2</v>
      </c>
      <c r="AK47" s="33"/>
      <c r="AL47" s="25" t="str">
        <v>12Y</v>
      </c>
      <c r="AM47" s="302">
        <f t="shared" si="14"/>
        <v>-6879.8161667987797</v>
      </c>
      <c r="AN47" s="23">
        <f>(UsdMkt!CC43-'reference set'!BA126)*100</f>
        <v>6.2999999999999945</v>
      </c>
      <c r="AO47" s="22">
        <f t="shared" si="15"/>
        <v>-43342.841850832272</v>
      </c>
      <c r="AP47" s="207" t="str">
        <v>14Y</v>
      </c>
      <c r="AQ47" s="302">
        <f>BktUsdOisSens!L39</f>
        <v>0</v>
      </c>
      <c r="AR47" s="208">
        <f>INDEX(BktUsdOisPL!PL_OIS_bckt,MATCH(B47,BktUsdOisPL!$F$9:$F$73,0))</f>
        <v>0</v>
      </c>
      <c r="AS47" s="16"/>
      <c r="AU47" s="401"/>
      <c r="AW47" s="401"/>
      <c r="AX47" s="401"/>
      <c r="AY47" s="401"/>
      <c r="AZ47" s="401"/>
      <c r="BA47" s="401"/>
    </row>
    <row r="48" spans="1:53" ht="15" customHeight="1">
      <c r="A48" s="207" t="str">
        <v>15Y</v>
      </c>
      <c r="B48" s="163" t="str">
        <v>15Y</v>
      </c>
      <c r="C48" s="163" t="str">
        <v>W</v>
      </c>
      <c r="D48" s="302">
        <f>IF(AND(Main!$G$22="Default"),VLOOKUP(B48,IRD,$D$3,FALSE),VLOOKUP(B48,IRD,$E$3,FALSE)+AQ48)</f>
        <v>29888.303455052101</v>
      </c>
      <c r="E48" s="210">
        <f t="shared" si="16"/>
        <v>182241.61537962372</v>
      </c>
      <c r="F48" s="213"/>
      <c r="G48" s="214">
        <f t="shared" si="1"/>
        <v>0</v>
      </c>
      <c r="H48" s="214"/>
      <c r="I48" s="215"/>
      <c r="J48" s="302"/>
      <c r="K48" s="207" t="str">
        <v>15Y</v>
      </c>
      <c r="L48" s="120">
        <f t="shared" si="2"/>
        <v>0</v>
      </c>
      <c r="M48" s="302">
        <f t="shared" si="3"/>
        <v>0</v>
      </c>
      <c r="N48" s="23">
        <f>IF(LEN(K48)&gt;0,(UsdMkt!$AK44-'reference set'!$I127)*100,"")</f>
        <v>5.8999997000000359</v>
      </c>
      <c r="O48" s="22">
        <f t="shared" si="4"/>
        <v>0</v>
      </c>
      <c r="P48" s="16"/>
      <c r="Q48" s="207" t="str">
        <v>15Y</v>
      </c>
      <c r="R48" s="302" t="e">
        <f t="shared" si="5"/>
        <v>#REF!</v>
      </c>
      <c r="S48" s="23">
        <f>IF(LEN(Q48)&gt;0,(UsdMkt!$AT44-'reference set'!$U127)*100,"")</f>
        <v>5.7829094999999775</v>
      </c>
      <c r="T48" s="22">
        <f t="shared" si="6"/>
        <v>0</v>
      </c>
      <c r="U48" s="16"/>
      <c r="V48" s="207" t="str">
        <v>15Y</v>
      </c>
      <c r="W48" s="120">
        <f t="shared" si="7"/>
        <v>0</v>
      </c>
      <c r="X48" s="302">
        <f t="shared" si="8"/>
        <v>385.17790408177098</v>
      </c>
      <c r="Y48" s="23">
        <f>IF(LEN(V48)&gt;0,(UsdMkt!$BJ44-'reference set'!$AK127)*100,"")</f>
        <v>5.8999997000000359</v>
      </c>
      <c r="Z48" s="22">
        <f t="shared" si="9"/>
        <v>2272.5495185290915</v>
      </c>
      <c r="AA48" s="16"/>
      <c r="AB48" s="207" t="str">
        <v>15Y</v>
      </c>
      <c r="AC48" s="302">
        <f t="shared" si="10"/>
        <v>0</v>
      </c>
      <c r="AD48" s="23">
        <f>IF(LEN(AB48)&gt;0,(UsdMkt!$BB44-'reference set'!$AC127)*100,"")</f>
        <v>4.8997280000000032</v>
      </c>
      <c r="AE48" s="22">
        <f t="shared" si="11"/>
        <v>0</v>
      </c>
      <c r="AF48" s="16"/>
      <c r="AG48" s="207" t="str">
        <v>15Y</v>
      </c>
      <c r="AH48" s="302">
        <f t="shared" si="12"/>
        <v>-4.41629196799407E-7</v>
      </c>
      <c r="AI48" s="23">
        <f>IF(LEN(AG48)&gt;0,(UsdMkt!$BS44-'reference set'!$AS127)*100,"")</f>
        <v>5.702591899999998</v>
      </c>
      <c r="AJ48" s="22">
        <f t="shared" si="13"/>
        <v>-2.5184310804718033E-6</v>
      </c>
      <c r="AK48" s="33"/>
      <c r="AL48" s="25" t="str">
        <v>15Y</v>
      </c>
      <c r="AM48" s="302">
        <f t="shared" si="14"/>
        <v>29503.1255514119</v>
      </c>
      <c r="AN48" s="23">
        <f>(UsdMkt!CC44-'reference set'!BA127)*100</f>
        <v>6.1000000000000165</v>
      </c>
      <c r="AO48" s="22">
        <f t="shared" si="15"/>
        <v>179969.06586361307</v>
      </c>
      <c r="AP48" s="207" t="str">
        <v>15Y</v>
      </c>
      <c r="AQ48" s="302">
        <f>BktUsdOisSens!L40</f>
        <v>29503.1255514119</v>
      </c>
      <c r="AR48" s="208">
        <f>INDEX(BktUsdOisPL!PL_OIS_bckt,MATCH(B48,BktUsdOisPL!$F$9:$F$73,0))</f>
        <v>179969.06586361307</v>
      </c>
      <c r="AS48" s="16"/>
      <c r="AU48" s="401"/>
      <c r="AW48" s="401"/>
      <c r="AX48" s="401"/>
      <c r="AY48" s="401"/>
      <c r="AZ48" s="401"/>
      <c r="BA48" s="401"/>
    </row>
    <row r="49" spans="1:53" ht="15" customHeight="1">
      <c r="A49" s="207" t="str">
        <v>16Y</v>
      </c>
      <c r="B49" s="163" t="str">
        <v>16Y</v>
      </c>
      <c r="C49" s="163" t="str">
        <v>W</v>
      </c>
      <c r="D49" s="302">
        <f>IF(AND(Main!$G$22="Default"),VLOOKUP(B49,IRD,$D$3,FALSE),VLOOKUP(B49,IRD,$E$3,FALSE)+AQ49)</f>
        <v>-1302.03949925094</v>
      </c>
      <c r="E49" s="210">
        <f t="shared" si="16"/>
        <v>-7681.9019302029074</v>
      </c>
      <c r="F49" s="213"/>
      <c r="G49" s="214">
        <f t="shared" ref="G49:G71" si="17">IF(B49="4Y",PL_NOTE5Y,IF(B49="7Y",PL_NOTE10Y,IF(B49="16Y",PL_NOTE30Y,0)))</f>
        <v>0</v>
      </c>
      <c r="H49" s="214"/>
      <c r="I49" s="215"/>
      <c r="J49" s="302"/>
      <c r="K49" s="207" t="str">
        <v>16Y</v>
      </c>
      <c r="L49" s="120">
        <f t="shared" ref="L49:L71" si="18">IF(C49="W",IF(VALUE(LEFT(B49,LEN(B49)-1))&gt;=3,VLOOKUP($M$4&amp;B49,SensFUT,$L$3,FALSE),0),0)</f>
        <v>0</v>
      </c>
      <c r="M49" s="302">
        <f t="shared" si="3"/>
        <v>0</v>
      </c>
      <c r="N49" s="23">
        <f>IF(LEN(K49)&gt;0,(UsdMkt!$AK45-'reference set'!$I128)*100,"")</f>
        <v>5.8998992999999889</v>
      </c>
      <c r="O49" s="22">
        <f t="shared" ref="O49:O71" si="19">IFERROR(M49*N49,0)</f>
        <v>0</v>
      </c>
      <c r="P49" s="16"/>
      <c r="Q49" s="207" t="str">
        <v>16Y</v>
      </c>
      <c r="R49" s="302" t="e">
        <f t="shared" si="5"/>
        <v>#REF!</v>
      </c>
      <c r="S49" s="23">
        <f>IF(LEN(Q49)&gt;0,(UsdMkt!$AT45-'reference set'!$U128)*100,"")</f>
        <v>5.7883702000000259</v>
      </c>
      <c r="T49" s="22">
        <f t="shared" ref="T49:T71" si="20">IFERROR(R49*S49,0)</f>
        <v>0</v>
      </c>
      <c r="U49" s="16"/>
      <c r="V49" s="207" t="str">
        <v>16Y</v>
      </c>
      <c r="W49" s="120">
        <f t="shared" ref="W49:W71" si="21">IF(AND(C49&lt;&gt;"",C49&lt;&gt;"W"),VLOOKUP($X$4&amp;B49,SensFUT,$W$3,FALSE),0)</f>
        <v>0</v>
      </c>
      <c r="X49" s="302">
        <f t="shared" si="8"/>
        <v>-1302.0394992505801</v>
      </c>
      <c r="Y49" s="23">
        <f>IF(LEN(V49)&gt;0,(UsdMkt!$BJ45-'reference set'!$AK128)*100,"")</f>
        <v>5.8998992999999889</v>
      </c>
      <c r="Z49" s="22">
        <f t="shared" ref="Z49:Z71" si="22">IFERROR(X49*Y49,0)</f>
        <v>-7681.9019302008337</v>
      </c>
      <c r="AA49" s="16"/>
      <c r="AB49" s="207" t="str">
        <v>16Y</v>
      </c>
      <c r="AC49" s="302">
        <f t="shared" ref="AC49:AC71" si="23">IF(LEN($B49)&gt;0,VLOOKUP($B49,IRD,$AD$3,FALSE),"")</f>
        <v>0</v>
      </c>
      <c r="AD49" s="23">
        <f>IF(LEN(AB49)&gt;0,(UsdMkt!$BB45-'reference set'!$AC128)*100,"")</f>
        <v>6.1616411000000149</v>
      </c>
      <c r="AE49" s="22">
        <f t="shared" ref="AE49:AE71" si="24">IFERROR(AC49*AD49,0)</f>
        <v>0</v>
      </c>
      <c r="AF49" s="16"/>
      <c r="AG49" s="207" t="str">
        <v>16Y</v>
      </c>
      <c r="AH49" s="302">
        <f t="shared" ref="AH49:AH71" si="25">IF(LEN($B49)&gt;0,VLOOKUP($B49,IRD,$AI$3,FALSE),"")</f>
        <v>-3.6234754827331702E-10</v>
      </c>
      <c r="AI49" s="23">
        <f>IF(LEN(AG49)&gt;0,(UsdMkt!$BS45-'reference set'!$AS128)*100,"")</f>
        <v>5.7222367000000052</v>
      </c>
      <c r="AJ49" s="22">
        <f t="shared" ref="AJ49:AJ71" si="26">IFERROR(AH49*AI49,0)</f>
        <v>-2.0734384388845981E-9</v>
      </c>
      <c r="AK49" s="33"/>
      <c r="AL49" s="25" t="str">
        <v>20Y</v>
      </c>
      <c r="AM49" s="302">
        <f t="shared" si="14"/>
        <v>-31547.523857256601</v>
      </c>
      <c r="AN49" s="23">
        <f>(UsdMkt!CC45-'reference set'!BA128)*100</f>
        <v>6.2000000000000055</v>
      </c>
      <c r="AO49" s="22">
        <f t="shared" si="15"/>
        <v>-195594.6479149911</v>
      </c>
      <c r="AP49" s="207" t="str">
        <v>16Y</v>
      </c>
      <c r="AQ49" s="302">
        <f>BktUsdOisSens!L41</f>
        <v>0</v>
      </c>
      <c r="AR49" s="208">
        <f>INDEX(BktUsdOisPL!PL_OIS_bckt,MATCH(B49,BktUsdOisPL!$F$9:$F$73,0))</f>
        <v>0</v>
      </c>
      <c r="AS49" s="16"/>
      <c r="AU49" s="401"/>
      <c r="AW49" s="401"/>
      <c r="AX49" s="401"/>
      <c r="AY49" s="401"/>
      <c r="AZ49" s="401"/>
      <c r="BA49" s="401"/>
    </row>
    <row r="50" spans="1:53" ht="15" customHeight="1">
      <c r="A50" s="207" t="str">
        <v>17Y</v>
      </c>
      <c r="B50" s="163" t="str">
        <v>17Y</v>
      </c>
      <c r="C50" s="163" t="str">
        <v>W</v>
      </c>
      <c r="D50" s="302">
        <f>IF(AND(Main!$G$22="Default"),VLOOKUP(B50,IRD,$D$3,FALSE),VLOOKUP(B50,IRD,$E$3,FALSE)+AQ50)</f>
        <v>-1611.40942593404</v>
      </c>
      <c r="E50" s="210">
        <f t="shared" si="16"/>
        <v>-9560.4864841337203</v>
      </c>
      <c r="F50" s="213"/>
      <c r="G50" s="214">
        <f t="shared" si="17"/>
        <v>0</v>
      </c>
      <c r="H50" s="214"/>
      <c r="I50" s="215"/>
      <c r="J50" s="56"/>
      <c r="K50" s="207" t="str">
        <v>17Y</v>
      </c>
      <c r="L50" s="120">
        <f t="shared" si="18"/>
        <v>0</v>
      </c>
      <c r="M50" s="302">
        <f t="shared" si="3"/>
        <v>0</v>
      </c>
      <c r="N50" s="23">
        <f>IF(LEN(K50)&gt;0,(UsdMkt!$AK46-'reference set'!$I129)*100,"")</f>
        <v>5.9329965000000318</v>
      </c>
      <c r="O50" s="22">
        <f t="shared" si="19"/>
        <v>0</v>
      </c>
      <c r="P50" s="16"/>
      <c r="Q50" s="207" t="str">
        <v>17Y</v>
      </c>
      <c r="R50" s="302" t="e">
        <f t="shared" si="5"/>
        <v>#REF!</v>
      </c>
      <c r="S50" s="23">
        <f>IF(LEN(Q50)&gt;0,(UsdMkt!$AT46-'reference set'!$U129)*100,"")</f>
        <v>5.8466426000000293</v>
      </c>
      <c r="T50" s="22">
        <f t="shared" si="20"/>
        <v>0</v>
      </c>
      <c r="U50" s="16"/>
      <c r="V50" s="207" t="str">
        <v>17Y</v>
      </c>
      <c r="W50" s="120">
        <f t="shared" si="21"/>
        <v>0</v>
      </c>
      <c r="X50" s="302">
        <f t="shared" si="8"/>
        <v>-1611.40942593404</v>
      </c>
      <c r="Y50" s="23">
        <f>IF(LEN(V50)&gt;0,(UsdMkt!$BJ46-'reference set'!$AK129)*100,"")</f>
        <v>5.9329965000000318</v>
      </c>
      <c r="Z50" s="22">
        <f t="shared" si="22"/>
        <v>-9560.4864841337203</v>
      </c>
      <c r="AA50" s="16"/>
      <c r="AB50" s="207" t="str">
        <v>17Y</v>
      </c>
      <c r="AC50" s="302">
        <f t="shared" si="23"/>
        <v>0</v>
      </c>
      <c r="AD50" s="23">
        <f>IF(LEN(AB50)&gt;0,(UsdMkt!$BB46-'reference set'!$AC129)*100,"")</f>
        <v>6.1444703999999906</v>
      </c>
      <c r="AE50" s="22">
        <f t="shared" si="24"/>
        <v>0</v>
      </c>
      <c r="AF50" s="16"/>
      <c r="AG50" s="207" t="str">
        <v>17Y</v>
      </c>
      <c r="AH50" s="302">
        <f t="shared" si="25"/>
        <v>0</v>
      </c>
      <c r="AI50" s="23">
        <f>IF(LEN(AG50)&gt;0,(UsdMkt!$BS46-'reference set'!$AS129)*100,"")</f>
        <v>5.787720399999996</v>
      </c>
      <c r="AJ50" s="22">
        <f t="shared" si="26"/>
        <v>0</v>
      </c>
      <c r="AK50" s="33"/>
      <c r="AL50" s="25" t="str">
        <v>25Y</v>
      </c>
      <c r="AM50" s="302">
        <f t="shared" si="14"/>
        <v>13086.473683550499</v>
      </c>
      <c r="AN50" s="23">
        <f>(UsdMkt!CC46-'reference set'!BA129)*100</f>
        <v>6.0999999999999943</v>
      </c>
      <c r="AO50" s="22">
        <f t="shared" si="15"/>
        <v>79827.489469657972</v>
      </c>
      <c r="AP50" s="207" t="str">
        <v>17Y</v>
      </c>
      <c r="AQ50" s="302">
        <f>BktUsdOisSens!L42</f>
        <v>0</v>
      </c>
      <c r="AR50" s="208">
        <f>INDEX(BktUsdOisPL!PL_OIS_bckt,MATCH(B50,BktUsdOisPL!$F$9:$F$73,0))</f>
        <v>0</v>
      </c>
      <c r="AS50" s="16"/>
      <c r="AU50" s="401"/>
      <c r="AW50" s="401"/>
      <c r="AX50" s="401"/>
      <c r="AY50" s="401"/>
      <c r="AZ50" s="401"/>
      <c r="BA50" s="401"/>
    </row>
    <row r="51" spans="1:53" ht="15" customHeight="1">
      <c r="A51" s="207" t="str">
        <v>18Y</v>
      </c>
      <c r="B51" s="163" t="str">
        <v>18Y</v>
      </c>
      <c r="C51" s="163" t="str">
        <v>W</v>
      </c>
      <c r="D51" s="302">
        <f>IF(AND(Main!$G$22="Default"),VLOOKUP(B51,IRD,$D$3,FALSE),VLOOKUP(B51,IRD,$E$3,FALSE)+AQ51)</f>
        <v>-11948.091858723899</v>
      </c>
      <c r="E51" s="210">
        <f t="shared" si="16"/>
        <v>-71219.82033987093</v>
      </c>
      <c r="F51" s="213"/>
      <c r="G51" s="214">
        <f t="shared" si="17"/>
        <v>0</v>
      </c>
      <c r="H51" s="214"/>
      <c r="I51" s="215"/>
      <c r="J51" s="69"/>
      <c r="K51" s="207" t="str">
        <v>18Y</v>
      </c>
      <c r="L51" s="120">
        <f t="shared" si="18"/>
        <v>0</v>
      </c>
      <c r="M51" s="302">
        <f t="shared" si="3"/>
        <v>0</v>
      </c>
      <c r="N51" s="23">
        <f>IF(LEN(K51)&gt;0,(UsdMkt!$AK47-'reference set'!$I130)*100,"")</f>
        <v>5.9607694000000322</v>
      </c>
      <c r="O51" s="22">
        <f t="shared" si="19"/>
        <v>0</v>
      </c>
      <c r="P51" s="16"/>
      <c r="Q51" s="207" t="str">
        <v>18Y</v>
      </c>
      <c r="R51" s="302" t="e">
        <f t="shared" si="5"/>
        <v>#REF!</v>
      </c>
      <c r="S51" s="23">
        <f>IF(LEN(Q51)&gt;0,(UsdMkt!$AT47-'reference set'!$U130)*100,"")</f>
        <v>5.9098944000000042</v>
      </c>
      <c r="T51" s="22">
        <f t="shared" si="20"/>
        <v>0</v>
      </c>
      <c r="U51" s="16"/>
      <c r="V51" s="207" t="str">
        <v>18Y</v>
      </c>
      <c r="W51" s="120">
        <f t="shared" si="21"/>
        <v>0</v>
      </c>
      <c r="X51" s="302">
        <f t="shared" si="8"/>
        <v>-11948.091858723899</v>
      </c>
      <c r="Y51" s="23">
        <f>IF(LEN(V51)&gt;0,(UsdMkt!$BJ47-'reference set'!$AK130)*100,"")</f>
        <v>5.9607694000000322</v>
      </c>
      <c r="Z51" s="22">
        <f t="shared" si="22"/>
        <v>-71219.82033987093</v>
      </c>
      <c r="AA51" s="16"/>
      <c r="AB51" s="207" t="str">
        <v>18Y</v>
      </c>
      <c r="AC51" s="302">
        <f t="shared" si="23"/>
        <v>0</v>
      </c>
      <c r="AD51" s="23">
        <f>IF(LEN(AB51)&gt;0,(UsdMkt!$BB47-'reference set'!$AC130)*100,"")</f>
        <v>6.1221675000000086</v>
      </c>
      <c r="AE51" s="22">
        <f t="shared" si="24"/>
        <v>0</v>
      </c>
      <c r="AF51" s="16"/>
      <c r="AG51" s="207" t="str">
        <v>18Y</v>
      </c>
      <c r="AH51" s="302">
        <f t="shared" si="25"/>
        <v>0</v>
      </c>
      <c r="AI51" s="23">
        <f>IF(LEN(AG51)&gt;0,(UsdMkt!$BS47-'reference set'!$AS130)*100,"")</f>
        <v>5.8583951000000134</v>
      </c>
      <c r="AJ51" s="22">
        <f t="shared" si="26"/>
        <v>0</v>
      </c>
      <c r="AK51" s="33"/>
      <c r="AL51" s="25" t="str">
        <v>30Y</v>
      </c>
      <c r="AM51" s="302">
        <f t="shared" si="14"/>
        <v>717.89143936861797</v>
      </c>
      <c r="AN51" s="23">
        <f>(UsdMkt!CC47-'reference set'!BA130)*100</f>
        <v>5.8000000000000274</v>
      </c>
      <c r="AO51" s="22">
        <f t="shared" si="15"/>
        <v>4163.7703483380037</v>
      </c>
      <c r="AP51" s="207" t="str">
        <v>18Y</v>
      </c>
      <c r="AQ51" s="302">
        <f>BktUsdOisSens!L43</f>
        <v>0</v>
      </c>
      <c r="AR51" s="208">
        <f>INDEX(BktUsdOisPL!PL_OIS_bckt,MATCH(B51,BktUsdOisPL!$F$9:$F$73,0))</f>
        <v>0</v>
      </c>
      <c r="AS51" s="16"/>
      <c r="AU51" s="401"/>
      <c r="AW51" s="401"/>
      <c r="AX51" s="401"/>
      <c r="AY51" s="401"/>
      <c r="AZ51" s="401"/>
      <c r="BA51" s="401"/>
    </row>
    <row r="52" spans="1:53" ht="15" customHeight="1">
      <c r="A52" s="207" t="str">
        <v>19Y</v>
      </c>
      <c r="B52" s="163" t="str">
        <v>19Y</v>
      </c>
      <c r="C52" s="163" t="str">
        <v>W</v>
      </c>
      <c r="D52" s="302">
        <f>IF(AND(Main!$G$22="Default"),VLOOKUP(B52,IRD,$D$3,FALSE),VLOOKUP(B52,IRD,$E$3,FALSE)+AQ52)</f>
        <v>85969.773861928799</v>
      </c>
      <c r="E52" s="210">
        <f t="shared" si="16"/>
        <v>512001.90330027125</v>
      </c>
      <c r="F52" s="213"/>
      <c r="G52" s="214">
        <f t="shared" si="17"/>
        <v>0</v>
      </c>
      <c r="H52" s="214"/>
      <c r="I52" s="215"/>
      <c r="J52" s="69"/>
      <c r="K52" s="207" t="str">
        <v>19Y</v>
      </c>
      <c r="L52" s="120">
        <f t="shared" si="18"/>
        <v>0</v>
      </c>
      <c r="M52" s="302">
        <f t="shared" si="3"/>
        <v>0</v>
      </c>
      <c r="N52" s="23">
        <f>IF(LEN(K52)&gt;0,(UsdMkt!$AK48-'reference set'!$I131)*100,"")</f>
        <v>5.9556037000000561</v>
      </c>
      <c r="O52" s="22">
        <f t="shared" si="19"/>
        <v>0</v>
      </c>
      <c r="P52" s="16"/>
      <c r="Q52" s="207" t="str">
        <v>19Y</v>
      </c>
      <c r="R52" s="302" t="e">
        <f t="shared" si="5"/>
        <v>#REF!</v>
      </c>
      <c r="S52" s="23">
        <f>IF(LEN(Q52)&gt;0,(UsdMkt!$AT48-'reference set'!$U131)*100,"")</f>
        <v>5.9352474999999849</v>
      </c>
      <c r="T52" s="22">
        <f t="shared" si="20"/>
        <v>0</v>
      </c>
      <c r="U52" s="16"/>
      <c r="V52" s="207" t="str">
        <v>19Y</v>
      </c>
      <c r="W52" s="120">
        <f t="shared" si="21"/>
        <v>0</v>
      </c>
      <c r="X52" s="302">
        <f t="shared" si="8"/>
        <v>85969.773861928799</v>
      </c>
      <c r="Y52" s="23">
        <f>IF(LEN(V52)&gt;0,(UsdMkt!$BJ48-'reference set'!$AK131)*100,"")</f>
        <v>5.9556037000000561</v>
      </c>
      <c r="Z52" s="22">
        <f t="shared" si="22"/>
        <v>512001.90330027125</v>
      </c>
      <c r="AA52" s="16"/>
      <c r="AB52" s="207" t="str">
        <v>19Y</v>
      </c>
      <c r="AC52" s="302">
        <f t="shared" si="23"/>
        <v>0</v>
      </c>
      <c r="AD52" s="23">
        <f>IF(LEN(AB52)&gt;0,(UsdMkt!$BB48-'reference set'!$AC131)*100,"")</f>
        <v>6.0781609000000181</v>
      </c>
      <c r="AE52" s="22">
        <f t="shared" si="24"/>
        <v>0</v>
      </c>
      <c r="AF52" s="16"/>
      <c r="AG52" s="207" t="str">
        <v>19Y</v>
      </c>
      <c r="AH52" s="302">
        <f t="shared" si="25"/>
        <v>0</v>
      </c>
      <c r="AI52" s="23">
        <f>IF(LEN(AG52)&gt;0,(UsdMkt!$BS48-'reference set'!$AS131)*100,"")</f>
        <v>5.9018116999999926</v>
      </c>
      <c r="AJ52" s="22">
        <f t="shared" si="26"/>
        <v>0</v>
      </c>
      <c r="AK52" s="33"/>
      <c r="AL52" s="25" t="str">
        <v>40Y</v>
      </c>
      <c r="AM52" s="302">
        <f t="shared" si="14"/>
        <v>2.1523715145714801</v>
      </c>
      <c r="AN52" s="23">
        <f>(UsdMkt!CC48-'reference set'!BA131)*100</f>
        <v>5.500000000000016</v>
      </c>
      <c r="AO52" s="22">
        <f t="shared" si="15"/>
        <v>11.838043330143176</v>
      </c>
      <c r="AP52" s="207" t="str">
        <v>19Y</v>
      </c>
      <c r="AQ52" s="302">
        <f>BktUsdOisSens!L44</f>
        <v>0</v>
      </c>
      <c r="AR52" s="208">
        <f>INDEX(BktUsdOisPL!PL_OIS_bckt,MATCH(B52,BktUsdOisPL!$F$9:$F$73,0))</f>
        <v>0</v>
      </c>
      <c r="AS52" s="16"/>
      <c r="AU52" s="401"/>
      <c r="AW52" s="401"/>
      <c r="AX52" s="401"/>
      <c r="AY52" s="401"/>
      <c r="AZ52" s="401"/>
      <c r="BA52" s="401"/>
    </row>
    <row r="53" spans="1:53" ht="15" customHeight="1">
      <c r="A53" s="207" t="str">
        <v>20Y</v>
      </c>
      <c r="B53" s="163" t="str">
        <v>20Y</v>
      </c>
      <c r="C53" s="163" t="str">
        <v>W</v>
      </c>
      <c r="D53" s="302">
        <f>IF(AND(Main!$G$22="Default"),VLOOKUP(B53,IRD,$D$3,FALSE),VLOOKUP(B53,IRD,$E$3,FALSE)+AQ53)</f>
        <v>-69417.825459835003</v>
      </c>
      <c r="E53" s="210">
        <f t="shared" si="16"/>
        <v>-422816.44616937375</v>
      </c>
      <c r="F53" s="213"/>
      <c r="G53" s="214">
        <f t="shared" si="17"/>
        <v>0</v>
      </c>
      <c r="H53" s="214"/>
      <c r="I53" s="215"/>
      <c r="J53" s="69"/>
      <c r="K53" s="207" t="str">
        <v>20Y</v>
      </c>
      <c r="L53" s="120">
        <f t="shared" si="18"/>
        <v>0</v>
      </c>
      <c r="M53" s="302">
        <f t="shared" si="3"/>
        <v>0</v>
      </c>
      <c r="N53" s="23">
        <f>IF(LEN(K53)&gt;0,(UsdMkt!$AK49-'reference set'!$I132)*100,"")</f>
        <v>5.9999997000000249</v>
      </c>
      <c r="O53" s="22">
        <f t="shared" si="19"/>
        <v>0</v>
      </c>
      <c r="P53" s="16"/>
      <c r="Q53" s="207" t="str">
        <v>20Y</v>
      </c>
      <c r="R53" s="302" t="e">
        <f t="shared" si="5"/>
        <v>#REF!</v>
      </c>
      <c r="S53" s="23">
        <f>IF(LEN(Q53)&gt;0,(UsdMkt!$AT49-'reference set'!$U132)*100,"")</f>
        <v>6.0085984000000092</v>
      </c>
      <c r="T53" s="22">
        <f t="shared" si="20"/>
        <v>0</v>
      </c>
      <c r="U53" s="16"/>
      <c r="V53" s="207" t="str">
        <v>20Y</v>
      </c>
      <c r="W53" s="120">
        <f t="shared" si="21"/>
        <v>0</v>
      </c>
      <c r="X53" s="302">
        <f t="shared" si="8"/>
        <v>-37870.3016025787</v>
      </c>
      <c r="Y53" s="23">
        <f>IF(LEN(V53)&gt;0,(UsdMkt!$BJ49-'reference set'!$AK132)*100,"")</f>
        <v>5.9999997000000249</v>
      </c>
      <c r="Z53" s="22">
        <f t="shared" si="22"/>
        <v>-227221.79825438265</v>
      </c>
      <c r="AA53" s="16"/>
      <c r="AB53" s="207" t="str">
        <v>20Y</v>
      </c>
      <c r="AC53" s="302">
        <f t="shared" si="23"/>
        <v>0</v>
      </c>
      <c r="AD53" s="23">
        <f>IF(LEN(AB53)&gt;0,(UsdMkt!$BB49-'reference set'!$AC132)*100,"")</f>
        <v>6.0977722000000067</v>
      </c>
      <c r="AE53" s="22">
        <f t="shared" si="24"/>
        <v>0</v>
      </c>
      <c r="AF53" s="16"/>
      <c r="AG53" s="207" t="str">
        <v>20Y</v>
      </c>
      <c r="AH53" s="302">
        <f t="shared" si="25"/>
        <v>0</v>
      </c>
      <c r="AI53" s="23">
        <f>IF(LEN(AG53)&gt;0,(UsdMkt!$BS49-'reference set'!$AS132)*100,"")</f>
        <v>6.0039818999999994</v>
      </c>
      <c r="AJ53" s="22">
        <f t="shared" si="26"/>
        <v>0</v>
      </c>
      <c r="AK53" s="33"/>
      <c r="AL53" s="25" t="str">
        <v>50Y</v>
      </c>
      <c r="AM53" s="302">
        <f t="shared" si="14"/>
        <v>2.7119986312733501E-2</v>
      </c>
      <c r="AN53" s="23">
        <f>(UsdMkt!CC49-'reference set'!BA132)*100</f>
        <v>5.7000000000000384</v>
      </c>
      <c r="AO53" s="22">
        <f t="shared" si="15"/>
        <v>0.154583921982582</v>
      </c>
      <c r="AP53" s="207" t="str">
        <v>20Y</v>
      </c>
      <c r="AQ53" s="302">
        <f>BktUsdOisSens!L45</f>
        <v>-31547.523857256601</v>
      </c>
      <c r="AR53" s="208">
        <f>INDEX(BktUsdOisPL!PL_OIS_bckt,MATCH(B53,BktUsdOisPL!$F$9:$F$73,0))</f>
        <v>-195594.6479149911</v>
      </c>
      <c r="AS53" s="16"/>
      <c r="AU53" s="401"/>
      <c r="AW53" s="401"/>
      <c r="AX53" s="401"/>
      <c r="AY53" s="401"/>
      <c r="AZ53" s="401"/>
      <c r="BA53" s="401"/>
    </row>
    <row r="54" spans="1:53" ht="15" customHeight="1" thickBot="1">
      <c r="A54" s="207" t="str">
        <v>21Y</v>
      </c>
      <c r="B54" s="163" t="str">
        <v>21Y</v>
      </c>
      <c r="C54" s="163" t="str">
        <v>W</v>
      </c>
      <c r="D54" s="302">
        <f>IF(AND(Main!$G$22="Default"),VLOOKUP(B54,IRD,$D$3,FALSE),VLOOKUP(B54,IRD,$E$3,FALSE)+AQ54)</f>
        <v>3060.4798979197999</v>
      </c>
      <c r="E54" s="210">
        <f t="shared" si="16"/>
        <v>18328.36084684615</v>
      </c>
      <c r="F54" s="213"/>
      <c r="G54" s="214">
        <f t="shared" si="17"/>
        <v>0</v>
      </c>
      <c r="H54" s="214"/>
      <c r="I54" s="215"/>
      <c r="J54" s="69"/>
      <c r="K54" s="207" t="str">
        <v>21Y</v>
      </c>
      <c r="L54" s="120">
        <f t="shared" si="18"/>
        <v>0</v>
      </c>
      <c r="M54" s="302">
        <f t="shared" si="3"/>
        <v>0</v>
      </c>
      <c r="N54" s="23">
        <f>IF(LEN(K54)&gt;0,(UsdMkt!$AK50-'reference set'!$I133)*100,"")</f>
        <v>5.9887212000000023</v>
      </c>
      <c r="O54" s="22">
        <f t="shared" si="19"/>
        <v>0</v>
      </c>
      <c r="P54" s="16"/>
      <c r="Q54" s="207" t="str">
        <v>21Y</v>
      </c>
      <c r="R54" s="302" t="e">
        <f t="shared" si="5"/>
        <v>#REF!</v>
      </c>
      <c r="S54" s="23">
        <f>IF(LEN(Q54)&gt;0,(UsdMkt!$AT50-'reference set'!$U133)*100,"")</f>
        <v>6.0109927000000063</v>
      </c>
      <c r="T54" s="22">
        <f t="shared" si="20"/>
        <v>0</v>
      </c>
      <c r="U54" s="16"/>
      <c r="V54" s="207" t="str">
        <v>21Y</v>
      </c>
      <c r="W54" s="120">
        <f t="shared" si="21"/>
        <v>0</v>
      </c>
      <c r="X54" s="302">
        <f t="shared" si="8"/>
        <v>3060.4798979197999</v>
      </c>
      <c r="Y54" s="23">
        <f>IF(LEN(V54)&gt;0,(UsdMkt!$BJ50-'reference set'!$AK133)*100,"")</f>
        <v>5.9887212000000023</v>
      </c>
      <c r="Z54" s="22">
        <f t="shared" si="22"/>
        <v>18328.36084684615</v>
      </c>
      <c r="AA54" s="16"/>
      <c r="AB54" s="207" t="str">
        <v>21Y</v>
      </c>
      <c r="AC54" s="302">
        <f t="shared" si="23"/>
        <v>0</v>
      </c>
      <c r="AD54" s="23">
        <f>IF(LEN(AB54)&gt;0,(UsdMkt!$BB50-'reference set'!$AC133)*100,"")</f>
        <v>6.0872869999999857</v>
      </c>
      <c r="AE54" s="22">
        <f t="shared" si="24"/>
        <v>0</v>
      </c>
      <c r="AF54" s="16"/>
      <c r="AG54" s="207" t="str">
        <v>21Y</v>
      </c>
      <c r="AH54" s="302">
        <f t="shared" si="25"/>
        <v>0</v>
      </c>
      <c r="AI54" s="23">
        <f>IF(LEN(AG54)&gt;0,(UsdMkt!$BS50-'reference set'!$AS133)*100,"")</f>
        <v>6.0520342000000227</v>
      </c>
      <c r="AJ54" s="22">
        <f t="shared" si="26"/>
        <v>0</v>
      </c>
      <c r="AK54" s="33"/>
      <c r="AL54" s="116" t="str">
        <v>60Y</v>
      </c>
      <c r="AM54" s="117">
        <f t="shared" si="14"/>
        <v>3.1793433814539203E-4</v>
      </c>
      <c r="AN54" s="118">
        <f>(UsdMkt!CC50-'reference set'!BA133)*100</f>
        <v>5.9076624999999883</v>
      </c>
      <c r="AO54" s="119">
        <f t="shared" si="15"/>
        <v>1.8782487669238483E-3</v>
      </c>
      <c r="AP54" s="207" t="str">
        <v>21Y</v>
      </c>
      <c r="AQ54" s="302">
        <f>BktUsdOisSens!L46</f>
        <v>0</v>
      </c>
      <c r="AR54" s="208">
        <f>INDEX(BktUsdOisPL!PL_OIS_bckt,MATCH(B54,BktUsdOisPL!$F$9:$F$73,0))</f>
        <v>0</v>
      </c>
      <c r="AS54" s="16"/>
      <c r="AU54" s="401"/>
      <c r="AW54" s="401"/>
      <c r="AX54" s="401"/>
      <c r="AY54" s="401"/>
      <c r="AZ54" s="401"/>
      <c r="BA54" s="401"/>
    </row>
    <row r="55" spans="1:53" ht="15" customHeight="1" thickTop="1">
      <c r="A55" s="207" t="str">
        <v>22Y</v>
      </c>
      <c r="B55" s="163" t="str">
        <v>22Y</v>
      </c>
      <c r="C55" s="163" t="str">
        <v>W</v>
      </c>
      <c r="D55" s="302">
        <f>IF(AND(Main!$G$22="Default"),VLOOKUP(B55,IRD,$D$3,FALSE),VLOOKUP(B55,IRD,$E$3,FALSE)+AQ55)</f>
        <v>-32.647113742218103</v>
      </c>
      <c r="E55" s="210">
        <f t="shared" si="16"/>
        <v>-195.09137844571475</v>
      </c>
      <c r="F55" s="213"/>
      <c r="G55" s="214">
        <f t="shared" si="17"/>
        <v>0</v>
      </c>
      <c r="H55" s="214"/>
      <c r="I55" s="215"/>
      <c r="J55" s="69"/>
      <c r="K55" s="207" t="str">
        <v>22Y</v>
      </c>
      <c r="L55" s="120">
        <f t="shared" si="18"/>
        <v>0</v>
      </c>
      <c r="M55" s="302">
        <f t="shared" si="3"/>
        <v>0</v>
      </c>
      <c r="N55" s="23">
        <f>IF(LEN(K55)&gt;0,(UsdMkt!$AK51-'reference set'!$I134)*100,"")</f>
        <v>5.9757619000000428</v>
      </c>
      <c r="O55" s="22">
        <f t="shared" si="19"/>
        <v>0</v>
      </c>
      <c r="P55" s="16"/>
      <c r="Q55" s="207" t="str">
        <v>22Y</v>
      </c>
      <c r="R55" s="302" t="e">
        <f t="shared" si="5"/>
        <v>#REF!</v>
      </c>
      <c r="S55" s="23">
        <f>IF(LEN(Q55)&gt;0,(UsdMkt!$AT51-'reference set'!$U134)*100,"")</f>
        <v>5.9999656000000012</v>
      </c>
      <c r="T55" s="22">
        <f t="shared" si="20"/>
        <v>0</v>
      </c>
      <c r="U55" s="16"/>
      <c r="V55" s="207" t="str">
        <v>22Y</v>
      </c>
      <c r="W55" s="120">
        <f t="shared" si="21"/>
        <v>0</v>
      </c>
      <c r="X55" s="302">
        <f t="shared" si="8"/>
        <v>-32.647113742218103</v>
      </c>
      <c r="Y55" s="23">
        <f>IF(LEN(V55)&gt;0,(UsdMkt!$BJ51-'reference set'!$AK134)*100,"")</f>
        <v>5.9757619000000428</v>
      </c>
      <c r="Z55" s="22">
        <f t="shared" si="22"/>
        <v>-195.09137844571475</v>
      </c>
      <c r="AA55" s="16"/>
      <c r="AB55" s="207" t="str">
        <v>22Y</v>
      </c>
      <c r="AC55" s="302">
        <f t="shared" si="23"/>
        <v>0</v>
      </c>
      <c r="AD55" s="23">
        <f>IF(LEN(AB55)&gt;0,(UsdMkt!$BB51-'reference set'!$AC134)*100,"")</f>
        <v>6.0895925000000073</v>
      </c>
      <c r="AE55" s="22">
        <f t="shared" si="24"/>
        <v>0</v>
      </c>
      <c r="AF55" s="16"/>
      <c r="AG55" s="207" t="str">
        <v>22Y</v>
      </c>
      <c r="AH55" s="302">
        <f t="shared" si="25"/>
        <v>0</v>
      </c>
      <c r="AI55" s="23">
        <f>IF(LEN(AG55)&gt;0,(UsdMkt!$BS51-'reference set'!$AS134)*100,"")</f>
        <v>6.0938816000000173</v>
      </c>
      <c r="AJ55" s="22">
        <f t="shared" si="26"/>
        <v>0</v>
      </c>
      <c r="AK55" s="33"/>
      <c r="AL55" s="303"/>
      <c r="AM55" s="303"/>
      <c r="AN55" s="303"/>
      <c r="AO55" s="303"/>
      <c r="AP55" s="207" t="str">
        <v>22Y</v>
      </c>
      <c r="AQ55" s="302">
        <f>BktUsdOisSens!L47</f>
        <v>0</v>
      </c>
      <c r="AR55" s="208">
        <f>INDEX(BktUsdOisPL!PL_OIS_bckt,MATCH(B55,BktUsdOisPL!$F$9:$F$73,0))</f>
        <v>0</v>
      </c>
      <c r="AS55" s="16"/>
      <c r="AU55" s="401"/>
      <c r="AW55" s="401"/>
      <c r="AX55" s="401"/>
      <c r="AY55" s="401"/>
      <c r="AZ55" s="401"/>
      <c r="BA55" s="401"/>
    </row>
    <row r="56" spans="1:53" ht="15" customHeight="1">
      <c r="A56" s="207" t="str">
        <v>23Y</v>
      </c>
      <c r="B56" s="163" t="str">
        <v>23Y</v>
      </c>
      <c r="C56" s="163" t="str">
        <v>W</v>
      </c>
      <c r="D56" s="302">
        <f>IF(AND(Main!$G$22="Default"),VLOOKUP(B56,IRD,$D$3,FALSE),VLOOKUP(B56,IRD,$E$3,FALSE)+AQ56)</f>
        <v>367.28323174009898</v>
      </c>
      <c r="E56" s="210">
        <f t="shared" si="16"/>
        <v>2187.8020132229281</v>
      </c>
      <c r="F56" s="213"/>
      <c r="G56" s="214">
        <f t="shared" si="17"/>
        <v>0</v>
      </c>
      <c r="H56" s="214"/>
      <c r="I56" s="215"/>
      <c r="J56" s="69"/>
      <c r="K56" s="207" t="str">
        <v>23Y</v>
      </c>
      <c r="L56" s="120">
        <f t="shared" si="18"/>
        <v>0</v>
      </c>
      <c r="M56" s="302">
        <f t="shared" si="3"/>
        <v>0</v>
      </c>
      <c r="N56" s="23">
        <f>IF(LEN(K56)&gt;0,(UsdMkt!$AK52-'reference set'!$I135)*100,"")</f>
        <v>5.956716300000009</v>
      </c>
      <c r="O56" s="22">
        <f t="shared" si="19"/>
        <v>0</v>
      </c>
      <c r="P56" s="16"/>
      <c r="Q56" s="207" t="str">
        <v>23Y</v>
      </c>
      <c r="R56" s="302" t="e">
        <f t="shared" si="5"/>
        <v>#REF!</v>
      </c>
      <c r="S56" s="23">
        <f>IF(LEN(Q56)&gt;0,(UsdMkt!$AT52-'reference set'!$U135)*100,"")</f>
        <v>5.9763583000000065</v>
      </c>
      <c r="T56" s="22">
        <f t="shared" si="20"/>
        <v>0</v>
      </c>
      <c r="U56" s="16"/>
      <c r="V56" s="207" t="str">
        <v>23Y</v>
      </c>
      <c r="W56" s="120">
        <f t="shared" si="21"/>
        <v>0</v>
      </c>
      <c r="X56" s="302">
        <f t="shared" si="8"/>
        <v>367.28323174009898</v>
      </c>
      <c r="Y56" s="23">
        <f>IF(LEN(V56)&gt;0,(UsdMkt!$BJ52-'reference set'!$AK135)*100,"")</f>
        <v>5.956716300000009</v>
      </c>
      <c r="Z56" s="22">
        <f t="shared" si="22"/>
        <v>2187.8020132229281</v>
      </c>
      <c r="AA56" s="16"/>
      <c r="AB56" s="207" t="str">
        <v>23Y</v>
      </c>
      <c r="AC56" s="302">
        <f t="shared" si="23"/>
        <v>0</v>
      </c>
      <c r="AD56" s="23">
        <f>IF(LEN(AB56)&gt;0,(UsdMkt!$BB52-'reference set'!$AC135)*100,"")</f>
        <v>6.0950913000000106</v>
      </c>
      <c r="AE56" s="22">
        <f t="shared" si="24"/>
        <v>0</v>
      </c>
      <c r="AF56" s="16"/>
      <c r="AG56" s="207" t="str">
        <v>23Y</v>
      </c>
      <c r="AH56" s="302">
        <f t="shared" si="25"/>
        <v>0</v>
      </c>
      <c r="AI56" s="23">
        <f>IF(LEN(AG56)&gt;0,(UsdMkt!$BS52-'reference set'!$AS135)*100,"")</f>
        <v>6.1197829999999787</v>
      </c>
      <c r="AJ56" s="22">
        <f t="shared" si="26"/>
        <v>0</v>
      </c>
      <c r="AK56" s="33"/>
      <c r="AL56" s="303"/>
      <c r="AM56" s="303"/>
      <c r="AN56" s="303"/>
      <c r="AO56" s="303"/>
      <c r="AP56" s="207" t="str">
        <v>23Y</v>
      </c>
      <c r="AQ56" s="302">
        <f>BktUsdOisSens!L48</f>
        <v>0</v>
      </c>
      <c r="AR56" s="208">
        <f>INDEX(BktUsdOisPL!PL_OIS_bckt,MATCH(B56,BktUsdOisPL!$F$9:$F$73,0))</f>
        <v>0</v>
      </c>
      <c r="AS56" s="16"/>
      <c r="AU56" s="401"/>
      <c r="AW56" s="401"/>
      <c r="AX56" s="401"/>
      <c r="AY56" s="401"/>
      <c r="AZ56" s="401"/>
      <c r="BA56" s="401"/>
    </row>
    <row r="57" spans="1:53" ht="15" customHeight="1">
      <c r="A57" s="207" t="str">
        <v>24Y</v>
      </c>
      <c r="B57" s="163" t="str">
        <v>24Y</v>
      </c>
      <c r="C57" s="163" t="str">
        <v>W</v>
      </c>
      <c r="D57" s="302">
        <f>IF(AND(Main!$G$22="Default"),VLOOKUP(B57,IRD,$D$3,FALSE),VLOOKUP(B57,IRD,$E$3,FALSE)+AQ57)</f>
        <v>-10573.6631950924</v>
      </c>
      <c r="E57" s="210">
        <f t="shared" si="16"/>
        <v>-62485.042561438342</v>
      </c>
      <c r="F57" s="213"/>
      <c r="G57" s="214">
        <f t="shared" si="17"/>
        <v>0</v>
      </c>
      <c r="H57" s="214"/>
      <c r="I57" s="215"/>
      <c r="J57" s="69"/>
      <c r="K57" s="207" t="str">
        <v>24Y</v>
      </c>
      <c r="L57" s="120">
        <f t="shared" si="18"/>
        <v>0</v>
      </c>
      <c r="M57" s="302">
        <f t="shared" si="3"/>
        <v>0</v>
      </c>
      <c r="N57" s="23">
        <f>IF(LEN(K57)&gt;0,(UsdMkt!$AK53-'reference set'!$I136)*100,"")</f>
        <v>5.909498099999988</v>
      </c>
      <c r="O57" s="22">
        <f t="shared" si="19"/>
        <v>0</v>
      </c>
      <c r="P57" s="16"/>
      <c r="Q57" s="207" t="str">
        <v>24Y</v>
      </c>
      <c r="R57" s="302" t="e">
        <f t="shared" si="5"/>
        <v>#REF!</v>
      </c>
      <c r="S57" s="23">
        <f>IF(LEN(Q57)&gt;0,(UsdMkt!$AT53-'reference set'!$U136)*100,"")</f>
        <v>5.920003900000026</v>
      </c>
      <c r="T57" s="22">
        <f t="shared" si="20"/>
        <v>0</v>
      </c>
      <c r="U57" s="16"/>
      <c r="V57" s="207" t="str">
        <v>24Y</v>
      </c>
      <c r="W57" s="120">
        <f t="shared" si="21"/>
        <v>0</v>
      </c>
      <c r="X57" s="302">
        <f t="shared" si="8"/>
        <v>-10573.6631950924</v>
      </c>
      <c r="Y57" s="23">
        <f>IF(LEN(V57)&gt;0,(UsdMkt!$BJ53-'reference set'!$AK136)*100,"")</f>
        <v>5.909498099999988</v>
      </c>
      <c r="Z57" s="22">
        <f t="shared" si="22"/>
        <v>-62485.042561438342</v>
      </c>
      <c r="AA57" s="16"/>
      <c r="AB57" s="207" t="str">
        <v>24Y</v>
      </c>
      <c r="AC57" s="302">
        <f t="shared" si="23"/>
        <v>0</v>
      </c>
      <c r="AD57" s="23">
        <f>IF(LEN(AB57)&gt;0,(UsdMkt!$BB53-'reference set'!$AC136)*100,"")</f>
        <v>6.0787645000000001</v>
      </c>
      <c r="AE57" s="22">
        <f t="shared" si="24"/>
        <v>0</v>
      </c>
      <c r="AF57" s="16"/>
      <c r="AG57" s="207" t="str">
        <v>24Y</v>
      </c>
      <c r="AH57" s="302">
        <f t="shared" si="25"/>
        <v>0</v>
      </c>
      <c r="AI57" s="23">
        <f>IF(LEN(AG57)&gt;0,(UsdMkt!$BS53-'reference set'!$AS136)*100,"")</f>
        <v>6.1017208000000434</v>
      </c>
      <c r="AJ57" s="22">
        <f t="shared" si="26"/>
        <v>0</v>
      </c>
      <c r="AK57" s="33"/>
      <c r="AL57" s="303"/>
      <c r="AM57" s="303"/>
      <c r="AN57" s="303"/>
      <c r="AO57" s="303"/>
      <c r="AP57" s="207" t="str">
        <v>24Y</v>
      </c>
      <c r="AQ57" s="302">
        <f>BktUsdOisSens!L49</f>
        <v>0</v>
      </c>
      <c r="AR57" s="208">
        <f>INDEX(BktUsdOisPL!PL_OIS_bckt,MATCH(B57,BktUsdOisPL!$F$9:$F$73,0))</f>
        <v>0</v>
      </c>
      <c r="AS57" s="16"/>
      <c r="AU57" s="401"/>
      <c r="AW57" s="401"/>
      <c r="AX57" s="401"/>
      <c r="AY57" s="401"/>
      <c r="AZ57" s="401"/>
      <c r="BA57" s="401"/>
    </row>
    <row r="58" spans="1:53" ht="15" customHeight="1">
      <c r="A58" s="207" t="str">
        <v>25Y</v>
      </c>
      <c r="B58" s="163" t="str">
        <v>25Y</v>
      </c>
      <c r="C58" s="163" t="str">
        <v>W</v>
      </c>
      <c r="D58" s="302">
        <f>IF(AND(Main!$G$22="Default"),VLOOKUP(B58,IRD,$D$3,FALSE),VLOOKUP(B58,IRD,$E$3,FALSE)+AQ58)</f>
        <v>6473.7553696948098</v>
      </c>
      <c r="E58" s="210">
        <f t="shared" si="16"/>
        <v>40812.452740453125</v>
      </c>
      <c r="F58" s="213"/>
      <c r="G58" s="214">
        <f t="shared" si="17"/>
        <v>0</v>
      </c>
      <c r="H58" s="214"/>
      <c r="I58" s="215"/>
      <c r="J58" s="69"/>
      <c r="K58" s="207" t="str">
        <v>25Y</v>
      </c>
      <c r="L58" s="120">
        <f t="shared" si="18"/>
        <v>0</v>
      </c>
      <c r="M58" s="302">
        <f t="shared" si="3"/>
        <v>0</v>
      </c>
      <c r="N58" s="23">
        <f>IF(LEN(K58)&gt;0,(UsdMkt!$AK54-'reference set'!$I137)*100,"")</f>
        <v>5.8999998000000442</v>
      </c>
      <c r="O58" s="22">
        <f t="shared" si="19"/>
        <v>0</v>
      </c>
      <c r="P58" s="16"/>
      <c r="Q58" s="207" t="str">
        <v>25Y</v>
      </c>
      <c r="R58" s="302" t="e">
        <f t="shared" si="5"/>
        <v>#REF!</v>
      </c>
      <c r="S58" s="23">
        <f>IF(LEN(Q58)&gt;0,(UsdMkt!$AT54-'reference set'!$U137)*100,"")</f>
        <v>5.9080235000000147</v>
      </c>
      <c r="T58" s="22">
        <f t="shared" si="20"/>
        <v>0</v>
      </c>
      <c r="U58" s="16"/>
      <c r="V58" s="207" t="str">
        <v>25Y</v>
      </c>
      <c r="W58" s="120">
        <f t="shared" si="21"/>
        <v>0</v>
      </c>
      <c r="X58" s="302">
        <f t="shared" si="8"/>
        <v>-6612.7183138556302</v>
      </c>
      <c r="Y58" s="23">
        <f>IF(LEN(V58)&gt;0,(UsdMkt!$BJ54-'reference set'!$AK137)*100,"")</f>
        <v>5.8999998000000442</v>
      </c>
      <c r="Z58" s="22">
        <f t="shared" si="22"/>
        <v>-39015.036729204847</v>
      </c>
      <c r="AA58" s="16"/>
      <c r="AB58" s="207" t="str">
        <v>25Y</v>
      </c>
      <c r="AC58" s="302">
        <f t="shared" si="23"/>
        <v>0</v>
      </c>
      <c r="AD58" s="23">
        <f>IF(LEN(AB58)&gt;0,(UsdMkt!$BB54-'reference set'!$AC137)*100,"")</f>
        <v>6.098549600000025</v>
      </c>
      <c r="AE58" s="22">
        <f t="shared" si="24"/>
        <v>0</v>
      </c>
      <c r="AF58" s="16"/>
      <c r="AG58" s="207" t="str">
        <v>25Y</v>
      </c>
      <c r="AH58" s="302">
        <f t="shared" si="25"/>
        <v>0</v>
      </c>
      <c r="AI58" s="23">
        <f>IF(LEN(AG58)&gt;0,(UsdMkt!$BS54-'reference set'!$AS137)*100,"")</f>
        <v>6.1053188999999897</v>
      </c>
      <c r="AJ58" s="22">
        <f t="shared" si="26"/>
        <v>0</v>
      </c>
      <c r="AK58" s="33"/>
      <c r="AL58" s="303"/>
      <c r="AM58" s="303"/>
      <c r="AN58" s="303"/>
      <c r="AO58" s="303"/>
      <c r="AP58" s="207" t="str">
        <v>25Y</v>
      </c>
      <c r="AQ58" s="302">
        <f>BktUsdOisSens!L50</f>
        <v>13086.473683550499</v>
      </c>
      <c r="AR58" s="208">
        <f>INDEX(BktUsdOisPL!PL_OIS_bckt,MATCH(B58,BktUsdOisPL!$F$9:$F$73,0))</f>
        <v>79827.489469657972</v>
      </c>
      <c r="AS58" s="16"/>
      <c r="AU58" s="401"/>
      <c r="AW58" s="401"/>
      <c r="AX58" s="401"/>
      <c r="AY58" s="401"/>
      <c r="AZ58" s="401"/>
      <c r="BA58" s="401"/>
    </row>
    <row r="59" spans="1:53" ht="15" customHeight="1">
      <c r="A59" s="207" t="str">
        <v>26Y</v>
      </c>
      <c r="B59" s="163" t="str">
        <v>26Y</v>
      </c>
      <c r="C59" s="163" t="str">
        <v>W</v>
      </c>
      <c r="D59" s="302">
        <f>IF(AND(Main!$G$22="Default"),VLOOKUP(B59,IRD,$D$3,FALSE),VLOOKUP(B59,IRD,$E$3,FALSE)+AQ59)</f>
        <v>-67.704671341530798</v>
      </c>
      <c r="E59" s="210">
        <f t="shared" si="16"/>
        <v>-397.43290011183393</v>
      </c>
      <c r="F59" s="213"/>
      <c r="G59" s="214">
        <f t="shared" si="17"/>
        <v>0</v>
      </c>
      <c r="H59" s="214"/>
      <c r="I59" s="215"/>
      <c r="J59" s="69"/>
      <c r="K59" s="207" t="str">
        <v>26Y</v>
      </c>
      <c r="L59" s="120">
        <f t="shared" si="18"/>
        <v>0</v>
      </c>
      <c r="M59" s="302">
        <f t="shared" si="3"/>
        <v>0</v>
      </c>
      <c r="N59" s="23">
        <f>IF(LEN(K59)&gt;0,(UsdMkt!$AK55-'reference set'!$I138)*100,"")</f>
        <v>5.8700957000000109</v>
      </c>
      <c r="O59" s="22">
        <f t="shared" si="19"/>
        <v>0</v>
      </c>
      <c r="P59" s="16"/>
      <c r="Q59" s="207" t="str">
        <v>26Y</v>
      </c>
      <c r="R59" s="302" t="e">
        <f t="shared" si="5"/>
        <v>#REF!</v>
      </c>
      <c r="S59" s="23">
        <f>IF(LEN(Q59)&gt;0,(UsdMkt!$AT55-'reference set'!$U138)*100,"")</f>
        <v>5.8738506000000079</v>
      </c>
      <c r="T59" s="22">
        <f t="shared" si="20"/>
        <v>0</v>
      </c>
      <c r="U59" s="16"/>
      <c r="V59" s="207" t="str">
        <v>26Y</v>
      </c>
      <c r="W59" s="120">
        <f t="shared" si="21"/>
        <v>0</v>
      </c>
      <c r="X59" s="302">
        <f t="shared" si="8"/>
        <v>-67.704671341530798</v>
      </c>
      <c r="Y59" s="23">
        <f>IF(LEN(V59)&gt;0,(UsdMkt!$BJ55-'reference set'!$AK138)*100,"")</f>
        <v>5.8700957000000109</v>
      </c>
      <c r="Z59" s="22">
        <f t="shared" si="22"/>
        <v>-397.43290011183393</v>
      </c>
      <c r="AA59" s="16"/>
      <c r="AB59" s="207" t="str">
        <v>26Y</v>
      </c>
      <c r="AC59" s="302">
        <f t="shared" si="23"/>
        <v>0</v>
      </c>
      <c r="AD59" s="23">
        <f>IF(LEN(AB59)&gt;0,(UsdMkt!$BB55-'reference set'!$AC138)*100,"")</f>
        <v>6.0953227000000165</v>
      </c>
      <c r="AE59" s="22">
        <f t="shared" si="24"/>
        <v>0</v>
      </c>
      <c r="AF59" s="16"/>
      <c r="AG59" s="207" t="str">
        <v>26Y</v>
      </c>
      <c r="AH59" s="302">
        <f t="shared" si="25"/>
        <v>0</v>
      </c>
      <c r="AI59" s="23">
        <f>IF(LEN(AG59)&gt;0,(UsdMkt!$BS55-'reference set'!$AS138)*100,"")</f>
        <v>6.0668280000000241</v>
      </c>
      <c r="AJ59" s="22">
        <f t="shared" si="26"/>
        <v>0</v>
      </c>
      <c r="AK59" s="33"/>
      <c r="AL59" s="303"/>
      <c r="AM59" s="303"/>
      <c r="AN59" s="303"/>
      <c r="AO59" s="303"/>
      <c r="AP59" s="207" t="str">
        <v>26Y</v>
      </c>
      <c r="AQ59" s="302">
        <f>BktUsdOisSens!L51</f>
        <v>0</v>
      </c>
      <c r="AR59" s="208">
        <f>INDEX(BktUsdOisPL!PL_OIS_bckt,MATCH(B59,BktUsdOisPL!$F$9:$F$73,0))</f>
        <v>0</v>
      </c>
      <c r="AS59" s="16"/>
      <c r="AU59" s="401"/>
      <c r="AW59" s="401"/>
      <c r="AX59" s="401"/>
      <c r="AY59" s="401"/>
      <c r="AZ59" s="401"/>
      <c r="BA59" s="401"/>
    </row>
    <row r="60" spans="1:53" ht="15" customHeight="1">
      <c r="A60" s="207" t="str">
        <v>27Y</v>
      </c>
      <c r="B60" s="163" t="str">
        <v>27Y</v>
      </c>
      <c r="C60" s="163" t="str">
        <v>W</v>
      </c>
      <c r="D60" s="302">
        <f>IF(AND(Main!$G$22="Default"),VLOOKUP(B60,IRD,$D$3,FALSE),VLOOKUP(B60,IRD,$E$3,FALSE)+AQ60)</f>
        <v>0.198961209651556</v>
      </c>
      <c r="E60" s="210">
        <f t="shared" si="16"/>
        <v>1.1603004305485105</v>
      </c>
      <c r="F60" s="213"/>
      <c r="G60" s="214">
        <f t="shared" si="17"/>
        <v>0</v>
      </c>
      <c r="H60" s="214"/>
      <c r="I60" s="215"/>
      <c r="J60" s="69"/>
      <c r="K60" s="207" t="str">
        <v>27Y</v>
      </c>
      <c r="L60" s="120">
        <f t="shared" si="18"/>
        <v>0</v>
      </c>
      <c r="M60" s="302">
        <f t="shared" si="3"/>
        <v>0</v>
      </c>
      <c r="N60" s="23">
        <f>IF(LEN(K60)&gt;0,(UsdMkt!$AK56-'reference set'!$I139)*100,"")</f>
        <v>5.8317922000000078</v>
      </c>
      <c r="O60" s="22">
        <f t="shared" si="19"/>
        <v>0</v>
      </c>
      <c r="P60" s="16"/>
      <c r="Q60" s="207" t="str">
        <v>27Y</v>
      </c>
      <c r="R60" s="302" t="e">
        <f t="shared" si="5"/>
        <v>#REF!</v>
      </c>
      <c r="S60" s="23">
        <f>IF(LEN(Q60)&gt;0,(UsdMkt!$AT56-'reference set'!$U139)*100,"")</f>
        <v>5.8368814000000047</v>
      </c>
      <c r="T60" s="22">
        <f t="shared" si="20"/>
        <v>0</v>
      </c>
      <c r="U60" s="16"/>
      <c r="V60" s="207" t="str">
        <v>27Y</v>
      </c>
      <c r="W60" s="120">
        <f t="shared" si="21"/>
        <v>0</v>
      </c>
      <c r="X60" s="302">
        <f t="shared" si="8"/>
        <v>0.198961209651556</v>
      </c>
      <c r="Y60" s="23">
        <f>IF(LEN(V60)&gt;0,(UsdMkt!$BJ56-'reference set'!$AK139)*100,"")</f>
        <v>5.8317922000000078</v>
      </c>
      <c r="Z60" s="22">
        <f t="shared" si="22"/>
        <v>1.1603004305485105</v>
      </c>
      <c r="AA60" s="16"/>
      <c r="AB60" s="207" t="str">
        <v>27Y</v>
      </c>
      <c r="AC60" s="302">
        <f t="shared" si="23"/>
        <v>0</v>
      </c>
      <c r="AD60" s="23">
        <f>IF(LEN(AB60)&gt;0,(UsdMkt!$BB56-'reference set'!$AC139)*100,"")</f>
        <v>6.0827623000000219</v>
      </c>
      <c r="AE60" s="22">
        <f t="shared" si="24"/>
        <v>0</v>
      </c>
      <c r="AF60" s="16"/>
      <c r="AG60" s="207" t="str">
        <v>27Y</v>
      </c>
      <c r="AH60" s="302">
        <f t="shared" si="25"/>
        <v>0</v>
      </c>
      <c r="AI60" s="23">
        <f>IF(LEN(AG60)&gt;0,(UsdMkt!$BS56-'reference set'!$AS139)*100,"")</f>
        <v>6.0075633999999933</v>
      </c>
      <c r="AJ60" s="22">
        <f t="shared" si="26"/>
        <v>0</v>
      </c>
      <c r="AK60" s="33"/>
      <c r="AL60" s="303"/>
      <c r="AM60" s="303"/>
      <c r="AN60" s="303"/>
      <c r="AO60" s="303"/>
      <c r="AP60" s="207" t="str">
        <v>27Y</v>
      </c>
      <c r="AQ60" s="302">
        <f>BktUsdOisSens!L52</f>
        <v>0</v>
      </c>
      <c r="AR60" s="208">
        <f>INDEX(BktUsdOisPL!PL_OIS_bckt,MATCH(B60,BktUsdOisPL!$F$9:$F$73,0))</f>
        <v>0</v>
      </c>
      <c r="AS60" s="16"/>
    </row>
    <row r="61" spans="1:53" ht="15" customHeight="1">
      <c r="A61" s="207" t="str">
        <v>28Y</v>
      </c>
      <c r="B61" s="163" t="str">
        <v>28Y</v>
      </c>
      <c r="C61" s="163" t="str">
        <v>W</v>
      </c>
      <c r="D61" s="302">
        <f>IF(AND(Main!$G$22="Default"),VLOOKUP(B61,IRD,$D$3,FALSE),VLOOKUP(B61,IRD,$E$3,FALSE)+AQ61)</f>
        <v>3.8097247997322803E-5</v>
      </c>
      <c r="E61" s="210">
        <f t="shared" si="16"/>
        <v>2.2072288280465072E-4</v>
      </c>
      <c r="F61" s="213"/>
      <c r="G61" s="214">
        <f t="shared" si="17"/>
        <v>0</v>
      </c>
      <c r="H61" s="214"/>
      <c r="I61" s="215"/>
      <c r="J61" s="69"/>
      <c r="K61" s="207" t="str">
        <v>28Y</v>
      </c>
      <c r="L61" s="120">
        <f t="shared" si="18"/>
        <v>0</v>
      </c>
      <c r="M61" s="302">
        <f t="shared" si="3"/>
        <v>0</v>
      </c>
      <c r="N61" s="23">
        <f>IF(LEN(K61)&gt;0,(UsdMkt!$AK57-'reference set'!$I140)*100,"")</f>
        <v>5.7936700000000396</v>
      </c>
      <c r="O61" s="22">
        <f t="shared" si="19"/>
        <v>0</v>
      </c>
      <c r="P61" s="16"/>
      <c r="Q61" s="207" t="str">
        <v>28Y</v>
      </c>
      <c r="R61" s="302" t="e">
        <f t="shared" si="5"/>
        <v>#REF!</v>
      </c>
      <c r="S61" s="23">
        <f>IF(LEN(Q61)&gt;0,(UsdMkt!$AT57-'reference set'!$U140)*100,"")</f>
        <v>5.7986679999999957</v>
      </c>
      <c r="T61" s="22">
        <f t="shared" si="20"/>
        <v>0</v>
      </c>
      <c r="U61" s="16"/>
      <c r="V61" s="207" t="str">
        <v>28Y</v>
      </c>
      <c r="W61" s="120">
        <f t="shared" si="21"/>
        <v>0</v>
      </c>
      <c r="X61" s="302">
        <f t="shared" si="8"/>
        <v>3.8097247997322803E-5</v>
      </c>
      <c r="Y61" s="23">
        <f>IF(LEN(V61)&gt;0,(UsdMkt!$BJ57-'reference set'!$AK140)*100,"")</f>
        <v>5.7936700000000396</v>
      </c>
      <c r="Z61" s="22">
        <f t="shared" si="22"/>
        <v>2.2072288280465072E-4</v>
      </c>
      <c r="AA61" s="16"/>
      <c r="AB61" s="207" t="str">
        <v>28Y</v>
      </c>
      <c r="AC61" s="302">
        <f t="shared" si="23"/>
        <v>0</v>
      </c>
      <c r="AD61" s="23">
        <f>IF(LEN(AB61)&gt;0,(UsdMkt!$BB57-'reference set'!$AC140)*100,"")</f>
        <v>6.0645781999999926</v>
      </c>
      <c r="AE61" s="22">
        <f t="shared" si="24"/>
        <v>0</v>
      </c>
      <c r="AF61" s="16"/>
      <c r="AG61" s="207" t="str">
        <v>28Y</v>
      </c>
      <c r="AH61" s="302">
        <f t="shared" si="25"/>
        <v>0</v>
      </c>
      <c r="AI61" s="23">
        <f>IF(LEN(AG61)&gt;0,(UsdMkt!$BS57-'reference set'!$AS140)*100,"")</f>
        <v>5.9425620999999929</v>
      </c>
      <c r="AJ61" s="22">
        <f t="shared" si="26"/>
        <v>0</v>
      </c>
      <c r="AK61" s="33"/>
      <c r="AL61" s="303"/>
      <c r="AM61" s="303"/>
      <c r="AN61" s="303"/>
      <c r="AO61" s="303"/>
      <c r="AP61" s="207" t="str">
        <v>28Y</v>
      </c>
      <c r="AQ61" s="302">
        <f>BktUsdOisSens!L53</f>
        <v>0</v>
      </c>
      <c r="AR61" s="208">
        <f>INDEX(BktUsdOisPL!PL_OIS_bckt,MATCH(B61,BktUsdOisPL!$F$9:$F$73,0))</f>
        <v>0</v>
      </c>
      <c r="AS61" s="16"/>
    </row>
    <row r="62" spans="1:53" ht="15" customHeight="1">
      <c r="A62" s="207" t="str">
        <v>29Y</v>
      </c>
      <c r="B62" s="163" t="str">
        <v>29Y</v>
      </c>
      <c r="C62" s="163" t="str">
        <v>W</v>
      </c>
      <c r="D62" s="302">
        <f>IF(AND(Main!$G$22="Default"),VLOOKUP(B62,IRD,$D$3,FALSE),VLOOKUP(B62,IRD,$E$3,FALSE)+AQ62)</f>
        <v>8.3528081962585004E-7</v>
      </c>
      <c r="E62" s="210">
        <f t="shared" si="16"/>
        <v>4.8024487430004789E-6</v>
      </c>
      <c r="F62" s="213"/>
      <c r="G62" s="214">
        <f t="shared" si="17"/>
        <v>0</v>
      </c>
      <c r="H62" s="214"/>
      <c r="I62" s="215"/>
      <c r="J62" s="69"/>
      <c r="K62" s="207" t="str">
        <v>29Y</v>
      </c>
      <c r="L62" s="120">
        <f t="shared" si="18"/>
        <v>0</v>
      </c>
      <c r="M62" s="302">
        <f t="shared" si="3"/>
        <v>0</v>
      </c>
      <c r="N62" s="23">
        <f>IF(LEN(K62)&gt;0,(UsdMkt!$AK58-'reference set'!$I141)*100,"")</f>
        <v>5.7495020000000174</v>
      </c>
      <c r="O62" s="22">
        <f t="shared" si="19"/>
        <v>0</v>
      </c>
      <c r="P62" s="16"/>
      <c r="Q62" s="207" t="str">
        <v>29Y</v>
      </c>
      <c r="R62" s="302" t="e">
        <f t="shared" si="5"/>
        <v>#REF!</v>
      </c>
      <c r="S62" s="23">
        <f>IF(LEN(Q62)&gt;0,(UsdMkt!$AT58-'reference set'!$U141)*100,"")</f>
        <v>5.7555697999999822</v>
      </c>
      <c r="T62" s="22">
        <f t="shared" si="20"/>
        <v>0</v>
      </c>
      <c r="U62" s="16"/>
      <c r="V62" s="207" t="str">
        <v>29Y</v>
      </c>
      <c r="W62" s="120">
        <f t="shared" si="21"/>
        <v>0</v>
      </c>
      <c r="X62" s="302">
        <f t="shared" si="8"/>
        <v>8.3528081962585004E-7</v>
      </c>
      <c r="Y62" s="23">
        <f>IF(LEN(V62)&gt;0,(UsdMkt!$BJ58-'reference set'!$AK141)*100,"")</f>
        <v>5.7495020000000174</v>
      </c>
      <c r="Z62" s="22">
        <f t="shared" si="22"/>
        <v>4.8024487430004789E-6</v>
      </c>
      <c r="AA62" s="16"/>
      <c r="AB62" s="207" t="str">
        <v>29Y</v>
      </c>
      <c r="AC62" s="302">
        <f t="shared" si="23"/>
        <v>0</v>
      </c>
      <c r="AD62" s="23">
        <f>IF(LEN(AB62)&gt;0,(UsdMkt!$BB58-'reference set'!$AC141)*100,"")</f>
        <v>7.3368861000000063</v>
      </c>
      <c r="AE62" s="22">
        <f t="shared" si="24"/>
        <v>0</v>
      </c>
      <c r="AF62" s="16"/>
      <c r="AG62" s="207" t="str">
        <v>29Y</v>
      </c>
      <c r="AH62" s="302">
        <f t="shared" si="25"/>
        <v>0</v>
      </c>
      <c r="AI62" s="23">
        <f>IF(LEN(AG62)&gt;0,(UsdMkt!$BS58-'reference set'!$AS141)*100,"")</f>
        <v>5.8726295000000039</v>
      </c>
      <c r="AJ62" s="22">
        <f t="shared" si="26"/>
        <v>0</v>
      </c>
      <c r="AK62" s="33"/>
      <c r="AL62" s="303"/>
      <c r="AM62" s="303"/>
      <c r="AN62" s="303"/>
      <c r="AO62" s="303"/>
      <c r="AP62" s="207" t="str">
        <v>29Y</v>
      </c>
      <c r="AQ62" s="302">
        <f>BktUsdOisSens!L54</f>
        <v>0</v>
      </c>
      <c r="AR62" s="208">
        <f>INDEX(BktUsdOisPL!PL_OIS_bckt,MATCH(B62,BktUsdOisPL!$F$9:$F$73,0))</f>
        <v>0</v>
      </c>
      <c r="AS62" s="16"/>
    </row>
    <row r="63" spans="1:53" ht="15" customHeight="1">
      <c r="A63" s="207" t="str">
        <v>30Y</v>
      </c>
      <c r="B63" s="163" t="str">
        <v>30Y</v>
      </c>
      <c r="C63" s="163" t="str">
        <v>W</v>
      </c>
      <c r="D63" s="302">
        <f>IF(AND(Main!$G$22="Default"),VLOOKUP(B63,IRD,$D$3,FALSE),VLOOKUP(B63,IRD,$E$3,FALSE)+AQ63)</f>
        <v>717.89143936942105</v>
      </c>
      <c r="E63" s="210">
        <f t="shared" si="16"/>
        <v>4163.7703483425685</v>
      </c>
      <c r="F63" s="213"/>
      <c r="G63" s="214">
        <f t="shared" si="17"/>
        <v>0</v>
      </c>
      <c r="H63" s="214"/>
      <c r="I63" s="215"/>
      <c r="J63" s="69"/>
      <c r="K63" s="207" t="str">
        <v>30Y</v>
      </c>
      <c r="L63" s="120">
        <f t="shared" si="18"/>
        <v>0</v>
      </c>
      <c r="M63" s="302">
        <f t="shared" si="3"/>
        <v>0</v>
      </c>
      <c r="N63" s="23">
        <f>IF(LEN(K63)&gt;0,(UsdMkt!$AK59-'reference set'!$I142)*100,"")</f>
        <v>5.6840697000000162</v>
      </c>
      <c r="O63" s="22">
        <f t="shared" si="19"/>
        <v>0</v>
      </c>
      <c r="P63" s="16"/>
      <c r="Q63" s="207" t="str">
        <v>30Y</v>
      </c>
      <c r="R63" s="302" t="e">
        <f t="shared" si="5"/>
        <v>#REF!</v>
      </c>
      <c r="S63" s="23">
        <f>IF(LEN(Q63)&gt;0,(UsdMkt!$AT59-'reference set'!$U142)*100,"")</f>
        <v>5.6889830000000252</v>
      </c>
      <c r="T63" s="22">
        <f t="shared" si="20"/>
        <v>0</v>
      </c>
      <c r="U63" s="16"/>
      <c r="V63" s="207" t="str">
        <v>30Y</v>
      </c>
      <c r="W63" s="120">
        <f t="shared" si="21"/>
        <v>0</v>
      </c>
      <c r="X63" s="302">
        <f t="shared" si="8"/>
        <v>8.0312481902620801E-10</v>
      </c>
      <c r="Y63" s="23">
        <f>IF(LEN(V63)&gt;0,(UsdMkt!$BJ59-'reference set'!$AK142)*100,"")</f>
        <v>5.6840697000000162</v>
      </c>
      <c r="Z63" s="22">
        <f t="shared" si="22"/>
        <v>4.5650174491448653E-9</v>
      </c>
      <c r="AA63" s="16"/>
      <c r="AB63" s="207" t="str">
        <v>30Y</v>
      </c>
      <c r="AC63" s="302">
        <f t="shared" si="23"/>
        <v>0</v>
      </c>
      <c r="AD63" s="23">
        <f>IF(LEN(AB63)&gt;0,(UsdMkt!$BB59-'reference set'!$AC142)*100,"")</f>
        <v>7.2845650000000095</v>
      </c>
      <c r="AE63" s="22">
        <f t="shared" si="24"/>
        <v>0</v>
      </c>
      <c r="AF63" s="16"/>
      <c r="AG63" s="207" t="str">
        <v>30Y</v>
      </c>
      <c r="AH63" s="302">
        <f t="shared" si="25"/>
        <v>0</v>
      </c>
      <c r="AI63" s="23">
        <f>IF(LEN(AG63)&gt;0,(UsdMkt!$BS59-'reference set'!$AS142)*100,"")</f>
        <v>5.7868900000000334</v>
      </c>
      <c r="AJ63" s="22">
        <f t="shared" si="26"/>
        <v>0</v>
      </c>
      <c r="AK63" s="33"/>
      <c r="AL63" s="303"/>
      <c r="AM63" s="303"/>
      <c r="AN63" s="303"/>
      <c r="AO63" s="303"/>
      <c r="AP63" s="207" t="str">
        <v>30Y</v>
      </c>
      <c r="AQ63" s="302">
        <f>BktUsdOisSens!L55</f>
        <v>717.89143936861797</v>
      </c>
      <c r="AR63" s="208">
        <f>INDEX(BktUsdOisPL!PL_OIS_bckt,MATCH(B63,BktUsdOisPL!$F$9:$F$73,0))</f>
        <v>4163.7703483380037</v>
      </c>
      <c r="AS63" s="16"/>
    </row>
    <row r="64" spans="1:53" ht="15" customHeight="1">
      <c r="A64" s="207" t="str">
        <v>40Y</v>
      </c>
      <c r="B64" s="163" t="str">
        <v>40Y</v>
      </c>
      <c r="C64" s="163" t="str">
        <v>W</v>
      </c>
      <c r="D64" s="302">
        <f>IF(AND(Main!$G$22="Default"),VLOOKUP(B64,IRD,$D$3,FALSE),VLOOKUP(B64,IRD,$E$3,FALSE)+AQ64)</f>
        <v>2.1523715145714801</v>
      </c>
      <c r="E64" s="210">
        <f t="shared" si="16"/>
        <v>11.838043330143176</v>
      </c>
      <c r="F64" s="213"/>
      <c r="G64" s="214">
        <f t="shared" si="17"/>
        <v>0</v>
      </c>
      <c r="H64" s="214"/>
      <c r="I64" s="215"/>
      <c r="J64" s="69"/>
      <c r="K64" s="207" t="str">
        <v>40Y</v>
      </c>
      <c r="L64" s="120">
        <f t="shared" si="18"/>
        <v>0</v>
      </c>
      <c r="M64" s="302">
        <f t="shared" si="3"/>
        <v>0</v>
      </c>
      <c r="N64" s="23">
        <f>IF(LEN(K64)&gt;0,(UsdMkt!$AK60-'reference set'!$I143)*100,"")</f>
        <v>5.2999999000000297</v>
      </c>
      <c r="O64" s="22">
        <f t="shared" si="19"/>
        <v>0</v>
      </c>
      <c r="P64" s="16"/>
      <c r="Q64" s="207" t="str">
        <v>40Y</v>
      </c>
      <c r="R64" s="302" t="e">
        <f t="shared" si="5"/>
        <v>#REF!</v>
      </c>
      <c r="S64" s="23">
        <f>IF(LEN(Q64)&gt;0,(UsdMkt!$AT60-'reference set'!$U143)*100,"")</f>
        <v>5.3069819000000074</v>
      </c>
      <c r="T64" s="22">
        <f t="shared" si="20"/>
        <v>0</v>
      </c>
      <c r="U64" s="16"/>
      <c r="V64" s="207" t="str">
        <v>40Y</v>
      </c>
      <c r="W64" s="120">
        <f t="shared" si="21"/>
        <v>0</v>
      </c>
      <c r="X64" s="302">
        <f t="shared" si="8"/>
        <v>0</v>
      </c>
      <c r="Y64" s="23">
        <f>IF(LEN(V64)&gt;0,(UsdMkt!$BJ60-'reference set'!$AK143)*100,"")</f>
        <v>5.2999999000000297</v>
      </c>
      <c r="Z64" s="22">
        <f t="shared" si="22"/>
        <v>0</v>
      </c>
      <c r="AA64" s="16"/>
      <c r="AB64" s="207" t="str">
        <v>40Y</v>
      </c>
      <c r="AC64" s="302">
        <f t="shared" si="23"/>
        <v>0</v>
      </c>
      <c r="AD64" s="23">
        <f>IF(LEN(AB64)&gt;0,(UsdMkt!$BB60-'reference set'!$AC143)*100,"")</f>
        <v>5.5996546000000258</v>
      </c>
      <c r="AE64" s="22">
        <f t="shared" si="24"/>
        <v>0</v>
      </c>
      <c r="AF64" s="16"/>
      <c r="AG64" s="207" t="str">
        <v>40Y</v>
      </c>
      <c r="AH64" s="302">
        <f t="shared" si="25"/>
        <v>0</v>
      </c>
      <c r="AI64" s="23">
        <f>IF(LEN(AG64)&gt;0,(UsdMkt!$BS60-'reference set'!$AS143)*100,"")</f>
        <v>5.4041112000000169</v>
      </c>
      <c r="AJ64" s="22">
        <f t="shared" si="26"/>
        <v>0</v>
      </c>
      <c r="AK64" s="33"/>
      <c r="AL64" s="303"/>
      <c r="AM64" s="303"/>
      <c r="AN64" s="303"/>
      <c r="AO64" s="303"/>
      <c r="AP64" s="207" t="str">
        <v>40Y</v>
      </c>
      <c r="AQ64" s="302">
        <f>BktUsdOisSens!L56</f>
        <v>2.1523715145714801</v>
      </c>
      <c r="AR64" s="208">
        <f>INDEX(BktUsdOisPL!PL_OIS_bckt,MATCH(B64,BktUsdOisPL!$F$9:$F$73,0))</f>
        <v>11.838043330143176</v>
      </c>
      <c r="AS64" s="16"/>
    </row>
    <row r="65" spans="1:46" ht="15" customHeight="1">
      <c r="A65" s="207" t="str">
        <v>50Y</v>
      </c>
      <c r="B65" s="163" t="str">
        <v>50Y</v>
      </c>
      <c r="C65" s="163" t="str">
        <v>W</v>
      </c>
      <c r="D65" s="302">
        <f>IF(AND(Main!$G$22="Default"),VLOOKUP(B65,IRD,$D$3,FALSE),VLOOKUP(B65,IRD,$E$3,FALSE)+AQ65)</f>
        <v>2.7119986312733501E-2</v>
      </c>
      <c r="E65" s="210">
        <f t="shared" si="16"/>
        <v>0.154583921982582</v>
      </c>
      <c r="F65" s="213"/>
      <c r="G65" s="214">
        <f t="shared" si="17"/>
        <v>0</v>
      </c>
      <c r="H65" s="214"/>
      <c r="I65" s="215"/>
      <c r="J65" s="69"/>
      <c r="K65" s="207" t="str">
        <v>50Y</v>
      </c>
      <c r="L65" s="120">
        <f t="shared" si="18"/>
        <v>0</v>
      </c>
      <c r="M65" s="302">
        <f t="shared" si="3"/>
        <v>0</v>
      </c>
      <c r="N65" s="23">
        <f>IF(LEN(K65)&gt;0,(UsdMkt!$AK61-'reference set'!$I144)*100,"")</f>
        <v>5.6999998000000218</v>
      </c>
      <c r="O65" s="22">
        <f t="shared" si="19"/>
        <v>0</v>
      </c>
      <c r="P65" s="16"/>
      <c r="Q65" s="207" t="str">
        <v>50Y</v>
      </c>
      <c r="R65" s="302" t="e">
        <f t="shared" si="5"/>
        <v>#REF!</v>
      </c>
      <c r="S65" s="23">
        <f>IF(LEN(Q65)&gt;0,(UsdMkt!$AT61-'reference set'!$U144)*100,"")</f>
        <v>5.7072218000000063</v>
      </c>
      <c r="T65" s="22">
        <f t="shared" si="20"/>
        <v>0</v>
      </c>
      <c r="U65" s="16"/>
      <c r="V65" s="207" t="str">
        <v>50Y</v>
      </c>
      <c r="W65" s="120">
        <f t="shared" si="21"/>
        <v>0</v>
      </c>
      <c r="X65" s="302">
        <f t="shared" si="8"/>
        <v>0</v>
      </c>
      <c r="Y65" s="23">
        <f>IF(LEN(V65)&gt;0,(UsdMkt!$BJ61-'reference set'!$AK144)*100,"")</f>
        <v>5.6999998000000218</v>
      </c>
      <c r="Z65" s="22">
        <f t="shared" si="22"/>
        <v>0</v>
      </c>
      <c r="AA65" s="16"/>
      <c r="AB65" s="207" t="str">
        <v>50Y</v>
      </c>
      <c r="AC65" s="302">
        <f t="shared" si="23"/>
        <v>0</v>
      </c>
      <c r="AD65" s="23">
        <f>IF(LEN(AB65)&gt;0,(UsdMkt!$BB61-'reference set'!$AC144)*100,"")</f>
        <v>5.9995208000000133</v>
      </c>
      <c r="AE65" s="22">
        <f t="shared" si="24"/>
        <v>0</v>
      </c>
      <c r="AF65" s="16"/>
      <c r="AG65" s="207" t="str">
        <v>50Y</v>
      </c>
      <c r="AH65" s="302">
        <f t="shared" si="25"/>
        <v>0</v>
      </c>
      <c r="AI65" s="23">
        <f>IF(LEN(AG65)&gt;0,(UsdMkt!$BS61-'reference set'!$AS144)*100,"")</f>
        <v>5.8042168000000061</v>
      </c>
      <c r="AJ65" s="22">
        <f t="shared" si="26"/>
        <v>0</v>
      </c>
      <c r="AK65" s="33"/>
      <c r="AL65" s="303"/>
      <c r="AM65" s="303"/>
      <c r="AN65" s="303"/>
      <c r="AO65" s="303"/>
      <c r="AP65" s="207" t="str">
        <v>50Y</v>
      </c>
      <c r="AQ65" s="302">
        <f>BktUsdOisSens!L57</f>
        <v>2.7119986312733501E-2</v>
      </c>
      <c r="AR65" s="208">
        <f>INDEX(BktUsdOisPL!PL_OIS_bckt,MATCH(B65,BktUsdOisPL!$F$9:$F$73,0))</f>
        <v>0.154583921982582</v>
      </c>
      <c r="AS65" s="16"/>
    </row>
    <row r="66" spans="1:46" ht="15" customHeight="1">
      <c r="A66" s="207" t="str">
        <v>60Y</v>
      </c>
      <c r="B66" s="163" t="str">
        <v>60Y</v>
      </c>
      <c r="C66" s="163" t="str">
        <v>W</v>
      </c>
      <c r="D66" s="302">
        <f>IF(AND(Main!$G$22="Default"),VLOOKUP(B66,IRD,$D$3,FALSE),VLOOKUP(B66,IRD,$E$3,FALSE)+AQ66)</f>
        <v>3.1793433814539203E-4</v>
      </c>
      <c r="E66" s="210">
        <f t="shared" si="16"/>
        <v>1.8782487669238483E-3</v>
      </c>
      <c r="F66" s="213"/>
      <c r="G66" s="214">
        <f t="shared" si="17"/>
        <v>0</v>
      </c>
      <c r="H66" s="214"/>
      <c r="I66" s="215"/>
      <c r="J66" s="69"/>
      <c r="K66" s="207" t="str">
        <v>60Y</v>
      </c>
      <c r="L66" s="120">
        <f t="shared" si="18"/>
        <v>0</v>
      </c>
      <c r="M66" s="302">
        <f t="shared" si="3"/>
        <v>0</v>
      </c>
      <c r="N66" s="23">
        <f>IF(LEN(K66)&gt;0,(UsdMkt!$AK62-'reference set'!$I145)*100,"")</f>
        <v>6.105876400000021</v>
      </c>
      <c r="O66" s="22">
        <f t="shared" si="19"/>
        <v>0</v>
      </c>
      <c r="P66" s="16"/>
      <c r="Q66" s="207" t="str">
        <v>60Y</v>
      </c>
      <c r="R66" s="302" t="e">
        <f t="shared" si="5"/>
        <v>#REF!</v>
      </c>
      <c r="S66" s="23">
        <f>IF(LEN(Q66)&gt;0,(UsdMkt!$AT62-'reference set'!$U145)*100,"")</f>
        <v>6.1133501000000035</v>
      </c>
      <c r="T66" s="22">
        <f t="shared" si="20"/>
        <v>0</v>
      </c>
      <c r="U66" s="16"/>
      <c r="V66" s="207" t="str">
        <v>60Y</v>
      </c>
      <c r="W66" s="120">
        <f t="shared" si="21"/>
        <v>0</v>
      </c>
      <c r="X66" s="302">
        <f t="shared" si="8"/>
        <v>0</v>
      </c>
      <c r="Y66" s="23">
        <f>IF(LEN(V66)&gt;0,(UsdMkt!$BJ62-'reference set'!$AK145)*100,"")</f>
        <v>6.105876400000021</v>
      </c>
      <c r="Z66" s="22">
        <f t="shared" si="22"/>
        <v>0</v>
      </c>
      <c r="AA66" s="16"/>
      <c r="AB66" s="207" t="str">
        <v>60Y</v>
      </c>
      <c r="AC66" s="302">
        <f t="shared" si="23"/>
        <v>0</v>
      </c>
      <c r="AD66" s="23">
        <f>IF(LEN(AB66)&gt;0,(UsdMkt!$BB62-'reference set'!$AC145)*100,"")</f>
        <v>6.4121706000000334</v>
      </c>
      <c r="AE66" s="22">
        <f t="shared" si="24"/>
        <v>0</v>
      </c>
      <c r="AF66" s="16"/>
      <c r="AG66" s="207" t="str">
        <v>60Y</v>
      </c>
      <c r="AH66" s="302">
        <f t="shared" si="25"/>
        <v>0</v>
      </c>
      <c r="AI66" s="23">
        <f>IF(LEN(AG66)&gt;0,(UsdMkt!$BS62-'reference set'!$AS145)*100,"")</f>
        <v>6.2102067000000538</v>
      </c>
      <c r="AJ66" s="22">
        <f t="shared" si="26"/>
        <v>0</v>
      </c>
      <c r="AK66" s="33"/>
      <c r="AL66" s="303"/>
      <c r="AM66" s="303"/>
      <c r="AN66" s="303"/>
      <c r="AO66" s="303"/>
      <c r="AP66" s="207" t="str">
        <v>60Y</v>
      </c>
      <c r="AQ66" s="302">
        <f>BktUsdOisSens!L58</f>
        <v>3.1793433814539203E-4</v>
      </c>
      <c r="AR66" s="208">
        <f>INDEX(BktUsdOisPL!PL_OIS_bckt,MATCH(B66,BktUsdOisPL!$F$9:$F$73,0))</f>
        <v>1.8782487669238483E-3</v>
      </c>
      <c r="AS66" s="16"/>
    </row>
    <row r="67" spans="1:46" ht="15" customHeight="1">
      <c r="A67" s="207" t="str">
        <v/>
      </c>
      <c r="B67" s="163" t="str">
        <v/>
      </c>
      <c r="C67" s="163" t="str">
        <v/>
      </c>
      <c r="D67" s="302" t="e">
        <f>IF(AND(Main!$G$22="Default"),VLOOKUP(B67,IRD,$D$3,FALSE),VLOOKUP(B67,IRD,$E$3,FALSE)+AQ67)</f>
        <v>#N/A</v>
      </c>
      <c r="E67" s="210">
        <f t="shared" si="16"/>
        <v>0</v>
      </c>
      <c r="F67" s="213"/>
      <c r="G67" s="214">
        <f t="shared" si="17"/>
        <v>0</v>
      </c>
      <c r="H67" s="214"/>
      <c r="I67" s="215"/>
      <c r="J67" s="69"/>
      <c r="K67" s="207" t="str">
        <v/>
      </c>
      <c r="L67" s="120">
        <f t="shared" si="18"/>
        <v>0</v>
      </c>
      <c r="M67" s="302" t="str">
        <f t="shared" si="3"/>
        <v/>
      </c>
      <c r="N67" s="23" t="str">
        <f>IF(LEN(K67)&gt;0,(UsdMkt!$AK63-'reference set'!$I146)*100,"")</f>
        <v/>
      </c>
      <c r="O67" s="22">
        <f t="shared" si="19"/>
        <v>0</v>
      </c>
      <c r="P67" s="16"/>
      <c r="Q67" s="207" t="str">
        <v/>
      </c>
      <c r="R67" s="302" t="str">
        <f t="shared" si="5"/>
        <v/>
      </c>
      <c r="S67" s="23" t="str">
        <f>IF(LEN(Q67)&gt;0,(UsdMkt!$AT63-'reference set'!$U146)*100,"")</f>
        <v/>
      </c>
      <c r="T67" s="22">
        <f t="shared" si="20"/>
        <v>0</v>
      </c>
      <c r="U67" s="16"/>
      <c r="V67" s="207" t="str">
        <v/>
      </c>
      <c r="W67" s="120">
        <f t="shared" si="21"/>
        <v>0</v>
      </c>
      <c r="X67" s="302" t="str">
        <f t="shared" si="8"/>
        <v/>
      </c>
      <c r="Y67" s="23" t="str">
        <f>IF(LEN(V67)&gt;0,(UsdMkt!$BJ63-'reference set'!$AK146)*100,"")</f>
        <v/>
      </c>
      <c r="Z67" s="22">
        <f t="shared" si="22"/>
        <v>0</v>
      </c>
      <c r="AA67" s="16"/>
      <c r="AB67" s="207" t="str">
        <v/>
      </c>
      <c r="AC67" s="302" t="str">
        <f t="shared" si="23"/>
        <v/>
      </c>
      <c r="AD67" s="23" t="str">
        <f>IF(LEN(AB67)&gt;0,(UsdMkt!$BB63-'reference set'!$AC146)*100,"")</f>
        <v/>
      </c>
      <c r="AE67" s="22">
        <f t="shared" si="24"/>
        <v>0</v>
      </c>
      <c r="AF67" s="16"/>
      <c r="AG67" s="207" t="str">
        <v/>
      </c>
      <c r="AH67" s="302" t="str">
        <f t="shared" si="25"/>
        <v/>
      </c>
      <c r="AI67" s="23" t="str">
        <f>IF(LEN(AG67)&gt;0,(UsdMkt!$BS63-'reference set'!$AS146)*100,"")</f>
        <v/>
      </c>
      <c r="AJ67" s="22">
        <f t="shared" si="26"/>
        <v>0</v>
      </c>
      <c r="AK67" s="33"/>
      <c r="AL67" s="303"/>
      <c r="AM67" s="303"/>
      <c r="AN67" s="303"/>
      <c r="AO67" s="303"/>
      <c r="AP67" s="207" t="str">
        <v/>
      </c>
      <c r="AQ67" s="302">
        <f>BktUsdOisSens!L59</f>
        <v>0</v>
      </c>
      <c r="AR67" s="208">
        <f>INDEX(BktUsdOisPL!PL_OIS_bckt,MATCH(B67,BktUsdOisPL!$F$9:$F$73,0))</f>
        <v>0</v>
      </c>
      <c r="AS67" s="16"/>
    </row>
    <row r="68" spans="1:46" ht="15" customHeight="1">
      <c r="A68" s="207" t="str">
        <v/>
      </c>
      <c r="B68" s="163" t="str">
        <v/>
      </c>
      <c r="C68" s="163" t="str">
        <v/>
      </c>
      <c r="D68" s="302" t="e">
        <f>IF(AND(Main!$G$22="Default"),VLOOKUP(B68,IRD,$D$3,FALSE),VLOOKUP(B68,IRD,$E$3,FALSE)+AQ68)</f>
        <v>#N/A</v>
      </c>
      <c r="E68" s="210">
        <f t="shared" si="16"/>
        <v>0</v>
      </c>
      <c r="F68" s="213"/>
      <c r="G68" s="214">
        <f t="shared" si="17"/>
        <v>0</v>
      </c>
      <c r="H68" s="214"/>
      <c r="I68" s="215"/>
      <c r="J68" s="69"/>
      <c r="K68" s="207" t="str">
        <v/>
      </c>
      <c r="L68" s="120">
        <f t="shared" si="18"/>
        <v>0</v>
      </c>
      <c r="M68" s="302" t="str">
        <f t="shared" si="3"/>
        <v/>
      </c>
      <c r="N68" s="23" t="str">
        <f>IF(LEN(K68)&gt;0,(UsdMkt!$AK64-'reference set'!$I147)*100,"")</f>
        <v/>
      </c>
      <c r="O68" s="22">
        <f t="shared" si="19"/>
        <v>0</v>
      </c>
      <c r="P68" s="16"/>
      <c r="Q68" s="207" t="str">
        <v/>
      </c>
      <c r="R68" s="302" t="str">
        <f t="shared" si="5"/>
        <v/>
      </c>
      <c r="S68" s="23" t="str">
        <f>IF(LEN(Q68)&gt;0,(UsdMkt!$AT64-'reference set'!$U147)*100,"")</f>
        <v/>
      </c>
      <c r="T68" s="22">
        <f t="shared" si="20"/>
        <v>0</v>
      </c>
      <c r="U68" s="16"/>
      <c r="V68" s="207" t="str">
        <v/>
      </c>
      <c r="W68" s="120">
        <f t="shared" si="21"/>
        <v>0</v>
      </c>
      <c r="X68" s="302" t="str">
        <f t="shared" si="8"/>
        <v/>
      </c>
      <c r="Y68" s="23" t="str">
        <f>IF(LEN(V68)&gt;0,(UsdMkt!$BJ64-'reference set'!$AK147)*100,"")</f>
        <v/>
      </c>
      <c r="Z68" s="22">
        <f t="shared" si="22"/>
        <v>0</v>
      </c>
      <c r="AA68" s="16"/>
      <c r="AB68" s="207" t="str">
        <v/>
      </c>
      <c r="AC68" s="302" t="str">
        <f t="shared" si="23"/>
        <v/>
      </c>
      <c r="AD68" s="23" t="str">
        <f>IF(LEN(AB68)&gt;0,(UsdMkt!$BB64-'reference set'!$AC147)*100,"")</f>
        <v/>
      </c>
      <c r="AE68" s="22">
        <f t="shared" si="24"/>
        <v>0</v>
      </c>
      <c r="AF68" s="16"/>
      <c r="AG68" s="207"/>
      <c r="AH68" s="302" t="str">
        <f t="shared" si="25"/>
        <v/>
      </c>
      <c r="AI68" s="23" t="str">
        <f>IF(LEN(AG68)&gt;0,(UsdMkt!$BS64-'reference set'!$AS147)*100,"")</f>
        <v/>
      </c>
      <c r="AJ68" s="22">
        <f t="shared" si="26"/>
        <v>0</v>
      </c>
      <c r="AK68" s="33"/>
      <c r="AL68" s="303"/>
      <c r="AM68" s="303"/>
      <c r="AN68" s="303"/>
      <c r="AO68" s="303"/>
      <c r="AP68" s="207" t="str">
        <v/>
      </c>
      <c r="AQ68" s="302">
        <f>BktUsdOisSens!L60</f>
        <v>0</v>
      </c>
      <c r="AR68" s="208">
        <f>INDEX(BktUsdOisPL!PL_OIS_bckt,MATCH(B68,BktUsdOisPL!$F$9:$F$73,0))</f>
        <v>0</v>
      </c>
      <c r="AS68" s="16"/>
    </row>
    <row r="69" spans="1:46" ht="15" customHeight="1">
      <c r="A69" s="207" t="str">
        <v/>
      </c>
      <c r="B69" s="163" t="str">
        <v/>
      </c>
      <c r="C69" s="163" t="str">
        <v/>
      </c>
      <c r="D69" s="302" t="e">
        <f>IF(AND(Main!$G$22="Default"),VLOOKUP(B69,IRD,$D$3,FALSE),VLOOKUP(B69,IRD,$E$3,FALSE)+AQ69)</f>
        <v>#N/A</v>
      </c>
      <c r="E69" s="210">
        <f t="shared" si="16"/>
        <v>0</v>
      </c>
      <c r="F69" s="213"/>
      <c r="G69" s="214">
        <f t="shared" si="17"/>
        <v>0</v>
      </c>
      <c r="H69" s="214"/>
      <c r="I69" s="215"/>
      <c r="J69" s="56"/>
      <c r="K69" s="207" t="str">
        <v/>
      </c>
      <c r="L69" s="120">
        <f t="shared" si="18"/>
        <v>0</v>
      </c>
      <c r="M69" s="302" t="str">
        <f t="shared" si="3"/>
        <v/>
      </c>
      <c r="N69" s="23" t="str">
        <f>IF(LEN(K69)&gt;0,(UsdMkt!$AK65-'reference set'!$I148)*100,"")</f>
        <v/>
      </c>
      <c r="O69" s="22">
        <f t="shared" si="19"/>
        <v>0</v>
      </c>
      <c r="P69" s="16"/>
      <c r="Q69" s="207" t="str">
        <v/>
      </c>
      <c r="R69" s="302" t="str">
        <f t="shared" si="5"/>
        <v/>
      </c>
      <c r="S69" s="23" t="str">
        <f>IF(LEN(Q69)&gt;0,(UsdMkt!$AT65-'reference set'!$U148)*100,"")</f>
        <v/>
      </c>
      <c r="T69" s="22">
        <f t="shared" si="20"/>
        <v>0</v>
      </c>
      <c r="U69" s="16"/>
      <c r="V69" s="207" t="str">
        <v/>
      </c>
      <c r="W69" s="120">
        <f t="shared" si="21"/>
        <v>0</v>
      </c>
      <c r="X69" s="302" t="str">
        <f t="shared" si="8"/>
        <v/>
      </c>
      <c r="Y69" s="23" t="str">
        <f>IF(LEN(V69)&gt;0,(UsdMkt!$BJ65-'reference set'!$AK148)*100,"")</f>
        <v/>
      </c>
      <c r="Z69" s="22">
        <f t="shared" si="22"/>
        <v>0</v>
      </c>
      <c r="AA69" s="16"/>
      <c r="AB69" s="207" t="str">
        <v/>
      </c>
      <c r="AC69" s="302" t="str">
        <f t="shared" si="23"/>
        <v/>
      </c>
      <c r="AD69" s="23" t="str">
        <f>IF(LEN(AB69)&gt;0,(UsdMkt!$BB65-'reference set'!$AC148)*100,"")</f>
        <v/>
      </c>
      <c r="AE69" s="22">
        <f t="shared" si="24"/>
        <v>0</v>
      </c>
      <c r="AF69" s="16"/>
      <c r="AG69" s="207"/>
      <c r="AH69" s="302" t="str">
        <f t="shared" si="25"/>
        <v/>
      </c>
      <c r="AI69" s="23" t="str">
        <f>IF(LEN(AG69)&gt;0,(UsdMkt!$BS65-'reference set'!$AS148)*100,"")</f>
        <v/>
      </c>
      <c r="AJ69" s="22">
        <f t="shared" si="26"/>
        <v>0</v>
      </c>
      <c r="AK69" s="33"/>
      <c r="AL69" s="303"/>
      <c r="AM69" s="303"/>
      <c r="AN69" s="303"/>
      <c r="AO69" s="303"/>
      <c r="AP69" s="207" t="str">
        <v/>
      </c>
      <c r="AQ69" s="302">
        <f>BktUsdOisSens!L61</f>
        <v>0</v>
      </c>
      <c r="AR69" s="208">
        <f>INDEX(BktUsdOisPL!PL_OIS_bckt,MATCH(B69,BktUsdOisPL!$F$9:$F$73,0))</f>
        <v>0</v>
      </c>
      <c r="AS69" s="16"/>
      <c r="AT69" s="401"/>
    </row>
    <row r="70" spans="1:46" ht="15" customHeight="1">
      <c r="A70" s="207" t="str">
        <v/>
      </c>
      <c r="B70" s="163" t="str">
        <v/>
      </c>
      <c r="C70" s="163" t="str">
        <v/>
      </c>
      <c r="D70" s="302" t="e">
        <f>IF(AND(Main!$G$22="Default"),VLOOKUP(B70,IRD,$D$3,FALSE),VLOOKUP(B70,IRD,$E$3,FALSE)+AQ70)</f>
        <v>#N/A</v>
      </c>
      <c r="E70" s="210">
        <f t="shared" si="16"/>
        <v>0</v>
      </c>
      <c r="F70" s="213"/>
      <c r="G70" s="214">
        <f t="shared" si="17"/>
        <v>0</v>
      </c>
      <c r="H70" s="214"/>
      <c r="I70" s="215"/>
      <c r="J70" s="56"/>
      <c r="K70" s="207" t="str">
        <v/>
      </c>
      <c r="L70" s="120">
        <f t="shared" si="18"/>
        <v>0</v>
      </c>
      <c r="M70" s="302" t="str">
        <f t="shared" si="3"/>
        <v/>
      </c>
      <c r="N70" s="23" t="str">
        <f>IF(LEN(K70)&gt;0,(UsdMkt!$AK66-'reference set'!$I149)*100,"")</f>
        <v/>
      </c>
      <c r="O70" s="22">
        <f t="shared" si="19"/>
        <v>0</v>
      </c>
      <c r="P70" s="16"/>
      <c r="Q70" s="207" t="str">
        <v/>
      </c>
      <c r="R70" s="302" t="str">
        <f t="shared" si="5"/>
        <v/>
      </c>
      <c r="S70" s="23" t="str">
        <f>IF(LEN(Q70)&gt;0,(UsdMkt!$AT66-'reference set'!$U149)*100,"")</f>
        <v/>
      </c>
      <c r="T70" s="22">
        <f t="shared" si="20"/>
        <v>0</v>
      </c>
      <c r="U70" s="16"/>
      <c r="V70" s="207" t="str">
        <v/>
      </c>
      <c r="W70" s="120">
        <f t="shared" si="21"/>
        <v>0</v>
      </c>
      <c r="X70" s="302" t="str">
        <f t="shared" si="8"/>
        <v/>
      </c>
      <c r="Y70" s="23" t="str">
        <f>IF(LEN(V70)&gt;0,(UsdMkt!$BJ66-'reference set'!$AK149)*100,"")</f>
        <v/>
      </c>
      <c r="Z70" s="22">
        <f t="shared" si="22"/>
        <v>0</v>
      </c>
      <c r="AA70" s="16"/>
      <c r="AB70" s="207" t="str">
        <v/>
      </c>
      <c r="AC70" s="302" t="str">
        <f t="shared" si="23"/>
        <v/>
      </c>
      <c r="AD70" s="23" t="str">
        <f>IF(LEN(AB70)&gt;0,(UsdMkt!$BB66-'reference set'!$AC149)*100,"")</f>
        <v/>
      </c>
      <c r="AE70" s="22">
        <f t="shared" si="24"/>
        <v>0</v>
      </c>
      <c r="AF70" s="16"/>
      <c r="AG70" s="207"/>
      <c r="AH70" s="302" t="str">
        <f t="shared" si="25"/>
        <v/>
      </c>
      <c r="AI70" s="23" t="str">
        <f>IF(LEN(AG70)&gt;0,(UsdMkt!$BS66-'reference set'!$AS149)*100,"")</f>
        <v/>
      </c>
      <c r="AJ70" s="22">
        <f t="shared" si="26"/>
        <v>0</v>
      </c>
      <c r="AK70" s="33"/>
      <c r="AL70" s="303"/>
      <c r="AM70" s="303"/>
      <c r="AN70" s="303"/>
      <c r="AO70" s="303"/>
      <c r="AP70" s="207" t="str">
        <v/>
      </c>
      <c r="AQ70" s="302">
        <f>BktUsdOisSens!L62</f>
        <v>0</v>
      </c>
      <c r="AR70" s="208">
        <f>INDEX(BktUsdOisPL!PL_OIS_bckt,MATCH(B70,BktUsdOisPL!$F$9:$F$73,0))</f>
        <v>0</v>
      </c>
      <c r="AS70" s="16"/>
      <c r="AT70" s="401"/>
    </row>
    <row r="71" spans="1:46" ht="15" customHeight="1" thickBot="1">
      <c r="A71" s="207" t="str">
        <v/>
      </c>
      <c r="B71" s="163" t="str">
        <v/>
      </c>
      <c r="C71" s="163" t="str">
        <v/>
      </c>
      <c r="D71" s="302" t="e">
        <f>IF(AND(Main!$G$22="Default"),VLOOKUP(B71,IRD,$D$3,FALSE),VLOOKUP(B71,IRD,$E$3,FALSE)+AQ71)</f>
        <v>#N/A</v>
      </c>
      <c r="E71" s="210">
        <f t="shared" si="16"/>
        <v>0</v>
      </c>
      <c r="F71" s="213"/>
      <c r="G71" s="214">
        <f t="shared" si="17"/>
        <v>0</v>
      </c>
      <c r="H71" s="214"/>
      <c r="I71" s="215"/>
      <c r="J71" s="56"/>
      <c r="K71" s="207" t="str">
        <v/>
      </c>
      <c r="L71" s="120">
        <f t="shared" si="18"/>
        <v>0</v>
      </c>
      <c r="M71" s="302" t="str">
        <f t="shared" si="3"/>
        <v/>
      </c>
      <c r="N71" s="23" t="str">
        <f>IF(LEN(K71)&gt;0,(UsdMkt!$AK67-'reference set'!$I150)*100,"")</f>
        <v/>
      </c>
      <c r="O71" s="22">
        <f t="shared" si="19"/>
        <v>0</v>
      </c>
      <c r="P71" s="16"/>
      <c r="Q71" s="207" t="str">
        <v/>
      </c>
      <c r="R71" s="302" t="str">
        <f t="shared" si="5"/>
        <v/>
      </c>
      <c r="S71" s="23" t="str">
        <f>IF(LEN(Q71)&gt;0,(UsdMkt!$AT67-'reference set'!$U150)*100,"")</f>
        <v/>
      </c>
      <c r="T71" s="22">
        <f t="shared" si="20"/>
        <v>0</v>
      </c>
      <c r="U71" s="16"/>
      <c r="V71" s="207" t="str">
        <v/>
      </c>
      <c r="W71" s="120">
        <f t="shared" si="21"/>
        <v>0</v>
      </c>
      <c r="X71" s="302" t="str">
        <f t="shared" si="8"/>
        <v/>
      </c>
      <c r="Y71" s="23" t="str">
        <f>IF(LEN(V71)&gt;0,(UsdMkt!$BJ67-'reference set'!$AK150)*100,"")</f>
        <v/>
      </c>
      <c r="Z71" s="22">
        <f t="shared" si="22"/>
        <v>0</v>
      </c>
      <c r="AA71" s="16"/>
      <c r="AB71" s="207" t="str">
        <v/>
      </c>
      <c r="AC71" s="302" t="str">
        <f t="shared" si="23"/>
        <v/>
      </c>
      <c r="AD71" s="23" t="str">
        <f>IF(LEN(AB71)&gt;0,(UsdMkt!$BB67-'reference set'!$AC150)*100,"")</f>
        <v/>
      </c>
      <c r="AE71" s="22">
        <f t="shared" si="24"/>
        <v>0</v>
      </c>
      <c r="AF71" s="16"/>
      <c r="AG71" s="207"/>
      <c r="AH71" s="302" t="str">
        <f t="shared" si="25"/>
        <v/>
      </c>
      <c r="AI71" s="23" t="str">
        <f>IF(LEN(AG71)&gt;0,(UsdMkt!$BS67-'reference set'!$AS150)*100,"")</f>
        <v/>
      </c>
      <c r="AJ71" s="22">
        <f t="shared" si="26"/>
        <v>0</v>
      </c>
      <c r="AK71" s="33"/>
      <c r="AL71" s="303"/>
      <c r="AM71" s="303"/>
      <c r="AN71" s="303"/>
      <c r="AO71" s="303"/>
      <c r="AP71" s="207" t="str">
        <v/>
      </c>
      <c r="AQ71" s="302">
        <f>BktUsdOisSens!L63</f>
        <v>0</v>
      </c>
      <c r="AR71" s="208">
        <f>INDEX(BktUsdOisPL!PL_OIS_bckt,MATCH(B71,BktUsdOisPL!$F$9:$F$73,0))</f>
        <v>0</v>
      </c>
      <c r="AS71" s="16"/>
      <c r="AT71" s="401"/>
    </row>
    <row r="72" spans="1:46" ht="15" customHeight="1" thickTop="1">
      <c r="A72" s="536"/>
      <c r="B72" s="536"/>
      <c r="C72" s="536"/>
      <c r="D72" s="536"/>
      <c r="E72" s="536"/>
      <c r="F72" s="536"/>
      <c r="G72" s="536"/>
      <c r="H72" s="536"/>
      <c r="I72" s="536"/>
      <c r="J72" s="536"/>
      <c r="K72" s="536"/>
      <c r="L72" s="536"/>
      <c r="M72" s="536"/>
      <c r="N72" s="536"/>
      <c r="O72" s="536"/>
      <c r="P72" s="536"/>
      <c r="Q72" s="536"/>
      <c r="R72" s="536"/>
      <c r="S72" s="536"/>
      <c r="T72" s="536"/>
      <c r="U72" s="536"/>
      <c r="V72" s="536"/>
      <c r="W72" s="536"/>
      <c r="X72" s="536"/>
      <c r="Y72" s="536"/>
      <c r="Z72" s="536"/>
      <c r="AA72" s="536"/>
      <c r="AB72" s="536"/>
      <c r="AC72" s="536"/>
      <c r="AD72" s="536"/>
      <c r="AE72" s="536"/>
      <c r="AF72" s="536"/>
      <c r="AG72" s="536"/>
      <c r="AH72" s="536"/>
      <c r="AI72" s="536"/>
      <c r="AJ72" s="536"/>
      <c r="AK72" s="536"/>
      <c r="AL72" s="536"/>
      <c r="AM72" s="536"/>
      <c r="AN72" s="536"/>
      <c r="AO72" s="536"/>
      <c r="AP72" s="536"/>
      <c r="AQ72" s="536"/>
      <c r="AR72" s="536"/>
      <c r="AS72" s="536"/>
      <c r="AT72" s="401"/>
    </row>
    <row r="73" spans="1:46" ht="15" customHeight="1">
      <c r="A73" s="401"/>
      <c r="B73" s="401"/>
      <c r="C73" s="401"/>
      <c r="D73" s="401"/>
      <c r="E73" s="401"/>
      <c r="F73" s="401"/>
      <c r="G73" s="401"/>
      <c r="H73" s="401"/>
      <c r="I73" s="401"/>
      <c r="J73" s="401"/>
      <c r="K73" s="401"/>
      <c r="L73" s="401"/>
      <c r="M73" s="401"/>
      <c r="N73" s="401"/>
      <c r="O73" s="401"/>
      <c r="P73" s="401"/>
      <c r="Q73" s="401"/>
      <c r="R73" s="401"/>
      <c r="S73" s="401"/>
      <c r="T73" s="401"/>
      <c r="U73" s="401"/>
      <c r="V73" s="401"/>
      <c r="W73" s="401"/>
      <c r="X73" s="401"/>
      <c r="Y73" s="401"/>
      <c r="Z73" s="401"/>
      <c r="AA73" s="401"/>
      <c r="AB73" s="401"/>
      <c r="AC73" s="401"/>
      <c r="AD73" s="401"/>
      <c r="AE73" s="401"/>
      <c r="AF73" s="401"/>
      <c r="AG73" s="401"/>
      <c r="AH73" s="401"/>
      <c r="AI73" s="401"/>
      <c r="AJ73" s="401"/>
      <c r="AK73" s="401"/>
      <c r="AT73" s="401"/>
    </row>
    <row r="74" spans="1:46" ht="15" customHeight="1">
      <c r="A74" s="401"/>
      <c r="B74" s="401"/>
      <c r="C74" s="401"/>
      <c r="D74" s="401"/>
      <c r="E74" s="401"/>
      <c r="F74" s="401"/>
      <c r="G74" s="401"/>
      <c r="H74" s="401"/>
      <c r="I74" s="401"/>
      <c r="J74" s="401"/>
      <c r="K74" s="401"/>
      <c r="L74" s="401"/>
      <c r="M74" s="401"/>
      <c r="N74" s="401"/>
      <c r="O74" s="401"/>
      <c r="P74" s="401"/>
      <c r="Q74" s="401"/>
      <c r="R74" s="401"/>
      <c r="S74" s="401"/>
      <c r="T74" s="401"/>
      <c r="U74" s="401"/>
      <c r="V74" s="401"/>
      <c r="W74" s="401"/>
      <c r="X74" s="401"/>
      <c r="Y74" s="401"/>
      <c r="Z74" s="401"/>
      <c r="AA74" s="401"/>
      <c r="AB74" s="401"/>
      <c r="AC74" s="401"/>
      <c r="AD74" s="401"/>
      <c r="AE74" s="401"/>
      <c r="AF74" s="401"/>
      <c r="AG74" s="401"/>
      <c r="AH74" s="401"/>
      <c r="AI74" s="401"/>
      <c r="AJ74" s="401"/>
      <c r="AK74" s="401"/>
      <c r="AT74" s="401"/>
    </row>
    <row r="75" spans="1:46" ht="15" customHeight="1">
      <c r="A75" s="401"/>
      <c r="B75" s="401"/>
      <c r="C75" s="401"/>
      <c r="D75" s="401"/>
      <c r="E75" s="401"/>
      <c r="F75" s="401"/>
      <c r="G75" s="401"/>
      <c r="H75" s="401"/>
      <c r="I75" s="401"/>
      <c r="J75" s="401"/>
      <c r="K75" s="401"/>
      <c r="L75" s="401"/>
      <c r="M75" s="401"/>
      <c r="N75" s="401"/>
      <c r="O75" s="401"/>
      <c r="P75" s="401"/>
      <c r="Q75" s="401"/>
      <c r="R75" s="401"/>
      <c r="S75" s="401"/>
      <c r="T75" s="401"/>
      <c r="U75" s="401"/>
      <c r="V75" s="401"/>
      <c r="W75" s="401"/>
      <c r="X75" s="401"/>
      <c r="Y75" s="401"/>
      <c r="Z75" s="401"/>
      <c r="AA75" s="401"/>
      <c r="AB75" s="401"/>
      <c r="AC75" s="401"/>
      <c r="AD75" s="401"/>
      <c r="AE75" s="401"/>
      <c r="AF75" s="401"/>
      <c r="AG75" s="401"/>
      <c r="AH75" s="401"/>
      <c r="AI75" s="401"/>
      <c r="AJ75" s="401"/>
      <c r="AK75" s="401"/>
      <c r="AT75" s="401"/>
    </row>
    <row r="76" spans="1:46" ht="15" customHeight="1">
      <c r="A76" s="401"/>
      <c r="B76" s="401"/>
      <c r="C76" s="401"/>
      <c r="D76" s="401"/>
      <c r="E76" s="401"/>
      <c r="F76" s="401"/>
      <c r="G76" s="401"/>
      <c r="H76" s="401"/>
      <c r="I76" s="401"/>
      <c r="J76" s="401"/>
      <c r="K76" s="401"/>
      <c r="L76" s="401"/>
      <c r="M76" s="401"/>
      <c r="N76" s="401"/>
      <c r="O76" s="401"/>
      <c r="P76" s="401"/>
      <c r="Q76" s="401"/>
      <c r="R76" s="401"/>
      <c r="S76" s="401"/>
      <c r="T76" s="401"/>
      <c r="U76" s="401"/>
      <c r="V76" s="401"/>
      <c r="W76" s="401"/>
      <c r="X76" s="401"/>
      <c r="Y76" s="401"/>
      <c r="Z76" s="401"/>
      <c r="AA76" s="401"/>
      <c r="AB76" s="401"/>
      <c r="AC76" s="401"/>
      <c r="AD76" s="401"/>
      <c r="AE76" s="401"/>
      <c r="AF76" s="401"/>
      <c r="AG76" s="401"/>
      <c r="AH76" s="401"/>
      <c r="AI76" s="401"/>
      <c r="AJ76" s="401"/>
      <c r="AK76" s="401"/>
      <c r="AT76" s="401"/>
    </row>
    <row r="77" spans="1:46" ht="15" customHeight="1">
      <c r="A77" s="401"/>
      <c r="B77" s="401"/>
      <c r="C77" s="401"/>
      <c r="D77" s="401"/>
      <c r="E77" s="401"/>
      <c r="F77" s="401"/>
      <c r="G77" s="401"/>
      <c r="H77" s="401"/>
      <c r="I77" s="401"/>
      <c r="J77" s="401"/>
      <c r="K77" s="401"/>
      <c r="L77" s="401"/>
      <c r="M77" s="401"/>
      <c r="N77" s="401"/>
      <c r="O77" s="401"/>
      <c r="P77" s="401"/>
      <c r="Q77" s="401"/>
      <c r="R77" s="401"/>
      <c r="S77" s="401"/>
      <c r="T77" s="401"/>
      <c r="U77" s="401"/>
      <c r="V77" s="401"/>
      <c r="W77" s="401"/>
      <c r="X77" s="401"/>
      <c r="Y77" s="401"/>
      <c r="Z77" s="401"/>
      <c r="AA77" s="401"/>
      <c r="AB77" s="401"/>
      <c r="AC77" s="401"/>
      <c r="AD77" s="401"/>
      <c r="AE77" s="401"/>
      <c r="AF77" s="401"/>
      <c r="AG77" s="401"/>
      <c r="AH77" s="401"/>
      <c r="AI77" s="401"/>
      <c r="AJ77" s="401"/>
      <c r="AK77" s="401"/>
      <c r="AT77" s="401"/>
    </row>
    <row r="78" spans="1:46" ht="15" customHeight="1">
      <c r="A78" s="401"/>
      <c r="B78" s="401"/>
      <c r="C78" s="401"/>
      <c r="D78" s="401"/>
      <c r="E78" s="401"/>
      <c r="F78" s="401"/>
      <c r="G78" s="401"/>
      <c r="H78" s="401"/>
      <c r="I78" s="401"/>
      <c r="J78" s="401"/>
      <c r="K78" s="401"/>
      <c r="L78" s="401"/>
      <c r="M78" s="401"/>
      <c r="N78" s="401"/>
      <c r="O78" s="401"/>
      <c r="P78" s="401"/>
      <c r="Q78" s="401"/>
      <c r="R78" s="401"/>
      <c r="S78" s="401"/>
      <c r="T78" s="401"/>
      <c r="U78" s="401"/>
      <c r="V78" s="401"/>
      <c r="W78" s="401"/>
      <c r="X78" s="401"/>
      <c r="Y78" s="401"/>
      <c r="Z78" s="401"/>
      <c r="AA78" s="401"/>
      <c r="AB78" s="401"/>
      <c r="AC78" s="401"/>
      <c r="AD78" s="401"/>
      <c r="AE78" s="401"/>
      <c r="AF78" s="401"/>
      <c r="AG78" s="401"/>
      <c r="AH78" s="401"/>
      <c r="AI78" s="401"/>
      <c r="AJ78" s="401"/>
      <c r="AK78" s="401"/>
      <c r="AT78" s="401"/>
    </row>
    <row r="79" spans="1:46" ht="15" customHeight="1">
      <c r="A79" s="401"/>
      <c r="B79" s="401"/>
      <c r="C79" s="401"/>
      <c r="D79" s="401"/>
      <c r="E79" s="401"/>
      <c r="F79" s="401"/>
      <c r="G79" s="401"/>
      <c r="H79" s="401"/>
      <c r="I79" s="401"/>
      <c r="J79" s="401"/>
      <c r="K79" s="401"/>
      <c r="L79" s="401"/>
      <c r="M79" s="401"/>
      <c r="N79" s="401"/>
      <c r="O79" s="401"/>
      <c r="P79" s="401"/>
      <c r="Q79" s="401"/>
      <c r="R79" s="401"/>
      <c r="S79" s="401"/>
      <c r="T79" s="401"/>
      <c r="U79" s="401"/>
      <c r="V79" s="401"/>
      <c r="W79" s="401"/>
      <c r="X79" s="401"/>
      <c r="Y79" s="401"/>
      <c r="Z79" s="401"/>
      <c r="AA79" s="401"/>
      <c r="AB79" s="401"/>
      <c r="AC79" s="401"/>
      <c r="AD79" s="401"/>
      <c r="AE79" s="401"/>
      <c r="AF79" s="401"/>
      <c r="AG79" s="401"/>
      <c r="AH79" s="401"/>
      <c r="AI79" s="401"/>
      <c r="AJ79" s="401"/>
      <c r="AK79" s="401"/>
      <c r="AT79" s="401"/>
    </row>
    <row r="80" spans="1:46" ht="15" customHeight="1">
      <c r="A80" s="401"/>
      <c r="B80" s="401"/>
      <c r="C80" s="401"/>
      <c r="D80" s="401"/>
      <c r="E80" s="401"/>
      <c r="F80" s="401"/>
      <c r="G80" s="401"/>
      <c r="H80" s="401"/>
      <c r="I80" s="401"/>
      <c r="J80" s="401"/>
      <c r="K80" s="401"/>
      <c r="L80" s="401"/>
      <c r="M80" s="401"/>
      <c r="N80" s="401"/>
      <c r="O80" s="401"/>
      <c r="P80" s="401"/>
      <c r="Q80" s="401"/>
      <c r="R80" s="401"/>
      <c r="S80" s="401"/>
      <c r="T80" s="401"/>
      <c r="U80" s="401"/>
      <c r="V80" s="401"/>
      <c r="W80" s="401"/>
      <c r="X80" s="401"/>
      <c r="Y80" s="401"/>
      <c r="Z80" s="401"/>
      <c r="AA80" s="401"/>
      <c r="AB80" s="401"/>
      <c r="AC80" s="401"/>
      <c r="AD80" s="401"/>
      <c r="AE80" s="401"/>
      <c r="AF80" s="401"/>
      <c r="AG80" s="401"/>
      <c r="AH80" s="401"/>
      <c r="AI80" s="401"/>
      <c r="AJ80" s="401"/>
      <c r="AK80" s="401"/>
      <c r="AT80" s="401"/>
    </row>
    <row r="81" spans="1:46" ht="15" customHeight="1">
      <c r="A81" s="401"/>
      <c r="B81" s="401"/>
      <c r="C81" s="401"/>
      <c r="D81" s="401"/>
      <c r="E81" s="401"/>
      <c r="F81" s="401"/>
      <c r="G81" s="401"/>
      <c r="H81" s="401"/>
      <c r="I81" s="401"/>
      <c r="J81" s="401"/>
      <c r="K81" s="401"/>
      <c r="L81" s="401"/>
      <c r="M81" s="401"/>
      <c r="N81" s="401"/>
      <c r="O81" s="401"/>
      <c r="P81" s="401"/>
      <c r="Q81" s="401"/>
      <c r="R81" s="401"/>
      <c r="S81" s="401"/>
      <c r="T81" s="401"/>
      <c r="U81" s="401"/>
      <c r="V81" s="401"/>
      <c r="W81" s="401"/>
      <c r="X81" s="401"/>
      <c r="Y81" s="401"/>
      <c r="Z81" s="401"/>
      <c r="AA81" s="401"/>
      <c r="AB81" s="401"/>
      <c r="AC81" s="401"/>
      <c r="AD81" s="401"/>
      <c r="AE81" s="401"/>
      <c r="AF81" s="401"/>
      <c r="AG81" s="401"/>
      <c r="AH81" s="401"/>
      <c r="AI81" s="401"/>
      <c r="AJ81" s="401"/>
      <c r="AK81" s="401"/>
      <c r="AT81" s="401"/>
    </row>
    <row r="82" spans="1:46" ht="15" customHeight="1">
      <c r="A82" s="401"/>
      <c r="B82" s="401"/>
      <c r="C82" s="401"/>
      <c r="D82" s="401"/>
      <c r="E82" s="401"/>
      <c r="F82" s="401"/>
      <c r="G82" s="401"/>
      <c r="H82" s="401"/>
      <c r="I82" s="401"/>
      <c r="J82" s="401"/>
      <c r="K82" s="401"/>
      <c r="L82" s="401"/>
      <c r="M82" s="401"/>
      <c r="N82" s="401"/>
      <c r="O82" s="401"/>
      <c r="P82" s="401"/>
      <c r="Q82" s="401"/>
      <c r="R82" s="401"/>
      <c r="S82" s="401"/>
      <c r="T82" s="401"/>
      <c r="U82" s="401"/>
      <c r="V82" s="401"/>
      <c r="W82" s="401"/>
      <c r="X82" s="401"/>
      <c r="Y82" s="401"/>
      <c r="Z82" s="401"/>
      <c r="AA82" s="401"/>
      <c r="AB82" s="401"/>
      <c r="AC82" s="401"/>
      <c r="AD82" s="401"/>
      <c r="AE82" s="401"/>
      <c r="AF82" s="401"/>
      <c r="AG82" s="401"/>
      <c r="AH82" s="401"/>
      <c r="AI82" s="401"/>
      <c r="AJ82" s="401"/>
      <c r="AK82" s="401"/>
      <c r="AT82" s="401"/>
    </row>
    <row r="83" spans="1:46" ht="15" customHeight="1">
      <c r="A83" s="401"/>
      <c r="B83" s="401"/>
      <c r="C83" s="401"/>
      <c r="D83" s="401"/>
      <c r="E83" s="401"/>
      <c r="F83" s="401"/>
      <c r="G83" s="401"/>
      <c r="H83" s="401"/>
      <c r="I83" s="401"/>
      <c r="J83" s="401"/>
      <c r="K83" s="401"/>
      <c r="L83" s="401"/>
      <c r="M83" s="401"/>
      <c r="N83" s="401"/>
      <c r="O83" s="401"/>
      <c r="Q83" s="401"/>
      <c r="R83" s="401"/>
      <c r="S83" s="401"/>
      <c r="T83" s="401"/>
      <c r="U83" s="401"/>
      <c r="V83" s="401"/>
      <c r="W83" s="401"/>
      <c r="X83" s="401"/>
      <c r="Y83" s="401"/>
      <c r="Z83" s="401"/>
      <c r="AA83" s="401"/>
      <c r="AB83" s="401"/>
      <c r="AC83" s="401"/>
      <c r="AD83" s="401"/>
      <c r="AE83" s="401"/>
      <c r="AG83" s="401"/>
      <c r="AH83" s="401"/>
      <c r="AI83" s="401"/>
      <c r="AJ83" s="401"/>
      <c r="AK83" s="401"/>
    </row>
    <row r="84" spans="1:46" ht="15" customHeight="1">
      <c r="A84" s="332"/>
      <c r="B84" s="332"/>
      <c r="C84" s="332"/>
      <c r="D84" s="332"/>
      <c r="E84" s="332"/>
      <c r="F84" s="332"/>
      <c r="G84" s="332"/>
      <c r="H84" s="332"/>
      <c r="I84" s="332"/>
      <c r="J84" s="332"/>
    </row>
    <row r="85" spans="1:46" ht="15" customHeight="1">
      <c r="A85" s="332"/>
      <c r="B85" s="332"/>
      <c r="C85" s="332"/>
      <c r="D85" s="332"/>
      <c r="E85" s="332"/>
      <c r="F85" s="332"/>
      <c r="G85" s="332"/>
      <c r="H85" s="332"/>
      <c r="I85" s="332"/>
      <c r="J85" s="332"/>
      <c r="R85" s="228"/>
    </row>
    <row r="86" spans="1:46" ht="15" customHeight="1">
      <c r="A86" s="332"/>
      <c r="B86" s="332"/>
      <c r="C86" s="332"/>
      <c r="D86" s="113"/>
      <c r="F86" s="332"/>
      <c r="G86" s="332"/>
      <c r="H86" s="332"/>
    </row>
    <row r="87" spans="1:46" ht="15" customHeight="1">
      <c r="F87" s="332"/>
      <c r="G87" s="332"/>
      <c r="H87" s="332"/>
    </row>
    <row r="88" spans="1:46" ht="15" customHeight="1">
      <c r="F88" s="332"/>
      <c r="G88" s="332"/>
      <c r="H88" s="332"/>
    </row>
    <row r="89" spans="1:46" ht="15" customHeight="1">
      <c r="Q89" s="367" t="s">
        <v>844</v>
      </c>
      <c r="R89" s="367" t="s">
        <v>845</v>
      </c>
    </row>
    <row r="90" spans="1:46" ht="15" customHeight="1">
      <c r="Q90" s="235">
        <f>UsdMkt!M17</f>
        <v>42907</v>
      </c>
      <c r="R90" s="235">
        <f>UsdMkt!M22</f>
        <v>43362</v>
      </c>
    </row>
    <row r="91" spans="1:46" ht="15" customHeight="1">
      <c r="D91" s="332"/>
      <c r="E91" s="332"/>
      <c r="F91" s="332"/>
      <c r="G91" s="332"/>
      <c r="H91" s="332"/>
      <c r="I91" s="332"/>
      <c r="J91" s="332"/>
      <c r="N91" s="556">
        <f>SUM(O93:O113)+PL_NOTE5Y+PL_NOTE10Y+PL_NOTE30Y</f>
        <v>-24212.499999983342</v>
      </c>
      <c r="O91" s="557"/>
      <c r="Q91" s="391">
        <f>MATCH(Q90,[0]!BucketMaturity,0)</f>
        <v>13</v>
      </c>
      <c r="R91" s="391">
        <f>MATCH(R90,[0]!BucketMaturity,0)</f>
        <v>19</v>
      </c>
    </row>
    <row r="92" spans="1:46" ht="15" customHeight="1">
      <c r="D92" s="332"/>
      <c r="E92" s="310" t="s">
        <v>93</v>
      </c>
      <c r="F92" s="310"/>
      <c r="G92" s="310"/>
      <c r="H92" s="310"/>
      <c r="I92" s="310"/>
      <c r="J92" s="310" t="s">
        <v>617</v>
      </c>
      <c r="K92" s="311" t="s">
        <v>161</v>
      </c>
      <c r="L92" s="311"/>
      <c r="M92" s="311" t="s">
        <v>555</v>
      </c>
      <c r="N92" s="14" t="s">
        <v>84</v>
      </c>
      <c r="O92" s="14" t="s">
        <v>85</v>
      </c>
      <c r="Q92" s="367" t="s">
        <v>846</v>
      </c>
      <c r="R92" s="367" t="s">
        <v>847</v>
      </c>
      <c r="S92" s="367" t="s">
        <v>848</v>
      </c>
    </row>
    <row r="93" spans="1:46" ht="15" customHeight="1">
      <c r="D93" s="332"/>
      <c r="E93" s="58" t="str">
        <f>$G$2</f>
        <v>CME EURO USD 3M</v>
      </c>
      <c r="F93" s="309"/>
      <c r="G93" s="297"/>
      <c r="H93" s="297"/>
      <c r="I93" s="297"/>
      <c r="J93" s="302"/>
      <c r="K93" s="302"/>
      <c r="M93" s="302"/>
      <c r="N93" s="23"/>
      <c r="O93" s="22"/>
      <c r="R93" s="370"/>
      <c r="S93" s="371"/>
    </row>
    <row r="94" spans="1:46" ht="15" customHeight="1">
      <c r="D94" s="332"/>
      <c r="E94" s="209">
        <f>IFERROR(UsdMkt!F15,"")</f>
        <v>42725</v>
      </c>
      <c r="F94" s="553" t="str">
        <f t="shared" ref="F94:F113" si="27">IF(LEN(E94)&gt;0,$G$2&amp;";"&amp;UPPER(TEXT(E94,"MMM YY")),"")</f>
        <v>CME EURO USD 3M;DEC 16</v>
      </c>
      <c r="G94" s="553"/>
      <c r="H94" s="553"/>
      <c r="I94" s="553"/>
      <c r="J94" s="302">
        <f t="shared" ref="J94:J113" si="28">VLOOKUP(F94,FUT,$H$2,FALSE)</f>
        <v>700</v>
      </c>
      <c r="K94" s="305">
        <f t="shared" ref="K94:K113" si="29">VLOOKUP(F94,FUT,$I$2,FALSE)</f>
        <v>99.032499999999999</v>
      </c>
      <c r="M94" s="305">
        <f>INDEX(UsdMkt!MktFut_MID,MATCH(F94,UsdMkt!MktFut_Code,0),1)</f>
        <v>99.026250000000005</v>
      </c>
      <c r="N94" s="23">
        <f t="shared" ref="N94:N113" si="30">(M94-K94)*100</f>
        <v>-0.62499999999943157</v>
      </c>
      <c r="O94" s="22">
        <f t="shared" ref="O94:O113" si="31">IFERROR(N94*J94*25,0)</f>
        <v>-10937.499999990052</v>
      </c>
      <c r="Q94" s="373">
        <f t="shared" ref="Q94:Q113" si="32">IF(LEN(E94)&gt;0,IF(AND(E94&gt;=$Q$90,E94&lt;=$R$90),2,IF(E94&lt;$Q$90,1,3)),4)</f>
        <v>1</v>
      </c>
      <c r="R94" s="373">
        <f>CHOOSE(Q94,MIN($Q$91,IFERROR(MATCH(EDATE(E94,3),[0]!BucketMaturity,1),IF(E94&lt;Q90,1,NA()))),"Fut.","3Y","")</f>
        <v>9</v>
      </c>
      <c r="S94" s="207" t="str">
        <f>CHOOSE(Q94,INDEX([0]!CommonBucket,'usd disaggregated'!R94),E94,"3Y","")</f>
        <v>3M</v>
      </c>
    </row>
    <row r="95" spans="1:46" ht="15" customHeight="1">
      <c r="D95" s="332"/>
      <c r="E95" s="209">
        <f>IFERROR(UsdMkt!F16,"")</f>
        <v>42753</v>
      </c>
      <c r="F95" s="553" t="str">
        <f t="shared" si="27"/>
        <v>CME EURO USD 3M;JAN 17</v>
      </c>
      <c r="G95" s="553"/>
      <c r="H95" s="553"/>
      <c r="I95" s="553"/>
      <c r="J95" s="302" t="e">
        <f t="shared" si="28"/>
        <v>#N/A</v>
      </c>
      <c r="K95" s="305" t="e">
        <f t="shared" si="29"/>
        <v>#N/A</v>
      </c>
      <c r="M95" s="305">
        <f>INDEX(UsdMkt!MktFut_MID,MATCH(F95,UsdMkt!MktFut_Code,0),1)</f>
        <v>99.022500000000008</v>
      </c>
      <c r="N95" s="23" t="e">
        <f t="shared" si="30"/>
        <v>#N/A</v>
      </c>
      <c r="O95" s="22">
        <f t="shared" si="31"/>
        <v>0</v>
      </c>
      <c r="Q95" s="373">
        <f t="shared" si="32"/>
        <v>1</v>
      </c>
      <c r="R95" s="373">
        <f>CHOOSE(Q95,MIN($Q$91,IFERROR(MATCH(EDATE(E95,3),[0]!BucketMaturity,1),IF(E95&lt;Q91,1,NA()))),"Fut.","3Y","")</f>
        <v>10</v>
      </c>
      <c r="S95" s="207" t="str">
        <f>CHOOSE(Q95,INDEX([0]!CommonBucket,'usd disaggregated'!R95),E95,"3Y","")</f>
        <v>4M</v>
      </c>
    </row>
    <row r="96" spans="1:46" ht="15" customHeight="1">
      <c r="D96" s="332"/>
      <c r="E96" s="209">
        <f>IFERROR(UsdMkt!F17,"")</f>
        <v>42781</v>
      </c>
      <c r="F96" s="553" t="str">
        <f t="shared" si="27"/>
        <v>CME EURO USD 3M;FEB 17</v>
      </c>
      <c r="G96" s="553"/>
      <c r="H96" s="553"/>
      <c r="I96" s="553"/>
      <c r="J96" s="302" t="e">
        <f t="shared" si="28"/>
        <v>#N/A</v>
      </c>
      <c r="K96" s="305" t="e">
        <f t="shared" si="29"/>
        <v>#N/A</v>
      </c>
      <c r="M96" s="305">
        <f>INDEX(UsdMkt!MktFut_MID,MATCH(F96,UsdMkt!MktFut_Code,0),1)</f>
        <v>99.004999999999995</v>
      </c>
      <c r="N96" s="23" t="e">
        <f t="shared" si="30"/>
        <v>#N/A</v>
      </c>
      <c r="O96" s="22">
        <f t="shared" si="31"/>
        <v>0</v>
      </c>
      <c r="Q96" s="373">
        <f t="shared" si="32"/>
        <v>1</v>
      </c>
      <c r="R96" s="373">
        <f>CHOOSE(Q96,MIN($Q$91,IFERROR(MATCH(EDATE(E96,3),[0]!BucketMaturity,1),IF(E96&lt;Q92,1,NA()))),"Fut.","3Y","")</f>
        <v>11</v>
      </c>
      <c r="S96" s="207" t="str">
        <f>CHOOSE(Q96,INDEX([0]!CommonBucket,'usd disaggregated'!R96),E96,"3Y","")</f>
        <v>5M</v>
      </c>
    </row>
    <row r="97" spans="4:19" ht="15" customHeight="1">
      <c r="D97" s="332"/>
      <c r="E97" s="209">
        <f>IFERROR(UsdMkt!F18,"")</f>
        <v>42809</v>
      </c>
      <c r="F97" s="553" t="str">
        <f t="shared" si="27"/>
        <v>CME EURO USD 3M;MAR 17</v>
      </c>
      <c r="G97" s="553"/>
      <c r="H97" s="553"/>
      <c r="I97" s="553"/>
      <c r="J97" s="302">
        <f t="shared" si="28"/>
        <v>169</v>
      </c>
      <c r="K97" s="305">
        <f t="shared" si="29"/>
        <v>98.984999999999999</v>
      </c>
      <c r="M97" s="305">
        <f>INDEX(UsdMkt!MktFut_MID,MATCH(F97,UsdMkt!MktFut_Code,0),1)</f>
        <v>98.982500000000002</v>
      </c>
      <c r="N97" s="23">
        <f t="shared" si="30"/>
        <v>-0.24999999999977263</v>
      </c>
      <c r="O97" s="22">
        <f t="shared" si="31"/>
        <v>-1056.2499999990393</v>
      </c>
      <c r="Q97" s="373">
        <f t="shared" si="32"/>
        <v>1</v>
      </c>
      <c r="R97" s="373">
        <f>CHOOSE(Q97,MIN($Q$91,IFERROR(MATCH(EDATE(E97,3),[0]!BucketMaturity,1),IF(E97&lt;Q93,1,NA()))),"Fut.","3Y","")</f>
        <v>12</v>
      </c>
      <c r="S97" s="207" t="str">
        <f>CHOOSE(Q97,INDEX([0]!CommonBucket,'usd disaggregated'!R97),E97,"3Y","")</f>
        <v>6M</v>
      </c>
    </row>
    <row r="98" spans="4:19" ht="15" customHeight="1">
      <c r="D98" s="332"/>
      <c r="E98" s="209">
        <f>IFERROR(UsdMkt!F19,"")</f>
        <v>42840</v>
      </c>
      <c r="F98" s="553" t="str">
        <f t="shared" si="27"/>
        <v>CME EURO USD 3M;APR 17</v>
      </c>
      <c r="G98" s="553"/>
      <c r="H98" s="553"/>
      <c r="I98" s="553"/>
      <c r="J98" s="302" t="e">
        <f t="shared" si="28"/>
        <v>#N/A</v>
      </c>
      <c r="K98" s="305" t="e">
        <f t="shared" si="29"/>
        <v>#N/A</v>
      </c>
      <c r="M98" s="305" t="e">
        <f>INDEX(UsdMkt!MktFut_MID,MATCH(F98,UsdMkt!MktFut_Code,0),1)</f>
        <v>#N/A</v>
      </c>
      <c r="N98" s="23" t="e">
        <f t="shared" si="30"/>
        <v>#N/A</v>
      </c>
      <c r="O98" s="22">
        <f t="shared" si="31"/>
        <v>0</v>
      </c>
      <c r="Q98" s="373">
        <f t="shared" si="32"/>
        <v>1</v>
      </c>
      <c r="R98" s="373">
        <f>CHOOSE(Q98,MIN($Q$91,IFERROR(MATCH(EDATE(E98,3),[0]!BucketMaturity,1),IF(E98&lt;Q94,1,NA()))),"Fut.","3Y","")</f>
        <v>13</v>
      </c>
      <c r="S98" s="207" t="str">
        <f>CHOOSE(Q98,INDEX([0]!CommonBucket,'usd disaggregated'!R98),E98,"3Y","")</f>
        <v>#20170621</v>
      </c>
    </row>
    <row r="99" spans="4:19" ht="15" customHeight="1">
      <c r="D99" s="332"/>
      <c r="E99" s="209">
        <f>IFERROR(UsdMkt!F20,"")</f>
        <v>42872</v>
      </c>
      <c r="F99" s="553" t="str">
        <f t="shared" si="27"/>
        <v>CME EURO USD 3M;MAY 17</v>
      </c>
      <c r="G99" s="553"/>
      <c r="H99" s="553"/>
      <c r="I99" s="553"/>
      <c r="J99" s="302" t="e">
        <f t="shared" si="28"/>
        <v>#N/A</v>
      </c>
      <c r="K99" s="305" t="e">
        <f t="shared" si="29"/>
        <v>#N/A</v>
      </c>
      <c r="M99" s="305" t="e">
        <f>INDEX(UsdMkt!MktFut_MID,MATCH(F99,UsdMkt!MktFut_Code,0),1)</f>
        <v>#N/A</v>
      </c>
      <c r="N99" s="23" t="e">
        <f t="shared" si="30"/>
        <v>#N/A</v>
      </c>
      <c r="O99" s="22">
        <f t="shared" si="31"/>
        <v>0</v>
      </c>
      <c r="Q99" s="373">
        <f t="shared" si="32"/>
        <v>1</v>
      </c>
      <c r="R99" s="373">
        <f>CHOOSE(Q99,MIN($Q$91,IFERROR(MATCH(EDATE(E99,3),[0]!BucketMaturity,1),IF(E99&lt;Q95,1,NA()))),"Fut.","3Y","")</f>
        <v>13</v>
      </c>
      <c r="S99" s="207" t="str">
        <f>CHOOSE(Q99,INDEX([0]!CommonBucket,'usd disaggregated'!R99),E99,"3Y","")</f>
        <v>#20170621</v>
      </c>
    </row>
    <row r="100" spans="4:19" ht="15" customHeight="1">
      <c r="D100" s="332"/>
      <c r="E100" s="209">
        <f>IFERROR(UsdMkt!F21,"")</f>
        <v>42907</v>
      </c>
      <c r="F100" s="553" t="str">
        <f t="shared" si="27"/>
        <v>CME EURO USD 3M;JUN 17</v>
      </c>
      <c r="G100" s="553"/>
      <c r="H100" s="553"/>
      <c r="I100" s="553"/>
      <c r="J100" s="302">
        <f t="shared" si="28"/>
        <v>451</v>
      </c>
      <c r="K100" s="305">
        <f t="shared" si="29"/>
        <v>98.88</v>
      </c>
      <c r="M100" s="305">
        <f>INDEX(UsdMkt!MktFut_MID,MATCH(F100,UsdMkt!MktFut_Code,0),1)</f>
        <v>98.867500000000007</v>
      </c>
      <c r="N100" s="23">
        <f t="shared" si="30"/>
        <v>-1.2499999999988631</v>
      </c>
      <c r="O100" s="22">
        <f t="shared" si="31"/>
        <v>-14093.749999987182</v>
      </c>
      <c r="Q100" s="373">
        <f t="shared" si="32"/>
        <v>2</v>
      </c>
      <c r="R100" s="373" t="str">
        <f>CHOOSE(Q100,MIN($Q$91,IFERROR(MATCH(EDATE(E100,3),[0]!BucketMaturity,1),IF(E100&lt;Q96,1,NA()))),"Fut.","3Y","")</f>
        <v>Fut.</v>
      </c>
      <c r="S100" s="207">
        <f>CHOOSE(Q100,INDEX([0]!CommonBucket,'usd disaggregated'!R100),E100,"3Y","")</f>
        <v>42907</v>
      </c>
    </row>
    <row r="101" spans="4:19" ht="15" customHeight="1">
      <c r="D101" s="332"/>
      <c r="E101" s="209">
        <f>IFERROR(UsdMkt!F22,"")</f>
        <v>42998</v>
      </c>
      <c r="F101" s="553" t="str">
        <f t="shared" si="27"/>
        <v>CME EURO USD 3M;SEP 17</v>
      </c>
      <c r="G101" s="553"/>
      <c r="H101" s="553"/>
      <c r="I101" s="553"/>
      <c r="J101" s="302">
        <f t="shared" si="28"/>
        <v>100</v>
      </c>
      <c r="K101" s="305">
        <f t="shared" si="29"/>
        <v>98.78</v>
      </c>
      <c r="M101" s="305">
        <f>INDEX(UsdMkt!MktFut_MID,MATCH(F101,UsdMkt!MktFut_Code,0),1)</f>
        <v>98.762500000000003</v>
      </c>
      <c r="N101" s="23">
        <f t="shared" si="30"/>
        <v>-1.7499999999998295</v>
      </c>
      <c r="O101" s="22">
        <f t="shared" si="31"/>
        <v>-4374.9999999995734</v>
      </c>
      <c r="Q101" s="373">
        <f t="shared" si="32"/>
        <v>2</v>
      </c>
      <c r="R101" s="373" t="str">
        <f>CHOOSE(Q101,MIN($Q$91,IFERROR(MATCH(EDATE(E101,3),[0]!BucketMaturity,1),IF(E101&lt;Q97,1,NA()))),"Fut.","3Y","")</f>
        <v>Fut.</v>
      </c>
      <c r="S101" s="207">
        <f>CHOOSE(Q101,INDEX([0]!CommonBucket,'usd disaggregated'!R101),E101,"3Y","")</f>
        <v>42998</v>
      </c>
    </row>
    <row r="102" spans="4:19" ht="15" customHeight="1">
      <c r="D102" s="332"/>
      <c r="E102" s="209">
        <f>IFERROR(UsdMkt!F23,"")</f>
        <v>43089</v>
      </c>
      <c r="F102" s="553" t="str">
        <f t="shared" si="27"/>
        <v>CME EURO USD 3M;DEC 17</v>
      </c>
      <c r="G102" s="553"/>
      <c r="H102" s="553"/>
      <c r="I102" s="553"/>
      <c r="J102" s="302">
        <f t="shared" si="28"/>
        <v>-50</v>
      </c>
      <c r="K102" s="305">
        <f t="shared" si="29"/>
        <v>98.665000000000006</v>
      </c>
      <c r="M102" s="305">
        <f>INDEX(UsdMkt!MktFut_MID,MATCH(F102,UsdMkt!MktFut_Code,0),1)</f>
        <v>98.642499999999998</v>
      </c>
      <c r="N102" s="23">
        <f t="shared" si="30"/>
        <v>-2.2500000000007958</v>
      </c>
      <c r="O102" s="22">
        <f t="shared" si="31"/>
        <v>2812.500000000995</v>
      </c>
      <c r="Q102" s="373">
        <f t="shared" si="32"/>
        <v>2</v>
      </c>
      <c r="R102" s="373" t="str">
        <f>CHOOSE(Q102,MIN($Q$91,IFERROR(MATCH(EDATE(E102,3),[0]!BucketMaturity,1),IF(E102&lt;Q98,1,NA()))),"Fut.","3Y","")</f>
        <v>Fut.</v>
      </c>
      <c r="S102" s="207">
        <f>CHOOSE(Q102,INDEX([0]!CommonBucket,'usd disaggregated'!R102),E102,"3Y","")</f>
        <v>43089</v>
      </c>
    </row>
    <row r="103" spans="4:19" ht="15" customHeight="1">
      <c r="D103" s="332"/>
      <c r="E103" s="209">
        <f>IFERROR(UsdMkt!F24,"")</f>
        <v>43180</v>
      </c>
      <c r="F103" s="553" t="str">
        <f t="shared" si="27"/>
        <v>CME EURO USD 3M;MAR 18</v>
      </c>
      <c r="G103" s="553"/>
      <c r="H103" s="553"/>
      <c r="I103" s="553"/>
      <c r="J103" s="302">
        <f t="shared" si="28"/>
        <v>-251</v>
      </c>
      <c r="K103" s="305">
        <f t="shared" si="29"/>
        <v>98.57</v>
      </c>
      <c r="M103" s="305">
        <f>INDEX(UsdMkt!MktFut_MID,MATCH(F103,UsdMkt!MktFut_Code,0),1)</f>
        <v>98.542500000000004</v>
      </c>
      <c r="N103" s="23">
        <f t="shared" si="30"/>
        <v>-2.74999999999892</v>
      </c>
      <c r="O103" s="22">
        <f t="shared" si="31"/>
        <v>17256.249999993226</v>
      </c>
      <c r="Q103" s="373">
        <f t="shared" si="32"/>
        <v>2</v>
      </c>
      <c r="R103" s="373" t="str">
        <f>CHOOSE(Q103,MIN($Q$91,IFERROR(MATCH(EDATE(E103,3),[0]!BucketMaturity,1),IF(E103&lt;Q99,1,NA()))),"Fut.","3Y","")</f>
        <v>Fut.</v>
      </c>
      <c r="S103" s="207">
        <f>CHOOSE(Q103,INDEX([0]!CommonBucket,'usd disaggregated'!R103),E103,"3Y","")</f>
        <v>43180</v>
      </c>
    </row>
    <row r="104" spans="4:19" ht="15" customHeight="1">
      <c r="D104" s="332"/>
      <c r="E104" s="209">
        <f>IFERROR(UsdMkt!F25,"")</f>
        <v>43271</v>
      </c>
      <c r="F104" s="553" t="str">
        <f t="shared" si="27"/>
        <v>CME EURO USD 3M;JUN 18</v>
      </c>
      <c r="G104" s="553"/>
      <c r="H104" s="553"/>
      <c r="I104" s="553"/>
      <c r="J104" s="302">
        <f t="shared" si="28"/>
        <v>201</v>
      </c>
      <c r="K104" s="305">
        <f t="shared" si="29"/>
        <v>98.465000000000003</v>
      </c>
      <c r="M104" s="305">
        <f>INDEX(UsdMkt!MktFut_MID,MATCH(F104,UsdMkt!MktFut_Code,0),1)</f>
        <v>98.4375</v>
      </c>
      <c r="N104" s="23">
        <f t="shared" si="30"/>
        <v>-2.7500000000003411</v>
      </c>
      <c r="O104" s="22">
        <f t="shared" si="31"/>
        <v>-13818.750000001713</v>
      </c>
      <c r="Q104" s="373">
        <f t="shared" si="32"/>
        <v>2</v>
      </c>
      <c r="R104" s="373" t="str">
        <f>CHOOSE(Q104,MIN($Q$91,IFERROR(MATCH(EDATE(E104,3),[0]!BucketMaturity,1),IF(E104&lt;Q100,1,NA()))),"Fut.","3Y","")</f>
        <v>Fut.</v>
      </c>
      <c r="S104" s="207">
        <f>CHOOSE(Q104,INDEX([0]!CommonBucket,'usd disaggregated'!R104),E104,"3Y","")</f>
        <v>43271</v>
      </c>
    </row>
    <row r="105" spans="4:19" ht="15" customHeight="1">
      <c r="D105" s="332"/>
      <c r="E105" s="209">
        <f>IFERROR(UsdMkt!F26,"")</f>
        <v>43362</v>
      </c>
      <c r="F105" s="553" t="str">
        <f t="shared" si="27"/>
        <v>CME EURO USD 3M;SEP 18</v>
      </c>
      <c r="G105" s="553"/>
      <c r="H105" s="553"/>
      <c r="I105" s="553"/>
      <c r="J105" s="302" t="e">
        <f t="shared" si="28"/>
        <v>#N/A</v>
      </c>
      <c r="K105" s="305" t="e">
        <f t="shared" si="29"/>
        <v>#N/A</v>
      </c>
      <c r="M105" s="305">
        <f>INDEX(UsdMkt!MktFut_MID,MATCH(F105,UsdMkt!MktFut_Code,0),1)</f>
        <v>98.33250000000001</v>
      </c>
      <c r="N105" s="23" t="e">
        <f t="shared" si="30"/>
        <v>#N/A</v>
      </c>
      <c r="O105" s="22">
        <f t="shared" si="31"/>
        <v>0</v>
      </c>
      <c r="Q105" s="373">
        <f t="shared" si="32"/>
        <v>2</v>
      </c>
      <c r="R105" s="373" t="str">
        <f>CHOOSE(Q105,MIN($Q$91,IFERROR(MATCH(EDATE(E105,3),[0]!BucketMaturity,1),IF(E105&lt;Q101,1,NA()))),"Fut.","3Y","")</f>
        <v>Fut.</v>
      </c>
      <c r="S105" s="207">
        <f>CHOOSE(Q105,INDEX([0]!CommonBucket,'usd disaggregated'!R105),E105,"3Y","")</f>
        <v>43362</v>
      </c>
    </row>
    <row r="106" spans="4:19" ht="15" customHeight="1">
      <c r="D106" s="332"/>
      <c r="E106" s="209">
        <f>IFERROR(UsdMkt!F27,"")</f>
        <v>43453</v>
      </c>
      <c r="F106" s="553" t="str">
        <f t="shared" si="27"/>
        <v>CME EURO USD 3M;DEC 18</v>
      </c>
      <c r="G106" s="553"/>
      <c r="H106" s="553"/>
      <c r="I106" s="553"/>
      <c r="J106" s="302" t="e">
        <f t="shared" si="28"/>
        <v>#N/A</v>
      </c>
      <c r="K106" s="305" t="e">
        <f t="shared" si="29"/>
        <v>#N/A</v>
      </c>
      <c r="M106" s="305">
        <f>INDEX(UsdMkt!MktFut_MID,MATCH(F106,UsdMkt!MktFut_Code,0),1)</f>
        <v>98.217500000000001</v>
      </c>
      <c r="N106" s="23" t="e">
        <f t="shared" si="30"/>
        <v>#N/A</v>
      </c>
      <c r="O106" s="22">
        <f t="shared" si="31"/>
        <v>0</v>
      </c>
      <c r="Q106" s="373">
        <f t="shared" si="32"/>
        <v>3</v>
      </c>
      <c r="R106" s="373" t="str">
        <f>CHOOSE(Q106,MIN($Q$91,IFERROR(MATCH(EDATE(E106,3),[0]!BucketMaturity,1),IF(E106&lt;Q102,1,NA()))),"Fut.","3Y","")</f>
        <v>3Y</v>
      </c>
      <c r="S106" s="207" t="str">
        <f>CHOOSE(Q106,INDEX([0]!CommonBucket,'usd disaggregated'!R106),E106,"3Y","")</f>
        <v>3Y</v>
      </c>
    </row>
    <row r="107" spans="4:19" ht="15" customHeight="1">
      <c r="D107" s="332"/>
      <c r="E107" s="209">
        <f>IFERROR(UsdMkt!F28,"")</f>
        <v>43544</v>
      </c>
      <c r="F107" s="553" t="str">
        <f t="shared" si="27"/>
        <v>CME EURO USD 3M;MAR 19</v>
      </c>
      <c r="G107" s="553"/>
      <c r="H107" s="553"/>
      <c r="I107" s="553"/>
      <c r="J107" s="302" t="e">
        <f t="shared" si="28"/>
        <v>#N/A</v>
      </c>
      <c r="K107" s="305" t="e">
        <f t="shared" si="29"/>
        <v>#N/A</v>
      </c>
      <c r="M107" s="305">
        <f>INDEX(UsdMkt!MktFut_MID,MATCH(F107,UsdMkt!MktFut_Code,0),1)</f>
        <v>98.137500000000003</v>
      </c>
      <c r="N107" s="23" t="e">
        <f t="shared" si="30"/>
        <v>#N/A</v>
      </c>
      <c r="O107" s="22">
        <f t="shared" si="31"/>
        <v>0</v>
      </c>
      <c r="Q107" s="373">
        <f t="shared" si="32"/>
        <v>3</v>
      </c>
      <c r="R107" s="373" t="str">
        <f>CHOOSE(Q107,MIN($Q$91,IFERROR(MATCH(EDATE(E107,3),[0]!BucketMaturity,1),IF(E107&lt;Q103,1,NA()))),"Fut.","3Y","")</f>
        <v>3Y</v>
      </c>
      <c r="S107" s="207" t="str">
        <f>CHOOSE(Q107,INDEX([0]!CommonBucket,'usd disaggregated'!R107),E107,"3Y","")</f>
        <v>3Y</v>
      </c>
    </row>
    <row r="108" spans="4:19" ht="15" customHeight="1">
      <c r="D108" s="332"/>
      <c r="E108" s="209">
        <f>IFERROR(UsdMkt!F29,"")</f>
        <v>43635</v>
      </c>
      <c r="F108" s="553" t="str">
        <f t="shared" si="27"/>
        <v>CME EURO USD 3M;JUN 19</v>
      </c>
      <c r="G108" s="553"/>
      <c r="H108" s="553"/>
      <c r="I108" s="553"/>
      <c r="J108" s="302" t="e">
        <f t="shared" si="28"/>
        <v>#N/A</v>
      </c>
      <c r="K108" s="305" t="e">
        <f t="shared" si="29"/>
        <v>#N/A</v>
      </c>
      <c r="M108" s="305">
        <f>INDEX(UsdMkt!MktFut_MID,MATCH(F108,UsdMkt!MktFut_Code,0),1)</f>
        <v>98.052500000000009</v>
      </c>
      <c r="N108" s="23" t="e">
        <f t="shared" si="30"/>
        <v>#N/A</v>
      </c>
      <c r="O108" s="22">
        <f t="shared" si="31"/>
        <v>0</v>
      </c>
      <c r="Q108" s="373">
        <f t="shared" si="32"/>
        <v>3</v>
      </c>
      <c r="R108" s="373" t="str">
        <f>CHOOSE(Q108,MIN($Q$91,IFERROR(MATCH(EDATE(E108,3),[0]!BucketMaturity,1),IF(E108&lt;Q104,1,NA()))),"Fut.","3Y","")</f>
        <v>3Y</v>
      </c>
      <c r="S108" s="207" t="str">
        <f>CHOOSE(Q108,INDEX([0]!CommonBucket,'usd disaggregated'!R108),E108,"3Y","")</f>
        <v>3Y</v>
      </c>
    </row>
    <row r="109" spans="4:19" ht="15" customHeight="1">
      <c r="D109" s="332"/>
      <c r="E109" s="209">
        <f>IFERROR(UsdMkt!F30,"")</f>
        <v>43726</v>
      </c>
      <c r="F109" s="553" t="str">
        <f t="shared" si="27"/>
        <v>CME EURO USD 3M;SEP 19</v>
      </c>
      <c r="G109" s="553"/>
      <c r="H109" s="553"/>
      <c r="I109" s="553"/>
      <c r="J109" s="302" t="e">
        <f t="shared" si="28"/>
        <v>#N/A</v>
      </c>
      <c r="K109" s="305" t="e">
        <f t="shared" si="29"/>
        <v>#N/A</v>
      </c>
      <c r="M109" s="305">
        <f>INDEX(UsdMkt!MktFut_MID,MATCH(F109,UsdMkt!MktFut_Code,0),1)</f>
        <v>97.972499999999997</v>
      </c>
      <c r="N109" s="23" t="e">
        <f t="shared" si="30"/>
        <v>#N/A</v>
      </c>
      <c r="O109" s="22">
        <f t="shared" si="31"/>
        <v>0</v>
      </c>
      <c r="Q109" s="373">
        <f t="shared" si="32"/>
        <v>3</v>
      </c>
      <c r="R109" s="373" t="str">
        <f>CHOOSE(Q109,MIN($Q$91,IFERROR(MATCH(EDATE(E109,3),[0]!BucketMaturity,1),IF(E109&lt;Q105,1,NA()))),"Fut.","3Y","")</f>
        <v>3Y</v>
      </c>
      <c r="S109" s="207" t="str">
        <f>CHOOSE(Q109,INDEX([0]!CommonBucket,'usd disaggregated'!R109),E109,"3Y","")</f>
        <v>3Y</v>
      </c>
    </row>
    <row r="110" spans="4:19" ht="15" customHeight="1">
      <c r="D110" s="332"/>
      <c r="E110" s="209">
        <f>IFERROR(UsdMkt!F31,"")</f>
        <v>43817</v>
      </c>
      <c r="F110" s="553" t="str">
        <f t="shared" si="27"/>
        <v>CME EURO USD 3M;DEC 19</v>
      </c>
      <c r="G110" s="553"/>
      <c r="H110" s="553"/>
      <c r="I110" s="553"/>
      <c r="J110" s="302" t="e">
        <f t="shared" si="28"/>
        <v>#N/A</v>
      </c>
      <c r="K110" s="305" t="e">
        <f t="shared" si="29"/>
        <v>#N/A</v>
      </c>
      <c r="M110" s="305">
        <f>INDEX(UsdMkt!MktFut_MID,MATCH(F110,UsdMkt!MktFut_Code,0),1)</f>
        <v>97.892499999999998</v>
      </c>
      <c r="N110" s="23" t="e">
        <f t="shared" si="30"/>
        <v>#N/A</v>
      </c>
      <c r="O110" s="22">
        <f t="shared" si="31"/>
        <v>0</v>
      </c>
      <c r="Q110" s="373">
        <f t="shared" si="32"/>
        <v>3</v>
      </c>
      <c r="R110" s="373" t="str">
        <f>CHOOSE(Q110,MIN($Q$91,IFERROR(MATCH(EDATE(E110,3),[0]!BucketMaturity,1),IF(E110&lt;Q106,1,NA()))),"Fut.","3Y","")</f>
        <v>3Y</v>
      </c>
      <c r="S110" s="207" t="str">
        <f>CHOOSE(Q110,INDEX([0]!CommonBucket,'usd disaggregated'!R110),E110,"3Y","")</f>
        <v>3Y</v>
      </c>
    </row>
    <row r="111" spans="4:19" ht="15" customHeight="1">
      <c r="D111" s="332"/>
      <c r="E111" s="209">
        <f>IFERROR(UsdMkt!F32,"")</f>
        <v>43908</v>
      </c>
      <c r="F111" s="553" t="str">
        <f t="shared" si="27"/>
        <v>CME EURO USD 3M;MAR 20</v>
      </c>
      <c r="G111" s="553"/>
      <c r="H111" s="553"/>
      <c r="I111" s="553"/>
      <c r="J111" s="302" t="e">
        <f t="shared" si="28"/>
        <v>#N/A</v>
      </c>
      <c r="K111" s="305" t="e">
        <f t="shared" si="29"/>
        <v>#N/A</v>
      </c>
      <c r="M111" s="305">
        <f>INDEX(UsdMkt!MktFut_MID,MATCH(F111,UsdMkt!MktFut_Code,0),1)</f>
        <v>97.83250000000001</v>
      </c>
      <c r="N111" s="23" t="e">
        <f t="shared" si="30"/>
        <v>#N/A</v>
      </c>
      <c r="O111" s="22">
        <f t="shared" si="31"/>
        <v>0</v>
      </c>
      <c r="Q111" s="373">
        <f t="shared" si="32"/>
        <v>3</v>
      </c>
      <c r="R111" s="373" t="str">
        <f>CHOOSE(Q111,MIN($Q$91,IFERROR(MATCH(EDATE(E111,3),[0]!BucketMaturity,1),IF(E111&lt;Q107,1,NA()))),"Fut.","3Y","")</f>
        <v>3Y</v>
      </c>
      <c r="S111" s="207" t="str">
        <f>CHOOSE(Q111,INDEX([0]!CommonBucket,'usd disaggregated'!R111),E111,"3Y","")</f>
        <v>3Y</v>
      </c>
    </row>
    <row r="112" spans="4:19" ht="15" customHeight="1">
      <c r="D112" s="332"/>
      <c r="E112" s="209">
        <f>IFERROR(UsdMkt!F33,"")</f>
        <v>43999</v>
      </c>
      <c r="F112" s="553" t="str">
        <f t="shared" si="27"/>
        <v>CME EURO USD 3M;JUN 20</v>
      </c>
      <c r="G112" s="553"/>
      <c r="H112" s="553"/>
      <c r="I112" s="553"/>
      <c r="J112" s="302" t="e">
        <f t="shared" si="28"/>
        <v>#N/A</v>
      </c>
      <c r="K112" s="305" t="e">
        <f t="shared" si="29"/>
        <v>#N/A</v>
      </c>
      <c r="M112" s="305">
        <f>INDEX(UsdMkt!MktFut_MID,MATCH(F112,UsdMkt!MktFut_Code,0),1)</f>
        <v>97.765000000000001</v>
      </c>
      <c r="N112" s="23" t="e">
        <f t="shared" si="30"/>
        <v>#N/A</v>
      </c>
      <c r="O112" s="22">
        <f t="shared" si="31"/>
        <v>0</v>
      </c>
      <c r="Q112" s="373">
        <f t="shared" si="32"/>
        <v>3</v>
      </c>
      <c r="R112" s="373" t="str">
        <f>CHOOSE(Q112,MIN($Q$91,IFERROR(MATCH(EDATE(E112,3),[0]!BucketMaturity,1),IF(E112&lt;Q108,1,NA()))),"Fut.","3Y","")</f>
        <v>3Y</v>
      </c>
      <c r="S112" s="207" t="str">
        <f>CHOOSE(Q112,INDEX([0]!CommonBucket,'usd disaggregated'!R112),E112,"3Y","")</f>
        <v>3Y</v>
      </c>
    </row>
    <row r="113" spans="4:19" ht="15" customHeight="1">
      <c r="D113" s="332"/>
      <c r="E113" s="209">
        <f>IFERROR(UsdMkt!F34,"")</f>
        <v>44090</v>
      </c>
      <c r="F113" s="553" t="str">
        <f t="shared" si="27"/>
        <v>CME EURO USD 3M;SEP 20</v>
      </c>
      <c r="G113" s="553"/>
      <c r="H113" s="553"/>
      <c r="I113" s="553"/>
      <c r="J113" s="302" t="e">
        <f t="shared" si="28"/>
        <v>#N/A</v>
      </c>
      <c r="K113" s="305" t="e">
        <f t="shared" si="29"/>
        <v>#N/A</v>
      </c>
      <c r="M113" s="305">
        <f>INDEX(UsdMkt!MktFut_MID,MATCH(F113,UsdMkt!MktFut_Code,0),1)</f>
        <v>97.70750000000001</v>
      </c>
      <c r="N113" s="23" t="e">
        <f t="shared" si="30"/>
        <v>#N/A</v>
      </c>
      <c r="O113" s="22">
        <f t="shared" si="31"/>
        <v>0</v>
      </c>
      <c r="Q113" s="373">
        <f t="shared" si="32"/>
        <v>3</v>
      </c>
      <c r="R113" s="373" t="str">
        <f>CHOOSE(Q113,MIN($Q$91,IFERROR(MATCH(EDATE(E113,3),[0]!BucketMaturity,1),IF(E113&lt;Q109,1,NA()))),"Fut.","3Y","")</f>
        <v>3Y</v>
      </c>
      <c r="S113" s="207" t="str">
        <f>CHOOSE(Q113,INDEX([0]!CommonBucket,'usd disaggregated'!R113),E113,"3Y","")</f>
        <v>3Y</v>
      </c>
    </row>
    <row r="114" spans="4:19" ht="15" customHeight="1">
      <c r="D114" s="332"/>
      <c r="E114" s="35"/>
      <c r="F114" s="303"/>
      <c r="G114" s="303"/>
      <c r="H114" s="303"/>
      <c r="I114" s="303"/>
      <c r="J114" s="303"/>
      <c r="K114" s="303"/>
      <c r="L114" s="303"/>
      <c r="M114" s="303"/>
      <c r="N114" s="303"/>
      <c r="O114" s="36"/>
    </row>
    <row r="115" spans="4:19" ht="15" customHeight="1">
      <c r="D115" s="332"/>
      <c r="E115" s="35"/>
      <c r="F115" s="310"/>
      <c r="G115" s="310"/>
      <c r="H115" s="310"/>
      <c r="I115" s="310"/>
      <c r="J115" s="310" t="s">
        <v>617</v>
      </c>
      <c r="K115" s="311" t="s">
        <v>161</v>
      </c>
      <c r="L115" s="303"/>
      <c r="M115" s="311" t="s">
        <v>555</v>
      </c>
      <c r="N115" s="14" t="s">
        <v>84</v>
      </c>
      <c r="O115" s="14" t="s">
        <v>85</v>
      </c>
    </row>
    <row r="116" spans="4:19" ht="15" customHeight="1">
      <c r="D116" s="332"/>
      <c r="E116" s="58" t="str">
        <f>$G$3</f>
        <v>CBOT NOTE 5Y</v>
      </c>
      <c r="F116" s="553" t="str">
        <f>$G$3&amp;";"&amp;UsdMkt!M3</f>
        <v>CBOT NOTE 5Y;DEC 16</v>
      </c>
      <c r="G116" s="553"/>
      <c r="H116" s="553"/>
      <c r="I116" s="553"/>
      <c r="J116" s="302" t="e">
        <f>VLOOKUP(F116,FUT,$H$2,FALSE)</f>
        <v>#N/A</v>
      </c>
      <c r="K116" s="305" t="e">
        <f>VLOOKUP(F116,FUT,$I$2,FALSE)</f>
        <v>#N/A</v>
      </c>
      <c r="L116" s="303"/>
      <c r="M116" s="305">
        <f>UsdMkt!MktNOTE5Y_1</f>
        <v>118.73828125</v>
      </c>
      <c r="N116" s="23" t="e">
        <f>+(M116-K116)*100</f>
        <v>#N/A</v>
      </c>
      <c r="O116" s="22" t="e">
        <f>+N116*J116*10</f>
        <v>#N/A</v>
      </c>
    </row>
    <row r="117" spans="4:19" ht="15" customHeight="1" thickBot="1">
      <c r="D117" s="332"/>
      <c r="E117" s="25"/>
      <c r="F117" s="553" t="str">
        <f>$G$3&amp;";"&amp;UsdMkt!M4</f>
        <v>CBOT NOTE 5Y;MAR 17</v>
      </c>
      <c r="G117" s="553"/>
      <c r="H117" s="553"/>
      <c r="I117" s="553"/>
      <c r="J117" s="302" t="e">
        <f>VLOOKUP(F117,FUT,$H$2,FALSE)</f>
        <v>#N/A</v>
      </c>
      <c r="K117" s="305" t="e">
        <f>VLOOKUP(F117,FUT,$I$2,FALSE)</f>
        <v>#N/A</v>
      </c>
      <c r="L117" s="303"/>
      <c r="M117" s="305">
        <f>UsdMkt!MktNOTE5Y_2</f>
        <v>118.265625</v>
      </c>
      <c r="N117" s="23" t="e">
        <f>+(M117-K117)*100</f>
        <v>#N/A</v>
      </c>
      <c r="O117" s="22" t="e">
        <f>+N117*J117*10</f>
        <v>#N/A</v>
      </c>
    </row>
    <row r="118" spans="4:19" ht="15" customHeight="1" thickBot="1">
      <c r="D118" s="332"/>
      <c r="E118" s="35"/>
      <c r="F118" s="303"/>
      <c r="G118" s="303"/>
      <c r="H118" s="303"/>
      <c r="I118" s="303"/>
      <c r="J118" s="303"/>
      <c r="K118" s="303"/>
      <c r="L118" s="303"/>
      <c r="M118" s="303"/>
      <c r="N118" s="303"/>
      <c r="O118" s="281">
        <f>SUMIF(O116:O117,"&lt;&gt;"&amp;NA)</f>
        <v>0</v>
      </c>
    </row>
    <row r="119" spans="4:19" ht="15" customHeight="1">
      <c r="D119" s="332"/>
      <c r="E119" s="35"/>
      <c r="F119" s="303"/>
      <c r="G119" s="303"/>
      <c r="H119" s="303"/>
      <c r="I119" s="303"/>
      <c r="J119" s="303"/>
      <c r="K119" s="303"/>
      <c r="L119" s="303"/>
      <c r="M119" s="303"/>
      <c r="N119" s="303"/>
      <c r="O119" s="36"/>
    </row>
    <row r="120" spans="4:19" ht="15" customHeight="1">
      <c r="D120" s="332"/>
      <c r="E120" s="35"/>
      <c r="F120" s="310"/>
      <c r="G120" s="310"/>
      <c r="H120" s="310"/>
      <c r="I120" s="310"/>
      <c r="J120" s="310" t="s">
        <v>617</v>
      </c>
      <c r="K120" s="311" t="s">
        <v>161</v>
      </c>
      <c r="L120" s="303"/>
      <c r="M120" s="311" t="s">
        <v>555</v>
      </c>
      <c r="N120" s="14" t="s">
        <v>84</v>
      </c>
      <c r="O120" s="14" t="s">
        <v>85</v>
      </c>
    </row>
    <row r="121" spans="4:19" ht="15" customHeight="1">
      <c r="D121" s="332"/>
      <c r="E121" s="58" t="str">
        <f>$H$3</f>
        <v>CBOT NOTE 10Y</v>
      </c>
      <c r="F121" s="553" t="str">
        <f>$H$3&amp;";"&amp;UsdMkt!M3</f>
        <v>CBOT NOTE 10Y;DEC 16</v>
      </c>
      <c r="G121" s="553"/>
      <c r="H121" s="553"/>
      <c r="I121" s="553"/>
      <c r="J121" s="302" t="e">
        <f>VLOOKUP(F121,FUT,$H$2,FALSE)</f>
        <v>#N/A</v>
      </c>
      <c r="K121" s="305" t="e">
        <f>VLOOKUP(F121,FUT,$I$2,FALSE)</f>
        <v>#N/A</v>
      </c>
      <c r="L121" s="303"/>
      <c r="M121" s="305">
        <f>UsdMkt!MktNOTE10Y_1</f>
        <v>125.8203125</v>
      </c>
      <c r="N121" s="23" t="e">
        <f t="shared" ref="N121:N122" si="33">+(M121-K121)*100</f>
        <v>#N/A</v>
      </c>
      <c r="O121" s="22" t="e">
        <f>+N121*J121*10</f>
        <v>#N/A</v>
      </c>
    </row>
    <row r="122" spans="4:19" ht="15" customHeight="1" thickBot="1">
      <c r="D122" s="332"/>
      <c r="E122" s="25"/>
      <c r="F122" s="553" t="str">
        <f>$H$3&amp;";"&amp;UsdMkt!M4</f>
        <v>CBOT NOTE 10Y;MAR 17</v>
      </c>
      <c r="G122" s="553"/>
      <c r="H122" s="553"/>
      <c r="I122" s="553"/>
      <c r="J122" s="302" t="e">
        <f>VLOOKUP(F122,FUT,$H$2,FALSE)</f>
        <v>#N/A</v>
      </c>
      <c r="K122" s="305" t="e">
        <f>VLOOKUP(F122,FUT,$I$2,FALSE)</f>
        <v>#N/A</v>
      </c>
      <c r="L122" s="303"/>
      <c r="M122" s="279">
        <f>UsdMkt!MktNOTE10Y_2</f>
        <v>125.140625</v>
      </c>
      <c r="N122" s="23" t="e">
        <f t="shared" si="33"/>
        <v>#N/A</v>
      </c>
      <c r="O122" s="22" t="e">
        <f>+N122*J122*10</f>
        <v>#N/A</v>
      </c>
    </row>
    <row r="123" spans="4:19" ht="15" customHeight="1" thickBot="1">
      <c r="D123" s="332"/>
      <c r="E123" s="35"/>
      <c r="F123" s="303"/>
      <c r="G123" s="303"/>
      <c r="H123" s="303"/>
      <c r="I123" s="303"/>
      <c r="J123" s="303"/>
      <c r="K123" s="303"/>
      <c r="L123" s="303"/>
      <c r="M123" s="303"/>
      <c r="N123" s="303"/>
      <c r="O123" s="281">
        <f>SUMIF(O121:O122,"&lt;&gt;"&amp;NA)</f>
        <v>0</v>
      </c>
    </row>
    <row r="124" spans="4:19" ht="15" customHeight="1">
      <c r="D124" s="332"/>
      <c r="E124" s="35"/>
      <c r="F124" s="303"/>
      <c r="G124" s="303"/>
      <c r="H124" s="303"/>
      <c r="I124" s="303"/>
      <c r="J124" s="303"/>
      <c r="K124" s="303"/>
      <c r="L124" s="303"/>
      <c r="M124" s="303"/>
      <c r="N124" s="303"/>
      <c r="O124" s="36"/>
    </row>
    <row r="125" spans="4:19" ht="15" customHeight="1">
      <c r="D125" s="332"/>
      <c r="E125" s="35"/>
      <c r="F125" s="310"/>
      <c r="G125" s="310"/>
      <c r="H125" s="310"/>
      <c r="I125" s="310"/>
      <c r="J125" s="310" t="s">
        <v>617</v>
      </c>
      <c r="K125" s="311" t="s">
        <v>161</v>
      </c>
      <c r="L125" s="303"/>
      <c r="M125" s="311" t="s">
        <v>555</v>
      </c>
      <c r="N125" s="14" t="s">
        <v>84</v>
      </c>
      <c r="O125" s="14" t="s">
        <v>85</v>
      </c>
    </row>
    <row r="126" spans="4:19" ht="15" customHeight="1">
      <c r="E126" s="58" t="str">
        <f>$I$3</f>
        <v>CBOT BOND 30Y</v>
      </c>
      <c r="F126" s="553" t="str">
        <f>$I$3&amp;";"&amp;UsdMkt!M3</f>
        <v>CBOT BOND 30Y;DEC 16</v>
      </c>
      <c r="G126" s="553"/>
      <c r="H126" s="553"/>
      <c r="I126" s="553"/>
      <c r="J126" s="302" t="e">
        <f>VLOOKUP(F126,FUT,$H$2,FALSE)</f>
        <v>#N/A</v>
      </c>
      <c r="K126" s="305" t="e">
        <f>VLOOKUP(F126,FUT,$I$2,FALSE)</f>
        <v>#N/A</v>
      </c>
      <c r="L126" s="303"/>
      <c r="M126" s="305">
        <f>UsdMkt!MktNOTE30Y_1</f>
        <v>153.046875</v>
      </c>
      <c r="N126" s="23" t="e">
        <f t="shared" ref="N126:N127" si="34">+(M126-K126)*100</f>
        <v>#N/A</v>
      </c>
      <c r="O126" s="22" t="e">
        <f>+N126*J126*10</f>
        <v>#N/A</v>
      </c>
    </row>
    <row r="127" spans="4:19" ht="15" customHeight="1" thickBot="1">
      <c r="E127" s="25"/>
      <c r="F127" s="553" t="str">
        <f>$I$3&amp;";"&amp;UsdMkt!M4</f>
        <v>CBOT BOND 30Y;MAR 17</v>
      </c>
      <c r="G127" s="553"/>
      <c r="H127" s="553"/>
      <c r="I127" s="553"/>
      <c r="J127" s="302" t="e">
        <f>VLOOKUP(F127,FUT,$H$2,FALSE)</f>
        <v>#N/A</v>
      </c>
      <c r="K127" s="305" t="e">
        <f>VLOOKUP(F127,FUT,$I$2,FALSE)</f>
        <v>#N/A</v>
      </c>
      <c r="L127" s="303"/>
      <c r="M127" s="279">
        <f>UsdMkt!MktNOTE30Y_2</f>
        <v>151.65625</v>
      </c>
      <c r="N127" s="23" t="e">
        <f t="shared" si="34"/>
        <v>#N/A</v>
      </c>
      <c r="O127" s="22" t="e">
        <f>+N127*J127*10</f>
        <v>#N/A</v>
      </c>
    </row>
    <row r="128" spans="4:19" ht="15" customHeight="1" thickBot="1">
      <c r="E128" s="35"/>
      <c r="F128" s="303"/>
      <c r="G128" s="303"/>
      <c r="H128" s="303"/>
      <c r="I128" s="303"/>
      <c r="J128" s="303"/>
      <c r="K128" s="303"/>
      <c r="L128" s="303"/>
      <c r="M128" s="303"/>
      <c r="N128" s="303"/>
      <c r="O128" s="281">
        <f>SUMIF(O126:O127,"&lt;&gt;"&amp;NA)</f>
        <v>0</v>
      </c>
    </row>
    <row r="129" spans="5:15" ht="15" customHeight="1">
      <c r="E129" s="37"/>
      <c r="F129" s="304"/>
      <c r="G129" s="304"/>
      <c r="H129" s="304"/>
      <c r="I129" s="304"/>
      <c r="J129" s="304"/>
      <c r="K129" s="304"/>
      <c r="L129" s="304"/>
      <c r="M129" s="304"/>
      <c r="N129" s="304"/>
      <c r="O129" s="38"/>
    </row>
    <row r="136" spans="5:15" ht="15" customHeight="1">
      <c r="J136" s="332"/>
    </row>
    <row r="137" spans="5:15" ht="15" customHeight="1">
      <c r="J137" s="332"/>
    </row>
    <row r="138" spans="5:15" ht="15" customHeight="1">
      <c r="J138" s="332"/>
    </row>
    <row r="139" spans="5:15" ht="15" customHeight="1">
      <c r="J139" s="332"/>
    </row>
    <row r="140" spans="5:15" ht="15" customHeight="1">
      <c r="J140" s="332"/>
    </row>
    <row r="141" spans="5:15" ht="15" customHeight="1">
      <c r="J141" s="332"/>
    </row>
    <row r="142" spans="5:15" ht="15" customHeight="1">
      <c r="J142" s="332"/>
    </row>
    <row r="143" spans="5:15" ht="15" customHeight="1">
      <c r="J143" s="332"/>
    </row>
    <row r="144" spans="5:15" ht="15" customHeight="1">
      <c r="J144" s="332"/>
    </row>
    <row r="145" spans="10:10" ht="15" customHeight="1">
      <c r="J145" s="332"/>
    </row>
    <row r="146" spans="10:10" ht="15" customHeight="1">
      <c r="J146" s="332"/>
    </row>
    <row r="147" spans="10:10" ht="15" customHeight="1">
      <c r="J147" s="332"/>
    </row>
    <row r="148" spans="10:10" ht="15" customHeight="1">
      <c r="J148" s="332"/>
    </row>
    <row r="149" spans="10:10" ht="15" customHeight="1">
      <c r="J149" s="332"/>
    </row>
    <row r="150" spans="10:10" ht="15" customHeight="1">
      <c r="J150" s="332"/>
    </row>
    <row r="151" spans="10:10" ht="15" customHeight="1">
      <c r="J151" s="332"/>
    </row>
    <row r="152" spans="10:10" ht="15" customHeight="1">
      <c r="J152" s="332"/>
    </row>
    <row r="153" spans="10:10" ht="15" customHeight="1">
      <c r="J153" s="332"/>
    </row>
    <row r="154" spans="10:10" ht="15" customHeight="1">
      <c r="J154" s="332"/>
    </row>
    <row r="155" spans="10:10" ht="15" customHeight="1">
      <c r="J155" s="332"/>
    </row>
    <row r="156" spans="10:10" ht="15" customHeight="1">
      <c r="J156" s="332"/>
    </row>
    <row r="157" spans="10:10" ht="15" customHeight="1">
      <c r="J157" s="332"/>
    </row>
    <row r="158" spans="10:10" ht="15" customHeight="1">
      <c r="J158" s="332"/>
    </row>
  </sheetData>
  <mergeCells count="42">
    <mergeCell ref="F108:I108"/>
    <mergeCell ref="F109:I109"/>
    <mergeCell ref="F121:I121"/>
    <mergeCell ref="F122:I122"/>
    <mergeCell ref="F110:I110"/>
    <mergeCell ref="F111:I111"/>
    <mergeCell ref="F113:I113"/>
    <mergeCell ref="F116:I116"/>
    <mergeCell ref="F117:I117"/>
    <mergeCell ref="AD15:AE15"/>
    <mergeCell ref="AG15:AH15"/>
    <mergeCell ref="AI15:AJ15"/>
    <mergeCell ref="A15:D15"/>
    <mergeCell ref="K15:M15"/>
    <mergeCell ref="N15:O15"/>
    <mergeCell ref="Y15:Z15"/>
    <mergeCell ref="AB15:AC15"/>
    <mergeCell ref="Q15:R15"/>
    <mergeCell ref="S15:T15"/>
    <mergeCell ref="V15:X15"/>
    <mergeCell ref="F105:I105"/>
    <mergeCell ref="F106:I106"/>
    <mergeCell ref="F107:I107"/>
    <mergeCell ref="A16:C16"/>
    <mergeCell ref="N91:O91"/>
    <mergeCell ref="F94:I94"/>
    <mergeCell ref="AL15:AM15"/>
    <mergeCell ref="AN15:AO15"/>
    <mergeCell ref="AP15:AR15"/>
    <mergeCell ref="F126:I126"/>
    <mergeCell ref="F127:I127"/>
    <mergeCell ref="F100:I100"/>
    <mergeCell ref="F95:I95"/>
    <mergeCell ref="F96:I96"/>
    <mergeCell ref="F97:I97"/>
    <mergeCell ref="F98:I98"/>
    <mergeCell ref="F99:I99"/>
    <mergeCell ref="F112:I112"/>
    <mergeCell ref="F101:I101"/>
    <mergeCell ref="F102:I102"/>
    <mergeCell ref="F103:I103"/>
    <mergeCell ref="F104:I104"/>
  </mergeCells>
  <conditionalFormatting sqref="F93:I93">
    <cfRule type="cellIs" dxfId="81" priority="56" stopIfTrue="1" operator="greaterThanOrEqual">
      <formula>0</formula>
    </cfRule>
    <cfRule type="cellIs" dxfId="80" priority="57" stopIfTrue="1" operator="lessThan">
      <formula>0</formula>
    </cfRule>
  </conditionalFormatting>
  <conditionalFormatting sqref="F15:J15">
    <cfRule type="cellIs" dxfId="79" priority="54" stopIfTrue="1" operator="greaterThan">
      <formula>0</formula>
    </cfRule>
    <cfRule type="cellIs" dxfId="78" priority="55" stopIfTrue="1" operator="lessThanOrEqual">
      <formula>0</formula>
    </cfRule>
  </conditionalFormatting>
  <conditionalFormatting sqref="F16:H16">
    <cfRule type="cellIs" dxfId="77" priority="52" stopIfTrue="1" operator="greaterThan">
      <formula>0</formula>
    </cfRule>
    <cfRule type="cellIs" dxfId="76" priority="53" stopIfTrue="1" operator="lessThanOrEqual">
      <formula>0</formula>
    </cfRule>
  </conditionalFormatting>
  <conditionalFormatting sqref="I16">
    <cfRule type="cellIs" dxfId="75" priority="50" stopIfTrue="1" operator="greaterThan">
      <formula>0</formula>
    </cfRule>
    <cfRule type="cellIs" dxfId="74" priority="51" stopIfTrue="1" operator="lessThanOrEqual">
      <formula>0</formula>
    </cfRule>
  </conditionalFormatting>
  <conditionalFormatting sqref="O118 O123 M93:O113 J93:K113 J116:K117 J121:K122 M116:N117 M121:N122 L17:O71 R17:T71 W17:Z71 AC17:AE71 AH17:AJ71 D17:J71">
    <cfRule type="cellIs" dxfId="73" priority="64" operator="lessThan">
      <formula>0</formula>
    </cfRule>
    <cfRule type="cellIs" dxfId="72" priority="66" operator="greaterThan">
      <formula>0</formula>
    </cfRule>
  </conditionalFormatting>
  <conditionalFormatting sqref="AH8">
    <cfRule type="expression" dxfId="71" priority="44">
      <formula>ABS(AH8-AG$15)&gt;eps</formula>
    </cfRule>
  </conditionalFormatting>
  <conditionalFormatting sqref="AH9">
    <cfRule type="expression" dxfId="70" priority="43">
      <formula>ABS(AH9-AG$15)&gt;eps</formula>
    </cfRule>
  </conditionalFormatting>
  <conditionalFormatting sqref="AC8:AC9">
    <cfRule type="expression" dxfId="69" priority="42">
      <formula>ABS(AC8-AB$15)&gt;eps</formula>
    </cfRule>
  </conditionalFormatting>
  <conditionalFormatting sqref="R8:R9">
    <cfRule type="expression" dxfId="68" priority="41">
      <formula>ABS(R8-Q$15)&gt;eps</formula>
    </cfRule>
  </conditionalFormatting>
  <conditionalFormatting sqref="X8:X9">
    <cfRule type="expression" dxfId="67" priority="40">
      <formula>ABS(X8-V$15)&gt;eps</formula>
    </cfRule>
  </conditionalFormatting>
  <conditionalFormatting sqref="M8:M9">
    <cfRule type="expression" dxfId="66" priority="39">
      <formula>ABS(M8-K$15)&gt;eps</formula>
    </cfRule>
  </conditionalFormatting>
  <conditionalFormatting sqref="D9">
    <cfRule type="expression" dxfId="65" priority="38">
      <formula>ABS(D9-A$15)&gt;eps</formula>
    </cfRule>
  </conditionalFormatting>
  <conditionalFormatting sqref="D8">
    <cfRule type="expression" dxfId="64" priority="37">
      <formula>ABS(D8-A$15)&gt;eps</formula>
    </cfRule>
  </conditionalFormatting>
  <conditionalFormatting sqref="E11">
    <cfRule type="expression" dxfId="63" priority="58" stopIfTrue="1">
      <formula>IF(ISLOGICAL(E11),NOT(E11),FALSE)</formula>
    </cfRule>
  </conditionalFormatting>
  <conditionalFormatting sqref="AD15">
    <cfRule type="expression" dxfId="62" priority="216">
      <formula>ABS(AD15-#REF!)&gt;eps</formula>
    </cfRule>
  </conditionalFormatting>
  <conditionalFormatting sqref="AE15">
    <cfRule type="expression" dxfId="61" priority="217">
      <formula>ABS(AE15-#REF!)&gt;eps</formula>
    </cfRule>
  </conditionalFormatting>
  <conditionalFormatting sqref="O128 M126:M127 J126:K127">
    <cfRule type="cellIs" dxfId="60" priority="33" operator="lessThan">
      <formula>0</formula>
    </cfRule>
    <cfRule type="cellIs" dxfId="59" priority="34" operator="greaterThan">
      <formula>0</formula>
    </cfRule>
  </conditionalFormatting>
  <conditionalFormatting sqref="F8:F9">
    <cfRule type="expression" dxfId="58" priority="32">
      <formula>ABS($F$8-$F$9)&gt;eps</formula>
    </cfRule>
  </conditionalFormatting>
  <conditionalFormatting sqref="O116">
    <cfRule type="cellIs" dxfId="57" priority="30" operator="lessThan">
      <formula>0</formula>
    </cfRule>
    <cfRule type="cellIs" dxfId="56" priority="31" operator="greaterThan">
      <formula>0</formula>
    </cfRule>
  </conditionalFormatting>
  <conditionalFormatting sqref="O117">
    <cfRule type="cellIs" dxfId="55" priority="28" operator="lessThan">
      <formula>0</formula>
    </cfRule>
    <cfRule type="cellIs" dxfId="54" priority="29" operator="greaterThan">
      <formula>0</formula>
    </cfRule>
  </conditionalFormatting>
  <conditionalFormatting sqref="O126">
    <cfRule type="cellIs" dxfId="53" priority="26" operator="lessThan">
      <formula>0</formula>
    </cfRule>
    <cfRule type="cellIs" dxfId="52" priority="27" operator="greaterThan">
      <formula>0</formula>
    </cfRule>
  </conditionalFormatting>
  <conditionalFormatting sqref="O127">
    <cfRule type="cellIs" dxfId="51" priority="24" operator="lessThan">
      <formula>0</formula>
    </cfRule>
    <cfRule type="cellIs" dxfId="50" priority="25" operator="greaterThan">
      <formula>0</formula>
    </cfRule>
  </conditionalFormatting>
  <conditionalFormatting sqref="O121">
    <cfRule type="cellIs" dxfId="49" priority="22" operator="lessThan">
      <formula>0</formula>
    </cfRule>
    <cfRule type="cellIs" dxfId="48" priority="23" operator="greaterThan">
      <formula>0</formula>
    </cfRule>
  </conditionalFormatting>
  <conditionalFormatting sqref="O122">
    <cfRule type="cellIs" dxfId="47" priority="20" operator="lessThan">
      <formula>0</formula>
    </cfRule>
    <cfRule type="cellIs" dxfId="46" priority="21" operator="greaterThan">
      <formula>0</formula>
    </cfRule>
  </conditionalFormatting>
  <conditionalFormatting sqref="N126:N127">
    <cfRule type="cellIs" dxfId="45" priority="18" operator="lessThan">
      <formula>0</formula>
    </cfRule>
    <cfRule type="cellIs" dxfId="44" priority="19" operator="greaterThan">
      <formula>0</formula>
    </cfRule>
  </conditionalFormatting>
  <conditionalFormatting sqref="AM17:AO54 AR17:AR71">
    <cfRule type="cellIs" dxfId="43" priority="14" operator="lessThan">
      <formula>0</formula>
    </cfRule>
    <cfRule type="cellIs" dxfId="42" priority="16" operator="greaterThan">
      <formula>0</formula>
    </cfRule>
  </conditionalFormatting>
  <conditionalFormatting sqref="AN15">
    <cfRule type="expression" dxfId="41" priority="12">
      <formula>ABS(AN15-AP15)&gt;eps</formula>
    </cfRule>
  </conditionalFormatting>
  <conditionalFormatting sqref="AM9">
    <cfRule type="expression" dxfId="40" priority="11">
      <formula>ABS(AM9-AL$15)&gt;eps</formula>
    </cfRule>
  </conditionalFormatting>
  <conditionalFormatting sqref="AM8">
    <cfRule type="expression" dxfId="39" priority="10">
      <formula>ABS(AM8-AL$15)&gt;eps</formula>
    </cfRule>
  </conditionalFormatting>
  <conditionalFormatting sqref="AO15">
    <cfRule type="expression" dxfId="38" priority="13">
      <formula>ABS(AO15-AR15)&gt;eps</formula>
    </cfRule>
  </conditionalFormatting>
  <conditionalFormatting sqref="AQ17:AQ71">
    <cfRule type="cellIs" dxfId="37" priority="1" operator="lessThan">
      <formula>0</formula>
    </cfRule>
    <cfRule type="cellIs" dxfId="36" priority="2" operator="greaterThan">
      <formula>0</formula>
    </cfRule>
  </conditionalFormatting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4" name="Button 1">
              <controlPr defaultSize="0" print="0" autoFill="0" autoPict="0" macro="[0]!FuturesView_Click">
                <anchor moveWithCells="1">
                  <from>
                    <xdr:col>0</xdr:col>
                    <xdr:colOff>28575</xdr:colOff>
                    <xdr:row>11</xdr:row>
                    <xdr:rowOff>0</xdr:rowOff>
                  </from>
                  <to>
                    <xdr:col>1</xdr:col>
                    <xdr:colOff>0</xdr:colOff>
                    <xdr:row>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2" r:id="rId5" name="Button 2">
              <controlPr defaultSize="0" print="0" autoFill="0" autoPict="0" macro="[0]!Home_Click">
                <anchor moveWithCells="1">
                  <from>
                    <xdr:col>0</xdr:col>
                    <xdr:colOff>19050</xdr:colOff>
                    <xdr:row>90</xdr:row>
                    <xdr:rowOff>9525</xdr:rowOff>
                  </from>
                  <to>
                    <xdr:col>0</xdr:col>
                    <xdr:colOff>704850</xdr:colOff>
                    <xdr:row>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3" r:id="rId6" name="Button 3">
              <controlPr defaultSize="0" print="0" autoFill="0" autoPict="0" macro="[0]!Home_Click">
                <anchor moveWithCells="1">
                  <from>
                    <xdr:col>27</xdr:col>
                    <xdr:colOff>19050</xdr:colOff>
                    <xdr:row>9</xdr:row>
                    <xdr:rowOff>9525</xdr:rowOff>
                  </from>
                  <to>
                    <xdr:col>27</xdr:col>
                    <xdr:colOff>704850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4" r:id="rId7" name="Button 4">
              <controlPr defaultSize="0" print="0" autoFill="0" autoPict="0" macro="[0]!Bkmk1Y_Click">
                <anchor moveWithCells="1">
                  <from>
                    <xdr:col>3</xdr:col>
                    <xdr:colOff>19050</xdr:colOff>
                    <xdr:row>11</xdr:row>
                    <xdr:rowOff>0</xdr:rowOff>
                  </from>
                  <to>
                    <xdr:col>3</xdr:col>
                    <xdr:colOff>704850</xdr:colOff>
                    <xdr:row>14</xdr:row>
                    <xdr:rowOff>19050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7" stopIfTrue="1" id="{156E5C9A-DAA1-40E3-AC31-DCBC0DA62E27}">
            <xm:f>Main!$G$22="Recalc"</xm:f>
            <x14:dxf>
              <font>
                <color auto="1"/>
              </font>
              <fill>
                <patternFill>
                  <bgColor theme="0" tint="-0.14996795556505021"/>
                </patternFill>
              </fill>
            </x14:dxf>
          </x14:cfRule>
          <xm:sqref>AM16:AM54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pageSetUpPr fitToPage="1"/>
  </sheetPr>
  <dimension ref="A1:DJ3380"/>
  <sheetViews>
    <sheetView tabSelected="1" topLeftCell="A9" workbookViewId="0">
      <selection activeCell="L16" sqref="L16"/>
    </sheetView>
  </sheetViews>
  <sheetFormatPr defaultColWidth="10.7109375" defaultRowHeight="12.75" outlineLevelRow="1" outlineLevelCol="1"/>
  <cols>
    <col min="1" max="1" width="10.7109375" style="4"/>
    <col min="2" max="2" width="2.7109375" style="4" customWidth="1"/>
    <col min="3" max="3" width="11.42578125" style="4" customWidth="1"/>
    <col min="4" max="8" width="14.42578125" style="4" hidden="1" customWidth="1" outlineLevel="1"/>
    <col min="9" max="9" width="10.7109375" style="41" customWidth="1" collapsed="1"/>
    <col min="10" max="10" width="1.7109375" style="4" customWidth="1"/>
    <col min="11" max="11" width="10.7109375" style="4" hidden="1" customWidth="1"/>
    <col min="12" max="13" width="10.7109375" style="4" customWidth="1"/>
    <col min="14" max="20" width="14.42578125" style="4" hidden="1" customWidth="1" outlineLevel="1"/>
    <col min="21" max="21" width="10.7109375" style="4" customWidth="1" collapsed="1"/>
    <col min="22" max="22" width="10.7109375" style="4"/>
    <col min="23" max="23" width="10.7109375" style="4" customWidth="1"/>
    <col min="24" max="28" width="15.42578125" style="4" hidden="1" customWidth="1" outlineLevel="1"/>
    <col min="29" max="29" width="9" style="4" bestFit="1" customWidth="1" collapsed="1"/>
    <col min="30" max="30" width="10.7109375" style="4"/>
    <col min="31" max="31" width="10.7109375" style="4" customWidth="1"/>
    <col min="32" max="36" width="8.7109375" style="4" hidden="1" customWidth="1" outlineLevel="1"/>
    <col min="37" max="37" width="9" style="4" bestFit="1" customWidth="1" collapsed="1"/>
    <col min="38" max="38" width="10.7109375" style="4"/>
    <col min="39" max="39" width="10.7109375" style="4" customWidth="1"/>
    <col min="40" max="44" width="8.7109375" style="4" hidden="1" customWidth="1" outlineLevel="1"/>
    <col min="45" max="45" width="10.7109375" style="4" collapsed="1"/>
    <col min="46" max="46" width="10.7109375" style="4"/>
    <col min="47" max="47" width="10.7109375" style="4" customWidth="1"/>
    <col min="48" max="52" width="8.7109375" style="4" hidden="1" customWidth="1" outlineLevel="1"/>
    <col min="53" max="53" width="10.7109375" style="4" customWidth="1" collapsed="1"/>
    <col min="54" max="54" width="10.7109375" style="4"/>
    <col min="55" max="55" width="12.5703125" style="4" bestFit="1" customWidth="1"/>
    <col min="56" max="70" width="10.7109375" style="4" hidden="1" customWidth="1" outlineLevel="1"/>
    <col min="71" max="71" width="7" style="4" hidden="1" customWidth="1" outlineLevel="1"/>
    <col min="72" max="72" width="10.7109375" style="4" collapsed="1"/>
    <col min="73" max="95" width="10.7109375" style="4"/>
    <col min="96" max="96" width="2.7109375" style="4" customWidth="1"/>
    <col min="97" max="97" width="16.42578125" style="307" customWidth="1"/>
    <col min="98" max="98" width="26.85546875" style="307" hidden="1" customWidth="1" outlineLevel="1"/>
    <col min="99" max="113" width="10.7109375" style="307" hidden="1" customWidth="1" outlineLevel="1"/>
    <col min="114" max="114" width="10.7109375" style="307" collapsed="1"/>
    <col min="115" max="16384" width="10.7109375" style="307"/>
  </cols>
  <sheetData>
    <row r="1" spans="1:113" s="332" customFormat="1" hidden="1" outlineLevel="1">
      <c r="A1" s="4"/>
      <c r="B1" s="4"/>
      <c r="C1" s="4"/>
      <c r="D1" s="4"/>
      <c r="E1" s="4"/>
      <c r="F1" s="4"/>
      <c r="G1" s="4"/>
      <c r="H1" s="4"/>
      <c r="I1" s="41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R1" s="4"/>
      <c r="AS1" s="4"/>
      <c r="AT1" s="4"/>
      <c r="AU1" s="4"/>
      <c r="AV1" s="4"/>
      <c r="AW1" s="4"/>
      <c r="AX1" s="4"/>
      <c r="AY1" s="4"/>
      <c r="AZ1" s="4"/>
      <c r="BA1" s="4"/>
      <c r="BB1" s="4"/>
      <c r="BC1" s="179" t="s">
        <v>792</v>
      </c>
      <c r="BD1" s="4"/>
      <c r="BE1" s="4"/>
      <c r="BF1" s="4"/>
      <c r="BG1" s="4"/>
      <c r="BH1" s="4"/>
      <c r="BI1" s="4"/>
      <c r="BJ1" s="4"/>
      <c r="BK1" s="4"/>
      <c r="BL1" s="4"/>
      <c r="BM1" s="4"/>
      <c r="BN1" s="4"/>
      <c r="BO1" s="4"/>
      <c r="BP1" s="4"/>
      <c r="BQ1" s="4"/>
      <c r="BR1" s="4"/>
      <c r="BS1" s="4"/>
      <c r="BT1" s="4"/>
      <c r="BU1" s="4"/>
      <c r="BV1" s="4"/>
      <c r="BW1" s="4"/>
      <c r="BX1" s="4"/>
      <c r="BY1" s="4"/>
      <c r="BZ1" s="4"/>
      <c r="CA1" s="4"/>
      <c r="CB1" s="4"/>
      <c r="CC1" s="4"/>
      <c r="CD1" s="4"/>
      <c r="CE1" s="4"/>
      <c r="CF1" s="4"/>
      <c r="CG1" s="4"/>
      <c r="CH1" s="4"/>
      <c r="CI1" s="4"/>
      <c r="CJ1" s="4"/>
      <c r="CK1" s="4"/>
      <c r="CL1" s="4"/>
      <c r="CM1" s="4"/>
      <c r="CN1" s="4"/>
      <c r="CO1" s="4"/>
      <c r="CP1" s="4"/>
      <c r="CQ1" s="4"/>
      <c r="CR1" s="4"/>
      <c r="CS1" s="179" t="s">
        <v>791</v>
      </c>
      <c r="CT1" s="575" t="s">
        <v>788</v>
      </c>
      <c r="CU1" s="576"/>
      <c r="CV1" s="576"/>
      <c r="CW1" s="576"/>
      <c r="CX1" s="576"/>
      <c r="CY1" s="576"/>
      <c r="CZ1" s="576"/>
      <c r="DA1" s="576"/>
      <c r="DB1" s="576"/>
      <c r="DC1" s="576"/>
      <c r="DD1" s="576"/>
      <c r="DE1" s="576"/>
      <c r="DF1" s="576"/>
      <c r="DG1" s="576"/>
      <c r="DH1" s="576"/>
      <c r="DI1" s="577"/>
    </row>
    <row r="2" spans="1:113" s="332" customFormat="1" hidden="1" outlineLevel="1">
      <c r="A2" s="4"/>
      <c r="B2" s="4"/>
      <c r="C2" s="4"/>
      <c r="D2" s="4"/>
      <c r="E2" s="4"/>
      <c r="F2" s="4"/>
      <c r="G2" s="4"/>
      <c r="H2" s="4"/>
      <c r="I2" s="41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331" t="s">
        <v>780</v>
      </c>
      <c r="CT2" s="336" t="s">
        <v>756</v>
      </c>
      <c r="CU2" s="336" t="s">
        <v>757</v>
      </c>
      <c r="CV2" s="336" t="s">
        <v>758</v>
      </c>
      <c r="CW2" s="336" t="s">
        <v>759</v>
      </c>
      <c r="CX2" s="336" t="s">
        <v>760</v>
      </c>
      <c r="CY2" s="336" t="s">
        <v>761</v>
      </c>
      <c r="CZ2" s="336" t="s">
        <v>762</v>
      </c>
      <c r="DA2" s="336" t="s">
        <v>763</v>
      </c>
      <c r="DB2" s="336" t="s">
        <v>764</v>
      </c>
      <c r="DC2" s="336" t="s">
        <v>765</v>
      </c>
      <c r="DD2" s="336" t="s">
        <v>766</v>
      </c>
      <c r="DE2" s="336" t="s">
        <v>767</v>
      </c>
      <c r="DF2" s="336" t="s">
        <v>768</v>
      </c>
      <c r="DG2" s="336" t="s">
        <v>769</v>
      </c>
      <c r="DH2" s="336" t="s">
        <v>770</v>
      </c>
      <c r="DI2" s="336" t="s">
        <v>771</v>
      </c>
    </row>
    <row r="3" spans="1:113" s="332" customFormat="1" hidden="1" outlineLevel="1">
      <c r="A3" s="4"/>
      <c r="B3" s="4"/>
      <c r="C3" s="4"/>
      <c r="D3" s="4"/>
      <c r="E3" s="4"/>
      <c r="F3" s="4"/>
      <c r="G3" s="4"/>
      <c r="H3" s="4"/>
      <c r="I3" s="41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331" t="s">
        <v>784</v>
      </c>
      <c r="CT3" s="336" t="s">
        <v>782</v>
      </c>
      <c r="CU3" s="336" t="s">
        <v>781</v>
      </c>
      <c r="CV3" s="336" t="s">
        <v>781</v>
      </c>
      <c r="CW3" s="336" t="s">
        <v>781</v>
      </c>
      <c r="CX3" s="336" t="s">
        <v>782</v>
      </c>
      <c r="CY3" s="336" t="s">
        <v>781</v>
      </c>
      <c r="CZ3" s="336" t="s">
        <v>781</v>
      </c>
      <c r="DA3" s="336" t="s">
        <v>782</v>
      </c>
      <c r="DB3" s="336" t="s">
        <v>783</v>
      </c>
      <c r="DC3" s="336" t="s">
        <v>783</v>
      </c>
      <c r="DD3" s="336" t="s">
        <v>783</v>
      </c>
      <c r="DE3" s="336" t="s">
        <v>783</v>
      </c>
      <c r="DF3" s="336" t="s">
        <v>783</v>
      </c>
      <c r="DG3" s="336" t="s">
        <v>783</v>
      </c>
      <c r="DH3" s="336" t="s">
        <v>783</v>
      </c>
      <c r="DI3" s="336" t="s">
        <v>783</v>
      </c>
    </row>
    <row r="4" spans="1:113" hidden="1" outlineLevel="1">
      <c r="H4" s="4" t="s">
        <v>830</v>
      </c>
      <c r="CS4" s="331" t="s">
        <v>754</v>
      </c>
      <c r="CT4" s="574" t="s">
        <v>1032</v>
      </c>
      <c r="CU4" s="574"/>
      <c r="CV4" s="574"/>
      <c r="CW4" s="574"/>
      <c r="CX4" s="574"/>
      <c r="CY4" s="574"/>
      <c r="CZ4" s="574"/>
      <c r="DA4" s="574"/>
      <c r="DB4" s="574"/>
      <c r="DC4" s="574"/>
      <c r="DD4" s="574"/>
      <c r="DE4" s="574"/>
      <c r="DF4" s="574"/>
    </row>
    <row r="5" spans="1:113" hidden="1" outlineLevel="1">
      <c r="E5" s="578" t="s">
        <v>162</v>
      </c>
      <c r="F5" s="578"/>
      <c r="H5" s="320">
        <f>MATCH($H$4,CurveRefTable_hd,0)</f>
        <v>7</v>
      </c>
      <c r="CS5" s="331" t="s">
        <v>755</v>
      </c>
      <c r="CT5" s="574" t="s">
        <v>1033</v>
      </c>
      <c r="CU5" s="574"/>
      <c r="CV5" s="574"/>
      <c r="CW5" s="574"/>
      <c r="CX5" s="574"/>
      <c r="CY5" s="574"/>
      <c r="CZ5" s="574"/>
      <c r="DA5" s="574"/>
      <c r="DB5" s="574"/>
      <c r="DC5" s="574"/>
      <c r="DD5" s="574"/>
      <c r="DE5" s="574"/>
      <c r="DF5" s="574"/>
    </row>
    <row r="6" spans="1:113" hidden="1" outlineLevel="1">
      <c r="E6" s="578"/>
      <c r="F6" s="578"/>
      <c r="CS6" s="331" t="s">
        <v>785</v>
      </c>
      <c r="CT6" s="574" t="s">
        <v>786</v>
      </c>
      <c r="CU6" s="574"/>
      <c r="CV6" s="574"/>
      <c r="CW6" s="574"/>
      <c r="CX6" s="574"/>
      <c r="CY6" s="574"/>
      <c r="CZ6" s="574"/>
      <c r="DA6" s="574"/>
      <c r="DB6" s="574"/>
      <c r="DC6" s="574"/>
      <c r="DD6" s="574"/>
      <c r="DE6" s="574"/>
      <c r="DF6" s="574"/>
    </row>
    <row r="7" spans="1:113" hidden="1" outlineLevel="1">
      <c r="D7" s="326"/>
      <c r="E7" s="319"/>
      <c r="F7" s="319"/>
      <c r="CS7" s="331" t="s">
        <v>772</v>
      </c>
      <c r="CT7" s="574" t="str">
        <f>"SELECT CURVE+""|""+MAT_LABEL AS CODE,CURRENCY,CURVE,MAT_LABEL,MQ_BID,MQ_ASK,(MQ_BID+MQ_ASK)/2 AS MQMID FROM tmp" &amp; CSVName &amp; " WHERE (CURRENCY=""EUR"") OR  (CURRENCY=""USD"")  "</f>
        <v xml:space="preserve">SELECT CURVE+"|"+MAT_LABEL AS CODE,CURRENCY,CURVE,MAT_LABEL,MQ_BID,MQ_ASK,(MQ_BID+MQ_ASK)/2 AS MQMID FROM tmpMX3_Rate_Curves.csv WHERE (CURRENCY="EUR") OR  (CURRENCY="USD")  </v>
      </c>
      <c r="CU7" s="574"/>
      <c r="CV7" s="574"/>
      <c r="CW7" s="574"/>
      <c r="CX7" s="574"/>
      <c r="CY7" s="574"/>
      <c r="CZ7" s="574"/>
      <c r="DA7" s="574"/>
      <c r="DB7" s="574"/>
      <c r="DC7" s="574"/>
      <c r="DD7" s="574"/>
      <c r="DE7" s="574"/>
      <c r="DF7" s="574"/>
    </row>
    <row r="8" spans="1:113" hidden="1" outlineLevel="1" collapsed="1">
      <c r="A8" s="421" t="s">
        <v>1362</v>
      </c>
      <c r="C8" s="313">
        <v>42907</v>
      </c>
      <c r="N8" s="121"/>
      <c r="O8" s="121"/>
      <c r="P8" s="307"/>
      <c r="Q8" s="307"/>
      <c r="R8" s="401"/>
      <c r="S8" s="401"/>
      <c r="T8" s="307"/>
      <c r="U8" s="121"/>
      <c r="X8" s="121"/>
      <c r="Y8" s="121"/>
      <c r="Z8" s="307"/>
      <c r="AA8" s="307"/>
      <c r="AB8" s="307"/>
      <c r="CS8" s="331" t="s">
        <v>773</v>
      </c>
      <c r="CT8" s="574" t="s">
        <v>774</v>
      </c>
      <c r="CU8" s="574"/>
      <c r="CV8" s="574"/>
      <c r="CW8" s="574"/>
      <c r="CX8" s="574"/>
      <c r="CY8" s="574"/>
      <c r="CZ8" s="574"/>
      <c r="DA8" s="574"/>
      <c r="DB8" s="574"/>
      <c r="DC8" s="574"/>
      <c r="DD8" s="574"/>
      <c r="DE8" s="574"/>
      <c r="DF8" s="574"/>
      <c r="DG8" s="332"/>
      <c r="DH8" s="332"/>
      <c r="DI8" s="332"/>
    </row>
    <row r="9" spans="1:113" collapsed="1">
      <c r="A9" s="152" t="s">
        <v>156</v>
      </c>
      <c r="C9" s="313">
        <f>Main!$B$15</f>
        <v>42692</v>
      </c>
      <c r="N9" s="121"/>
      <c r="O9" s="121"/>
      <c r="P9" s="307"/>
      <c r="Q9" s="307"/>
      <c r="R9" s="401"/>
      <c r="S9" s="401"/>
      <c r="T9" s="307"/>
      <c r="U9" s="121"/>
      <c r="V9" s="121"/>
      <c r="W9" s="121"/>
      <c r="X9" s="121"/>
      <c r="Y9" s="121"/>
      <c r="Z9" s="307"/>
      <c r="AA9" s="307"/>
      <c r="AB9" s="307"/>
      <c r="CS9" s="332"/>
      <c r="CT9" s="332"/>
      <c r="CU9" s="332"/>
      <c r="CV9" s="332"/>
      <c r="CW9" s="332"/>
      <c r="CX9" s="332"/>
      <c r="CY9" s="332"/>
      <c r="CZ9" s="332"/>
      <c r="DA9" s="332"/>
      <c r="DB9" s="401"/>
      <c r="DC9" s="332"/>
      <c r="DD9" s="332"/>
      <c r="DE9" s="332"/>
      <c r="DF9" s="332"/>
      <c r="DG9" s="332"/>
    </row>
    <row r="10" spans="1:113">
      <c r="I10" s="4"/>
      <c r="CS10" s="332"/>
      <c r="CT10" s="335"/>
      <c r="CU10" s="335"/>
      <c r="CV10" s="335"/>
      <c r="CW10" s="335"/>
      <c r="CX10" s="335"/>
      <c r="CY10" s="335"/>
      <c r="CZ10" s="335"/>
      <c r="DA10" s="332"/>
    </row>
    <row r="11" spans="1:113" ht="12" customHeight="1">
      <c r="C11" s="317" t="s">
        <v>775</v>
      </c>
      <c r="H11" s="319"/>
      <c r="I11" s="319"/>
      <c r="J11" s="319"/>
      <c r="CS11" s="332"/>
      <c r="CT11" s="192" t="s">
        <v>1363</v>
      </c>
      <c r="CU11" s="334" t="s">
        <v>757</v>
      </c>
      <c r="CV11" s="334" t="s">
        <v>758</v>
      </c>
      <c r="CW11" s="334" t="s">
        <v>762</v>
      </c>
      <c r="CX11" s="334" t="s">
        <v>768</v>
      </c>
      <c r="CY11" s="334" t="s">
        <v>769</v>
      </c>
      <c r="CZ11" s="334" t="s">
        <v>830</v>
      </c>
    </row>
    <row r="12" spans="1:113" ht="12" customHeight="1">
      <c r="B12" s="325">
        <f>MATCH(ImportMethod,{"FromExcelFiles","FromCsv"},FALSE)</f>
        <v>2</v>
      </c>
      <c r="C12" s="318" t="s">
        <v>776</v>
      </c>
      <c r="H12" s="319"/>
      <c r="I12" s="319"/>
      <c r="J12" s="319"/>
      <c r="CS12" s="332"/>
      <c r="CT12" s="366" t="s">
        <v>1364</v>
      </c>
      <c r="CU12" s="307" t="s">
        <v>208</v>
      </c>
      <c r="CV12" s="307" t="s">
        <v>195</v>
      </c>
      <c r="CW12" s="366" t="s">
        <v>23</v>
      </c>
      <c r="CX12" s="307">
        <v>-0.36550742200000003</v>
      </c>
      <c r="CY12" s="307">
        <v>-0.36550742200000003</v>
      </c>
      <c r="CZ12" s="307">
        <v>-0.36550742200000003</v>
      </c>
    </row>
    <row r="13" spans="1:113">
      <c r="H13" s="319"/>
      <c r="I13" s="319"/>
      <c r="J13" s="319"/>
      <c r="CS13" s="332"/>
      <c r="CT13" s="366" t="s">
        <v>1365</v>
      </c>
      <c r="CU13" s="307" t="s">
        <v>208</v>
      </c>
      <c r="CV13" s="307" t="s">
        <v>195</v>
      </c>
      <c r="CW13" s="366" t="s">
        <v>5</v>
      </c>
      <c r="CX13" s="307">
        <v>-0.36549999999999999</v>
      </c>
      <c r="CY13" s="307">
        <v>-0.36549999999999999</v>
      </c>
      <c r="CZ13" s="307">
        <v>-0.36549999999999999</v>
      </c>
    </row>
    <row r="14" spans="1:113">
      <c r="I14" s="4"/>
      <c r="CS14" s="332"/>
      <c r="CT14" s="366" t="s">
        <v>1366</v>
      </c>
      <c r="CU14" s="307" t="s">
        <v>208</v>
      </c>
      <c r="CV14" s="307" t="s">
        <v>195</v>
      </c>
      <c r="CW14" s="366" t="s">
        <v>6</v>
      </c>
      <c r="CX14" s="307">
        <v>-0.3654</v>
      </c>
      <c r="CY14" s="307">
        <v>-0.3654</v>
      </c>
      <c r="CZ14" s="307">
        <v>-0.3654</v>
      </c>
    </row>
    <row r="15" spans="1:113" s="332" customFormat="1">
      <c r="A15" s="4"/>
      <c r="B15" s="4"/>
      <c r="C15" s="4"/>
      <c r="D15" s="4"/>
      <c r="E15" s="4"/>
      <c r="F15" s="4"/>
      <c r="G15" s="4"/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  <c r="AK15" s="4"/>
      <c r="AL15" s="4"/>
      <c r="AM15" s="4"/>
      <c r="AN15" s="4"/>
      <c r="AO15" s="4"/>
      <c r="AP15" s="4"/>
      <c r="AQ15" s="4"/>
      <c r="AR15" s="4"/>
      <c r="AS15" s="4"/>
      <c r="AT15" s="4"/>
      <c r="AU15" s="4"/>
      <c r="AV15" s="4"/>
      <c r="AW15" s="4"/>
      <c r="AX15" s="4"/>
      <c r="AY15" s="4"/>
      <c r="AZ15" s="4"/>
      <c r="BA15" s="4"/>
      <c r="BB15" s="4"/>
      <c r="BC15" s="4"/>
      <c r="BD15" s="4"/>
      <c r="BE15" s="4"/>
      <c r="BF15" s="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  <c r="BT15" s="4"/>
      <c r="BU15" s="4"/>
      <c r="BV15" s="4"/>
      <c r="BW15" s="4"/>
      <c r="BX15" s="4"/>
      <c r="BY15" s="4"/>
      <c r="BZ15" s="4"/>
      <c r="CA15" s="4"/>
      <c r="CB15" s="4"/>
      <c r="CC15" s="4"/>
      <c r="CD15" s="4"/>
      <c r="CE15" s="4"/>
      <c r="CF15" s="4"/>
      <c r="CG15" s="4"/>
      <c r="CH15" s="4"/>
      <c r="CI15" s="4"/>
      <c r="CJ15" s="4"/>
      <c r="CK15" s="4"/>
      <c r="CL15" s="4"/>
      <c r="CM15" s="4"/>
      <c r="CN15" s="4"/>
      <c r="CO15" s="4"/>
      <c r="CP15" s="4"/>
      <c r="CQ15" s="4"/>
      <c r="CR15" s="4"/>
      <c r="CT15" s="366" t="s">
        <v>1367</v>
      </c>
      <c r="CU15" s="332" t="s">
        <v>208</v>
      </c>
      <c r="CV15" s="332" t="s">
        <v>195</v>
      </c>
      <c r="CW15" s="366" t="s">
        <v>24</v>
      </c>
      <c r="CX15" s="332">
        <v>-0.36809999999999998</v>
      </c>
      <c r="CY15" s="332">
        <v>-0.36809999999999998</v>
      </c>
      <c r="CZ15" s="332">
        <v>-0.36809999999999998</v>
      </c>
    </row>
    <row r="16" spans="1:113" s="332" customFormat="1">
      <c r="A16" s="4"/>
      <c r="B16" s="4"/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/>
      <c r="AK16" s="4"/>
      <c r="AL16" s="4"/>
      <c r="AM16" s="4"/>
      <c r="AN16" s="4"/>
      <c r="AO16" s="4"/>
      <c r="AP16" s="4"/>
      <c r="AQ16" s="4"/>
      <c r="AR16" s="4"/>
      <c r="AS16" s="4"/>
      <c r="AT16" s="4"/>
      <c r="AU16" s="4"/>
      <c r="AV16" s="4"/>
      <c r="AW16" s="4"/>
      <c r="AX16" s="4"/>
      <c r="AY16" s="4"/>
      <c r="AZ16" s="4"/>
      <c r="BA16" s="4"/>
      <c r="BB16" s="4"/>
      <c r="BC16" s="4"/>
      <c r="BD16" s="4"/>
      <c r="BE16" s="4"/>
      <c r="BF16" s="4"/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  <c r="BT16" s="4"/>
      <c r="BU16" s="4"/>
      <c r="BV16" s="4"/>
      <c r="BW16" s="4"/>
      <c r="BX16" s="4"/>
      <c r="BY16" s="4"/>
      <c r="BZ16" s="4"/>
      <c r="CA16" s="4"/>
      <c r="CB16" s="4"/>
      <c r="CC16" s="4"/>
      <c r="CD16" s="4"/>
      <c r="CE16" s="4"/>
      <c r="CF16" s="4"/>
      <c r="CG16" s="4"/>
      <c r="CH16" s="4"/>
      <c r="CI16" s="4"/>
      <c r="CJ16" s="4"/>
      <c r="CK16" s="4"/>
      <c r="CL16" s="4"/>
      <c r="CM16" s="4"/>
      <c r="CN16" s="4"/>
      <c r="CO16" s="4"/>
      <c r="CP16" s="4"/>
      <c r="CQ16" s="4"/>
      <c r="CR16" s="4"/>
      <c r="CT16" s="366" t="s">
        <v>1368</v>
      </c>
      <c r="CU16" s="332" t="s">
        <v>208</v>
      </c>
      <c r="CV16" s="332" t="s">
        <v>195</v>
      </c>
      <c r="CW16" s="366" t="s">
        <v>7</v>
      </c>
      <c r="CX16" s="332">
        <v>-0.371</v>
      </c>
      <c r="CY16" s="332">
        <v>-0.371</v>
      </c>
      <c r="CZ16" s="332">
        <v>-0.371</v>
      </c>
    </row>
    <row r="17" spans="1:109">
      <c r="A17" s="565" t="s">
        <v>5183</v>
      </c>
      <c r="B17" s="566"/>
      <c r="C17" s="567"/>
      <c r="CS17" s="401"/>
      <c r="CT17" s="366" t="s">
        <v>1369</v>
      </c>
      <c r="CU17" s="401" t="s">
        <v>208</v>
      </c>
      <c r="CV17" s="401" t="s">
        <v>195</v>
      </c>
      <c r="CW17" s="366" t="s">
        <v>8</v>
      </c>
      <c r="CX17" s="401">
        <v>-0.372</v>
      </c>
      <c r="CY17" s="401">
        <v>-0.372</v>
      </c>
      <c r="CZ17" s="401">
        <v>-0.372</v>
      </c>
      <c r="DA17" s="401"/>
      <c r="DB17" s="401"/>
      <c r="DC17" s="401"/>
      <c r="DD17" s="401"/>
      <c r="DE17" s="401"/>
    </row>
    <row r="18" spans="1:109">
      <c r="A18" s="568"/>
      <c r="B18" s="569"/>
      <c r="C18" s="570"/>
      <c r="CS18" s="401"/>
      <c r="CT18" s="366" t="s">
        <v>1370</v>
      </c>
      <c r="CU18" s="401" t="s">
        <v>208</v>
      </c>
      <c r="CV18" s="401" t="s">
        <v>195</v>
      </c>
      <c r="CW18" s="366" t="s">
        <v>25</v>
      </c>
      <c r="CX18" s="401">
        <v>-0.372</v>
      </c>
      <c r="CY18" s="401">
        <v>-0.372</v>
      </c>
      <c r="CZ18" s="401">
        <v>-0.372</v>
      </c>
      <c r="DA18" s="401"/>
      <c r="DB18" s="401"/>
      <c r="DC18" s="401"/>
      <c r="DD18" s="401"/>
      <c r="DE18" s="401"/>
    </row>
    <row r="19" spans="1:109" s="332" customFormat="1">
      <c r="A19" s="568"/>
      <c r="B19" s="569"/>
      <c r="C19" s="570"/>
      <c r="D19" s="4"/>
      <c r="E19" s="4"/>
      <c r="F19" s="4"/>
      <c r="G19" s="4"/>
      <c r="H19" s="4"/>
      <c r="I19" s="41"/>
      <c r="J19" s="4"/>
      <c r="K19" s="4"/>
      <c r="L19" s="4"/>
      <c r="M19" s="4"/>
      <c r="N19" s="4"/>
      <c r="O19" s="4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  <c r="AE19" s="4"/>
      <c r="AF19" s="4"/>
      <c r="AG19" s="4"/>
      <c r="AH19" s="4"/>
      <c r="AI19" s="4"/>
      <c r="AJ19" s="4"/>
      <c r="AK19" s="4"/>
      <c r="AL19" s="4"/>
      <c r="AM19" s="4"/>
      <c r="AN19" s="4"/>
      <c r="AO19" s="4"/>
      <c r="AP19" s="4"/>
      <c r="AQ19" s="4"/>
      <c r="AR19" s="4"/>
      <c r="AS19" s="4"/>
      <c r="AT19" s="4"/>
      <c r="AU19" s="4"/>
      <c r="AV19" s="4"/>
      <c r="AW19" s="4"/>
      <c r="AX19" s="4"/>
      <c r="AY19" s="4"/>
      <c r="AZ19" s="4"/>
      <c r="BA19" s="4"/>
      <c r="BB19" s="4"/>
      <c r="BC19" s="4"/>
      <c r="BD19" s="4"/>
      <c r="BE19" s="4"/>
      <c r="BF19" s="4"/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  <c r="BT19" s="4"/>
      <c r="BU19" s="4"/>
      <c r="BV19" s="4"/>
      <c r="BW19" s="4"/>
      <c r="BX19" s="4"/>
      <c r="BY19" s="4"/>
      <c r="BZ19" s="4"/>
      <c r="CA19" s="4"/>
      <c r="CB19" s="4"/>
      <c r="CC19" s="4"/>
      <c r="CD19" s="4"/>
      <c r="CE19" s="4"/>
      <c r="CF19" s="4"/>
      <c r="CG19" s="4"/>
      <c r="CH19" s="4"/>
      <c r="CI19" s="4"/>
      <c r="CJ19" s="4"/>
      <c r="CK19" s="4"/>
      <c r="CL19" s="4"/>
      <c r="CM19" s="4"/>
      <c r="CN19" s="4"/>
      <c r="CO19" s="4"/>
      <c r="CP19" s="4"/>
      <c r="CQ19" s="4"/>
      <c r="CR19" s="4"/>
      <c r="CS19" s="401"/>
      <c r="CT19" s="366" t="s">
        <v>1371</v>
      </c>
      <c r="CU19" s="401" t="s">
        <v>208</v>
      </c>
      <c r="CV19" s="401" t="s">
        <v>195</v>
      </c>
      <c r="CW19" s="366" t="s">
        <v>26</v>
      </c>
      <c r="CX19" s="401">
        <v>-0.372</v>
      </c>
      <c r="CY19" s="401">
        <v>-0.372</v>
      </c>
      <c r="CZ19" s="401">
        <v>-0.372</v>
      </c>
      <c r="DA19" s="401"/>
      <c r="DB19" s="401"/>
      <c r="DC19" s="401"/>
      <c r="DD19" s="401"/>
      <c r="DE19" s="401"/>
    </row>
    <row r="20" spans="1:109">
      <c r="A20" s="571"/>
      <c r="B20" s="572"/>
      <c r="C20" s="573"/>
      <c r="CS20" s="401"/>
      <c r="CT20" s="366" t="s">
        <v>1372</v>
      </c>
      <c r="CU20" s="401" t="s">
        <v>208</v>
      </c>
      <c r="CV20" s="401" t="s">
        <v>195</v>
      </c>
      <c r="CW20" s="366" t="s">
        <v>27</v>
      </c>
      <c r="CX20" s="401">
        <v>-0.373</v>
      </c>
      <c r="CY20" s="401">
        <v>-0.373</v>
      </c>
      <c r="CZ20" s="401">
        <v>-0.373</v>
      </c>
      <c r="DA20" s="401"/>
      <c r="DB20" s="401"/>
      <c r="DC20" s="401"/>
      <c r="DD20" s="401"/>
      <c r="DE20" s="401"/>
    </row>
    <row r="21" spans="1:109">
      <c r="D21" s="562" t="s">
        <v>777</v>
      </c>
      <c r="E21" s="564"/>
      <c r="F21" s="563"/>
      <c r="G21" s="562" t="s">
        <v>778</v>
      </c>
      <c r="H21" s="563"/>
      <c r="I21" s="327" t="s">
        <v>89</v>
      </c>
      <c r="N21" s="562" t="s">
        <v>777</v>
      </c>
      <c r="O21" s="564"/>
      <c r="P21" s="563"/>
      <c r="Q21" s="562" t="s">
        <v>778</v>
      </c>
      <c r="R21" s="564"/>
      <c r="S21" s="564"/>
      <c r="T21" s="563"/>
      <c r="U21" s="327" t="s">
        <v>88</v>
      </c>
      <c r="X21" s="562" t="s">
        <v>777</v>
      </c>
      <c r="Y21" s="564"/>
      <c r="Z21" s="563"/>
      <c r="AA21" s="562" t="s">
        <v>778</v>
      </c>
      <c r="AB21" s="563"/>
      <c r="AC21" s="327" t="s">
        <v>87</v>
      </c>
      <c r="AF21" s="562" t="s">
        <v>777</v>
      </c>
      <c r="AG21" s="564"/>
      <c r="AH21" s="563"/>
      <c r="AI21" s="562" t="s">
        <v>778</v>
      </c>
      <c r="AJ21" s="563"/>
      <c r="AK21" s="327" t="s">
        <v>196</v>
      </c>
      <c r="AN21" s="562" t="s">
        <v>777</v>
      </c>
      <c r="AO21" s="564"/>
      <c r="AP21" s="563"/>
      <c r="AQ21" s="562" t="s">
        <v>778</v>
      </c>
      <c r="AR21" s="563"/>
      <c r="AS21" s="327" t="s">
        <v>173</v>
      </c>
      <c r="AV21" s="562" t="s">
        <v>777</v>
      </c>
      <c r="AW21" s="564"/>
      <c r="AX21" s="563"/>
      <c r="AY21" s="562" t="s">
        <v>778</v>
      </c>
      <c r="AZ21" s="563"/>
      <c r="BA21" s="327" t="s">
        <v>195</v>
      </c>
      <c r="CS21" s="332"/>
      <c r="CT21" s="366" t="s">
        <v>1373</v>
      </c>
      <c r="CU21" s="307" t="s">
        <v>208</v>
      </c>
      <c r="CV21" s="307" t="s">
        <v>195</v>
      </c>
      <c r="CW21" s="366" t="s">
        <v>28</v>
      </c>
      <c r="CX21" s="307">
        <v>-0.373</v>
      </c>
      <c r="CY21" s="307">
        <v>-0.373</v>
      </c>
      <c r="CZ21" s="307">
        <v>-0.373</v>
      </c>
    </row>
    <row r="22" spans="1:109">
      <c r="C22" s="203" t="s">
        <v>28</v>
      </c>
      <c r="D22" s="203" t="s">
        <v>90</v>
      </c>
      <c r="E22" s="204" t="s">
        <v>779</v>
      </c>
      <c r="F22" s="323" t="s">
        <v>91</v>
      </c>
      <c r="G22" s="204" t="s">
        <v>779</v>
      </c>
      <c r="H22" s="204" t="s">
        <v>91</v>
      </c>
      <c r="I22" s="205" t="s">
        <v>91</v>
      </c>
      <c r="M22" s="203" t="s">
        <v>25</v>
      </c>
      <c r="N22" s="203" t="s">
        <v>90</v>
      </c>
      <c r="O22" s="204" t="s">
        <v>779</v>
      </c>
      <c r="P22" s="323" t="s">
        <v>91</v>
      </c>
      <c r="Q22" s="204" t="s">
        <v>762</v>
      </c>
      <c r="R22" s="204" t="s">
        <v>4971</v>
      </c>
      <c r="S22" s="204" t="s">
        <v>779</v>
      </c>
      <c r="T22" s="204" t="s">
        <v>91</v>
      </c>
      <c r="U22" s="205" t="s">
        <v>91</v>
      </c>
      <c r="W22" s="203" t="s">
        <v>56</v>
      </c>
      <c r="X22" s="203" t="s">
        <v>90</v>
      </c>
      <c r="Y22" s="204" t="s">
        <v>779</v>
      </c>
      <c r="Z22" s="323" t="s">
        <v>91</v>
      </c>
      <c r="AA22" s="204" t="s">
        <v>779</v>
      </c>
      <c r="AB22" s="204" t="s">
        <v>91</v>
      </c>
      <c r="AC22" s="205" t="s">
        <v>91</v>
      </c>
      <c r="AE22" s="203" t="s">
        <v>0</v>
      </c>
      <c r="AF22" s="203" t="s">
        <v>90</v>
      </c>
      <c r="AG22" s="204" t="s">
        <v>779</v>
      </c>
      <c r="AH22" s="323" t="s">
        <v>91</v>
      </c>
      <c r="AI22" s="204" t="s">
        <v>779</v>
      </c>
      <c r="AJ22" s="204" t="s">
        <v>91</v>
      </c>
      <c r="AK22" s="205" t="s">
        <v>91</v>
      </c>
      <c r="AM22" s="330" t="s">
        <v>86</v>
      </c>
      <c r="AN22" s="203" t="s">
        <v>90</v>
      </c>
      <c r="AO22" s="204" t="s">
        <v>779</v>
      </c>
      <c r="AP22" s="323" t="s">
        <v>91</v>
      </c>
      <c r="AQ22" s="204" t="s">
        <v>779</v>
      </c>
      <c r="AR22" s="204" t="s">
        <v>91</v>
      </c>
      <c r="AS22" s="205" t="s">
        <v>91</v>
      </c>
      <c r="AU22" s="330" t="s">
        <v>7</v>
      </c>
      <c r="AV22" s="203" t="s">
        <v>90</v>
      </c>
      <c r="AW22" s="204" t="s">
        <v>779</v>
      </c>
      <c r="AX22" s="323" t="s">
        <v>91</v>
      </c>
      <c r="AY22" s="204" t="s">
        <v>779</v>
      </c>
      <c r="AZ22" s="204" t="s">
        <v>91</v>
      </c>
      <c r="BA22" s="205" t="s">
        <v>91</v>
      </c>
      <c r="BE22" s="327" t="str">
        <f>$I$21</f>
        <v>EUR 6M</v>
      </c>
      <c r="BF22" s="429" t="str">
        <f>MATCH($U$21&amp;"|S/N",INDEX(CurveRefTable,,1),0)&amp;""</f>
        <v>198</v>
      </c>
      <c r="BG22" s="4" t="s">
        <v>4969</v>
      </c>
      <c r="BH22" s="4" t="s">
        <v>4968</v>
      </c>
      <c r="BI22" s="4" t="s">
        <v>524</v>
      </c>
      <c r="BJ22" s="4" t="s">
        <v>4970</v>
      </c>
      <c r="BK22" s="327" t="str">
        <f>$U$21</f>
        <v>EUR 3M</v>
      </c>
      <c r="BM22" s="327" t="str">
        <f>$AC$21</f>
        <v>EUR 1Y</v>
      </c>
      <c r="BO22" s="327" t="str">
        <f>$AK$21</f>
        <v>EUR :STD</v>
      </c>
      <c r="BQ22" s="327" t="str">
        <f>$AS$21</f>
        <v>EUR-OIS</v>
      </c>
      <c r="BS22" s="327" t="str">
        <f>$BA$21</f>
        <v>EUR 1M</v>
      </c>
      <c r="CS22" s="332"/>
      <c r="CT22" s="366" t="s">
        <v>1374</v>
      </c>
      <c r="CU22" s="307" t="s">
        <v>208</v>
      </c>
      <c r="CV22" s="307" t="s">
        <v>195</v>
      </c>
      <c r="CW22" s="366" t="s">
        <v>29</v>
      </c>
      <c r="CX22" s="307">
        <v>-0.373</v>
      </c>
      <c r="CY22" s="307">
        <v>-0.373</v>
      </c>
      <c r="CZ22" s="307">
        <v>-0.373</v>
      </c>
    </row>
    <row r="23" spans="1:109">
      <c r="A23" s="528" t="str">
        <f t="array" ref="A23:A91">CommonMxSearch</f>
        <v>O/N</v>
      </c>
      <c r="B23" s="532">
        <f t="array" ref="B23:B91">Common_instrumentN</f>
        <v>1</v>
      </c>
      <c r="C23" s="358" t="str">
        <f t="array" ref="C23:C91">Bucket6M</f>
        <v>S/N</v>
      </c>
      <c r="D23" s="415" t="str">
        <f t="shared" ref="D23:D54" si="0">C23</f>
        <v>S/N</v>
      </c>
      <c r="E23" s="360" t="e">
        <f>CHOOSE(NA(),
                       VLOOKUP(D23,[1]EUR6M!$E$2:$H$1000,4,FALSE),
                       VLOOKUP(D23,[1]EUR6M!$C$2:$H$1000,6,FALSE),
                       VLOOKUP(D23,[1]EUR6M!$B$2:$H$1000,7,FALSE),
                       VLOOKUP(D23,[1]EUR6M!$E$2:$H$1000,4,FALSE),
                       ""
                       )</f>
        <v>#N/A</v>
      </c>
      <c r="F23" s="361" t="e">
        <f t="shared" ref="F23:F54" si="1">IF(E23=0,NA(),IF($B23=3,100-E23,E23))</f>
        <v>#N/A</v>
      </c>
      <c r="G23" s="134">
        <v>-0.23766691400000001</v>
      </c>
      <c r="H23" s="361">
        <f t="shared" ref="H23:H54" si="2">IF(G23=0,NA(),G23)</f>
        <v>-0.23766691400000001</v>
      </c>
      <c r="I23" s="362">
        <f t="shared" ref="I23:I54" si="3">CHOOSE(OrdMethod,F23,H23)</f>
        <v>-0.23766691400000001</v>
      </c>
      <c r="M23" s="216" t="str">
        <f t="array" ref="M23:M91">Bucket3M</f>
        <v>S/N</v>
      </c>
      <c r="N23" s="324" t="str">
        <f t="shared" ref="N23:N54" si="4">CHOOSE($B23,M23,"STUB 3M CURVES",TEXT(M23,"DD/MM/YY"),M23,"")</f>
        <v>S/N</v>
      </c>
      <c r="O23" s="134">
        <f>CHOOSE($B23,
                       VLOOKUP(N23,[2]EUR3M!$E$2:$H$1000,4,FALSE),
                       VLOOKUP(N23,[2]EUR3M!$C$2:$H$1000,6,FALSE),
                       VLOOKUP(N23,[2]EUR3M!$B$2:$H$1000,7,FALSE),
                       VLOOKUP(N23,[2]EUR3M!$E$2:$H$1000,4,FALSE),
                       ""
                       )</f>
        <v>0.29239999999999999</v>
      </c>
      <c r="P23" s="173">
        <f t="shared" ref="P23:P54" si="5">IF(O23=0,NA(),IF($B23=3,100-O23,O23))</f>
        <v>0.29239999999999999</v>
      </c>
      <c r="Q23" s="134" t="s">
        <v>23</v>
      </c>
      <c r="R23" s="130" t="b">
        <f t="shared" ref="R23:R54" si="6">NOT(ISERROR(FIND(" ",Q23)))</f>
        <v>0</v>
      </c>
      <c r="S23" s="134">
        <v>-0.324285763</v>
      </c>
      <c r="T23" s="173">
        <f t="shared" ref="T23:T54" si="7">IF(S23=0,NA(),IF($R23,100-S23,S23))</f>
        <v>-0.324285763</v>
      </c>
      <c r="U23" s="219">
        <f t="shared" ref="U23:U54" si="8">CHOOSE(OrdMethod,P23,T23)</f>
        <v>-0.324285763</v>
      </c>
      <c r="W23" s="216" t="str">
        <f t="array" ref="W23:W91">Bucket1Y</f>
        <v>S/N</v>
      </c>
      <c r="X23" s="324" t="str">
        <f t="shared" ref="X23:X54" si="9">CHOOSE($B23,W23,"STUB 12M CURVES",TEXT(W23,"DD/MM/YY"),W23,"")</f>
        <v>S/N</v>
      </c>
      <c r="Y23" s="134" t="e">
        <f xml:space="preserve"> CHOOSE(NA(),
                       VLOOKUP(X23,[3]EUR1Y!$E$2:$H$1000,4,FALSE),
                       VLOOKUP(X23,[3]EUR1Y!$C$2:$H$1000,6,FALSE),
                       VLOOKUP(X23,[3]EUR1Y!$B$2:$H$1000,7,FALSE),
                       VLOOKUP(X23,[3]EUR1Y!$E$2:$H$1000,4,FALSE),
                       ""
                       )</f>
        <v>#N/A</v>
      </c>
      <c r="Z23" s="173" t="e">
        <f t="shared" ref="Z23:Z54" si="10">IF(Y23=0,NA(),IF($B23=3,100-Y23,Y23))</f>
        <v>#N/A</v>
      </c>
      <c r="AA23" s="134">
        <v>-0.1242195</v>
      </c>
      <c r="AB23" s="173">
        <f t="shared" ref="AB23:AB54" si="11">IF(AA23=0,NA(),AA23)</f>
        <v>-0.1242195</v>
      </c>
      <c r="AC23" s="219">
        <f t="shared" ref="AC23:AC54" si="12">CHOOSE(OrdMethod,Z23,AB23)</f>
        <v>-0.1242195</v>
      </c>
      <c r="AE23" s="345" t="str">
        <f t="array" ref="AE23:AE83">CommonBucket</f>
        <v>O/N</v>
      </c>
      <c r="AF23" s="494" t="str">
        <f t="shared" ref="AF23:AF54" si="13">CHOOSE($B23,AE23,"STUB",TEXT(AE23,"DD/MM/YY"),AE23,"")</f>
        <v>O/N</v>
      </c>
      <c r="AG23" s="434">
        <f>CHOOSE($B23,
                       VLOOKUP(AF23,[4]EURStd!$E$2:$H$1000,4,FALSE),
                       VLOOKUP(AF23,[4]EURStd!$C$2:$H$1000,6,FALSE),
                       VLOOKUP(AF23,[4]EURStd!$B$2:$H$1000,7,FALSE),
                       VLOOKUP(AF23,[4]EURStd!$E$2:$H$1000,4,FALSE),
                       ""
                       )</f>
        <v>0.25</v>
      </c>
      <c r="AH23" s="172">
        <f t="shared" ref="AH23:AH54" si="14">IF(AG23=0,NA(),IF($B23=3,100-AG23,AG23))</f>
        <v>0.25</v>
      </c>
      <c r="AI23" s="434">
        <v>-0.36999989999999999</v>
      </c>
      <c r="AJ23" s="172">
        <f t="shared" ref="AJ23:AJ54" si="15">IF(AI23=0,NA(),IF($B23=3,100-AI23,AI23))</f>
        <v>-0.36999989999999999</v>
      </c>
      <c r="AK23" s="495">
        <f t="shared" ref="AK23:AK54" si="16">CHOOSE(OrdMethod,AH23,AJ23)</f>
        <v>-0.36999989999999999</v>
      </c>
      <c r="AM23" s="137" t="str">
        <f t="array" ref="AM23:AM84">BucketOIS</f>
        <v>O/N</v>
      </c>
      <c r="AN23" s="324" t="str">
        <f>AM23</f>
        <v>O/N</v>
      </c>
      <c r="AO23" s="134">
        <f>VLOOKUP(AN23,'[5]EUR-OIS'!$E$2:$H$1000,4,FALSE)</f>
        <v>0.25</v>
      </c>
      <c r="AP23" s="173">
        <f t="shared" ref="AP23:AP54" si="17">IF(AO23=0,NA(),AO23)</f>
        <v>0.25</v>
      </c>
      <c r="AQ23" s="134">
        <v>-0.37</v>
      </c>
      <c r="AR23" s="173">
        <f t="shared" ref="AR23:AR54" si="18">IF(AQ23=0,NA(),AQ23)</f>
        <v>-0.37</v>
      </c>
      <c r="AS23" s="219">
        <f t="shared" ref="AS23:AS54" si="19">CHOOSE(OrdMethod,AP23,AR23)</f>
        <v>-0.37</v>
      </c>
      <c r="AU23" s="137" t="str">
        <f t="array" ref="AU23:AU87">[0]!Bucket1M</f>
        <v>O/N</v>
      </c>
      <c r="AV23" s="144" t="str">
        <f t="shared" ref="AV23:AV54" si="20">AU23</f>
        <v>O/N</v>
      </c>
      <c r="AW23" s="144">
        <f>VLOOKUP(AV23,[6]EURFIX1RM!$E$2:$H$1009,4,FALSE)</f>
        <v>0.14298456600000001</v>
      </c>
      <c r="AX23" s="173">
        <f t="shared" ref="AX23:AX54" si="21">IF(AW23=0,NA(),AW23)</f>
        <v>0.14298456600000001</v>
      </c>
      <c r="AY23" s="134" t="e">
        <v>#N/A</v>
      </c>
      <c r="AZ23" s="173" t="e">
        <f t="shared" ref="AZ23:AZ54" si="22">IF(AY23=0,NA(),AY23)</f>
        <v>#N/A</v>
      </c>
      <c r="BA23" s="219" t="e">
        <f t="shared" ref="BA23:BA54" si="23">CHOOSE(OrdMethod,AX23,AZ23)</f>
        <v>#N/A</v>
      </c>
      <c r="BD23" s="423" t="str">
        <f t="array" ref="BD23:BD91">[0]!Bucket6M</f>
        <v>S/N</v>
      </c>
      <c r="BE23" s="346">
        <f t="shared" ref="BE23:BE54" si="24">VLOOKUP($I$21&amp;"|"&amp;$BD23,CurveRefTable,$H$5,FALSE)+0</f>
        <v>-0.23766691400000001</v>
      </c>
      <c r="BF23" s="261" t="str">
        <f t="array" ref="BF23:BF91">INDEX(CurveRefTable,BF22,4):INDEX(CurveRefTable,BF22+69,4)</f>
        <v>S/N</v>
      </c>
      <c r="BG23" s="428" t="b">
        <f t="shared" ref="BG23:BG54" si="25">NOT(ISERROR(FIND(" ",BF23)))</f>
        <v>0</v>
      </c>
      <c r="BH23" s="425" t="b">
        <v>0</v>
      </c>
      <c r="BI23" s="425" t="b">
        <f t="shared" ref="BI23:BI54" si="26">OR(AND(NOT(BG23),NOT(BH23)),BH23)</f>
        <v>1</v>
      </c>
      <c r="BJ23" s="425" t="str">
        <f t="array" ref="BJ23:BJ91">RemoverFilter(IF(BI23:BI91,BF23:BF91,""),"","")</f>
        <v>S/N</v>
      </c>
      <c r="BK23" s="344">
        <f t="shared" ref="BK23:BK54" si="27">VLOOKUP($U$21&amp;"|"&amp;$BJ23,CurveRefTable,$H$5,FALSE)+0</f>
        <v>-0.324285763</v>
      </c>
      <c r="BL23" s="423" t="str">
        <f t="array" ref="BL23:BL91">[0]!Bucket1Y</f>
        <v>S/N</v>
      </c>
      <c r="BM23" s="344">
        <f t="shared" ref="BM23:BM54" si="28">VLOOKUP($AC$21&amp;"|"&amp;$BL23,CurveRefTable,$H$5,FALSE)+0</f>
        <v>-0.1242195</v>
      </c>
      <c r="BN23" s="345" t="str">
        <f t="array" ref="BN23:BN88">[0]!CommonBucket</f>
        <v>O/N</v>
      </c>
      <c r="BO23" s="347">
        <f t="shared" ref="BO23:BO54" si="29">VLOOKUP($AK$21&amp;"|"&amp;$A23,CurveRefTable,$H$5,FALSE)+0</f>
        <v>-0.36999989999999999</v>
      </c>
      <c r="BP23" s="226" t="str">
        <f t="array" ref="BP23:BP84">[0]!BucketOIS</f>
        <v>O/N</v>
      </c>
      <c r="BQ23" s="347">
        <f t="shared" ref="BQ23:BQ54" si="30">VLOOKUP($AS$21&amp;"|"&amp;$AM23,CurveRefTable,$H$5,FALSE)+0</f>
        <v>-0.37</v>
      </c>
      <c r="BR23" s="226" t="str">
        <f t="array" ref="BR23:BR87">[0]!Bucket1M</f>
        <v>O/N</v>
      </c>
      <c r="BS23" s="347" t="e">
        <f t="shared" ref="BS23:BS54" si="31">VLOOKUP($BA$21&amp;"|"&amp;$AU23,CurveRefTable,$H$5,FALSE)+0</f>
        <v>#N/A</v>
      </c>
      <c r="CS23" s="332"/>
      <c r="CT23" s="366" t="s">
        <v>1375</v>
      </c>
      <c r="CU23" s="307" t="s">
        <v>208</v>
      </c>
      <c r="CV23" s="307" t="s">
        <v>195</v>
      </c>
      <c r="CW23" s="366" t="s">
        <v>30</v>
      </c>
      <c r="CX23" s="307">
        <v>-0.372</v>
      </c>
      <c r="CY23" s="307">
        <v>-0.372</v>
      </c>
      <c r="CZ23" s="307">
        <v>-0.372</v>
      </c>
    </row>
    <row r="24" spans="1:109">
      <c r="A24" s="130" t="str">
        <v>T/N</v>
      </c>
      <c r="B24" s="206">
        <v>1</v>
      </c>
      <c r="C24" s="321" t="str">
        <v>1W</v>
      </c>
      <c r="D24" s="415" t="str">
        <f t="shared" si="0"/>
        <v>1W</v>
      </c>
      <c r="E24" s="360" t="e">
        <f>CHOOSE(NA(),
                       VLOOKUP(D24,[1]EUR6M!$E$2:$H$1000,4,FALSE),
                       VLOOKUP(D24,[1]EUR6M!$C$2:$H$1000,6,FALSE),
                       VLOOKUP(D24,[1]EUR6M!$B$2:$H$1000,7,FALSE),
                       VLOOKUP(D24,[1]EUR6M!$E$2:$H$1000,4,FALSE),
                       ""
                       )</f>
        <v>#N/A</v>
      </c>
      <c r="F24" s="361" t="e">
        <f t="shared" si="1"/>
        <v>#N/A</v>
      </c>
      <c r="G24" s="134">
        <v>-0.23766377599999999</v>
      </c>
      <c r="H24" s="361">
        <f t="shared" si="2"/>
        <v>-0.23766377599999999</v>
      </c>
      <c r="I24" s="362">
        <f t="shared" si="3"/>
        <v>-0.23766377599999999</v>
      </c>
      <c r="K24" s="31">
        <v>1</v>
      </c>
      <c r="M24" s="216" t="str">
        <v>1W</v>
      </c>
      <c r="N24" s="324" t="str">
        <f t="shared" si="4"/>
        <v>1W</v>
      </c>
      <c r="O24" s="134">
        <f>CHOOSE($B24,
                       VLOOKUP(N24,[2]EUR3M!$E$2:$H$1000,4,FALSE),
                       VLOOKUP(N24,[2]EUR3M!$C$2:$H$1000,6,FALSE),
                       VLOOKUP(N24,[2]EUR3M!$B$2:$H$1000,7,FALSE),
                       VLOOKUP(N24,[2]EUR3M!$E$2:$H$1000,4,FALSE),
                       ""
                       )</f>
        <v>0.23799999999999999</v>
      </c>
      <c r="P24" s="173">
        <f t="shared" si="5"/>
        <v>0.23799999999999999</v>
      </c>
      <c r="Q24" s="134" t="s">
        <v>5</v>
      </c>
      <c r="R24" s="130" t="b">
        <f t="shared" si="6"/>
        <v>0</v>
      </c>
      <c r="S24" s="134">
        <v>-0.32427992100000003</v>
      </c>
      <c r="T24" s="173">
        <f t="shared" si="7"/>
        <v>-0.32427992100000003</v>
      </c>
      <c r="U24" s="219">
        <f t="shared" si="8"/>
        <v>-0.32427992100000003</v>
      </c>
      <c r="W24" s="216" t="str">
        <v>1W</v>
      </c>
      <c r="X24" s="324" t="str">
        <f t="shared" si="9"/>
        <v>1W</v>
      </c>
      <c r="Y24" s="134" t="e">
        <f xml:space="preserve"> CHOOSE(NA(),
                       VLOOKUP(X24,[3]EUR1Y!$E$2:$H$1000,4,FALSE),
                       VLOOKUP(X24,[3]EUR1Y!$C$2:$H$1000,6,FALSE),
                       VLOOKUP(X24,[3]EUR1Y!$B$2:$H$1000,7,FALSE),
                       VLOOKUP(X24,[3]EUR1Y!$E$2:$H$1000,4,FALSE),
                       ""
                       )</f>
        <v>#N/A</v>
      </c>
      <c r="Z24" s="173" t="e">
        <f t="shared" si="10"/>
        <v>#N/A</v>
      </c>
      <c r="AA24" s="134">
        <v>-0.124218643</v>
      </c>
      <c r="AB24" s="173">
        <f t="shared" si="11"/>
        <v>-0.124218643</v>
      </c>
      <c r="AC24" s="219">
        <f t="shared" si="12"/>
        <v>-0.124218643</v>
      </c>
      <c r="AE24" s="216" t="str">
        <v>T/N</v>
      </c>
      <c r="AF24" s="324" t="str">
        <f t="shared" si="13"/>
        <v>T/N</v>
      </c>
      <c r="AG24" s="134">
        <f>CHOOSE($B24,
                       VLOOKUP(AF24,[4]EURStd!$E$2:$H$1000,4,FALSE),
                       VLOOKUP(AF24,[4]EURStd!$C$2:$H$1000,6,FALSE),
                       VLOOKUP(AF24,[4]EURStd!$B$2:$H$1000,7,FALSE),
                       VLOOKUP(AF24,[4]EURStd!$E$2:$H$1000,4,FALSE),
                       ""
                       )</f>
        <v>0.1</v>
      </c>
      <c r="AH24" s="173">
        <f t="shared" si="14"/>
        <v>0.1</v>
      </c>
      <c r="AI24" s="134">
        <v>-0.37</v>
      </c>
      <c r="AJ24" s="173">
        <f t="shared" si="15"/>
        <v>-0.37</v>
      </c>
      <c r="AK24" s="219">
        <f t="shared" si="16"/>
        <v>-0.37</v>
      </c>
      <c r="AM24" s="137" t="str">
        <v>T/N</v>
      </c>
      <c r="AN24" s="324" t="str">
        <f t="shared" ref="AN24:AN51" si="32">AM24</f>
        <v>T/N</v>
      </c>
      <c r="AO24" s="134">
        <f>VLOOKUP(AN24,'[5]EUR-OIS'!$E$2:$H$1000,4,FALSE)</f>
        <v>0.1</v>
      </c>
      <c r="AP24" s="173">
        <f t="shared" si="17"/>
        <v>0.1</v>
      </c>
      <c r="AQ24" s="134">
        <v>-0.37</v>
      </c>
      <c r="AR24" s="173">
        <f t="shared" si="18"/>
        <v>-0.37</v>
      </c>
      <c r="AS24" s="219">
        <f t="shared" si="19"/>
        <v>-0.37</v>
      </c>
      <c r="AU24" s="137" t="str">
        <v>T/N</v>
      </c>
      <c r="AV24" s="144" t="str">
        <f t="shared" si="20"/>
        <v>T/N</v>
      </c>
      <c r="AW24" s="144">
        <f>VLOOKUP(AV24,[6]EURFIX1RM!$E$2:$H$1009,4,FALSE)</f>
        <v>0.13854312199999999</v>
      </c>
      <c r="AX24" s="173">
        <f t="shared" si="21"/>
        <v>0.13854312199999999</v>
      </c>
      <c r="AY24" s="134" t="e">
        <v>#N/A</v>
      </c>
      <c r="AZ24" s="173" t="e">
        <f t="shared" si="22"/>
        <v>#N/A</v>
      </c>
      <c r="BA24" s="219" t="e">
        <f>CHOOSE(OrdMethod,AX24,AZ24)</f>
        <v>#N/A</v>
      </c>
      <c r="BD24" s="321" t="str">
        <v>1W</v>
      </c>
      <c r="BE24" s="348">
        <f t="shared" si="24"/>
        <v>-0.23766377599999999</v>
      </c>
      <c r="BF24" s="321" t="str">
        <v>1W</v>
      </c>
      <c r="BG24" s="426" t="b">
        <f t="shared" si="25"/>
        <v>0</v>
      </c>
      <c r="BH24" s="426" t="b">
        <f t="shared" ref="BH24:BH55" si="33">OR(BH23,BF24="12M-15M")</f>
        <v>0</v>
      </c>
      <c r="BI24" s="426" t="b">
        <f t="shared" si="26"/>
        <v>1</v>
      </c>
      <c r="BJ24" s="426" t="str">
        <v>1W</v>
      </c>
      <c r="BK24" s="30">
        <f t="shared" si="27"/>
        <v>-0.32427992100000003</v>
      </c>
      <c r="BL24" s="321" t="str">
        <v>1W</v>
      </c>
      <c r="BM24" s="30">
        <f t="shared" si="28"/>
        <v>-0.124218643</v>
      </c>
      <c r="BN24" s="216" t="str">
        <v>T/N</v>
      </c>
      <c r="BO24" s="349">
        <f t="shared" si="29"/>
        <v>-0.37</v>
      </c>
      <c r="BP24" s="137" t="str">
        <v>T/N</v>
      </c>
      <c r="BQ24" s="349">
        <f t="shared" si="30"/>
        <v>-0.37</v>
      </c>
      <c r="BR24" s="137" t="str">
        <v>T/N</v>
      </c>
      <c r="BS24" s="349" t="e">
        <f t="shared" si="31"/>
        <v>#N/A</v>
      </c>
      <c r="CS24" s="332"/>
      <c r="CT24" s="366" t="s">
        <v>1376</v>
      </c>
      <c r="CU24" s="307" t="s">
        <v>208</v>
      </c>
      <c r="CV24" s="307" t="s">
        <v>195</v>
      </c>
      <c r="CW24" s="366" t="s">
        <v>49</v>
      </c>
      <c r="CX24" s="307">
        <v>-0.372</v>
      </c>
      <c r="CY24" s="307">
        <v>-0.372</v>
      </c>
      <c r="CZ24" s="307">
        <v>-0.372</v>
      </c>
    </row>
    <row r="25" spans="1:109">
      <c r="A25" s="130" t="str">
        <v>S/N</v>
      </c>
      <c r="B25" s="206">
        <v>1</v>
      </c>
      <c r="C25" s="321" t="str">
        <v>2W</v>
      </c>
      <c r="D25" s="415" t="str">
        <f t="shared" si="0"/>
        <v>2W</v>
      </c>
      <c r="E25" s="360" t="e">
        <f>CHOOSE(NA(),
                       VLOOKUP(D25,[1]EUR6M!$E$2:$H$1000,4,FALSE),
                       VLOOKUP(D25,[1]EUR6M!$C$2:$H$1000,6,FALSE),
                       VLOOKUP(D25,[1]EUR6M!$B$2:$H$1000,7,FALSE),
                       VLOOKUP(D25,[1]EUR6M!$E$2:$H$1000,4,FALSE),
                       ""
                       )</f>
        <v>#N/A</v>
      </c>
      <c r="F25" s="361" t="e">
        <f t="shared" si="1"/>
        <v>#N/A</v>
      </c>
      <c r="G25" s="134">
        <v>-0.23534421</v>
      </c>
      <c r="H25" s="361">
        <f t="shared" si="2"/>
        <v>-0.23534421</v>
      </c>
      <c r="I25" s="362">
        <f t="shared" si="3"/>
        <v>-0.23534421</v>
      </c>
      <c r="K25" s="4">
        <v>2</v>
      </c>
      <c r="M25" s="216" t="str">
        <v>2W</v>
      </c>
      <c r="N25" s="324" t="str">
        <f t="shared" si="4"/>
        <v>2W</v>
      </c>
      <c r="O25" s="134">
        <f>CHOOSE($B25,
                       VLOOKUP(N25,[2]EUR3M!$E$2:$H$1000,4,FALSE),
                       VLOOKUP(N25,[2]EUR3M!$C$2:$H$1000,6,FALSE),
                       VLOOKUP(N25,[2]EUR3M!$B$2:$H$1000,7,FALSE),
                       VLOOKUP(N25,[2]EUR3M!$E$2:$H$1000,4,FALSE),
                       ""
                       )</f>
        <v>0.22869999999999999</v>
      </c>
      <c r="P25" s="173">
        <f t="shared" si="5"/>
        <v>0.22869999999999999</v>
      </c>
      <c r="Q25" s="134" t="s">
        <v>6</v>
      </c>
      <c r="R25" s="130" t="b">
        <f t="shared" si="6"/>
        <v>0</v>
      </c>
      <c r="S25" s="134">
        <v>-0.32195570200000001</v>
      </c>
      <c r="T25" s="173">
        <f t="shared" si="7"/>
        <v>-0.32195570200000001</v>
      </c>
      <c r="U25" s="219">
        <f t="shared" si="8"/>
        <v>-0.32195570200000001</v>
      </c>
      <c r="W25" s="216" t="str">
        <v>2W</v>
      </c>
      <c r="X25" s="324" t="str">
        <f t="shared" si="9"/>
        <v>2W</v>
      </c>
      <c r="Y25" s="134" t="e">
        <f xml:space="preserve"> CHOOSE(NA(),
                       VLOOKUP(X25,[3]EUR1Y!$E$2:$H$1000,4,FALSE),
                       VLOOKUP(X25,[3]EUR1Y!$C$2:$H$1000,6,FALSE),
                       VLOOKUP(X25,[3]EUR1Y!$B$2:$H$1000,7,FALSE),
                       VLOOKUP(X25,[3]EUR1Y!$E$2:$H$1000,4,FALSE),
                       ""
                       )</f>
        <v>#N/A</v>
      </c>
      <c r="Z25" s="173" t="e">
        <f t="shared" si="10"/>
        <v>#N/A</v>
      </c>
      <c r="AA25" s="134">
        <v>-0.124217143</v>
      </c>
      <c r="AB25" s="173">
        <f t="shared" si="11"/>
        <v>-0.124217143</v>
      </c>
      <c r="AC25" s="219">
        <f t="shared" si="12"/>
        <v>-0.124217143</v>
      </c>
      <c r="AE25" s="216" t="str">
        <v>S/N</v>
      </c>
      <c r="AF25" s="324" t="str">
        <f t="shared" si="13"/>
        <v>S/N</v>
      </c>
      <c r="AG25" s="134">
        <f>CHOOSE($B25,
                       VLOOKUP(AF25,[4]EURStd!$E$2:$H$1000,4,FALSE),
                       VLOOKUP(AF25,[4]EURStd!$C$2:$H$1000,6,FALSE),
                       VLOOKUP(AF25,[4]EURStd!$B$2:$H$1000,7,FALSE),
                       VLOOKUP(AF25,[4]EURStd!$E$2:$H$1000,4,FALSE),
                       ""
                       )</f>
        <v>0.1</v>
      </c>
      <c r="AH25" s="173">
        <f t="shared" si="14"/>
        <v>0.1</v>
      </c>
      <c r="AI25" s="134">
        <v>-0.37</v>
      </c>
      <c r="AJ25" s="173">
        <f t="shared" si="15"/>
        <v>-0.37</v>
      </c>
      <c r="AK25" s="219">
        <f t="shared" si="16"/>
        <v>-0.37</v>
      </c>
      <c r="AM25" s="137" t="str">
        <v>S/N</v>
      </c>
      <c r="AN25" s="324" t="str">
        <f t="shared" si="32"/>
        <v>S/N</v>
      </c>
      <c r="AO25" s="134">
        <f>VLOOKUP(AN25,'[5]EUR-OIS'!$E$2:$H$1000,4,FALSE)</f>
        <v>0.1</v>
      </c>
      <c r="AP25" s="173">
        <f t="shared" si="17"/>
        <v>0.1</v>
      </c>
      <c r="AQ25" s="134">
        <v>-0.36020857299999998</v>
      </c>
      <c r="AR25" s="173">
        <f t="shared" si="18"/>
        <v>-0.36020857299999998</v>
      </c>
      <c r="AS25" s="219">
        <f t="shared" si="19"/>
        <v>-0.36020857299999998</v>
      </c>
      <c r="AU25" s="137" t="str">
        <v>S/N</v>
      </c>
      <c r="AV25" s="144" t="str">
        <f t="shared" si="20"/>
        <v>S/N</v>
      </c>
      <c r="AW25" s="144">
        <f>VLOOKUP(AV25,[6]EURFIX1RM!$E$2:$H$1009,4,FALSE)</f>
        <v>0.13389999999999999</v>
      </c>
      <c r="AX25" s="173">
        <f t="shared" si="21"/>
        <v>0.13389999999999999</v>
      </c>
      <c r="AY25" s="134">
        <v>-0.36550742200000003</v>
      </c>
      <c r="AZ25" s="173">
        <f t="shared" si="22"/>
        <v>-0.36550742200000003</v>
      </c>
      <c r="BA25" s="219">
        <f t="shared" si="23"/>
        <v>-0.36550742200000003</v>
      </c>
      <c r="BD25" s="321" t="str">
        <v>2W</v>
      </c>
      <c r="BE25" s="348">
        <f t="shared" si="24"/>
        <v>-0.23534421</v>
      </c>
      <c r="BF25" s="321" t="str">
        <v>2W</v>
      </c>
      <c r="BG25" s="426" t="b">
        <f t="shared" si="25"/>
        <v>0</v>
      </c>
      <c r="BH25" s="426" t="b">
        <f t="shared" si="33"/>
        <v>0</v>
      </c>
      <c r="BI25" s="426" t="b">
        <f t="shared" si="26"/>
        <v>1</v>
      </c>
      <c r="BJ25" s="426" t="str">
        <v>2W</v>
      </c>
      <c r="BK25" s="30">
        <f t="shared" si="27"/>
        <v>-0.32195570200000001</v>
      </c>
      <c r="BL25" s="321" t="str">
        <v>2W</v>
      </c>
      <c r="BM25" s="30">
        <f t="shared" si="28"/>
        <v>-0.124217143</v>
      </c>
      <c r="BN25" s="216" t="str">
        <v>S/N</v>
      </c>
      <c r="BO25" s="349">
        <f t="shared" si="29"/>
        <v>-0.37</v>
      </c>
      <c r="BP25" s="137" t="str">
        <v>S/N</v>
      </c>
      <c r="BQ25" s="349">
        <f t="shared" si="30"/>
        <v>-0.36020857299999998</v>
      </c>
      <c r="BR25" s="137" t="str">
        <v>S/N</v>
      </c>
      <c r="BS25" s="349">
        <f t="shared" si="31"/>
        <v>-0.36550742200000003</v>
      </c>
      <c r="CS25" s="332"/>
      <c r="CT25" s="366" t="s">
        <v>1377</v>
      </c>
      <c r="CU25" s="307" t="s">
        <v>208</v>
      </c>
      <c r="CV25" s="307" t="s">
        <v>195</v>
      </c>
      <c r="CW25" s="366" t="s">
        <v>50</v>
      </c>
      <c r="CX25" s="307">
        <v>-0.371</v>
      </c>
      <c r="CY25" s="307">
        <v>-0.371</v>
      </c>
      <c r="CZ25" s="307">
        <v>-0.371</v>
      </c>
    </row>
    <row r="26" spans="1:109">
      <c r="A26" s="130" t="str">
        <v>1W</v>
      </c>
      <c r="B26" s="206">
        <v>1</v>
      </c>
      <c r="C26" s="321" t="str">
        <v>3W</v>
      </c>
      <c r="D26" s="415" t="str">
        <f t="shared" si="0"/>
        <v>3W</v>
      </c>
      <c r="E26" s="360" t="e">
        <f>CHOOSE(NA(),
                       VLOOKUP(D26,[1]EUR6M!$E$2:$H$1000,4,FALSE),
                       VLOOKUP(D26,[1]EUR6M!$C$2:$H$1000,6,FALSE),
                       VLOOKUP(D26,[1]EUR6M!$B$2:$H$1000,7,FALSE),
                       VLOOKUP(D26,[1]EUR6M!$E$2:$H$1000,4,FALSE),
                       ""
                       )</f>
        <v>#N/A</v>
      </c>
      <c r="F26" s="361" t="e">
        <f t="shared" si="1"/>
        <v>#N/A</v>
      </c>
      <c r="G26" s="134">
        <v>-0.23611014799999999</v>
      </c>
      <c r="H26" s="361">
        <f t="shared" si="2"/>
        <v>-0.23611014799999999</v>
      </c>
      <c r="I26" s="362">
        <f t="shared" si="3"/>
        <v>-0.23611014799999999</v>
      </c>
      <c r="K26" s="4">
        <v>3</v>
      </c>
      <c r="M26" s="216" t="str">
        <v>3W</v>
      </c>
      <c r="N26" s="324" t="str">
        <f t="shared" si="4"/>
        <v>3W</v>
      </c>
      <c r="O26" s="134">
        <f>CHOOSE($B26,
                       VLOOKUP(N26,[2]EUR3M!$E$2:$H$1000,4,FALSE),
                       VLOOKUP(N26,[2]EUR3M!$C$2:$H$1000,6,FALSE),
                       VLOOKUP(N26,[2]EUR3M!$B$2:$H$1000,7,FALSE),
                       VLOOKUP(N26,[2]EUR3M!$E$2:$H$1000,4,FALSE),
                       ""
                       )</f>
        <v>0.21970000000000001</v>
      </c>
      <c r="P26" s="173">
        <f t="shared" si="5"/>
        <v>0.21970000000000001</v>
      </c>
      <c r="Q26" s="134" t="s">
        <v>24</v>
      </c>
      <c r="R26" s="130" t="b">
        <f t="shared" si="6"/>
        <v>0</v>
      </c>
      <c r="S26" s="134">
        <v>-0.32271690800000002</v>
      </c>
      <c r="T26" s="173">
        <f t="shared" si="7"/>
        <v>-0.32271690800000002</v>
      </c>
      <c r="U26" s="219">
        <f t="shared" si="8"/>
        <v>-0.32271690800000002</v>
      </c>
      <c r="W26" s="216" t="str">
        <v>3W</v>
      </c>
      <c r="X26" s="324" t="str">
        <f t="shared" si="9"/>
        <v>3W</v>
      </c>
      <c r="Y26" s="134" t="e">
        <f xml:space="preserve"> CHOOSE(NA(),
                       VLOOKUP(X26,[3]EUR1Y!$E$2:$H$1000,4,FALSE),
                       VLOOKUP(X26,[3]EUR1Y!$C$2:$H$1000,6,FALSE),
                       VLOOKUP(X26,[3]EUR1Y!$B$2:$H$1000,7,FALSE),
                       VLOOKUP(X26,[3]EUR1Y!$E$2:$H$1000,4,FALSE),
                       ""
                       )</f>
        <v>#N/A</v>
      </c>
      <c r="Z26" s="173" t="e">
        <f t="shared" si="10"/>
        <v>#N/A</v>
      </c>
      <c r="AA26" s="134">
        <v>-0.124215643</v>
      </c>
      <c r="AB26" s="173">
        <f t="shared" si="11"/>
        <v>-0.124215643</v>
      </c>
      <c r="AC26" s="219">
        <f t="shared" si="12"/>
        <v>-0.124215643</v>
      </c>
      <c r="AE26" s="216" t="str">
        <v>1W</v>
      </c>
      <c r="AF26" s="324" t="str">
        <f t="shared" si="13"/>
        <v>1W</v>
      </c>
      <c r="AG26" s="134">
        <f>CHOOSE($B26,
                       VLOOKUP(AF26,[4]EURStd!$E$2:$H$1000,4,FALSE),
                       VLOOKUP(AF26,[4]EURStd!$C$2:$H$1000,6,FALSE),
                       VLOOKUP(AF26,[4]EURStd!$B$2:$H$1000,7,FALSE),
                       VLOOKUP(AF26,[4]EURStd!$E$2:$H$1000,4,FALSE),
                       ""
                       )</f>
        <v>0.1</v>
      </c>
      <c r="AH26" s="173">
        <f t="shared" si="14"/>
        <v>0.1</v>
      </c>
      <c r="AI26" s="134">
        <v>-0.37</v>
      </c>
      <c r="AJ26" s="173">
        <f t="shared" si="15"/>
        <v>-0.37</v>
      </c>
      <c r="AK26" s="219">
        <f t="shared" si="16"/>
        <v>-0.37</v>
      </c>
      <c r="AM26" s="137" t="str">
        <v>1W</v>
      </c>
      <c r="AN26" s="324" t="str">
        <f t="shared" si="32"/>
        <v>1W</v>
      </c>
      <c r="AO26" s="134">
        <f>VLOOKUP(AN26,'[5]EUR-OIS'!$E$2:$H$1000,4,FALSE)</f>
        <v>7.9000000000000001E-2</v>
      </c>
      <c r="AP26" s="173">
        <f t="shared" si="17"/>
        <v>7.9000000000000001E-2</v>
      </c>
      <c r="AQ26" s="134">
        <v>-0.34899999999999998</v>
      </c>
      <c r="AR26" s="173">
        <f t="shared" si="18"/>
        <v>-0.34899999999999998</v>
      </c>
      <c r="AS26" s="219">
        <f t="shared" si="19"/>
        <v>-0.34899999999999998</v>
      </c>
      <c r="AU26" s="137" t="str">
        <v>1W</v>
      </c>
      <c r="AV26" s="144" t="str">
        <f t="shared" si="20"/>
        <v>1W</v>
      </c>
      <c r="AW26" s="144">
        <f>VLOOKUP(AV26,[6]EURFIX1RM!$E$2:$H$1009,4,FALSE)</f>
        <v>0.11310000000000001</v>
      </c>
      <c r="AX26" s="173">
        <f t="shared" si="21"/>
        <v>0.11310000000000001</v>
      </c>
      <c r="AY26" s="134">
        <v>-0.36549999999999999</v>
      </c>
      <c r="AZ26" s="173">
        <f t="shared" si="22"/>
        <v>-0.36549999999999999</v>
      </c>
      <c r="BA26" s="219">
        <f t="shared" si="23"/>
        <v>-0.36549999999999999</v>
      </c>
      <c r="BD26" s="321" t="str">
        <v>3W</v>
      </c>
      <c r="BE26" s="348">
        <f t="shared" si="24"/>
        <v>-0.23611014799999999</v>
      </c>
      <c r="BF26" s="321" t="str">
        <v>3W</v>
      </c>
      <c r="BG26" s="426" t="b">
        <f t="shared" si="25"/>
        <v>0</v>
      </c>
      <c r="BH26" s="426" t="b">
        <f t="shared" si="33"/>
        <v>0</v>
      </c>
      <c r="BI26" s="426" t="b">
        <f t="shared" si="26"/>
        <v>1</v>
      </c>
      <c r="BJ26" s="426" t="str">
        <v>3W</v>
      </c>
      <c r="BK26" s="30">
        <f t="shared" si="27"/>
        <v>-0.32271690800000002</v>
      </c>
      <c r="BL26" s="321" t="str">
        <v>3W</v>
      </c>
      <c r="BM26" s="30">
        <f t="shared" si="28"/>
        <v>-0.124215643</v>
      </c>
      <c r="BN26" s="216" t="str">
        <v>1W</v>
      </c>
      <c r="BO26" s="349">
        <f t="shared" si="29"/>
        <v>-0.37</v>
      </c>
      <c r="BP26" s="137" t="str">
        <v>1W</v>
      </c>
      <c r="BQ26" s="349">
        <f t="shared" si="30"/>
        <v>-0.34899999999999998</v>
      </c>
      <c r="BR26" s="137" t="str">
        <v>1W</v>
      </c>
      <c r="BS26" s="349">
        <f t="shared" si="31"/>
        <v>-0.36549999999999999</v>
      </c>
      <c r="CS26" s="332"/>
      <c r="CT26" s="366" t="s">
        <v>1378</v>
      </c>
      <c r="CU26" s="307" t="s">
        <v>208</v>
      </c>
      <c r="CV26" s="307" t="s">
        <v>195</v>
      </c>
      <c r="CW26" s="366" t="s">
        <v>51</v>
      </c>
      <c r="CX26" s="307">
        <v>-0.37</v>
      </c>
      <c r="CY26" s="307">
        <v>-0.37</v>
      </c>
      <c r="CZ26" s="307">
        <v>-0.37</v>
      </c>
    </row>
    <row r="27" spans="1:109">
      <c r="A27" s="130" t="str">
        <v>2W</v>
      </c>
      <c r="B27" s="206">
        <v>1</v>
      </c>
      <c r="C27" s="321" t="str">
        <v>1M</v>
      </c>
      <c r="D27" s="415" t="str">
        <f t="shared" si="0"/>
        <v>1M</v>
      </c>
      <c r="E27" s="360" t="e">
        <f>CHOOSE(NA(),
                       VLOOKUP(D27,[1]EUR6M!$E$2:$H$1000,4,FALSE),
                       VLOOKUP(D27,[1]EUR6M!$C$2:$H$1000,6,FALSE),
                       VLOOKUP(D27,[1]EUR6M!$B$2:$H$1000,7,FALSE),
                       VLOOKUP(D27,[1]EUR6M!$E$2:$H$1000,4,FALSE),
                       ""
                       )</f>
        <v>#N/A</v>
      </c>
      <c r="F27" s="361" t="e">
        <f t="shared" si="1"/>
        <v>#N/A</v>
      </c>
      <c r="G27" s="134">
        <v>-0.2366</v>
      </c>
      <c r="H27" s="361">
        <f t="shared" si="2"/>
        <v>-0.2366</v>
      </c>
      <c r="I27" s="362">
        <f t="shared" si="3"/>
        <v>-0.2366</v>
      </c>
      <c r="K27" s="4">
        <v>4</v>
      </c>
      <c r="M27" s="216" t="str">
        <v>1M</v>
      </c>
      <c r="N27" s="324" t="str">
        <f t="shared" si="4"/>
        <v>1M</v>
      </c>
      <c r="O27" s="134">
        <f>CHOOSE($B27,
                       VLOOKUP(N27,[2]EUR3M!$E$2:$H$1000,4,FALSE),
                       VLOOKUP(N27,[2]EUR3M!$C$2:$H$1000,6,FALSE),
                       VLOOKUP(N27,[2]EUR3M!$B$2:$H$1000,7,FALSE),
                       VLOOKUP(N27,[2]EUR3M!$E$2:$H$1000,4,FALSE),
                       ""
                       )</f>
        <v>0.20469999999999999</v>
      </c>
      <c r="P27" s="173">
        <f t="shared" si="5"/>
        <v>0.20469999999999999</v>
      </c>
      <c r="Q27" s="134" t="s">
        <v>7</v>
      </c>
      <c r="R27" s="130" t="b">
        <f t="shared" si="6"/>
        <v>0</v>
      </c>
      <c r="S27" s="134">
        <v>-0.32319999999999999</v>
      </c>
      <c r="T27" s="173">
        <f t="shared" si="7"/>
        <v>-0.32319999999999999</v>
      </c>
      <c r="U27" s="219">
        <f t="shared" si="8"/>
        <v>-0.32319999999999999</v>
      </c>
      <c r="W27" s="216" t="str">
        <v>1M</v>
      </c>
      <c r="X27" s="324" t="str">
        <f t="shared" si="9"/>
        <v>1M</v>
      </c>
      <c r="Y27" s="134" t="e">
        <f xml:space="preserve"> CHOOSE(NA(),
                       VLOOKUP(X27,[3]EUR1Y!$E$2:$H$1000,4,FALSE),
                       VLOOKUP(X27,[3]EUR1Y!$C$2:$H$1000,6,FALSE),
                       VLOOKUP(X27,[3]EUR1Y!$B$2:$H$1000,7,FALSE),
                       VLOOKUP(X27,[3]EUR1Y!$E$2:$H$1000,4,FALSE),
                       ""
                       )</f>
        <v>#N/A</v>
      </c>
      <c r="Z27" s="173" t="e">
        <f t="shared" si="10"/>
        <v>#N/A</v>
      </c>
      <c r="AA27" s="134">
        <v>-0.1242135</v>
      </c>
      <c r="AB27" s="173">
        <f t="shared" si="11"/>
        <v>-0.1242135</v>
      </c>
      <c r="AC27" s="219">
        <f t="shared" si="12"/>
        <v>-0.1242135</v>
      </c>
      <c r="AE27" s="216" t="str">
        <v>2W</v>
      </c>
      <c r="AF27" s="324" t="str">
        <f t="shared" si="13"/>
        <v>2W</v>
      </c>
      <c r="AG27" s="134">
        <f>CHOOSE($B27,
                       VLOOKUP(AF27,[4]EURStd!$E$2:$H$1000,4,FALSE),
                       VLOOKUP(AF27,[4]EURStd!$C$2:$H$1000,6,FALSE),
                       VLOOKUP(AF27,[4]EURStd!$B$2:$H$1000,7,FALSE),
                       VLOOKUP(AF27,[4]EURStd!$E$2:$H$1000,4,FALSE),
                       ""
                       )</f>
        <v>0.11</v>
      </c>
      <c r="AH27" s="173">
        <f t="shared" si="14"/>
        <v>0.11</v>
      </c>
      <c r="AI27" s="134">
        <v>-0.37</v>
      </c>
      <c r="AJ27" s="173">
        <f t="shared" si="15"/>
        <v>-0.37</v>
      </c>
      <c r="AK27" s="219">
        <f t="shared" si="16"/>
        <v>-0.37</v>
      </c>
      <c r="AM27" s="137" t="str">
        <v>2W</v>
      </c>
      <c r="AN27" s="324" t="str">
        <f t="shared" si="32"/>
        <v>2W</v>
      </c>
      <c r="AO27" s="134">
        <f>VLOOKUP(AN27,'[5]EUR-OIS'!$E$2:$H$1000,4,FALSE)</f>
        <v>8.6999999999999994E-2</v>
      </c>
      <c r="AP27" s="173">
        <f t="shared" si="17"/>
        <v>8.6999999999999994E-2</v>
      </c>
      <c r="AQ27" s="134">
        <v>-0.34699999999999998</v>
      </c>
      <c r="AR27" s="173">
        <f t="shared" si="18"/>
        <v>-0.34699999999999998</v>
      </c>
      <c r="AS27" s="219">
        <f t="shared" si="19"/>
        <v>-0.34699999999999998</v>
      </c>
      <c r="AU27" s="137" t="str">
        <v>2W</v>
      </c>
      <c r="AV27" s="144" t="str">
        <f t="shared" si="20"/>
        <v>2W</v>
      </c>
      <c r="AW27" s="144">
        <f>VLOOKUP(AV27,[6]EURFIX1RM!$E$2:$H$1009,4,FALSE)</f>
        <v>0.12130000000000001</v>
      </c>
      <c r="AX27" s="173">
        <f t="shared" si="21"/>
        <v>0.12130000000000001</v>
      </c>
      <c r="AY27" s="134">
        <v>-0.3654</v>
      </c>
      <c r="AZ27" s="173">
        <f t="shared" si="22"/>
        <v>-0.3654</v>
      </c>
      <c r="BA27" s="219">
        <f t="shared" si="23"/>
        <v>-0.3654</v>
      </c>
      <c r="BD27" s="321" t="str">
        <v>1M</v>
      </c>
      <c r="BE27" s="348">
        <f t="shared" si="24"/>
        <v>-0.2366</v>
      </c>
      <c r="BF27" s="321" t="str">
        <v>1M</v>
      </c>
      <c r="BG27" s="426" t="b">
        <f t="shared" si="25"/>
        <v>0</v>
      </c>
      <c r="BH27" s="426" t="b">
        <f t="shared" si="33"/>
        <v>0</v>
      </c>
      <c r="BI27" s="426" t="b">
        <f t="shared" si="26"/>
        <v>1</v>
      </c>
      <c r="BJ27" s="426" t="str">
        <v>1M</v>
      </c>
      <c r="BK27" s="30">
        <f t="shared" si="27"/>
        <v>-0.32319999999999999</v>
      </c>
      <c r="BL27" s="321" t="str">
        <v>1M</v>
      </c>
      <c r="BM27" s="30">
        <f t="shared" si="28"/>
        <v>-0.1242135</v>
      </c>
      <c r="BN27" s="216" t="str">
        <v>2W</v>
      </c>
      <c r="BO27" s="349">
        <f t="shared" si="29"/>
        <v>-0.37</v>
      </c>
      <c r="BP27" s="137" t="str">
        <v>2W</v>
      </c>
      <c r="BQ27" s="349">
        <f t="shared" si="30"/>
        <v>-0.34699999999999998</v>
      </c>
      <c r="BR27" s="137" t="str">
        <v>2W</v>
      </c>
      <c r="BS27" s="349">
        <f t="shared" si="31"/>
        <v>-0.3654</v>
      </c>
      <c r="CS27" s="332"/>
      <c r="CT27" s="366" t="s">
        <v>1379</v>
      </c>
      <c r="CU27" s="307" t="s">
        <v>208</v>
      </c>
      <c r="CV27" s="307" t="s">
        <v>195</v>
      </c>
      <c r="CW27" s="366" t="s">
        <v>52</v>
      </c>
      <c r="CX27" s="307">
        <v>-0.36899999999999999</v>
      </c>
      <c r="CY27" s="307">
        <v>-0.36899999999999999</v>
      </c>
      <c r="CZ27" s="307">
        <v>-0.36899999999999999</v>
      </c>
    </row>
    <row r="28" spans="1:109">
      <c r="A28" s="130" t="str">
        <v>3W</v>
      </c>
      <c r="B28" s="206">
        <v>1</v>
      </c>
      <c r="C28" s="321" t="str">
        <v>2M</v>
      </c>
      <c r="D28" s="415" t="str">
        <f t="shared" si="0"/>
        <v>2M</v>
      </c>
      <c r="E28" s="360" t="e">
        <f>CHOOSE(NA(),
                       VLOOKUP(D28,[1]EUR6M!$E$2:$H$1000,4,FALSE),
                       VLOOKUP(D28,[1]EUR6M!$C$2:$H$1000,6,FALSE),
                       VLOOKUP(D28,[1]EUR6M!$B$2:$H$1000,7,FALSE),
                       VLOOKUP(D28,[1]EUR6M!$E$2:$H$1000,4,FALSE),
                       ""
                       )</f>
        <v>#N/A</v>
      </c>
      <c r="F28" s="361" t="e">
        <f t="shared" si="1"/>
        <v>#N/A</v>
      </c>
      <c r="G28" s="134">
        <v>-0.2296</v>
      </c>
      <c r="H28" s="361">
        <f t="shared" si="2"/>
        <v>-0.2296</v>
      </c>
      <c r="I28" s="362">
        <f t="shared" si="3"/>
        <v>-0.2296</v>
      </c>
      <c r="K28" s="4">
        <v>5</v>
      </c>
      <c r="M28" s="216" t="str">
        <v>2M</v>
      </c>
      <c r="N28" s="324" t="str">
        <f t="shared" si="4"/>
        <v>2M</v>
      </c>
      <c r="O28" s="134">
        <f>CHOOSE($B28,
                       VLOOKUP(N28,[2]EUR3M!$E$2:$H$1000,4,FALSE),
                       VLOOKUP(N28,[2]EUR3M!$C$2:$H$1000,6,FALSE),
                       VLOOKUP(N28,[2]EUR3M!$B$2:$H$1000,7,FALSE),
                       VLOOKUP(N28,[2]EUR3M!$E$2:$H$1000,4,FALSE),
                       ""
                       )</f>
        <v>0.2056</v>
      </c>
      <c r="P28" s="173">
        <f t="shared" si="5"/>
        <v>0.2056</v>
      </c>
      <c r="Q28" s="134" t="s">
        <v>8</v>
      </c>
      <c r="R28" s="130" t="b">
        <f t="shared" si="6"/>
        <v>0</v>
      </c>
      <c r="S28" s="134">
        <v>-0.3165</v>
      </c>
      <c r="T28" s="173">
        <f t="shared" si="7"/>
        <v>-0.3165</v>
      </c>
      <c r="U28" s="219">
        <f t="shared" si="8"/>
        <v>-0.3165</v>
      </c>
      <c r="W28" s="216" t="str">
        <v>2M</v>
      </c>
      <c r="X28" s="324" t="str">
        <f t="shared" si="9"/>
        <v>2M</v>
      </c>
      <c r="Y28" s="134" t="e">
        <f xml:space="preserve"> CHOOSE(NA(),
                       VLOOKUP(X28,[3]EUR1Y!$E$2:$H$1000,4,FALSE),
                       VLOOKUP(X28,[3]EUR1Y!$C$2:$H$1000,6,FALSE),
                       VLOOKUP(X28,[3]EUR1Y!$B$2:$H$1000,7,FALSE),
                       VLOOKUP(X28,[3]EUR1Y!$E$2:$H$1000,4,FALSE),
                       ""
                       )</f>
        <v>#N/A</v>
      </c>
      <c r="Z28" s="173" t="e">
        <f t="shared" si="10"/>
        <v>#N/A</v>
      </c>
      <c r="AA28" s="134">
        <v>-0.124207071</v>
      </c>
      <c r="AB28" s="173">
        <f t="shared" si="11"/>
        <v>-0.124207071</v>
      </c>
      <c r="AC28" s="219">
        <f t="shared" si="12"/>
        <v>-0.124207071</v>
      </c>
      <c r="AE28" s="216" t="str">
        <v>3W</v>
      </c>
      <c r="AF28" s="324" t="str">
        <f t="shared" si="13"/>
        <v>3W</v>
      </c>
      <c r="AG28" s="134">
        <f>CHOOSE($B28,
                       VLOOKUP(AF28,[4]EURStd!$E$2:$H$1000,4,FALSE),
                       VLOOKUP(AF28,[4]EURStd!$C$2:$H$1000,6,FALSE),
                       VLOOKUP(AF28,[4]EURStd!$B$2:$H$1000,7,FALSE),
                       VLOOKUP(AF28,[4]EURStd!$E$2:$H$1000,4,FALSE),
                       ""
                       )</f>
        <v>0.12</v>
      </c>
      <c r="AH28" s="173">
        <f t="shared" si="14"/>
        <v>0.12</v>
      </c>
      <c r="AI28" s="134">
        <v>-0.37</v>
      </c>
      <c r="AJ28" s="173">
        <f t="shared" si="15"/>
        <v>-0.37</v>
      </c>
      <c r="AK28" s="219">
        <f t="shared" si="16"/>
        <v>-0.37</v>
      </c>
      <c r="AM28" s="137" t="str">
        <v>3W</v>
      </c>
      <c r="AN28" s="324" t="str">
        <f t="shared" si="32"/>
        <v>3W</v>
      </c>
      <c r="AO28" s="134">
        <f>VLOOKUP(AN28,'[5]EUR-OIS'!$E$2:$H$1000,4,FALSE)</f>
        <v>8.8999999999999996E-2</v>
      </c>
      <c r="AP28" s="173">
        <f t="shared" si="17"/>
        <v>8.8999999999999996E-2</v>
      </c>
      <c r="AQ28" s="134">
        <v>-0.34799999999999998</v>
      </c>
      <c r="AR28" s="173">
        <f t="shared" si="18"/>
        <v>-0.34799999999999998</v>
      </c>
      <c r="AS28" s="219">
        <f t="shared" si="19"/>
        <v>-0.34799999999999998</v>
      </c>
      <c r="AU28" s="137" t="str">
        <v>3W</v>
      </c>
      <c r="AV28" s="144" t="str">
        <f t="shared" si="20"/>
        <v>3W</v>
      </c>
      <c r="AW28" s="144">
        <f>VLOOKUP(AV28,[6]EURFIX1RM!$E$2:$H$1009,4,FALSE)</f>
        <v>0.1236</v>
      </c>
      <c r="AX28" s="173">
        <f t="shared" si="21"/>
        <v>0.1236</v>
      </c>
      <c r="AY28" s="134">
        <v>-0.36809999999999998</v>
      </c>
      <c r="AZ28" s="173">
        <f t="shared" si="22"/>
        <v>-0.36809999999999998</v>
      </c>
      <c r="BA28" s="219">
        <f t="shared" si="23"/>
        <v>-0.36809999999999998</v>
      </c>
      <c r="BD28" s="321" t="str">
        <v>2M</v>
      </c>
      <c r="BE28" s="348">
        <f t="shared" si="24"/>
        <v>-0.2296</v>
      </c>
      <c r="BF28" s="321" t="str">
        <v>2M</v>
      </c>
      <c r="BG28" s="426" t="b">
        <f t="shared" si="25"/>
        <v>0</v>
      </c>
      <c r="BH28" s="426" t="b">
        <f t="shared" si="33"/>
        <v>0</v>
      </c>
      <c r="BI28" s="426" t="b">
        <f t="shared" si="26"/>
        <v>1</v>
      </c>
      <c r="BJ28" s="426" t="str">
        <v>2M</v>
      </c>
      <c r="BK28" s="30">
        <f t="shared" si="27"/>
        <v>-0.3165</v>
      </c>
      <c r="BL28" s="321" t="str">
        <v>2M</v>
      </c>
      <c r="BM28" s="30">
        <f t="shared" si="28"/>
        <v>-0.124207071</v>
      </c>
      <c r="BN28" s="216" t="str">
        <v>3W</v>
      </c>
      <c r="BO28" s="349">
        <f t="shared" si="29"/>
        <v>-0.37</v>
      </c>
      <c r="BP28" s="137" t="str">
        <v>3W</v>
      </c>
      <c r="BQ28" s="349">
        <f t="shared" si="30"/>
        <v>-0.34799999999999998</v>
      </c>
      <c r="BR28" s="137" t="str">
        <v>3W</v>
      </c>
      <c r="BS28" s="349">
        <f t="shared" si="31"/>
        <v>-0.36809999999999998</v>
      </c>
      <c r="CS28" s="332"/>
      <c r="CT28" s="366" t="s">
        <v>4055</v>
      </c>
      <c r="CU28" s="307" t="s">
        <v>208</v>
      </c>
      <c r="CV28" s="307" t="s">
        <v>195</v>
      </c>
      <c r="CW28" s="366" t="s">
        <v>53</v>
      </c>
      <c r="CX28" s="307">
        <v>-0.37106719100000002</v>
      </c>
      <c r="CY28" s="307">
        <v>-0.37106719100000002</v>
      </c>
      <c r="CZ28" s="307">
        <v>-0.37106719100000002</v>
      </c>
    </row>
    <row r="29" spans="1:109">
      <c r="A29" s="130" t="str">
        <v>1M</v>
      </c>
      <c r="B29" s="206">
        <v>1</v>
      </c>
      <c r="C29" s="321" t="str">
        <v>3M</v>
      </c>
      <c r="D29" s="415" t="str">
        <f t="shared" si="0"/>
        <v>3M</v>
      </c>
      <c r="E29" s="360" t="e">
        <f>CHOOSE(NA(),
                       VLOOKUP(D29,[1]EUR6M!$E$2:$H$1000,4,FALSE),
                       VLOOKUP(D29,[1]EUR6M!$C$2:$H$1000,6,FALSE),
                       VLOOKUP(D29,[1]EUR6M!$B$2:$H$1000,7,FALSE),
                       VLOOKUP(D29,[1]EUR6M!$E$2:$H$1000,4,FALSE),
                       ""
                       )</f>
        <v>#N/A</v>
      </c>
      <c r="F29" s="361" t="e">
        <f t="shared" si="1"/>
        <v>#N/A</v>
      </c>
      <c r="G29" s="134">
        <v>-0.2258</v>
      </c>
      <c r="H29" s="361">
        <f t="shared" si="2"/>
        <v>-0.2258</v>
      </c>
      <c r="I29" s="362">
        <f t="shared" si="3"/>
        <v>-0.2258</v>
      </c>
      <c r="K29" s="4">
        <v>6</v>
      </c>
      <c r="M29" s="216" t="str">
        <v>3M</v>
      </c>
      <c r="N29" s="324" t="str">
        <f t="shared" si="4"/>
        <v>3M</v>
      </c>
      <c r="O29" s="134">
        <f>CHOOSE($B29,
                       VLOOKUP(N29,[2]EUR3M!$E$2:$H$1000,4,FALSE),
                       VLOOKUP(N29,[2]EUR3M!$C$2:$H$1000,6,FALSE),
                       VLOOKUP(N29,[2]EUR3M!$B$2:$H$1000,7,FALSE),
                       VLOOKUP(N29,[2]EUR3M!$E$2:$H$1000,4,FALSE),
                       ""
                       )</f>
        <v>0.2243</v>
      </c>
      <c r="P29" s="173">
        <f t="shared" si="5"/>
        <v>0.2243</v>
      </c>
      <c r="Q29" s="134" t="s">
        <v>25</v>
      </c>
      <c r="R29" s="130" t="b">
        <f t="shared" si="6"/>
        <v>0</v>
      </c>
      <c r="S29" s="134">
        <v>-0.31309999999999999</v>
      </c>
      <c r="T29" s="173">
        <f t="shared" si="7"/>
        <v>-0.31309999999999999</v>
      </c>
      <c r="U29" s="219">
        <f t="shared" si="8"/>
        <v>-0.31309999999999999</v>
      </c>
      <c r="W29" s="216" t="str">
        <v>3M</v>
      </c>
      <c r="X29" s="324" t="str">
        <f t="shared" si="9"/>
        <v>3M</v>
      </c>
      <c r="Y29" s="134" t="e">
        <f xml:space="preserve"> CHOOSE(NA(),
                       VLOOKUP(X29,[3]EUR1Y!$E$2:$H$1000,4,FALSE),
                       VLOOKUP(X29,[3]EUR1Y!$C$2:$H$1000,6,FALSE),
                       VLOOKUP(X29,[3]EUR1Y!$B$2:$H$1000,7,FALSE),
                       VLOOKUP(X29,[3]EUR1Y!$E$2:$H$1000,4,FALSE),
                       ""
                       )</f>
        <v>#N/A</v>
      </c>
      <c r="Z29" s="173" t="e">
        <f t="shared" si="10"/>
        <v>#N/A</v>
      </c>
      <c r="AA29" s="134">
        <v>-0.1242</v>
      </c>
      <c r="AB29" s="173">
        <f t="shared" si="11"/>
        <v>-0.1242</v>
      </c>
      <c r="AC29" s="219">
        <f t="shared" si="12"/>
        <v>-0.1242</v>
      </c>
      <c r="AE29" s="216" t="str">
        <v>1M</v>
      </c>
      <c r="AF29" s="324" t="str">
        <f t="shared" si="13"/>
        <v>1M</v>
      </c>
      <c r="AG29" s="134">
        <f>CHOOSE($B29,
                       VLOOKUP(AF29,[4]EURStd!$E$2:$H$1000,4,FALSE),
                       VLOOKUP(AF29,[4]EURStd!$C$2:$H$1000,6,FALSE),
                       VLOOKUP(AF29,[4]EURStd!$B$2:$H$1000,7,FALSE),
                       VLOOKUP(AF29,[4]EURStd!$E$2:$H$1000,4,FALSE),
                       ""
                       )</f>
        <v>0.13</v>
      </c>
      <c r="AH29" s="173">
        <f t="shared" si="14"/>
        <v>0.13</v>
      </c>
      <c r="AI29" s="134">
        <v>-0.37</v>
      </c>
      <c r="AJ29" s="173">
        <f t="shared" si="15"/>
        <v>-0.37</v>
      </c>
      <c r="AK29" s="219">
        <f t="shared" si="16"/>
        <v>-0.37</v>
      </c>
      <c r="AM29" s="137" t="str">
        <v>1M</v>
      </c>
      <c r="AN29" s="324" t="str">
        <f t="shared" si="32"/>
        <v>1M</v>
      </c>
      <c r="AO29" s="134">
        <f>VLOOKUP(AN29,'[5]EUR-OIS'!$E$2:$H$1000,4,FALSE)</f>
        <v>9.2999999999999999E-2</v>
      </c>
      <c r="AP29" s="173">
        <f t="shared" si="17"/>
        <v>9.2999999999999999E-2</v>
      </c>
      <c r="AQ29" s="134">
        <v>-0.34899999999999998</v>
      </c>
      <c r="AR29" s="173">
        <f t="shared" si="18"/>
        <v>-0.34899999999999998</v>
      </c>
      <c r="AS29" s="219">
        <f t="shared" si="19"/>
        <v>-0.34899999999999998</v>
      </c>
      <c r="AU29" s="137" t="str">
        <v>1M</v>
      </c>
      <c r="AV29" s="144" t="str">
        <f t="shared" si="20"/>
        <v>1M</v>
      </c>
      <c r="AW29" s="144">
        <f>VLOOKUP(AV29,[6]EURFIX1RM!$E$2:$H$1009,4,FALSE)</f>
        <v>0.128</v>
      </c>
      <c r="AX29" s="173">
        <f t="shared" si="21"/>
        <v>0.128</v>
      </c>
      <c r="AY29" s="134">
        <v>-0.371</v>
      </c>
      <c r="AZ29" s="173">
        <f t="shared" si="22"/>
        <v>-0.371</v>
      </c>
      <c r="BA29" s="219">
        <f t="shared" si="23"/>
        <v>-0.371</v>
      </c>
      <c r="BD29" s="321" t="str">
        <v>3M</v>
      </c>
      <c r="BE29" s="348">
        <f t="shared" si="24"/>
        <v>-0.2258</v>
      </c>
      <c r="BF29" s="321" t="str">
        <v>3M</v>
      </c>
      <c r="BG29" s="426" t="b">
        <f t="shared" si="25"/>
        <v>0</v>
      </c>
      <c r="BH29" s="426" t="b">
        <f t="shared" si="33"/>
        <v>0</v>
      </c>
      <c r="BI29" s="426" t="b">
        <f t="shared" si="26"/>
        <v>1</v>
      </c>
      <c r="BJ29" s="426" t="str">
        <v>3M</v>
      </c>
      <c r="BK29" s="30">
        <f t="shared" si="27"/>
        <v>-0.31309999999999999</v>
      </c>
      <c r="BL29" s="321" t="str">
        <v>3M</v>
      </c>
      <c r="BM29" s="30">
        <f t="shared" si="28"/>
        <v>-0.1242</v>
      </c>
      <c r="BN29" s="216" t="str">
        <v>1M</v>
      </c>
      <c r="BO29" s="349">
        <f t="shared" si="29"/>
        <v>-0.37</v>
      </c>
      <c r="BP29" s="137" t="str">
        <v>1M</v>
      </c>
      <c r="BQ29" s="349">
        <f t="shared" si="30"/>
        <v>-0.34899999999999998</v>
      </c>
      <c r="BR29" s="137" t="str">
        <v>1M</v>
      </c>
      <c r="BS29" s="349">
        <f t="shared" si="31"/>
        <v>-0.371</v>
      </c>
      <c r="CS29" s="332"/>
      <c r="CT29" s="366" t="s">
        <v>4056</v>
      </c>
      <c r="CU29" s="307" t="s">
        <v>208</v>
      </c>
      <c r="CV29" s="307" t="s">
        <v>195</v>
      </c>
      <c r="CW29" s="366" t="s">
        <v>54</v>
      </c>
      <c r="CX29" s="307">
        <v>-0.363992329</v>
      </c>
      <c r="CY29" s="307">
        <v>-0.363992329</v>
      </c>
      <c r="CZ29" s="307">
        <v>-0.363992329</v>
      </c>
    </row>
    <row r="30" spans="1:109">
      <c r="A30" s="130" t="str">
        <v>2M</v>
      </c>
      <c r="B30" s="206">
        <v>1</v>
      </c>
      <c r="C30" s="321" t="str">
        <v>4M</v>
      </c>
      <c r="D30" s="415" t="str">
        <f t="shared" si="0"/>
        <v>4M</v>
      </c>
      <c r="E30" s="360" t="e">
        <f>CHOOSE(NA(),
                       VLOOKUP(D30,[1]EUR6M!$E$2:$H$1000,4,FALSE),
                       VLOOKUP(D30,[1]EUR6M!$C$2:$H$1000,6,FALSE),
                       VLOOKUP(D30,[1]EUR6M!$B$2:$H$1000,7,FALSE),
                       VLOOKUP(D30,[1]EUR6M!$E$2:$H$1000,4,FALSE),
                       ""
                       )</f>
        <v>#N/A</v>
      </c>
      <c r="F30" s="361" t="e">
        <f t="shared" si="1"/>
        <v>#N/A</v>
      </c>
      <c r="G30" s="134">
        <v>-0.22159999999999999</v>
      </c>
      <c r="H30" s="361">
        <f t="shared" si="2"/>
        <v>-0.22159999999999999</v>
      </c>
      <c r="I30" s="362">
        <f t="shared" si="3"/>
        <v>-0.22159999999999999</v>
      </c>
      <c r="K30" s="4">
        <v>7</v>
      </c>
      <c r="M30" s="216" t="str">
        <v>1M-4M</v>
      </c>
      <c r="N30" s="324" t="str">
        <f t="shared" si="4"/>
        <v>1M-4M</v>
      </c>
      <c r="O30" s="134" t="e">
        <f>CHOOSE($B30,
                       VLOOKUP(N30,[2]EUR3M!$E$2:$H$1000,4,FALSE),
                       VLOOKUP(N30,[2]EUR3M!$C$2:$H$1000,6,FALSE),
                       VLOOKUP(N30,[2]EUR3M!$B$2:$H$1000,7,FALSE),
                       VLOOKUP(N30,[2]EUR3M!$E$2:$H$1000,4,FALSE),
                       ""
                       )</f>
        <v>#N/A</v>
      </c>
      <c r="P30" s="173" t="e">
        <f t="shared" si="5"/>
        <v>#N/A</v>
      </c>
      <c r="Q30" s="134" t="s">
        <v>1350</v>
      </c>
      <c r="R30" s="130" t="b">
        <f t="shared" si="6"/>
        <v>0</v>
      </c>
      <c r="S30" s="134">
        <v>-0.30499999999999999</v>
      </c>
      <c r="T30" s="173">
        <f t="shared" si="7"/>
        <v>-0.30499999999999999</v>
      </c>
      <c r="U30" s="219">
        <f t="shared" si="8"/>
        <v>-0.30499999999999999</v>
      </c>
      <c r="W30" s="216" t="str">
        <v>4M</v>
      </c>
      <c r="X30" s="324" t="str">
        <f t="shared" si="9"/>
        <v>4M</v>
      </c>
      <c r="Y30" s="134" t="e">
        <f xml:space="preserve"> CHOOSE(NA(),
                       VLOOKUP(X30,[3]EUR1Y!$E$2:$H$1000,4,FALSE),
                       VLOOKUP(X30,[3]EUR1Y!$C$2:$H$1000,6,FALSE),
                       VLOOKUP(X30,[3]EUR1Y!$B$2:$H$1000,7,FALSE),
                       VLOOKUP(X30,[3]EUR1Y!$E$2:$H$1000,4,FALSE),
                       ""
                       )</f>
        <v>#N/A</v>
      </c>
      <c r="Z30" s="173" t="e">
        <f t="shared" si="10"/>
        <v>#N/A</v>
      </c>
      <c r="AA30" s="134">
        <v>-0.121989786</v>
      </c>
      <c r="AB30" s="173">
        <f t="shared" si="11"/>
        <v>-0.121989786</v>
      </c>
      <c r="AC30" s="219">
        <f t="shared" si="12"/>
        <v>-0.121989786</v>
      </c>
      <c r="AE30" s="216" t="str">
        <v>2M</v>
      </c>
      <c r="AF30" s="324" t="str">
        <f t="shared" si="13"/>
        <v>2M</v>
      </c>
      <c r="AG30" s="134">
        <f>CHOOSE($B30,
                       VLOOKUP(AF30,[4]EURStd!$E$2:$H$1000,4,FALSE),
                       VLOOKUP(AF30,[4]EURStd!$C$2:$H$1000,6,FALSE),
                       VLOOKUP(AF30,[4]EURStd!$B$2:$H$1000,7,FALSE),
                       VLOOKUP(AF30,[4]EURStd!$E$2:$H$1000,4,FALSE),
                       ""
                       )</f>
        <v>0.17</v>
      </c>
      <c r="AH30" s="173">
        <f t="shared" si="14"/>
        <v>0.17</v>
      </c>
      <c r="AI30" s="134">
        <v>-0.33</v>
      </c>
      <c r="AJ30" s="173">
        <f t="shared" si="15"/>
        <v>-0.33</v>
      </c>
      <c r="AK30" s="219">
        <f t="shared" si="16"/>
        <v>-0.33</v>
      </c>
      <c r="AM30" s="137" t="str">
        <v>2M</v>
      </c>
      <c r="AN30" s="324" t="str">
        <f t="shared" si="32"/>
        <v>2M</v>
      </c>
      <c r="AO30" s="134">
        <f>VLOOKUP(AN30,'[5]EUR-OIS'!$E$2:$H$1000,4,FALSE)</f>
        <v>9.7000000000000003E-2</v>
      </c>
      <c r="AP30" s="173">
        <f t="shared" si="17"/>
        <v>9.7000000000000003E-2</v>
      </c>
      <c r="AQ30" s="134">
        <v>-0.34699999999999998</v>
      </c>
      <c r="AR30" s="173">
        <f t="shared" si="18"/>
        <v>-0.34699999999999998</v>
      </c>
      <c r="AS30" s="219">
        <f t="shared" si="19"/>
        <v>-0.34699999999999998</v>
      </c>
      <c r="AU30" s="137" t="str">
        <v>2M</v>
      </c>
      <c r="AV30" s="144" t="str">
        <f t="shared" si="20"/>
        <v>2M</v>
      </c>
      <c r="AW30" s="144">
        <f>VLOOKUP(AV30,[6]EURFIX1RM!$E$2:$H$1009,4,FALSE)</f>
        <v>0.13300200200000001</v>
      </c>
      <c r="AX30" s="173">
        <f t="shared" si="21"/>
        <v>0.13300200200000001</v>
      </c>
      <c r="AY30" s="134">
        <v>-0.372</v>
      </c>
      <c r="AZ30" s="173">
        <f t="shared" si="22"/>
        <v>-0.372</v>
      </c>
      <c r="BA30" s="219">
        <f t="shared" si="23"/>
        <v>-0.372</v>
      </c>
      <c r="BD30" s="321" t="str">
        <v>4M</v>
      </c>
      <c r="BE30" s="348">
        <f t="shared" si="24"/>
        <v>-0.22159999999999999</v>
      </c>
      <c r="BF30" s="321" t="str">
        <v>1M-4M</v>
      </c>
      <c r="BG30" s="426" t="b">
        <f t="shared" si="25"/>
        <v>0</v>
      </c>
      <c r="BH30" s="426" t="b">
        <f t="shared" si="33"/>
        <v>0</v>
      </c>
      <c r="BI30" s="426" t="b">
        <f t="shared" si="26"/>
        <v>1</v>
      </c>
      <c r="BJ30" s="426" t="str">
        <v>1M-4M</v>
      </c>
      <c r="BK30" s="30">
        <f t="shared" si="27"/>
        <v>-0.30499999999999999</v>
      </c>
      <c r="BL30" s="321" t="str">
        <v>4M</v>
      </c>
      <c r="BM30" s="30">
        <f t="shared" si="28"/>
        <v>-0.121989786</v>
      </c>
      <c r="BN30" s="216" t="str">
        <v>2M</v>
      </c>
      <c r="BO30" s="349">
        <f t="shared" si="29"/>
        <v>-0.33</v>
      </c>
      <c r="BP30" s="137" t="str">
        <v>2M</v>
      </c>
      <c r="BQ30" s="349">
        <f t="shared" si="30"/>
        <v>-0.34699999999999998</v>
      </c>
      <c r="BR30" s="137" t="str">
        <v>2M</v>
      </c>
      <c r="BS30" s="349">
        <f t="shared" si="31"/>
        <v>-0.372</v>
      </c>
      <c r="CS30" s="332"/>
      <c r="CT30" s="366" t="s">
        <v>4057</v>
      </c>
      <c r="CU30" s="307" t="s">
        <v>208</v>
      </c>
      <c r="CV30" s="307" t="s">
        <v>195</v>
      </c>
      <c r="CW30" s="366" t="s">
        <v>55</v>
      </c>
      <c r="CX30" s="307">
        <v>-0.35653697200000001</v>
      </c>
      <c r="CY30" s="307">
        <v>-0.35653697200000001</v>
      </c>
      <c r="CZ30" s="307">
        <v>-0.35653697200000001</v>
      </c>
    </row>
    <row r="31" spans="1:109">
      <c r="A31" s="130" t="str">
        <v>3M</v>
      </c>
      <c r="B31" s="206">
        <v>1</v>
      </c>
      <c r="C31" s="321" t="str">
        <v>5M</v>
      </c>
      <c r="D31" s="415" t="str">
        <f t="shared" si="0"/>
        <v>5M</v>
      </c>
      <c r="E31" s="360" t="e">
        <f>CHOOSE(NA(),
                       VLOOKUP(D31,[1]EUR6M!$E$2:$H$1000,4,FALSE),
                       VLOOKUP(D31,[1]EUR6M!$C$2:$H$1000,6,FALSE),
                       VLOOKUP(D31,[1]EUR6M!$B$2:$H$1000,7,FALSE),
                       VLOOKUP(D31,[1]EUR6M!$E$2:$H$1000,4,FALSE),
                       ""
                       )</f>
        <v>#N/A</v>
      </c>
      <c r="F31" s="361" t="e">
        <f t="shared" si="1"/>
        <v>#N/A</v>
      </c>
      <c r="G31" s="134">
        <v>-0.218</v>
      </c>
      <c r="H31" s="361">
        <f t="shared" si="2"/>
        <v>-0.218</v>
      </c>
      <c r="I31" s="362">
        <f t="shared" si="3"/>
        <v>-0.218</v>
      </c>
      <c r="K31" s="4">
        <v>8</v>
      </c>
      <c r="M31" s="216" t="str">
        <v>2M-5M</v>
      </c>
      <c r="N31" s="324" t="str">
        <f t="shared" si="4"/>
        <v>2M-5M</v>
      </c>
      <c r="O31" s="134" t="e">
        <f>CHOOSE($B31,
                       VLOOKUP(N31,[2]EUR3M!$E$2:$H$1000,4,FALSE),
                       VLOOKUP(N31,[2]EUR3M!$C$2:$H$1000,6,FALSE),
                       VLOOKUP(N31,[2]EUR3M!$B$2:$H$1000,7,FALSE),
                       VLOOKUP(N31,[2]EUR3M!$E$2:$H$1000,4,FALSE),
                       ""
                       )</f>
        <v>#N/A</v>
      </c>
      <c r="P31" s="173" t="e">
        <f t="shared" si="5"/>
        <v>#N/A</v>
      </c>
      <c r="Q31" s="424" t="s">
        <v>1351</v>
      </c>
      <c r="R31" s="130" t="b">
        <f t="shared" si="6"/>
        <v>0</v>
      </c>
      <c r="S31" s="134">
        <v>-0.3</v>
      </c>
      <c r="T31" s="173">
        <f t="shared" si="7"/>
        <v>-0.3</v>
      </c>
      <c r="U31" s="219">
        <f t="shared" si="8"/>
        <v>-0.3</v>
      </c>
      <c r="W31" s="216" t="str">
        <v>5M</v>
      </c>
      <c r="X31" s="324" t="str">
        <f t="shared" si="9"/>
        <v>5M</v>
      </c>
      <c r="Y31" s="134" t="e">
        <f xml:space="preserve"> CHOOSE(NA(),
                       VLOOKUP(X31,[3]EUR1Y!$E$2:$H$1000,4,FALSE),
                       VLOOKUP(X31,[3]EUR1Y!$C$2:$H$1000,6,FALSE),
                       VLOOKUP(X31,[3]EUR1Y!$B$2:$H$1000,7,FALSE),
                       VLOOKUP(X31,[3]EUR1Y!$E$2:$H$1000,4,FALSE),
                       ""
                       )</f>
        <v>#N/A</v>
      </c>
      <c r="Z31" s="173" t="e">
        <f t="shared" si="10"/>
        <v>#N/A</v>
      </c>
      <c r="AA31" s="134">
        <v>-0.116698863</v>
      </c>
      <c r="AB31" s="173">
        <f t="shared" si="11"/>
        <v>-0.116698863</v>
      </c>
      <c r="AC31" s="219">
        <f t="shared" si="12"/>
        <v>-0.116698863</v>
      </c>
      <c r="AE31" s="216" t="str">
        <v>3M</v>
      </c>
      <c r="AF31" s="324" t="str">
        <f t="shared" si="13"/>
        <v>3M</v>
      </c>
      <c r="AG31" s="134">
        <f>CHOOSE($B31,
                       VLOOKUP(AF31,[4]EURStd!$E$2:$H$1000,4,FALSE),
                       VLOOKUP(AF31,[4]EURStd!$C$2:$H$1000,6,FALSE),
                       VLOOKUP(AF31,[4]EURStd!$B$2:$H$1000,7,FALSE),
                       VLOOKUP(AF31,[4]EURStd!$E$2:$H$1000,4,FALSE),
                       ""
                       )</f>
        <v>0.23</v>
      </c>
      <c r="AH31" s="173">
        <f t="shared" si="14"/>
        <v>0.23</v>
      </c>
      <c r="AI31" s="134">
        <v>-0.3</v>
      </c>
      <c r="AJ31" s="173">
        <f t="shared" si="15"/>
        <v>-0.3</v>
      </c>
      <c r="AK31" s="219">
        <f t="shared" si="16"/>
        <v>-0.3</v>
      </c>
      <c r="AM31" s="137" t="str">
        <v>3M</v>
      </c>
      <c r="AN31" s="324" t="str">
        <f t="shared" si="32"/>
        <v>3M</v>
      </c>
      <c r="AO31" s="134">
        <f>VLOOKUP(AN31,'[5]EUR-OIS'!$E$2:$H$1000,4,FALSE)</f>
        <v>0.106</v>
      </c>
      <c r="AP31" s="173">
        <f t="shared" si="17"/>
        <v>0.106</v>
      </c>
      <c r="AQ31" s="134">
        <v>-0.348606745</v>
      </c>
      <c r="AR31" s="173">
        <f t="shared" si="18"/>
        <v>-0.348606745</v>
      </c>
      <c r="AS31" s="219">
        <f t="shared" si="19"/>
        <v>-0.348606745</v>
      </c>
      <c r="AU31" s="137" t="str">
        <v>3M</v>
      </c>
      <c r="AV31" s="144" t="str">
        <f t="shared" si="20"/>
        <v>3M</v>
      </c>
      <c r="AW31" s="144">
        <f>VLOOKUP(AV31,[6]EURFIX1RM!$E$2:$H$1009,4,FALSE)</f>
        <v>0.14200406099999999</v>
      </c>
      <c r="AX31" s="173">
        <f t="shared" si="21"/>
        <v>0.14200406099999999</v>
      </c>
      <c r="AY31" s="134">
        <v>-0.372</v>
      </c>
      <c r="AZ31" s="173">
        <f t="shared" si="22"/>
        <v>-0.372</v>
      </c>
      <c r="BA31" s="219">
        <f t="shared" si="23"/>
        <v>-0.372</v>
      </c>
      <c r="BD31" s="321" t="str">
        <v>5M</v>
      </c>
      <c r="BE31" s="348">
        <f t="shared" si="24"/>
        <v>-0.218</v>
      </c>
      <c r="BF31" s="321" t="str">
        <v>2M-5M</v>
      </c>
      <c r="BG31" s="426" t="b">
        <f t="shared" si="25"/>
        <v>0</v>
      </c>
      <c r="BH31" s="426" t="b">
        <f t="shared" si="33"/>
        <v>0</v>
      </c>
      <c r="BI31" s="426" t="b">
        <f t="shared" si="26"/>
        <v>1</v>
      </c>
      <c r="BJ31" s="426" t="str">
        <v>2M-5M</v>
      </c>
      <c r="BK31" s="30">
        <f t="shared" si="27"/>
        <v>-0.3</v>
      </c>
      <c r="BL31" s="321" t="str">
        <v>5M</v>
      </c>
      <c r="BM31" s="30">
        <f t="shared" si="28"/>
        <v>-0.116698863</v>
      </c>
      <c r="BN31" s="216" t="str">
        <v>3M</v>
      </c>
      <c r="BO31" s="349">
        <f t="shared" si="29"/>
        <v>-0.3</v>
      </c>
      <c r="BP31" s="137" t="str">
        <v>3M</v>
      </c>
      <c r="BQ31" s="349">
        <f t="shared" si="30"/>
        <v>-0.348606745</v>
      </c>
      <c r="BR31" s="137" t="str">
        <v>3M</v>
      </c>
      <c r="BS31" s="349">
        <f t="shared" si="31"/>
        <v>-0.372</v>
      </c>
      <c r="CS31" s="332"/>
      <c r="CT31" s="366" t="s">
        <v>1380</v>
      </c>
      <c r="CU31" s="307" t="s">
        <v>208</v>
      </c>
      <c r="CV31" s="307" t="s">
        <v>195</v>
      </c>
      <c r="CW31" s="366" t="s">
        <v>9</v>
      </c>
      <c r="CX31" s="307">
        <v>-0.34699999999999998</v>
      </c>
      <c r="CY31" s="307">
        <v>-0.34699999999999998</v>
      </c>
      <c r="CZ31" s="307">
        <v>-0.34699999999999998</v>
      </c>
    </row>
    <row r="32" spans="1:109">
      <c r="A32" s="130" t="str">
        <v>4M</v>
      </c>
      <c r="B32" s="206">
        <v>1</v>
      </c>
      <c r="C32" s="321" t="str">
        <v>6M</v>
      </c>
      <c r="D32" s="415" t="str">
        <f t="shared" si="0"/>
        <v>6M</v>
      </c>
      <c r="E32" s="360" t="e">
        <f>CHOOSE(NA(),
                       VLOOKUP(D32,[1]EUR6M!$E$2:$H$1000,4,FALSE),
                       VLOOKUP(D32,[1]EUR6M!$C$2:$H$1000,6,FALSE),
                       VLOOKUP(D32,[1]EUR6M!$B$2:$H$1000,7,FALSE),
                       VLOOKUP(D32,[1]EUR6M!$E$2:$H$1000,4,FALSE),
                       ""
                       )</f>
        <v>#N/A</v>
      </c>
      <c r="F32" s="361" t="e">
        <f t="shared" si="1"/>
        <v>#N/A</v>
      </c>
      <c r="G32" s="134">
        <v>-0.2145</v>
      </c>
      <c r="H32" s="361">
        <f t="shared" si="2"/>
        <v>-0.2145</v>
      </c>
      <c r="I32" s="362">
        <f t="shared" si="3"/>
        <v>-0.2145</v>
      </c>
      <c r="K32" s="4">
        <v>9</v>
      </c>
      <c r="M32" s="216" t="str">
        <v>3M-6M</v>
      </c>
      <c r="N32" s="324" t="str">
        <f t="shared" si="4"/>
        <v>3M-6M</v>
      </c>
      <c r="O32" s="134" t="e">
        <f>CHOOSE($B32,
                       VLOOKUP(N32,[2]EUR3M!$E$2:$H$1000,4,FALSE),
                       VLOOKUP(N32,[2]EUR3M!$C$2:$H$1000,6,FALSE),
                       VLOOKUP(N32,[2]EUR3M!$B$2:$H$1000,7,FALSE),
                       VLOOKUP(N32,[2]EUR3M!$E$2:$H$1000,4,FALSE),
                       ""
                       )</f>
        <v>#N/A</v>
      </c>
      <c r="P32" s="173" t="e">
        <f t="shared" si="5"/>
        <v>#N/A</v>
      </c>
      <c r="Q32" s="134" t="s">
        <v>1213</v>
      </c>
      <c r="R32" s="130" t="b">
        <f t="shared" si="6"/>
        <v>0</v>
      </c>
      <c r="S32" s="134">
        <v>-0.29599999999999999</v>
      </c>
      <c r="T32" s="173">
        <f t="shared" si="7"/>
        <v>-0.29599999999999999</v>
      </c>
      <c r="U32" s="219">
        <f t="shared" si="8"/>
        <v>-0.29599999999999999</v>
      </c>
      <c r="W32" s="216" t="str">
        <v>6M</v>
      </c>
      <c r="X32" s="324" t="str">
        <f t="shared" si="9"/>
        <v>6M</v>
      </c>
      <c r="Y32" s="134" t="e">
        <f xml:space="preserve"> CHOOSE(NA(),
                       VLOOKUP(X32,[3]EUR1Y!$E$2:$H$1000,4,FALSE),
                       VLOOKUP(X32,[3]EUR1Y!$C$2:$H$1000,6,FALSE),
                       VLOOKUP(X32,[3]EUR1Y!$B$2:$H$1000,7,FALSE),
                       VLOOKUP(X32,[3]EUR1Y!$E$2:$H$1000,4,FALSE),
                       ""
                       )</f>
        <v>#N/A</v>
      </c>
      <c r="Z32" s="173" t="e">
        <f t="shared" si="10"/>
        <v>#N/A</v>
      </c>
      <c r="AA32" s="134">
        <v>-0.11070000000000001</v>
      </c>
      <c r="AB32" s="173">
        <f t="shared" si="11"/>
        <v>-0.11070000000000001</v>
      </c>
      <c r="AC32" s="219">
        <f t="shared" si="12"/>
        <v>-0.11070000000000001</v>
      </c>
      <c r="AE32" s="216" t="str">
        <v>4M</v>
      </c>
      <c r="AF32" s="324" t="str">
        <f t="shared" si="13"/>
        <v>4M</v>
      </c>
      <c r="AG32" s="134">
        <f>CHOOSE($B32,
                       VLOOKUP(AF32,[4]EURStd!$E$2:$H$1000,4,FALSE),
                       VLOOKUP(AF32,[4]EURStd!$C$2:$H$1000,6,FALSE),
                       VLOOKUP(AF32,[4]EURStd!$B$2:$H$1000,7,FALSE),
                       VLOOKUP(AF32,[4]EURStd!$E$2:$H$1000,4,FALSE),
                       ""
                       )</f>
        <v>0.26</v>
      </c>
      <c r="AH32" s="173">
        <f t="shared" si="14"/>
        <v>0.26</v>
      </c>
      <c r="AI32" s="134">
        <v>-0.27</v>
      </c>
      <c r="AJ32" s="173">
        <f t="shared" si="15"/>
        <v>-0.27</v>
      </c>
      <c r="AK32" s="219">
        <f t="shared" si="16"/>
        <v>-0.27</v>
      </c>
      <c r="AM32" s="137" t="str">
        <v>4M</v>
      </c>
      <c r="AN32" s="324" t="str">
        <f t="shared" si="32"/>
        <v>4M</v>
      </c>
      <c r="AO32" s="134">
        <f>VLOOKUP(AN32,'[5]EUR-OIS'!$E$2:$H$1000,4,FALSE)</f>
        <v>0.11</v>
      </c>
      <c r="AP32" s="173">
        <f t="shared" si="17"/>
        <v>0.11</v>
      </c>
      <c r="AQ32" s="134">
        <v>-0.34899672599999998</v>
      </c>
      <c r="AR32" s="173">
        <f t="shared" si="18"/>
        <v>-0.34899672599999998</v>
      </c>
      <c r="AS32" s="219">
        <f t="shared" si="19"/>
        <v>-0.34899672599999998</v>
      </c>
      <c r="AU32" s="137" t="str">
        <v>4M</v>
      </c>
      <c r="AV32" s="144" t="str">
        <f t="shared" si="20"/>
        <v>4M</v>
      </c>
      <c r="AW32" s="144">
        <f>VLOOKUP(AV32,[6]EURFIX1RM!$E$2:$H$1009,4,FALSE)</f>
        <v>0.14700674699999999</v>
      </c>
      <c r="AX32" s="173">
        <f t="shared" si="21"/>
        <v>0.14700674699999999</v>
      </c>
      <c r="AY32" s="134">
        <v>-0.372</v>
      </c>
      <c r="AZ32" s="173">
        <f t="shared" si="22"/>
        <v>-0.372</v>
      </c>
      <c r="BA32" s="219">
        <f t="shared" si="23"/>
        <v>-0.372</v>
      </c>
      <c r="BD32" s="321" t="str">
        <v>6M</v>
      </c>
      <c r="BE32" s="348">
        <f t="shared" si="24"/>
        <v>-0.2145</v>
      </c>
      <c r="BF32" s="321" t="str">
        <v>3M-6M</v>
      </c>
      <c r="BG32" s="426" t="b">
        <f t="shared" si="25"/>
        <v>0</v>
      </c>
      <c r="BH32" s="426" t="b">
        <f t="shared" si="33"/>
        <v>0</v>
      </c>
      <c r="BI32" s="426" t="b">
        <f t="shared" si="26"/>
        <v>1</v>
      </c>
      <c r="BJ32" s="426" t="str">
        <v>3M-6M</v>
      </c>
      <c r="BK32" s="30">
        <f t="shared" si="27"/>
        <v>-0.29599999999999999</v>
      </c>
      <c r="BL32" s="321" t="str">
        <v>6M</v>
      </c>
      <c r="BM32" s="30">
        <f t="shared" si="28"/>
        <v>-0.11070000000000001</v>
      </c>
      <c r="BN32" s="216" t="str">
        <v>4M</v>
      </c>
      <c r="BO32" s="349">
        <f t="shared" si="29"/>
        <v>-0.27</v>
      </c>
      <c r="BP32" s="137" t="str">
        <v>4M</v>
      </c>
      <c r="BQ32" s="349">
        <f t="shared" si="30"/>
        <v>-0.34899672599999998</v>
      </c>
      <c r="BR32" s="137" t="str">
        <v>4M</v>
      </c>
      <c r="BS32" s="349">
        <f t="shared" si="31"/>
        <v>-0.372</v>
      </c>
      <c r="CS32" s="332"/>
      <c r="CT32" s="366" t="s">
        <v>1381</v>
      </c>
      <c r="CU32" s="307" t="s">
        <v>208</v>
      </c>
      <c r="CV32" s="307" t="s">
        <v>195</v>
      </c>
      <c r="CW32" s="366" t="s">
        <v>97</v>
      </c>
      <c r="CX32" s="307">
        <v>-0.33531118700000001</v>
      </c>
      <c r="CY32" s="307">
        <v>-0.33531118700000001</v>
      </c>
      <c r="CZ32" s="307">
        <v>-0.33531118700000001</v>
      </c>
    </row>
    <row r="33" spans="1:104">
      <c r="A33" s="130" t="str">
        <v>5M</v>
      </c>
      <c r="B33" s="206">
        <v>1</v>
      </c>
      <c r="C33" s="321" t="str">
        <v>1M-7M</v>
      </c>
      <c r="D33" s="415" t="str">
        <f t="shared" si="0"/>
        <v>1M-7M</v>
      </c>
      <c r="E33" s="360" t="e">
        <f>CHOOSE(NA(),
                       VLOOKUP(D33,[1]EUR6M!$E$2:$H$1000,4,FALSE),
                       VLOOKUP(D33,[1]EUR6M!$C$2:$H$1000,6,FALSE),
                       VLOOKUP(D33,[1]EUR6M!$B$2:$H$1000,7,FALSE),
                       VLOOKUP(D33,[1]EUR6M!$E$2:$H$1000,4,FALSE),
                       ""
                       )</f>
        <v>#N/A</v>
      </c>
      <c r="F33" s="361" t="e">
        <f t="shared" si="1"/>
        <v>#N/A</v>
      </c>
      <c r="G33" s="134">
        <v>-0.20599999999999999</v>
      </c>
      <c r="H33" s="361">
        <f t="shared" si="2"/>
        <v>-0.20599999999999999</v>
      </c>
      <c r="I33" s="362">
        <f t="shared" si="3"/>
        <v>-0.20599999999999999</v>
      </c>
      <c r="M33" s="216" t="str">
        <v>4M-7M</v>
      </c>
      <c r="N33" s="324" t="str">
        <f t="shared" si="4"/>
        <v>4M-7M</v>
      </c>
      <c r="O33" s="134" t="e">
        <f>CHOOSE($B33,
                       VLOOKUP(N33,[2]EUR3M!$E$2:$H$1000,4,FALSE),
                       VLOOKUP(N33,[2]EUR3M!$C$2:$H$1000,6,FALSE),
                       VLOOKUP(N33,[2]EUR3M!$B$2:$H$1000,7,FALSE),
                       VLOOKUP(N33,[2]EUR3M!$E$2:$H$1000,4,FALSE),
                       ""
                       )</f>
        <v>#N/A</v>
      </c>
      <c r="P33" s="173" t="e">
        <f t="shared" si="5"/>
        <v>#N/A</v>
      </c>
      <c r="Q33" s="134" t="s">
        <v>1352</v>
      </c>
      <c r="R33" s="130" t="b">
        <f t="shared" si="6"/>
        <v>0</v>
      </c>
      <c r="S33" s="134">
        <v>-0.29099999999999998</v>
      </c>
      <c r="T33" s="173">
        <f t="shared" si="7"/>
        <v>-0.29099999999999998</v>
      </c>
      <c r="U33" s="219">
        <f t="shared" si="8"/>
        <v>-0.29099999999999998</v>
      </c>
      <c r="W33" s="216" t="str">
        <v>7M</v>
      </c>
      <c r="X33" s="324" t="str">
        <f t="shared" si="9"/>
        <v>7M</v>
      </c>
      <c r="Y33" s="134" t="e">
        <f xml:space="preserve"> CHOOSE(NA(),
                       VLOOKUP(X33,[3]EUR1Y!$E$2:$H$1000,4,FALSE),
                       VLOOKUP(X33,[3]EUR1Y!$C$2:$H$1000,6,FALSE),
                       VLOOKUP(X33,[3]EUR1Y!$B$2:$H$1000,7,FALSE),
                       VLOOKUP(X33,[3]EUR1Y!$E$2:$H$1000,4,FALSE),
                       ""
                       )</f>
        <v>#N/A</v>
      </c>
      <c r="Z33" s="173" t="e">
        <f t="shared" si="10"/>
        <v>#N/A</v>
      </c>
      <c r="AA33" s="134">
        <v>-0.105238919</v>
      </c>
      <c r="AB33" s="173">
        <f t="shared" si="11"/>
        <v>-0.105238919</v>
      </c>
      <c r="AC33" s="219">
        <f t="shared" si="12"/>
        <v>-0.105238919</v>
      </c>
      <c r="AE33" s="216" t="str">
        <v>5M</v>
      </c>
      <c r="AF33" s="324" t="str">
        <f t="shared" si="13"/>
        <v>5M</v>
      </c>
      <c r="AG33" s="134">
        <f>CHOOSE($B33,
                       VLOOKUP(AF33,[4]EURStd!$E$2:$H$1000,4,FALSE),
                       VLOOKUP(AF33,[4]EURStd!$C$2:$H$1000,6,FALSE),
                       VLOOKUP(AF33,[4]EURStd!$B$2:$H$1000,7,FALSE),
                       VLOOKUP(AF33,[4]EURStd!$E$2:$H$1000,4,FALSE),
                       ""
                       )</f>
        <v>0.28999999999999998</v>
      </c>
      <c r="AH33" s="173">
        <f t="shared" si="14"/>
        <v>0.28999999999999998</v>
      </c>
      <c r="AI33" s="134">
        <v>-0.24</v>
      </c>
      <c r="AJ33" s="173">
        <f t="shared" si="15"/>
        <v>-0.24</v>
      </c>
      <c r="AK33" s="219">
        <f t="shared" si="16"/>
        <v>-0.24</v>
      </c>
      <c r="AM33" s="137" t="str">
        <v>5M</v>
      </c>
      <c r="AN33" s="324" t="str">
        <f t="shared" si="32"/>
        <v>5M</v>
      </c>
      <c r="AO33" s="134">
        <f>VLOOKUP(AN33,'[5]EUR-OIS'!$E$2:$H$1000,4,FALSE)</f>
        <v>0.113</v>
      </c>
      <c r="AP33" s="173">
        <f t="shared" si="17"/>
        <v>0.113</v>
      </c>
      <c r="AQ33" s="134">
        <v>-0.35012420399999999</v>
      </c>
      <c r="AR33" s="173">
        <f t="shared" si="18"/>
        <v>-0.35012420399999999</v>
      </c>
      <c r="AS33" s="219">
        <f t="shared" si="19"/>
        <v>-0.35012420399999999</v>
      </c>
      <c r="AU33" s="137" t="str">
        <v>5M</v>
      </c>
      <c r="AV33" s="144" t="str">
        <f t="shared" si="20"/>
        <v>5M</v>
      </c>
      <c r="AW33" s="144">
        <f>VLOOKUP(AV33,[6]EURFIX1RM!$E$2:$H$1009,4,FALSE)</f>
        <v>0.152009967</v>
      </c>
      <c r="AX33" s="173">
        <f t="shared" si="21"/>
        <v>0.152009967</v>
      </c>
      <c r="AY33" s="134">
        <v>-0.373</v>
      </c>
      <c r="AZ33" s="173">
        <f t="shared" si="22"/>
        <v>-0.373</v>
      </c>
      <c r="BA33" s="219">
        <f t="shared" si="23"/>
        <v>-0.373</v>
      </c>
      <c r="BD33" s="321" t="str">
        <v>1M-7M</v>
      </c>
      <c r="BE33" s="348">
        <f t="shared" si="24"/>
        <v>-0.20599999999999999</v>
      </c>
      <c r="BF33" s="321" t="str">
        <v>MAR 17</v>
      </c>
      <c r="BG33" s="426" t="b">
        <f t="shared" si="25"/>
        <v>1</v>
      </c>
      <c r="BH33" s="426" t="b">
        <f t="shared" si="33"/>
        <v>0</v>
      </c>
      <c r="BI33" s="426" t="b">
        <f t="shared" si="26"/>
        <v>0</v>
      </c>
      <c r="BJ33" s="426" t="str">
        <v>4M-7M</v>
      </c>
      <c r="BK33" s="30">
        <f t="shared" si="27"/>
        <v>-0.29099999999999998</v>
      </c>
      <c r="BL33" s="321" t="str">
        <v>7M</v>
      </c>
      <c r="BM33" s="30">
        <f t="shared" si="28"/>
        <v>-0.105238919</v>
      </c>
      <c r="BN33" s="216" t="str">
        <v>5M</v>
      </c>
      <c r="BO33" s="349">
        <f t="shared" si="29"/>
        <v>-0.24</v>
      </c>
      <c r="BP33" s="137" t="str">
        <v>5M</v>
      </c>
      <c r="BQ33" s="349">
        <f t="shared" si="30"/>
        <v>-0.35012420399999999</v>
      </c>
      <c r="BR33" s="137" t="str">
        <v>5M</v>
      </c>
      <c r="BS33" s="349">
        <f t="shared" si="31"/>
        <v>-0.373</v>
      </c>
      <c r="CS33" s="332"/>
      <c r="CT33" s="366" t="s">
        <v>1382</v>
      </c>
      <c r="CU33" s="307" t="s">
        <v>208</v>
      </c>
      <c r="CV33" s="307" t="s">
        <v>195</v>
      </c>
      <c r="CW33" s="366" t="s">
        <v>98</v>
      </c>
      <c r="CX33" s="307">
        <v>-0.320549519</v>
      </c>
      <c r="CY33" s="307">
        <v>-0.320549519</v>
      </c>
      <c r="CZ33" s="307">
        <v>-0.320549519</v>
      </c>
    </row>
    <row r="34" spans="1:104">
      <c r="A34" s="130" t="str">
        <v>6M</v>
      </c>
      <c r="B34" s="206">
        <v>1</v>
      </c>
      <c r="C34" s="321" t="str">
        <v>2M-8M</v>
      </c>
      <c r="D34" s="415" t="str">
        <f t="shared" si="0"/>
        <v>2M-8M</v>
      </c>
      <c r="E34" s="360" t="e">
        <f>CHOOSE(NA(),
                       VLOOKUP(D34,[1]EUR6M!$E$2:$H$1000,4,FALSE),
                       VLOOKUP(D34,[1]EUR6M!$C$2:$H$1000,6,FALSE),
                       VLOOKUP(D34,[1]EUR6M!$B$2:$H$1000,7,FALSE),
                       VLOOKUP(D34,[1]EUR6M!$E$2:$H$1000,4,FALSE),
                       ""
                       )</f>
        <v>#N/A</v>
      </c>
      <c r="F34" s="361" t="e">
        <f t="shared" si="1"/>
        <v>#N/A</v>
      </c>
      <c r="G34" s="134">
        <v>-0.19800000000000001</v>
      </c>
      <c r="H34" s="361">
        <f t="shared" si="2"/>
        <v>-0.19800000000000001</v>
      </c>
      <c r="I34" s="362">
        <f t="shared" si="3"/>
        <v>-0.19800000000000001</v>
      </c>
      <c r="M34" s="216" t="str">
        <v>5M-8M</v>
      </c>
      <c r="N34" s="324" t="str">
        <f t="shared" si="4"/>
        <v>5M-8M</v>
      </c>
      <c r="O34" s="134" t="e">
        <f>CHOOSE($B34,
                       VLOOKUP(N34,[2]EUR3M!$E$2:$H$1000,4,FALSE),
                       VLOOKUP(N34,[2]EUR3M!$C$2:$H$1000,6,FALSE),
                       VLOOKUP(N34,[2]EUR3M!$B$2:$H$1000,7,FALSE),
                       VLOOKUP(N34,[2]EUR3M!$E$2:$H$1000,4,FALSE),
                       ""
                       )</f>
        <v>#N/A</v>
      </c>
      <c r="P34" s="173" t="e">
        <f t="shared" si="5"/>
        <v>#N/A</v>
      </c>
      <c r="Q34" s="134" t="s">
        <v>1353</v>
      </c>
      <c r="R34" s="130" t="b">
        <f t="shared" si="6"/>
        <v>0</v>
      </c>
      <c r="S34" s="134">
        <v>-0.28599999999999998</v>
      </c>
      <c r="T34" s="173">
        <f t="shared" si="7"/>
        <v>-0.28599999999999998</v>
      </c>
      <c r="U34" s="219">
        <f t="shared" si="8"/>
        <v>-0.28599999999999998</v>
      </c>
      <c r="W34" s="216" t="str">
        <v>8M</v>
      </c>
      <c r="X34" s="324" t="str">
        <f t="shared" si="9"/>
        <v>8M</v>
      </c>
      <c r="Y34" s="134" t="e">
        <f xml:space="preserve"> CHOOSE(NA(),
                       VLOOKUP(X34,[3]EUR1Y!$E$2:$H$1000,4,FALSE),
                       VLOOKUP(X34,[3]EUR1Y!$C$2:$H$1000,6,FALSE),
                       VLOOKUP(X34,[3]EUR1Y!$B$2:$H$1000,7,FALSE),
                       VLOOKUP(X34,[3]EUR1Y!$E$2:$H$1000,4,FALSE),
                       ""
                       )</f>
        <v>#N/A</v>
      </c>
      <c r="Z34" s="173" t="e">
        <f t="shared" si="10"/>
        <v>#N/A</v>
      </c>
      <c r="AA34" s="134">
        <v>-0.100511134</v>
      </c>
      <c r="AB34" s="173">
        <f t="shared" si="11"/>
        <v>-0.100511134</v>
      </c>
      <c r="AC34" s="219">
        <f t="shared" si="12"/>
        <v>-0.100511134</v>
      </c>
      <c r="AE34" s="216" t="str">
        <v>6M</v>
      </c>
      <c r="AF34" s="324" t="str">
        <f t="shared" si="13"/>
        <v>6M</v>
      </c>
      <c r="AG34" s="134">
        <f>CHOOSE($B34,
                       VLOOKUP(AF34,[4]EURStd!$E$2:$H$1000,4,FALSE),
                       VLOOKUP(AF34,[4]EURStd!$C$2:$H$1000,6,FALSE),
                       VLOOKUP(AF34,[4]EURStd!$B$2:$H$1000,7,FALSE),
                       VLOOKUP(AF34,[4]EURStd!$E$2:$H$1000,4,FALSE),
                       ""
                       )</f>
        <v>0.33</v>
      </c>
      <c r="AH34" s="173">
        <f t="shared" si="14"/>
        <v>0.33</v>
      </c>
      <c r="AI34" s="134">
        <v>-0.21</v>
      </c>
      <c r="AJ34" s="173">
        <f t="shared" si="15"/>
        <v>-0.21</v>
      </c>
      <c r="AK34" s="219">
        <f t="shared" si="16"/>
        <v>-0.21</v>
      </c>
      <c r="AM34" s="137" t="str">
        <v>6M</v>
      </c>
      <c r="AN34" s="324" t="str">
        <f t="shared" si="32"/>
        <v>6M</v>
      </c>
      <c r="AO34" s="134">
        <f>VLOOKUP(AN34,'[5]EUR-OIS'!$E$2:$H$1000,4,FALSE)</f>
        <v>0.11899999999999999</v>
      </c>
      <c r="AP34" s="173">
        <f t="shared" si="17"/>
        <v>0.11899999999999999</v>
      </c>
      <c r="AQ34" s="134">
        <v>-0.35158722199999998</v>
      </c>
      <c r="AR34" s="173">
        <f t="shared" si="18"/>
        <v>-0.35158722199999998</v>
      </c>
      <c r="AS34" s="219">
        <f t="shared" si="19"/>
        <v>-0.35158722199999998</v>
      </c>
      <c r="AU34" s="137" t="str">
        <v>6M</v>
      </c>
      <c r="AV34" s="144" t="str">
        <f t="shared" si="20"/>
        <v>6M</v>
      </c>
      <c r="AW34" s="144">
        <f>VLOOKUP(AV34,[6]EURFIX1RM!$E$2:$H$1009,4,FALSE)</f>
        <v>0.158012448</v>
      </c>
      <c r="AX34" s="173">
        <f t="shared" si="21"/>
        <v>0.158012448</v>
      </c>
      <c r="AY34" s="134">
        <v>-0.373</v>
      </c>
      <c r="AZ34" s="173">
        <f t="shared" si="22"/>
        <v>-0.373</v>
      </c>
      <c r="BA34" s="219">
        <f t="shared" si="23"/>
        <v>-0.373</v>
      </c>
      <c r="BD34" s="321" t="str">
        <v>2M-8M</v>
      </c>
      <c r="BE34" s="348">
        <f t="shared" si="24"/>
        <v>-0.19800000000000001</v>
      </c>
      <c r="BF34" s="321" t="str">
        <v>4M-7M</v>
      </c>
      <c r="BG34" s="426" t="b">
        <f t="shared" si="25"/>
        <v>0</v>
      </c>
      <c r="BH34" s="426" t="b">
        <f t="shared" si="33"/>
        <v>0</v>
      </c>
      <c r="BI34" s="426" t="b">
        <f t="shared" si="26"/>
        <v>1</v>
      </c>
      <c r="BJ34" s="426" t="str">
        <v>5M-8M</v>
      </c>
      <c r="BK34" s="30">
        <f t="shared" si="27"/>
        <v>-0.28599999999999998</v>
      </c>
      <c r="BL34" s="321" t="str">
        <v>8M</v>
      </c>
      <c r="BM34" s="30">
        <f t="shared" si="28"/>
        <v>-0.100511134</v>
      </c>
      <c r="BN34" s="216" t="str">
        <v>6M</v>
      </c>
      <c r="BO34" s="349">
        <f t="shared" si="29"/>
        <v>-0.21</v>
      </c>
      <c r="BP34" s="137" t="str">
        <v>6M</v>
      </c>
      <c r="BQ34" s="349">
        <f t="shared" si="30"/>
        <v>-0.35158722199999998</v>
      </c>
      <c r="BR34" s="137" t="str">
        <v>6M</v>
      </c>
      <c r="BS34" s="349">
        <f t="shared" si="31"/>
        <v>-0.373</v>
      </c>
      <c r="CS34" s="332"/>
      <c r="CT34" s="366" t="s">
        <v>1383</v>
      </c>
      <c r="CU34" s="307" t="s">
        <v>208</v>
      </c>
      <c r="CV34" s="307" t="s">
        <v>195</v>
      </c>
      <c r="CW34" s="366" t="s">
        <v>99</v>
      </c>
      <c r="CX34" s="307">
        <v>-0.30539198899999997</v>
      </c>
      <c r="CY34" s="307">
        <v>-0.30539198899999997</v>
      </c>
      <c r="CZ34" s="307">
        <v>-0.30539198899999997</v>
      </c>
    </row>
    <row r="35" spans="1:104">
      <c r="A35" s="130" t="str">
        <v>21/06/17</v>
      </c>
      <c r="B35" s="206">
        <v>2</v>
      </c>
      <c r="C35" s="321" t="str">
        <v>3M-9M</v>
      </c>
      <c r="D35" s="415" t="str">
        <f t="shared" si="0"/>
        <v>3M-9M</v>
      </c>
      <c r="E35" s="360" t="e">
        <f>CHOOSE(NA(),
                       VLOOKUP(D35,[1]EUR6M!$E$2:$H$1000,4,FALSE),
                       VLOOKUP(D35,[1]EUR6M!$C$2:$H$1000,6,FALSE),
                       VLOOKUP(D35,[1]EUR6M!$B$2:$H$1000,7,FALSE),
                       VLOOKUP(D35,[1]EUR6M!$E$2:$H$1000,4,FALSE),
                       ""
                       )</f>
        <v>#N/A</v>
      </c>
      <c r="F35" s="361" t="e">
        <f t="shared" si="1"/>
        <v>#N/A</v>
      </c>
      <c r="G35" s="134">
        <v>-0.191</v>
      </c>
      <c r="H35" s="361">
        <f t="shared" si="2"/>
        <v>-0.191</v>
      </c>
      <c r="I35" s="362">
        <f t="shared" si="3"/>
        <v>-0.191</v>
      </c>
      <c r="M35" s="216" t="str">
        <v>6M-9M</v>
      </c>
      <c r="N35" s="324" t="str">
        <f t="shared" si="4"/>
        <v>STUB 3M CURVES</v>
      </c>
      <c r="O35" s="134">
        <f>CHOOSE($B35,
                       VLOOKUP(N35,[2]EUR3M!$E$2:$H$1000,4,FALSE),
                       VLOOKUP(N35,[2]EUR3M!$C$2:$H$1000,6,FALSE),
                       VLOOKUP(N35,[2]EUR3M!$B$2:$H$1000,7,FALSE),
                       VLOOKUP(N35,[2]EUR3M!$E$2:$H$1000,4,FALSE),
                       ""
                       )</f>
        <v>0.2737</v>
      </c>
      <c r="P35" s="173">
        <f t="shared" si="5"/>
        <v>0.2737</v>
      </c>
      <c r="Q35" s="424" t="s">
        <v>1214</v>
      </c>
      <c r="R35" s="130" t="b">
        <f t="shared" si="6"/>
        <v>0</v>
      </c>
      <c r="S35" s="134">
        <v>-0.28199999999999997</v>
      </c>
      <c r="T35" s="173">
        <f t="shared" si="7"/>
        <v>-0.28199999999999997</v>
      </c>
      <c r="U35" s="219">
        <f t="shared" si="8"/>
        <v>-0.28199999999999997</v>
      </c>
      <c r="W35" s="216" t="str">
        <v>9M</v>
      </c>
      <c r="X35" s="324" t="str">
        <f t="shared" si="9"/>
        <v>STUB 12M CURVES</v>
      </c>
      <c r="Y35" s="134" t="e">
        <f xml:space="preserve"> CHOOSE(NA(),
                       VLOOKUP(X35,[3]EUR1Y!$E$2:$H$1000,4,FALSE),
                       VLOOKUP(X35,[3]EUR1Y!$C$2:$H$1000,6,FALSE),
                       VLOOKUP(X35,[3]EUR1Y!$B$2:$H$1000,7,FALSE),
                       VLOOKUP(X35,[3]EUR1Y!$E$2:$H$1000,4,FALSE),
                       ""
                       )</f>
        <v>#N/A</v>
      </c>
      <c r="Z35" s="173" t="e">
        <f t="shared" si="10"/>
        <v>#N/A</v>
      </c>
      <c r="AA35" s="134">
        <v>-9.5399999999999999E-2</v>
      </c>
      <c r="AB35" s="173">
        <f t="shared" si="11"/>
        <v>-9.5399999999999999E-2</v>
      </c>
      <c r="AC35" s="219">
        <f t="shared" si="12"/>
        <v>-9.5399999999999999E-2</v>
      </c>
      <c r="AE35" s="216" t="str">
        <v>#20170621</v>
      </c>
      <c r="AF35" s="324" t="str">
        <f t="shared" si="13"/>
        <v>STUB</v>
      </c>
      <c r="AG35" s="134">
        <f>CHOOSE($B35,
                       VLOOKUP(AF35,[4]EURStd!$E$2:$H$1000,4,FALSE),
                       VLOOKUP(AF35,[4]EURStd!$C$2:$H$1000,6,FALSE),
                       VLOOKUP(AF35,[4]EURStd!$B$2:$H$1000,7,FALSE),
                       VLOOKUP(AF35,[4]EURStd!$E$2:$H$1000,4,FALSE),
                       ""
                       )</f>
        <v>0.43133333299999999</v>
      </c>
      <c r="AH35" s="173">
        <f t="shared" si="14"/>
        <v>0.43133333299999999</v>
      </c>
      <c r="AI35" s="134">
        <v>-0.18</v>
      </c>
      <c r="AJ35" s="173">
        <f t="shared" si="15"/>
        <v>-0.18</v>
      </c>
      <c r="AK35" s="219">
        <f t="shared" si="16"/>
        <v>-0.18</v>
      </c>
      <c r="AM35" s="137" t="str">
        <v>7M</v>
      </c>
      <c r="AN35" s="324" t="str">
        <f t="shared" si="32"/>
        <v>7M</v>
      </c>
      <c r="AO35" s="134">
        <f>VLOOKUP(AN35,'[5]EUR-OIS'!$E$2:$H$1000,4,FALSE)</f>
        <v>0.124</v>
      </c>
      <c r="AP35" s="173">
        <f t="shared" si="17"/>
        <v>0.124</v>
      </c>
      <c r="AQ35" s="134">
        <v>-0.35273638600000001</v>
      </c>
      <c r="AR35" s="173">
        <f t="shared" si="18"/>
        <v>-0.35273638600000001</v>
      </c>
      <c r="AS35" s="219">
        <f t="shared" si="19"/>
        <v>-0.35273638600000001</v>
      </c>
      <c r="AU35" s="137" t="str">
        <v>7M</v>
      </c>
      <c r="AV35" s="144" t="str">
        <f t="shared" si="20"/>
        <v>7M</v>
      </c>
      <c r="AW35" s="144">
        <f>VLOOKUP(AV35,[6]EURFIX1RM!$E$2:$H$1009,4,FALSE)</f>
        <v>0.163015093</v>
      </c>
      <c r="AX35" s="173">
        <f t="shared" si="21"/>
        <v>0.163015093</v>
      </c>
      <c r="AY35" s="134">
        <v>-0.373</v>
      </c>
      <c r="AZ35" s="173">
        <f t="shared" si="22"/>
        <v>-0.373</v>
      </c>
      <c r="BA35" s="219">
        <f t="shared" si="23"/>
        <v>-0.373</v>
      </c>
      <c r="BD35" s="321" t="str">
        <v>3M-9M</v>
      </c>
      <c r="BE35" s="348">
        <f t="shared" si="24"/>
        <v>-0.191</v>
      </c>
      <c r="BF35" s="321" t="str">
        <v>5M-8M</v>
      </c>
      <c r="BG35" s="426" t="b">
        <f t="shared" si="25"/>
        <v>0</v>
      </c>
      <c r="BH35" s="426" t="b">
        <f t="shared" si="33"/>
        <v>0</v>
      </c>
      <c r="BI35" s="426" t="b">
        <f t="shared" si="26"/>
        <v>1</v>
      </c>
      <c r="BJ35" s="426" t="str">
        <v>6M-9M</v>
      </c>
      <c r="BK35" s="30">
        <f t="shared" si="27"/>
        <v>-0.28199999999999997</v>
      </c>
      <c r="BL35" s="321" t="str">
        <v>9M</v>
      </c>
      <c r="BM35" s="30">
        <f t="shared" si="28"/>
        <v>-9.5399999999999999E-2</v>
      </c>
      <c r="BN35" s="216" t="str">
        <v>#20170621</v>
      </c>
      <c r="BO35" s="349">
        <f t="shared" si="29"/>
        <v>-0.18</v>
      </c>
      <c r="BP35" s="137" t="str">
        <v>7M</v>
      </c>
      <c r="BQ35" s="349">
        <f t="shared" si="30"/>
        <v>-0.35273638600000001</v>
      </c>
      <c r="BR35" s="137" t="str">
        <v>7M</v>
      </c>
      <c r="BS35" s="349">
        <f t="shared" si="31"/>
        <v>-0.373</v>
      </c>
      <c r="CS35" s="332"/>
      <c r="CT35" s="366" t="s">
        <v>1384</v>
      </c>
      <c r="CU35" s="307" t="s">
        <v>208</v>
      </c>
      <c r="CV35" s="307" t="s">
        <v>195</v>
      </c>
      <c r="CW35" s="366" t="s">
        <v>10</v>
      </c>
      <c r="CX35" s="307">
        <v>-0.28899999999999998</v>
      </c>
      <c r="CY35" s="307">
        <v>-0.28899999999999998</v>
      </c>
      <c r="CZ35" s="307">
        <v>-0.28899999999999998</v>
      </c>
    </row>
    <row r="36" spans="1:104">
      <c r="A36" s="130" t="str">
        <v>JUN 17</v>
      </c>
      <c r="B36" s="206">
        <v>3</v>
      </c>
      <c r="C36" s="321" t="str">
        <v>4M-10M</v>
      </c>
      <c r="D36" s="415" t="str">
        <f t="shared" si="0"/>
        <v>4M-10M</v>
      </c>
      <c r="E36" s="360" t="e">
        <f>CHOOSE(NA(),
                       VLOOKUP(D36,[1]EUR6M!$E$2:$H$1000,4,FALSE),
                       VLOOKUP(D36,[1]EUR6M!$C$2:$H$1000,6,FALSE),
                       VLOOKUP(D36,[1]EUR6M!$B$2:$H$1000,7,FALSE),
                       VLOOKUP(D36,[1]EUR6M!$E$2:$H$1000,4,FALSE),
                       ""
                       )</f>
        <v>#N/A</v>
      </c>
      <c r="F36" s="361" t="e">
        <f t="shared" si="1"/>
        <v>#N/A</v>
      </c>
      <c r="G36" s="134">
        <v>-0.183</v>
      </c>
      <c r="H36" s="361">
        <f t="shared" si="2"/>
        <v>-0.183</v>
      </c>
      <c r="I36" s="362">
        <f t="shared" si="3"/>
        <v>-0.183</v>
      </c>
      <c r="M36" s="216" t="str">
        <v>7M-10M</v>
      </c>
      <c r="N36" s="324" t="str">
        <f t="shared" si="4"/>
        <v>7M-10M</v>
      </c>
      <c r="O36" s="134" t="e">
        <f>CHOOSE($B36,
                       VLOOKUP(N36,[2]EUR3M!$E$2:$H$1000,4,FALSE),
                       VLOOKUP(N36,[2]EUR3M!$C$2:$H$1000,6,FALSE),
                       VLOOKUP(N36,[2]EUR3M!$B$2:$H$1000,7,FALSE),
                       VLOOKUP(N36,[2]EUR3M!$E$2:$H$1000,4,FALSE),
                       ""
                       )</f>
        <v>#N/A</v>
      </c>
      <c r="P36" s="173" t="e">
        <f t="shared" si="5"/>
        <v>#N/A</v>
      </c>
      <c r="Q36" s="134" t="s">
        <v>1354</v>
      </c>
      <c r="R36" s="130" t="b">
        <f t="shared" si="6"/>
        <v>0</v>
      </c>
      <c r="S36" s="134">
        <v>-0.27700000000000002</v>
      </c>
      <c r="T36" s="173">
        <f t="shared" si="7"/>
        <v>-0.27700000000000002</v>
      </c>
      <c r="U36" s="219">
        <f t="shared" si="8"/>
        <v>-0.27700000000000002</v>
      </c>
      <c r="W36" s="216" t="str">
        <v>10M</v>
      </c>
      <c r="X36" s="324" t="str">
        <f t="shared" si="9"/>
        <v>10M</v>
      </c>
      <c r="Y36" s="134" t="e">
        <f xml:space="preserve"> CHOOSE(NA(),
                       VLOOKUP(X36,[3]EUR1Y!$E$2:$H$1000,4,FALSE),
                       VLOOKUP(X36,[3]EUR1Y!$C$2:$H$1000,6,FALSE),
                       VLOOKUP(X36,[3]EUR1Y!$B$2:$H$1000,7,FALSE),
                       VLOOKUP(X36,[3]EUR1Y!$E$2:$H$1000,4,FALSE),
                       ""
                       )</f>
        <v>#N/A</v>
      </c>
      <c r="Z36" s="173" t="e">
        <f t="shared" si="10"/>
        <v>#N/A</v>
      </c>
      <c r="AA36" s="134">
        <v>-8.9959358000000003E-2</v>
      </c>
      <c r="AB36" s="173">
        <f t="shared" si="11"/>
        <v>-8.9959358000000003E-2</v>
      </c>
      <c r="AC36" s="219">
        <f t="shared" si="12"/>
        <v>-8.9959358000000003E-2</v>
      </c>
      <c r="AE36" s="216">
        <v>42907</v>
      </c>
      <c r="AF36" s="324" t="str">
        <f t="shared" si="13"/>
        <v>21/06/17</v>
      </c>
      <c r="AG36" s="134" t="e">
        <f>CHOOSE($B36,
                       VLOOKUP(AF36,[4]EURStd!$E$2:$H$1000,4,FALSE),
                       VLOOKUP(AF36,[4]EURStd!$C$2:$H$1000,6,FALSE),
                       VLOOKUP(AF36,[4]EURStd!$B$2:$H$1000,7,FALSE),
                       VLOOKUP(AF36,[4]EURStd!$E$2:$H$1000,4,FALSE),
                       ""
                       )</f>
        <v>#N/A</v>
      </c>
      <c r="AH36" s="173" t="e">
        <f t="shared" si="14"/>
        <v>#N/A</v>
      </c>
      <c r="AI36" s="134">
        <v>-0.18</v>
      </c>
      <c r="AJ36" s="173">
        <f t="shared" si="15"/>
        <v>100.18</v>
      </c>
      <c r="AK36" s="219">
        <f t="shared" si="16"/>
        <v>100.18</v>
      </c>
      <c r="AM36" s="137" t="str">
        <v>8M</v>
      </c>
      <c r="AN36" s="324" t="str">
        <f t="shared" si="32"/>
        <v>8M</v>
      </c>
      <c r="AO36" s="134">
        <f>VLOOKUP(AN36,'[5]EUR-OIS'!$E$2:$H$1000,4,FALSE)</f>
        <v>0.13</v>
      </c>
      <c r="AP36" s="173">
        <f t="shared" si="17"/>
        <v>0.13</v>
      </c>
      <c r="AQ36" s="134">
        <v>-0.35327398300000001</v>
      </c>
      <c r="AR36" s="173">
        <f t="shared" si="18"/>
        <v>-0.35327398300000001</v>
      </c>
      <c r="AS36" s="219">
        <f t="shared" si="19"/>
        <v>-0.35327398300000001</v>
      </c>
      <c r="AU36" s="137" t="str">
        <v>8M</v>
      </c>
      <c r="AV36" s="144" t="str">
        <f t="shared" si="20"/>
        <v>8M</v>
      </c>
      <c r="AW36" s="144">
        <f>VLOOKUP(AV36,[6]EURFIX1RM!$E$2:$H$1009,4,FALSE)</f>
        <v>0.170018901</v>
      </c>
      <c r="AX36" s="173">
        <f t="shared" si="21"/>
        <v>0.170018901</v>
      </c>
      <c r="AY36" s="134">
        <v>-0.372</v>
      </c>
      <c r="AZ36" s="173">
        <f t="shared" si="22"/>
        <v>-0.372</v>
      </c>
      <c r="BA36" s="219">
        <f t="shared" si="23"/>
        <v>-0.372</v>
      </c>
      <c r="BD36" s="321" t="str">
        <v>4M-10M</v>
      </c>
      <c r="BE36" s="348">
        <f t="shared" si="24"/>
        <v>-0.183</v>
      </c>
      <c r="BF36" s="321" t="str">
        <v>6M-9M</v>
      </c>
      <c r="BG36" s="426" t="b">
        <f t="shared" si="25"/>
        <v>0</v>
      </c>
      <c r="BH36" s="426" t="b">
        <f t="shared" si="33"/>
        <v>0</v>
      </c>
      <c r="BI36" s="426" t="b">
        <f t="shared" si="26"/>
        <v>1</v>
      </c>
      <c r="BJ36" s="426" t="str">
        <v>7M-10M</v>
      </c>
      <c r="BK36" s="30">
        <f t="shared" si="27"/>
        <v>-0.27700000000000002</v>
      </c>
      <c r="BL36" s="321" t="str">
        <v>10M</v>
      </c>
      <c r="BM36" s="30">
        <f t="shared" si="28"/>
        <v>-8.9959358000000003E-2</v>
      </c>
      <c r="BN36" s="216">
        <v>42907</v>
      </c>
      <c r="BO36" s="349">
        <f t="shared" si="29"/>
        <v>100.2775</v>
      </c>
      <c r="BP36" s="137" t="str">
        <v>8M</v>
      </c>
      <c r="BQ36" s="349">
        <f t="shared" si="30"/>
        <v>-0.35327398300000001</v>
      </c>
      <c r="BR36" s="137" t="str">
        <v>8M</v>
      </c>
      <c r="BS36" s="349">
        <f t="shared" si="31"/>
        <v>-0.372</v>
      </c>
      <c r="CS36" s="332"/>
      <c r="CT36" s="366" t="s">
        <v>1385</v>
      </c>
      <c r="CU36" s="307" t="s">
        <v>208</v>
      </c>
      <c r="CV36" s="307" t="s">
        <v>195</v>
      </c>
      <c r="CW36" s="366" t="s">
        <v>11</v>
      </c>
      <c r="CX36" s="307">
        <v>-0.21299999999999999</v>
      </c>
      <c r="CY36" s="307">
        <v>-0.21299999999999999</v>
      </c>
      <c r="CZ36" s="307">
        <v>-0.21299999999999999</v>
      </c>
    </row>
    <row r="37" spans="1:104">
      <c r="A37" s="130" t="str">
        <v>SEP 17</v>
      </c>
      <c r="B37" s="206">
        <v>3</v>
      </c>
      <c r="C37" s="321" t="str">
        <v>5M-11M</v>
      </c>
      <c r="D37" s="415" t="str">
        <f t="shared" si="0"/>
        <v>5M-11M</v>
      </c>
      <c r="E37" s="360" t="e">
        <f>CHOOSE(NA(),
                       VLOOKUP(D37,[1]EUR6M!$E$2:$H$1000,4,FALSE),
                       VLOOKUP(D37,[1]EUR6M!$C$2:$H$1000,6,FALSE),
                       VLOOKUP(D37,[1]EUR6M!$B$2:$H$1000,7,FALSE),
                       VLOOKUP(D37,[1]EUR6M!$E$2:$H$1000,4,FALSE),
                       ""
                       )</f>
        <v>#N/A</v>
      </c>
      <c r="F37" s="361" t="e">
        <f t="shared" si="1"/>
        <v>#N/A</v>
      </c>
      <c r="G37" s="134">
        <v>-0.17499999999999999</v>
      </c>
      <c r="H37" s="361">
        <f t="shared" si="2"/>
        <v>-0.17499999999999999</v>
      </c>
      <c r="I37" s="362">
        <f t="shared" si="3"/>
        <v>-0.17499999999999999</v>
      </c>
      <c r="M37" s="216" t="str">
        <v>8M-11M</v>
      </c>
      <c r="N37" s="324" t="str">
        <f t="shared" si="4"/>
        <v>8M-11M</v>
      </c>
      <c r="O37" s="134" t="e">
        <f>CHOOSE($B37,
                       VLOOKUP(N37,[2]EUR3M!$E$2:$H$1000,4,FALSE),
                       VLOOKUP(N37,[2]EUR3M!$C$2:$H$1000,6,FALSE),
                       VLOOKUP(N37,[2]EUR3M!$B$2:$H$1000,7,FALSE),
                       VLOOKUP(N37,[2]EUR3M!$E$2:$H$1000,4,FALSE),
                       ""
                       )</f>
        <v>#N/A</v>
      </c>
      <c r="P37" s="173" t="e">
        <f t="shared" si="5"/>
        <v>#N/A</v>
      </c>
      <c r="Q37" s="134" t="s">
        <v>1355</v>
      </c>
      <c r="R37" s="130" t="b">
        <f t="shared" si="6"/>
        <v>0</v>
      </c>
      <c r="S37" s="134">
        <v>-0.27100000000000002</v>
      </c>
      <c r="T37" s="173">
        <f t="shared" si="7"/>
        <v>-0.27100000000000002</v>
      </c>
      <c r="U37" s="219">
        <f t="shared" si="8"/>
        <v>-0.27100000000000002</v>
      </c>
      <c r="W37" s="216" t="str">
        <v>11M</v>
      </c>
      <c r="X37" s="324" t="str">
        <f t="shared" si="9"/>
        <v>11M</v>
      </c>
      <c r="Y37" s="134" t="e">
        <f xml:space="preserve"> CHOOSE(NA(),
                       VLOOKUP(X37,[3]EUR1Y!$E$2:$H$1000,4,FALSE),
                       VLOOKUP(X37,[3]EUR1Y!$C$2:$H$1000,6,FALSE),
                       VLOOKUP(X37,[3]EUR1Y!$B$2:$H$1000,7,FALSE),
                       VLOOKUP(X37,[3]EUR1Y!$E$2:$H$1000,4,FALSE),
                       ""
                       )</f>
        <v>#N/A</v>
      </c>
      <c r="Z37" s="173" t="e">
        <f t="shared" si="10"/>
        <v>#N/A</v>
      </c>
      <c r="AA37" s="134">
        <v>-8.4217626000000004E-2</v>
      </c>
      <c r="AB37" s="173">
        <f t="shared" si="11"/>
        <v>-8.4217626000000004E-2</v>
      </c>
      <c r="AC37" s="219">
        <f t="shared" si="12"/>
        <v>-8.4217626000000004E-2</v>
      </c>
      <c r="AE37" s="216">
        <v>42998</v>
      </c>
      <c r="AF37" s="324" t="str">
        <f t="shared" si="13"/>
        <v>20/09/17</v>
      </c>
      <c r="AG37" s="134" t="e">
        <f>CHOOSE($B37,
                       VLOOKUP(AF37,[4]EURStd!$E$2:$H$1000,4,FALSE),
                       VLOOKUP(AF37,[4]EURStd!$C$2:$H$1000,6,FALSE),
                       VLOOKUP(AF37,[4]EURStd!$B$2:$H$1000,7,FALSE),
                       VLOOKUP(AF37,[4]EURStd!$E$2:$H$1000,4,FALSE),
                       ""
                       )</f>
        <v>#N/A</v>
      </c>
      <c r="AH37" s="173" t="e">
        <f t="shared" si="14"/>
        <v>#N/A</v>
      </c>
      <c r="AI37" s="134">
        <v>100.2775</v>
      </c>
      <c r="AJ37" s="173">
        <f t="shared" si="15"/>
        <v>-0.27750000000000341</v>
      </c>
      <c r="AK37" s="219">
        <f t="shared" si="16"/>
        <v>-0.27750000000000341</v>
      </c>
      <c r="AM37" s="137" t="str">
        <v>9M</v>
      </c>
      <c r="AN37" s="324" t="str">
        <f t="shared" si="32"/>
        <v>9M</v>
      </c>
      <c r="AO37" s="134">
        <f>VLOOKUP(AN37,'[5]EUR-OIS'!$E$2:$H$1000,4,FALSE)</f>
        <v>0.13600000000000001</v>
      </c>
      <c r="AP37" s="173">
        <f t="shared" si="17"/>
        <v>0.13600000000000001</v>
      </c>
      <c r="AQ37" s="134">
        <v>-0.35368229699999998</v>
      </c>
      <c r="AR37" s="173">
        <f t="shared" si="18"/>
        <v>-0.35368229699999998</v>
      </c>
      <c r="AS37" s="219">
        <f t="shared" si="19"/>
        <v>-0.35368229699999998</v>
      </c>
      <c r="AU37" s="137" t="str">
        <v>9M</v>
      </c>
      <c r="AV37" s="144" t="str">
        <f t="shared" si="20"/>
        <v>9M</v>
      </c>
      <c r="AW37" s="144">
        <f>VLOOKUP(AV37,[6]EURFIX1RM!$E$2:$H$1009,4,FALSE)</f>
        <v>0.17702301300000001</v>
      </c>
      <c r="AX37" s="173">
        <f t="shared" si="21"/>
        <v>0.17702301300000001</v>
      </c>
      <c r="AY37" s="134">
        <v>-0.372</v>
      </c>
      <c r="AZ37" s="173">
        <f t="shared" si="22"/>
        <v>-0.372</v>
      </c>
      <c r="BA37" s="219">
        <f t="shared" si="23"/>
        <v>-0.372</v>
      </c>
      <c r="BD37" s="321" t="str">
        <v>5M-11M</v>
      </c>
      <c r="BE37" s="348">
        <f t="shared" si="24"/>
        <v>-0.17499999999999999</v>
      </c>
      <c r="BF37" s="321" t="str">
        <v>JUN 17</v>
      </c>
      <c r="BG37" s="426" t="b">
        <f t="shared" si="25"/>
        <v>1</v>
      </c>
      <c r="BH37" s="426" t="b">
        <f t="shared" si="33"/>
        <v>0</v>
      </c>
      <c r="BI37" s="426" t="b">
        <f t="shared" si="26"/>
        <v>0</v>
      </c>
      <c r="BJ37" s="426" t="str">
        <v>8M-11M</v>
      </c>
      <c r="BK37" s="30">
        <f t="shared" si="27"/>
        <v>-0.27100000000000002</v>
      </c>
      <c r="BL37" s="321" t="str">
        <v>11M</v>
      </c>
      <c r="BM37" s="30">
        <f t="shared" si="28"/>
        <v>-8.4217626000000004E-2</v>
      </c>
      <c r="BN37" s="216">
        <v>42998</v>
      </c>
      <c r="BO37" s="349">
        <f t="shared" si="29"/>
        <v>100.25749999999999</v>
      </c>
      <c r="BP37" s="137" t="str">
        <v>9M</v>
      </c>
      <c r="BQ37" s="349">
        <f t="shared" si="30"/>
        <v>-0.35368229699999998</v>
      </c>
      <c r="BR37" s="137" t="str">
        <v>9M</v>
      </c>
      <c r="BS37" s="349">
        <f t="shared" si="31"/>
        <v>-0.372</v>
      </c>
      <c r="CS37" s="332"/>
      <c r="CT37" s="366" t="s">
        <v>1386</v>
      </c>
      <c r="CU37" s="307" t="s">
        <v>208</v>
      </c>
      <c r="CV37" s="307" t="s">
        <v>195</v>
      </c>
      <c r="CW37" s="366" t="s">
        <v>12</v>
      </c>
      <c r="CX37" s="307">
        <v>-0.11899999999999999</v>
      </c>
      <c r="CY37" s="307">
        <v>-0.11899999999999999</v>
      </c>
      <c r="CZ37" s="307">
        <v>-0.11899999999999999</v>
      </c>
    </row>
    <row r="38" spans="1:104">
      <c r="A38" s="130" t="str">
        <v>DEC 17</v>
      </c>
      <c r="B38" s="206">
        <v>3</v>
      </c>
      <c r="C38" s="321" t="str">
        <v>6M-12M</v>
      </c>
      <c r="D38" s="415" t="str">
        <f t="shared" si="0"/>
        <v>6M-12M</v>
      </c>
      <c r="E38" s="360" t="e">
        <f>CHOOSE(NA(),
                       VLOOKUP(D38,[1]EUR6M!$E$2:$H$1000,4,FALSE),
                       VLOOKUP(D38,[1]EUR6M!$C$2:$H$1000,6,FALSE),
                       VLOOKUP(D38,[1]EUR6M!$B$2:$H$1000,7,FALSE),
                       VLOOKUP(D38,[1]EUR6M!$E$2:$H$1000,4,FALSE),
                       ""
                       )</f>
        <v>#N/A</v>
      </c>
      <c r="F38" s="361" t="e">
        <f t="shared" si="1"/>
        <v>#N/A</v>
      </c>
      <c r="G38" s="134">
        <v>-0.16700000000000001</v>
      </c>
      <c r="H38" s="361">
        <f t="shared" si="2"/>
        <v>-0.16700000000000001</v>
      </c>
      <c r="I38" s="362">
        <f t="shared" si="3"/>
        <v>-0.16700000000000001</v>
      </c>
      <c r="M38" s="216" t="str">
        <v>9M-12M</v>
      </c>
      <c r="N38" s="324" t="str">
        <f t="shared" si="4"/>
        <v>9M-12M</v>
      </c>
      <c r="O38" s="134" t="e">
        <f>CHOOSE($B38,
                       VLOOKUP(N38,[2]EUR3M!$E$2:$H$1000,4,FALSE),
                       VLOOKUP(N38,[2]EUR3M!$C$2:$H$1000,6,FALSE),
                       VLOOKUP(N38,[2]EUR3M!$B$2:$H$1000,7,FALSE),
                       VLOOKUP(N38,[2]EUR3M!$E$2:$H$1000,4,FALSE),
                       ""
                       )</f>
        <v>#N/A</v>
      </c>
      <c r="P38" s="173" t="e">
        <f t="shared" si="5"/>
        <v>#N/A</v>
      </c>
      <c r="Q38" s="134" t="s">
        <v>1215</v>
      </c>
      <c r="R38" s="130" t="b">
        <f t="shared" si="6"/>
        <v>0</v>
      </c>
      <c r="S38" s="134">
        <v>-0.26600000000000001</v>
      </c>
      <c r="T38" s="173">
        <f t="shared" si="7"/>
        <v>-0.26600000000000001</v>
      </c>
      <c r="U38" s="219">
        <f t="shared" si="8"/>
        <v>-0.26600000000000001</v>
      </c>
      <c r="W38" s="216" t="str">
        <v>12M</v>
      </c>
      <c r="X38" s="324" t="str">
        <f t="shared" si="9"/>
        <v>12M</v>
      </c>
      <c r="Y38" s="134" t="e">
        <f xml:space="preserve"> CHOOSE(NA(),
                       VLOOKUP(X38,[3]EUR1Y!$E$2:$H$1000,4,FALSE),
                       VLOOKUP(X38,[3]EUR1Y!$C$2:$H$1000,6,FALSE),
                       VLOOKUP(X38,[3]EUR1Y!$B$2:$H$1000,7,FALSE),
                       VLOOKUP(X38,[3]EUR1Y!$E$2:$H$1000,4,FALSE),
                       ""
                       )</f>
        <v>#N/A</v>
      </c>
      <c r="Z38" s="173" t="e">
        <f t="shared" si="10"/>
        <v>#N/A</v>
      </c>
      <c r="AA38" s="134">
        <v>-7.7200000000000005E-2</v>
      </c>
      <c r="AB38" s="173">
        <f t="shared" si="11"/>
        <v>-7.7200000000000005E-2</v>
      </c>
      <c r="AC38" s="219">
        <f t="shared" si="12"/>
        <v>-7.7200000000000005E-2</v>
      </c>
      <c r="AE38" s="216">
        <v>43089</v>
      </c>
      <c r="AF38" s="324" t="str">
        <f t="shared" si="13"/>
        <v>20/12/17</v>
      </c>
      <c r="AG38" s="134" t="e">
        <f>CHOOSE($B38,
                       VLOOKUP(AF38,[4]EURStd!$E$2:$H$1000,4,FALSE),
                       VLOOKUP(AF38,[4]EURStd!$C$2:$H$1000,6,FALSE),
                       VLOOKUP(AF38,[4]EURStd!$B$2:$H$1000,7,FALSE),
                       VLOOKUP(AF38,[4]EURStd!$E$2:$H$1000,4,FALSE),
                       ""
                       )</f>
        <v>#N/A</v>
      </c>
      <c r="AH38" s="173" t="e">
        <f t="shared" si="14"/>
        <v>#N/A</v>
      </c>
      <c r="AI38" s="134">
        <v>100.25749999999999</v>
      </c>
      <c r="AJ38" s="173">
        <f t="shared" si="15"/>
        <v>-0.25749999999999318</v>
      </c>
      <c r="AK38" s="219">
        <f t="shared" si="16"/>
        <v>-0.25749999999999318</v>
      </c>
      <c r="AM38" s="137" t="str">
        <v>10M</v>
      </c>
      <c r="AN38" s="324" t="str">
        <f t="shared" si="32"/>
        <v>10M</v>
      </c>
      <c r="AO38" s="134">
        <f>VLOOKUP(AN38,'[5]EUR-OIS'!$E$2:$H$1000,4,FALSE)</f>
        <v>0.14299999999999999</v>
      </c>
      <c r="AP38" s="173">
        <f t="shared" si="17"/>
        <v>0.14299999999999999</v>
      </c>
      <c r="AQ38" s="134">
        <v>-0.35382338499999999</v>
      </c>
      <c r="AR38" s="173">
        <f t="shared" si="18"/>
        <v>-0.35382338499999999</v>
      </c>
      <c r="AS38" s="219">
        <f t="shared" si="19"/>
        <v>-0.35382338499999999</v>
      </c>
      <c r="AU38" s="137" t="str">
        <v>10M</v>
      </c>
      <c r="AV38" s="144" t="str">
        <f t="shared" si="20"/>
        <v>10M</v>
      </c>
      <c r="AW38" s="144">
        <f>VLOOKUP(AV38,[6]EURFIX1RM!$E$2:$H$1009,4,FALSE)</f>
        <v>0.18502780399999999</v>
      </c>
      <c r="AX38" s="173">
        <f t="shared" si="21"/>
        <v>0.18502780399999999</v>
      </c>
      <c r="AY38" s="134">
        <v>-0.371</v>
      </c>
      <c r="AZ38" s="173">
        <f t="shared" si="22"/>
        <v>-0.371</v>
      </c>
      <c r="BA38" s="219">
        <f t="shared" si="23"/>
        <v>-0.371</v>
      </c>
      <c r="BD38" s="321" t="str">
        <v>6M-12M</v>
      </c>
      <c r="BE38" s="348">
        <f t="shared" si="24"/>
        <v>-0.16700000000000001</v>
      </c>
      <c r="BF38" s="321" t="str">
        <v>7M-10M</v>
      </c>
      <c r="BG38" s="426" t="b">
        <f t="shared" si="25"/>
        <v>0</v>
      </c>
      <c r="BH38" s="426" t="b">
        <f t="shared" si="33"/>
        <v>0</v>
      </c>
      <c r="BI38" s="426" t="b">
        <f t="shared" si="26"/>
        <v>1</v>
      </c>
      <c r="BJ38" s="426" t="str">
        <v>9M-12M</v>
      </c>
      <c r="BK38" s="30">
        <f t="shared" si="27"/>
        <v>-0.26600000000000001</v>
      </c>
      <c r="BL38" s="321" t="str">
        <v>12M</v>
      </c>
      <c r="BM38" s="30">
        <f t="shared" si="28"/>
        <v>-7.7200000000000005E-2</v>
      </c>
      <c r="BN38" s="216">
        <v>43089</v>
      </c>
      <c r="BO38" s="349">
        <f t="shared" si="29"/>
        <v>100.24250000000001</v>
      </c>
      <c r="BP38" s="137" t="str">
        <v>10M</v>
      </c>
      <c r="BQ38" s="349">
        <f t="shared" si="30"/>
        <v>-0.35382338499999999</v>
      </c>
      <c r="BR38" s="137" t="str">
        <v>10M</v>
      </c>
      <c r="BS38" s="349">
        <f t="shared" si="31"/>
        <v>-0.371</v>
      </c>
      <c r="CS38" s="332"/>
      <c r="CT38" s="366" t="s">
        <v>1387</v>
      </c>
      <c r="CU38" s="307" t="s">
        <v>208</v>
      </c>
      <c r="CV38" s="307" t="s">
        <v>195</v>
      </c>
      <c r="CW38" s="366" t="s">
        <v>13</v>
      </c>
      <c r="CX38" s="307">
        <v>-1.0999999999999999E-2</v>
      </c>
      <c r="CY38" s="307">
        <v>-1.0999999999999999E-2</v>
      </c>
      <c r="CZ38" s="307">
        <v>-1.0999999999999999E-2</v>
      </c>
    </row>
    <row r="39" spans="1:104">
      <c r="A39" s="130" t="str">
        <v>MAR 18</v>
      </c>
      <c r="B39" s="206">
        <v>3</v>
      </c>
      <c r="C39" s="321" t="str">
        <v>7M-13M</v>
      </c>
      <c r="D39" s="415" t="str">
        <f t="shared" si="0"/>
        <v>7M-13M</v>
      </c>
      <c r="E39" s="360" t="e">
        <f>CHOOSE(NA(),
                       VLOOKUP(D39,[1]EUR6M!$E$2:$H$1000,4,FALSE),
                       VLOOKUP(D39,[1]EUR6M!$C$2:$H$1000,6,FALSE),
                       VLOOKUP(D39,[1]EUR6M!$B$2:$H$1000,7,FALSE),
                       VLOOKUP(D39,[1]EUR6M!$E$2:$H$1000,4,FALSE),
                       ""
                       )</f>
        <v>#N/A</v>
      </c>
      <c r="F39" s="361" t="e">
        <f t="shared" si="1"/>
        <v>#N/A</v>
      </c>
      <c r="G39" s="134">
        <v>-0.16</v>
      </c>
      <c r="H39" s="361">
        <f t="shared" si="2"/>
        <v>-0.16</v>
      </c>
      <c r="I39" s="362">
        <f t="shared" si="3"/>
        <v>-0.16</v>
      </c>
      <c r="M39" s="216" t="str">
        <v>10M-13M</v>
      </c>
      <c r="N39" s="324" t="str">
        <f t="shared" si="4"/>
        <v>10M-13M</v>
      </c>
      <c r="O39" s="134" t="e">
        <f>CHOOSE($B39,
                       VLOOKUP(N39,[2]EUR3M!$E$2:$H$1000,4,FALSE),
                       VLOOKUP(N39,[2]EUR3M!$C$2:$H$1000,6,FALSE),
                       VLOOKUP(N39,[2]EUR3M!$B$2:$H$1000,7,FALSE),
                       VLOOKUP(N39,[2]EUR3M!$E$2:$H$1000,4,FALSE),
                       ""
                       )</f>
        <v>#N/A</v>
      </c>
      <c r="P39" s="173" t="e">
        <f t="shared" si="5"/>
        <v>#N/A</v>
      </c>
      <c r="Q39" s="424" t="s">
        <v>3887</v>
      </c>
      <c r="R39" s="130" t="b">
        <f t="shared" si="6"/>
        <v>0</v>
      </c>
      <c r="S39" s="134">
        <v>-0.26</v>
      </c>
      <c r="T39" s="173">
        <f t="shared" si="7"/>
        <v>-0.26</v>
      </c>
      <c r="U39" s="219">
        <f t="shared" si="8"/>
        <v>-0.26</v>
      </c>
      <c r="W39" s="216" t="str">
        <v>1M-13M</v>
      </c>
      <c r="X39" s="324" t="str">
        <f t="shared" si="9"/>
        <v>1M-13M</v>
      </c>
      <c r="Y39" s="134" t="e">
        <f xml:space="preserve"> CHOOSE(NA(),
                       VLOOKUP(X39,[3]EUR1Y!$E$2:$H$1000,4,FALSE),
                       VLOOKUP(X39,[3]EUR1Y!$C$2:$H$1000,6,FALSE),
                       VLOOKUP(X39,[3]EUR1Y!$B$2:$H$1000,7,FALSE),
                       VLOOKUP(X39,[3]EUR1Y!$E$2:$H$1000,4,FALSE),
                       ""
                       )</f>
        <v>#N/A</v>
      </c>
      <c r="Z39" s="173" t="e">
        <f t="shared" si="10"/>
        <v>#N/A</v>
      </c>
      <c r="AA39" s="134">
        <v>-6.6000000000000003E-2</v>
      </c>
      <c r="AB39" s="173">
        <f t="shared" si="11"/>
        <v>-6.6000000000000003E-2</v>
      </c>
      <c r="AC39" s="219">
        <f t="shared" si="12"/>
        <v>-6.6000000000000003E-2</v>
      </c>
      <c r="AE39" s="216">
        <v>43180</v>
      </c>
      <c r="AF39" s="324" t="str">
        <f t="shared" si="13"/>
        <v>21/03/18</v>
      </c>
      <c r="AG39" s="134" t="e">
        <f>CHOOSE($B39,
                       VLOOKUP(AF39,[4]EURStd!$E$2:$H$1000,4,FALSE),
                       VLOOKUP(AF39,[4]EURStd!$C$2:$H$1000,6,FALSE),
                       VLOOKUP(AF39,[4]EURStd!$B$2:$H$1000,7,FALSE),
                       VLOOKUP(AF39,[4]EURStd!$E$2:$H$1000,4,FALSE),
                       ""
                       )</f>
        <v>#N/A</v>
      </c>
      <c r="AH39" s="173" t="e">
        <f t="shared" si="14"/>
        <v>#N/A</v>
      </c>
      <c r="AI39" s="134">
        <v>100.24250000000001</v>
      </c>
      <c r="AJ39" s="173">
        <f t="shared" si="15"/>
        <v>-0.24250000000000682</v>
      </c>
      <c r="AK39" s="219">
        <f t="shared" si="16"/>
        <v>-0.24250000000000682</v>
      </c>
      <c r="AM39" s="137" t="str">
        <v>11M</v>
      </c>
      <c r="AN39" s="324" t="str">
        <f t="shared" si="32"/>
        <v>11M</v>
      </c>
      <c r="AO39" s="134">
        <f>VLOOKUP(AN39,'[5]EUR-OIS'!$E$2:$H$1000,4,FALSE)</f>
        <v>0.14799999999999999</v>
      </c>
      <c r="AP39" s="173">
        <f t="shared" si="17"/>
        <v>0.14799999999999999</v>
      </c>
      <c r="AQ39" s="134">
        <v>-0.35356841999999999</v>
      </c>
      <c r="AR39" s="173">
        <f t="shared" si="18"/>
        <v>-0.35356841999999999</v>
      </c>
      <c r="AS39" s="219">
        <f t="shared" si="19"/>
        <v>-0.35356841999999999</v>
      </c>
      <c r="AU39" s="137" t="str">
        <v>11M</v>
      </c>
      <c r="AV39" s="144" t="str">
        <f t="shared" si="20"/>
        <v>11M</v>
      </c>
      <c r="AW39" s="144">
        <f>VLOOKUP(AV39,[6]EURFIX1RM!$E$2:$H$1009,4,FALSE)</f>
        <v>0.190031109</v>
      </c>
      <c r="AX39" s="173">
        <f t="shared" si="21"/>
        <v>0.190031109</v>
      </c>
      <c r="AY39" s="134">
        <v>-0.37</v>
      </c>
      <c r="AZ39" s="173">
        <f t="shared" si="22"/>
        <v>-0.37</v>
      </c>
      <c r="BA39" s="219">
        <f t="shared" si="23"/>
        <v>-0.37</v>
      </c>
      <c r="BD39" s="321" t="str">
        <v>7M-13M</v>
      </c>
      <c r="BE39" s="348">
        <f t="shared" si="24"/>
        <v>-0.16</v>
      </c>
      <c r="BF39" s="321" t="str">
        <v>8M-11M</v>
      </c>
      <c r="BG39" s="426" t="b">
        <f t="shared" si="25"/>
        <v>0</v>
      </c>
      <c r="BH39" s="426" t="b">
        <f t="shared" si="33"/>
        <v>0</v>
      </c>
      <c r="BI39" s="426" t="b">
        <f t="shared" si="26"/>
        <v>1</v>
      </c>
      <c r="BJ39" s="426" t="str">
        <v>10M-13M</v>
      </c>
      <c r="BK39" s="30">
        <f t="shared" si="27"/>
        <v>-0.26</v>
      </c>
      <c r="BL39" s="321" t="str">
        <v>1M-13M</v>
      </c>
      <c r="BM39" s="30">
        <f t="shared" si="28"/>
        <v>-6.6000000000000003E-2</v>
      </c>
      <c r="BN39" s="216">
        <v>43180</v>
      </c>
      <c r="BO39" s="349">
        <f t="shared" si="29"/>
        <v>100.2175</v>
      </c>
      <c r="BP39" s="137" t="str">
        <v>11M</v>
      </c>
      <c r="BQ39" s="349">
        <f t="shared" si="30"/>
        <v>-0.35356841999999999</v>
      </c>
      <c r="BR39" s="137" t="str">
        <v>11M</v>
      </c>
      <c r="BS39" s="349">
        <f t="shared" si="31"/>
        <v>-0.37</v>
      </c>
      <c r="CS39" s="332"/>
      <c r="CT39" s="366" t="s">
        <v>1388</v>
      </c>
      <c r="CU39" s="307" t="s">
        <v>208</v>
      </c>
      <c r="CV39" s="307" t="s">
        <v>195</v>
      </c>
      <c r="CW39" s="366" t="s">
        <v>14</v>
      </c>
      <c r="CX39" s="307">
        <v>0.105</v>
      </c>
      <c r="CY39" s="307">
        <v>0.105</v>
      </c>
      <c r="CZ39" s="307">
        <v>0.105</v>
      </c>
    </row>
    <row r="40" spans="1:104">
      <c r="A40" s="130" t="str">
        <v>JUN 18</v>
      </c>
      <c r="B40" s="206">
        <v>3</v>
      </c>
      <c r="C40" s="321" t="str">
        <v>8M-14M</v>
      </c>
      <c r="D40" s="415" t="str">
        <f t="shared" si="0"/>
        <v>8M-14M</v>
      </c>
      <c r="E40" s="360" t="e">
        <f>CHOOSE(NA(),
                       VLOOKUP(D40,[1]EUR6M!$E$2:$H$1000,4,FALSE),
                       VLOOKUP(D40,[1]EUR6M!$C$2:$H$1000,6,FALSE),
                       VLOOKUP(D40,[1]EUR6M!$B$2:$H$1000,7,FALSE),
                       VLOOKUP(D40,[1]EUR6M!$E$2:$H$1000,4,FALSE),
                       ""
                       )</f>
        <v>#N/A</v>
      </c>
      <c r="F40" s="361" t="e">
        <f t="shared" si="1"/>
        <v>#N/A</v>
      </c>
      <c r="G40" s="134">
        <v>-0.15</v>
      </c>
      <c r="H40" s="361">
        <f t="shared" si="2"/>
        <v>-0.15</v>
      </c>
      <c r="I40" s="362">
        <f t="shared" si="3"/>
        <v>-0.15</v>
      </c>
      <c r="M40" s="216" t="str">
        <v>11M-14M</v>
      </c>
      <c r="N40" s="324" t="str">
        <f t="shared" si="4"/>
        <v>11M-14M</v>
      </c>
      <c r="O40" s="134" t="e">
        <f>CHOOSE($B40,
                       VLOOKUP(N40,[2]EUR3M!$E$2:$H$1000,4,FALSE),
                       VLOOKUP(N40,[2]EUR3M!$C$2:$H$1000,6,FALSE),
                       VLOOKUP(N40,[2]EUR3M!$B$2:$H$1000,7,FALSE),
                       VLOOKUP(N40,[2]EUR3M!$E$2:$H$1000,4,FALSE),
                       ""
                       )</f>
        <v>#N/A</v>
      </c>
      <c r="P40" s="173" t="e">
        <f t="shared" si="5"/>
        <v>#N/A</v>
      </c>
      <c r="Q40" s="134" t="s">
        <v>3888</v>
      </c>
      <c r="R40" s="130" t="b">
        <f t="shared" si="6"/>
        <v>0</v>
      </c>
      <c r="S40" s="134">
        <v>-0.252</v>
      </c>
      <c r="T40" s="173">
        <f t="shared" si="7"/>
        <v>-0.252</v>
      </c>
      <c r="U40" s="219">
        <f t="shared" si="8"/>
        <v>-0.252</v>
      </c>
      <c r="W40" s="216" t="str">
        <v>2M-14M</v>
      </c>
      <c r="X40" s="324" t="str">
        <f t="shared" si="9"/>
        <v>2M-14M</v>
      </c>
      <c r="Y40" s="134" t="e">
        <f xml:space="preserve"> CHOOSE(NA(),
                       VLOOKUP(X40,[3]EUR1Y!$E$2:$H$1000,4,FALSE),
                       VLOOKUP(X40,[3]EUR1Y!$C$2:$H$1000,6,FALSE),
                       VLOOKUP(X40,[3]EUR1Y!$B$2:$H$1000,7,FALSE),
                       VLOOKUP(X40,[3]EUR1Y!$E$2:$H$1000,4,FALSE),
                       ""
                       )</f>
        <v>#N/A</v>
      </c>
      <c r="Z40" s="173" t="e">
        <f t="shared" si="10"/>
        <v>#N/A</v>
      </c>
      <c r="AA40" s="134">
        <v>-5.5E-2</v>
      </c>
      <c r="AB40" s="173">
        <f t="shared" si="11"/>
        <v>-5.5E-2</v>
      </c>
      <c r="AC40" s="219">
        <f t="shared" si="12"/>
        <v>-5.5E-2</v>
      </c>
      <c r="AE40" s="216">
        <v>43271</v>
      </c>
      <c r="AF40" s="324" t="str">
        <f t="shared" si="13"/>
        <v>20/06/18</v>
      </c>
      <c r="AG40" s="134" t="e">
        <f>CHOOSE($B40,
                       VLOOKUP(AF40,[4]EURStd!$E$2:$H$1000,4,FALSE),
                       VLOOKUP(AF40,[4]EURStd!$C$2:$H$1000,6,FALSE),
                       VLOOKUP(AF40,[4]EURStd!$B$2:$H$1000,7,FALSE),
                       VLOOKUP(AF40,[4]EURStd!$E$2:$H$1000,4,FALSE),
                       ""
                       )</f>
        <v>#N/A</v>
      </c>
      <c r="AH40" s="173" t="e">
        <f t="shared" si="14"/>
        <v>#N/A</v>
      </c>
      <c r="AI40" s="134">
        <v>100.2175</v>
      </c>
      <c r="AJ40" s="173">
        <f t="shared" si="15"/>
        <v>-0.21750000000000114</v>
      </c>
      <c r="AK40" s="219">
        <f t="shared" si="16"/>
        <v>-0.21750000000000114</v>
      </c>
      <c r="AM40" s="137" t="str">
        <v>1Y</v>
      </c>
      <c r="AN40" s="324" t="str">
        <f t="shared" si="32"/>
        <v>1Y</v>
      </c>
      <c r="AO40" s="134">
        <f>VLOOKUP(AN40,'[5]EUR-OIS'!$E$2:$H$1000,4,FALSE)</f>
        <v>0.154</v>
      </c>
      <c r="AP40" s="173">
        <f t="shared" si="17"/>
        <v>0.154</v>
      </c>
      <c r="AQ40" s="134">
        <v>-0.35331505000000002</v>
      </c>
      <c r="AR40" s="173">
        <f t="shared" si="18"/>
        <v>-0.35331505000000002</v>
      </c>
      <c r="AS40" s="219">
        <f t="shared" si="19"/>
        <v>-0.35331505000000002</v>
      </c>
      <c r="AU40" s="137" t="str">
        <v>12M</v>
      </c>
      <c r="AV40" s="144" t="str">
        <f t="shared" si="20"/>
        <v>12M</v>
      </c>
      <c r="AW40" s="144">
        <f>VLOOKUP(AV40,[6]EURFIX1RM!$E$2:$H$1009,4,FALSE)</f>
        <v>0.19703641799999999</v>
      </c>
      <c r="AX40" s="173">
        <f t="shared" si="21"/>
        <v>0.19703641799999999</v>
      </c>
      <c r="AY40" s="134">
        <v>-0.36899999999999999</v>
      </c>
      <c r="AZ40" s="173">
        <f t="shared" si="22"/>
        <v>-0.36899999999999999</v>
      </c>
      <c r="BA40" s="219">
        <f t="shared" si="23"/>
        <v>-0.36899999999999999</v>
      </c>
      <c r="BD40" s="321" t="str">
        <v>8M-14M</v>
      </c>
      <c r="BE40" s="348">
        <f t="shared" si="24"/>
        <v>-0.15</v>
      </c>
      <c r="BF40" s="321" t="str">
        <v>9M-12M</v>
      </c>
      <c r="BG40" s="426" t="b">
        <f t="shared" si="25"/>
        <v>0</v>
      </c>
      <c r="BH40" s="426" t="b">
        <f t="shared" si="33"/>
        <v>0</v>
      </c>
      <c r="BI40" s="426" t="b">
        <f t="shared" si="26"/>
        <v>1</v>
      </c>
      <c r="BJ40" s="426" t="str">
        <v>11M-14M</v>
      </c>
      <c r="BK40" s="30">
        <f t="shared" si="27"/>
        <v>-0.252</v>
      </c>
      <c r="BL40" s="321" t="str">
        <v>2M-14M</v>
      </c>
      <c r="BM40" s="30">
        <f t="shared" si="28"/>
        <v>-5.5E-2</v>
      </c>
      <c r="BN40" s="216">
        <v>43271</v>
      </c>
      <c r="BO40" s="349">
        <f t="shared" si="29"/>
        <v>100.1875</v>
      </c>
      <c r="BP40" s="137" t="str">
        <v>1Y</v>
      </c>
      <c r="BQ40" s="349">
        <f t="shared" si="30"/>
        <v>-0.35331505000000002</v>
      </c>
      <c r="BR40" s="137" t="str">
        <v>12M</v>
      </c>
      <c r="BS40" s="349">
        <f t="shared" si="31"/>
        <v>-0.36899999999999999</v>
      </c>
      <c r="CS40" s="332"/>
      <c r="CT40" s="366" t="s">
        <v>1389</v>
      </c>
      <c r="CU40" s="307" t="s">
        <v>208</v>
      </c>
      <c r="CV40" s="307" t="s">
        <v>195</v>
      </c>
      <c r="CW40" s="366" t="s">
        <v>15</v>
      </c>
      <c r="CX40" s="307">
        <v>0.222</v>
      </c>
      <c r="CY40" s="307">
        <v>0.222</v>
      </c>
      <c r="CZ40" s="307">
        <v>0.222</v>
      </c>
    </row>
    <row r="41" spans="1:104">
      <c r="A41" s="130" t="str">
        <v>SEP 18</v>
      </c>
      <c r="B41" s="206">
        <v>3</v>
      </c>
      <c r="C41" s="321" t="str">
        <v>9M-15M</v>
      </c>
      <c r="D41" s="415" t="str">
        <f t="shared" si="0"/>
        <v>9M-15M</v>
      </c>
      <c r="E41" s="360" t="e">
        <f>CHOOSE(NA(),
                       VLOOKUP(D41,[1]EUR6M!$E$2:$H$1000,4,FALSE),
                       VLOOKUP(D41,[1]EUR6M!$C$2:$H$1000,6,FALSE),
                       VLOOKUP(D41,[1]EUR6M!$B$2:$H$1000,7,FALSE),
                       VLOOKUP(D41,[1]EUR6M!$E$2:$H$1000,4,FALSE),
                       ""
                       )</f>
        <v>#N/A</v>
      </c>
      <c r="F41" s="361" t="e">
        <f t="shared" si="1"/>
        <v>#N/A</v>
      </c>
      <c r="G41" s="134">
        <v>-0.14199999999999999</v>
      </c>
      <c r="H41" s="361">
        <f t="shared" si="2"/>
        <v>-0.14199999999999999</v>
      </c>
      <c r="I41" s="362">
        <f t="shared" si="3"/>
        <v>-0.14199999999999999</v>
      </c>
      <c r="M41" s="216" t="str">
        <v>12M-15M</v>
      </c>
      <c r="N41" s="324" t="str">
        <f t="shared" si="4"/>
        <v>12M-15M</v>
      </c>
      <c r="O41" s="134" t="e">
        <f>CHOOSE($B41,
                       VLOOKUP(N41,[2]EUR3M!$E$2:$H$1000,4,FALSE),
                       VLOOKUP(N41,[2]EUR3M!$C$2:$H$1000,6,FALSE),
                       VLOOKUP(N41,[2]EUR3M!$B$2:$H$1000,7,FALSE),
                       VLOOKUP(N41,[2]EUR3M!$E$2:$H$1000,4,FALSE),
                       ""
                       )</f>
        <v>#N/A</v>
      </c>
      <c r="P41" s="173" t="e">
        <f t="shared" si="5"/>
        <v>#N/A</v>
      </c>
      <c r="Q41" s="134" t="s">
        <v>2179</v>
      </c>
      <c r="R41" s="130" t="b">
        <f t="shared" si="6"/>
        <v>0</v>
      </c>
      <c r="S41" s="134">
        <v>-0.246</v>
      </c>
      <c r="T41" s="173">
        <f t="shared" si="7"/>
        <v>-0.246</v>
      </c>
      <c r="U41" s="219">
        <f t="shared" si="8"/>
        <v>-0.246</v>
      </c>
      <c r="W41" s="216" t="str">
        <v>3M-15M</v>
      </c>
      <c r="X41" s="324" t="str">
        <f t="shared" si="9"/>
        <v>3M-15M</v>
      </c>
      <c r="Y41" s="134" t="e">
        <f xml:space="preserve"> CHOOSE(NA(),
                       VLOOKUP(X41,[3]EUR1Y!$E$2:$H$1000,4,FALSE),
                       VLOOKUP(X41,[3]EUR1Y!$C$2:$H$1000,6,FALSE),
                       VLOOKUP(X41,[3]EUR1Y!$B$2:$H$1000,7,FALSE),
                       VLOOKUP(X41,[3]EUR1Y!$E$2:$H$1000,4,FALSE),
                       ""
                       )</f>
        <v>#N/A</v>
      </c>
      <c r="Z41" s="173" t="e">
        <f t="shared" si="10"/>
        <v>#N/A</v>
      </c>
      <c r="AA41" s="134">
        <v>-4.5999999999999999E-2</v>
      </c>
      <c r="AB41" s="173">
        <f t="shared" si="11"/>
        <v>-4.5999999999999999E-2</v>
      </c>
      <c r="AC41" s="219">
        <f t="shared" si="12"/>
        <v>-4.5999999999999999E-2</v>
      </c>
      <c r="AE41" s="216">
        <v>43362</v>
      </c>
      <c r="AF41" s="324" t="str">
        <f t="shared" si="13"/>
        <v>19/09/18</v>
      </c>
      <c r="AG41" s="134" t="e">
        <f>CHOOSE($B41,
                       VLOOKUP(AF41,[4]EURStd!$E$2:$H$1000,4,FALSE),
                       VLOOKUP(AF41,[4]EURStd!$C$2:$H$1000,6,FALSE),
                       VLOOKUP(AF41,[4]EURStd!$B$2:$H$1000,7,FALSE),
                       VLOOKUP(AF41,[4]EURStd!$E$2:$H$1000,4,FALSE),
                       ""
                       )</f>
        <v>#N/A</v>
      </c>
      <c r="AH41" s="173" t="e">
        <f t="shared" si="14"/>
        <v>#N/A</v>
      </c>
      <c r="AI41" s="134">
        <v>100.1875</v>
      </c>
      <c r="AJ41" s="173">
        <f t="shared" si="15"/>
        <v>-0.1875</v>
      </c>
      <c r="AK41" s="219">
        <f t="shared" si="16"/>
        <v>-0.1875</v>
      </c>
      <c r="AM41" s="137" t="str">
        <v>13M</v>
      </c>
      <c r="AN41" s="324" t="str">
        <f t="shared" si="32"/>
        <v>13M</v>
      </c>
      <c r="AO41" s="134">
        <f>VLOOKUP(AN41,'[5]EUR-OIS'!$E$2:$H$1000,4,FALSE)</f>
        <v>0.16</v>
      </c>
      <c r="AP41" s="173">
        <f t="shared" si="17"/>
        <v>0.16</v>
      </c>
      <c r="AQ41" s="134">
        <v>-0.353226492</v>
      </c>
      <c r="AR41" s="173">
        <f t="shared" si="18"/>
        <v>-0.353226492</v>
      </c>
      <c r="AS41" s="219">
        <f t="shared" si="19"/>
        <v>-0.353226492</v>
      </c>
      <c r="AU41" s="137" t="str">
        <v>15M</v>
      </c>
      <c r="AV41" s="144" t="str">
        <f t="shared" si="20"/>
        <v>15M</v>
      </c>
      <c r="AW41" s="144" t="e">
        <f>VLOOKUP(AV41,[6]EURFIX1RM!$E$2:$H$1009,4,FALSE)</f>
        <v>#N/A</v>
      </c>
      <c r="AX41" s="173" t="e">
        <f t="shared" si="21"/>
        <v>#N/A</v>
      </c>
      <c r="AY41" s="134">
        <v>-0.37106719100000002</v>
      </c>
      <c r="AZ41" s="173">
        <f t="shared" si="22"/>
        <v>-0.37106719100000002</v>
      </c>
      <c r="BA41" s="219">
        <f t="shared" si="23"/>
        <v>-0.37106719100000002</v>
      </c>
      <c r="BD41" s="321" t="str">
        <v>9M-15M</v>
      </c>
      <c r="BE41" s="348">
        <f t="shared" si="24"/>
        <v>-0.14199999999999999</v>
      </c>
      <c r="BF41" s="321" t="str">
        <v>SEP 17</v>
      </c>
      <c r="BG41" s="426" t="b">
        <f t="shared" si="25"/>
        <v>1</v>
      </c>
      <c r="BH41" s="426" t="b">
        <f t="shared" si="33"/>
        <v>0</v>
      </c>
      <c r="BI41" s="426" t="b">
        <f t="shared" si="26"/>
        <v>0</v>
      </c>
      <c r="BJ41" s="426" t="str">
        <v>12M-15M</v>
      </c>
      <c r="BK41" s="30">
        <f t="shared" si="27"/>
        <v>-0.246</v>
      </c>
      <c r="BL41" s="321" t="str">
        <v>3M-15M</v>
      </c>
      <c r="BM41" s="30">
        <f t="shared" si="28"/>
        <v>-4.5999999999999999E-2</v>
      </c>
      <c r="BN41" s="216">
        <v>43362</v>
      </c>
      <c r="BO41" s="349">
        <f t="shared" si="29"/>
        <v>100.1525</v>
      </c>
      <c r="BP41" s="137" t="str">
        <v>13M</v>
      </c>
      <c r="BQ41" s="349">
        <f t="shared" si="30"/>
        <v>-0.353226492</v>
      </c>
      <c r="BR41" s="137" t="str">
        <v>15M</v>
      </c>
      <c r="BS41" s="349">
        <f t="shared" si="31"/>
        <v>-0.37106719100000002</v>
      </c>
      <c r="CS41" s="332"/>
      <c r="CT41" s="366" t="s">
        <v>1390</v>
      </c>
      <c r="CU41" s="307" t="s">
        <v>208</v>
      </c>
      <c r="CV41" s="307" t="s">
        <v>195</v>
      </c>
      <c r="CW41" s="366" t="s">
        <v>16</v>
      </c>
      <c r="CX41" s="307">
        <v>0.33600000000000002</v>
      </c>
      <c r="CY41" s="307">
        <v>0.33600000000000002</v>
      </c>
      <c r="CZ41" s="307">
        <v>0.33600000000000002</v>
      </c>
    </row>
    <row r="42" spans="1:104">
      <c r="A42" s="130" t="str">
        <v>3Y</v>
      </c>
      <c r="B42" s="206">
        <v>4</v>
      </c>
      <c r="C42" s="321" t="str">
        <v>10M-16M</v>
      </c>
      <c r="D42" s="415" t="str">
        <f t="shared" si="0"/>
        <v>10M-16M</v>
      </c>
      <c r="E42" s="360" t="e">
        <f>CHOOSE(NA(),
                       VLOOKUP(D42,[1]EUR6M!$E$2:$H$1000,4,FALSE),
                       VLOOKUP(D42,[1]EUR6M!$C$2:$H$1000,6,FALSE),
                       VLOOKUP(D42,[1]EUR6M!$B$2:$H$1000,7,FALSE),
                       VLOOKUP(D42,[1]EUR6M!$E$2:$H$1000,4,FALSE),
                       ""
                       )</f>
        <v>#N/A</v>
      </c>
      <c r="F42" s="361" t="e">
        <f t="shared" si="1"/>
        <v>#N/A</v>
      </c>
      <c r="G42" s="134">
        <v>-0.13400000000000001</v>
      </c>
      <c r="H42" s="361">
        <f t="shared" si="2"/>
        <v>-0.13400000000000001</v>
      </c>
      <c r="I42" s="362">
        <f t="shared" si="3"/>
        <v>-0.13400000000000001</v>
      </c>
      <c r="M42" s="216" t="str">
        <v>DEC 17</v>
      </c>
      <c r="N42" s="324" t="str">
        <f t="shared" si="4"/>
        <v>DEC 17</v>
      </c>
      <c r="O42" s="134" t="e">
        <f>CHOOSE($B42,
                       VLOOKUP(N42,[2]EUR3M!$E$2:$H$1000,4,FALSE),
                       VLOOKUP(N42,[2]EUR3M!$C$2:$H$1000,6,FALSE),
                       VLOOKUP(N42,[2]EUR3M!$B$2:$H$1000,7,FALSE),
                       VLOOKUP(N42,[2]EUR3M!$E$2:$H$1000,4,FALSE),
                       ""
                       )</f>
        <v>#N/A</v>
      </c>
      <c r="P42" s="173" t="e">
        <f t="shared" si="5"/>
        <v>#N/A</v>
      </c>
      <c r="Q42" s="134" t="s">
        <v>3865</v>
      </c>
      <c r="R42" s="130" t="b">
        <f t="shared" si="6"/>
        <v>1</v>
      </c>
      <c r="S42" s="134">
        <v>100.24250000000001</v>
      </c>
      <c r="T42" s="173">
        <f t="shared" si="7"/>
        <v>-0.24250000000000682</v>
      </c>
      <c r="U42" s="219">
        <f t="shared" si="8"/>
        <v>-0.24250000000000682</v>
      </c>
      <c r="W42" s="216" t="str">
        <v>4M-16M</v>
      </c>
      <c r="X42" s="324" t="str">
        <f t="shared" si="9"/>
        <v>4M-16M</v>
      </c>
      <c r="Y42" s="134" t="e">
        <f xml:space="preserve"> CHOOSE(NA(),
                       VLOOKUP(X42,[3]EUR1Y!$E$2:$H$1000,4,FALSE),
                       VLOOKUP(X42,[3]EUR1Y!$C$2:$H$1000,6,FALSE),
                       VLOOKUP(X42,[3]EUR1Y!$B$2:$H$1000,7,FALSE),
                       VLOOKUP(X42,[3]EUR1Y!$E$2:$H$1000,4,FALSE),
                       ""
                       )</f>
        <v>#N/A</v>
      </c>
      <c r="Z42" s="173" t="e">
        <f t="shared" si="10"/>
        <v>#N/A</v>
      </c>
      <c r="AA42" s="134">
        <v>-3.6999999999999998E-2</v>
      </c>
      <c r="AB42" s="173">
        <f t="shared" si="11"/>
        <v>-3.6999999999999998E-2</v>
      </c>
      <c r="AC42" s="219">
        <f t="shared" si="12"/>
        <v>-3.6999999999999998E-2</v>
      </c>
      <c r="AE42" s="216" t="str">
        <v>3Y</v>
      </c>
      <c r="AF42" s="324" t="str">
        <f t="shared" si="13"/>
        <v>3Y</v>
      </c>
      <c r="AG42" s="134">
        <f>CHOOSE($B42,
                       VLOOKUP(AF42,[4]EURStd!$E$2:$H$1000,4,FALSE),
                       VLOOKUP(AF42,[4]EURStd!$C$2:$H$1000,6,FALSE),
                       VLOOKUP(AF42,[4]EURStd!$B$2:$H$1000,7,FALSE),
                       VLOOKUP(AF42,[4]EURStd!$E$2:$H$1000,4,FALSE),
                       ""
                       )</f>
        <v>0.753</v>
      </c>
      <c r="AH42" s="173">
        <f t="shared" si="14"/>
        <v>0.753</v>
      </c>
      <c r="AI42" s="134">
        <v>100.1525</v>
      </c>
      <c r="AJ42" s="173">
        <f t="shared" si="15"/>
        <v>100.1525</v>
      </c>
      <c r="AK42" s="219">
        <f t="shared" si="16"/>
        <v>100.1525</v>
      </c>
      <c r="AM42" s="137" t="str">
        <v>14M</v>
      </c>
      <c r="AN42" s="324" t="str">
        <f t="shared" si="32"/>
        <v>14M</v>
      </c>
      <c r="AO42" s="134">
        <f>VLOOKUP(AN42,'[5]EUR-OIS'!$E$2:$H$1000,4,FALSE)</f>
        <v>0.16700000000000001</v>
      </c>
      <c r="AP42" s="173">
        <f t="shared" si="17"/>
        <v>0.16700000000000001</v>
      </c>
      <c r="AQ42" s="134">
        <v>-0.35277767900000001</v>
      </c>
      <c r="AR42" s="173">
        <f t="shared" si="18"/>
        <v>-0.35277767900000001</v>
      </c>
      <c r="AS42" s="219">
        <f t="shared" si="19"/>
        <v>-0.35277767900000001</v>
      </c>
      <c r="AU42" s="137" t="str">
        <v>18M</v>
      </c>
      <c r="AV42" s="144" t="str">
        <f t="shared" si="20"/>
        <v>18M</v>
      </c>
      <c r="AW42" s="144" t="e">
        <f>VLOOKUP(AV42,[6]EURFIX1RM!$E$2:$H$1009,4,FALSE)</f>
        <v>#N/A</v>
      </c>
      <c r="AX42" s="173" t="e">
        <f t="shared" si="21"/>
        <v>#N/A</v>
      </c>
      <c r="AY42" s="134">
        <v>-0.363992329</v>
      </c>
      <c r="AZ42" s="173">
        <f t="shared" si="22"/>
        <v>-0.363992329</v>
      </c>
      <c r="BA42" s="219">
        <f t="shared" si="23"/>
        <v>-0.363992329</v>
      </c>
      <c r="BD42" s="321" t="str">
        <v>10M-16M</v>
      </c>
      <c r="BE42" s="348">
        <f t="shared" si="24"/>
        <v>-0.13400000000000001</v>
      </c>
      <c r="BF42" s="321" t="str">
        <v>10M-13M</v>
      </c>
      <c r="BG42" s="426" t="b">
        <f t="shared" si="25"/>
        <v>0</v>
      </c>
      <c r="BH42" s="426" t="b">
        <f t="shared" si="33"/>
        <v>0</v>
      </c>
      <c r="BI42" s="426" t="b">
        <f t="shared" si="26"/>
        <v>1</v>
      </c>
      <c r="BJ42" s="426" t="str">
        <v>DEC 17</v>
      </c>
      <c r="BK42" s="30">
        <f t="shared" si="27"/>
        <v>100.24250000000001</v>
      </c>
      <c r="BL42" s="321" t="str">
        <v>4M-16M</v>
      </c>
      <c r="BM42" s="30">
        <f t="shared" si="28"/>
        <v>-3.6999999999999998E-2</v>
      </c>
      <c r="BN42" s="216" t="str">
        <v>3Y</v>
      </c>
      <c r="BO42" s="349">
        <f t="shared" si="29"/>
        <v>-6.0999999999999999E-2</v>
      </c>
      <c r="BP42" s="137" t="str">
        <v>14M</v>
      </c>
      <c r="BQ42" s="349">
        <f t="shared" si="30"/>
        <v>-0.35277767900000001</v>
      </c>
      <c r="BR42" s="137" t="str">
        <v>18M</v>
      </c>
      <c r="BS42" s="349">
        <f t="shared" si="31"/>
        <v>-0.363992329</v>
      </c>
      <c r="CS42" s="332"/>
      <c r="CT42" s="366" t="s">
        <v>1391</v>
      </c>
      <c r="CU42" s="307" t="s">
        <v>208</v>
      </c>
      <c r="CV42" s="307" t="s">
        <v>195</v>
      </c>
      <c r="CW42" s="366" t="s">
        <v>17</v>
      </c>
      <c r="CX42" s="307">
        <v>0.442</v>
      </c>
      <c r="CY42" s="307">
        <v>0.442</v>
      </c>
      <c r="CZ42" s="307">
        <v>0.442</v>
      </c>
    </row>
    <row r="43" spans="1:104">
      <c r="A43" s="130" t="str">
        <v>4Y</v>
      </c>
      <c r="B43" s="206">
        <v>4</v>
      </c>
      <c r="C43" s="321" t="str">
        <v>11M-17M</v>
      </c>
      <c r="D43" s="415" t="str">
        <f t="shared" si="0"/>
        <v>11M-17M</v>
      </c>
      <c r="E43" s="360" t="e">
        <f>CHOOSE(NA(),
                       VLOOKUP(D43,[1]EUR6M!$E$2:$H$1000,4,FALSE),
                       VLOOKUP(D43,[1]EUR6M!$C$2:$H$1000,6,FALSE),
                       VLOOKUP(D43,[1]EUR6M!$B$2:$H$1000,7,FALSE),
                       VLOOKUP(D43,[1]EUR6M!$E$2:$H$1000,4,FALSE),
                       ""
                       )</f>
        <v>#N/A</v>
      </c>
      <c r="F43" s="361" t="e">
        <f t="shared" si="1"/>
        <v>#N/A</v>
      </c>
      <c r="G43" s="134">
        <v>-0.123</v>
      </c>
      <c r="H43" s="361">
        <f t="shared" si="2"/>
        <v>-0.123</v>
      </c>
      <c r="I43" s="362">
        <f t="shared" si="3"/>
        <v>-0.123</v>
      </c>
      <c r="M43" s="216" t="str">
        <v>MAR 18</v>
      </c>
      <c r="N43" s="324" t="str">
        <f t="shared" si="4"/>
        <v>MAR 18</v>
      </c>
      <c r="O43" s="134" t="e">
        <f>CHOOSE($B43,
                       VLOOKUP(N43,[2]EUR3M!$E$2:$H$1000,4,FALSE),
                       VLOOKUP(N43,[2]EUR3M!$C$2:$H$1000,6,FALSE),
                       VLOOKUP(N43,[2]EUR3M!$B$2:$H$1000,7,FALSE),
                       VLOOKUP(N43,[2]EUR3M!$E$2:$H$1000,4,FALSE),
                       ""
                       )</f>
        <v>#N/A</v>
      </c>
      <c r="P43" s="173" t="e">
        <f t="shared" si="5"/>
        <v>#N/A</v>
      </c>
      <c r="Q43" s="424" t="s">
        <v>3866</v>
      </c>
      <c r="R43" s="130" t="b">
        <f t="shared" si="6"/>
        <v>1</v>
      </c>
      <c r="S43" s="134">
        <v>100.2175</v>
      </c>
      <c r="T43" s="173">
        <f t="shared" si="7"/>
        <v>-0.21750000000000114</v>
      </c>
      <c r="U43" s="219">
        <f t="shared" si="8"/>
        <v>-0.21750000000000114</v>
      </c>
      <c r="W43" s="216" t="str">
        <v>5M-17M</v>
      </c>
      <c r="X43" s="324" t="str">
        <f t="shared" si="9"/>
        <v>5M-17M</v>
      </c>
      <c r="Y43" s="134" t="e">
        <f xml:space="preserve"> CHOOSE(NA(),
                       VLOOKUP(X43,[3]EUR1Y!$E$2:$H$1000,4,FALSE),
                       VLOOKUP(X43,[3]EUR1Y!$C$2:$H$1000,6,FALSE),
                       VLOOKUP(X43,[3]EUR1Y!$B$2:$H$1000,7,FALSE),
                       VLOOKUP(X43,[3]EUR1Y!$E$2:$H$1000,4,FALSE),
                       ""
                       )</f>
        <v>#N/A</v>
      </c>
      <c r="Z43" s="173" t="e">
        <f t="shared" si="10"/>
        <v>#N/A</v>
      </c>
      <c r="AA43" s="134">
        <v>-2.5999999999999999E-2</v>
      </c>
      <c r="AB43" s="173">
        <f t="shared" si="11"/>
        <v>-2.5999999999999999E-2</v>
      </c>
      <c r="AC43" s="219">
        <f t="shared" si="12"/>
        <v>-2.5999999999999999E-2</v>
      </c>
      <c r="AE43" s="216" t="str">
        <v>4Y</v>
      </c>
      <c r="AF43" s="324" t="str">
        <f t="shared" si="13"/>
        <v>4Y</v>
      </c>
      <c r="AG43" s="134">
        <f>CHOOSE($B43,
                       VLOOKUP(AF43,[4]EURStd!$E$2:$H$1000,4,FALSE),
                       VLOOKUP(AF43,[4]EURStd!$C$2:$H$1000,6,FALSE),
                       VLOOKUP(AF43,[4]EURStd!$B$2:$H$1000,7,FALSE),
                       VLOOKUP(AF43,[4]EURStd!$E$2:$H$1000,4,FALSE),
                       ""
                       )</f>
        <v>0.99199999999999999</v>
      </c>
      <c r="AH43" s="173">
        <f t="shared" si="14"/>
        <v>0.99199999999999999</v>
      </c>
      <c r="AI43" s="134">
        <v>-6.0999999999999999E-2</v>
      </c>
      <c r="AJ43" s="173">
        <f t="shared" si="15"/>
        <v>-6.0999999999999999E-2</v>
      </c>
      <c r="AK43" s="219">
        <f t="shared" si="16"/>
        <v>-6.0999999999999999E-2</v>
      </c>
      <c r="AM43" s="137" t="str">
        <v>15M</v>
      </c>
      <c r="AN43" s="324" t="str">
        <f t="shared" si="32"/>
        <v>15M</v>
      </c>
      <c r="AO43" s="134">
        <f>VLOOKUP(AN43,'[5]EUR-OIS'!$E$2:$H$1000,4,FALSE)</f>
        <v>0.17299999999999999</v>
      </c>
      <c r="AP43" s="173">
        <f t="shared" si="17"/>
        <v>0.17299999999999999</v>
      </c>
      <c r="AQ43" s="134">
        <v>-0.35199999999999998</v>
      </c>
      <c r="AR43" s="173">
        <f t="shared" si="18"/>
        <v>-0.35199999999999998</v>
      </c>
      <c r="AS43" s="219">
        <f t="shared" si="19"/>
        <v>-0.35199999999999998</v>
      </c>
      <c r="AU43" s="137" t="str">
        <v>21M</v>
      </c>
      <c r="AV43" s="144" t="str">
        <f t="shared" si="20"/>
        <v>21M</v>
      </c>
      <c r="AW43" s="144" t="e">
        <f>VLOOKUP(AV43,[6]EURFIX1RM!$E$2:$H$1009,4,FALSE)</f>
        <v>#N/A</v>
      </c>
      <c r="AX43" s="173" t="e">
        <f t="shared" si="21"/>
        <v>#N/A</v>
      </c>
      <c r="AY43" s="134">
        <v>-0.35653697200000001</v>
      </c>
      <c r="AZ43" s="173">
        <f t="shared" si="22"/>
        <v>-0.35653697200000001</v>
      </c>
      <c r="BA43" s="219">
        <f t="shared" si="23"/>
        <v>-0.35653697200000001</v>
      </c>
      <c r="BD43" s="321" t="str">
        <v>11M-17M</v>
      </c>
      <c r="BE43" s="348">
        <f t="shared" si="24"/>
        <v>-0.123</v>
      </c>
      <c r="BF43" s="321" t="str">
        <v>11M-14M</v>
      </c>
      <c r="BG43" s="426" t="b">
        <f t="shared" si="25"/>
        <v>0</v>
      </c>
      <c r="BH43" s="426" t="b">
        <f t="shared" si="33"/>
        <v>0</v>
      </c>
      <c r="BI43" s="426" t="b">
        <f t="shared" si="26"/>
        <v>1</v>
      </c>
      <c r="BJ43" s="426" t="str">
        <v>MAR 18</v>
      </c>
      <c r="BK43" s="30">
        <f t="shared" si="27"/>
        <v>100.2175</v>
      </c>
      <c r="BL43" s="321" t="str">
        <v>5M-17M</v>
      </c>
      <c r="BM43" s="30">
        <f t="shared" si="28"/>
        <v>-2.5999999999999999E-2</v>
      </c>
      <c r="BN43" s="216" t="str">
        <v>4Y</v>
      </c>
      <c r="BO43" s="349">
        <f t="shared" si="29"/>
        <v>2.8000000000000001E-2</v>
      </c>
      <c r="BP43" s="137" t="str">
        <v>15M</v>
      </c>
      <c r="BQ43" s="349">
        <f t="shared" si="30"/>
        <v>-0.35199999999999998</v>
      </c>
      <c r="BR43" s="137" t="str">
        <v>21M</v>
      </c>
      <c r="BS43" s="349">
        <f t="shared" si="31"/>
        <v>-0.35653697200000001</v>
      </c>
      <c r="CS43" s="332"/>
      <c r="CT43" s="366" t="s">
        <v>1392</v>
      </c>
      <c r="CU43" s="307" t="s">
        <v>208</v>
      </c>
      <c r="CV43" s="307" t="s">
        <v>195</v>
      </c>
      <c r="CW43" s="366" t="s">
        <v>31</v>
      </c>
      <c r="CX43" s="307">
        <v>0.53659216799999998</v>
      </c>
      <c r="CY43" s="307">
        <v>0.53659216799999998</v>
      </c>
      <c r="CZ43" s="307">
        <v>0.53659216799999998</v>
      </c>
    </row>
    <row r="44" spans="1:104">
      <c r="A44" s="130" t="str">
        <v>5Y</v>
      </c>
      <c r="B44" s="206">
        <v>4</v>
      </c>
      <c r="C44" s="321" t="str">
        <v>12M-18M</v>
      </c>
      <c r="D44" s="415" t="str">
        <f t="shared" si="0"/>
        <v>12M-18M</v>
      </c>
      <c r="E44" s="360" t="e">
        <f>CHOOSE(NA(),
                       VLOOKUP(D44,[1]EUR6M!$E$2:$H$1000,4,FALSE),
                       VLOOKUP(D44,[1]EUR6M!$C$2:$H$1000,6,FALSE),
                       VLOOKUP(D44,[1]EUR6M!$B$2:$H$1000,7,FALSE),
                       VLOOKUP(D44,[1]EUR6M!$E$2:$H$1000,4,FALSE),
                       ""
                       )</f>
        <v>#N/A</v>
      </c>
      <c r="F44" s="361" t="e">
        <f t="shared" si="1"/>
        <v>#N/A</v>
      </c>
      <c r="G44" s="134">
        <v>-0.114</v>
      </c>
      <c r="H44" s="361">
        <f t="shared" si="2"/>
        <v>-0.114</v>
      </c>
      <c r="I44" s="362">
        <f t="shared" si="3"/>
        <v>-0.114</v>
      </c>
      <c r="M44" s="216" t="str">
        <v>JUN 18</v>
      </c>
      <c r="N44" s="324" t="str">
        <f t="shared" si="4"/>
        <v>JUN 18</v>
      </c>
      <c r="O44" s="134" t="e">
        <f>CHOOSE($B44,
                       VLOOKUP(N44,[2]EUR3M!$E$2:$H$1000,4,FALSE),
                       VLOOKUP(N44,[2]EUR3M!$C$2:$H$1000,6,FALSE),
                       VLOOKUP(N44,[2]EUR3M!$B$2:$H$1000,7,FALSE),
                       VLOOKUP(N44,[2]EUR3M!$E$2:$H$1000,4,FALSE),
                       ""
                       )</f>
        <v>#N/A</v>
      </c>
      <c r="P44" s="173" t="e">
        <f t="shared" si="5"/>
        <v>#N/A</v>
      </c>
      <c r="Q44" s="134" t="s">
        <v>3889</v>
      </c>
      <c r="R44" s="130" t="b">
        <f t="shared" si="6"/>
        <v>1</v>
      </c>
      <c r="S44" s="134">
        <v>100.1875</v>
      </c>
      <c r="T44" s="173">
        <f t="shared" si="7"/>
        <v>-0.1875</v>
      </c>
      <c r="U44" s="219">
        <f t="shared" si="8"/>
        <v>-0.1875</v>
      </c>
      <c r="W44" s="216" t="str">
        <v>6M-18M</v>
      </c>
      <c r="X44" s="324" t="str">
        <f t="shared" si="9"/>
        <v>6M-18M</v>
      </c>
      <c r="Y44" s="134" t="e">
        <f xml:space="preserve"> CHOOSE(NA(),
                       VLOOKUP(X44,[3]EUR1Y!$E$2:$H$1000,4,FALSE),
                       VLOOKUP(X44,[3]EUR1Y!$C$2:$H$1000,6,FALSE),
                       VLOOKUP(X44,[3]EUR1Y!$B$2:$H$1000,7,FALSE),
                       VLOOKUP(X44,[3]EUR1Y!$E$2:$H$1000,4,FALSE),
                       ""
                       )</f>
        <v>#N/A</v>
      </c>
      <c r="Z44" s="173" t="e">
        <f t="shared" si="10"/>
        <v>#N/A</v>
      </c>
      <c r="AA44" s="134">
        <v>-1.6E-2</v>
      </c>
      <c r="AB44" s="173">
        <f t="shared" si="11"/>
        <v>-1.6E-2</v>
      </c>
      <c r="AC44" s="219">
        <f t="shared" si="12"/>
        <v>-1.6E-2</v>
      </c>
      <c r="AE44" s="216" t="str">
        <v>5Y</v>
      </c>
      <c r="AF44" s="324" t="str">
        <f t="shared" si="13"/>
        <v>5Y</v>
      </c>
      <c r="AG44" s="134">
        <f>CHOOSE($B44,
                       VLOOKUP(AF44,[4]EURStd!$E$2:$H$1000,4,FALSE),
                       VLOOKUP(AF44,[4]EURStd!$C$2:$H$1000,6,FALSE),
                       VLOOKUP(AF44,[4]EURStd!$B$2:$H$1000,7,FALSE),
                       VLOOKUP(AF44,[4]EURStd!$E$2:$H$1000,4,FALSE),
                       ""
                       )</f>
        <v>1.228</v>
      </c>
      <c r="AH44" s="173">
        <f t="shared" si="14"/>
        <v>1.228</v>
      </c>
      <c r="AI44" s="134">
        <v>2.8000000000000001E-2</v>
      </c>
      <c r="AJ44" s="173">
        <f t="shared" si="15"/>
        <v>2.8000000000000001E-2</v>
      </c>
      <c r="AK44" s="219">
        <f t="shared" si="16"/>
        <v>2.8000000000000001E-2</v>
      </c>
      <c r="AM44" s="137" t="str">
        <v>16M</v>
      </c>
      <c r="AN44" s="324" t="str">
        <f t="shared" si="32"/>
        <v>16M</v>
      </c>
      <c r="AO44" s="134">
        <f>VLOOKUP(AN44,'[5]EUR-OIS'!$E$2:$H$1000,4,FALSE)</f>
        <v>0.18</v>
      </c>
      <c r="AP44" s="173">
        <f t="shared" si="17"/>
        <v>0.18</v>
      </c>
      <c r="AQ44" s="134">
        <v>-0.351173034</v>
      </c>
      <c r="AR44" s="173">
        <f t="shared" si="18"/>
        <v>-0.351173034</v>
      </c>
      <c r="AS44" s="219">
        <f t="shared" si="19"/>
        <v>-0.351173034</v>
      </c>
      <c r="AU44" s="137" t="str">
        <v>2Y</v>
      </c>
      <c r="AV44" s="144" t="str">
        <f t="shared" si="20"/>
        <v>2Y</v>
      </c>
      <c r="AW44" s="144">
        <f>VLOOKUP(AV44,[6]EURFIX1RM!$E$2:$H$1009,4,FALSE)</f>
        <v>0.30199999999999999</v>
      </c>
      <c r="AX44" s="173">
        <f t="shared" si="21"/>
        <v>0.30199999999999999</v>
      </c>
      <c r="AY44" s="134">
        <v>-0.34699999999999998</v>
      </c>
      <c r="AZ44" s="173">
        <f t="shared" si="22"/>
        <v>-0.34699999999999998</v>
      </c>
      <c r="BA44" s="219">
        <f t="shared" si="23"/>
        <v>-0.34699999999999998</v>
      </c>
      <c r="BD44" s="321" t="str">
        <v>12M-18M</v>
      </c>
      <c r="BE44" s="348">
        <f t="shared" si="24"/>
        <v>-0.114</v>
      </c>
      <c r="BF44" s="321" t="str">
        <v>12M-15M</v>
      </c>
      <c r="BG44" s="426" t="b">
        <f t="shared" si="25"/>
        <v>0</v>
      </c>
      <c r="BH44" s="426" t="b">
        <f t="shared" si="33"/>
        <v>1</v>
      </c>
      <c r="BI44" s="426" t="b">
        <f t="shared" si="26"/>
        <v>1</v>
      </c>
      <c r="BJ44" s="426" t="str">
        <v>JUN 18</v>
      </c>
      <c r="BK44" s="30">
        <f t="shared" si="27"/>
        <v>100.1875</v>
      </c>
      <c r="BL44" s="321" t="str">
        <v>6M-18M</v>
      </c>
      <c r="BM44" s="30">
        <f t="shared" si="28"/>
        <v>-1.6E-2</v>
      </c>
      <c r="BN44" s="216" t="str">
        <v>5Y</v>
      </c>
      <c r="BO44" s="349">
        <f t="shared" si="29"/>
        <v>0.13200000000000001</v>
      </c>
      <c r="BP44" s="137" t="str">
        <v>16M</v>
      </c>
      <c r="BQ44" s="349">
        <f t="shared" si="30"/>
        <v>-0.351173034</v>
      </c>
      <c r="BR44" s="137" t="str">
        <v>2Y</v>
      </c>
      <c r="BS44" s="349">
        <f t="shared" si="31"/>
        <v>-0.34699999999999998</v>
      </c>
      <c r="CS44" s="332"/>
      <c r="CT44" s="366" t="s">
        <v>1393</v>
      </c>
      <c r="CU44" s="307" t="s">
        <v>208</v>
      </c>
      <c r="CV44" s="307" t="s">
        <v>195</v>
      </c>
      <c r="CW44" s="366" t="s">
        <v>18</v>
      </c>
      <c r="CX44" s="307">
        <v>0.621</v>
      </c>
      <c r="CY44" s="307">
        <v>0.621</v>
      </c>
      <c r="CZ44" s="307">
        <v>0.621</v>
      </c>
    </row>
    <row r="45" spans="1:104">
      <c r="A45" s="130" t="str">
        <v>6Y</v>
      </c>
      <c r="B45" s="206">
        <v>4</v>
      </c>
      <c r="C45" s="321" t="str">
        <v>13M-19M</v>
      </c>
      <c r="D45" s="415" t="str">
        <f t="shared" si="0"/>
        <v>13M-19M</v>
      </c>
      <c r="E45" s="360" t="e">
        <f>CHOOSE(NA(),
                       VLOOKUP(D45,[1]EUR6M!$E$2:$H$1000,4,FALSE),
                       VLOOKUP(D45,[1]EUR6M!$C$2:$H$1000,6,FALSE),
                       VLOOKUP(D45,[1]EUR6M!$B$2:$H$1000,7,FALSE),
                       VLOOKUP(D45,[1]EUR6M!$E$2:$H$1000,4,FALSE),
                       ""
                       )</f>
        <v>#N/A</v>
      </c>
      <c r="F45" s="361" t="e">
        <f t="shared" si="1"/>
        <v>#N/A</v>
      </c>
      <c r="G45" s="134">
        <v>-0.104</v>
      </c>
      <c r="H45" s="361">
        <f t="shared" si="2"/>
        <v>-0.104</v>
      </c>
      <c r="I45" s="362">
        <f t="shared" si="3"/>
        <v>-0.104</v>
      </c>
      <c r="L45" s="41"/>
      <c r="M45" s="216" t="str">
        <v>SEP 18</v>
      </c>
      <c r="N45" s="324" t="str">
        <f t="shared" si="4"/>
        <v>SEP 18</v>
      </c>
      <c r="O45" s="134" t="e">
        <f>CHOOSE($B45,
                       VLOOKUP(N45,[2]EUR3M!$E$2:$H$1000,4,FALSE),
                       VLOOKUP(N45,[2]EUR3M!$C$2:$H$1000,6,FALSE),
                       VLOOKUP(N45,[2]EUR3M!$B$2:$H$1000,7,FALSE),
                       VLOOKUP(N45,[2]EUR3M!$E$2:$H$1000,4,FALSE),
                       ""
                       )</f>
        <v>#N/A</v>
      </c>
      <c r="P45" s="173" t="e">
        <f t="shared" si="5"/>
        <v>#N/A</v>
      </c>
      <c r="Q45" s="134" t="s">
        <v>3890</v>
      </c>
      <c r="R45" s="130" t="b">
        <f t="shared" si="6"/>
        <v>1</v>
      </c>
      <c r="S45" s="134">
        <v>100.1525</v>
      </c>
      <c r="T45" s="173">
        <f t="shared" si="7"/>
        <v>-0.15250000000000341</v>
      </c>
      <c r="U45" s="219">
        <f t="shared" si="8"/>
        <v>-0.15250000000000341</v>
      </c>
      <c r="W45" s="216" t="str">
        <v>7M-19M</v>
      </c>
      <c r="X45" s="324" t="str">
        <f t="shared" si="9"/>
        <v>7M-19M</v>
      </c>
      <c r="Y45" s="134" t="e">
        <f xml:space="preserve"> CHOOSE(NA(),
                       VLOOKUP(X45,[3]EUR1Y!$E$2:$H$1000,4,FALSE),
                       VLOOKUP(X45,[3]EUR1Y!$C$2:$H$1000,6,FALSE),
                       VLOOKUP(X45,[3]EUR1Y!$B$2:$H$1000,7,FALSE),
                       VLOOKUP(X45,[3]EUR1Y!$E$2:$H$1000,4,FALSE),
                       ""
                       )</f>
        <v>#N/A</v>
      </c>
      <c r="Z45" s="173" t="e">
        <f t="shared" si="10"/>
        <v>#N/A</v>
      </c>
      <c r="AA45" s="134">
        <v>-5.0000000000000001E-3</v>
      </c>
      <c r="AB45" s="173">
        <f t="shared" si="11"/>
        <v>-5.0000000000000001E-3</v>
      </c>
      <c r="AC45" s="219">
        <f t="shared" si="12"/>
        <v>-5.0000000000000001E-3</v>
      </c>
      <c r="AE45" s="216" t="str">
        <v>6Y</v>
      </c>
      <c r="AF45" s="324" t="str">
        <f t="shared" si="13"/>
        <v>6Y</v>
      </c>
      <c r="AG45" s="134">
        <f>CHOOSE($B45,
                       VLOOKUP(AF45,[4]EURStd!$E$2:$H$1000,4,FALSE),
                       VLOOKUP(AF45,[4]EURStd!$C$2:$H$1000,6,FALSE),
                       VLOOKUP(AF45,[4]EURStd!$B$2:$H$1000,7,FALSE),
                       VLOOKUP(AF45,[4]EURStd!$E$2:$H$1000,4,FALSE),
                       ""
                       )</f>
        <v>1.4419999999999999</v>
      </c>
      <c r="AH45" s="173">
        <f t="shared" si="14"/>
        <v>1.4419999999999999</v>
      </c>
      <c r="AI45" s="134">
        <v>0.13200000000000001</v>
      </c>
      <c r="AJ45" s="173">
        <f t="shared" si="15"/>
        <v>0.13200000000000001</v>
      </c>
      <c r="AK45" s="219">
        <f t="shared" si="16"/>
        <v>0.13200000000000001</v>
      </c>
      <c r="AM45" s="137" t="str">
        <v>17M</v>
      </c>
      <c r="AN45" s="324" t="str">
        <f t="shared" si="32"/>
        <v>17M</v>
      </c>
      <c r="AO45" s="134">
        <f>VLOOKUP(AN45,'[5]EUR-OIS'!$E$2:$H$1000,4,FALSE)</f>
        <v>0.187</v>
      </c>
      <c r="AP45" s="173">
        <f t="shared" si="17"/>
        <v>0.187</v>
      </c>
      <c r="AQ45" s="134">
        <v>-0.35015672799999997</v>
      </c>
      <c r="AR45" s="173">
        <f t="shared" si="18"/>
        <v>-0.35015672799999997</v>
      </c>
      <c r="AS45" s="219">
        <f t="shared" si="19"/>
        <v>-0.35015672799999997</v>
      </c>
      <c r="AU45" s="137" t="str">
        <v>2Y3M</v>
      </c>
      <c r="AV45" s="144" t="str">
        <f t="shared" si="20"/>
        <v>2Y3M</v>
      </c>
      <c r="AW45" s="144">
        <f>VLOOKUP(AV45,[6]EURFIX1RM!$E$2:$H$1009,4,FALSE)</f>
        <v>0.33923683500000001</v>
      </c>
      <c r="AX45" s="173">
        <f t="shared" si="21"/>
        <v>0.33923683500000001</v>
      </c>
      <c r="AY45" s="134">
        <v>-0.33531118700000001</v>
      </c>
      <c r="AZ45" s="173">
        <f t="shared" si="22"/>
        <v>-0.33531118700000001</v>
      </c>
      <c r="BA45" s="219">
        <f t="shared" si="23"/>
        <v>-0.33531118700000001</v>
      </c>
      <c r="BD45" s="321" t="str">
        <v>13M-19M</v>
      </c>
      <c r="BE45" s="348">
        <f t="shared" si="24"/>
        <v>-0.104</v>
      </c>
      <c r="BF45" s="321" t="str">
        <v>DEC 17</v>
      </c>
      <c r="BG45" s="426" t="b">
        <f t="shared" si="25"/>
        <v>1</v>
      </c>
      <c r="BH45" s="426" t="b">
        <f t="shared" si="33"/>
        <v>1</v>
      </c>
      <c r="BI45" s="426" t="b">
        <f t="shared" si="26"/>
        <v>1</v>
      </c>
      <c r="BJ45" s="426" t="str">
        <v>SEP 18</v>
      </c>
      <c r="BK45" s="30">
        <f t="shared" si="27"/>
        <v>100.1525</v>
      </c>
      <c r="BL45" s="321" t="str">
        <v>7M-19M</v>
      </c>
      <c r="BM45" s="30">
        <f t="shared" si="28"/>
        <v>-5.0000000000000001E-3</v>
      </c>
      <c r="BN45" s="216" t="str">
        <v>6Y</v>
      </c>
      <c r="BO45" s="349">
        <f t="shared" si="29"/>
        <v>0.24199999999999999</v>
      </c>
      <c r="BP45" s="137" t="str">
        <v>17M</v>
      </c>
      <c r="BQ45" s="349">
        <f t="shared" si="30"/>
        <v>-0.35015672799999997</v>
      </c>
      <c r="BR45" s="137" t="str">
        <v>2Y3M</v>
      </c>
      <c r="BS45" s="349">
        <f t="shared" si="31"/>
        <v>-0.33531118700000001</v>
      </c>
      <c r="CS45" s="332"/>
      <c r="CT45" s="366" t="s">
        <v>1394</v>
      </c>
      <c r="CU45" s="307" t="s">
        <v>208</v>
      </c>
      <c r="CV45" s="307" t="s">
        <v>195</v>
      </c>
      <c r="CW45" s="366" t="s">
        <v>32</v>
      </c>
      <c r="CX45" s="307">
        <v>0.69459105899999996</v>
      </c>
      <c r="CY45" s="307">
        <v>0.69459105899999996</v>
      </c>
      <c r="CZ45" s="307">
        <v>0.69459105899999996</v>
      </c>
    </row>
    <row r="46" spans="1:104">
      <c r="A46" s="130" t="str">
        <v>7Y</v>
      </c>
      <c r="B46" s="206">
        <v>4</v>
      </c>
      <c r="C46" s="321" t="str">
        <v>14M-20M</v>
      </c>
      <c r="D46" s="415" t="str">
        <f t="shared" si="0"/>
        <v>14M-20M</v>
      </c>
      <c r="E46" s="360" t="e">
        <f>CHOOSE(NA(),
                       VLOOKUP(D46,[1]EUR6M!$E$2:$H$1000,4,FALSE),
                       VLOOKUP(D46,[1]EUR6M!$C$2:$H$1000,6,FALSE),
                       VLOOKUP(D46,[1]EUR6M!$B$2:$H$1000,7,FALSE),
                       VLOOKUP(D46,[1]EUR6M!$E$2:$H$1000,4,FALSE),
                       ""
                       )</f>
        <v>#N/A</v>
      </c>
      <c r="F46" s="361" t="e">
        <f t="shared" si="1"/>
        <v>#N/A</v>
      </c>
      <c r="G46" s="134">
        <v>-9.1999999999999998E-2</v>
      </c>
      <c r="H46" s="361">
        <f t="shared" si="2"/>
        <v>-9.1999999999999998E-2</v>
      </c>
      <c r="I46" s="362">
        <f t="shared" si="3"/>
        <v>-9.1999999999999998E-2</v>
      </c>
      <c r="L46" s="41"/>
      <c r="M46" s="216" t="str">
        <v>DEC 18</v>
      </c>
      <c r="N46" s="324" t="str">
        <f t="shared" si="4"/>
        <v>DEC 18</v>
      </c>
      <c r="O46" s="134" t="e">
        <f>CHOOSE($B46,
                       VLOOKUP(N46,[2]EUR3M!$E$2:$H$1000,4,FALSE),
                       VLOOKUP(N46,[2]EUR3M!$C$2:$H$1000,6,FALSE),
                       VLOOKUP(N46,[2]EUR3M!$B$2:$H$1000,7,FALSE),
                       VLOOKUP(N46,[2]EUR3M!$E$2:$H$1000,4,FALSE),
                       ""
                       )</f>
        <v>#N/A</v>
      </c>
      <c r="P46" s="173" t="e">
        <f t="shared" si="5"/>
        <v>#N/A</v>
      </c>
      <c r="Q46" s="424" t="s">
        <v>4821</v>
      </c>
      <c r="R46" s="130" t="b">
        <f t="shared" si="6"/>
        <v>1</v>
      </c>
      <c r="S46" s="134">
        <v>100.1125</v>
      </c>
      <c r="T46" s="173">
        <f t="shared" si="7"/>
        <v>-0.11249999999999716</v>
      </c>
      <c r="U46" s="219">
        <f t="shared" si="8"/>
        <v>-0.11249999999999716</v>
      </c>
      <c r="W46" s="216" t="str">
        <v>8M-20M</v>
      </c>
      <c r="X46" s="324" t="str">
        <f t="shared" si="9"/>
        <v>8M-20M</v>
      </c>
      <c r="Y46" s="134" t="e">
        <f xml:space="preserve"> CHOOSE(NA(),
                       VLOOKUP(X46,[3]EUR1Y!$E$2:$H$1000,4,FALSE),
                       VLOOKUP(X46,[3]EUR1Y!$C$2:$H$1000,6,FALSE),
                       VLOOKUP(X46,[3]EUR1Y!$B$2:$H$1000,7,FALSE),
                       VLOOKUP(X46,[3]EUR1Y!$E$2:$H$1000,4,FALSE),
                       ""
                       )</f>
        <v>#N/A</v>
      </c>
      <c r="Z46" s="173" t="e">
        <f t="shared" si="10"/>
        <v>#N/A</v>
      </c>
      <c r="AA46" s="134">
        <v>7.0000000000000001E-3</v>
      </c>
      <c r="AB46" s="173">
        <f t="shared" si="11"/>
        <v>7.0000000000000001E-3</v>
      </c>
      <c r="AC46" s="219">
        <f t="shared" si="12"/>
        <v>7.0000000000000001E-3</v>
      </c>
      <c r="AE46" s="216" t="str">
        <v>7Y</v>
      </c>
      <c r="AF46" s="324" t="str">
        <f t="shared" si="13"/>
        <v>7Y</v>
      </c>
      <c r="AG46" s="134">
        <f>CHOOSE($B46,
                       VLOOKUP(AF46,[4]EURStd!$E$2:$H$1000,4,FALSE),
                       VLOOKUP(AF46,[4]EURStd!$C$2:$H$1000,6,FALSE),
                       VLOOKUP(AF46,[4]EURStd!$B$2:$H$1000,7,FALSE),
                       VLOOKUP(AF46,[4]EURStd!$E$2:$H$1000,4,FALSE),
                       ""
                       )</f>
        <v>1.63</v>
      </c>
      <c r="AH46" s="173">
        <f t="shared" si="14"/>
        <v>1.63</v>
      </c>
      <c r="AI46" s="134">
        <v>0.24199999999999999</v>
      </c>
      <c r="AJ46" s="173">
        <f t="shared" si="15"/>
        <v>0.24199999999999999</v>
      </c>
      <c r="AK46" s="219">
        <f t="shared" si="16"/>
        <v>0.24199999999999999</v>
      </c>
      <c r="AM46" s="137" t="str">
        <v>18M</v>
      </c>
      <c r="AN46" s="324" t="str">
        <f t="shared" si="32"/>
        <v>18M</v>
      </c>
      <c r="AO46" s="134">
        <f>VLOOKUP(AN46,'[5]EUR-OIS'!$E$2:$H$1000,4,FALSE)</f>
        <v>0.192</v>
      </c>
      <c r="AP46" s="173">
        <f t="shared" si="17"/>
        <v>0.192</v>
      </c>
      <c r="AQ46" s="134">
        <v>-0.34899999999999998</v>
      </c>
      <c r="AR46" s="173">
        <f t="shared" si="18"/>
        <v>-0.34899999999999998</v>
      </c>
      <c r="AS46" s="219">
        <f t="shared" si="19"/>
        <v>-0.34899999999999998</v>
      </c>
      <c r="AU46" s="137" t="str">
        <v>2Y6M</v>
      </c>
      <c r="AV46" s="144" t="str">
        <f t="shared" si="20"/>
        <v>2Y6M</v>
      </c>
      <c r="AW46" s="144">
        <f>VLOOKUP(AV46,[6]EURFIX1RM!$E$2:$H$1009,4,FALSE)</f>
        <v>0.37991089300000003</v>
      </c>
      <c r="AX46" s="173">
        <f t="shared" si="21"/>
        <v>0.37991089300000003</v>
      </c>
      <c r="AY46" s="134">
        <v>-0.320549519</v>
      </c>
      <c r="AZ46" s="173">
        <f t="shared" si="22"/>
        <v>-0.320549519</v>
      </c>
      <c r="BA46" s="219">
        <f t="shared" si="23"/>
        <v>-0.320549519</v>
      </c>
      <c r="BD46" s="321" t="str">
        <v>14M-20M</v>
      </c>
      <c r="BE46" s="348">
        <f t="shared" si="24"/>
        <v>-9.1999999999999998E-2</v>
      </c>
      <c r="BF46" s="321" t="str">
        <v>MAR 18</v>
      </c>
      <c r="BG46" s="426" t="b">
        <f t="shared" si="25"/>
        <v>1</v>
      </c>
      <c r="BH46" s="426" t="b">
        <f t="shared" si="33"/>
        <v>1</v>
      </c>
      <c r="BI46" s="426" t="b">
        <f t="shared" si="26"/>
        <v>1</v>
      </c>
      <c r="BJ46" s="426" t="str">
        <v>DEC 18</v>
      </c>
      <c r="BK46" s="30">
        <f t="shared" si="27"/>
        <v>100.1125</v>
      </c>
      <c r="BL46" s="321" t="str">
        <v>8M-20M</v>
      </c>
      <c r="BM46" s="30">
        <f t="shared" si="28"/>
        <v>7.0000000000000001E-3</v>
      </c>
      <c r="BN46" s="216" t="str">
        <v>7Y</v>
      </c>
      <c r="BO46" s="349">
        <f t="shared" si="29"/>
        <v>0.35499999999999998</v>
      </c>
      <c r="BP46" s="137" t="str">
        <v>18M</v>
      </c>
      <c r="BQ46" s="349">
        <f t="shared" si="30"/>
        <v>-0.34899999999999998</v>
      </c>
      <c r="BR46" s="137" t="str">
        <v>2Y6M</v>
      </c>
      <c r="BS46" s="349">
        <f t="shared" si="31"/>
        <v>-0.320549519</v>
      </c>
      <c r="CS46" s="332"/>
      <c r="CT46" s="366" t="s">
        <v>1395</v>
      </c>
      <c r="CU46" s="307" t="s">
        <v>208</v>
      </c>
      <c r="CV46" s="307" t="s">
        <v>195</v>
      </c>
      <c r="CW46" s="366" t="s">
        <v>33</v>
      </c>
      <c r="CX46" s="307">
        <v>0.75882464900000002</v>
      </c>
      <c r="CY46" s="307">
        <v>0.75882464900000002</v>
      </c>
      <c r="CZ46" s="307">
        <v>0.75882464900000002</v>
      </c>
    </row>
    <row r="47" spans="1:104">
      <c r="A47" s="130" t="str">
        <v>8Y</v>
      </c>
      <c r="B47" s="206">
        <v>4</v>
      </c>
      <c r="C47" s="321" t="str">
        <v>15M-21M</v>
      </c>
      <c r="D47" s="415" t="str">
        <f t="shared" si="0"/>
        <v>15M-21M</v>
      </c>
      <c r="E47" s="360" t="e">
        <f>CHOOSE(NA(),
                       VLOOKUP(D47,[1]EUR6M!$E$2:$H$1000,4,FALSE),
                       VLOOKUP(D47,[1]EUR6M!$C$2:$H$1000,6,FALSE),
                       VLOOKUP(D47,[1]EUR6M!$B$2:$H$1000,7,FALSE),
                       VLOOKUP(D47,[1]EUR6M!$E$2:$H$1000,4,FALSE),
                       ""
                       )</f>
        <v>#N/A</v>
      </c>
      <c r="F47" s="361" t="e">
        <f t="shared" si="1"/>
        <v>#N/A</v>
      </c>
      <c r="G47" s="134">
        <v>-8.1000000000000003E-2</v>
      </c>
      <c r="H47" s="361">
        <f t="shared" si="2"/>
        <v>-8.1000000000000003E-2</v>
      </c>
      <c r="I47" s="362">
        <f t="shared" si="3"/>
        <v>-8.1000000000000003E-2</v>
      </c>
      <c r="M47" s="216" t="str">
        <v>MAR 19</v>
      </c>
      <c r="N47" s="324" t="str">
        <f t="shared" si="4"/>
        <v>MAR 19</v>
      </c>
      <c r="O47" s="134" t="e">
        <f>CHOOSE($B47,
                       VLOOKUP(N47,[2]EUR3M!$E$2:$H$1000,4,FALSE),
                       VLOOKUP(N47,[2]EUR3M!$C$2:$H$1000,6,FALSE),
                       VLOOKUP(N47,[2]EUR3M!$B$2:$H$1000,7,FALSE),
                       VLOOKUP(N47,[2]EUR3M!$E$2:$H$1000,4,FALSE),
                       ""
                       )</f>
        <v>#N/A</v>
      </c>
      <c r="P47" s="173" t="e">
        <f t="shared" si="5"/>
        <v>#N/A</v>
      </c>
      <c r="Q47" s="424" t="s">
        <v>5100</v>
      </c>
      <c r="R47" s="130" t="b">
        <f t="shared" si="6"/>
        <v>1</v>
      </c>
      <c r="S47" s="134">
        <v>100.0675</v>
      </c>
      <c r="T47" s="173">
        <f t="shared" si="7"/>
        <v>-6.7499999999995453E-2</v>
      </c>
      <c r="U47" s="219">
        <f t="shared" si="8"/>
        <v>-6.7499999999995453E-2</v>
      </c>
      <c r="W47" s="216" t="str">
        <v>9M-21M</v>
      </c>
      <c r="X47" s="324" t="str">
        <f t="shared" si="9"/>
        <v>9M-21M</v>
      </c>
      <c r="Y47" s="134" t="e">
        <f xml:space="preserve"> CHOOSE(NA(),
                       VLOOKUP(X47,[3]EUR1Y!$E$2:$H$1000,4,FALSE),
                       VLOOKUP(X47,[3]EUR1Y!$C$2:$H$1000,6,FALSE),
                       VLOOKUP(X47,[3]EUR1Y!$B$2:$H$1000,7,FALSE),
                       VLOOKUP(X47,[3]EUR1Y!$E$2:$H$1000,4,FALSE),
                       ""
                       )</f>
        <v>#N/A</v>
      </c>
      <c r="Z47" s="173" t="e">
        <f t="shared" si="10"/>
        <v>#N/A</v>
      </c>
      <c r="AA47" s="134">
        <v>1.7999999999999999E-2</v>
      </c>
      <c r="AB47" s="173">
        <f t="shared" si="11"/>
        <v>1.7999999999999999E-2</v>
      </c>
      <c r="AC47" s="219">
        <f t="shared" si="12"/>
        <v>1.7999999999999999E-2</v>
      </c>
      <c r="AE47" s="216" t="str">
        <v>8Y</v>
      </c>
      <c r="AF47" s="324" t="str">
        <f t="shared" si="13"/>
        <v>8Y</v>
      </c>
      <c r="AG47" s="134">
        <f>CHOOSE($B47,
                       VLOOKUP(AF47,[4]EURStd!$E$2:$H$1000,4,FALSE),
                       VLOOKUP(AF47,[4]EURStd!$C$2:$H$1000,6,FALSE),
                       VLOOKUP(AF47,[4]EURStd!$B$2:$H$1000,7,FALSE),
                       VLOOKUP(AF47,[4]EURStd!$E$2:$H$1000,4,FALSE),
                       ""
                       )</f>
        <v>1.7969999999999999</v>
      </c>
      <c r="AH47" s="173">
        <f t="shared" si="14"/>
        <v>1.7969999999999999</v>
      </c>
      <c r="AI47" s="134">
        <v>0.35499999999999998</v>
      </c>
      <c r="AJ47" s="173">
        <f t="shared" si="15"/>
        <v>0.35499999999999998</v>
      </c>
      <c r="AK47" s="219">
        <f t="shared" si="16"/>
        <v>0.35499999999999998</v>
      </c>
      <c r="AM47" s="137" t="str">
        <v>19M</v>
      </c>
      <c r="AN47" s="324" t="str">
        <f t="shared" si="32"/>
        <v>19M</v>
      </c>
      <c r="AO47" s="134">
        <f>VLOOKUP(AN47,'[5]EUR-OIS'!$E$2:$H$1000,4,FALSE)</f>
        <v>0.20100000000000001</v>
      </c>
      <c r="AP47" s="173">
        <f t="shared" si="17"/>
        <v>0.20100000000000001</v>
      </c>
      <c r="AQ47" s="134">
        <v>-0.34763409099999998</v>
      </c>
      <c r="AR47" s="173">
        <f t="shared" si="18"/>
        <v>-0.34763409099999998</v>
      </c>
      <c r="AS47" s="219">
        <f t="shared" si="19"/>
        <v>-0.34763409099999998</v>
      </c>
      <c r="AU47" s="137" t="str">
        <v>2Y9M</v>
      </c>
      <c r="AV47" s="144" t="str">
        <f t="shared" si="20"/>
        <v>2Y9M</v>
      </c>
      <c r="AW47" s="144">
        <f>VLOOKUP(AV47,[6]EURFIX1RM!$E$2:$H$1009,4,FALSE)</f>
        <v>0.42538931400000002</v>
      </c>
      <c r="AX47" s="173">
        <f t="shared" si="21"/>
        <v>0.42538931400000002</v>
      </c>
      <c r="AY47" s="134">
        <v>-0.30539198899999997</v>
      </c>
      <c r="AZ47" s="173">
        <f t="shared" si="22"/>
        <v>-0.30539198899999997</v>
      </c>
      <c r="BA47" s="219">
        <f t="shared" si="23"/>
        <v>-0.30539198899999997</v>
      </c>
      <c r="BD47" s="321" t="str">
        <v>15M-21M</v>
      </c>
      <c r="BE47" s="348">
        <f t="shared" si="24"/>
        <v>-8.1000000000000003E-2</v>
      </c>
      <c r="BF47" s="321" t="str">
        <v>JUN 18</v>
      </c>
      <c r="BG47" s="426" t="b">
        <f t="shared" si="25"/>
        <v>1</v>
      </c>
      <c r="BH47" s="426" t="b">
        <f t="shared" si="33"/>
        <v>1</v>
      </c>
      <c r="BI47" s="426" t="b">
        <f t="shared" si="26"/>
        <v>1</v>
      </c>
      <c r="BJ47" s="426" t="str">
        <v>MAR 19</v>
      </c>
      <c r="BK47" s="30">
        <f t="shared" si="27"/>
        <v>100.0675</v>
      </c>
      <c r="BL47" s="321" t="str">
        <v>9M-21M</v>
      </c>
      <c r="BM47" s="30">
        <f t="shared" si="28"/>
        <v>1.7999999999999999E-2</v>
      </c>
      <c r="BN47" s="216" t="str">
        <v>8Y</v>
      </c>
      <c r="BO47" s="349">
        <f t="shared" si="29"/>
        <v>0.46700000000000003</v>
      </c>
      <c r="BP47" s="137" t="str">
        <v>19M</v>
      </c>
      <c r="BQ47" s="349">
        <f t="shared" si="30"/>
        <v>-0.34763409099999998</v>
      </c>
      <c r="BR47" s="137" t="str">
        <v>2Y9M</v>
      </c>
      <c r="BS47" s="349">
        <f t="shared" si="31"/>
        <v>-0.30539198899999997</v>
      </c>
      <c r="CS47" s="332"/>
      <c r="CT47" s="366" t="s">
        <v>1396</v>
      </c>
      <c r="CU47" s="307" t="s">
        <v>208</v>
      </c>
      <c r="CV47" s="307" t="s">
        <v>195</v>
      </c>
      <c r="CW47" s="366" t="s">
        <v>19</v>
      </c>
      <c r="CX47" s="307">
        <v>0.81399999999999995</v>
      </c>
      <c r="CY47" s="307">
        <v>0.81399999999999995</v>
      </c>
      <c r="CZ47" s="307">
        <v>0.81399999999999995</v>
      </c>
    </row>
    <row r="48" spans="1:104">
      <c r="A48" s="130" t="str">
        <v>9Y</v>
      </c>
      <c r="B48" s="206">
        <v>4</v>
      </c>
      <c r="C48" s="321" t="str">
        <v>16M-22M</v>
      </c>
      <c r="D48" s="415" t="str">
        <f t="shared" si="0"/>
        <v>16M-22M</v>
      </c>
      <c r="E48" s="360" t="e">
        <f>CHOOSE(NA(),
                       VLOOKUP(D48,[1]EUR6M!$E$2:$H$1000,4,FALSE),
                       VLOOKUP(D48,[1]EUR6M!$C$2:$H$1000,6,FALSE),
                       VLOOKUP(D48,[1]EUR6M!$B$2:$H$1000,7,FALSE),
                       VLOOKUP(D48,[1]EUR6M!$E$2:$H$1000,4,FALSE),
                       ""
                       )</f>
        <v>#N/A</v>
      </c>
      <c r="F48" s="361" t="e">
        <f t="shared" si="1"/>
        <v>#N/A</v>
      </c>
      <c r="G48" s="134">
        <v>-7.0000000000000007E-2</v>
      </c>
      <c r="H48" s="361">
        <f t="shared" si="2"/>
        <v>-7.0000000000000007E-2</v>
      </c>
      <c r="I48" s="362">
        <f t="shared" si="3"/>
        <v>-7.0000000000000007E-2</v>
      </c>
      <c r="M48" s="216" t="str">
        <v>3Y</v>
      </c>
      <c r="N48" s="324" t="str">
        <f t="shared" si="4"/>
        <v>3Y</v>
      </c>
      <c r="O48" s="134">
        <f>CHOOSE($B48,
                       VLOOKUP(N48,[2]EUR3M!$E$2:$H$1000,4,FALSE),
                       VLOOKUP(N48,[2]EUR3M!$C$2:$H$1000,6,FALSE),
                       VLOOKUP(N48,[2]EUR3M!$B$2:$H$1000,7,FALSE),
                       VLOOKUP(N48,[2]EUR3M!$E$2:$H$1000,4,FALSE),
                       ""
                       )</f>
        <v>0.61799999999999999</v>
      </c>
      <c r="P48" s="173">
        <f t="shared" si="5"/>
        <v>0.61799999999999999</v>
      </c>
      <c r="Q48" s="424" t="s">
        <v>10</v>
      </c>
      <c r="R48" s="130" t="b">
        <f t="shared" si="6"/>
        <v>0</v>
      </c>
      <c r="S48" s="134">
        <v>-0.186</v>
      </c>
      <c r="T48" s="173">
        <f t="shared" si="7"/>
        <v>-0.186</v>
      </c>
      <c r="U48" s="219">
        <f t="shared" si="8"/>
        <v>-0.186</v>
      </c>
      <c r="W48" s="216" t="str">
        <v>10M-22M</v>
      </c>
      <c r="X48" s="324" t="str">
        <f t="shared" si="9"/>
        <v>10M-22M</v>
      </c>
      <c r="Y48" s="134" t="e">
        <f xml:space="preserve"> CHOOSE(NA(),
                       VLOOKUP(X48,[3]EUR1Y!$E$2:$H$1000,4,FALSE),
                       VLOOKUP(X48,[3]EUR1Y!$C$2:$H$1000,6,FALSE),
                       VLOOKUP(X48,[3]EUR1Y!$B$2:$H$1000,7,FALSE),
                       VLOOKUP(X48,[3]EUR1Y!$E$2:$H$1000,4,FALSE),
                       ""
                       )</f>
        <v>#N/A</v>
      </c>
      <c r="Z48" s="173" t="e">
        <f t="shared" si="10"/>
        <v>#N/A</v>
      </c>
      <c r="AA48" s="134">
        <v>0.03</v>
      </c>
      <c r="AB48" s="173">
        <f t="shared" si="11"/>
        <v>0.03</v>
      </c>
      <c r="AC48" s="219">
        <f t="shared" si="12"/>
        <v>0.03</v>
      </c>
      <c r="AE48" s="216" t="str">
        <v>9Y</v>
      </c>
      <c r="AF48" s="324" t="str">
        <f t="shared" si="13"/>
        <v>9Y</v>
      </c>
      <c r="AG48" s="134">
        <f>CHOOSE($B48,
                       VLOOKUP(AF48,[4]EURStd!$E$2:$H$1000,4,FALSE),
                       VLOOKUP(AF48,[4]EURStd!$C$2:$H$1000,6,FALSE),
                       VLOOKUP(AF48,[4]EURStd!$B$2:$H$1000,7,FALSE),
                       VLOOKUP(AF48,[4]EURStd!$E$2:$H$1000,4,FALSE),
                       ""
                       )</f>
        <v>1.944</v>
      </c>
      <c r="AH48" s="173">
        <f t="shared" si="14"/>
        <v>1.944</v>
      </c>
      <c r="AI48" s="134">
        <v>0.46700000000000003</v>
      </c>
      <c r="AJ48" s="173">
        <f t="shared" si="15"/>
        <v>0.46700000000000003</v>
      </c>
      <c r="AK48" s="219">
        <f t="shared" si="16"/>
        <v>0.46700000000000003</v>
      </c>
      <c r="AM48" s="137" t="str">
        <v>20M</v>
      </c>
      <c r="AN48" s="324" t="str">
        <f t="shared" si="32"/>
        <v>20M</v>
      </c>
      <c r="AO48" s="134">
        <f>VLOOKUP(AN48,'[5]EUR-OIS'!$E$2:$H$1000,4,FALSE)</f>
        <v>0.20899999999999999</v>
      </c>
      <c r="AP48" s="173">
        <f t="shared" si="17"/>
        <v>0.20899999999999999</v>
      </c>
      <c r="AQ48" s="134">
        <v>-0.34607578900000002</v>
      </c>
      <c r="AR48" s="173">
        <f t="shared" si="18"/>
        <v>-0.34607578900000002</v>
      </c>
      <c r="AS48" s="219">
        <f t="shared" si="19"/>
        <v>-0.34607578900000002</v>
      </c>
      <c r="AU48" s="137" t="str">
        <v>3Y</v>
      </c>
      <c r="AV48" s="144" t="str">
        <f t="shared" si="20"/>
        <v>3Y</v>
      </c>
      <c r="AW48" s="144">
        <f>VLOOKUP(AV48,[6]EURFIX1RM!$E$2:$H$1009,4,FALSE)</f>
        <v>0.47599999999999998</v>
      </c>
      <c r="AX48" s="173">
        <f t="shared" si="21"/>
        <v>0.47599999999999998</v>
      </c>
      <c r="AY48" s="134">
        <v>-0.28899999999999998</v>
      </c>
      <c r="AZ48" s="173">
        <f t="shared" si="22"/>
        <v>-0.28899999999999998</v>
      </c>
      <c r="BA48" s="219">
        <f t="shared" si="23"/>
        <v>-0.28899999999999998</v>
      </c>
      <c r="BD48" s="321" t="str">
        <v>16M-22M</v>
      </c>
      <c r="BE48" s="348">
        <f t="shared" si="24"/>
        <v>-7.0000000000000007E-2</v>
      </c>
      <c r="BF48" s="321" t="str">
        <v>SEP 18</v>
      </c>
      <c r="BG48" s="426" t="b">
        <f t="shared" si="25"/>
        <v>1</v>
      </c>
      <c r="BH48" s="426" t="b">
        <f t="shared" si="33"/>
        <v>1</v>
      </c>
      <c r="BI48" s="426" t="b">
        <f t="shared" si="26"/>
        <v>1</v>
      </c>
      <c r="BJ48" s="426" t="str">
        <v>3Y</v>
      </c>
      <c r="BK48" s="30">
        <f t="shared" si="27"/>
        <v>-0.186</v>
      </c>
      <c r="BL48" s="321" t="str">
        <v>10M-22M</v>
      </c>
      <c r="BM48" s="30">
        <f t="shared" si="28"/>
        <v>0.03</v>
      </c>
      <c r="BN48" s="216" t="str">
        <v>9Y</v>
      </c>
      <c r="BO48" s="349">
        <f t="shared" si="29"/>
        <v>0.57399999999999995</v>
      </c>
      <c r="BP48" s="137" t="str">
        <v>20M</v>
      </c>
      <c r="BQ48" s="349">
        <f t="shared" si="30"/>
        <v>-0.34607578900000002</v>
      </c>
      <c r="BR48" s="137" t="str">
        <v>3Y</v>
      </c>
      <c r="BS48" s="349">
        <f t="shared" si="31"/>
        <v>-0.28899999999999998</v>
      </c>
      <c r="CS48" s="332"/>
      <c r="CT48" s="366" t="s">
        <v>1397</v>
      </c>
      <c r="CU48" s="307" t="s">
        <v>208</v>
      </c>
      <c r="CV48" s="307" t="s">
        <v>195</v>
      </c>
      <c r="CW48" s="366" t="s">
        <v>34</v>
      </c>
      <c r="CX48" s="307">
        <v>0.86049465800000002</v>
      </c>
      <c r="CY48" s="307">
        <v>0.86049465800000002</v>
      </c>
      <c r="CZ48" s="307">
        <v>0.86049465800000002</v>
      </c>
    </row>
    <row r="49" spans="1:104">
      <c r="A49" s="130" t="str">
        <v>10Y</v>
      </c>
      <c r="B49" s="206">
        <v>4</v>
      </c>
      <c r="C49" s="321" t="str">
        <v>17M-23M</v>
      </c>
      <c r="D49" s="415" t="str">
        <f t="shared" si="0"/>
        <v>17M-23M</v>
      </c>
      <c r="E49" s="360" t="e">
        <f>CHOOSE(NA(),
                       VLOOKUP(D49,[1]EUR6M!$E$2:$H$1000,4,FALSE),
                       VLOOKUP(D49,[1]EUR6M!$C$2:$H$1000,6,FALSE),
                       VLOOKUP(D49,[1]EUR6M!$B$2:$H$1000,7,FALSE),
                       VLOOKUP(D49,[1]EUR6M!$E$2:$H$1000,4,FALSE),
                       ""
                       )</f>
        <v>#N/A</v>
      </c>
      <c r="F49" s="361" t="e">
        <f t="shared" si="1"/>
        <v>#N/A</v>
      </c>
      <c r="G49" s="134">
        <v>-5.6000000000000001E-2</v>
      </c>
      <c r="H49" s="361">
        <f t="shared" si="2"/>
        <v>-5.6000000000000001E-2</v>
      </c>
      <c r="I49" s="362">
        <f t="shared" si="3"/>
        <v>-5.6000000000000001E-2</v>
      </c>
      <c r="M49" s="216" t="str">
        <v>4Y</v>
      </c>
      <c r="N49" s="324" t="str">
        <f t="shared" si="4"/>
        <v>4Y</v>
      </c>
      <c r="O49" s="134">
        <f>CHOOSE($B49,
                       VLOOKUP(N49,[2]EUR3M!$E$2:$H$1000,4,FALSE),
                       VLOOKUP(N49,[2]EUR3M!$C$2:$H$1000,6,FALSE),
                       VLOOKUP(N49,[2]EUR3M!$B$2:$H$1000,7,FALSE),
                       VLOOKUP(N49,[2]EUR3M!$E$2:$H$1000,4,FALSE),
                       ""
                       )</f>
        <v>0.85699999999999998</v>
      </c>
      <c r="P49" s="173">
        <f t="shared" si="5"/>
        <v>0.85699999999999998</v>
      </c>
      <c r="Q49" s="424" t="s">
        <v>11</v>
      </c>
      <c r="R49" s="130" t="b">
        <f t="shared" si="6"/>
        <v>0</v>
      </c>
      <c r="S49" s="134">
        <v>-0.105</v>
      </c>
      <c r="T49" s="173">
        <f t="shared" si="7"/>
        <v>-0.105</v>
      </c>
      <c r="U49" s="219">
        <f t="shared" si="8"/>
        <v>-0.105</v>
      </c>
      <c r="W49" s="216" t="str">
        <v>11M-23M</v>
      </c>
      <c r="X49" s="324" t="str">
        <f t="shared" si="9"/>
        <v>11M-23M</v>
      </c>
      <c r="Y49" s="134" t="e">
        <f xml:space="preserve"> CHOOSE(NA(),
                       VLOOKUP(X49,[3]EUR1Y!$E$2:$H$1000,4,FALSE),
                       VLOOKUP(X49,[3]EUR1Y!$C$2:$H$1000,6,FALSE),
                       VLOOKUP(X49,[3]EUR1Y!$B$2:$H$1000,7,FALSE),
                       VLOOKUP(X49,[3]EUR1Y!$E$2:$H$1000,4,FALSE),
                       ""
                       )</f>
        <v>#N/A</v>
      </c>
      <c r="Z49" s="173" t="e">
        <f t="shared" si="10"/>
        <v>#N/A</v>
      </c>
      <c r="AA49" s="134">
        <v>4.3999999999999997E-2</v>
      </c>
      <c r="AB49" s="173">
        <f t="shared" si="11"/>
        <v>4.3999999999999997E-2</v>
      </c>
      <c r="AC49" s="219">
        <f t="shared" si="12"/>
        <v>4.3999999999999997E-2</v>
      </c>
      <c r="AE49" s="216" t="str">
        <v>10Y</v>
      </c>
      <c r="AF49" s="324" t="str">
        <f t="shared" si="13"/>
        <v>10Y</v>
      </c>
      <c r="AG49" s="134">
        <f>CHOOSE($B49,
                       VLOOKUP(AF49,[4]EURStd!$E$2:$H$1000,4,FALSE),
                       VLOOKUP(AF49,[4]EURStd!$C$2:$H$1000,6,FALSE),
                       VLOOKUP(AF49,[4]EURStd!$B$2:$H$1000,7,FALSE),
                       VLOOKUP(AF49,[4]EURStd!$E$2:$H$1000,4,FALSE),
                       ""
                       )</f>
        <v>2.0750000000000002</v>
      </c>
      <c r="AH49" s="173">
        <f t="shared" si="14"/>
        <v>2.0750000000000002</v>
      </c>
      <c r="AI49" s="134">
        <v>0.57399999999999995</v>
      </c>
      <c r="AJ49" s="173">
        <f t="shared" si="15"/>
        <v>0.57399999999999995</v>
      </c>
      <c r="AK49" s="219">
        <f t="shared" si="16"/>
        <v>0.57399999999999995</v>
      </c>
      <c r="AM49" s="137" t="str">
        <v>21M</v>
      </c>
      <c r="AN49" s="324" t="str">
        <f t="shared" si="32"/>
        <v>21M</v>
      </c>
      <c r="AO49" s="134">
        <f>VLOOKUP(AN49,'[5]EUR-OIS'!$E$2:$H$1000,4,FALSE)</f>
        <v>0.217</v>
      </c>
      <c r="AP49" s="173">
        <f t="shared" si="17"/>
        <v>0.217</v>
      </c>
      <c r="AQ49" s="134">
        <v>-0.34399999999999997</v>
      </c>
      <c r="AR49" s="173">
        <f t="shared" si="18"/>
        <v>-0.34399999999999997</v>
      </c>
      <c r="AS49" s="219">
        <f t="shared" si="19"/>
        <v>-0.34399999999999997</v>
      </c>
      <c r="AU49" s="137" t="str">
        <v>4Y</v>
      </c>
      <c r="AV49" s="144" t="str">
        <f t="shared" si="20"/>
        <v>4Y</v>
      </c>
      <c r="AW49" s="144">
        <f>VLOOKUP(AV49,[6]EURFIX1RM!$E$2:$H$1009,4,FALSE)</f>
        <v>0.70599999999999996</v>
      </c>
      <c r="AX49" s="173">
        <f t="shared" si="21"/>
        <v>0.70599999999999996</v>
      </c>
      <c r="AY49" s="134">
        <v>-0.21299999999999999</v>
      </c>
      <c r="AZ49" s="173">
        <f t="shared" si="22"/>
        <v>-0.21299999999999999</v>
      </c>
      <c r="BA49" s="219">
        <f t="shared" si="23"/>
        <v>-0.21299999999999999</v>
      </c>
      <c r="BD49" s="321" t="str">
        <v>17M-23M</v>
      </c>
      <c r="BE49" s="348">
        <f t="shared" si="24"/>
        <v>-5.6000000000000001E-2</v>
      </c>
      <c r="BF49" s="321" t="str">
        <v>DEC 18</v>
      </c>
      <c r="BG49" s="426" t="b">
        <f t="shared" si="25"/>
        <v>1</v>
      </c>
      <c r="BH49" s="426" t="b">
        <f t="shared" si="33"/>
        <v>1</v>
      </c>
      <c r="BI49" s="426" t="b">
        <f t="shared" si="26"/>
        <v>1</v>
      </c>
      <c r="BJ49" s="426" t="str">
        <v>4Y</v>
      </c>
      <c r="BK49" s="30">
        <f t="shared" si="27"/>
        <v>-0.105</v>
      </c>
      <c r="BL49" s="321" t="str">
        <v>11M-23M</v>
      </c>
      <c r="BM49" s="30">
        <f t="shared" si="28"/>
        <v>4.3999999999999997E-2</v>
      </c>
      <c r="BN49" s="216" t="str">
        <v>10Y</v>
      </c>
      <c r="BO49" s="349">
        <f t="shared" si="29"/>
        <v>0.67100000000000004</v>
      </c>
      <c r="BP49" s="137" t="str">
        <v>21M</v>
      </c>
      <c r="BQ49" s="349">
        <f t="shared" si="30"/>
        <v>-0.34399999999999997</v>
      </c>
      <c r="BR49" s="137" t="str">
        <v>4Y</v>
      </c>
      <c r="BS49" s="349">
        <f t="shared" si="31"/>
        <v>-0.21299999999999999</v>
      </c>
      <c r="CS49" s="332"/>
      <c r="CT49" s="366" t="s">
        <v>1398</v>
      </c>
      <c r="CU49" s="307" t="s">
        <v>208</v>
      </c>
      <c r="CV49" s="307" t="s">
        <v>195</v>
      </c>
      <c r="CW49" s="366" t="s">
        <v>35</v>
      </c>
      <c r="CX49" s="307">
        <v>0.89871899099999997</v>
      </c>
      <c r="CY49" s="307">
        <v>0.89871899099999997</v>
      </c>
      <c r="CZ49" s="307">
        <v>0.89871899099999997</v>
      </c>
    </row>
    <row r="50" spans="1:104">
      <c r="A50" s="130" t="str">
        <v>11Y</v>
      </c>
      <c r="B50" s="206">
        <v>4</v>
      </c>
      <c r="C50" s="321" t="str">
        <v>18M-24M</v>
      </c>
      <c r="D50" s="415" t="str">
        <f t="shared" si="0"/>
        <v>18M-24M</v>
      </c>
      <c r="E50" s="360" t="e">
        <f>CHOOSE(NA(),
                       VLOOKUP(D50,[1]EUR6M!$E$2:$H$1000,4,FALSE),
                       VLOOKUP(D50,[1]EUR6M!$C$2:$H$1000,6,FALSE),
                       VLOOKUP(D50,[1]EUR6M!$B$2:$H$1000,7,FALSE),
                       VLOOKUP(D50,[1]EUR6M!$E$2:$H$1000,4,FALSE),
                       ""
                       )</f>
        <v>#N/A</v>
      </c>
      <c r="F50" s="361" t="e">
        <f t="shared" si="1"/>
        <v>#N/A</v>
      </c>
      <c r="G50" s="134">
        <v>-4.2999999999999997E-2</v>
      </c>
      <c r="H50" s="361">
        <f t="shared" si="2"/>
        <v>-4.2999999999999997E-2</v>
      </c>
      <c r="I50" s="362">
        <f t="shared" si="3"/>
        <v>-4.2999999999999997E-2</v>
      </c>
      <c r="M50" s="216" t="str">
        <v>5Y</v>
      </c>
      <c r="N50" s="324" t="str">
        <f t="shared" si="4"/>
        <v>5Y</v>
      </c>
      <c r="O50" s="134">
        <f>CHOOSE($B50,
                       VLOOKUP(N50,[2]EUR3M!$E$2:$H$1000,4,FALSE),
                       VLOOKUP(N50,[2]EUR3M!$C$2:$H$1000,6,FALSE),
                       VLOOKUP(N50,[2]EUR3M!$B$2:$H$1000,7,FALSE),
                       VLOOKUP(N50,[2]EUR3M!$E$2:$H$1000,4,FALSE),
                       ""
                       )</f>
        <v>1.093</v>
      </c>
      <c r="P50" s="173">
        <f t="shared" si="5"/>
        <v>1.093</v>
      </c>
      <c r="Q50" s="424" t="s">
        <v>12</v>
      </c>
      <c r="R50" s="130" t="b">
        <f t="shared" si="6"/>
        <v>0</v>
      </c>
      <c r="S50" s="134">
        <v>-6.0000000000000001E-3</v>
      </c>
      <c r="T50" s="173">
        <f t="shared" si="7"/>
        <v>-6.0000000000000001E-3</v>
      </c>
      <c r="U50" s="219">
        <f t="shared" si="8"/>
        <v>-6.0000000000000001E-3</v>
      </c>
      <c r="W50" s="216" t="str">
        <v>12M-24M</v>
      </c>
      <c r="X50" s="324" t="str">
        <f t="shared" si="9"/>
        <v>12M-24M</v>
      </c>
      <c r="Y50" s="134" t="e">
        <f xml:space="preserve"> CHOOSE(NA(),
                       VLOOKUP(X50,[3]EUR1Y!$E$2:$H$1000,4,FALSE),
                       VLOOKUP(X50,[3]EUR1Y!$C$2:$H$1000,6,FALSE),
                       VLOOKUP(X50,[3]EUR1Y!$B$2:$H$1000,7,FALSE),
                       VLOOKUP(X50,[3]EUR1Y!$E$2:$H$1000,4,FALSE),
                       ""
                       )</f>
        <v>#N/A</v>
      </c>
      <c r="Z50" s="173" t="e">
        <f t="shared" si="10"/>
        <v>#N/A</v>
      </c>
      <c r="AA50" s="134">
        <v>5.7000000000000002E-2</v>
      </c>
      <c r="AB50" s="173">
        <f t="shared" si="11"/>
        <v>5.7000000000000002E-2</v>
      </c>
      <c r="AC50" s="219">
        <f t="shared" si="12"/>
        <v>5.7000000000000002E-2</v>
      </c>
      <c r="AE50" s="216" t="str">
        <v>11Y</v>
      </c>
      <c r="AF50" s="324" t="str">
        <f t="shared" si="13"/>
        <v>11Y</v>
      </c>
      <c r="AG50" s="134">
        <f>CHOOSE($B50,
                       VLOOKUP(AF50,[4]EURStd!$E$2:$H$1000,4,FALSE),
                       VLOOKUP(AF50,[4]EURStd!$C$2:$H$1000,6,FALSE),
                       VLOOKUP(AF50,[4]EURStd!$B$2:$H$1000,7,FALSE),
                       VLOOKUP(AF50,[4]EURStd!$E$2:$H$1000,4,FALSE),
                       ""
                       )</f>
        <v>2.1890000000000001</v>
      </c>
      <c r="AH50" s="173">
        <f t="shared" si="14"/>
        <v>2.1890000000000001</v>
      </c>
      <c r="AI50" s="134">
        <v>0.67100000000000004</v>
      </c>
      <c r="AJ50" s="173">
        <f t="shared" si="15"/>
        <v>0.67100000000000004</v>
      </c>
      <c r="AK50" s="219">
        <f t="shared" si="16"/>
        <v>0.67100000000000004</v>
      </c>
      <c r="AM50" s="137" t="str">
        <v>22M</v>
      </c>
      <c r="AN50" s="324" t="str">
        <f t="shared" si="32"/>
        <v>22M</v>
      </c>
      <c r="AO50" s="134">
        <f>VLOOKUP(AN50,'[5]EUR-OIS'!$E$2:$H$1000,4,FALSE)</f>
        <v>0.22600000000000001</v>
      </c>
      <c r="AP50" s="173">
        <f t="shared" si="17"/>
        <v>0.22600000000000001</v>
      </c>
      <c r="AQ50" s="134">
        <v>-0.34180125</v>
      </c>
      <c r="AR50" s="173">
        <f t="shared" si="18"/>
        <v>-0.34180125</v>
      </c>
      <c r="AS50" s="219">
        <f t="shared" si="19"/>
        <v>-0.34180125</v>
      </c>
      <c r="AU50" s="137" t="str">
        <v>5Y</v>
      </c>
      <c r="AV50" s="144" t="str">
        <f t="shared" si="20"/>
        <v>5Y</v>
      </c>
      <c r="AW50" s="144">
        <f>VLOOKUP(AV50,[6]EURFIX1RM!$E$2:$H$1009,4,FALSE)</f>
        <v>0.93899999999999995</v>
      </c>
      <c r="AX50" s="173">
        <f t="shared" si="21"/>
        <v>0.93899999999999995</v>
      </c>
      <c r="AY50" s="134">
        <v>-0.11899999999999999</v>
      </c>
      <c r="AZ50" s="173">
        <f t="shared" si="22"/>
        <v>-0.11899999999999999</v>
      </c>
      <c r="BA50" s="219">
        <f t="shared" si="23"/>
        <v>-0.11899999999999999</v>
      </c>
      <c r="BD50" s="321" t="str">
        <v>18M-24M</v>
      </c>
      <c r="BE50" s="348">
        <f t="shared" si="24"/>
        <v>-4.2999999999999997E-2</v>
      </c>
      <c r="BF50" s="321" t="str">
        <v>MAR 19</v>
      </c>
      <c r="BG50" s="426" t="b">
        <f t="shared" si="25"/>
        <v>1</v>
      </c>
      <c r="BH50" s="426" t="b">
        <f t="shared" si="33"/>
        <v>1</v>
      </c>
      <c r="BI50" s="426" t="b">
        <f t="shared" si="26"/>
        <v>1</v>
      </c>
      <c r="BJ50" s="426" t="str">
        <v>5Y</v>
      </c>
      <c r="BK50" s="30">
        <f t="shared" si="27"/>
        <v>-6.0000000000000001E-3</v>
      </c>
      <c r="BL50" s="321" t="str">
        <v>12M-24M</v>
      </c>
      <c r="BM50" s="30">
        <f t="shared" si="28"/>
        <v>5.7000000000000002E-2</v>
      </c>
      <c r="BN50" s="216" t="str">
        <v>11Y</v>
      </c>
      <c r="BO50" s="349">
        <f t="shared" si="29"/>
        <v>0.75771047999999996</v>
      </c>
      <c r="BP50" s="137" t="str">
        <v>22M</v>
      </c>
      <c r="BQ50" s="349">
        <f t="shared" si="30"/>
        <v>-0.34180125</v>
      </c>
      <c r="BR50" s="137" t="str">
        <v>5Y</v>
      </c>
      <c r="BS50" s="349">
        <f t="shared" si="31"/>
        <v>-0.11899999999999999</v>
      </c>
      <c r="CS50" s="332"/>
      <c r="CT50" s="366" t="s">
        <v>1399</v>
      </c>
      <c r="CU50" s="307" t="s">
        <v>208</v>
      </c>
      <c r="CV50" s="307" t="s">
        <v>195</v>
      </c>
      <c r="CW50" s="366" t="s">
        <v>36</v>
      </c>
      <c r="CX50" s="307">
        <v>0.93015633900000005</v>
      </c>
      <c r="CY50" s="307">
        <v>0.93015633900000005</v>
      </c>
      <c r="CZ50" s="307">
        <v>0.93015633900000005</v>
      </c>
    </row>
    <row r="51" spans="1:104">
      <c r="A51" s="130" t="str">
        <v>12Y</v>
      </c>
      <c r="B51" s="206">
        <v>4</v>
      </c>
      <c r="C51" s="321" t="str">
        <v>24M-30M</v>
      </c>
      <c r="D51" s="415" t="str">
        <f t="shared" si="0"/>
        <v>24M-30M</v>
      </c>
      <c r="E51" s="360" t="e">
        <f>CHOOSE(NA(),
                       VLOOKUP(D51,[1]EUR6M!$E$2:$H$1000,4,FALSE),
                       VLOOKUP(D51,[1]EUR6M!$C$2:$H$1000,6,FALSE),
                       VLOOKUP(D51,[1]EUR6M!$B$2:$H$1000,7,FALSE),
                       VLOOKUP(D51,[1]EUR6M!$E$2:$H$1000,4,FALSE),
                       ""
                       )</f>
        <v>#N/A</v>
      </c>
      <c r="F51" s="361" t="e">
        <f t="shared" si="1"/>
        <v>#N/A</v>
      </c>
      <c r="G51" s="134">
        <v>3.2045966000000002E-2</v>
      </c>
      <c r="H51" s="361">
        <f t="shared" si="2"/>
        <v>3.2045966000000002E-2</v>
      </c>
      <c r="I51" s="362">
        <f t="shared" si="3"/>
        <v>3.2045966000000002E-2</v>
      </c>
      <c r="M51" s="216" t="str">
        <v>6Y</v>
      </c>
      <c r="N51" s="324" t="str">
        <f t="shared" si="4"/>
        <v>6Y</v>
      </c>
      <c r="O51" s="134">
        <f>CHOOSE($B51,
                       VLOOKUP(N51,[2]EUR3M!$E$2:$H$1000,4,FALSE),
                       VLOOKUP(N51,[2]EUR3M!$C$2:$H$1000,6,FALSE),
                       VLOOKUP(N51,[2]EUR3M!$B$2:$H$1000,7,FALSE),
                       VLOOKUP(N51,[2]EUR3M!$E$2:$H$1000,4,FALSE),
                       ""
                       )</f>
        <v>1.3069999999999999</v>
      </c>
      <c r="P51" s="173">
        <f t="shared" si="5"/>
        <v>1.3069999999999999</v>
      </c>
      <c r="Q51" s="424" t="s">
        <v>13</v>
      </c>
      <c r="R51" s="130" t="b">
        <f t="shared" si="6"/>
        <v>0</v>
      </c>
      <c r="S51" s="134">
        <v>0.10299999999999999</v>
      </c>
      <c r="T51" s="173">
        <f t="shared" si="7"/>
        <v>0.10299999999999999</v>
      </c>
      <c r="U51" s="219">
        <f t="shared" si="8"/>
        <v>0.10299999999999999</v>
      </c>
      <c r="W51" s="216" t="str">
        <v>3Y</v>
      </c>
      <c r="X51" s="324" t="str">
        <f t="shared" si="9"/>
        <v>3Y</v>
      </c>
      <c r="Y51" s="134" t="e">
        <f xml:space="preserve"> CHOOSE(NA(),
                       VLOOKUP(X51,[3]EUR1Y!$E$2:$H$1000,4,FALSE),
                       VLOOKUP(X51,[3]EUR1Y!$C$2:$H$1000,6,FALSE),
                       VLOOKUP(X51,[3]EUR1Y!$B$2:$H$1000,7,FALSE),
                       VLOOKUP(X51,[3]EUR1Y!$E$2:$H$1000,4,FALSE),
                       ""
                       )</f>
        <v>#N/A</v>
      </c>
      <c r="Z51" s="173" t="e">
        <f t="shared" si="10"/>
        <v>#N/A</v>
      </c>
      <c r="AA51" s="134">
        <v>6.9000000000000006E-2</v>
      </c>
      <c r="AB51" s="173">
        <f t="shared" si="11"/>
        <v>6.9000000000000006E-2</v>
      </c>
      <c r="AC51" s="219">
        <f t="shared" si="12"/>
        <v>6.9000000000000006E-2</v>
      </c>
      <c r="AE51" s="216" t="str">
        <v>12Y</v>
      </c>
      <c r="AF51" s="324" t="str">
        <f t="shared" si="13"/>
        <v>12Y</v>
      </c>
      <c r="AG51" s="134">
        <f>CHOOSE($B51,
                       VLOOKUP(AF51,[4]EURStd!$E$2:$H$1000,4,FALSE),
                       VLOOKUP(AF51,[4]EURStd!$C$2:$H$1000,6,FALSE),
                       VLOOKUP(AF51,[4]EURStd!$B$2:$H$1000,7,FALSE),
                       VLOOKUP(AF51,[4]EURStd!$E$2:$H$1000,4,FALSE),
                       ""
                       )</f>
        <v>2.286</v>
      </c>
      <c r="AH51" s="173">
        <f t="shared" si="14"/>
        <v>2.286</v>
      </c>
      <c r="AI51" s="134">
        <v>0.75771047999999996</v>
      </c>
      <c r="AJ51" s="173">
        <f t="shared" si="15"/>
        <v>0.75771047999999996</v>
      </c>
      <c r="AK51" s="219">
        <f t="shared" si="16"/>
        <v>0.75771047999999996</v>
      </c>
      <c r="AM51" s="137" t="str">
        <v>23M</v>
      </c>
      <c r="AN51" s="324" t="str">
        <f t="shared" si="32"/>
        <v>23M</v>
      </c>
      <c r="AO51" s="134">
        <f>VLOOKUP(AN51,'[5]EUR-OIS'!$E$2:$H$1000,4,FALSE)</f>
        <v>0.23499999999999999</v>
      </c>
      <c r="AP51" s="173">
        <f t="shared" si="17"/>
        <v>0.23499999999999999</v>
      </c>
      <c r="AQ51" s="134">
        <v>-0.33916923700000001</v>
      </c>
      <c r="AR51" s="173">
        <f t="shared" si="18"/>
        <v>-0.33916923700000001</v>
      </c>
      <c r="AS51" s="219">
        <f t="shared" si="19"/>
        <v>-0.33916923700000001</v>
      </c>
      <c r="AU51" s="137" t="str">
        <v>6Y</v>
      </c>
      <c r="AV51" s="144" t="str">
        <f t="shared" si="20"/>
        <v>6Y</v>
      </c>
      <c r="AW51" s="144">
        <f>VLOOKUP(AV51,[6]EURFIX1RM!$E$2:$H$1009,4,FALSE)</f>
        <v>1.1559999999999999</v>
      </c>
      <c r="AX51" s="173">
        <f t="shared" si="21"/>
        <v>1.1559999999999999</v>
      </c>
      <c r="AY51" s="134">
        <v>-1.0999999999999999E-2</v>
      </c>
      <c r="AZ51" s="173">
        <f t="shared" si="22"/>
        <v>-1.0999999999999999E-2</v>
      </c>
      <c r="BA51" s="219">
        <f t="shared" si="23"/>
        <v>-1.0999999999999999E-2</v>
      </c>
      <c r="BD51" s="321" t="str">
        <v>24M-30M</v>
      </c>
      <c r="BE51" s="348">
        <f t="shared" si="24"/>
        <v>3.2045966000000002E-2</v>
      </c>
      <c r="BF51" s="321" t="str">
        <v>3Y</v>
      </c>
      <c r="BG51" s="426" t="b">
        <f t="shared" si="25"/>
        <v>0</v>
      </c>
      <c r="BH51" s="426" t="b">
        <f t="shared" si="33"/>
        <v>1</v>
      </c>
      <c r="BI51" s="426" t="b">
        <f t="shared" si="26"/>
        <v>1</v>
      </c>
      <c r="BJ51" s="426" t="str">
        <v>6Y</v>
      </c>
      <c r="BK51" s="30">
        <f t="shared" si="27"/>
        <v>0.10299999999999999</v>
      </c>
      <c r="BL51" s="321" t="str">
        <v>3Y</v>
      </c>
      <c r="BM51" s="30">
        <f t="shared" si="28"/>
        <v>6.9000000000000006E-2</v>
      </c>
      <c r="BN51" s="216" t="str">
        <v>12Y</v>
      </c>
      <c r="BO51" s="349">
        <f t="shared" si="29"/>
        <v>0.83499999999999996</v>
      </c>
      <c r="BP51" s="137" t="str">
        <v>23M</v>
      </c>
      <c r="BQ51" s="349">
        <f t="shared" si="30"/>
        <v>-0.33916923700000001</v>
      </c>
      <c r="BR51" s="137" t="str">
        <v>6Y</v>
      </c>
      <c r="BS51" s="349">
        <f t="shared" si="31"/>
        <v>-1.0999999999999999E-2</v>
      </c>
      <c r="CS51" s="332"/>
      <c r="CT51" s="366" t="s">
        <v>1400</v>
      </c>
      <c r="CU51" s="307" t="s">
        <v>208</v>
      </c>
      <c r="CV51" s="307" t="s">
        <v>195</v>
      </c>
      <c r="CW51" s="366" t="s">
        <v>37</v>
      </c>
      <c r="CX51" s="307">
        <v>0.95543686000000005</v>
      </c>
      <c r="CY51" s="307">
        <v>0.95543686000000005</v>
      </c>
      <c r="CZ51" s="307">
        <v>0.95543686000000005</v>
      </c>
    </row>
    <row r="52" spans="1:104">
      <c r="A52" s="130" t="str">
        <v>13Y</v>
      </c>
      <c r="B52" s="206">
        <v>4</v>
      </c>
      <c r="C52" s="321" t="str">
        <v>3Y</v>
      </c>
      <c r="D52" s="415" t="str">
        <f t="shared" si="0"/>
        <v>3Y</v>
      </c>
      <c r="E52" s="360" t="e">
        <f>CHOOSE(NA(),
                       VLOOKUP(D52,[1]EUR6M!$E$2:$H$1000,4,FALSE),
                       VLOOKUP(D52,[1]EUR6M!$C$2:$H$1000,6,FALSE),
                       VLOOKUP(D52,[1]EUR6M!$B$2:$H$1000,7,FALSE),
                       VLOOKUP(D52,[1]EUR6M!$E$2:$H$1000,4,FALSE),
                       ""
                       )</f>
        <v>#N/A</v>
      </c>
      <c r="F52" s="361" t="e">
        <f t="shared" si="1"/>
        <v>#N/A</v>
      </c>
      <c r="G52" s="134">
        <v>-6.0999999999999999E-2</v>
      </c>
      <c r="H52" s="361">
        <f t="shared" si="2"/>
        <v>-6.0999999999999999E-2</v>
      </c>
      <c r="I52" s="362">
        <f t="shared" si="3"/>
        <v>-6.0999999999999999E-2</v>
      </c>
      <c r="M52" s="216" t="str">
        <v>7Y</v>
      </c>
      <c r="N52" s="324" t="str">
        <f t="shared" si="4"/>
        <v>7Y</v>
      </c>
      <c r="O52" s="134">
        <f>CHOOSE($B52,
                       VLOOKUP(N52,[2]EUR3M!$E$2:$H$1000,4,FALSE),
                       VLOOKUP(N52,[2]EUR3M!$C$2:$H$1000,6,FALSE),
                       VLOOKUP(N52,[2]EUR3M!$B$2:$H$1000,7,FALSE),
                       VLOOKUP(N52,[2]EUR3M!$E$2:$H$1000,4,FALSE),
                       ""
                       )</f>
        <v>1.5</v>
      </c>
      <c r="P52" s="173">
        <f t="shared" si="5"/>
        <v>1.5</v>
      </c>
      <c r="Q52" s="134" t="s">
        <v>14</v>
      </c>
      <c r="R52" s="130" t="b">
        <f t="shared" si="6"/>
        <v>0</v>
      </c>
      <c r="S52" s="134">
        <v>0.218</v>
      </c>
      <c r="T52" s="173">
        <f t="shared" si="7"/>
        <v>0.218</v>
      </c>
      <c r="U52" s="219">
        <f t="shared" si="8"/>
        <v>0.218</v>
      </c>
      <c r="W52" s="216" t="str">
        <v>4Y</v>
      </c>
      <c r="X52" s="324" t="str">
        <f t="shared" si="9"/>
        <v>4Y</v>
      </c>
      <c r="Y52" s="134" t="e">
        <f xml:space="preserve"> CHOOSE(NA(),
                       VLOOKUP(X52,[3]EUR1Y!$E$2:$H$1000,4,FALSE),
                       VLOOKUP(X52,[3]EUR1Y!$C$2:$H$1000,6,FALSE),
                       VLOOKUP(X52,[3]EUR1Y!$B$2:$H$1000,7,FALSE),
                       VLOOKUP(X52,[3]EUR1Y!$E$2:$H$1000,4,FALSE),
                       ""
                       )</f>
        <v>#N/A</v>
      </c>
      <c r="Z52" s="173" t="e">
        <f t="shared" si="10"/>
        <v>#N/A</v>
      </c>
      <c r="AA52" s="134">
        <v>0.161</v>
      </c>
      <c r="AB52" s="173">
        <f t="shared" si="11"/>
        <v>0.161</v>
      </c>
      <c r="AC52" s="219">
        <f t="shared" si="12"/>
        <v>0.161</v>
      </c>
      <c r="AE52" s="216" t="str">
        <v>13Y</v>
      </c>
      <c r="AF52" s="324" t="str">
        <f t="shared" si="13"/>
        <v>13Y</v>
      </c>
      <c r="AG52" s="134">
        <f>CHOOSE($B52,
                       VLOOKUP(AF52,[4]EURStd!$E$2:$H$1000,4,FALSE),
                       VLOOKUP(AF52,[4]EURStd!$C$2:$H$1000,6,FALSE),
                       VLOOKUP(AF52,[4]EURStd!$B$2:$H$1000,7,FALSE),
                       VLOOKUP(AF52,[4]EURStd!$E$2:$H$1000,4,FALSE),
                       ""
                       )</f>
        <v>2.3679999999999999</v>
      </c>
      <c r="AH52" s="173">
        <f t="shared" si="14"/>
        <v>2.3679999999999999</v>
      </c>
      <c r="AI52" s="134">
        <v>0.83499999999999996</v>
      </c>
      <c r="AJ52" s="173">
        <f t="shared" si="15"/>
        <v>0.83499999999999996</v>
      </c>
      <c r="AK52" s="219">
        <f t="shared" si="16"/>
        <v>0.83499999999999996</v>
      </c>
      <c r="AM52" s="137" t="str">
        <v>2Y</v>
      </c>
      <c r="AN52" s="324" t="str">
        <f>+AM52</f>
        <v>2Y</v>
      </c>
      <c r="AO52" s="134">
        <f>VLOOKUP(AN52,'[5]EUR-OIS'!$E$2:$H$1000,4,FALSE)</f>
        <v>0.245</v>
      </c>
      <c r="AP52" s="173">
        <f t="shared" si="17"/>
        <v>0.245</v>
      </c>
      <c r="AQ52" s="134">
        <v>-0.33600000000000002</v>
      </c>
      <c r="AR52" s="173">
        <f t="shared" si="18"/>
        <v>-0.33600000000000002</v>
      </c>
      <c r="AS52" s="219">
        <f t="shared" si="19"/>
        <v>-0.33600000000000002</v>
      </c>
      <c r="AU52" s="137" t="str">
        <v>7Y</v>
      </c>
      <c r="AV52" s="144" t="str">
        <f t="shared" si="20"/>
        <v>7Y</v>
      </c>
      <c r="AW52" s="144">
        <f>VLOOKUP(AV52,[6]EURFIX1RM!$E$2:$H$1009,4,FALSE)</f>
        <v>1.35</v>
      </c>
      <c r="AX52" s="173">
        <f t="shared" si="21"/>
        <v>1.35</v>
      </c>
      <c r="AY52" s="134">
        <v>0.105</v>
      </c>
      <c r="AZ52" s="173">
        <f t="shared" si="22"/>
        <v>0.105</v>
      </c>
      <c r="BA52" s="219">
        <f t="shared" si="23"/>
        <v>0.105</v>
      </c>
      <c r="BD52" s="321" t="str">
        <v>3Y</v>
      </c>
      <c r="BE52" s="348">
        <f t="shared" si="24"/>
        <v>-6.0999999999999999E-2</v>
      </c>
      <c r="BF52" s="321" t="str">
        <v>4Y</v>
      </c>
      <c r="BG52" s="426" t="b">
        <f t="shared" si="25"/>
        <v>0</v>
      </c>
      <c r="BH52" s="426" t="b">
        <f t="shared" si="33"/>
        <v>1</v>
      </c>
      <c r="BI52" s="426" t="b">
        <f t="shared" si="26"/>
        <v>1</v>
      </c>
      <c r="BJ52" s="426" t="str">
        <v>7Y</v>
      </c>
      <c r="BK52" s="30">
        <f t="shared" si="27"/>
        <v>0.218</v>
      </c>
      <c r="BL52" s="321" t="str">
        <v>4Y</v>
      </c>
      <c r="BM52" s="30">
        <f t="shared" si="28"/>
        <v>0.161</v>
      </c>
      <c r="BN52" s="216" t="str">
        <v>13Y</v>
      </c>
      <c r="BO52" s="349">
        <f t="shared" si="29"/>
        <v>0.90110858100000002</v>
      </c>
      <c r="BP52" s="137" t="str">
        <v>2Y</v>
      </c>
      <c r="BQ52" s="349">
        <f t="shared" si="30"/>
        <v>-0.33600000000000002</v>
      </c>
      <c r="BR52" s="137" t="str">
        <v>7Y</v>
      </c>
      <c r="BS52" s="349">
        <f t="shared" si="31"/>
        <v>0.105</v>
      </c>
      <c r="CS52" s="332"/>
      <c r="CT52" s="366" t="s">
        <v>1401</v>
      </c>
      <c r="CU52" s="307" t="s">
        <v>208</v>
      </c>
      <c r="CV52" s="307" t="s">
        <v>195</v>
      </c>
      <c r="CW52" s="366" t="s">
        <v>20</v>
      </c>
      <c r="CX52" s="307">
        <v>0.97599999999999998</v>
      </c>
      <c r="CY52" s="307">
        <v>0.97599999999999998</v>
      </c>
      <c r="CZ52" s="307">
        <v>0.97599999999999998</v>
      </c>
    </row>
    <row r="53" spans="1:104">
      <c r="A53" s="130" t="str">
        <v>14Y</v>
      </c>
      <c r="B53" s="206">
        <v>4</v>
      </c>
      <c r="C53" s="321" t="str">
        <v>4Y</v>
      </c>
      <c r="D53" s="415" t="str">
        <f t="shared" si="0"/>
        <v>4Y</v>
      </c>
      <c r="E53" s="360" t="e">
        <f>CHOOSE(NA(),
                       VLOOKUP(D53,[1]EUR6M!$E$2:$H$1000,4,FALSE),
                       VLOOKUP(D53,[1]EUR6M!$C$2:$H$1000,6,FALSE),
                       VLOOKUP(D53,[1]EUR6M!$B$2:$H$1000,7,FALSE),
                       VLOOKUP(D53,[1]EUR6M!$E$2:$H$1000,4,FALSE),
                       ""
                       )</f>
        <v>#N/A</v>
      </c>
      <c r="F53" s="361" t="e">
        <f t="shared" si="1"/>
        <v>#N/A</v>
      </c>
      <c r="G53" s="134">
        <v>2.8000000000000001E-2</v>
      </c>
      <c r="H53" s="361">
        <f t="shared" si="2"/>
        <v>2.8000000000000001E-2</v>
      </c>
      <c r="I53" s="362">
        <f t="shared" si="3"/>
        <v>2.8000000000000001E-2</v>
      </c>
      <c r="M53" s="216" t="str">
        <v>8Y</v>
      </c>
      <c r="N53" s="324" t="str">
        <f t="shared" si="4"/>
        <v>8Y</v>
      </c>
      <c r="O53" s="134">
        <f>CHOOSE($B53,
                       VLOOKUP(N53,[2]EUR3M!$E$2:$H$1000,4,FALSE),
                       VLOOKUP(N53,[2]EUR3M!$C$2:$H$1000,6,FALSE),
                       VLOOKUP(N53,[2]EUR3M!$B$2:$H$1000,7,FALSE),
                       VLOOKUP(N53,[2]EUR3M!$E$2:$H$1000,4,FALSE),
                       ""
                       )</f>
        <v>1.671</v>
      </c>
      <c r="P53" s="173">
        <f t="shared" si="5"/>
        <v>1.671</v>
      </c>
      <c r="Q53" s="134" t="s">
        <v>15</v>
      </c>
      <c r="R53" s="130" t="b">
        <f t="shared" si="6"/>
        <v>0</v>
      </c>
      <c r="S53" s="134">
        <v>0.33400000000000002</v>
      </c>
      <c r="T53" s="173">
        <f t="shared" si="7"/>
        <v>0.33400000000000002</v>
      </c>
      <c r="U53" s="219">
        <f t="shared" si="8"/>
        <v>0.33400000000000002</v>
      </c>
      <c r="W53" s="216" t="str">
        <v>5Y</v>
      </c>
      <c r="X53" s="324" t="str">
        <f t="shared" si="9"/>
        <v>5Y</v>
      </c>
      <c r="Y53" s="134" t="e">
        <f xml:space="preserve"> CHOOSE(NA(),
                       VLOOKUP(X53,[3]EUR1Y!$E$2:$H$1000,4,FALSE),
                       VLOOKUP(X53,[3]EUR1Y!$C$2:$H$1000,6,FALSE),
                       VLOOKUP(X53,[3]EUR1Y!$B$2:$H$1000,7,FALSE),
                       VLOOKUP(X53,[3]EUR1Y!$E$2:$H$1000,4,FALSE),
                       ""
                       )</f>
        <v>#N/A</v>
      </c>
      <c r="Z53" s="173" t="e">
        <f t="shared" si="10"/>
        <v>#N/A</v>
      </c>
      <c r="AA53" s="134">
        <v>0.26700000000000002</v>
      </c>
      <c r="AB53" s="173">
        <f t="shared" si="11"/>
        <v>0.26700000000000002</v>
      </c>
      <c r="AC53" s="219">
        <f t="shared" si="12"/>
        <v>0.26700000000000002</v>
      </c>
      <c r="AE53" s="216" t="str">
        <v>14Y</v>
      </c>
      <c r="AF53" s="324" t="str">
        <f t="shared" si="13"/>
        <v>14Y</v>
      </c>
      <c r="AG53" s="134">
        <f>CHOOSE($B53,
                       VLOOKUP(AF53,[4]EURStd!$E$2:$H$1000,4,FALSE),
                       VLOOKUP(AF53,[4]EURStd!$C$2:$H$1000,6,FALSE),
                       VLOOKUP(AF53,[4]EURStd!$B$2:$H$1000,7,FALSE),
                       VLOOKUP(AF53,[4]EURStd!$E$2:$H$1000,4,FALSE),
                       ""
                       )</f>
        <v>2.4350000000000001</v>
      </c>
      <c r="AH53" s="173">
        <f t="shared" si="14"/>
        <v>2.4350000000000001</v>
      </c>
      <c r="AI53" s="134">
        <v>0.90110858100000002</v>
      </c>
      <c r="AJ53" s="173">
        <f t="shared" si="15"/>
        <v>0.90110858100000002</v>
      </c>
      <c r="AK53" s="219">
        <f t="shared" si="16"/>
        <v>0.90110858100000002</v>
      </c>
      <c r="AM53" s="137" t="str">
        <v>3Y</v>
      </c>
      <c r="AN53" s="324" t="str">
        <f t="shared" ref="AN53:AN84" si="34">+AM53</f>
        <v>3Y</v>
      </c>
      <c r="AO53" s="134">
        <f>VLOOKUP(AN53,'[5]EUR-OIS'!$E$2:$H$1000,4,FALSE)</f>
        <v>0.40899999999999997</v>
      </c>
      <c r="AP53" s="173">
        <f t="shared" si="17"/>
        <v>0.40899999999999997</v>
      </c>
      <c r="AQ53" s="134">
        <v>-0.28199999999999997</v>
      </c>
      <c r="AR53" s="173">
        <f t="shared" si="18"/>
        <v>-0.28199999999999997</v>
      </c>
      <c r="AS53" s="219">
        <f t="shared" si="19"/>
        <v>-0.28199999999999997</v>
      </c>
      <c r="AU53" s="137" t="str">
        <v>8Y</v>
      </c>
      <c r="AV53" s="144" t="str">
        <f t="shared" si="20"/>
        <v>8Y</v>
      </c>
      <c r="AW53" s="144">
        <f>VLOOKUP(AV53,[6]EURFIX1RM!$E$2:$H$1009,4,FALSE)</f>
        <v>1.5249999999999999</v>
      </c>
      <c r="AX53" s="173">
        <f t="shared" si="21"/>
        <v>1.5249999999999999</v>
      </c>
      <c r="AY53" s="134">
        <v>0.222</v>
      </c>
      <c r="AZ53" s="173">
        <f t="shared" si="22"/>
        <v>0.222</v>
      </c>
      <c r="BA53" s="219">
        <f t="shared" si="23"/>
        <v>0.222</v>
      </c>
      <c r="BD53" s="321" t="str">
        <v>4Y</v>
      </c>
      <c r="BE53" s="348">
        <f t="shared" si="24"/>
        <v>2.8000000000000001E-2</v>
      </c>
      <c r="BF53" s="321" t="str">
        <v>5Y</v>
      </c>
      <c r="BG53" s="426" t="b">
        <f t="shared" si="25"/>
        <v>0</v>
      </c>
      <c r="BH53" s="426" t="b">
        <f t="shared" si="33"/>
        <v>1</v>
      </c>
      <c r="BI53" s="426" t="b">
        <f t="shared" si="26"/>
        <v>1</v>
      </c>
      <c r="BJ53" s="426" t="str">
        <v>8Y</v>
      </c>
      <c r="BK53" s="30">
        <f t="shared" si="27"/>
        <v>0.33400000000000002</v>
      </c>
      <c r="BL53" s="321" t="str">
        <v>5Y</v>
      </c>
      <c r="BM53" s="30">
        <f t="shared" si="28"/>
        <v>0.26700000000000002</v>
      </c>
      <c r="BN53" s="216" t="str">
        <v>14Y</v>
      </c>
      <c r="BO53" s="349">
        <f t="shared" si="29"/>
        <v>0.95755458199999999</v>
      </c>
      <c r="BP53" s="137" t="str">
        <v>3Y</v>
      </c>
      <c r="BQ53" s="349">
        <f t="shared" si="30"/>
        <v>-0.28199999999999997</v>
      </c>
      <c r="BR53" s="137" t="str">
        <v>8Y</v>
      </c>
      <c r="BS53" s="349">
        <f t="shared" si="31"/>
        <v>0.222</v>
      </c>
      <c r="CS53" s="332"/>
      <c r="CT53" s="366" t="s">
        <v>1402</v>
      </c>
      <c r="CU53" s="307" t="s">
        <v>208</v>
      </c>
      <c r="CV53" s="307" t="s">
        <v>195</v>
      </c>
      <c r="CW53" s="366" t="s">
        <v>38</v>
      </c>
      <c r="CX53" s="307">
        <v>0.99245433599999999</v>
      </c>
      <c r="CY53" s="307">
        <v>0.99245433599999999</v>
      </c>
      <c r="CZ53" s="307">
        <v>0.99245433599999999</v>
      </c>
    </row>
    <row r="54" spans="1:104">
      <c r="A54" s="130" t="str">
        <v>15Y</v>
      </c>
      <c r="B54" s="206">
        <v>4</v>
      </c>
      <c r="C54" s="321" t="str">
        <v>5Y</v>
      </c>
      <c r="D54" s="415" t="str">
        <f t="shared" si="0"/>
        <v>5Y</v>
      </c>
      <c r="E54" s="360" t="e">
        <f>CHOOSE(NA(),
                       VLOOKUP(D54,[1]EUR6M!$E$2:$H$1000,4,FALSE),
                       VLOOKUP(D54,[1]EUR6M!$C$2:$H$1000,6,FALSE),
                       VLOOKUP(D54,[1]EUR6M!$B$2:$H$1000,7,FALSE),
                       VLOOKUP(D54,[1]EUR6M!$E$2:$H$1000,4,FALSE),
                       ""
                       )</f>
        <v>#N/A</v>
      </c>
      <c r="F54" s="361" t="e">
        <f t="shared" si="1"/>
        <v>#N/A</v>
      </c>
      <c r="G54" s="134">
        <v>0.13200000000000001</v>
      </c>
      <c r="H54" s="361">
        <f t="shared" si="2"/>
        <v>0.13200000000000001</v>
      </c>
      <c r="I54" s="362">
        <f t="shared" si="3"/>
        <v>0.13200000000000001</v>
      </c>
      <c r="M54" s="216" t="str">
        <v>9Y</v>
      </c>
      <c r="N54" s="324" t="str">
        <f t="shared" si="4"/>
        <v>9Y</v>
      </c>
      <c r="O54" s="134">
        <f>CHOOSE($B54,
                       VLOOKUP(N54,[2]EUR3M!$E$2:$H$1000,4,FALSE),
                       VLOOKUP(N54,[2]EUR3M!$C$2:$H$1000,6,FALSE),
                       VLOOKUP(N54,[2]EUR3M!$B$2:$H$1000,7,FALSE),
                       VLOOKUP(N54,[2]EUR3M!$E$2:$H$1000,4,FALSE),
                       ""
                       )</f>
        <v>1.823</v>
      </c>
      <c r="P54" s="173">
        <f t="shared" si="5"/>
        <v>1.823</v>
      </c>
      <c r="Q54" s="134" t="s">
        <v>16</v>
      </c>
      <c r="R54" s="130" t="b">
        <f t="shared" si="6"/>
        <v>0</v>
      </c>
      <c r="S54" s="134">
        <v>0.44600000000000001</v>
      </c>
      <c r="T54" s="173">
        <f t="shared" si="7"/>
        <v>0.44600000000000001</v>
      </c>
      <c r="U54" s="219">
        <f t="shared" si="8"/>
        <v>0.44600000000000001</v>
      </c>
      <c r="W54" s="216" t="str">
        <v>6Y</v>
      </c>
      <c r="X54" s="324" t="str">
        <f t="shared" si="9"/>
        <v>6Y</v>
      </c>
      <c r="Y54" s="134" t="e">
        <f xml:space="preserve"> CHOOSE(NA(),
                       VLOOKUP(X54,[3]EUR1Y!$E$2:$H$1000,4,FALSE),
                       VLOOKUP(X54,[3]EUR1Y!$C$2:$H$1000,6,FALSE),
                       VLOOKUP(X54,[3]EUR1Y!$B$2:$H$1000,7,FALSE),
                       VLOOKUP(X54,[3]EUR1Y!$E$2:$H$1000,4,FALSE),
                       ""
                       )</f>
        <v>#N/A</v>
      </c>
      <c r="Z54" s="173" t="e">
        <f t="shared" si="10"/>
        <v>#N/A</v>
      </c>
      <c r="AA54" s="134">
        <v>0.377</v>
      </c>
      <c r="AB54" s="173">
        <f t="shared" si="11"/>
        <v>0.377</v>
      </c>
      <c r="AC54" s="219">
        <f t="shared" si="12"/>
        <v>0.377</v>
      </c>
      <c r="AE54" s="216" t="str">
        <v>15Y</v>
      </c>
      <c r="AF54" s="324" t="str">
        <f t="shared" si="13"/>
        <v>15Y</v>
      </c>
      <c r="AG54" s="134">
        <f>CHOOSE($B54,
                       VLOOKUP(AF54,[4]EURStd!$E$2:$H$1000,4,FALSE),
                       VLOOKUP(AF54,[4]EURStd!$C$2:$H$1000,6,FALSE),
                       VLOOKUP(AF54,[4]EURStd!$B$2:$H$1000,7,FALSE),
                       VLOOKUP(AF54,[4]EURStd!$E$2:$H$1000,4,FALSE),
                       ""
                       )</f>
        <v>2.488</v>
      </c>
      <c r="AH54" s="173">
        <f t="shared" si="14"/>
        <v>2.488</v>
      </c>
      <c r="AI54" s="134">
        <v>0.95755458199999999</v>
      </c>
      <c r="AJ54" s="173">
        <f t="shared" si="15"/>
        <v>0.95755458199999999</v>
      </c>
      <c r="AK54" s="219">
        <f t="shared" si="16"/>
        <v>0.95755458199999999</v>
      </c>
      <c r="AM54" s="137" t="str">
        <v>4Y</v>
      </c>
      <c r="AN54" s="324" t="str">
        <f t="shared" si="34"/>
        <v>4Y</v>
      </c>
      <c r="AO54" s="134">
        <f>VLOOKUP(AN54,'[5]EUR-OIS'!$E$2:$H$1000,4,FALSE)</f>
        <v>0.63100000000000001</v>
      </c>
      <c r="AP54" s="173">
        <f t="shared" si="17"/>
        <v>0.63100000000000001</v>
      </c>
      <c r="AQ54" s="134">
        <v>-0.20799999999999999</v>
      </c>
      <c r="AR54" s="173">
        <f t="shared" si="18"/>
        <v>-0.20799999999999999</v>
      </c>
      <c r="AS54" s="219">
        <f t="shared" si="19"/>
        <v>-0.20799999999999999</v>
      </c>
      <c r="AU54" s="137" t="str">
        <v>9Y</v>
      </c>
      <c r="AV54" s="144" t="str">
        <f t="shared" si="20"/>
        <v>9Y</v>
      </c>
      <c r="AW54" s="144">
        <f>VLOOKUP(AV54,[6]EURFIX1RM!$E$2:$H$1009,4,FALSE)</f>
        <v>1.68</v>
      </c>
      <c r="AX54" s="173">
        <f t="shared" si="21"/>
        <v>1.68</v>
      </c>
      <c r="AY54" s="134">
        <v>0.33600000000000002</v>
      </c>
      <c r="AZ54" s="173">
        <f t="shared" si="22"/>
        <v>0.33600000000000002</v>
      </c>
      <c r="BA54" s="219">
        <f t="shared" si="23"/>
        <v>0.33600000000000002</v>
      </c>
      <c r="BD54" s="321" t="str">
        <v>5Y</v>
      </c>
      <c r="BE54" s="348">
        <f t="shared" si="24"/>
        <v>0.13200000000000001</v>
      </c>
      <c r="BF54" s="321" t="str">
        <v>6Y</v>
      </c>
      <c r="BG54" s="426" t="b">
        <f t="shared" si="25"/>
        <v>0</v>
      </c>
      <c r="BH54" s="426" t="b">
        <f t="shared" si="33"/>
        <v>1</v>
      </c>
      <c r="BI54" s="426" t="b">
        <f t="shared" si="26"/>
        <v>1</v>
      </c>
      <c r="BJ54" s="426" t="str">
        <v>9Y</v>
      </c>
      <c r="BK54" s="30">
        <f t="shared" si="27"/>
        <v>0.44600000000000001</v>
      </c>
      <c r="BL54" s="321" t="str">
        <v>6Y</v>
      </c>
      <c r="BM54" s="30">
        <f t="shared" si="28"/>
        <v>0.377</v>
      </c>
      <c r="BN54" s="216" t="str">
        <v>15Y</v>
      </c>
      <c r="BO54" s="349">
        <f t="shared" si="29"/>
        <v>1.0049999999999999</v>
      </c>
      <c r="BP54" s="137" t="str">
        <v>4Y</v>
      </c>
      <c r="BQ54" s="349">
        <f t="shared" si="30"/>
        <v>-0.20799999999999999</v>
      </c>
      <c r="BR54" s="137" t="str">
        <v>9Y</v>
      </c>
      <c r="BS54" s="349">
        <f t="shared" si="31"/>
        <v>0.33600000000000002</v>
      </c>
      <c r="CS54" s="332"/>
      <c r="CT54" s="366" t="s">
        <v>1403</v>
      </c>
      <c r="CU54" s="307" t="s">
        <v>208</v>
      </c>
      <c r="CV54" s="307" t="s">
        <v>195</v>
      </c>
      <c r="CW54" s="366" t="s">
        <v>39</v>
      </c>
      <c r="CX54" s="307">
        <v>1.0056301830000001</v>
      </c>
      <c r="CY54" s="307">
        <v>1.0056301830000001</v>
      </c>
      <c r="CZ54" s="307">
        <v>1.0056301830000001</v>
      </c>
    </row>
    <row r="55" spans="1:104">
      <c r="A55" s="130" t="str">
        <v>16Y</v>
      </c>
      <c r="B55" s="206">
        <v>4</v>
      </c>
      <c r="C55" s="321" t="str">
        <v>6Y</v>
      </c>
      <c r="D55" s="415" t="str">
        <f t="shared" ref="D55:D86" si="35">C55</f>
        <v>6Y</v>
      </c>
      <c r="E55" s="360" t="e">
        <f>CHOOSE(NA(),
                       VLOOKUP(D55,[1]EUR6M!$E$2:$H$1000,4,FALSE),
                       VLOOKUP(D55,[1]EUR6M!$C$2:$H$1000,6,FALSE),
                       VLOOKUP(D55,[1]EUR6M!$B$2:$H$1000,7,FALSE),
                       VLOOKUP(D55,[1]EUR6M!$E$2:$H$1000,4,FALSE),
                       ""
                       )</f>
        <v>#N/A</v>
      </c>
      <c r="F55" s="361" t="e">
        <f t="shared" ref="F55:F86" si="36">IF(E55=0,NA(),IF($B55=3,100-E55,E55))</f>
        <v>#N/A</v>
      </c>
      <c r="G55" s="134">
        <v>0.24199999999999999</v>
      </c>
      <c r="H55" s="361">
        <f t="shared" ref="H55:H86" si="37">IF(G55=0,NA(),G55)</f>
        <v>0.24199999999999999</v>
      </c>
      <c r="I55" s="362">
        <f t="shared" ref="I55:I86" si="38">CHOOSE(OrdMethod,F55,H55)</f>
        <v>0.24199999999999999</v>
      </c>
      <c r="M55" s="216" t="str">
        <v>10Y</v>
      </c>
      <c r="N55" s="324" t="str">
        <f t="shared" ref="N55:N86" si="39">CHOOSE($B55,M55,"STUB 3M CURVES",TEXT(M55,"DD/MM/YY"),M55,"")</f>
        <v>10Y</v>
      </c>
      <c r="O55" s="134">
        <f>CHOOSE($B55,
                       VLOOKUP(N55,[2]EUR3M!$E$2:$H$1000,4,FALSE),
                       VLOOKUP(N55,[2]EUR3M!$C$2:$H$1000,6,FALSE),
                       VLOOKUP(N55,[2]EUR3M!$B$2:$H$1000,7,FALSE),
                       VLOOKUP(N55,[2]EUR3M!$E$2:$H$1000,4,FALSE),
                       ""
                       )</f>
        <v>1.9590000000000001</v>
      </c>
      <c r="P55" s="173">
        <f t="shared" ref="P55:P86" si="40">IF(O55=0,NA(),IF($B55=3,100-O55,O55))</f>
        <v>1.9590000000000001</v>
      </c>
      <c r="Q55" s="134" t="s">
        <v>17</v>
      </c>
      <c r="R55" s="130" t="b">
        <f t="shared" ref="R55:R86" si="41">NOT(ISERROR(FIND(" ",Q55)))</f>
        <v>0</v>
      </c>
      <c r="S55" s="134">
        <v>0.55000000000000004</v>
      </c>
      <c r="T55" s="173">
        <f t="shared" ref="T55:T86" si="42">IF(S55=0,NA(),IF($R55,100-S55,S55))</f>
        <v>0.55000000000000004</v>
      </c>
      <c r="U55" s="219">
        <f t="shared" ref="U55:U86" si="43">CHOOSE(OrdMethod,P55,T55)</f>
        <v>0.55000000000000004</v>
      </c>
      <c r="W55" s="216" t="str">
        <v>7Y</v>
      </c>
      <c r="X55" s="324" t="str">
        <f t="shared" ref="X55:X86" si="44">CHOOSE($B55,W55,"STUB 12M CURVES",TEXT(W55,"DD/MM/YY"),W55,"")</f>
        <v>7Y</v>
      </c>
      <c r="Y55" s="134" t="e">
        <f xml:space="preserve"> CHOOSE(NA(),
                       VLOOKUP(X55,[3]EUR1Y!$E$2:$H$1000,4,FALSE),
                       VLOOKUP(X55,[3]EUR1Y!$C$2:$H$1000,6,FALSE),
                       VLOOKUP(X55,[3]EUR1Y!$B$2:$H$1000,7,FALSE),
                       VLOOKUP(X55,[3]EUR1Y!$E$2:$H$1000,4,FALSE),
                       ""
                       )</f>
        <v>#N/A</v>
      </c>
      <c r="Z55" s="173" t="e">
        <f t="shared" ref="Z55:Z86" si="45">IF(Y55=0,NA(),IF($B55=3,100-Y55,Y55))</f>
        <v>#N/A</v>
      </c>
      <c r="AA55" s="134">
        <v>0.48899999999999999</v>
      </c>
      <c r="AB55" s="173">
        <f t="shared" ref="AB55:AB86" si="46">IF(AA55=0,NA(),AA55)</f>
        <v>0.48899999999999999</v>
      </c>
      <c r="AC55" s="219">
        <f t="shared" ref="AC55:AC86" si="47">CHOOSE(OrdMethod,Z55,AB55)</f>
        <v>0.48899999999999999</v>
      </c>
      <c r="AE55" s="216" t="str">
        <v>16Y</v>
      </c>
      <c r="AF55" s="324" t="str">
        <f t="shared" ref="AF55:AF83" si="48">CHOOSE($B55,AE55,"STUB",TEXT(AE55,"DD/MM/YY"),AE55,"")</f>
        <v>16Y</v>
      </c>
      <c r="AG55" s="134">
        <f>CHOOSE($B55,
                       VLOOKUP(AF55,[4]EURStd!$E$2:$H$1000,4,FALSE),
                       VLOOKUP(AF55,[4]EURStd!$C$2:$H$1000,6,FALSE),
                       VLOOKUP(AF55,[4]EURStd!$B$2:$H$1000,7,FALSE),
                       VLOOKUP(AF55,[4]EURStd!$E$2:$H$1000,4,FALSE),
                       ""
                       )</f>
        <v>2.5289999999999999</v>
      </c>
      <c r="AH55" s="173">
        <f t="shared" ref="AH55:AH83" si="49">IF(AG55=0,NA(),IF($B55=3,100-AG55,AG55))</f>
        <v>2.5289999999999999</v>
      </c>
      <c r="AI55" s="134">
        <v>1.0049999999999999</v>
      </c>
      <c r="AJ55" s="173">
        <f t="shared" ref="AJ55:AJ83" si="50">IF(AI55=0,NA(),IF($B55=3,100-AI55,AI55))</f>
        <v>1.0049999999999999</v>
      </c>
      <c r="AK55" s="219">
        <f t="shared" ref="AK55:AK83" si="51">CHOOSE(OrdMethod,AH55,AJ55)</f>
        <v>1.0049999999999999</v>
      </c>
      <c r="AM55" s="137" t="str">
        <v>5Y</v>
      </c>
      <c r="AN55" s="324" t="str">
        <f t="shared" si="34"/>
        <v>5Y</v>
      </c>
      <c r="AO55" s="134">
        <f>VLOOKUP(AN55,'[5]EUR-OIS'!$E$2:$H$1000,4,FALSE)</f>
        <v>0.85899999999999999</v>
      </c>
      <c r="AP55" s="173">
        <f t="shared" ref="AP55:AP84" si="52">IF(AO55=0,NA(),AO55)</f>
        <v>0.85899999999999999</v>
      </c>
      <c r="AQ55" s="134">
        <v>-0.113</v>
      </c>
      <c r="AR55" s="173">
        <f t="shared" ref="AR55:AR84" si="53">IF(AQ55=0,NA(),AQ55)</f>
        <v>-0.113</v>
      </c>
      <c r="AS55" s="219">
        <f t="shared" ref="AS55:AS84" si="54">CHOOSE(OrdMethod,AP55,AR55)</f>
        <v>-0.113</v>
      </c>
      <c r="AU55" s="137" t="str">
        <v>10Y</v>
      </c>
      <c r="AV55" s="144" t="str">
        <f t="shared" ref="AV55:AV86" si="55">AU55</f>
        <v>10Y</v>
      </c>
      <c r="AW55" s="144">
        <f>VLOOKUP(AV55,[6]EURFIX1RM!$E$2:$H$1009,4,FALSE)</f>
        <v>1.819</v>
      </c>
      <c r="AX55" s="173">
        <f t="shared" ref="AX55:AX86" si="56">IF(AW55=0,NA(),AW55)</f>
        <v>1.819</v>
      </c>
      <c r="AY55" s="134">
        <v>0.442</v>
      </c>
      <c r="AZ55" s="173">
        <f t="shared" ref="AZ55:AZ86" si="57">IF(AY55=0,NA(),AY55)</f>
        <v>0.442</v>
      </c>
      <c r="BA55" s="219">
        <f t="shared" ref="BA55:BA86" si="58">CHOOSE(OrdMethod,AX55,AZ55)</f>
        <v>0.442</v>
      </c>
      <c r="BD55" s="321" t="str">
        <v>6Y</v>
      </c>
      <c r="BE55" s="348">
        <f t="shared" ref="BE55:BE91" si="59">VLOOKUP($I$21&amp;"|"&amp;$BD55,CurveRefTable,$H$5,FALSE)+0</f>
        <v>0.24199999999999999</v>
      </c>
      <c r="BF55" s="321" t="str">
        <v>7Y</v>
      </c>
      <c r="BG55" s="426" t="b">
        <f t="shared" ref="BG55:BG86" si="60">NOT(ISERROR(FIND(" ",BF55)))</f>
        <v>0</v>
      </c>
      <c r="BH55" s="426" t="b">
        <f t="shared" si="33"/>
        <v>1</v>
      </c>
      <c r="BI55" s="426" t="b">
        <f t="shared" ref="BI55:BI86" si="61">OR(AND(NOT(BG55),NOT(BH55)),BH55)</f>
        <v>1</v>
      </c>
      <c r="BJ55" s="426" t="str">
        <v>10Y</v>
      </c>
      <c r="BK55" s="30">
        <f t="shared" ref="BK55:BK91" si="62">VLOOKUP($U$21&amp;"|"&amp;$BJ55,CurveRefTable,$H$5,FALSE)+0</f>
        <v>0.55000000000000004</v>
      </c>
      <c r="BL55" s="321" t="str">
        <v>7Y</v>
      </c>
      <c r="BM55" s="30">
        <f t="shared" ref="BM55:BM91" si="63">VLOOKUP($AC$21&amp;"|"&amp;$BL55,CurveRefTable,$H$5,FALSE)+0</f>
        <v>0.48899999999999999</v>
      </c>
      <c r="BN55" s="216" t="str">
        <v>16Y</v>
      </c>
      <c r="BO55" s="349">
        <f t="shared" ref="BO55:BO87" si="64">VLOOKUP($AK$21&amp;"|"&amp;$A55,CurveRefTable,$H$5,FALSE)+0</f>
        <v>1.0441685469999999</v>
      </c>
      <c r="BP55" s="137" t="str">
        <v>5Y</v>
      </c>
      <c r="BQ55" s="349">
        <f t="shared" ref="BQ55:BQ84" si="65">VLOOKUP($AS$21&amp;"|"&amp;$AM55,CurveRefTable,$H$5,FALSE)+0</f>
        <v>-0.113</v>
      </c>
      <c r="BR55" s="137" t="str">
        <v>10Y</v>
      </c>
      <c r="BS55" s="349">
        <f t="shared" ref="BS55:BS87" si="66">VLOOKUP($BA$21&amp;"|"&amp;$AU55,CurveRefTable,$H$5,FALSE)+0</f>
        <v>0.442</v>
      </c>
      <c r="CS55" s="332"/>
      <c r="CT55" s="366" t="s">
        <v>1404</v>
      </c>
      <c r="CU55" s="307" t="s">
        <v>208</v>
      </c>
      <c r="CV55" s="307" t="s">
        <v>195</v>
      </c>
      <c r="CW55" s="366" t="s">
        <v>40</v>
      </c>
      <c r="CX55" s="307">
        <v>1.0161733159999999</v>
      </c>
      <c r="CY55" s="307">
        <v>1.0161733159999999</v>
      </c>
      <c r="CZ55" s="307">
        <v>1.0161733159999999</v>
      </c>
    </row>
    <row r="56" spans="1:104">
      <c r="A56" s="130" t="str">
        <v>17Y</v>
      </c>
      <c r="B56" s="206">
        <v>4</v>
      </c>
      <c r="C56" s="321" t="str">
        <v>7Y</v>
      </c>
      <c r="D56" s="415" t="str">
        <f t="shared" si="35"/>
        <v>7Y</v>
      </c>
      <c r="E56" s="360" t="e">
        <f>CHOOSE(NA(),
                       VLOOKUP(D56,[1]EUR6M!$E$2:$H$1000,4,FALSE),
                       VLOOKUP(D56,[1]EUR6M!$C$2:$H$1000,6,FALSE),
                       VLOOKUP(D56,[1]EUR6M!$B$2:$H$1000,7,FALSE),
                       VLOOKUP(D56,[1]EUR6M!$E$2:$H$1000,4,FALSE),
                       ""
                       )</f>
        <v>#N/A</v>
      </c>
      <c r="F56" s="361" t="e">
        <f t="shared" si="36"/>
        <v>#N/A</v>
      </c>
      <c r="G56" s="134">
        <v>0.35499999999999998</v>
      </c>
      <c r="H56" s="361">
        <f t="shared" si="37"/>
        <v>0.35499999999999998</v>
      </c>
      <c r="I56" s="362">
        <f t="shared" si="38"/>
        <v>0.35499999999999998</v>
      </c>
      <c r="M56" s="216" t="str">
        <v>11Y</v>
      </c>
      <c r="N56" s="324" t="str">
        <f t="shared" si="39"/>
        <v>11Y</v>
      </c>
      <c r="O56" s="134">
        <f>CHOOSE($B56,
                       VLOOKUP(N56,[2]EUR3M!$E$2:$H$1000,4,FALSE),
                       VLOOKUP(N56,[2]EUR3M!$C$2:$H$1000,6,FALSE),
                       VLOOKUP(N56,[2]EUR3M!$B$2:$H$1000,7,FALSE),
                       VLOOKUP(N56,[2]EUR3M!$E$2:$H$1000,4,FALSE),
                       ""
                       )</f>
        <v>2.0779240880000001</v>
      </c>
      <c r="P56" s="173">
        <f t="shared" si="40"/>
        <v>2.0779240880000001</v>
      </c>
      <c r="Q56" s="134" t="s">
        <v>31</v>
      </c>
      <c r="R56" s="130" t="b">
        <f t="shared" si="41"/>
        <v>0</v>
      </c>
      <c r="S56" s="134">
        <v>0.64348159999999999</v>
      </c>
      <c r="T56" s="173">
        <f t="shared" si="42"/>
        <v>0.64348159999999999</v>
      </c>
      <c r="U56" s="219">
        <f t="shared" si="43"/>
        <v>0.64348159999999999</v>
      </c>
      <c r="W56" s="216" t="str">
        <v>8Y</v>
      </c>
      <c r="X56" s="324" t="str">
        <f t="shared" si="44"/>
        <v>8Y</v>
      </c>
      <c r="Y56" s="134" t="e">
        <f xml:space="preserve"> CHOOSE(NA(),
                       VLOOKUP(X56,[3]EUR1Y!$E$2:$H$1000,4,FALSE),
                       VLOOKUP(X56,[3]EUR1Y!$C$2:$H$1000,6,FALSE),
                       VLOOKUP(X56,[3]EUR1Y!$B$2:$H$1000,7,FALSE),
                       VLOOKUP(X56,[3]EUR1Y!$E$2:$H$1000,4,FALSE),
                       ""
                       )</f>
        <v>#N/A</v>
      </c>
      <c r="Z56" s="173" t="e">
        <f t="shared" si="45"/>
        <v>#N/A</v>
      </c>
      <c r="AA56" s="134">
        <v>0.59899999999999998</v>
      </c>
      <c r="AB56" s="173">
        <f t="shared" si="46"/>
        <v>0.59899999999999998</v>
      </c>
      <c r="AC56" s="219">
        <f t="shared" si="47"/>
        <v>0.59899999999999998</v>
      </c>
      <c r="AE56" s="216" t="str">
        <v>17Y</v>
      </c>
      <c r="AF56" s="324" t="str">
        <f t="shared" si="48"/>
        <v>17Y</v>
      </c>
      <c r="AG56" s="134">
        <f>CHOOSE($B56,
                       VLOOKUP(AF56,[4]EURStd!$E$2:$H$1000,4,FALSE),
                       VLOOKUP(AF56,[4]EURStd!$C$2:$H$1000,6,FALSE),
                       VLOOKUP(AF56,[4]EURStd!$B$2:$H$1000,7,FALSE),
                       VLOOKUP(AF56,[4]EURStd!$E$2:$H$1000,4,FALSE),
                       ""
                       )</f>
        <v>2.56</v>
      </c>
      <c r="AH56" s="173">
        <f t="shared" si="49"/>
        <v>2.56</v>
      </c>
      <c r="AI56" s="134">
        <v>1.0441685469999999</v>
      </c>
      <c r="AJ56" s="173">
        <f t="shared" si="50"/>
        <v>1.0441685469999999</v>
      </c>
      <c r="AK56" s="219">
        <f t="shared" si="51"/>
        <v>1.0441685469999999</v>
      </c>
      <c r="AM56" s="137" t="str">
        <v>6Y</v>
      </c>
      <c r="AN56" s="324" t="str">
        <f t="shared" si="34"/>
        <v>6Y</v>
      </c>
      <c r="AO56" s="134">
        <f>VLOOKUP(AN56,'[5]EUR-OIS'!$E$2:$H$1000,4,FALSE)</f>
        <v>1.073</v>
      </c>
      <c r="AP56" s="173">
        <f t="shared" si="52"/>
        <v>1.073</v>
      </c>
      <c r="AQ56" s="134">
        <v>-5.0000000000000001E-3</v>
      </c>
      <c r="AR56" s="173">
        <f t="shared" si="53"/>
        <v>-5.0000000000000001E-3</v>
      </c>
      <c r="AS56" s="219">
        <f t="shared" si="54"/>
        <v>-5.0000000000000001E-3</v>
      </c>
      <c r="AU56" s="137" t="str">
        <v>11Y</v>
      </c>
      <c r="AV56" s="144" t="str">
        <f t="shared" si="55"/>
        <v>11Y</v>
      </c>
      <c r="AW56" s="144">
        <f>VLOOKUP(AV56,[6]EURFIX1RM!$E$2:$H$1009,4,FALSE)</f>
        <v>1.9416864309999999</v>
      </c>
      <c r="AX56" s="173">
        <f t="shared" si="56"/>
        <v>1.9416864309999999</v>
      </c>
      <c r="AY56" s="134">
        <v>0.53659216799999998</v>
      </c>
      <c r="AZ56" s="173">
        <f t="shared" si="57"/>
        <v>0.53659216799999998</v>
      </c>
      <c r="BA56" s="219">
        <f t="shared" si="58"/>
        <v>0.53659216799999998</v>
      </c>
      <c r="BD56" s="321" t="str">
        <v>7Y</v>
      </c>
      <c r="BE56" s="348">
        <f t="shared" si="59"/>
        <v>0.35499999999999998</v>
      </c>
      <c r="BF56" s="321" t="str">
        <v>8Y</v>
      </c>
      <c r="BG56" s="426" t="b">
        <f t="shared" si="60"/>
        <v>0</v>
      </c>
      <c r="BH56" s="426" t="b">
        <f t="shared" ref="BH56:BH91" si="67">OR(BH55,BF56="12M-15M")</f>
        <v>1</v>
      </c>
      <c r="BI56" s="426" t="b">
        <f t="shared" si="61"/>
        <v>1</v>
      </c>
      <c r="BJ56" s="426" t="str">
        <v>11Y</v>
      </c>
      <c r="BK56" s="30">
        <f t="shared" si="62"/>
        <v>0.64348159999999999</v>
      </c>
      <c r="BL56" s="321" t="str">
        <v>8Y</v>
      </c>
      <c r="BM56" s="30">
        <f t="shared" si="63"/>
        <v>0.59899999999999998</v>
      </c>
      <c r="BN56" s="216" t="str">
        <v>17Y</v>
      </c>
      <c r="BO56" s="349">
        <f t="shared" si="64"/>
        <v>1.0755175340000001</v>
      </c>
      <c r="BP56" s="137" t="str">
        <v>6Y</v>
      </c>
      <c r="BQ56" s="349">
        <f t="shared" si="65"/>
        <v>-5.0000000000000001E-3</v>
      </c>
      <c r="BR56" s="137" t="str">
        <v>11Y</v>
      </c>
      <c r="BS56" s="349">
        <f t="shared" si="66"/>
        <v>0.53659216799999998</v>
      </c>
      <c r="CS56" s="332"/>
      <c r="CT56" s="366" t="s">
        <v>1405</v>
      </c>
      <c r="CU56" s="307" t="s">
        <v>208</v>
      </c>
      <c r="CV56" s="307" t="s">
        <v>195</v>
      </c>
      <c r="CW56" s="366" t="s">
        <v>41</v>
      </c>
      <c r="CX56" s="307">
        <v>1.0248589340000001</v>
      </c>
      <c r="CY56" s="307">
        <v>1.0248589340000001</v>
      </c>
      <c r="CZ56" s="307">
        <v>1.0248589340000001</v>
      </c>
    </row>
    <row r="57" spans="1:104">
      <c r="A57" s="130" t="str">
        <v>18Y</v>
      </c>
      <c r="B57" s="206">
        <v>4</v>
      </c>
      <c r="C57" s="321" t="str">
        <v>8Y</v>
      </c>
      <c r="D57" s="415" t="str">
        <f t="shared" si="35"/>
        <v>8Y</v>
      </c>
      <c r="E57" s="360" t="e">
        <f>CHOOSE(NA(),
                       VLOOKUP(D57,[1]EUR6M!$E$2:$H$1000,4,FALSE),
                       VLOOKUP(D57,[1]EUR6M!$C$2:$H$1000,6,FALSE),
                       VLOOKUP(D57,[1]EUR6M!$B$2:$H$1000,7,FALSE),
                       VLOOKUP(D57,[1]EUR6M!$E$2:$H$1000,4,FALSE),
                       ""
                       )</f>
        <v>#N/A</v>
      </c>
      <c r="F57" s="361" t="e">
        <f t="shared" si="36"/>
        <v>#N/A</v>
      </c>
      <c r="G57" s="134">
        <v>0.46700000000000003</v>
      </c>
      <c r="H57" s="361">
        <f t="shared" si="37"/>
        <v>0.46700000000000003</v>
      </c>
      <c r="I57" s="362">
        <f t="shared" si="38"/>
        <v>0.46700000000000003</v>
      </c>
      <c r="M57" s="216" t="str">
        <v>12Y</v>
      </c>
      <c r="N57" s="324" t="str">
        <f t="shared" si="39"/>
        <v>12Y</v>
      </c>
      <c r="O57" s="134">
        <f>CHOOSE($B57,
                       VLOOKUP(N57,[2]EUR3M!$E$2:$H$1000,4,FALSE),
                       VLOOKUP(N57,[2]EUR3M!$C$2:$H$1000,6,FALSE),
                       VLOOKUP(N57,[2]EUR3M!$B$2:$H$1000,7,FALSE),
                       VLOOKUP(N57,[2]EUR3M!$E$2:$H$1000,4,FALSE),
                       ""
                       )</f>
        <v>2.1789999999999998</v>
      </c>
      <c r="P57" s="173">
        <f t="shared" si="40"/>
        <v>2.1789999999999998</v>
      </c>
      <c r="Q57" s="134" t="s">
        <v>18</v>
      </c>
      <c r="R57" s="130" t="b">
        <f t="shared" si="41"/>
        <v>0</v>
      </c>
      <c r="S57" s="134">
        <v>0.72699999999999998</v>
      </c>
      <c r="T57" s="173">
        <f t="shared" si="42"/>
        <v>0.72699999999999998</v>
      </c>
      <c r="U57" s="219">
        <f t="shared" si="43"/>
        <v>0.72699999999999998</v>
      </c>
      <c r="W57" s="216" t="str">
        <v>9Y</v>
      </c>
      <c r="X57" s="324" t="str">
        <f t="shared" si="44"/>
        <v>9Y</v>
      </c>
      <c r="Y57" s="134" t="e">
        <f xml:space="preserve"> CHOOSE(NA(),
                       VLOOKUP(X57,[3]EUR1Y!$E$2:$H$1000,4,FALSE),
                       VLOOKUP(X57,[3]EUR1Y!$C$2:$H$1000,6,FALSE),
                       VLOOKUP(X57,[3]EUR1Y!$B$2:$H$1000,7,FALSE),
                       VLOOKUP(X57,[3]EUR1Y!$E$2:$H$1000,4,FALSE),
                       ""
                       )</f>
        <v>#N/A</v>
      </c>
      <c r="Z57" s="173" t="e">
        <f t="shared" si="45"/>
        <v>#N/A</v>
      </c>
      <c r="AA57" s="134">
        <v>0.70399999999999996</v>
      </c>
      <c r="AB57" s="173">
        <f t="shared" si="46"/>
        <v>0.70399999999999996</v>
      </c>
      <c r="AC57" s="219">
        <f t="shared" si="47"/>
        <v>0.70399999999999996</v>
      </c>
      <c r="AE57" s="216" t="str">
        <v>18Y</v>
      </c>
      <c r="AF57" s="324" t="str">
        <f t="shared" si="48"/>
        <v>18Y</v>
      </c>
      <c r="AG57" s="134">
        <f>CHOOSE($B57,
                       VLOOKUP(AF57,[4]EURStd!$E$2:$H$1000,4,FALSE),
                       VLOOKUP(AF57,[4]EURStd!$C$2:$H$1000,6,FALSE),
                       VLOOKUP(AF57,[4]EURStd!$B$2:$H$1000,7,FALSE),
                       VLOOKUP(AF57,[4]EURStd!$E$2:$H$1000,4,FALSE),
                       ""
                       )</f>
        <v>2.5830000000000002</v>
      </c>
      <c r="AH57" s="173">
        <f t="shared" si="49"/>
        <v>2.5830000000000002</v>
      </c>
      <c r="AI57" s="134">
        <v>1.0755175340000001</v>
      </c>
      <c r="AJ57" s="173">
        <f t="shared" si="50"/>
        <v>1.0755175340000001</v>
      </c>
      <c r="AK57" s="219">
        <f t="shared" si="51"/>
        <v>1.0755175340000001</v>
      </c>
      <c r="AM57" s="137" t="str">
        <v>7Y</v>
      </c>
      <c r="AN57" s="324" t="str">
        <f t="shared" si="34"/>
        <v>7Y</v>
      </c>
      <c r="AO57" s="134">
        <f>VLOOKUP(AN57,'[5]EUR-OIS'!$E$2:$H$1000,4,FALSE)</f>
        <v>1.2669999999999999</v>
      </c>
      <c r="AP57" s="173">
        <f t="shared" si="52"/>
        <v>1.2669999999999999</v>
      </c>
      <c r="AQ57" s="134">
        <v>0.109</v>
      </c>
      <c r="AR57" s="173">
        <f t="shared" si="53"/>
        <v>0.109</v>
      </c>
      <c r="AS57" s="219">
        <f t="shared" si="54"/>
        <v>0.109</v>
      </c>
      <c r="AU57" s="137" t="str">
        <v>12Y</v>
      </c>
      <c r="AV57" s="144" t="str">
        <f t="shared" si="55"/>
        <v>12Y</v>
      </c>
      <c r="AW57" s="144">
        <f>VLOOKUP(AV57,[6]EURFIX1RM!$E$2:$H$1009,4,FALSE)</f>
        <v>2.0470000000000002</v>
      </c>
      <c r="AX57" s="173">
        <f t="shared" si="56"/>
        <v>2.0470000000000002</v>
      </c>
      <c r="AY57" s="134">
        <v>0.621</v>
      </c>
      <c r="AZ57" s="173">
        <f t="shared" si="57"/>
        <v>0.621</v>
      </c>
      <c r="BA57" s="219">
        <f t="shared" si="58"/>
        <v>0.621</v>
      </c>
      <c r="BD57" s="321" t="str">
        <v>8Y</v>
      </c>
      <c r="BE57" s="348">
        <f t="shared" si="59"/>
        <v>0.46700000000000003</v>
      </c>
      <c r="BF57" s="321" t="str">
        <v>9Y</v>
      </c>
      <c r="BG57" s="426" t="b">
        <f t="shared" si="60"/>
        <v>0</v>
      </c>
      <c r="BH57" s="426" t="b">
        <f t="shared" si="67"/>
        <v>1</v>
      </c>
      <c r="BI57" s="426" t="b">
        <f t="shared" si="61"/>
        <v>1</v>
      </c>
      <c r="BJ57" s="426" t="str">
        <v>12Y</v>
      </c>
      <c r="BK57" s="30">
        <f t="shared" si="62"/>
        <v>0.72699999999999998</v>
      </c>
      <c r="BL57" s="321" t="str">
        <v>9Y</v>
      </c>
      <c r="BM57" s="30">
        <f t="shared" si="63"/>
        <v>0.70399999999999996</v>
      </c>
      <c r="BN57" s="216" t="str">
        <v>18Y</v>
      </c>
      <c r="BO57" s="349">
        <f t="shared" si="64"/>
        <v>1.1005122430000001</v>
      </c>
      <c r="BP57" s="137" t="str">
        <v>7Y</v>
      </c>
      <c r="BQ57" s="349">
        <f t="shared" si="65"/>
        <v>0.109</v>
      </c>
      <c r="BR57" s="137" t="str">
        <v>12Y</v>
      </c>
      <c r="BS57" s="349">
        <f t="shared" si="66"/>
        <v>0.621</v>
      </c>
      <c r="CS57" s="332"/>
      <c r="CT57" s="366" t="s">
        <v>1406</v>
      </c>
      <c r="CU57" s="307" t="s">
        <v>208</v>
      </c>
      <c r="CV57" s="307" t="s">
        <v>195</v>
      </c>
      <c r="CW57" s="366" t="s">
        <v>21</v>
      </c>
      <c r="CX57" s="307">
        <v>1.032</v>
      </c>
      <c r="CY57" s="307">
        <v>1.032</v>
      </c>
      <c r="CZ57" s="307">
        <v>1.032</v>
      </c>
    </row>
    <row r="58" spans="1:104">
      <c r="A58" s="130" t="str">
        <v>19Y</v>
      </c>
      <c r="B58" s="206">
        <v>4</v>
      </c>
      <c r="C58" s="321" t="str">
        <v>9Y</v>
      </c>
      <c r="D58" s="415" t="str">
        <f t="shared" si="35"/>
        <v>9Y</v>
      </c>
      <c r="E58" s="360" t="e">
        <f>CHOOSE(NA(),
                       VLOOKUP(D58,[1]EUR6M!$E$2:$H$1000,4,FALSE),
                       VLOOKUP(D58,[1]EUR6M!$C$2:$H$1000,6,FALSE),
                       VLOOKUP(D58,[1]EUR6M!$B$2:$H$1000,7,FALSE),
                       VLOOKUP(D58,[1]EUR6M!$E$2:$H$1000,4,FALSE),
                       ""
                       )</f>
        <v>#N/A</v>
      </c>
      <c r="F58" s="361" t="e">
        <f t="shared" si="36"/>
        <v>#N/A</v>
      </c>
      <c r="G58" s="134">
        <v>0.57399999999999995</v>
      </c>
      <c r="H58" s="361">
        <f t="shared" si="37"/>
        <v>0.57399999999999995</v>
      </c>
      <c r="I58" s="362">
        <f t="shared" si="38"/>
        <v>0.57399999999999995</v>
      </c>
      <c r="M58" s="216" t="str">
        <v>13Y</v>
      </c>
      <c r="N58" s="324" t="str">
        <f t="shared" si="39"/>
        <v>13Y</v>
      </c>
      <c r="O58" s="134">
        <f>CHOOSE($B58,
                       VLOOKUP(N58,[2]EUR3M!$E$2:$H$1000,4,FALSE),
                       VLOOKUP(N58,[2]EUR3M!$C$2:$H$1000,6,FALSE),
                       VLOOKUP(N58,[2]EUR3M!$B$2:$H$1000,7,FALSE),
                       VLOOKUP(N58,[2]EUR3M!$E$2:$H$1000,4,FALSE),
                       ""
                       )</f>
        <v>2.2646444670000001</v>
      </c>
      <c r="P58" s="173">
        <f t="shared" si="40"/>
        <v>2.2646444670000001</v>
      </c>
      <c r="Q58" s="134" t="s">
        <v>32</v>
      </c>
      <c r="R58" s="130" t="b">
        <f t="shared" si="41"/>
        <v>0</v>
      </c>
      <c r="S58" s="134">
        <v>0.79907134899999999</v>
      </c>
      <c r="T58" s="173">
        <f t="shared" si="42"/>
        <v>0.79907134899999999</v>
      </c>
      <c r="U58" s="219">
        <f t="shared" si="43"/>
        <v>0.79907134899999999</v>
      </c>
      <c r="W58" s="216" t="str">
        <v>10Y</v>
      </c>
      <c r="X58" s="324" t="str">
        <f t="shared" si="44"/>
        <v>10Y</v>
      </c>
      <c r="Y58" s="134" t="e">
        <f xml:space="preserve"> CHOOSE(NA(),
                       VLOOKUP(X58,[3]EUR1Y!$E$2:$H$1000,4,FALSE),
                       VLOOKUP(X58,[3]EUR1Y!$C$2:$H$1000,6,FALSE),
                       VLOOKUP(X58,[3]EUR1Y!$B$2:$H$1000,7,FALSE),
                       VLOOKUP(X58,[3]EUR1Y!$E$2:$H$1000,4,FALSE),
                       ""
                       )</f>
        <v>#N/A</v>
      </c>
      <c r="Z58" s="173" t="e">
        <f t="shared" si="45"/>
        <v>#N/A</v>
      </c>
      <c r="AA58" s="134">
        <v>0.79600000000000004</v>
      </c>
      <c r="AB58" s="173">
        <f t="shared" si="46"/>
        <v>0.79600000000000004</v>
      </c>
      <c r="AC58" s="219">
        <f t="shared" si="47"/>
        <v>0.79600000000000004</v>
      </c>
      <c r="AE58" s="216" t="str">
        <v>19Y</v>
      </c>
      <c r="AF58" s="324" t="str">
        <f t="shared" si="48"/>
        <v>19Y</v>
      </c>
      <c r="AG58" s="134">
        <f>CHOOSE($B58,
                       VLOOKUP(AF58,[4]EURStd!$E$2:$H$1000,4,FALSE),
                       VLOOKUP(AF58,[4]EURStd!$C$2:$H$1000,6,FALSE),
                       VLOOKUP(AF58,[4]EURStd!$B$2:$H$1000,7,FALSE),
                       VLOOKUP(AF58,[4]EURStd!$E$2:$H$1000,4,FALSE),
                       ""
                       )</f>
        <v>2.5990000000000002</v>
      </c>
      <c r="AH58" s="173">
        <f t="shared" si="49"/>
        <v>2.5990000000000002</v>
      </c>
      <c r="AI58" s="134">
        <v>1.1005122430000001</v>
      </c>
      <c r="AJ58" s="173">
        <f t="shared" si="50"/>
        <v>1.1005122430000001</v>
      </c>
      <c r="AK58" s="219">
        <f t="shared" si="51"/>
        <v>1.1005122430000001</v>
      </c>
      <c r="AM58" s="137" t="str">
        <v>8Y</v>
      </c>
      <c r="AN58" s="324" t="str">
        <f t="shared" si="34"/>
        <v>8Y</v>
      </c>
      <c r="AO58" s="134">
        <f>VLOOKUP(AN58,'[5]EUR-OIS'!$E$2:$H$1000,4,FALSE)</f>
        <v>1.4410000000000001</v>
      </c>
      <c r="AP58" s="173">
        <f t="shared" si="52"/>
        <v>1.4410000000000001</v>
      </c>
      <c r="AQ58" s="134">
        <v>0.22600000000000001</v>
      </c>
      <c r="AR58" s="173">
        <f t="shared" si="53"/>
        <v>0.22600000000000001</v>
      </c>
      <c r="AS58" s="219">
        <f t="shared" si="54"/>
        <v>0.22600000000000001</v>
      </c>
      <c r="AU58" s="137" t="str">
        <v>13Y</v>
      </c>
      <c r="AV58" s="144" t="str">
        <f t="shared" si="55"/>
        <v>13Y</v>
      </c>
      <c r="AW58" s="144">
        <f>VLOOKUP(AV58,[6]EURFIX1RM!$E$2:$H$1009,4,FALSE)</f>
        <v>2.137010595</v>
      </c>
      <c r="AX58" s="173">
        <f t="shared" si="56"/>
        <v>2.137010595</v>
      </c>
      <c r="AY58" s="134">
        <v>0.69459105899999996</v>
      </c>
      <c r="AZ58" s="173">
        <f t="shared" si="57"/>
        <v>0.69459105899999996</v>
      </c>
      <c r="BA58" s="219">
        <f t="shared" si="58"/>
        <v>0.69459105899999996</v>
      </c>
      <c r="BD58" s="321" t="str">
        <v>9Y</v>
      </c>
      <c r="BE58" s="348">
        <f t="shared" si="59"/>
        <v>0.57399999999999995</v>
      </c>
      <c r="BF58" s="321" t="str">
        <v>10Y</v>
      </c>
      <c r="BG58" s="426" t="b">
        <f t="shared" si="60"/>
        <v>0</v>
      </c>
      <c r="BH58" s="426" t="b">
        <f t="shared" si="67"/>
        <v>1</v>
      </c>
      <c r="BI58" s="426" t="b">
        <f t="shared" si="61"/>
        <v>1</v>
      </c>
      <c r="BJ58" s="426" t="str">
        <v>13Y</v>
      </c>
      <c r="BK58" s="30">
        <f t="shared" si="62"/>
        <v>0.79907134899999999</v>
      </c>
      <c r="BL58" s="321" t="str">
        <v>10Y</v>
      </c>
      <c r="BM58" s="30">
        <f t="shared" si="63"/>
        <v>0.79600000000000004</v>
      </c>
      <c r="BN58" s="216" t="str">
        <v>19Y</v>
      </c>
      <c r="BO58" s="349">
        <f t="shared" si="64"/>
        <v>1.1198747060000001</v>
      </c>
      <c r="BP58" s="137" t="str">
        <v>8Y</v>
      </c>
      <c r="BQ58" s="349">
        <f t="shared" si="65"/>
        <v>0.22600000000000001</v>
      </c>
      <c r="BR58" s="137" t="str">
        <v>13Y</v>
      </c>
      <c r="BS58" s="349">
        <f t="shared" si="66"/>
        <v>0.69459105899999996</v>
      </c>
      <c r="CS58" s="332"/>
      <c r="CT58" s="366" t="s">
        <v>1407</v>
      </c>
      <c r="CU58" s="307" t="s">
        <v>208</v>
      </c>
      <c r="CV58" s="307" t="s">
        <v>195</v>
      </c>
      <c r="CW58" s="366" t="s">
        <v>42</v>
      </c>
      <c r="CX58" s="307">
        <v>1.0383068019999999</v>
      </c>
      <c r="CY58" s="307">
        <v>1.0383068019999999</v>
      </c>
      <c r="CZ58" s="307">
        <v>1.0383068019999999</v>
      </c>
    </row>
    <row r="59" spans="1:104">
      <c r="A59" s="130" t="str">
        <v>20Y</v>
      </c>
      <c r="B59" s="206">
        <v>4</v>
      </c>
      <c r="C59" s="321" t="str">
        <v>10Y</v>
      </c>
      <c r="D59" s="415" t="str">
        <f t="shared" si="35"/>
        <v>10Y</v>
      </c>
      <c r="E59" s="360" t="e">
        <f>CHOOSE(NA(),
                       VLOOKUP(D59,[1]EUR6M!$E$2:$H$1000,4,FALSE),
                       VLOOKUP(D59,[1]EUR6M!$C$2:$H$1000,6,FALSE),
                       VLOOKUP(D59,[1]EUR6M!$B$2:$H$1000,7,FALSE),
                       VLOOKUP(D59,[1]EUR6M!$E$2:$H$1000,4,FALSE),
                       ""
                       )</f>
        <v>#N/A</v>
      </c>
      <c r="F59" s="361" t="e">
        <f t="shared" si="36"/>
        <v>#N/A</v>
      </c>
      <c r="G59" s="134">
        <v>0.67100000000000004</v>
      </c>
      <c r="H59" s="361">
        <f t="shared" si="37"/>
        <v>0.67100000000000004</v>
      </c>
      <c r="I59" s="362">
        <f t="shared" si="38"/>
        <v>0.67100000000000004</v>
      </c>
      <c r="M59" s="216" t="str">
        <v>14Y</v>
      </c>
      <c r="N59" s="324" t="str">
        <f t="shared" si="39"/>
        <v>14Y</v>
      </c>
      <c r="O59" s="134">
        <f>CHOOSE($B59,
                       VLOOKUP(N59,[2]EUR3M!$E$2:$H$1000,4,FALSE),
                       VLOOKUP(N59,[2]EUR3M!$C$2:$H$1000,6,FALSE),
                       VLOOKUP(N59,[2]EUR3M!$B$2:$H$1000,7,FALSE),
                       VLOOKUP(N59,[2]EUR3M!$E$2:$H$1000,4,FALSE),
                       ""
                       )</f>
        <v>2.3359758949999998</v>
      </c>
      <c r="P59" s="173">
        <f t="shared" si="40"/>
        <v>2.3359758949999998</v>
      </c>
      <c r="Q59" s="134" t="s">
        <v>33</v>
      </c>
      <c r="R59" s="130" t="b">
        <f t="shared" si="41"/>
        <v>0</v>
      </c>
      <c r="S59" s="134">
        <v>0.86122129700000005</v>
      </c>
      <c r="T59" s="173">
        <f t="shared" si="42"/>
        <v>0.86122129700000005</v>
      </c>
      <c r="U59" s="219">
        <f t="shared" si="43"/>
        <v>0.86122129700000005</v>
      </c>
      <c r="W59" s="216" t="str">
        <v>11Y</v>
      </c>
      <c r="X59" s="324" t="str">
        <f t="shared" si="44"/>
        <v>11Y</v>
      </c>
      <c r="Y59" s="134" t="e">
        <f xml:space="preserve"> CHOOSE(NA(),
                       VLOOKUP(X59,[3]EUR1Y!$E$2:$H$1000,4,FALSE),
                       VLOOKUP(X59,[3]EUR1Y!$C$2:$H$1000,6,FALSE),
                       VLOOKUP(X59,[3]EUR1Y!$B$2:$H$1000,7,FALSE),
                       VLOOKUP(X59,[3]EUR1Y!$E$2:$H$1000,4,FALSE),
                       ""
                       )</f>
        <v>#N/A</v>
      </c>
      <c r="Z59" s="173" t="e">
        <f t="shared" si="45"/>
        <v>#N/A</v>
      </c>
      <c r="AA59" s="134">
        <v>0.87583966000000002</v>
      </c>
      <c r="AB59" s="173">
        <f t="shared" si="46"/>
        <v>0.87583966000000002</v>
      </c>
      <c r="AC59" s="219">
        <f t="shared" si="47"/>
        <v>0.87583966000000002</v>
      </c>
      <c r="AE59" s="216" t="str">
        <v>20Y</v>
      </c>
      <c r="AF59" s="324" t="str">
        <f t="shared" si="48"/>
        <v>20Y</v>
      </c>
      <c r="AG59" s="134">
        <f>CHOOSE($B59,
                       VLOOKUP(AF59,[4]EURStd!$E$2:$H$1000,4,FALSE),
                       VLOOKUP(AF59,[4]EURStd!$C$2:$H$1000,6,FALSE),
                       VLOOKUP(AF59,[4]EURStd!$B$2:$H$1000,7,FALSE),
                       VLOOKUP(AF59,[4]EURStd!$E$2:$H$1000,4,FALSE),
                       ""
                       )</f>
        <v>2.61</v>
      </c>
      <c r="AH59" s="173">
        <f t="shared" si="49"/>
        <v>2.61</v>
      </c>
      <c r="AI59" s="134">
        <v>1.1198747060000001</v>
      </c>
      <c r="AJ59" s="173">
        <f t="shared" si="50"/>
        <v>1.1198747060000001</v>
      </c>
      <c r="AK59" s="219">
        <f t="shared" si="51"/>
        <v>1.1198747060000001</v>
      </c>
      <c r="AM59" s="137" t="str">
        <v>9Y</v>
      </c>
      <c r="AN59" s="324" t="str">
        <f t="shared" si="34"/>
        <v>9Y</v>
      </c>
      <c r="AO59" s="134">
        <f>VLOOKUP(AN59,'[5]EUR-OIS'!$E$2:$H$1000,4,FALSE)</f>
        <v>1.5960000000000001</v>
      </c>
      <c r="AP59" s="173">
        <f t="shared" si="52"/>
        <v>1.5960000000000001</v>
      </c>
      <c r="AQ59" s="134">
        <v>0.33800000000000002</v>
      </c>
      <c r="AR59" s="173">
        <f t="shared" si="53"/>
        <v>0.33800000000000002</v>
      </c>
      <c r="AS59" s="219">
        <f t="shared" si="54"/>
        <v>0.33800000000000002</v>
      </c>
      <c r="AU59" s="137" t="str">
        <v>14Y</v>
      </c>
      <c r="AV59" s="144" t="str">
        <f t="shared" si="55"/>
        <v>14Y</v>
      </c>
      <c r="AW59" s="144">
        <f>VLOOKUP(AV59,[6]EURFIX1RM!$E$2:$H$1009,4,FALSE)</f>
        <v>2.2127254810000001</v>
      </c>
      <c r="AX59" s="173">
        <f t="shared" si="56"/>
        <v>2.2127254810000001</v>
      </c>
      <c r="AY59" s="134">
        <v>0.75882464900000002</v>
      </c>
      <c r="AZ59" s="173">
        <f t="shared" si="57"/>
        <v>0.75882464900000002</v>
      </c>
      <c r="BA59" s="219">
        <f t="shared" si="58"/>
        <v>0.75882464900000002</v>
      </c>
      <c r="BD59" s="321" t="str">
        <v>10Y</v>
      </c>
      <c r="BE59" s="348">
        <f t="shared" si="59"/>
        <v>0.67100000000000004</v>
      </c>
      <c r="BF59" s="321" t="str">
        <v>11Y</v>
      </c>
      <c r="BG59" s="426" t="b">
        <f t="shared" si="60"/>
        <v>0</v>
      </c>
      <c r="BH59" s="426" t="b">
        <f t="shared" si="67"/>
        <v>1</v>
      </c>
      <c r="BI59" s="426" t="b">
        <f t="shared" si="61"/>
        <v>1</v>
      </c>
      <c r="BJ59" s="426" t="str">
        <v>14Y</v>
      </c>
      <c r="BK59" s="30">
        <f t="shared" si="62"/>
        <v>0.86122129700000005</v>
      </c>
      <c r="BL59" s="321" t="str">
        <v>11Y</v>
      </c>
      <c r="BM59" s="30">
        <f t="shared" si="63"/>
        <v>0.87583966000000002</v>
      </c>
      <c r="BN59" s="216" t="str">
        <v>20Y</v>
      </c>
      <c r="BO59" s="349">
        <f t="shared" si="64"/>
        <v>1.135</v>
      </c>
      <c r="BP59" s="137" t="str">
        <v>9Y</v>
      </c>
      <c r="BQ59" s="349">
        <f t="shared" si="65"/>
        <v>0.33800000000000002</v>
      </c>
      <c r="BR59" s="137" t="str">
        <v>14Y</v>
      </c>
      <c r="BS59" s="349">
        <f t="shared" si="66"/>
        <v>0.75882464900000002</v>
      </c>
      <c r="CS59" s="332"/>
      <c r="CT59" s="366" t="s">
        <v>1408</v>
      </c>
      <c r="CU59" s="307" t="s">
        <v>208</v>
      </c>
      <c r="CV59" s="307" t="s">
        <v>195</v>
      </c>
      <c r="CW59" s="366" t="s">
        <v>43</v>
      </c>
      <c r="CX59" s="307">
        <v>1.0439020349999999</v>
      </c>
      <c r="CY59" s="307">
        <v>1.0439020349999999</v>
      </c>
      <c r="CZ59" s="307">
        <v>1.0439020349999999</v>
      </c>
    </row>
    <row r="60" spans="1:104">
      <c r="A60" s="130" t="str">
        <v>21Y</v>
      </c>
      <c r="B60" s="206">
        <v>4</v>
      </c>
      <c r="C60" s="321" t="str">
        <v>11Y</v>
      </c>
      <c r="D60" s="415" t="str">
        <f t="shared" si="35"/>
        <v>11Y</v>
      </c>
      <c r="E60" s="360" t="e">
        <f>CHOOSE(NA(),
                       VLOOKUP(D60,[1]EUR6M!$E$2:$H$1000,4,FALSE),
                       VLOOKUP(D60,[1]EUR6M!$C$2:$H$1000,6,FALSE),
                       VLOOKUP(D60,[1]EUR6M!$B$2:$H$1000,7,FALSE),
                       VLOOKUP(D60,[1]EUR6M!$E$2:$H$1000,4,FALSE),
                       ""
                       )</f>
        <v>#N/A</v>
      </c>
      <c r="F60" s="361" t="e">
        <f t="shared" si="36"/>
        <v>#N/A</v>
      </c>
      <c r="G60" s="134">
        <v>0.75771047999999996</v>
      </c>
      <c r="H60" s="361">
        <f t="shared" si="37"/>
        <v>0.75771047999999996</v>
      </c>
      <c r="I60" s="362">
        <f t="shared" si="38"/>
        <v>0.75771047999999996</v>
      </c>
      <c r="M60" s="216" t="str">
        <v>15Y</v>
      </c>
      <c r="N60" s="324" t="str">
        <f t="shared" si="39"/>
        <v>15Y</v>
      </c>
      <c r="O60" s="134">
        <f>CHOOSE($B60,
                       VLOOKUP(N60,[2]EUR3M!$E$2:$H$1000,4,FALSE),
                       VLOOKUP(N60,[2]EUR3M!$C$2:$H$1000,6,FALSE),
                       VLOOKUP(N60,[2]EUR3M!$B$2:$H$1000,7,FALSE),
                       VLOOKUP(N60,[2]EUR3M!$E$2:$H$1000,4,FALSE),
                       ""
                       )</f>
        <v>2.3929999999999998</v>
      </c>
      <c r="P60" s="173">
        <f t="shared" si="40"/>
        <v>2.3929999999999998</v>
      </c>
      <c r="Q60" s="134" t="s">
        <v>19</v>
      </c>
      <c r="R60" s="130" t="b">
        <f t="shared" si="41"/>
        <v>0</v>
      </c>
      <c r="S60" s="134">
        <v>0.91400000000000003</v>
      </c>
      <c r="T60" s="173">
        <f t="shared" si="42"/>
        <v>0.91400000000000003</v>
      </c>
      <c r="U60" s="219">
        <f t="shared" si="43"/>
        <v>0.91400000000000003</v>
      </c>
      <c r="W60" s="216" t="str">
        <v>12Y</v>
      </c>
      <c r="X60" s="324" t="str">
        <f t="shared" si="44"/>
        <v>12Y</v>
      </c>
      <c r="Y60" s="134" t="e">
        <f xml:space="preserve"> CHOOSE(NA(),
                       VLOOKUP(X60,[3]EUR1Y!$E$2:$H$1000,4,FALSE),
                       VLOOKUP(X60,[3]EUR1Y!$C$2:$H$1000,6,FALSE),
                       VLOOKUP(X60,[3]EUR1Y!$B$2:$H$1000,7,FALSE),
                       VLOOKUP(X60,[3]EUR1Y!$E$2:$H$1000,4,FALSE),
                       ""
                       )</f>
        <v>#N/A</v>
      </c>
      <c r="Z60" s="173" t="e">
        <f t="shared" si="45"/>
        <v>#N/A</v>
      </c>
      <c r="AA60" s="134">
        <v>0.94599999999999995</v>
      </c>
      <c r="AB60" s="173">
        <f t="shared" si="46"/>
        <v>0.94599999999999995</v>
      </c>
      <c r="AC60" s="219">
        <f t="shared" si="47"/>
        <v>0.94599999999999995</v>
      </c>
      <c r="AE60" s="216" t="str">
        <v>21Y</v>
      </c>
      <c r="AF60" s="324" t="str">
        <f t="shared" si="48"/>
        <v>21Y</v>
      </c>
      <c r="AG60" s="134">
        <f>CHOOSE($B60,
                       VLOOKUP(AF60,[4]EURStd!$E$2:$H$1000,4,FALSE),
                       VLOOKUP(AF60,[4]EURStd!$C$2:$H$1000,6,FALSE),
                       VLOOKUP(AF60,[4]EURStd!$B$2:$H$1000,7,FALSE),
                       VLOOKUP(AF60,[4]EURStd!$E$2:$H$1000,4,FALSE),
                       ""
                       )</f>
        <v>2.6179999999999999</v>
      </c>
      <c r="AH60" s="173">
        <f t="shared" si="49"/>
        <v>2.6179999999999999</v>
      </c>
      <c r="AI60" s="134">
        <v>1.135</v>
      </c>
      <c r="AJ60" s="173">
        <f t="shared" si="50"/>
        <v>1.135</v>
      </c>
      <c r="AK60" s="219">
        <f t="shared" si="51"/>
        <v>1.135</v>
      </c>
      <c r="AM60" s="137" t="str">
        <v>10Y</v>
      </c>
      <c r="AN60" s="324" t="str">
        <f t="shared" si="34"/>
        <v>10Y</v>
      </c>
      <c r="AO60" s="134">
        <f>VLOOKUP(AN60,'[5]EUR-OIS'!$E$2:$H$1000,4,FALSE)</f>
        <v>1.7350000000000001</v>
      </c>
      <c r="AP60" s="173">
        <f t="shared" si="52"/>
        <v>1.7350000000000001</v>
      </c>
      <c r="AQ60" s="134">
        <v>0.441</v>
      </c>
      <c r="AR60" s="173">
        <f t="shared" si="53"/>
        <v>0.441</v>
      </c>
      <c r="AS60" s="219">
        <f t="shared" si="54"/>
        <v>0.441</v>
      </c>
      <c r="AU60" s="137" t="str">
        <v>15Y</v>
      </c>
      <c r="AV60" s="144" t="str">
        <f t="shared" si="55"/>
        <v>15Y</v>
      </c>
      <c r="AW60" s="144">
        <f>VLOOKUP(AV60,[6]EURFIX1RM!$E$2:$H$1009,4,FALSE)</f>
        <v>2.274</v>
      </c>
      <c r="AX60" s="173">
        <f t="shared" si="56"/>
        <v>2.274</v>
      </c>
      <c r="AY60" s="134">
        <v>0.81399999999999995</v>
      </c>
      <c r="AZ60" s="173">
        <f t="shared" si="57"/>
        <v>0.81399999999999995</v>
      </c>
      <c r="BA60" s="219">
        <f t="shared" si="58"/>
        <v>0.81399999999999995</v>
      </c>
      <c r="BD60" s="321" t="str">
        <v>11Y</v>
      </c>
      <c r="BE60" s="348">
        <f t="shared" si="59"/>
        <v>0.75771047999999996</v>
      </c>
      <c r="BF60" s="321" t="str">
        <v>12Y</v>
      </c>
      <c r="BG60" s="426" t="b">
        <f t="shared" si="60"/>
        <v>0</v>
      </c>
      <c r="BH60" s="426" t="b">
        <f t="shared" si="67"/>
        <v>1</v>
      </c>
      <c r="BI60" s="426" t="b">
        <f t="shared" si="61"/>
        <v>1</v>
      </c>
      <c r="BJ60" s="426" t="str">
        <v>15Y</v>
      </c>
      <c r="BK60" s="30">
        <f t="shared" si="62"/>
        <v>0.91400000000000003</v>
      </c>
      <c r="BL60" s="321" t="str">
        <v>12Y</v>
      </c>
      <c r="BM60" s="30">
        <f t="shared" si="63"/>
        <v>0.94599999999999995</v>
      </c>
      <c r="BN60" s="216" t="str">
        <v>21Y</v>
      </c>
      <c r="BO60" s="349">
        <f t="shared" si="64"/>
        <v>1.1464710229999999</v>
      </c>
      <c r="BP60" s="137" t="str">
        <v>10Y</v>
      </c>
      <c r="BQ60" s="349">
        <f t="shared" si="65"/>
        <v>0.441</v>
      </c>
      <c r="BR60" s="137" t="str">
        <v>15Y</v>
      </c>
      <c r="BS60" s="349">
        <f t="shared" si="66"/>
        <v>0.81399999999999995</v>
      </c>
      <c r="CS60" s="332"/>
      <c r="CT60" s="366" t="s">
        <v>1409</v>
      </c>
      <c r="CU60" s="307" t="s">
        <v>208</v>
      </c>
      <c r="CV60" s="307" t="s">
        <v>195</v>
      </c>
      <c r="CW60" s="366" t="s">
        <v>44</v>
      </c>
      <c r="CX60" s="307">
        <v>1.048932843</v>
      </c>
      <c r="CY60" s="307">
        <v>1.048932843</v>
      </c>
      <c r="CZ60" s="307">
        <v>1.048932843</v>
      </c>
    </row>
    <row r="61" spans="1:104">
      <c r="A61" s="130" t="str">
        <v>22Y</v>
      </c>
      <c r="B61" s="206">
        <v>4</v>
      </c>
      <c r="C61" s="321" t="str">
        <v>12Y</v>
      </c>
      <c r="D61" s="415" t="str">
        <f t="shared" si="35"/>
        <v>12Y</v>
      </c>
      <c r="E61" s="360" t="e">
        <f>CHOOSE(NA(),
                       VLOOKUP(D61,[1]EUR6M!$E$2:$H$1000,4,FALSE),
                       VLOOKUP(D61,[1]EUR6M!$C$2:$H$1000,6,FALSE),
                       VLOOKUP(D61,[1]EUR6M!$B$2:$H$1000,7,FALSE),
                       VLOOKUP(D61,[1]EUR6M!$E$2:$H$1000,4,FALSE),
                       ""
                       )</f>
        <v>#N/A</v>
      </c>
      <c r="F61" s="361" t="e">
        <f t="shared" si="36"/>
        <v>#N/A</v>
      </c>
      <c r="G61" s="134">
        <v>0.83499999999999996</v>
      </c>
      <c r="H61" s="361">
        <f t="shared" si="37"/>
        <v>0.83499999999999996</v>
      </c>
      <c r="I61" s="362">
        <f t="shared" si="38"/>
        <v>0.83499999999999996</v>
      </c>
      <c r="M61" s="216" t="str">
        <v>16Y</v>
      </c>
      <c r="N61" s="324" t="str">
        <f t="shared" si="39"/>
        <v>16Y</v>
      </c>
      <c r="O61" s="134">
        <f>CHOOSE($B61,
                       VLOOKUP(N61,[2]EUR3M!$E$2:$H$1000,4,FALSE),
                       VLOOKUP(N61,[2]EUR3M!$C$2:$H$1000,6,FALSE),
                       VLOOKUP(N61,[2]EUR3M!$B$2:$H$1000,7,FALSE),
                       VLOOKUP(N61,[2]EUR3M!$E$2:$H$1000,4,FALSE),
                       ""
                       )</f>
        <v>2.4367367309999999</v>
      </c>
      <c r="P61" s="173">
        <f t="shared" si="40"/>
        <v>2.4367367309999999</v>
      </c>
      <c r="Q61" s="134" t="s">
        <v>34</v>
      </c>
      <c r="R61" s="130" t="b">
        <f t="shared" si="41"/>
        <v>0</v>
      </c>
      <c r="S61" s="134">
        <v>0.95701836799999995</v>
      </c>
      <c r="T61" s="173">
        <f t="shared" si="42"/>
        <v>0.95701836799999995</v>
      </c>
      <c r="U61" s="219">
        <f t="shared" si="43"/>
        <v>0.95701836799999995</v>
      </c>
      <c r="W61" s="216" t="str">
        <v>13Y</v>
      </c>
      <c r="X61" s="324" t="str">
        <f t="shared" si="44"/>
        <v>13Y</v>
      </c>
      <c r="Y61" s="134" t="e">
        <f xml:space="preserve"> CHOOSE(NA(),
                       VLOOKUP(X61,[3]EUR1Y!$E$2:$H$1000,4,FALSE),
                       VLOOKUP(X61,[3]EUR1Y!$C$2:$H$1000,6,FALSE),
                       VLOOKUP(X61,[3]EUR1Y!$B$2:$H$1000,7,FALSE),
                       VLOOKUP(X61,[3]EUR1Y!$E$2:$H$1000,4,FALSE),
                       ""
                       )</f>
        <v>#N/A</v>
      </c>
      <c r="Z61" s="173" t="e">
        <f t="shared" si="45"/>
        <v>#N/A</v>
      </c>
      <c r="AA61" s="134">
        <v>1.0059137149999999</v>
      </c>
      <c r="AB61" s="173">
        <f t="shared" si="46"/>
        <v>1.0059137149999999</v>
      </c>
      <c r="AC61" s="219">
        <f t="shared" si="47"/>
        <v>1.0059137149999999</v>
      </c>
      <c r="AE61" s="216" t="str">
        <v>22Y</v>
      </c>
      <c r="AF61" s="324" t="str">
        <f t="shared" si="48"/>
        <v>22Y</v>
      </c>
      <c r="AG61" s="134">
        <f>CHOOSE($B61,
                       VLOOKUP(AF61,[4]EURStd!$E$2:$H$1000,4,FALSE),
                       VLOOKUP(AF61,[4]EURStd!$C$2:$H$1000,6,FALSE),
                       VLOOKUP(AF61,[4]EURStd!$B$2:$H$1000,7,FALSE),
                       VLOOKUP(AF61,[4]EURStd!$E$2:$H$1000,4,FALSE),
                       ""
                       )</f>
        <v>2.6240000000000001</v>
      </c>
      <c r="AH61" s="173">
        <f t="shared" si="49"/>
        <v>2.6240000000000001</v>
      </c>
      <c r="AI61" s="134">
        <v>1.1464710229999999</v>
      </c>
      <c r="AJ61" s="173">
        <f t="shared" si="50"/>
        <v>1.1464710229999999</v>
      </c>
      <c r="AK61" s="219">
        <f t="shared" si="51"/>
        <v>1.1464710229999999</v>
      </c>
      <c r="AM61" s="137" t="str">
        <v>11Y</v>
      </c>
      <c r="AN61" s="324" t="str">
        <f t="shared" si="34"/>
        <v>11Y</v>
      </c>
      <c r="AO61" s="134">
        <f>VLOOKUP(AN61,'[5]EUR-OIS'!$E$2:$H$1000,4,FALSE)</f>
        <v>1.8580000000000001</v>
      </c>
      <c r="AP61" s="173">
        <f t="shared" si="52"/>
        <v>1.8580000000000001</v>
      </c>
      <c r="AQ61" s="134">
        <v>0.53500000000000003</v>
      </c>
      <c r="AR61" s="173">
        <f t="shared" si="53"/>
        <v>0.53500000000000003</v>
      </c>
      <c r="AS61" s="219">
        <f t="shared" si="54"/>
        <v>0.53500000000000003</v>
      </c>
      <c r="AU61" s="137" t="str">
        <v>16Y</v>
      </c>
      <c r="AV61" s="144" t="str">
        <f t="shared" si="55"/>
        <v>16Y</v>
      </c>
      <c r="AW61" s="144">
        <f>VLOOKUP(AV61,[6]EURFIX1RM!$E$2:$H$1009,4,FALSE)</f>
        <v>2.321878608</v>
      </c>
      <c r="AX61" s="173">
        <f t="shared" si="56"/>
        <v>2.321878608</v>
      </c>
      <c r="AY61" s="134">
        <v>0.86049465800000002</v>
      </c>
      <c r="AZ61" s="173">
        <f t="shared" si="57"/>
        <v>0.86049465800000002</v>
      </c>
      <c r="BA61" s="219">
        <f t="shared" si="58"/>
        <v>0.86049465800000002</v>
      </c>
      <c r="BD61" s="321" t="str">
        <v>12Y</v>
      </c>
      <c r="BE61" s="348">
        <f t="shared" si="59"/>
        <v>0.83499999999999996</v>
      </c>
      <c r="BF61" s="321" t="str">
        <v>13Y</v>
      </c>
      <c r="BG61" s="426" t="b">
        <f t="shared" si="60"/>
        <v>0</v>
      </c>
      <c r="BH61" s="426" t="b">
        <f t="shared" si="67"/>
        <v>1</v>
      </c>
      <c r="BI61" s="426" t="b">
        <f t="shared" si="61"/>
        <v>1</v>
      </c>
      <c r="BJ61" s="426" t="str">
        <v>16Y</v>
      </c>
      <c r="BK61" s="30">
        <f t="shared" si="62"/>
        <v>0.95701836799999995</v>
      </c>
      <c r="BL61" s="321" t="str">
        <v>13Y</v>
      </c>
      <c r="BM61" s="30">
        <f t="shared" si="63"/>
        <v>1.0059137149999999</v>
      </c>
      <c r="BN61" s="216" t="str">
        <v>22Y</v>
      </c>
      <c r="BO61" s="349">
        <f t="shared" si="64"/>
        <v>1.1551005569999999</v>
      </c>
      <c r="BP61" s="137" t="str">
        <v>11Y</v>
      </c>
      <c r="BQ61" s="349">
        <f t="shared" si="65"/>
        <v>0.53500000000000003</v>
      </c>
      <c r="BR61" s="137" t="str">
        <v>16Y</v>
      </c>
      <c r="BS61" s="349">
        <f t="shared" si="66"/>
        <v>0.86049465800000002</v>
      </c>
      <c r="CS61" s="332"/>
      <c r="CT61" s="366" t="s">
        <v>1410</v>
      </c>
      <c r="CU61" s="307" t="s">
        <v>208</v>
      </c>
      <c r="CV61" s="307" t="s">
        <v>195</v>
      </c>
      <c r="CW61" s="366" t="s">
        <v>45</v>
      </c>
      <c r="CX61" s="307">
        <v>1.053267043</v>
      </c>
      <c r="CY61" s="307">
        <v>1.053267043</v>
      </c>
      <c r="CZ61" s="307">
        <v>1.053267043</v>
      </c>
    </row>
    <row r="62" spans="1:104">
      <c r="A62" s="130" t="str">
        <v>23Y</v>
      </c>
      <c r="B62" s="206">
        <v>4</v>
      </c>
      <c r="C62" s="321" t="str">
        <v>13Y</v>
      </c>
      <c r="D62" s="415" t="str">
        <f t="shared" si="35"/>
        <v>13Y</v>
      </c>
      <c r="E62" s="360" t="e">
        <f>CHOOSE(NA(),
                       VLOOKUP(D62,[1]EUR6M!$E$2:$H$1000,4,FALSE),
                       VLOOKUP(D62,[1]EUR6M!$C$2:$H$1000,6,FALSE),
                       VLOOKUP(D62,[1]EUR6M!$B$2:$H$1000,7,FALSE),
                       VLOOKUP(D62,[1]EUR6M!$E$2:$H$1000,4,FALSE),
                       ""
                       )</f>
        <v>#N/A</v>
      </c>
      <c r="F62" s="361" t="e">
        <f t="shared" si="36"/>
        <v>#N/A</v>
      </c>
      <c r="G62" s="134">
        <v>0.90110858100000002</v>
      </c>
      <c r="H62" s="361">
        <f t="shared" si="37"/>
        <v>0.90110858100000002</v>
      </c>
      <c r="I62" s="362">
        <f t="shared" si="38"/>
        <v>0.90110858100000002</v>
      </c>
      <c r="M62" s="216" t="str">
        <v>17Y</v>
      </c>
      <c r="N62" s="324" t="str">
        <f t="shared" si="39"/>
        <v>17Y</v>
      </c>
      <c r="O62" s="134">
        <f>CHOOSE($B62,
                       VLOOKUP(N62,[2]EUR3M!$E$2:$H$1000,4,FALSE),
                       VLOOKUP(N62,[2]EUR3M!$C$2:$H$1000,6,FALSE),
                       VLOOKUP(N62,[2]EUR3M!$B$2:$H$1000,7,FALSE),
                       VLOOKUP(N62,[2]EUR3M!$E$2:$H$1000,4,FALSE),
                       ""
                       )</f>
        <v>2.470003964</v>
      </c>
      <c r="P62" s="173">
        <f t="shared" si="40"/>
        <v>2.470003964</v>
      </c>
      <c r="Q62" s="134" t="s">
        <v>35</v>
      </c>
      <c r="R62" s="130" t="b">
        <f t="shared" si="41"/>
        <v>0</v>
      </c>
      <c r="S62" s="134">
        <v>0.99375122299999996</v>
      </c>
      <c r="T62" s="173">
        <f t="shared" si="42"/>
        <v>0.99375122299999996</v>
      </c>
      <c r="U62" s="219">
        <f t="shared" si="43"/>
        <v>0.99375122299999996</v>
      </c>
      <c r="W62" s="216" t="str">
        <v>14Y</v>
      </c>
      <c r="X62" s="324" t="str">
        <f t="shared" si="44"/>
        <v>14Y</v>
      </c>
      <c r="Y62" s="134" t="e">
        <f xml:space="preserve"> CHOOSE(NA(),
                       VLOOKUP(X62,[3]EUR1Y!$E$2:$H$1000,4,FALSE),
                       VLOOKUP(X62,[3]EUR1Y!$C$2:$H$1000,6,FALSE),
                       VLOOKUP(X62,[3]EUR1Y!$B$2:$H$1000,7,FALSE),
                       VLOOKUP(X62,[3]EUR1Y!$E$2:$H$1000,4,FALSE),
                       ""
                       )</f>
        <v>#N/A</v>
      </c>
      <c r="Z62" s="173" t="e">
        <f t="shared" si="45"/>
        <v>#N/A</v>
      </c>
      <c r="AA62" s="134">
        <v>1.057097969</v>
      </c>
      <c r="AB62" s="173">
        <f t="shared" si="46"/>
        <v>1.057097969</v>
      </c>
      <c r="AC62" s="219">
        <f t="shared" si="47"/>
        <v>1.057097969</v>
      </c>
      <c r="AE62" s="216" t="str">
        <v>23Y</v>
      </c>
      <c r="AF62" s="324" t="str">
        <f t="shared" si="48"/>
        <v>23Y</v>
      </c>
      <c r="AG62" s="134">
        <f>CHOOSE($B62,
                       VLOOKUP(AF62,[4]EURStd!$E$2:$H$1000,4,FALSE),
                       VLOOKUP(AF62,[4]EURStd!$C$2:$H$1000,6,FALSE),
                       VLOOKUP(AF62,[4]EURStd!$B$2:$H$1000,7,FALSE),
                       VLOOKUP(AF62,[4]EURStd!$E$2:$H$1000,4,FALSE),
                       ""
                       )</f>
        <v>2.6280000000000001</v>
      </c>
      <c r="AH62" s="173">
        <f t="shared" si="49"/>
        <v>2.6280000000000001</v>
      </c>
      <c r="AI62" s="134">
        <v>1.1551005569999999</v>
      </c>
      <c r="AJ62" s="173">
        <f t="shared" si="50"/>
        <v>1.1551005569999999</v>
      </c>
      <c r="AK62" s="219">
        <f t="shared" si="51"/>
        <v>1.1551005569999999</v>
      </c>
      <c r="AM62" s="137" t="str">
        <v>12Y</v>
      </c>
      <c r="AN62" s="324" t="str">
        <f t="shared" si="34"/>
        <v>12Y</v>
      </c>
      <c r="AO62" s="134">
        <f>VLOOKUP(AN62,'[5]EUR-OIS'!$E$2:$H$1000,4,FALSE)</f>
        <v>1.964</v>
      </c>
      <c r="AP62" s="173">
        <f t="shared" si="52"/>
        <v>1.964</v>
      </c>
      <c r="AQ62" s="134">
        <v>0.61899999999999999</v>
      </c>
      <c r="AR62" s="173">
        <f t="shared" si="53"/>
        <v>0.61899999999999999</v>
      </c>
      <c r="AS62" s="219">
        <f t="shared" si="54"/>
        <v>0.61899999999999999</v>
      </c>
      <c r="AU62" s="137" t="str">
        <v>17Y</v>
      </c>
      <c r="AV62" s="144" t="str">
        <f t="shared" si="55"/>
        <v>17Y</v>
      </c>
      <c r="AW62" s="144">
        <f>VLOOKUP(AV62,[6]EURFIX1RM!$E$2:$H$1009,4,FALSE)</f>
        <v>2.3590720360000001</v>
      </c>
      <c r="AX62" s="173">
        <f t="shared" si="56"/>
        <v>2.3590720360000001</v>
      </c>
      <c r="AY62" s="134">
        <v>0.89871899099999997</v>
      </c>
      <c r="AZ62" s="173">
        <f t="shared" si="57"/>
        <v>0.89871899099999997</v>
      </c>
      <c r="BA62" s="219">
        <f t="shared" si="58"/>
        <v>0.89871899099999997</v>
      </c>
      <c r="BD62" s="321" t="str">
        <v>13Y</v>
      </c>
      <c r="BE62" s="348">
        <f t="shared" si="59"/>
        <v>0.90110858100000002</v>
      </c>
      <c r="BF62" s="321" t="str">
        <v>14Y</v>
      </c>
      <c r="BG62" s="426" t="b">
        <f t="shared" si="60"/>
        <v>0</v>
      </c>
      <c r="BH62" s="426" t="b">
        <f t="shared" si="67"/>
        <v>1</v>
      </c>
      <c r="BI62" s="426" t="b">
        <f t="shared" si="61"/>
        <v>1</v>
      </c>
      <c r="BJ62" s="426" t="str">
        <v>17Y</v>
      </c>
      <c r="BK62" s="30">
        <f t="shared" si="62"/>
        <v>0.99375122299999996</v>
      </c>
      <c r="BL62" s="321" t="str">
        <v>14Y</v>
      </c>
      <c r="BM62" s="30">
        <f t="shared" si="63"/>
        <v>1.057097969</v>
      </c>
      <c r="BN62" s="216" t="str">
        <v>23Y</v>
      </c>
      <c r="BO62" s="349">
        <f t="shared" si="64"/>
        <v>1.161488088</v>
      </c>
      <c r="BP62" s="137" t="str">
        <v>12Y</v>
      </c>
      <c r="BQ62" s="349">
        <f t="shared" si="65"/>
        <v>0.61899999999999999</v>
      </c>
      <c r="BR62" s="137" t="str">
        <v>17Y</v>
      </c>
      <c r="BS62" s="349">
        <f t="shared" si="66"/>
        <v>0.89871899099999997</v>
      </c>
      <c r="CS62" s="332"/>
      <c r="CT62" s="366" t="s">
        <v>1411</v>
      </c>
      <c r="CU62" s="307" t="s">
        <v>208</v>
      </c>
      <c r="CV62" s="307" t="s">
        <v>195</v>
      </c>
      <c r="CW62" s="366" t="s">
        <v>22</v>
      </c>
      <c r="CX62" s="307">
        <v>1.0569999999999999</v>
      </c>
      <c r="CY62" s="307">
        <v>1.0569999999999999</v>
      </c>
      <c r="CZ62" s="307">
        <v>1.0569999999999999</v>
      </c>
    </row>
    <row r="63" spans="1:104">
      <c r="A63" s="130" t="str">
        <v>24Y</v>
      </c>
      <c r="B63" s="206">
        <v>4</v>
      </c>
      <c r="C63" s="321" t="str">
        <v>14Y</v>
      </c>
      <c r="D63" s="415" t="str">
        <f t="shared" si="35"/>
        <v>14Y</v>
      </c>
      <c r="E63" s="360" t="e">
        <f>CHOOSE(NA(),
                       VLOOKUP(D63,[1]EUR6M!$E$2:$H$1000,4,FALSE),
                       VLOOKUP(D63,[1]EUR6M!$C$2:$H$1000,6,FALSE),
                       VLOOKUP(D63,[1]EUR6M!$B$2:$H$1000,7,FALSE),
                       VLOOKUP(D63,[1]EUR6M!$E$2:$H$1000,4,FALSE),
                       ""
                       )</f>
        <v>#N/A</v>
      </c>
      <c r="F63" s="361" t="e">
        <f t="shared" si="36"/>
        <v>#N/A</v>
      </c>
      <c r="G63" s="134">
        <v>0.95755458199999999</v>
      </c>
      <c r="H63" s="361">
        <f t="shared" si="37"/>
        <v>0.95755458199999999</v>
      </c>
      <c r="I63" s="362">
        <f t="shared" si="38"/>
        <v>0.95755458199999999</v>
      </c>
      <c r="M63" s="216" t="str">
        <v>18Y</v>
      </c>
      <c r="N63" s="324" t="str">
        <f t="shared" si="39"/>
        <v>18Y</v>
      </c>
      <c r="O63" s="134">
        <f>CHOOSE($B63,
                       VLOOKUP(N63,[2]EUR3M!$E$2:$H$1000,4,FALSE),
                       VLOOKUP(N63,[2]EUR3M!$C$2:$H$1000,6,FALSE),
                       VLOOKUP(N63,[2]EUR3M!$B$2:$H$1000,7,FALSE),
                       VLOOKUP(N63,[2]EUR3M!$E$2:$H$1000,4,FALSE),
                       ""
                       )</f>
        <v>2.4952295879999999</v>
      </c>
      <c r="P63" s="173">
        <f t="shared" si="40"/>
        <v>2.4952295879999999</v>
      </c>
      <c r="Q63" s="134" t="s">
        <v>36</v>
      </c>
      <c r="R63" s="130" t="b">
        <f t="shared" si="41"/>
        <v>0</v>
      </c>
      <c r="S63" s="134">
        <v>1.022725814</v>
      </c>
      <c r="T63" s="173">
        <f t="shared" si="42"/>
        <v>1.022725814</v>
      </c>
      <c r="U63" s="219">
        <f t="shared" si="43"/>
        <v>1.022725814</v>
      </c>
      <c r="W63" s="216" t="str">
        <v>15Y</v>
      </c>
      <c r="X63" s="324" t="str">
        <f t="shared" si="44"/>
        <v>15Y</v>
      </c>
      <c r="Y63" s="134" t="e">
        <f xml:space="preserve"> CHOOSE(NA(),
                       VLOOKUP(X63,[3]EUR1Y!$E$2:$H$1000,4,FALSE),
                       VLOOKUP(X63,[3]EUR1Y!$C$2:$H$1000,6,FALSE),
                       VLOOKUP(X63,[3]EUR1Y!$B$2:$H$1000,7,FALSE),
                       VLOOKUP(X63,[3]EUR1Y!$E$2:$H$1000,4,FALSE),
                       ""
                       )</f>
        <v>#N/A</v>
      </c>
      <c r="Z63" s="173" t="e">
        <f t="shared" si="45"/>
        <v>#N/A</v>
      </c>
      <c r="AA63" s="134">
        <v>1.1000000000000001</v>
      </c>
      <c r="AB63" s="173">
        <f t="shared" si="46"/>
        <v>1.1000000000000001</v>
      </c>
      <c r="AC63" s="219">
        <f t="shared" si="47"/>
        <v>1.1000000000000001</v>
      </c>
      <c r="AE63" s="216" t="str">
        <v>24Y</v>
      </c>
      <c r="AF63" s="324" t="str">
        <f t="shared" si="48"/>
        <v>24Y</v>
      </c>
      <c r="AG63" s="134">
        <f>CHOOSE($B63,
                       VLOOKUP(AF63,[4]EURStd!$E$2:$H$1000,4,FALSE),
                       VLOOKUP(AF63,[4]EURStd!$C$2:$H$1000,6,FALSE),
                       VLOOKUP(AF63,[4]EURStd!$B$2:$H$1000,7,FALSE),
                       VLOOKUP(AF63,[4]EURStd!$E$2:$H$1000,4,FALSE),
                       ""
                       )</f>
        <v>2.63</v>
      </c>
      <c r="AH63" s="173">
        <f t="shared" si="49"/>
        <v>2.63</v>
      </c>
      <c r="AI63" s="134">
        <v>1.161488088</v>
      </c>
      <c r="AJ63" s="173">
        <f t="shared" si="50"/>
        <v>1.161488088</v>
      </c>
      <c r="AK63" s="219">
        <f t="shared" si="51"/>
        <v>1.161488088</v>
      </c>
      <c r="AM63" s="137" t="str">
        <v>13Y</v>
      </c>
      <c r="AN63" s="324" t="str">
        <f t="shared" si="34"/>
        <v>13Y</v>
      </c>
      <c r="AO63" s="134">
        <f>VLOOKUP(AN63,'[5]EUR-OIS'!$E$2:$H$1000,4,FALSE)</f>
        <v>2.0550000000000002</v>
      </c>
      <c r="AP63" s="173">
        <f t="shared" si="52"/>
        <v>2.0550000000000002</v>
      </c>
      <c r="AQ63" s="134">
        <v>0.69175642699999995</v>
      </c>
      <c r="AR63" s="173">
        <f t="shared" si="53"/>
        <v>0.69175642699999995</v>
      </c>
      <c r="AS63" s="219">
        <f t="shared" si="54"/>
        <v>0.69175642699999995</v>
      </c>
      <c r="AU63" s="137" t="str">
        <v>18Y</v>
      </c>
      <c r="AV63" s="144" t="str">
        <f t="shared" si="55"/>
        <v>18Y</v>
      </c>
      <c r="AW63" s="144">
        <f>VLOOKUP(AV63,[6]EURFIX1RM!$E$2:$H$1009,4,FALSE)</f>
        <v>2.3879447819999999</v>
      </c>
      <c r="AX63" s="173">
        <f t="shared" si="56"/>
        <v>2.3879447819999999</v>
      </c>
      <c r="AY63" s="134">
        <v>0.93015633900000005</v>
      </c>
      <c r="AZ63" s="173">
        <f t="shared" si="57"/>
        <v>0.93015633900000005</v>
      </c>
      <c r="BA63" s="219">
        <f t="shared" si="58"/>
        <v>0.93015633900000005</v>
      </c>
      <c r="BB63" s="41"/>
      <c r="BD63" s="321" t="str">
        <v>14Y</v>
      </c>
      <c r="BE63" s="348">
        <f t="shared" si="59"/>
        <v>0.95755458199999999</v>
      </c>
      <c r="BF63" s="321" t="str">
        <v>15Y</v>
      </c>
      <c r="BG63" s="426" t="b">
        <f t="shared" si="60"/>
        <v>0</v>
      </c>
      <c r="BH63" s="426" t="b">
        <f t="shared" si="67"/>
        <v>1</v>
      </c>
      <c r="BI63" s="426" t="b">
        <f t="shared" si="61"/>
        <v>1</v>
      </c>
      <c r="BJ63" s="426" t="str">
        <v>18Y</v>
      </c>
      <c r="BK63" s="30">
        <f t="shared" si="62"/>
        <v>1.022725814</v>
      </c>
      <c r="BL63" s="321" t="str">
        <v>15Y</v>
      </c>
      <c r="BM63" s="30">
        <f t="shared" si="63"/>
        <v>1.1000000000000001</v>
      </c>
      <c r="BN63" s="216" t="str">
        <v>24Y</v>
      </c>
      <c r="BO63" s="349">
        <f t="shared" si="64"/>
        <v>1.1663573979999999</v>
      </c>
      <c r="BP63" s="137" t="str">
        <v>13Y</v>
      </c>
      <c r="BQ63" s="349">
        <f t="shared" si="65"/>
        <v>0.69175642699999995</v>
      </c>
      <c r="BR63" s="137" t="str">
        <v>18Y</v>
      </c>
      <c r="BS63" s="349">
        <f t="shared" si="66"/>
        <v>0.93015633900000005</v>
      </c>
      <c r="CS63" s="332"/>
      <c r="CT63" s="366" t="s">
        <v>1412</v>
      </c>
      <c r="CU63" s="307" t="s">
        <v>208</v>
      </c>
      <c r="CV63" s="307" t="s">
        <v>195</v>
      </c>
      <c r="CW63" s="366" t="s">
        <v>163</v>
      </c>
      <c r="CX63" s="307">
        <v>1.0602025159999999</v>
      </c>
      <c r="CY63" s="307">
        <v>1.0602025159999999</v>
      </c>
      <c r="CZ63" s="307">
        <v>1.0602025159999999</v>
      </c>
    </row>
    <row r="64" spans="1:104">
      <c r="A64" s="130" t="str">
        <v>25Y</v>
      </c>
      <c r="B64" s="206">
        <v>4</v>
      </c>
      <c r="C64" s="321" t="str">
        <v>15Y</v>
      </c>
      <c r="D64" s="415" t="str">
        <f t="shared" si="35"/>
        <v>15Y</v>
      </c>
      <c r="E64" s="360" t="e">
        <f>CHOOSE(NA(),
                       VLOOKUP(D64,[1]EUR6M!$E$2:$H$1000,4,FALSE),
                       VLOOKUP(D64,[1]EUR6M!$C$2:$H$1000,6,FALSE),
                       VLOOKUP(D64,[1]EUR6M!$B$2:$H$1000,7,FALSE),
                       VLOOKUP(D64,[1]EUR6M!$E$2:$H$1000,4,FALSE),
                       ""
                       )</f>
        <v>#N/A</v>
      </c>
      <c r="F64" s="361" t="e">
        <f t="shared" si="36"/>
        <v>#N/A</v>
      </c>
      <c r="G64" s="134">
        <v>1.0049999999999999</v>
      </c>
      <c r="H64" s="361">
        <f t="shared" si="37"/>
        <v>1.0049999999999999</v>
      </c>
      <c r="I64" s="362">
        <f t="shared" si="38"/>
        <v>1.0049999999999999</v>
      </c>
      <c r="M64" s="216" t="str">
        <v>19Y</v>
      </c>
      <c r="N64" s="324" t="str">
        <f t="shared" si="39"/>
        <v>19Y</v>
      </c>
      <c r="O64" s="134">
        <f>CHOOSE($B64,
                       VLOOKUP(N64,[2]EUR3M!$E$2:$H$1000,4,FALSE),
                       VLOOKUP(N64,[2]EUR3M!$C$2:$H$1000,6,FALSE),
                       VLOOKUP(N64,[2]EUR3M!$B$2:$H$1000,7,FALSE),
                       VLOOKUP(N64,[2]EUR3M!$E$2:$H$1000,4,FALSE),
                       ""
                       )</f>
        <v>2.5147052009999999</v>
      </c>
      <c r="P64" s="173">
        <f t="shared" si="40"/>
        <v>2.5147052009999999</v>
      </c>
      <c r="Q64" s="134" t="s">
        <v>37</v>
      </c>
      <c r="R64" s="130" t="b">
        <f t="shared" si="41"/>
        <v>0</v>
      </c>
      <c r="S64" s="134">
        <v>1.0456524549999999</v>
      </c>
      <c r="T64" s="173">
        <f t="shared" si="42"/>
        <v>1.0456524549999999</v>
      </c>
      <c r="U64" s="219">
        <f t="shared" si="43"/>
        <v>1.0456524549999999</v>
      </c>
      <c r="W64" s="216" t="str">
        <v>16Y</v>
      </c>
      <c r="X64" s="324" t="str">
        <f t="shared" si="44"/>
        <v>16Y</v>
      </c>
      <c r="Y64" s="134" t="e">
        <f xml:space="preserve"> CHOOSE(NA(),
                       VLOOKUP(X64,[3]EUR1Y!$E$2:$H$1000,4,FALSE),
                       VLOOKUP(X64,[3]EUR1Y!$C$2:$H$1000,6,FALSE),
                       VLOOKUP(X64,[3]EUR1Y!$B$2:$H$1000,7,FALSE),
                       VLOOKUP(X64,[3]EUR1Y!$E$2:$H$1000,4,FALSE),
                       ""
                       )</f>
        <v>#N/A</v>
      </c>
      <c r="Z64" s="173" t="e">
        <f t="shared" si="45"/>
        <v>#N/A</v>
      </c>
      <c r="AA64" s="134">
        <v>1.135184062</v>
      </c>
      <c r="AB64" s="173">
        <f t="shared" si="46"/>
        <v>1.135184062</v>
      </c>
      <c r="AC64" s="219">
        <f t="shared" si="47"/>
        <v>1.135184062</v>
      </c>
      <c r="AE64" s="216" t="str">
        <v>25Y</v>
      </c>
      <c r="AF64" s="324" t="str">
        <f t="shared" si="48"/>
        <v>25Y</v>
      </c>
      <c r="AG64" s="134">
        <f>CHOOSE($B64,
                       VLOOKUP(AF64,[4]EURStd!$E$2:$H$1000,4,FALSE),
                       VLOOKUP(AF64,[4]EURStd!$C$2:$H$1000,6,FALSE),
                       VLOOKUP(AF64,[4]EURStd!$B$2:$H$1000,7,FALSE),
                       VLOOKUP(AF64,[4]EURStd!$E$2:$H$1000,4,FALSE),
                       ""
                       )</f>
        <v>2.63</v>
      </c>
      <c r="AH64" s="173">
        <f t="shared" si="49"/>
        <v>2.63</v>
      </c>
      <c r="AI64" s="134">
        <v>1.1663573979999999</v>
      </c>
      <c r="AJ64" s="173">
        <f t="shared" si="50"/>
        <v>1.1663573979999999</v>
      </c>
      <c r="AK64" s="219">
        <f t="shared" si="51"/>
        <v>1.1663573979999999</v>
      </c>
      <c r="AM64" s="137" t="str">
        <v>14Y</v>
      </c>
      <c r="AN64" s="324" t="str">
        <f t="shared" si="34"/>
        <v>14Y</v>
      </c>
      <c r="AO64" s="134">
        <f>VLOOKUP(AN64,'[5]EUR-OIS'!$E$2:$H$1000,4,FALSE)</f>
        <v>2.1309999999999998</v>
      </c>
      <c r="AP64" s="173">
        <f t="shared" si="52"/>
        <v>2.1309999999999998</v>
      </c>
      <c r="AQ64" s="134">
        <v>0.75486929700000005</v>
      </c>
      <c r="AR64" s="173">
        <f t="shared" si="53"/>
        <v>0.75486929700000005</v>
      </c>
      <c r="AS64" s="219">
        <f t="shared" si="54"/>
        <v>0.75486929700000005</v>
      </c>
      <c r="AU64" s="137" t="str">
        <v>19Y</v>
      </c>
      <c r="AV64" s="144" t="str">
        <f t="shared" si="55"/>
        <v>19Y</v>
      </c>
      <c r="AW64" s="144">
        <f>VLOOKUP(AV64,[6]EURFIX1RM!$E$2:$H$1009,4,FALSE)</f>
        <v>2.410755634</v>
      </c>
      <c r="AX64" s="173">
        <f t="shared" si="56"/>
        <v>2.410755634</v>
      </c>
      <c r="AY64" s="134">
        <v>0.95543686000000005</v>
      </c>
      <c r="AZ64" s="173">
        <f t="shared" si="57"/>
        <v>0.95543686000000005</v>
      </c>
      <c r="BA64" s="219">
        <f t="shared" si="58"/>
        <v>0.95543686000000005</v>
      </c>
      <c r="BD64" s="321" t="str">
        <v>15Y</v>
      </c>
      <c r="BE64" s="348">
        <f t="shared" si="59"/>
        <v>1.0049999999999999</v>
      </c>
      <c r="BF64" s="321" t="str">
        <v>16Y</v>
      </c>
      <c r="BG64" s="426" t="b">
        <f t="shared" si="60"/>
        <v>0</v>
      </c>
      <c r="BH64" s="426" t="b">
        <f t="shared" si="67"/>
        <v>1</v>
      </c>
      <c r="BI64" s="426" t="b">
        <f t="shared" si="61"/>
        <v>1</v>
      </c>
      <c r="BJ64" s="426" t="str">
        <v>19Y</v>
      </c>
      <c r="BK64" s="30">
        <f t="shared" si="62"/>
        <v>1.0456524549999999</v>
      </c>
      <c r="BL64" s="321" t="str">
        <v>16Y</v>
      </c>
      <c r="BM64" s="30">
        <f t="shared" si="63"/>
        <v>1.135184062</v>
      </c>
      <c r="BN64" s="216" t="str">
        <v>25Y</v>
      </c>
      <c r="BO64" s="349">
        <f t="shared" si="64"/>
        <v>1.17</v>
      </c>
      <c r="BP64" s="137" t="str">
        <v>14Y</v>
      </c>
      <c r="BQ64" s="349">
        <f t="shared" si="65"/>
        <v>0.75486929700000005</v>
      </c>
      <c r="BR64" s="137" t="str">
        <v>19Y</v>
      </c>
      <c r="BS64" s="349">
        <f t="shared" si="66"/>
        <v>0.95543686000000005</v>
      </c>
      <c r="CS64" s="332"/>
      <c r="CT64" s="366" t="s">
        <v>1413</v>
      </c>
      <c r="CU64" s="307" t="s">
        <v>208</v>
      </c>
      <c r="CV64" s="307" t="s">
        <v>195</v>
      </c>
      <c r="CW64" s="366" t="s">
        <v>164</v>
      </c>
      <c r="CX64" s="307">
        <v>1.062955541</v>
      </c>
      <c r="CY64" s="307">
        <v>1.062955541</v>
      </c>
      <c r="CZ64" s="307">
        <v>1.062955541</v>
      </c>
    </row>
    <row r="65" spans="1:104">
      <c r="A65" s="130" t="str">
        <v>26Y</v>
      </c>
      <c r="B65" s="206">
        <v>4</v>
      </c>
      <c r="C65" s="321" t="str">
        <v>16Y</v>
      </c>
      <c r="D65" s="415" t="str">
        <f t="shared" si="35"/>
        <v>16Y</v>
      </c>
      <c r="E65" s="360" t="e">
        <f>CHOOSE(NA(),
                       VLOOKUP(D65,[1]EUR6M!$E$2:$H$1000,4,FALSE),
                       VLOOKUP(D65,[1]EUR6M!$C$2:$H$1000,6,FALSE),
                       VLOOKUP(D65,[1]EUR6M!$B$2:$H$1000,7,FALSE),
                       VLOOKUP(D65,[1]EUR6M!$E$2:$H$1000,4,FALSE),
                       ""
                       )</f>
        <v>#N/A</v>
      </c>
      <c r="F65" s="361" t="e">
        <f t="shared" si="36"/>
        <v>#N/A</v>
      </c>
      <c r="G65" s="134">
        <v>1.0441685469999999</v>
      </c>
      <c r="H65" s="361">
        <f t="shared" si="37"/>
        <v>1.0441685469999999</v>
      </c>
      <c r="I65" s="362">
        <f t="shared" si="38"/>
        <v>1.0441685469999999</v>
      </c>
      <c r="M65" s="216" t="str">
        <v>20Y</v>
      </c>
      <c r="N65" s="324" t="str">
        <f t="shared" si="39"/>
        <v>20Y</v>
      </c>
      <c r="O65" s="134">
        <f>CHOOSE($B65,
                       VLOOKUP(N65,[2]EUR3M!$E$2:$H$1000,4,FALSE),
                       VLOOKUP(N65,[2]EUR3M!$C$2:$H$1000,6,FALSE),
                       VLOOKUP(N65,[2]EUR3M!$B$2:$H$1000,7,FALSE),
                       VLOOKUP(N65,[2]EUR3M!$E$2:$H$1000,4,FALSE),
                       ""
                       )</f>
        <v>2.5289999999999999</v>
      </c>
      <c r="P65" s="173">
        <f t="shared" si="40"/>
        <v>2.5289999999999999</v>
      </c>
      <c r="Q65" s="134" t="s">
        <v>20</v>
      </c>
      <c r="R65" s="130" t="b">
        <f t="shared" si="41"/>
        <v>0</v>
      </c>
      <c r="S65" s="134">
        <v>1.0640000000000001</v>
      </c>
      <c r="T65" s="173">
        <f t="shared" si="42"/>
        <v>1.0640000000000001</v>
      </c>
      <c r="U65" s="219">
        <f t="shared" si="43"/>
        <v>1.0640000000000001</v>
      </c>
      <c r="W65" s="216" t="str">
        <v>17Y</v>
      </c>
      <c r="X65" s="324" t="str">
        <f t="shared" si="44"/>
        <v>17Y</v>
      </c>
      <c r="Y65" s="134" t="e">
        <f xml:space="preserve"> CHOOSE(NA(),
                       VLOOKUP(X65,[3]EUR1Y!$E$2:$H$1000,4,FALSE),
                       VLOOKUP(X65,[3]EUR1Y!$C$2:$H$1000,6,FALSE),
                       VLOOKUP(X65,[3]EUR1Y!$B$2:$H$1000,7,FALSE),
                       VLOOKUP(X65,[3]EUR1Y!$E$2:$H$1000,4,FALSE),
                       ""
                       )</f>
        <v>#N/A</v>
      </c>
      <c r="Z65" s="173" t="e">
        <f t="shared" si="45"/>
        <v>#N/A</v>
      </c>
      <c r="AA65" s="134">
        <v>1.163006934</v>
      </c>
      <c r="AB65" s="173">
        <f t="shared" si="46"/>
        <v>1.163006934</v>
      </c>
      <c r="AC65" s="219">
        <f t="shared" si="47"/>
        <v>1.163006934</v>
      </c>
      <c r="AE65" s="216" t="str">
        <v>26Y</v>
      </c>
      <c r="AF65" s="324" t="str">
        <f t="shared" si="48"/>
        <v>26Y</v>
      </c>
      <c r="AG65" s="134">
        <f>CHOOSE($B65,
                       VLOOKUP(AF65,[4]EURStd!$E$2:$H$1000,4,FALSE),
                       VLOOKUP(AF65,[4]EURStd!$C$2:$H$1000,6,FALSE),
                       VLOOKUP(AF65,[4]EURStd!$B$2:$H$1000,7,FALSE),
                       VLOOKUP(AF65,[4]EURStd!$E$2:$H$1000,4,FALSE),
                       ""
                       )</f>
        <v>2.629</v>
      </c>
      <c r="AH65" s="173">
        <f t="shared" si="49"/>
        <v>2.629</v>
      </c>
      <c r="AI65" s="134">
        <v>1.17</v>
      </c>
      <c r="AJ65" s="173">
        <f t="shared" si="50"/>
        <v>1.17</v>
      </c>
      <c r="AK65" s="219">
        <f t="shared" si="51"/>
        <v>1.17</v>
      </c>
      <c r="AM65" s="137" t="str">
        <v>15Y</v>
      </c>
      <c r="AN65" s="324" t="str">
        <f t="shared" si="34"/>
        <v>15Y</v>
      </c>
      <c r="AO65" s="134">
        <f>VLOOKUP(AN65,'[5]EUR-OIS'!$E$2:$H$1000,4,FALSE)</f>
        <v>2.194</v>
      </c>
      <c r="AP65" s="173">
        <f t="shared" si="52"/>
        <v>2.194</v>
      </c>
      <c r="AQ65" s="134">
        <v>0.80900000000000005</v>
      </c>
      <c r="AR65" s="173">
        <f t="shared" si="53"/>
        <v>0.80900000000000005</v>
      </c>
      <c r="AS65" s="219">
        <f t="shared" si="54"/>
        <v>0.80900000000000005</v>
      </c>
      <c r="AU65" s="137" t="str">
        <v>20Y</v>
      </c>
      <c r="AV65" s="144" t="str">
        <f t="shared" si="55"/>
        <v>20Y</v>
      </c>
      <c r="AW65" s="144">
        <f>VLOOKUP(AV65,[6]EURFIX1RM!$E$2:$H$1009,4,FALSE)</f>
        <v>2.4279999999999999</v>
      </c>
      <c r="AX65" s="173">
        <f t="shared" si="56"/>
        <v>2.4279999999999999</v>
      </c>
      <c r="AY65" s="134">
        <v>0.97599999999999998</v>
      </c>
      <c r="AZ65" s="173">
        <f t="shared" si="57"/>
        <v>0.97599999999999998</v>
      </c>
      <c r="BA65" s="219">
        <f t="shared" si="58"/>
        <v>0.97599999999999998</v>
      </c>
      <c r="BD65" s="321" t="str">
        <v>16Y</v>
      </c>
      <c r="BE65" s="348">
        <f t="shared" si="59"/>
        <v>1.0441685469999999</v>
      </c>
      <c r="BF65" s="321" t="str">
        <v>17Y</v>
      </c>
      <c r="BG65" s="426" t="b">
        <f t="shared" si="60"/>
        <v>0</v>
      </c>
      <c r="BH65" s="426" t="b">
        <f t="shared" si="67"/>
        <v>1</v>
      </c>
      <c r="BI65" s="426" t="b">
        <f t="shared" si="61"/>
        <v>1</v>
      </c>
      <c r="BJ65" s="426" t="str">
        <v>20Y</v>
      </c>
      <c r="BK65" s="30">
        <f t="shared" si="62"/>
        <v>1.0640000000000001</v>
      </c>
      <c r="BL65" s="321" t="str">
        <v>17Y</v>
      </c>
      <c r="BM65" s="30">
        <f t="shared" si="63"/>
        <v>1.163006934</v>
      </c>
      <c r="BN65" s="216" t="str">
        <v>26Y</v>
      </c>
      <c r="BO65" s="349">
        <f t="shared" si="64"/>
        <v>1.1730526349999999</v>
      </c>
      <c r="BP65" s="137" t="str">
        <v>15Y</v>
      </c>
      <c r="BQ65" s="349">
        <f t="shared" si="65"/>
        <v>0.80900000000000005</v>
      </c>
      <c r="BR65" s="137" t="str">
        <v>20Y</v>
      </c>
      <c r="BS65" s="349">
        <f t="shared" si="66"/>
        <v>0.97599999999999998</v>
      </c>
      <c r="CS65" s="332"/>
      <c r="CT65" s="366" t="s">
        <v>1414</v>
      </c>
      <c r="CU65" s="307" t="s">
        <v>208</v>
      </c>
      <c r="CV65" s="307" t="s">
        <v>195</v>
      </c>
      <c r="CW65" s="366" t="s">
        <v>165</v>
      </c>
      <c r="CX65" s="307">
        <v>1.0650691400000001</v>
      </c>
      <c r="CY65" s="307">
        <v>1.0650691400000001</v>
      </c>
      <c r="CZ65" s="307">
        <v>1.0650691400000001</v>
      </c>
    </row>
    <row r="66" spans="1:104">
      <c r="A66" s="130" t="str">
        <v>27Y</v>
      </c>
      <c r="B66" s="206">
        <v>4</v>
      </c>
      <c r="C66" s="321" t="str">
        <v>17Y</v>
      </c>
      <c r="D66" s="415" t="str">
        <f t="shared" si="35"/>
        <v>17Y</v>
      </c>
      <c r="E66" s="360" t="e">
        <f>CHOOSE(NA(),
                       VLOOKUP(D66,[1]EUR6M!$E$2:$H$1000,4,FALSE),
                       VLOOKUP(D66,[1]EUR6M!$C$2:$H$1000,6,FALSE),
                       VLOOKUP(D66,[1]EUR6M!$B$2:$H$1000,7,FALSE),
                       VLOOKUP(D66,[1]EUR6M!$E$2:$H$1000,4,FALSE),
                       ""
                       )</f>
        <v>#N/A</v>
      </c>
      <c r="F66" s="361" t="e">
        <f t="shared" si="36"/>
        <v>#N/A</v>
      </c>
      <c r="G66" s="134">
        <v>1.0755175340000001</v>
      </c>
      <c r="H66" s="361">
        <f t="shared" si="37"/>
        <v>1.0755175340000001</v>
      </c>
      <c r="I66" s="362">
        <f t="shared" si="38"/>
        <v>1.0755175340000001</v>
      </c>
      <c r="M66" s="216" t="str">
        <v>21Y</v>
      </c>
      <c r="N66" s="324" t="str">
        <f t="shared" si="39"/>
        <v>21Y</v>
      </c>
      <c r="O66" s="134">
        <f>CHOOSE($B66,
                       VLOOKUP(N66,[2]EUR3M!$E$2:$H$1000,4,FALSE),
                       VLOOKUP(N66,[2]EUR3M!$C$2:$H$1000,6,FALSE),
                       VLOOKUP(N66,[2]EUR3M!$B$2:$H$1000,7,FALSE),
                       VLOOKUP(N66,[2]EUR3M!$E$2:$H$1000,4,FALSE),
                       ""
                       )</f>
        <v>2.5397455619999998</v>
      </c>
      <c r="P66" s="173">
        <f t="shared" si="40"/>
        <v>2.5397455619999998</v>
      </c>
      <c r="Q66" s="134" t="s">
        <v>38</v>
      </c>
      <c r="R66" s="130" t="b">
        <f t="shared" si="41"/>
        <v>0</v>
      </c>
      <c r="S66" s="134">
        <v>1.078394989</v>
      </c>
      <c r="T66" s="173">
        <f t="shared" si="42"/>
        <v>1.078394989</v>
      </c>
      <c r="U66" s="219">
        <f t="shared" si="43"/>
        <v>1.078394989</v>
      </c>
      <c r="W66" s="216" t="str">
        <v>18Y</v>
      </c>
      <c r="X66" s="324" t="str">
        <f t="shared" si="44"/>
        <v>18Y</v>
      </c>
      <c r="Y66" s="134" t="e">
        <f xml:space="preserve"> CHOOSE(NA(),
                       VLOOKUP(X66,[3]EUR1Y!$E$2:$H$1000,4,FALSE),
                       VLOOKUP(X66,[3]EUR1Y!$C$2:$H$1000,6,FALSE),
                       VLOOKUP(X66,[3]EUR1Y!$B$2:$H$1000,7,FALSE),
                       VLOOKUP(X66,[3]EUR1Y!$E$2:$H$1000,4,FALSE),
                       ""
                       )</f>
        <v>#N/A</v>
      </c>
      <c r="Z66" s="173" t="e">
        <f t="shared" si="45"/>
        <v>#N/A</v>
      </c>
      <c r="AA66" s="134">
        <v>1.1848519790000001</v>
      </c>
      <c r="AB66" s="173">
        <f t="shared" si="46"/>
        <v>1.1848519790000001</v>
      </c>
      <c r="AC66" s="219">
        <f t="shared" si="47"/>
        <v>1.1848519790000001</v>
      </c>
      <c r="AE66" s="216" t="str">
        <v>27Y</v>
      </c>
      <c r="AF66" s="324" t="str">
        <f t="shared" si="48"/>
        <v>27Y</v>
      </c>
      <c r="AG66" s="134">
        <f>CHOOSE($B66,
                       VLOOKUP(AF66,[4]EURStd!$E$2:$H$1000,4,FALSE),
                       VLOOKUP(AF66,[4]EURStd!$C$2:$H$1000,6,FALSE),
                       VLOOKUP(AF66,[4]EURStd!$B$2:$H$1000,7,FALSE),
                       VLOOKUP(AF66,[4]EURStd!$E$2:$H$1000,4,FALSE),
                       ""
                       )</f>
        <v>2.629</v>
      </c>
      <c r="AH66" s="173">
        <f t="shared" si="49"/>
        <v>2.629</v>
      </c>
      <c r="AI66" s="134">
        <v>1.1730526349999999</v>
      </c>
      <c r="AJ66" s="173">
        <f t="shared" si="50"/>
        <v>1.1730526349999999</v>
      </c>
      <c r="AK66" s="219">
        <f t="shared" si="51"/>
        <v>1.1730526349999999</v>
      </c>
      <c r="AM66" s="137" t="str">
        <v>16Y</v>
      </c>
      <c r="AN66" s="324" t="str">
        <f t="shared" si="34"/>
        <v>16Y</v>
      </c>
      <c r="AO66" s="134">
        <f>VLOOKUP(AN66,'[5]EUR-OIS'!$E$2:$H$1000,4,FALSE)</f>
        <v>2.2440000000000002</v>
      </c>
      <c r="AP66" s="173">
        <f t="shared" si="52"/>
        <v>2.2440000000000002</v>
      </c>
      <c r="AQ66" s="134">
        <v>0.85467638099999999</v>
      </c>
      <c r="AR66" s="173">
        <f t="shared" si="53"/>
        <v>0.85467638099999999</v>
      </c>
      <c r="AS66" s="219">
        <f t="shared" si="54"/>
        <v>0.85467638099999999</v>
      </c>
      <c r="AU66" s="137" t="str">
        <v>21Y</v>
      </c>
      <c r="AV66" s="144" t="str">
        <f t="shared" si="55"/>
        <v>21Y</v>
      </c>
      <c r="AW66" s="144">
        <f>VLOOKUP(AV66,[6]EURFIX1RM!$E$2:$H$1009,4,FALSE)</f>
        <v>2.4413319759999998</v>
      </c>
      <c r="AX66" s="173">
        <f t="shared" si="56"/>
        <v>2.4413319759999998</v>
      </c>
      <c r="AY66" s="134">
        <v>0.99245433599999999</v>
      </c>
      <c r="AZ66" s="173">
        <f t="shared" si="57"/>
        <v>0.99245433599999999</v>
      </c>
      <c r="BA66" s="219">
        <f t="shared" si="58"/>
        <v>0.99245433599999999</v>
      </c>
      <c r="BD66" s="321" t="str">
        <v>17Y</v>
      </c>
      <c r="BE66" s="348">
        <f t="shared" si="59"/>
        <v>1.0755175340000001</v>
      </c>
      <c r="BF66" s="321" t="str">
        <v>18Y</v>
      </c>
      <c r="BG66" s="426" t="b">
        <f t="shared" si="60"/>
        <v>0</v>
      </c>
      <c r="BH66" s="426" t="b">
        <f t="shared" si="67"/>
        <v>1</v>
      </c>
      <c r="BI66" s="426" t="b">
        <f t="shared" si="61"/>
        <v>1</v>
      </c>
      <c r="BJ66" s="426" t="str">
        <v>21Y</v>
      </c>
      <c r="BK66" s="30">
        <f t="shared" si="62"/>
        <v>1.078394989</v>
      </c>
      <c r="BL66" s="321" t="str">
        <v>18Y</v>
      </c>
      <c r="BM66" s="30">
        <f t="shared" si="63"/>
        <v>1.1848519790000001</v>
      </c>
      <c r="BN66" s="216" t="str">
        <v>27Y</v>
      </c>
      <c r="BO66" s="349">
        <f t="shared" si="64"/>
        <v>1.1755861329999999</v>
      </c>
      <c r="BP66" s="137" t="str">
        <v>16Y</v>
      </c>
      <c r="BQ66" s="349">
        <f t="shared" si="65"/>
        <v>0.85467638099999999</v>
      </c>
      <c r="BR66" s="137" t="str">
        <v>21Y</v>
      </c>
      <c r="BS66" s="349">
        <f t="shared" si="66"/>
        <v>0.99245433599999999</v>
      </c>
      <c r="CS66" s="332"/>
      <c r="CT66" s="366" t="s">
        <v>1415</v>
      </c>
      <c r="CU66" s="307" t="s">
        <v>208</v>
      </c>
      <c r="CV66" s="307" t="s">
        <v>195</v>
      </c>
      <c r="CW66" s="366" t="s">
        <v>166</v>
      </c>
      <c r="CX66" s="307">
        <v>1.0666110280000001</v>
      </c>
      <c r="CY66" s="307">
        <v>1.0666110280000001</v>
      </c>
      <c r="CZ66" s="307">
        <v>1.0666110280000001</v>
      </c>
    </row>
    <row r="67" spans="1:104">
      <c r="A67" s="130" t="str">
        <v>28Y</v>
      </c>
      <c r="B67" s="206">
        <v>4</v>
      </c>
      <c r="C67" s="321" t="str">
        <v>18Y</v>
      </c>
      <c r="D67" s="415" t="str">
        <f t="shared" si="35"/>
        <v>18Y</v>
      </c>
      <c r="E67" s="360" t="e">
        <f>CHOOSE(NA(),
                       VLOOKUP(D67,[1]EUR6M!$E$2:$H$1000,4,FALSE),
                       VLOOKUP(D67,[1]EUR6M!$C$2:$H$1000,6,FALSE),
                       VLOOKUP(D67,[1]EUR6M!$B$2:$H$1000,7,FALSE),
                       VLOOKUP(D67,[1]EUR6M!$E$2:$H$1000,4,FALSE),
                       ""
                       )</f>
        <v>#N/A</v>
      </c>
      <c r="F67" s="361" t="e">
        <f t="shared" si="36"/>
        <v>#N/A</v>
      </c>
      <c r="G67" s="134">
        <v>1.1005122430000001</v>
      </c>
      <c r="H67" s="361">
        <f t="shared" si="37"/>
        <v>1.1005122430000001</v>
      </c>
      <c r="I67" s="362">
        <f t="shared" si="38"/>
        <v>1.1005122430000001</v>
      </c>
      <c r="M67" s="216" t="str">
        <v>22Y</v>
      </c>
      <c r="N67" s="324" t="str">
        <f t="shared" si="39"/>
        <v>22Y</v>
      </c>
      <c r="O67" s="134">
        <f>CHOOSE($B67,
                       VLOOKUP(N67,[2]EUR3M!$E$2:$H$1000,4,FALSE),
                       VLOOKUP(N67,[2]EUR3M!$C$2:$H$1000,6,FALSE),
                       VLOOKUP(N67,[2]EUR3M!$B$2:$H$1000,7,FALSE),
                       VLOOKUP(N67,[2]EUR3M!$E$2:$H$1000,4,FALSE),
                       ""
                       )</f>
        <v>2.5476455609999999</v>
      </c>
      <c r="P67" s="173">
        <f t="shared" si="40"/>
        <v>2.5476455609999999</v>
      </c>
      <c r="Q67" s="134" t="s">
        <v>39</v>
      </c>
      <c r="R67" s="130" t="b">
        <f t="shared" si="41"/>
        <v>0</v>
      </c>
      <c r="S67" s="134">
        <v>1.089665503</v>
      </c>
      <c r="T67" s="173">
        <f t="shared" si="42"/>
        <v>1.089665503</v>
      </c>
      <c r="U67" s="219">
        <f t="shared" si="43"/>
        <v>1.089665503</v>
      </c>
      <c r="W67" s="216" t="str">
        <v>19Y</v>
      </c>
      <c r="X67" s="324" t="str">
        <f t="shared" si="44"/>
        <v>19Y</v>
      </c>
      <c r="Y67" s="134" t="e">
        <f xml:space="preserve"> CHOOSE(NA(),
                       VLOOKUP(X67,[3]EUR1Y!$E$2:$H$1000,4,FALSE),
                       VLOOKUP(X67,[3]EUR1Y!$C$2:$H$1000,6,FALSE),
                       VLOOKUP(X67,[3]EUR1Y!$B$2:$H$1000,7,FALSE),
                       VLOOKUP(X67,[3]EUR1Y!$E$2:$H$1000,4,FALSE),
                       ""
                       )</f>
        <v>#N/A</v>
      </c>
      <c r="Z67" s="173" t="e">
        <f t="shared" si="45"/>
        <v>#N/A</v>
      </c>
      <c r="AA67" s="134">
        <v>1.201414735</v>
      </c>
      <c r="AB67" s="173">
        <f t="shared" si="46"/>
        <v>1.201414735</v>
      </c>
      <c r="AC67" s="219">
        <f t="shared" si="47"/>
        <v>1.201414735</v>
      </c>
      <c r="AE67" s="216" t="str">
        <v>28Y</v>
      </c>
      <c r="AF67" s="324" t="str">
        <f t="shared" si="48"/>
        <v>28Y</v>
      </c>
      <c r="AG67" s="134">
        <f>CHOOSE($B67,
                       VLOOKUP(AF67,[4]EURStd!$E$2:$H$1000,4,FALSE),
                       VLOOKUP(AF67,[4]EURStd!$C$2:$H$1000,6,FALSE),
                       VLOOKUP(AF67,[4]EURStd!$B$2:$H$1000,7,FALSE),
                       VLOOKUP(AF67,[4]EURStd!$E$2:$H$1000,4,FALSE),
                       ""
                       )</f>
        <v>2.6280000000000001</v>
      </c>
      <c r="AH67" s="173">
        <f t="shared" si="49"/>
        <v>2.6280000000000001</v>
      </c>
      <c r="AI67" s="134">
        <v>1.1755861329999999</v>
      </c>
      <c r="AJ67" s="173">
        <f t="shared" si="50"/>
        <v>1.1755861329999999</v>
      </c>
      <c r="AK67" s="219">
        <f t="shared" si="51"/>
        <v>1.1755861329999999</v>
      </c>
      <c r="AM67" s="137" t="str">
        <v>17Y</v>
      </c>
      <c r="AN67" s="324" t="str">
        <f t="shared" si="34"/>
        <v>17Y</v>
      </c>
      <c r="AO67" s="134">
        <f>VLOOKUP(AN67,'[5]EUR-OIS'!$E$2:$H$1000,4,FALSE)</f>
        <v>2.2829999999999999</v>
      </c>
      <c r="AP67" s="173">
        <f t="shared" si="52"/>
        <v>2.2829999999999999</v>
      </c>
      <c r="AQ67" s="134">
        <v>0.89256761900000003</v>
      </c>
      <c r="AR67" s="173">
        <f t="shared" si="53"/>
        <v>0.89256761900000003</v>
      </c>
      <c r="AS67" s="219">
        <f t="shared" si="54"/>
        <v>0.89256761900000003</v>
      </c>
      <c r="AU67" s="137" t="str">
        <v>22Y</v>
      </c>
      <c r="AV67" s="144" t="str">
        <f t="shared" si="55"/>
        <v>22Y</v>
      </c>
      <c r="AW67" s="144">
        <f>VLOOKUP(AV67,[6]EURFIX1RM!$E$2:$H$1009,4,FALSE)</f>
        <v>2.4515464300000001</v>
      </c>
      <c r="AX67" s="173">
        <f t="shared" si="56"/>
        <v>2.4515464300000001</v>
      </c>
      <c r="AY67" s="134">
        <v>1.0056301830000001</v>
      </c>
      <c r="AZ67" s="173">
        <f t="shared" si="57"/>
        <v>1.0056301830000001</v>
      </c>
      <c r="BA67" s="219">
        <f t="shared" si="58"/>
        <v>1.0056301830000001</v>
      </c>
      <c r="BD67" s="321" t="str">
        <v>18Y</v>
      </c>
      <c r="BE67" s="348">
        <f t="shared" si="59"/>
        <v>1.1005122430000001</v>
      </c>
      <c r="BF67" s="321" t="str">
        <v>19Y</v>
      </c>
      <c r="BG67" s="426" t="b">
        <f t="shared" si="60"/>
        <v>0</v>
      </c>
      <c r="BH67" s="426" t="b">
        <f t="shared" si="67"/>
        <v>1</v>
      </c>
      <c r="BI67" s="426" t="b">
        <f t="shared" si="61"/>
        <v>1</v>
      </c>
      <c r="BJ67" s="426" t="str">
        <v>22Y</v>
      </c>
      <c r="BK67" s="30">
        <f t="shared" si="62"/>
        <v>1.089665503</v>
      </c>
      <c r="BL67" s="321" t="str">
        <v>19Y</v>
      </c>
      <c r="BM67" s="30">
        <f t="shared" si="63"/>
        <v>1.201414735</v>
      </c>
      <c r="BN67" s="216" t="str">
        <v>28Y</v>
      </c>
      <c r="BO67" s="349">
        <f t="shared" si="64"/>
        <v>1.178685142</v>
      </c>
      <c r="BP67" s="137" t="str">
        <v>17Y</v>
      </c>
      <c r="BQ67" s="349">
        <f t="shared" si="65"/>
        <v>0.89256761900000003</v>
      </c>
      <c r="BR67" s="137" t="str">
        <v>22Y</v>
      </c>
      <c r="BS67" s="349">
        <f t="shared" si="66"/>
        <v>1.0056301830000001</v>
      </c>
      <c r="CS67" s="332"/>
      <c r="CT67" s="366" t="s">
        <v>1416</v>
      </c>
      <c r="CU67" s="307" t="s">
        <v>208</v>
      </c>
      <c r="CV67" s="307" t="s">
        <v>195</v>
      </c>
      <c r="CW67" s="366" t="s">
        <v>167</v>
      </c>
      <c r="CX67" s="307">
        <v>1.0675671499999999</v>
      </c>
      <c r="CY67" s="307">
        <v>1.0675671499999999</v>
      </c>
      <c r="CZ67" s="307">
        <v>1.0675671499999999</v>
      </c>
    </row>
    <row r="68" spans="1:104">
      <c r="A68" s="130" t="str">
        <v>29Y</v>
      </c>
      <c r="B68" s="206">
        <v>4</v>
      </c>
      <c r="C68" s="321" t="str">
        <v>19Y</v>
      </c>
      <c r="D68" s="415" t="str">
        <f t="shared" si="35"/>
        <v>19Y</v>
      </c>
      <c r="E68" s="360" t="e">
        <f>CHOOSE(NA(),
                       VLOOKUP(D68,[1]EUR6M!$E$2:$H$1000,4,FALSE),
                       VLOOKUP(D68,[1]EUR6M!$C$2:$H$1000,6,FALSE),
                       VLOOKUP(D68,[1]EUR6M!$B$2:$H$1000,7,FALSE),
                       VLOOKUP(D68,[1]EUR6M!$E$2:$H$1000,4,FALSE),
                       ""
                       )</f>
        <v>#N/A</v>
      </c>
      <c r="F68" s="361" t="e">
        <f t="shared" si="36"/>
        <v>#N/A</v>
      </c>
      <c r="G68" s="134">
        <v>1.1198747060000001</v>
      </c>
      <c r="H68" s="361">
        <f t="shared" si="37"/>
        <v>1.1198747060000001</v>
      </c>
      <c r="I68" s="362">
        <f t="shared" si="38"/>
        <v>1.1198747060000001</v>
      </c>
      <c r="M68" s="216" t="str">
        <v>23Y</v>
      </c>
      <c r="N68" s="324" t="str">
        <f t="shared" si="39"/>
        <v>23Y</v>
      </c>
      <c r="O68" s="134">
        <f>CHOOSE($B68,
                       VLOOKUP(N68,[2]EUR3M!$E$2:$H$1000,4,FALSE),
                       VLOOKUP(N68,[2]EUR3M!$C$2:$H$1000,6,FALSE),
                       VLOOKUP(N68,[2]EUR3M!$B$2:$H$1000,7,FALSE),
                       VLOOKUP(N68,[2]EUR3M!$E$2:$H$1000,4,FALSE),
                       ""
                       )</f>
        <v>2.5534132719999998</v>
      </c>
      <c r="P68" s="173">
        <f t="shared" si="40"/>
        <v>2.5534132719999998</v>
      </c>
      <c r="Q68" s="134" t="s">
        <v>40</v>
      </c>
      <c r="R68" s="130" t="b">
        <f t="shared" si="41"/>
        <v>0</v>
      </c>
      <c r="S68" s="134">
        <v>1.0984324050000001</v>
      </c>
      <c r="T68" s="173">
        <f t="shared" si="42"/>
        <v>1.0984324050000001</v>
      </c>
      <c r="U68" s="219">
        <f t="shared" si="43"/>
        <v>1.0984324050000001</v>
      </c>
      <c r="W68" s="216" t="str">
        <v>20Y</v>
      </c>
      <c r="X68" s="324" t="str">
        <f t="shared" si="44"/>
        <v>20Y</v>
      </c>
      <c r="Y68" s="134" t="e">
        <f xml:space="preserve"> CHOOSE(NA(),
                       VLOOKUP(X68,[3]EUR1Y!$E$2:$H$1000,4,FALSE),
                       VLOOKUP(X68,[3]EUR1Y!$C$2:$H$1000,6,FALSE),
                       VLOOKUP(X68,[3]EUR1Y!$B$2:$H$1000,7,FALSE),
                       VLOOKUP(X68,[3]EUR1Y!$E$2:$H$1000,4,FALSE),
                       ""
                       )</f>
        <v>#N/A</v>
      </c>
      <c r="Z68" s="173" t="e">
        <f t="shared" si="45"/>
        <v>#N/A</v>
      </c>
      <c r="AA68" s="134">
        <v>1.214</v>
      </c>
      <c r="AB68" s="173">
        <f t="shared" si="46"/>
        <v>1.214</v>
      </c>
      <c r="AC68" s="219">
        <f t="shared" si="47"/>
        <v>1.214</v>
      </c>
      <c r="AE68" s="216" t="str">
        <v>29Y</v>
      </c>
      <c r="AF68" s="324" t="str">
        <f t="shared" si="48"/>
        <v>29Y</v>
      </c>
      <c r="AG68" s="134">
        <f>CHOOSE($B68,
                       VLOOKUP(AF68,[4]EURStd!$E$2:$H$1000,4,FALSE),
                       VLOOKUP(AF68,[4]EURStd!$C$2:$H$1000,6,FALSE),
                       VLOOKUP(AF68,[4]EURStd!$B$2:$H$1000,7,FALSE),
                       VLOOKUP(AF68,[4]EURStd!$E$2:$H$1000,4,FALSE),
                       ""
                       )</f>
        <v>2.6269999999999998</v>
      </c>
      <c r="AH68" s="173">
        <f t="shared" si="49"/>
        <v>2.6269999999999998</v>
      </c>
      <c r="AI68" s="134">
        <v>1.178685142</v>
      </c>
      <c r="AJ68" s="173">
        <f t="shared" si="50"/>
        <v>1.178685142</v>
      </c>
      <c r="AK68" s="219">
        <f t="shared" si="51"/>
        <v>1.178685142</v>
      </c>
      <c r="AM68" s="137" t="str">
        <v>18Y</v>
      </c>
      <c r="AN68" s="324" t="str">
        <f t="shared" si="34"/>
        <v>18Y</v>
      </c>
      <c r="AO68" s="134">
        <f>VLOOKUP(AN68,'[5]EUR-OIS'!$E$2:$H$1000,4,FALSE)</f>
        <v>2.3130000000000002</v>
      </c>
      <c r="AP68" s="173">
        <f t="shared" si="52"/>
        <v>2.3130000000000002</v>
      </c>
      <c r="AQ68" s="134">
        <v>0.92394087899999999</v>
      </c>
      <c r="AR68" s="173">
        <f t="shared" si="53"/>
        <v>0.92394087899999999</v>
      </c>
      <c r="AS68" s="219">
        <f t="shared" si="54"/>
        <v>0.92394087899999999</v>
      </c>
      <c r="AU68" s="137" t="str">
        <v>23Y</v>
      </c>
      <c r="AV68" s="144" t="str">
        <f t="shared" si="55"/>
        <v>23Y</v>
      </c>
      <c r="AW68" s="144">
        <f>VLOOKUP(AV68,[6]EURFIX1RM!$E$2:$H$1009,4,FALSE)</f>
        <v>2.4594370169999999</v>
      </c>
      <c r="AX68" s="173">
        <f t="shared" si="56"/>
        <v>2.4594370169999999</v>
      </c>
      <c r="AY68" s="134">
        <v>1.0161733159999999</v>
      </c>
      <c r="AZ68" s="173">
        <f t="shared" si="57"/>
        <v>1.0161733159999999</v>
      </c>
      <c r="BA68" s="219">
        <f t="shared" si="58"/>
        <v>1.0161733159999999</v>
      </c>
      <c r="BD68" s="321" t="str">
        <v>19Y</v>
      </c>
      <c r="BE68" s="348">
        <f t="shared" si="59"/>
        <v>1.1198747060000001</v>
      </c>
      <c r="BF68" s="321" t="str">
        <v>20Y</v>
      </c>
      <c r="BG68" s="426" t="b">
        <f t="shared" si="60"/>
        <v>0</v>
      </c>
      <c r="BH68" s="426" t="b">
        <f t="shared" si="67"/>
        <v>1</v>
      </c>
      <c r="BI68" s="426" t="b">
        <f t="shared" si="61"/>
        <v>1</v>
      </c>
      <c r="BJ68" s="426" t="str">
        <v>23Y</v>
      </c>
      <c r="BK68" s="30">
        <f t="shared" si="62"/>
        <v>1.0984324050000001</v>
      </c>
      <c r="BL68" s="321" t="str">
        <v>20Y</v>
      </c>
      <c r="BM68" s="30">
        <f t="shared" si="63"/>
        <v>1.214</v>
      </c>
      <c r="BN68" s="216" t="str">
        <v>29Y</v>
      </c>
      <c r="BO68" s="349">
        <f t="shared" si="64"/>
        <v>1.1791316860000001</v>
      </c>
      <c r="BP68" s="137" t="str">
        <v>18Y</v>
      </c>
      <c r="BQ68" s="349">
        <f t="shared" si="65"/>
        <v>0.92394087899999999</v>
      </c>
      <c r="BR68" s="137" t="str">
        <v>23Y</v>
      </c>
      <c r="BS68" s="349">
        <f t="shared" si="66"/>
        <v>1.0161733159999999</v>
      </c>
      <c r="CS68" s="332"/>
      <c r="CT68" s="366" t="s">
        <v>1417</v>
      </c>
      <c r="CU68" s="307" t="s">
        <v>208</v>
      </c>
      <c r="CV68" s="307" t="s">
        <v>195</v>
      </c>
      <c r="CW68" s="366" t="s">
        <v>168</v>
      </c>
      <c r="CX68" s="307">
        <v>1.0679783519999999</v>
      </c>
      <c r="CY68" s="307">
        <v>1.0679783519999999</v>
      </c>
      <c r="CZ68" s="307">
        <v>1.0679783519999999</v>
      </c>
    </row>
    <row r="69" spans="1:104">
      <c r="A69" s="130" t="str">
        <v>30Y</v>
      </c>
      <c r="B69" s="206">
        <v>4</v>
      </c>
      <c r="C69" s="321" t="str">
        <v>20Y</v>
      </c>
      <c r="D69" s="415" t="str">
        <f t="shared" si="35"/>
        <v>20Y</v>
      </c>
      <c r="E69" s="360" t="e">
        <f>CHOOSE(NA(),
                       VLOOKUP(D69,[1]EUR6M!$E$2:$H$1000,4,FALSE),
                       VLOOKUP(D69,[1]EUR6M!$C$2:$H$1000,6,FALSE),
                       VLOOKUP(D69,[1]EUR6M!$B$2:$H$1000,7,FALSE),
                       VLOOKUP(D69,[1]EUR6M!$E$2:$H$1000,4,FALSE),
                       ""
                       )</f>
        <v>#N/A</v>
      </c>
      <c r="F69" s="361" t="e">
        <f t="shared" si="36"/>
        <v>#N/A</v>
      </c>
      <c r="G69" s="134">
        <v>1.135</v>
      </c>
      <c r="H69" s="361">
        <f t="shared" si="37"/>
        <v>1.135</v>
      </c>
      <c r="I69" s="362">
        <f t="shared" si="38"/>
        <v>1.135</v>
      </c>
      <c r="M69" s="216" t="str">
        <v>24Y</v>
      </c>
      <c r="N69" s="324" t="str">
        <f t="shared" si="39"/>
        <v>24Y</v>
      </c>
      <c r="O69" s="134">
        <f>CHOOSE($B69,
                       VLOOKUP(N69,[2]EUR3M!$E$2:$H$1000,4,FALSE),
                       VLOOKUP(N69,[2]EUR3M!$C$2:$H$1000,6,FALSE),
                       VLOOKUP(N69,[2]EUR3M!$B$2:$H$1000,7,FALSE),
                       VLOOKUP(N69,[2]EUR3M!$E$2:$H$1000,4,FALSE),
                       ""
                       )</f>
        <v>2.5569970529999999</v>
      </c>
      <c r="P69" s="173">
        <f t="shared" si="40"/>
        <v>2.5569970529999999</v>
      </c>
      <c r="Q69" s="134" t="s">
        <v>41</v>
      </c>
      <c r="R69" s="130" t="b">
        <f t="shared" si="41"/>
        <v>0</v>
      </c>
      <c r="S69" s="134">
        <v>1.1054453959999999</v>
      </c>
      <c r="T69" s="173">
        <f t="shared" si="42"/>
        <v>1.1054453959999999</v>
      </c>
      <c r="U69" s="219">
        <f t="shared" si="43"/>
        <v>1.1054453959999999</v>
      </c>
      <c r="W69" s="216" t="str">
        <v>21Y</v>
      </c>
      <c r="X69" s="324" t="str">
        <f t="shared" si="44"/>
        <v>21Y</v>
      </c>
      <c r="Y69" s="134" t="e">
        <f xml:space="preserve"> CHOOSE(NA(),
                       VLOOKUP(X69,[3]EUR1Y!$E$2:$H$1000,4,FALSE),
                       VLOOKUP(X69,[3]EUR1Y!$C$2:$H$1000,6,FALSE),
                       VLOOKUP(X69,[3]EUR1Y!$B$2:$H$1000,7,FALSE),
                       VLOOKUP(X69,[3]EUR1Y!$E$2:$H$1000,4,FALSE),
                       ""
                       )</f>
        <v>#N/A</v>
      </c>
      <c r="Z69" s="173" t="e">
        <f t="shared" si="45"/>
        <v>#N/A</v>
      </c>
      <c r="AA69" s="134">
        <v>1.2231231010000001</v>
      </c>
      <c r="AB69" s="173">
        <f t="shared" si="46"/>
        <v>1.2231231010000001</v>
      </c>
      <c r="AC69" s="219">
        <f t="shared" si="47"/>
        <v>1.2231231010000001</v>
      </c>
      <c r="AE69" s="216" t="str">
        <v>30Y</v>
      </c>
      <c r="AF69" s="324" t="str">
        <f t="shared" si="48"/>
        <v>30Y</v>
      </c>
      <c r="AG69" s="134">
        <f>CHOOSE($B69,
                       VLOOKUP(AF69,[4]EURStd!$E$2:$H$1000,4,FALSE),
                       VLOOKUP(AF69,[4]EURStd!$C$2:$H$1000,6,FALSE),
                       VLOOKUP(AF69,[4]EURStd!$B$2:$H$1000,7,FALSE),
                       VLOOKUP(AF69,[4]EURStd!$E$2:$H$1000,4,FALSE),
                       ""
                       )</f>
        <v>2.6259999999999999</v>
      </c>
      <c r="AH69" s="173">
        <f t="shared" si="49"/>
        <v>2.6259999999999999</v>
      </c>
      <c r="AI69" s="134">
        <v>1.1791316860000001</v>
      </c>
      <c r="AJ69" s="173">
        <f t="shared" si="50"/>
        <v>1.1791316860000001</v>
      </c>
      <c r="AK69" s="219">
        <f t="shared" si="51"/>
        <v>1.1791316860000001</v>
      </c>
      <c r="AM69" s="137" t="str">
        <v>19Y</v>
      </c>
      <c r="AN69" s="324" t="str">
        <f t="shared" si="34"/>
        <v>19Y</v>
      </c>
      <c r="AO69" s="134">
        <f>VLOOKUP(AN69,'[5]EUR-OIS'!$E$2:$H$1000,4,FALSE)</f>
        <v>2.3359999999999999</v>
      </c>
      <c r="AP69" s="173">
        <f t="shared" si="52"/>
        <v>2.3359999999999999</v>
      </c>
      <c r="AQ69" s="134">
        <v>0.94933569799999995</v>
      </c>
      <c r="AR69" s="173">
        <f t="shared" si="53"/>
        <v>0.94933569799999995</v>
      </c>
      <c r="AS69" s="219">
        <f t="shared" si="54"/>
        <v>0.94933569799999995</v>
      </c>
      <c r="AU69" s="137" t="str">
        <v>24Y</v>
      </c>
      <c r="AV69" s="144" t="str">
        <f t="shared" si="55"/>
        <v>24Y</v>
      </c>
      <c r="AW69" s="144">
        <f>VLOOKUP(AV69,[6]EURFIX1RM!$E$2:$H$1009,4,FALSE)</f>
        <v>2.46503096</v>
      </c>
      <c r="AX69" s="173">
        <f t="shared" si="56"/>
        <v>2.46503096</v>
      </c>
      <c r="AY69" s="134">
        <v>1.0248589340000001</v>
      </c>
      <c r="AZ69" s="173">
        <f t="shared" si="57"/>
        <v>1.0248589340000001</v>
      </c>
      <c r="BA69" s="219">
        <f t="shared" si="58"/>
        <v>1.0248589340000001</v>
      </c>
      <c r="BD69" s="321" t="str">
        <v>20Y</v>
      </c>
      <c r="BE69" s="348">
        <f t="shared" si="59"/>
        <v>1.135</v>
      </c>
      <c r="BF69" s="321" t="str">
        <v>21Y</v>
      </c>
      <c r="BG69" s="426" t="b">
        <f t="shared" si="60"/>
        <v>0</v>
      </c>
      <c r="BH69" s="426" t="b">
        <f t="shared" si="67"/>
        <v>1</v>
      </c>
      <c r="BI69" s="426" t="b">
        <f t="shared" si="61"/>
        <v>1</v>
      </c>
      <c r="BJ69" s="426" t="str">
        <v>24Y</v>
      </c>
      <c r="BK69" s="30">
        <f t="shared" si="62"/>
        <v>1.1054453959999999</v>
      </c>
      <c r="BL69" s="321" t="str">
        <v>21Y</v>
      </c>
      <c r="BM69" s="30">
        <f t="shared" si="63"/>
        <v>1.2231231010000001</v>
      </c>
      <c r="BN69" s="216" t="str">
        <v>30Y</v>
      </c>
      <c r="BO69" s="349">
        <f t="shared" si="64"/>
        <v>1.18</v>
      </c>
      <c r="BP69" s="137" t="str">
        <v>19Y</v>
      </c>
      <c r="BQ69" s="349">
        <f t="shared" si="65"/>
        <v>0.94933569799999995</v>
      </c>
      <c r="BR69" s="137" t="str">
        <v>24Y</v>
      </c>
      <c r="BS69" s="349">
        <f t="shared" si="66"/>
        <v>1.0248589340000001</v>
      </c>
      <c r="CS69" s="332"/>
      <c r="CT69" s="366" t="s">
        <v>1418</v>
      </c>
      <c r="CU69" s="307" t="s">
        <v>208</v>
      </c>
      <c r="CV69" s="307" t="s">
        <v>195</v>
      </c>
      <c r="CW69" s="366" t="s">
        <v>169</v>
      </c>
      <c r="CX69" s="307">
        <v>1.067701918</v>
      </c>
      <c r="CY69" s="307">
        <v>1.067701918</v>
      </c>
      <c r="CZ69" s="307">
        <v>1.067701918</v>
      </c>
    </row>
    <row r="70" spans="1:104">
      <c r="A70" s="130" t="str">
        <v>31Y</v>
      </c>
      <c r="B70" s="206">
        <v>4</v>
      </c>
      <c r="C70" s="321" t="str">
        <v>21Y</v>
      </c>
      <c r="D70" s="415" t="str">
        <f t="shared" si="35"/>
        <v>21Y</v>
      </c>
      <c r="E70" s="360" t="e">
        <f>CHOOSE(NA(),
                       VLOOKUP(D70,[1]EUR6M!$E$2:$H$1000,4,FALSE),
                       VLOOKUP(D70,[1]EUR6M!$C$2:$H$1000,6,FALSE),
                       VLOOKUP(D70,[1]EUR6M!$B$2:$H$1000,7,FALSE),
                       VLOOKUP(D70,[1]EUR6M!$E$2:$H$1000,4,FALSE),
                       ""
                       )</f>
        <v>#N/A</v>
      </c>
      <c r="F70" s="361" t="e">
        <f t="shared" si="36"/>
        <v>#N/A</v>
      </c>
      <c r="G70" s="134">
        <v>1.1464710229999999</v>
      </c>
      <c r="H70" s="361">
        <f t="shared" si="37"/>
        <v>1.1464710229999999</v>
      </c>
      <c r="I70" s="362">
        <f t="shared" si="38"/>
        <v>1.1464710229999999</v>
      </c>
      <c r="M70" s="216" t="str">
        <v>25Y</v>
      </c>
      <c r="N70" s="324" t="str">
        <f t="shared" si="39"/>
        <v>25Y</v>
      </c>
      <c r="O70" s="134">
        <f>CHOOSE($B70,
                       VLOOKUP(N70,[2]EUR3M!$E$2:$H$1000,4,FALSE),
                       VLOOKUP(N70,[2]EUR3M!$C$2:$H$1000,6,FALSE),
                       VLOOKUP(N70,[2]EUR3M!$B$2:$H$1000,7,FALSE),
                       VLOOKUP(N70,[2]EUR3M!$E$2:$H$1000,4,FALSE),
                       ""
                       )</f>
        <v>2.5590000000000002</v>
      </c>
      <c r="P70" s="173">
        <f t="shared" si="40"/>
        <v>2.5590000000000002</v>
      </c>
      <c r="Q70" s="134" t="s">
        <v>21</v>
      </c>
      <c r="R70" s="130" t="b">
        <f t="shared" si="41"/>
        <v>0</v>
      </c>
      <c r="S70" s="134">
        <v>1.111</v>
      </c>
      <c r="T70" s="173">
        <f t="shared" si="42"/>
        <v>1.111</v>
      </c>
      <c r="U70" s="219">
        <f t="shared" si="43"/>
        <v>1.111</v>
      </c>
      <c r="W70" s="216" t="str">
        <v>22Y</v>
      </c>
      <c r="X70" s="324" t="str">
        <f t="shared" si="44"/>
        <v>22Y</v>
      </c>
      <c r="Y70" s="134" t="e">
        <f xml:space="preserve"> CHOOSE(NA(),
                       VLOOKUP(X70,[3]EUR1Y!$E$2:$H$1000,4,FALSE),
                       VLOOKUP(X70,[3]EUR1Y!$C$2:$H$1000,6,FALSE),
                       VLOOKUP(X70,[3]EUR1Y!$B$2:$H$1000,7,FALSE),
                       VLOOKUP(X70,[3]EUR1Y!$E$2:$H$1000,4,FALSE),
                       ""
                       )</f>
        <v>#N/A</v>
      </c>
      <c r="Z70" s="173" t="e">
        <f t="shared" si="45"/>
        <v>#N/A</v>
      </c>
      <c r="AA70" s="134">
        <v>1.229587993</v>
      </c>
      <c r="AB70" s="173">
        <f t="shared" si="46"/>
        <v>1.229587993</v>
      </c>
      <c r="AC70" s="219">
        <f t="shared" si="47"/>
        <v>1.229587993</v>
      </c>
      <c r="AE70" s="216" t="str">
        <v>31Y</v>
      </c>
      <c r="AF70" s="324" t="str">
        <f t="shared" si="48"/>
        <v>31Y</v>
      </c>
      <c r="AG70" s="134">
        <f>CHOOSE($B70,
                       VLOOKUP(AF70,[4]EURStd!$E$2:$H$1000,4,FALSE),
                       VLOOKUP(AF70,[4]EURStd!$C$2:$H$1000,6,FALSE),
                       VLOOKUP(AF70,[4]EURStd!$B$2:$H$1000,7,FALSE),
                       VLOOKUP(AF70,[4]EURStd!$E$2:$H$1000,4,FALSE),
                       ""
                       )</f>
        <v>2.6263640750000001</v>
      </c>
      <c r="AH70" s="173">
        <f t="shared" si="49"/>
        <v>2.6263640750000001</v>
      </c>
      <c r="AI70" s="134">
        <v>1.18</v>
      </c>
      <c r="AJ70" s="173">
        <f t="shared" si="50"/>
        <v>1.18</v>
      </c>
      <c r="AK70" s="219">
        <f t="shared" si="51"/>
        <v>1.18</v>
      </c>
      <c r="AM70" s="137" t="str">
        <v>20Y</v>
      </c>
      <c r="AN70" s="324" t="str">
        <f t="shared" si="34"/>
        <v>20Y</v>
      </c>
      <c r="AO70" s="134">
        <f>VLOOKUP(AN70,'[5]EUR-OIS'!$E$2:$H$1000,4,FALSE)</f>
        <v>2.3540000000000001</v>
      </c>
      <c r="AP70" s="173">
        <f t="shared" si="52"/>
        <v>2.3540000000000001</v>
      </c>
      <c r="AQ70" s="134">
        <v>0.97</v>
      </c>
      <c r="AR70" s="173">
        <f t="shared" si="53"/>
        <v>0.97</v>
      </c>
      <c r="AS70" s="219">
        <f t="shared" si="54"/>
        <v>0.97</v>
      </c>
      <c r="AU70" s="137" t="str">
        <v>25Y</v>
      </c>
      <c r="AV70" s="144" t="str">
        <f t="shared" si="55"/>
        <v>25Y</v>
      </c>
      <c r="AW70" s="144">
        <f>VLOOKUP(AV70,[6]EURFIX1RM!$E$2:$H$1009,4,FALSE)</f>
        <v>2.4689999999999999</v>
      </c>
      <c r="AX70" s="173">
        <f t="shared" si="56"/>
        <v>2.4689999999999999</v>
      </c>
      <c r="AY70" s="134">
        <v>1.032</v>
      </c>
      <c r="AZ70" s="173">
        <f t="shared" si="57"/>
        <v>1.032</v>
      </c>
      <c r="BA70" s="219">
        <f t="shared" si="58"/>
        <v>1.032</v>
      </c>
      <c r="BD70" s="321" t="str">
        <v>21Y</v>
      </c>
      <c r="BE70" s="348">
        <f t="shared" si="59"/>
        <v>1.1464710229999999</v>
      </c>
      <c r="BF70" s="321" t="str">
        <v>22Y</v>
      </c>
      <c r="BG70" s="426" t="b">
        <f t="shared" si="60"/>
        <v>0</v>
      </c>
      <c r="BH70" s="426" t="b">
        <f t="shared" si="67"/>
        <v>1</v>
      </c>
      <c r="BI70" s="426" t="b">
        <f t="shared" si="61"/>
        <v>1</v>
      </c>
      <c r="BJ70" s="426" t="str">
        <v>25Y</v>
      </c>
      <c r="BK70" s="30">
        <f t="shared" si="62"/>
        <v>1.111</v>
      </c>
      <c r="BL70" s="321" t="str">
        <v>22Y</v>
      </c>
      <c r="BM70" s="30">
        <f t="shared" si="63"/>
        <v>1.229587993</v>
      </c>
      <c r="BN70" s="216" t="str">
        <v>31Y</v>
      </c>
      <c r="BO70" s="349">
        <f t="shared" si="64"/>
        <v>1.18029864</v>
      </c>
      <c r="BP70" s="137" t="str">
        <v>20Y</v>
      </c>
      <c r="BQ70" s="349">
        <f t="shared" si="65"/>
        <v>0.97</v>
      </c>
      <c r="BR70" s="137" t="str">
        <v>25Y</v>
      </c>
      <c r="BS70" s="349">
        <f t="shared" si="66"/>
        <v>1.032</v>
      </c>
      <c r="CS70" s="332"/>
      <c r="CT70" s="366" t="s">
        <v>1419</v>
      </c>
      <c r="CU70" s="307" t="s">
        <v>208</v>
      </c>
      <c r="CV70" s="307" t="s">
        <v>195</v>
      </c>
      <c r="CW70" s="366" t="s">
        <v>170</v>
      </c>
      <c r="CX70" s="307">
        <v>1.0667861679999999</v>
      </c>
      <c r="CY70" s="307">
        <v>1.0667861679999999</v>
      </c>
      <c r="CZ70" s="307">
        <v>1.0667861679999999</v>
      </c>
    </row>
    <row r="71" spans="1:104">
      <c r="A71" s="130" t="str">
        <v>32Y</v>
      </c>
      <c r="B71" s="206">
        <v>4</v>
      </c>
      <c r="C71" s="321" t="str">
        <v>22Y</v>
      </c>
      <c r="D71" s="415" t="str">
        <f t="shared" si="35"/>
        <v>22Y</v>
      </c>
      <c r="E71" s="360" t="e">
        <f>CHOOSE(NA(),
                       VLOOKUP(D71,[1]EUR6M!$E$2:$H$1000,4,FALSE),
                       VLOOKUP(D71,[1]EUR6M!$C$2:$H$1000,6,FALSE),
                       VLOOKUP(D71,[1]EUR6M!$B$2:$H$1000,7,FALSE),
                       VLOOKUP(D71,[1]EUR6M!$E$2:$H$1000,4,FALSE),
                       ""
                       )</f>
        <v>#N/A</v>
      </c>
      <c r="F71" s="361" t="e">
        <f t="shared" si="36"/>
        <v>#N/A</v>
      </c>
      <c r="G71" s="134">
        <v>1.1551005569999999</v>
      </c>
      <c r="H71" s="361">
        <f t="shared" si="37"/>
        <v>1.1551005569999999</v>
      </c>
      <c r="I71" s="362">
        <f t="shared" si="38"/>
        <v>1.1551005569999999</v>
      </c>
      <c r="M71" s="216" t="str">
        <v>26Y</v>
      </c>
      <c r="N71" s="324" t="str">
        <f t="shared" si="39"/>
        <v>26Y</v>
      </c>
      <c r="O71" s="134">
        <f>CHOOSE($B71,
                       VLOOKUP(N71,[2]EUR3M!$E$2:$H$1000,4,FALSE),
                       VLOOKUP(N71,[2]EUR3M!$C$2:$H$1000,6,FALSE),
                       VLOOKUP(N71,[2]EUR3M!$B$2:$H$1000,7,FALSE),
                       VLOOKUP(N71,[2]EUR3M!$E$2:$H$1000,4,FALSE),
                       ""
                       )</f>
        <v>2.5597608350000001</v>
      </c>
      <c r="P71" s="173">
        <f t="shared" si="40"/>
        <v>2.5597608350000001</v>
      </c>
      <c r="Q71" s="134" t="s">
        <v>42</v>
      </c>
      <c r="R71" s="130" t="b">
        <f t="shared" si="41"/>
        <v>0</v>
      </c>
      <c r="S71" s="134">
        <v>1.115777598</v>
      </c>
      <c r="T71" s="173">
        <f t="shared" si="42"/>
        <v>1.115777598</v>
      </c>
      <c r="U71" s="219">
        <f t="shared" si="43"/>
        <v>1.115777598</v>
      </c>
      <c r="W71" s="216" t="str">
        <v>23Y</v>
      </c>
      <c r="X71" s="324" t="str">
        <f t="shared" si="44"/>
        <v>23Y</v>
      </c>
      <c r="Y71" s="134" t="e">
        <f xml:space="preserve"> CHOOSE(NA(),
                       VLOOKUP(X71,[3]EUR1Y!$E$2:$H$1000,4,FALSE),
                       VLOOKUP(X71,[3]EUR1Y!$C$2:$H$1000,6,FALSE),
                       VLOOKUP(X71,[3]EUR1Y!$B$2:$H$1000,7,FALSE),
                       VLOOKUP(X71,[3]EUR1Y!$E$2:$H$1000,4,FALSE),
                       ""
                       )</f>
        <v>#N/A</v>
      </c>
      <c r="Z71" s="173" t="e">
        <f t="shared" si="45"/>
        <v>#N/A</v>
      </c>
      <c r="AA71" s="134">
        <v>1.2339844280000001</v>
      </c>
      <c r="AB71" s="173">
        <f t="shared" si="46"/>
        <v>1.2339844280000001</v>
      </c>
      <c r="AC71" s="219">
        <f t="shared" si="47"/>
        <v>1.2339844280000001</v>
      </c>
      <c r="AE71" s="216" t="str">
        <v>32Y</v>
      </c>
      <c r="AF71" s="324" t="str">
        <f t="shared" si="48"/>
        <v>32Y</v>
      </c>
      <c r="AG71" s="134">
        <f>CHOOSE($B71,
                       VLOOKUP(AF71,[4]EURStd!$E$2:$H$1000,4,FALSE),
                       VLOOKUP(AF71,[4]EURStd!$C$2:$H$1000,6,FALSE),
                       VLOOKUP(AF71,[4]EURStd!$B$2:$H$1000,7,FALSE),
                       VLOOKUP(AF71,[4]EURStd!$E$2:$H$1000,4,FALSE),
                       ""
                       )</f>
        <v>2.627880717</v>
      </c>
      <c r="AH71" s="173">
        <f t="shared" si="49"/>
        <v>2.627880717</v>
      </c>
      <c r="AI71" s="134">
        <v>1.18029864</v>
      </c>
      <c r="AJ71" s="173">
        <f t="shared" si="50"/>
        <v>1.18029864</v>
      </c>
      <c r="AK71" s="219">
        <f t="shared" si="51"/>
        <v>1.18029864</v>
      </c>
      <c r="AM71" s="137" t="str">
        <v>21Y</v>
      </c>
      <c r="AN71" s="324" t="str">
        <f t="shared" si="34"/>
        <v>21Y</v>
      </c>
      <c r="AO71" s="134">
        <f>VLOOKUP(AN71,'[5]EUR-OIS'!$E$2:$H$1000,4,FALSE)</f>
        <v>2.3679999999999999</v>
      </c>
      <c r="AP71" s="173">
        <f t="shared" si="52"/>
        <v>2.3679999999999999</v>
      </c>
      <c r="AQ71" s="134">
        <v>0.98671107999999996</v>
      </c>
      <c r="AR71" s="173">
        <f t="shared" si="53"/>
        <v>0.98671107999999996</v>
      </c>
      <c r="AS71" s="219">
        <f t="shared" si="54"/>
        <v>0.98671107999999996</v>
      </c>
      <c r="AU71" s="137" t="str">
        <v>26Y</v>
      </c>
      <c r="AV71" s="144" t="str">
        <f t="shared" si="55"/>
        <v>26Y</v>
      </c>
      <c r="AW71" s="144">
        <f>VLOOKUP(AV71,[6]EURFIX1RM!$E$2:$H$1009,4,FALSE)</f>
        <v>2.4716927900000001</v>
      </c>
      <c r="AX71" s="173">
        <f t="shared" si="56"/>
        <v>2.4716927900000001</v>
      </c>
      <c r="AY71" s="134">
        <v>1.0383068019999999</v>
      </c>
      <c r="AZ71" s="173">
        <f t="shared" si="57"/>
        <v>1.0383068019999999</v>
      </c>
      <c r="BA71" s="219">
        <f t="shared" si="58"/>
        <v>1.0383068019999999</v>
      </c>
      <c r="BD71" s="321" t="str">
        <v>22Y</v>
      </c>
      <c r="BE71" s="348">
        <f t="shared" si="59"/>
        <v>1.1551005569999999</v>
      </c>
      <c r="BF71" s="321" t="str">
        <v>23Y</v>
      </c>
      <c r="BG71" s="426" t="b">
        <f t="shared" si="60"/>
        <v>0</v>
      </c>
      <c r="BH71" s="426" t="b">
        <f t="shared" si="67"/>
        <v>1</v>
      </c>
      <c r="BI71" s="426" t="b">
        <f t="shared" si="61"/>
        <v>1</v>
      </c>
      <c r="BJ71" s="426" t="str">
        <v>26Y</v>
      </c>
      <c r="BK71" s="30">
        <f t="shared" si="62"/>
        <v>1.115777598</v>
      </c>
      <c r="BL71" s="321" t="str">
        <v>23Y</v>
      </c>
      <c r="BM71" s="30">
        <f t="shared" si="63"/>
        <v>1.2339844280000001</v>
      </c>
      <c r="BN71" s="216" t="str">
        <v>32Y</v>
      </c>
      <c r="BO71" s="349">
        <f t="shared" si="64"/>
        <v>1.1801586959999999</v>
      </c>
      <c r="BP71" s="137" t="str">
        <v>21Y</v>
      </c>
      <c r="BQ71" s="349">
        <f t="shared" si="65"/>
        <v>0.98671107999999996</v>
      </c>
      <c r="BR71" s="137" t="str">
        <v>26Y</v>
      </c>
      <c r="BS71" s="349">
        <f t="shared" si="66"/>
        <v>1.0383068019999999</v>
      </c>
      <c r="CS71" s="332"/>
      <c r="CT71" s="366" t="s">
        <v>1420</v>
      </c>
      <c r="CU71" s="307" t="s">
        <v>208</v>
      </c>
      <c r="CV71" s="307" t="s">
        <v>195</v>
      </c>
      <c r="CW71" s="366" t="s">
        <v>171</v>
      </c>
      <c r="CX71" s="307">
        <v>1.065213374</v>
      </c>
      <c r="CY71" s="307">
        <v>1.065213374</v>
      </c>
      <c r="CZ71" s="307">
        <v>1.065213374</v>
      </c>
    </row>
    <row r="72" spans="1:104">
      <c r="A72" s="130" t="str">
        <v>33Y</v>
      </c>
      <c r="B72" s="206">
        <v>4</v>
      </c>
      <c r="C72" s="321" t="str">
        <v>23Y</v>
      </c>
      <c r="D72" s="415" t="str">
        <f t="shared" si="35"/>
        <v>23Y</v>
      </c>
      <c r="E72" s="360" t="e">
        <f>CHOOSE(NA(),
                       VLOOKUP(D72,[1]EUR6M!$E$2:$H$1000,4,FALSE),
                       VLOOKUP(D72,[1]EUR6M!$C$2:$H$1000,6,FALSE),
                       VLOOKUP(D72,[1]EUR6M!$B$2:$H$1000,7,FALSE),
                       VLOOKUP(D72,[1]EUR6M!$E$2:$H$1000,4,FALSE),
                       ""
                       )</f>
        <v>#N/A</v>
      </c>
      <c r="F72" s="361" t="e">
        <f t="shared" si="36"/>
        <v>#N/A</v>
      </c>
      <c r="G72" s="134">
        <v>1.161488088</v>
      </c>
      <c r="H72" s="361">
        <f t="shared" si="37"/>
        <v>1.161488088</v>
      </c>
      <c r="I72" s="362">
        <f t="shared" si="38"/>
        <v>1.161488088</v>
      </c>
      <c r="M72" s="216" t="str">
        <v>27Y</v>
      </c>
      <c r="N72" s="324" t="str">
        <f t="shared" si="39"/>
        <v>27Y</v>
      </c>
      <c r="O72" s="134">
        <f>CHOOSE($B72,
                       VLOOKUP(N72,[2]EUR3M!$E$2:$H$1000,4,FALSE),
                       VLOOKUP(N72,[2]EUR3M!$C$2:$H$1000,6,FALSE),
                       VLOOKUP(N72,[2]EUR3M!$B$2:$H$1000,7,FALSE),
                       VLOOKUP(N72,[2]EUR3M!$E$2:$H$1000,4,FALSE),
                       ""
                       )</f>
        <v>2.5600247519999999</v>
      </c>
      <c r="P72" s="173">
        <f t="shared" si="40"/>
        <v>2.5600247519999999</v>
      </c>
      <c r="Q72" s="134" t="s">
        <v>43</v>
      </c>
      <c r="R72" s="130" t="b">
        <f t="shared" si="41"/>
        <v>0</v>
      </c>
      <c r="S72" s="134">
        <v>1.1199046450000001</v>
      </c>
      <c r="T72" s="173">
        <f t="shared" si="42"/>
        <v>1.1199046450000001</v>
      </c>
      <c r="U72" s="219">
        <f t="shared" si="43"/>
        <v>1.1199046450000001</v>
      </c>
      <c r="W72" s="216" t="str">
        <v>24Y</v>
      </c>
      <c r="X72" s="324" t="str">
        <f t="shared" si="44"/>
        <v>24Y</v>
      </c>
      <c r="Y72" s="134" t="e">
        <f xml:space="preserve"> CHOOSE(NA(),
                       VLOOKUP(X72,[3]EUR1Y!$E$2:$H$1000,4,FALSE),
                       VLOOKUP(X72,[3]EUR1Y!$C$2:$H$1000,6,FALSE),
                       VLOOKUP(X72,[3]EUR1Y!$B$2:$H$1000,7,FALSE),
                       VLOOKUP(X72,[3]EUR1Y!$E$2:$H$1000,4,FALSE),
                       ""
                       )</f>
        <v>#N/A</v>
      </c>
      <c r="Z72" s="173" t="e">
        <f t="shared" si="45"/>
        <v>#N/A</v>
      </c>
      <c r="AA72" s="134">
        <v>1.2370241710000001</v>
      </c>
      <c r="AB72" s="173">
        <f t="shared" si="46"/>
        <v>1.2370241710000001</v>
      </c>
      <c r="AC72" s="219">
        <f t="shared" si="47"/>
        <v>1.2370241710000001</v>
      </c>
      <c r="AE72" s="216" t="str">
        <v>33Y</v>
      </c>
      <c r="AF72" s="324" t="str">
        <f t="shared" si="48"/>
        <v>33Y</v>
      </c>
      <c r="AG72" s="134">
        <f>CHOOSE($B72,
                       VLOOKUP(AF72,[4]EURStd!$E$2:$H$1000,4,FALSE),
                       VLOOKUP(AF72,[4]EURStd!$C$2:$H$1000,6,FALSE),
                       VLOOKUP(AF72,[4]EURStd!$B$2:$H$1000,7,FALSE),
                       VLOOKUP(AF72,[4]EURStd!$E$2:$H$1000,4,FALSE),
                       ""
                       )</f>
        <v>2.630450089</v>
      </c>
      <c r="AH72" s="173">
        <f t="shared" si="49"/>
        <v>2.630450089</v>
      </c>
      <c r="AI72" s="134">
        <v>1.1801586959999999</v>
      </c>
      <c r="AJ72" s="173">
        <f t="shared" si="50"/>
        <v>1.1801586959999999</v>
      </c>
      <c r="AK72" s="219">
        <f t="shared" si="51"/>
        <v>1.1801586959999999</v>
      </c>
      <c r="AM72" s="137" t="str">
        <v>22Y</v>
      </c>
      <c r="AN72" s="324" t="str">
        <f t="shared" si="34"/>
        <v>22Y</v>
      </c>
      <c r="AO72" s="134">
        <f>VLOOKUP(AN72,'[5]EUR-OIS'!$E$2:$H$1000,4,FALSE)</f>
        <v>2.379</v>
      </c>
      <c r="AP72" s="173">
        <f t="shared" si="52"/>
        <v>2.379</v>
      </c>
      <c r="AQ72" s="134">
        <v>1.001146603</v>
      </c>
      <c r="AR72" s="173">
        <f t="shared" si="53"/>
        <v>1.001146603</v>
      </c>
      <c r="AS72" s="219">
        <f t="shared" si="54"/>
        <v>1.001146603</v>
      </c>
      <c r="AU72" s="137" t="str">
        <v>27Y</v>
      </c>
      <c r="AV72" s="144" t="str">
        <f t="shared" si="55"/>
        <v>27Y</v>
      </c>
      <c r="AW72" s="144">
        <f>VLOOKUP(AV72,[6]EURFIX1RM!$E$2:$H$1009,4,FALSE)</f>
        <v>2.4738485350000001</v>
      </c>
      <c r="AX72" s="173">
        <f t="shared" si="56"/>
        <v>2.4738485350000001</v>
      </c>
      <c r="AY72" s="134">
        <v>1.0439020349999999</v>
      </c>
      <c r="AZ72" s="173">
        <f t="shared" si="57"/>
        <v>1.0439020349999999</v>
      </c>
      <c r="BA72" s="219">
        <f t="shared" si="58"/>
        <v>1.0439020349999999</v>
      </c>
      <c r="BD72" s="321" t="str">
        <v>23Y</v>
      </c>
      <c r="BE72" s="348">
        <f t="shared" si="59"/>
        <v>1.161488088</v>
      </c>
      <c r="BF72" s="321" t="str">
        <v>24Y</v>
      </c>
      <c r="BG72" s="426" t="b">
        <f t="shared" si="60"/>
        <v>0</v>
      </c>
      <c r="BH72" s="426" t="b">
        <f t="shared" si="67"/>
        <v>1</v>
      </c>
      <c r="BI72" s="426" t="b">
        <f t="shared" si="61"/>
        <v>1</v>
      </c>
      <c r="BJ72" s="426" t="str">
        <v>27Y</v>
      </c>
      <c r="BK72" s="30">
        <f t="shared" si="62"/>
        <v>1.1199046450000001</v>
      </c>
      <c r="BL72" s="321" t="str">
        <v>24Y</v>
      </c>
      <c r="BM72" s="30">
        <f t="shared" si="63"/>
        <v>1.2370241710000001</v>
      </c>
      <c r="BN72" s="216" t="str">
        <v>33Y</v>
      </c>
      <c r="BO72" s="349">
        <f t="shared" si="64"/>
        <v>1.179478961</v>
      </c>
      <c r="BP72" s="137" t="str">
        <v>22Y</v>
      </c>
      <c r="BQ72" s="349">
        <f t="shared" si="65"/>
        <v>1.001146603</v>
      </c>
      <c r="BR72" s="137" t="str">
        <v>27Y</v>
      </c>
      <c r="BS72" s="349">
        <f t="shared" si="66"/>
        <v>1.0439020349999999</v>
      </c>
      <c r="CS72" s="332"/>
      <c r="CT72" s="366" t="s">
        <v>1421</v>
      </c>
      <c r="CU72" s="307" t="s">
        <v>208</v>
      </c>
      <c r="CV72" s="307" t="s">
        <v>195</v>
      </c>
      <c r="CW72" s="366" t="s">
        <v>46</v>
      </c>
      <c r="CX72" s="307">
        <v>1.0629999999999999</v>
      </c>
      <c r="CY72" s="307">
        <v>1.0629999999999999</v>
      </c>
      <c r="CZ72" s="307">
        <v>1.0629999999999999</v>
      </c>
    </row>
    <row r="73" spans="1:104">
      <c r="A73" s="130" t="str">
        <v>34Y</v>
      </c>
      <c r="B73" s="206">
        <v>4</v>
      </c>
      <c r="C73" s="321" t="str">
        <v>24Y</v>
      </c>
      <c r="D73" s="415" t="str">
        <f t="shared" si="35"/>
        <v>24Y</v>
      </c>
      <c r="E73" s="360" t="e">
        <f>CHOOSE(NA(),
                       VLOOKUP(D73,[1]EUR6M!$E$2:$H$1000,4,FALSE),
                       VLOOKUP(D73,[1]EUR6M!$C$2:$H$1000,6,FALSE),
                       VLOOKUP(D73,[1]EUR6M!$B$2:$H$1000,7,FALSE),
                       VLOOKUP(D73,[1]EUR6M!$E$2:$H$1000,4,FALSE),
                       ""
                       )</f>
        <v>#N/A</v>
      </c>
      <c r="F73" s="361" t="e">
        <f t="shared" si="36"/>
        <v>#N/A</v>
      </c>
      <c r="G73" s="134">
        <v>1.1663573979999999</v>
      </c>
      <c r="H73" s="361">
        <f t="shared" si="37"/>
        <v>1.1663573979999999</v>
      </c>
      <c r="I73" s="362">
        <f t="shared" si="38"/>
        <v>1.1663573979999999</v>
      </c>
      <c r="M73" s="216" t="str">
        <v>28Y</v>
      </c>
      <c r="N73" s="324" t="str">
        <f t="shared" si="39"/>
        <v>28Y</v>
      </c>
      <c r="O73" s="134">
        <f>CHOOSE($B73,
                       VLOOKUP(N73,[2]EUR3M!$E$2:$H$1000,4,FALSE),
                       VLOOKUP(N73,[2]EUR3M!$C$2:$H$1000,6,FALSE),
                       VLOOKUP(N73,[2]EUR3M!$B$2:$H$1000,7,FALSE),
                       VLOOKUP(N73,[2]EUR3M!$E$2:$H$1000,4,FALSE),
                       ""
                       )</f>
        <v>2.5599477340000001</v>
      </c>
      <c r="P73" s="173">
        <f t="shared" si="40"/>
        <v>2.5599477340000001</v>
      </c>
      <c r="Q73" s="134" t="s">
        <v>44</v>
      </c>
      <c r="R73" s="130" t="b">
        <f t="shared" si="41"/>
        <v>0</v>
      </c>
      <c r="S73" s="134">
        <v>1.1235343600000001</v>
      </c>
      <c r="T73" s="173">
        <f t="shared" si="42"/>
        <v>1.1235343600000001</v>
      </c>
      <c r="U73" s="219">
        <f t="shared" si="43"/>
        <v>1.1235343600000001</v>
      </c>
      <c r="W73" s="216" t="str">
        <v>25Y</v>
      </c>
      <c r="X73" s="324" t="str">
        <f t="shared" si="44"/>
        <v>25Y</v>
      </c>
      <c r="Y73" s="134" t="e">
        <f xml:space="preserve"> CHOOSE(NA(),
                       VLOOKUP(X73,[3]EUR1Y!$E$2:$H$1000,4,FALSE),
                       VLOOKUP(X73,[3]EUR1Y!$C$2:$H$1000,6,FALSE),
                       VLOOKUP(X73,[3]EUR1Y!$B$2:$H$1000,7,FALSE),
                       VLOOKUP(X73,[3]EUR1Y!$E$2:$H$1000,4,FALSE),
                       ""
                       )</f>
        <v>#N/A</v>
      </c>
      <c r="Z73" s="173" t="e">
        <f t="shared" si="45"/>
        <v>#N/A</v>
      </c>
      <c r="AA73" s="134">
        <v>1.2390000000000001</v>
      </c>
      <c r="AB73" s="173">
        <f t="shared" si="46"/>
        <v>1.2390000000000001</v>
      </c>
      <c r="AC73" s="219">
        <f t="shared" si="47"/>
        <v>1.2390000000000001</v>
      </c>
      <c r="AE73" s="216" t="str">
        <v>34Y</v>
      </c>
      <c r="AF73" s="324" t="str">
        <f t="shared" si="48"/>
        <v>34Y</v>
      </c>
      <c r="AG73" s="134">
        <f>CHOOSE($B73,
                       VLOOKUP(AF73,[4]EURStd!$E$2:$H$1000,4,FALSE),
                       VLOOKUP(AF73,[4]EURStd!$C$2:$H$1000,6,FALSE),
                       VLOOKUP(AF73,[4]EURStd!$B$2:$H$1000,7,FALSE),
                       VLOOKUP(AF73,[4]EURStd!$E$2:$H$1000,4,FALSE),
                       ""
                       )</f>
        <v>2.633843121</v>
      </c>
      <c r="AH73" s="173">
        <f t="shared" si="49"/>
        <v>2.633843121</v>
      </c>
      <c r="AI73" s="134">
        <v>1.179478961</v>
      </c>
      <c r="AJ73" s="173">
        <f t="shared" si="50"/>
        <v>1.179478961</v>
      </c>
      <c r="AK73" s="219">
        <f t="shared" si="51"/>
        <v>1.179478961</v>
      </c>
      <c r="AM73" s="137" t="str">
        <v>23Y</v>
      </c>
      <c r="AN73" s="324" t="str">
        <f t="shared" si="34"/>
        <v>23Y</v>
      </c>
      <c r="AO73" s="134">
        <f>VLOOKUP(AN73,'[5]EUR-OIS'!$E$2:$H$1000,4,FALSE)</f>
        <v>2.3879999999999999</v>
      </c>
      <c r="AP73" s="173">
        <f t="shared" si="52"/>
        <v>2.3879999999999999</v>
      </c>
      <c r="AQ73" s="134">
        <v>1.011930515</v>
      </c>
      <c r="AR73" s="173">
        <f t="shared" si="53"/>
        <v>1.011930515</v>
      </c>
      <c r="AS73" s="219">
        <f t="shared" si="54"/>
        <v>1.011930515</v>
      </c>
      <c r="AU73" s="137" t="str">
        <v>28Y</v>
      </c>
      <c r="AV73" s="144" t="str">
        <f t="shared" si="55"/>
        <v>28Y</v>
      </c>
      <c r="AW73" s="144">
        <f>VLOOKUP(AV73,[6]EURFIX1RM!$E$2:$H$1009,4,FALSE)</f>
        <v>2.4755997139999999</v>
      </c>
      <c r="AX73" s="173">
        <f t="shared" si="56"/>
        <v>2.4755997139999999</v>
      </c>
      <c r="AY73" s="134">
        <v>1.048932843</v>
      </c>
      <c r="AZ73" s="173">
        <f t="shared" si="57"/>
        <v>1.048932843</v>
      </c>
      <c r="BA73" s="219">
        <f t="shared" si="58"/>
        <v>1.048932843</v>
      </c>
      <c r="BD73" s="321" t="str">
        <v>24Y</v>
      </c>
      <c r="BE73" s="348">
        <f t="shared" si="59"/>
        <v>1.1663573979999999</v>
      </c>
      <c r="BF73" s="321" t="str">
        <v>25Y</v>
      </c>
      <c r="BG73" s="426" t="b">
        <f t="shared" si="60"/>
        <v>0</v>
      </c>
      <c r="BH73" s="426" t="b">
        <f t="shared" si="67"/>
        <v>1</v>
      </c>
      <c r="BI73" s="426" t="b">
        <f t="shared" si="61"/>
        <v>1</v>
      </c>
      <c r="BJ73" s="426" t="str">
        <v>28Y</v>
      </c>
      <c r="BK73" s="30">
        <f t="shared" si="62"/>
        <v>1.1235343600000001</v>
      </c>
      <c r="BL73" s="321" t="str">
        <v>25Y</v>
      </c>
      <c r="BM73" s="30">
        <f t="shared" si="63"/>
        <v>1.2390000000000001</v>
      </c>
      <c r="BN73" s="216" t="str">
        <v>34Y</v>
      </c>
      <c r="BO73" s="349">
        <f t="shared" si="64"/>
        <v>1.1784082680000001</v>
      </c>
      <c r="BP73" s="137" t="str">
        <v>23Y</v>
      </c>
      <c r="BQ73" s="349">
        <f t="shared" si="65"/>
        <v>1.011930515</v>
      </c>
      <c r="BR73" s="137" t="str">
        <v>28Y</v>
      </c>
      <c r="BS73" s="349">
        <f t="shared" si="66"/>
        <v>1.048932843</v>
      </c>
      <c r="CS73" s="332"/>
      <c r="CT73" s="366" t="s">
        <v>1422</v>
      </c>
      <c r="CU73" s="307" t="s">
        <v>208</v>
      </c>
      <c r="CV73" s="307" t="s">
        <v>195</v>
      </c>
      <c r="CW73" s="366" t="s">
        <v>47</v>
      </c>
      <c r="CX73" s="307">
        <v>1.0209999999999999</v>
      </c>
      <c r="CY73" s="307">
        <v>1.0209999999999999</v>
      </c>
      <c r="CZ73" s="307">
        <v>1.0209999999999999</v>
      </c>
    </row>
    <row r="74" spans="1:104">
      <c r="A74" s="130" t="str">
        <v>35Y</v>
      </c>
      <c r="B74" s="206">
        <v>4</v>
      </c>
      <c r="C74" s="321" t="str">
        <v>25Y</v>
      </c>
      <c r="D74" s="415" t="str">
        <f t="shared" si="35"/>
        <v>25Y</v>
      </c>
      <c r="E74" s="360" t="e">
        <f>CHOOSE(NA(),
                       VLOOKUP(D74,[1]EUR6M!$E$2:$H$1000,4,FALSE),
                       VLOOKUP(D74,[1]EUR6M!$C$2:$H$1000,6,FALSE),
                       VLOOKUP(D74,[1]EUR6M!$B$2:$H$1000,7,FALSE),
                       VLOOKUP(D74,[1]EUR6M!$E$2:$H$1000,4,FALSE),
                       ""
                       )</f>
        <v>#N/A</v>
      </c>
      <c r="F74" s="361" t="e">
        <f t="shared" si="36"/>
        <v>#N/A</v>
      </c>
      <c r="G74" s="134">
        <v>1.17</v>
      </c>
      <c r="H74" s="361">
        <f t="shared" si="37"/>
        <v>1.17</v>
      </c>
      <c r="I74" s="362">
        <f t="shared" si="38"/>
        <v>1.17</v>
      </c>
      <c r="M74" s="216" t="str">
        <v>29Y</v>
      </c>
      <c r="N74" s="324" t="str">
        <f t="shared" si="39"/>
        <v>29Y</v>
      </c>
      <c r="O74" s="134">
        <f>CHOOSE($B74,
                       VLOOKUP(N74,[2]EUR3M!$E$2:$H$1000,4,FALSE),
                       VLOOKUP(N74,[2]EUR3M!$C$2:$H$1000,6,FALSE),
                       VLOOKUP(N74,[2]EUR3M!$B$2:$H$1000,7,FALSE),
                       VLOOKUP(N74,[2]EUR3M!$E$2:$H$1000,4,FALSE),
                       ""
                       )</f>
        <v>2.5601502319999998</v>
      </c>
      <c r="P74" s="173">
        <f t="shared" si="40"/>
        <v>2.5601502319999998</v>
      </c>
      <c r="Q74" s="134" t="s">
        <v>45</v>
      </c>
      <c r="R74" s="130" t="b">
        <f t="shared" si="41"/>
        <v>0</v>
      </c>
      <c r="S74" s="134">
        <v>1.1265262549999999</v>
      </c>
      <c r="T74" s="173">
        <f t="shared" si="42"/>
        <v>1.1265262549999999</v>
      </c>
      <c r="U74" s="219">
        <f t="shared" si="43"/>
        <v>1.1265262549999999</v>
      </c>
      <c r="W74" s="216" t="str">
        <v>26Y</v>
      </c>
      <c r="X74" s="324" t="str">
        <f t="shared" si="44"/>
        <v>26Y</v>
      </c>
      <c r="Y74" s="134" t="e">
        <f xml:space="preserve"> CHOOSE(NA(),
                       VLOOKUP(X74,[3]EUR1Y!$E$2:$H$1000,4,FALSE),
                       VLOOKUP(X74,[3]EUR1Y!$C$2:$H$1000,6,FALSE),
                       VLOOKUP(X74,[3]EUR1Y!$B$2:$H$1000,7,FALSE),
                       VLOOKUP(X74,[3]EUR1Y!$E$2:$H$1000,4,FALSE),
                       ""
                       )</f>
        <v>#N/A</v>
      </c>
      <c r="Z74" s="173" t="e">
        <f t="shared" si="45"/>
        <v>#N/A</v>
      </c>
      <c r="AA74" s="134">
        <v>1.2405303219999999</v>
      </c>
      <c r="AB74" s="173">
        <f t="shared" si="46"/>
        <v>1.2405303219999999</v>
      </c>
      <c r="AC74" s="219">
        <f t="shared" si="47"/>
        <v>1.2405303219999999</v>
      </c>
      <c r="AE74" s="216" t="str">
        <v>35Y</v>
      </c>
      <c r="AF74" s="324" t="str">
        <f t="shared" si="48"/>
        <v>35Y</v>
      </c>
      <c r="AG74" s="134">
        <f>CHOOSE($B74,
                       VLOOKUP(AF74,[4]EURStd!$E$2:$H$1000,4,FALSE),
                       VLOOKUP(AF74,[4]EURStd!$C$2:$H$1000,6,FALSE),
                       VLOOKUP(AF74,[4]EURStd!$B$2:$H$1000,7,FALSE),
                       VLOOKUP(AF74,[4]EURStd!$E$2:$H$1000,4,FALSE),
                       ""
                       )</f>
        <v>2.6379999999999999</v>
      </c>
      <c r="AH74" s="173">
        <f t="shared" si="49"/>
        <v>2.6379999999999999</v>
      </c>
      <c r="AI74" s="134">
        <v>1.1784082680000001</v>
      </c>
      <c r="AJ74" s="173">
        <f t="shared" si="50"/>
        <v>1.1784082680000001</v>
      </c>
      <c r="AK74" s="219">
        <f t="shared" si="51"/>
        <v>1.1784082680000001</v>
      </c>
      <c r="AM74" s="137" t="str">
        <v>24Y</v>
      </c>
      <c r="AN74" s="324" t="str">
        <f t="shared" si="34"/>
        <v>24Y</v>
      </c>
      <c r="AO74" s="134">
        <f>VLOOKUP(AN74,'[5]EUR-OIS'!$E$2:$H$1000,4,FALSE)</f>
        <v>2.3940000000000001</v>
      </c>
      <c r="AP74" s="173">
        <f t="shared" si="52"/>
        <v>2.3940000000000001</v>
      </c>
      <c r="AQ74" s="134">
        <v>1.0197194190000001</v>
      </c>
      <c r="AR74" s="173">
        <f t="shared" si="53"/>
        <v>1.0197194190000001</v>
      </c>
      <c r="AS74" s="219">
        <f t="shared" si="54"/>
        <v>1.0197194190000001</v>
      </c>
      <c r="AU74" s="137" t="str">
        <v>29Y</v>
      </c>
      <c r="AV74" s="144" t="str">
        <f t="shared" si="55"/>
        <v>29Y</v>
      </c>
      <c r="AW74" s="144">
        <f>VLOOKUP(AV74,[6]EURFIX1RM!$E$2:$H$1009,4,FALSE)</f>
        <v>2.4775348250000002</v>
      </c>
      <c r="AX74" s="173">
        <f t="shared" si="56"/>
        <v>2.4775348250000002</v>
      </c>
      <c r="AY74" s="134">
        <v>1.053267043</v>
      </c>
      <c r="AZ74" s="173">
        <f t="shared" si="57"/>
        <v>1.053267043</v>
      </c>
      <c r="BA74" s="219">
        <f t="shared" si="58"/>
        <v>1.053267043</v>
      </c>
      <c r="BD74" s="321" t="str">
        <v>25Y</v>
      </c>
      <c r="BE74" s="348">
        <f t="shared" si="59"/>
        <v>1.17</v>
      </c>
      <c r="BF74" s="321" t="str">
        <v>26Y</v>
      </c>
      <c r="BG74" s="426" t="b">
        <f t="shared" si="60"/>
        <v>0</v>
      </c>
      <c r="BH74" s="426" t="b">
        <f t="shared" si="67"/>
        <v>1</v>
      </c>
      <c r="BI74" s="426" t="b">
        <f t="shared" si="61"/>
        <v>1</v>
      </c>
      <c r="BJ74" s="426" t="str">
        <v>29Y</v>
      </c>
      <c r="BK74" s="30">
        <f t="shared" si="62"/>
        <v>1.1265262549999999</v>
      </c>
      <c r="BL74" s="321" t="str">
        <v>26Y</v>
      </c>
      <c r="BM74" s="30">
        <f t="shared" si="63"/>
        <v>1.2405303219999999</v>
      </c>
      <c r="BN74" s="216" t="str">
        <v>35Y</v>
      </c>
      <c r="BO74" s="349">
        <f t="shared" si="64"/>
        <v>1.177</v>
      </c>
      <c r="BP74" s="137" t="str">
        <v>24Y</v>
      </c>
      <c r="BQ74" s="349">
        <f t="shared" si="65"/>
        <v>1.0197194190000001</v>
      </c>
      <c r="BR74" s="137" t="str">
        <v>29Y</v>
      </c>
      <c r="BS74" s="349">
        <f t="shared" si="66"/>
        <v>1.053267043</v>
      </c>
      <c r="CS74" s="332"/>
      <c r="CT74" s="366" t="s">
        <v>1423</v>
      </c>
      <c r="CU74" s="307" t="s">
        <v>208</v>
      </c>
      <c r="CV74" s="307" t="s">
        <v>195</v>
      </c>
      <c r="CW74" s="366" t="s">
        <v>48</v>
      </c>
      <c r="CX74" s="307">
        <v>0.995</v>
      </c>
      <c r="CY74" s="307">
        <v>0.995</v>
      </c>
      <c r="CZ74" s="307">
        <v>0.995</v>
      </c>
    </row>
    <row r="75" spans="1:104">
      <c r="A75" s="130" t="str">
        <v>36Y</v>
      </c>
      <c r="B75" s="206">
        <v>4</v>
      </c>
      <c r="C75" s="321" t="str">
        <v>26Y</v>
      </c>
      <c r="D75" s="415" t="str">
        <f t="shared" si="35"/>
        <v>26Y</v>
      </c>
      <c r="E75" s="360" t="e">
        <f>CHOOSE(NA(),
                       VLOOKUP(D75,[1]EUR6M!$E$2:$H$1000,4,FALSE),
                       VLOOKUP(D75,[1]EUR6M!$C$2:$H$1000,6,FALSE),
                       VLOOKUP(D75,[1]EUR6M!$B$2:$H$1000,7,FALSE),
                       VLOOKUP(D75,[1]EUR6M!$E$2:$H$1000,4,FALSE),
                       ""
                       )</f>
        <v>#N/A</v>
      </c>
      <c r="F75" s="361" t="e">
        <f t="shared" si="36"/>
        <v>#N/A</v>
      </c>
      <c r="G75" s="134">
        <v>1.1730526349999999</v>
      </c>
      <c r="H75" s="361">
        <f t="shared" si="37"/>
        <v>1.1730526349999999</v>
      </c>
      <c r="I75" s="362">
        <f t="shared" si="38"/>
        <v>1.1730526349999999</v>
      </c>
      <c r="M75" s="216" t="str">
        <v>30Y</v>
      </c>
      <c r="N75" s="324" t="str">
        <f t="shared" si="39"/>
        <v>30Y</v>
      </c>
      <c r="O75" s="134">
        <f>CHOOSE($B75,
                       VLOOKUP(N75,[2]EUR3M!$E$2:$H$1000,4,FALSE),
                       VLOOKUP(N75,[2]EUR3M!$C$2:$H$1000,6,FALSE),
                       VLOOKUP(N75,[2]EUR3M!$B$2:$H$1000,7,FALSE),
                       VLOOKUP(N75,[2]EUR3M!$E$2:$H$1000,4,FALSE),
                       ""
                       )</f>
        <v>2.5609999999999999</v>
      </c>
      <c r="P75" s="173">
        <f t="shared" si="40"/>
        <v>2.5609999999999999</v>
      </c>
      <c r="Q75" s="134" t="s">
        <v>22</v>
      </c>
      <c r="R75" s="130" t="b">
        <f t="shared" si="41"/>
        <v>0</v>
      </c>
      <c r="S75" s="134">
        <v>1.129</v>
      </c>
      <c r="T75" s="173">
        <f t="shared" si="42"/>
        <v>1.129</v>
      </c>
      <c r="U75" s="219">
        <f t="shared" si="43"/>
        <v>1.129</v>
      </c>
      <c r="W75" s="216" t="str">
        <v>27Y</v>
      </c>
      <c r="X75" s="324" t="str">
        <f t="shared" si="44"/>
        <v>27Y</v>
      </c>
      <c r="Y75" s="134" t="e">
        <f xml:space="preserve"> CHOOSE(NA(),
                       VLOOKUP(X75,[3]EUR1Y!$E$2:$H$1000,4,FALSE),
                       VLOOKUP(X75,[3]EUR1Y!$C$2:$H$1000,6,FALSE),
                       VLOOKUP(X75,[3]EUR1Y!$B$2:$H$1000,7,FALSE),
                       VLOOKUP(X75,[3]EUR1Y!$E$2:$H$1000,4,FALSE),
                       ""
                       )</f>
        <v>#N/A</v>
      </c>
      <c r="Z75" s="173" t="e">
        <f t="shared" si="45"/>
        <v>#N/A</v>
      </c>
      <c r="AA75" s="134">
        <v>1.241695427</v>
      </c>
      <c r="AB75" s="173">
        <f t="shared" si="46"/>
        <v>1.241695427</v>
      </c>
      <c r="AC75" s="219">
        <f t="shared" si="47"/>
        <v>1.241695427</v>
      </c>
      <c r="AE75" s="216" t="str">
        <v>36Y</v>
      </c>
      <c r="AF75" s="324" t="str">
        <f t="shared" si="48"/>
        <v>36Y</v>
      </c>
      <c r="AG75" s="134">
        <f>CHOOSE($B75,
                       VLOOKUP(AF75,[4]EURStd!$E$2:$H$1000,4,FALSE),
                       VLOOKUP(AF75,[4]EURStd!$C$2:$H$1000,6,FALSE),
                       VLOOKUP(AF75,[4]EURStd!$B$2:$H$1000,7,FALSE),
                       VLOOKUP(AF75,[4]EURStd!$E$2:$H$1000,4,FALSE),
                       ""
                       )</f>
        <v>2.6424945119999999</v>
      </c>
      <c r="AH75" s="173">
        <f t="shared" si="49"/>
        <v>2.6424945119999999</v>
      </c>
      <c r="AI75" s="134">
        <v>1.177</v>
      </c>
      <c r="AJ75" s="173">
        <f t="shared" si="50"/>
        <v>1.177</v>
      </c>
      <c r="AK75" s="219">
        <f t="shared" si="51"/>
        <v>1.177</v>
      </c>
      <c r="AM75" s="137" t="str">
        <v>25Y</v>
      </c>
      <c r="AN75" s="324" t="str">
        <f t="shared" si="34"/>
        <v>25Y</v>
      </c>
      <c r="AO75" s="134">
        <f>VLOOKUP(AN75,'[5]EUR-OIS'!$E$2:$H$1000,4,FALSE)</f>
        <v>2.399</v>
      </c>
      <c r="AP75" s="173">
        <f t="shared" si="52"/>
        <v>2.399</v>
      </c>
      <c r="AQ75" s="134">
        <v>1.0269999999999999</v>
      </c>
      <c r="AR75" s="173">
        <f t="shared" si="53"/>
        <v>1.0269999999999999</v>
      </c>
      <c r="AS75" s="219">
        <f t="shared" si="54"/>
        <v>1.0269999999999999</v>
      </c>
      <c r="AU75" s="137" t="str">
        <v>30Y</v>
      </c>
      <c r="AV75" s="144" t="str">
        <f t="shared" si="55"/>
        <v>30Y</v>
      </c>
      <c r="AW75" s="144">
        <f>VLOOKUP(AV75,[6]EURFIX1RM!$E$2:$H$1009,4,FALSE)</f>
        <v>2.48</v>
      </c>
      <c r="AX75" s="173">
        <f t="shared" si="56"/>
        <v>2.48</v>
      </c>
      <c r="AY75" s="134">
        <v>1.0569999999999999</v>
      </c>
      <c r="AZ75" s="173">
        <f t="shared" si="57"/>
        <v>1.0569999999999999</v>
      </c>
      <c r="BA75" s="219">
        <f t="shared" si="58"/>
        <v>1.0569999999999999</v>
      </c>
      <c r="BD75" s="321" t="str">
        <v>26Y</v>
      </c>
      <c r="BE75" s="348">
        <f t="shared" si="59"/>
        <v>1.1730526349999999</v>
      </c>
      <c r="BF75" s="321" t="str">
        <v>27Y</v>
      </c>
      <c r="BG75" s="426" t="b">
        <f t="shared" si="60"/>
        <v>0</v>
      </c>
      <c r="BH75" s="426" t="b">
        <f t="shared" si="67"/>
        <v>1</v>
      </c>
      <c r="BI75" s="426" t="b">
        <f t="shared" si="61"/>
        <v>1</v>
      </c>
      <c r="BJ75" s="426" t="str">
        <v>30Y</v>
      </c>
      <c r="BK75" s="30">
        <f t="shared" si="62"/>
        <v>1.129</v>
      </c>
      <c r="BL75" s="321" t="str">
        <v>27Y</v>
      </c>
      <c r="BM75" s="30">
        <f t="shared" si="63"/>
        <v>1.241695427</v>
      </c>
      <c r="BN75" s="216" t="str">
        <v>36Y</v>
      </c>
      <c r="BO75" s="349">
        <f t="shared" si="64"/>
        <v>1.1753930500000001</v>
      </c>
      <c r="BP75" s="137" t="str">
        <v>25Y</v>
      </c>
      <c r="BQ75" s="349">
        <f t="shared" si="65"/>
        <v>1.0269999999999999</v>
      </c>
      <c r="BR75" s="137" t="str">
        <v>30Y</v>
      </c>
      <c r="BS75" s="349">
        <f t="shared" si="66"/>
        <v>1.0569999999999999</v>
      </c>
      <c r="CS75" s="332"/>
      <c r="CT75" s="366" t="s">
        <v>4058</v>
      </c>
      <c r="CU75" s="307" t="s">
        <v>208</v>
      </c>
      <c r="CV75" s="307" t="s">
        <v>4059</v>
      </c>
      <c r="CW75" s="366" t="s">
        <v>3</v>
      </c>
      <c r="CX75" s="307">
        <v>-0.37084018800000002</v>
      </c>
      <c r="CY75" s="307">
        <v>-0.37084018800000002</v>
      </c>
      <c r="CZ75" s="307">
        <v>-0.37084018800000002</v>
      </c>
    </row>
    <row r="76" spans="1:104">
      <c r="A76" s="130" t="str">
        <v>37Y</v>
      </c>
      <c r="B76" s="206">
        <v>4</v>
      </c>
      <c r="C76" s="321" t="str">
        <v>27Y</v>
      </c>
      <c r="D76" s="415" t="str">
        <f t="shared" si="35"/>
        <v>27Y</v>
      </c>
      <c r="E76" s="360" t="e">
        <f>CHOOSE(NA(),
                       VLOOKUP(D76,[1]EUR6M!$E$2:$H$1000,4,FALSE),
                       VLOOKUP(D76,[1]EUR6M!$C$2:$H$1000,6,FALSE),
                       VLOOKUP(D76,[1]EUR6M!$B$2:$H$1000,7,FALSE),
                       VLOOKUP(D76,[1]EUR6M!$E$2:$H$1000,4,FALSE),
                       ""
                       )</f>
        <v>#N/A</v>
      </c>
      <c r="F76" s="361" t="e">
        <f t="shared" si="36"/>
        <v>#N/A</v>
      </c>
      <c r="G76" s="134">
        <v>1.1755861329999999</v>
      </c>
      <c r="H76" s="361">
        <f t="shared" si="37"/>
        <v>1.1755861329999999</v>
      </c>
      <c r="I76" s="362">
        <f t="shared" si="38"/>
        <v>1.1755861329999999</v>
      </c>
      <c r="M76" s="216" t="str">
        <v>31Y</v>
      </c>
      <c r="N76" s="324" t="str">
        <f t="shared" si="39"/>
        <v>31Y</v>
      </c>
      <c r="O76" s="134">
        <f>CHOOSE($B76,
                       VLOOKUP(N76,[2]EUR3M!$E$2:$H$1000,4,FALSE),
                       VLOOKUP(N76,[2]EUR3M!$C$2:$H$1000,6,FALSE),
                       VLOOKUP(N76,[2]EUR3M!$B$2:$H$1000,7,FALSE),
                       VLOOKUP(N76,[2]EUR3M!$E$2:$H$1000,4,FALSE),
                       ""
                       )</f>
        <v>2.562900714</v>
      </c>
      <c r="P76" s="173">
        <f t="shared" si="40"/>
        <v>2.562900714</v>
      </c>
      <c r="Q76" s="134" t="s">
        <v>163</v>
      </c>
      <c r="R76" s="130" t="b">
        <f t="shared" si="41"/>
        <v>0</v>
      </c>
      <c r="S76" s="134">
        <v>1.1310174369999999</v>
      </c>
      <c r="T76" s="173">
        <f t="shared" si="42"/>
        <v>1.1310174369999999</v>
      </c>
      <c r="U76" s="219">
        <f t="shared" si="43"/>
        <v>1.1310174369999999</v>
      </c>
      <c r="W76" s="216" t="str">
        <v>28Y</v>
      </c>
      <c r="X76" s="324" t="str">
        <f t="shared" si="44"/>
        <v>28Y</v>
      </c>
      <c r="Y76" s="134" t="e">
        <f xml:space="preserve"> CHOOSE(NA(),
                       VLOOKUP(X76,[3]EUR1Y!$E$2:$H$1000,4,FALSE),
                       VLOOKUP(X76,[3]EUR1Y!$C$2:$H$1000,6,FALSE),
                       VLOOKUP(X76,[3]EUR1Y!$B$2:$H$1000,7,FALSE),
                       VLOOKUP(X76,[3]EUR1Y!$E$2:$H$1000,4,FALSE),
                       ""
                       )</f>
        <v>#N/A</v>
      </c>
      <c r="Z76" s="173" t="e">
        <f t="shared" si="45"/>
        <v>#N/A</v>
      </c>
      <c r="AA76" s="134">
        <v>1.242589422</v>
      </c>
      <c r="AB76" s="173">
        <f t="shared" si="46"/>
        <v>1.242589422</v>
      </c>
      <c r="AC76" s="219">
        <f t="shared" si="47"/>
        <v>1.242589422</v>
      </c>
      <c r="AE76" s="216" t="str">
        <v>37Y</v>
      </c>
      <c r="AF76" s="324" t="str">
        <f t="shared" si="48"/>
        <v>37Y</v>
      </c>
      <c r="AG76" s="134">
        <f>CHOOSE($B76,
                       VLOOKUP(AF76,[4]EURStd!$E$2:$H$1000,4,FALSE),
                       VLOOKUP(AF76,[4]EURStd!$C$2:$H$1000,6,FALSE),
                       VLOOKUP(AF76,[4]EURStd!$B$2:$H$1000,7,FALSE),
                       VLOOKUP(AF76,[4]EURStd!$E$2:$H$1000,4,FALSE),
                       ""
                       )</f>
        <v>2.6472393169999999</v>
      </c>
      <c r="AH76" s="173">
        <f t="shared" si="49"/>
        <v>2.6472393169999999</v>
      </c>
      <c r="AI76" s="134">
        <v>1.1753930500000001</v>
      </c>
      <c r="AJ76" s="173">
        <f t="shared" si="50"/>
        <v>1.1753930500000001</v>
      </c>
      <c r="AK76" s="219">
        <f t="shared" si="51"/>
        <v>1.1753930500000001</v>
      </c>
      <c r="AM76" s="137" t="str">
        <v>26Y</v>
      </c>
      <c r="AN76" s="324" t="str">
        <f t="shared" si="34"/>
        <v>26Y</v>
      </c>
      <c r="AO76" s="134">
        <f>VLOOKUP(AN76,'[5]EUR-OIS'!$E$2:$H$1000,4,FALSE)</f>
        <v>2.403</v>
      </c>
      <c r="AP76" s="173">
        <f t="shared" si="52"/>
        <v>2.403</v>
      </c>
      <c r="AQ76" s="134">
        <v>1.0333738050000001</v>
      </c>
      <c r="AR76" s="173">
        <f t="shared" si="53"/>
        <v>1.0333738050000001</v>
      </c>
      <c r="AS76" s="219">
        <f t="shared" si="54"/>
        <v>1.0333738050000001</v>
      </c>
      <c r="AU76" s="137" t="str">
        <v>31Y</v>
      </c>
      <c r="AV76" s="144" t="str">
        <f t="shared" si="55"/>
        <v>31Y</v>
      </c>
      <c r="AW76" s="144">
        <f>VLOOKUP(AV76,[6]EURFIX1RM!$E$2:$H$1009,4,FALSE)</f>
        <v>2.4833897550000001</v>
      </c>
      <c r="AX76" s="173">
        <f t="shared" si="56"/>
        <v>2.4833897550000001</v>
      </c>
      <c r="AY76" s="134">
        <v>1.0602025159999999</v>
      </c>
      <c r="AZ76" s="173">
        <f t="shared" si="57"/>
        <v>1.0602025159999999</v>
      </c>
      <c r="BA76" s="219">
        <f t="shared" si="58"/>
        <v>1.0602025159999999</v>
      </c>
      <c r="BD76" s="321" t="str">
        <v>27Y</v>
      </c>
      <c r="BE76" s="348">
        <f t="shared" si="59"/>
        <v>1.1755861329999999</v>
      </c>
      <c r="BF76" s="321" t="str">
        <v>28Y</v>
      </c>
      <c r="BG76" s="426" t="b">
        <f t="shared" si="60"/>
        <v>0</v>
      </c>
      <c r="BH76" s="426" t="b">
        <f t="shared" si="67"/>
        <v>1</v>
      </c>
      <c r="BI76" s="426" t="b">
        <f t="shared" si="61"/>
        <v>1</v>
      </c>
      <c r="BJ76" s="426" t="str">
        <v>31Y</v>
      </c>
      <c r="BK76" s="30">
        <f t="shared" si="62"/>
        <v>1.1310174369999999</v>
      </c>
      <c r="BL76" s="321" t="str">
        <v>28Y</v>
      </c>
      <c r="BM76" s="30">
        <f t="shared" si="63"/>
        <v>1.242589422</v>
      </c>
      <c r="BN76" s="216" t="str">
        <v>37Y</v>
      </c>
      <c r="BO76" s="349">
        <f t="shared" si="64"/>
        <v>1.1733906919999999</v>
      </c>
      <c r="BP76" s="137" t="str">
        <v>26Y</v>
      </c>
      <c r="BQ76" s="349">
        <f t="shared" si="65"/>
        <v>1.0333738050000001</v>
      </c>
      <c r="BR76" s="137" t="str">
        <v>31Y</v>
      </c>
      <c r="BS76" s="349">
        <f t="shared" si="66"/>
        <v>1.0602025159999999</v>
      </c>
      <c r="CS76" s="332"/>
      <c r="CT76" s="366" t="s">
        <v>4060</v>
      </c>
      <c r="CU76" s="307" t="s">
        <v>208</v>
      </c>
      <c r="CV76" s="307" t="s">
        <v>4059</v>
      </c>
      <c r="CW76" s="366" t="s">
        <v>4</v>
      </c>
      <c r="CX76" s="307">
        <v>-0.37070032600000002</v>
      </c>
      <c r="CY76" s="307">
        <v>-0.37070032600000002</v>
      </c>
      <c r="CZ76" s="307">
        <v>-0.37070032600000002</v>
      </c>
    </row>
    <row r="77" spans="1:104">
      <c r="A77" s="130" t="str">
        <v>38Y</v>
      </c>
      <c r="B77" s="206">
        <v>4</v>
      </c>
      <c r="C77" s="321" t="str">
        <v>28Y</v>
      </c>
      <c r="D77" s="415" t="str">
        <f t="shared" si="35"/>
        <v>28Y</v>
      </c>
      <c r="E77" s="360" t="e">
        <f>CHOOSE(NA(),
                       VLOOKUP(D77,[1]EUR6M!$E$2:$H$1000,4,FALSE),
                       VLOOKUP(D77,[1]EUR6M!$C$2:$H$1000,6,FALSE),
                       VLOOKUP(D77,[1]EUR6M!$B$2:$H$1000,7,FALSE),
                       VLOOKUP(D77,[1]EUR6M!$E$2:$H$1000,4,FALSE),
                       ""
                       )</f>
        <v>#N/A</v>
      </c>
      <c r="F77" s="361" t="e">
        <f t="shared" si="36"/>
        <v>#N/A</v>
      </c>
      <c r="G77" s="134">
        <v>1.178685142</v>
      </c>
      <c r="H77" s="361">
        <f t="shared" si="37"/>
        <v>1.178685142</v>
      </c>
      <c r="I77" s="362">
        <f t="shared" si="38"/>
        <v>1.178685142</v>
      </c>
      <c r="M77" s="216" t="str">
        <v>32Y</v>
      </c>
      <c r="N77" s="324" t="str">
        <f t="shared" si="39"/>
        <v>32Y</v>
      </c>
      <c r="O77" s="134">
        <f>CHOOSE($B77,
                       VLOOKUP(N77,[2]EUR3M!$E$2:$H$1000,4,FALSE),
                       VLOOKUP(N77,[2]EUR3M!$C$2:$H$1000,6,FALSE),
                       VLOOKUP(N77,[2]EUR3M!$B$2:$H$1000,7,FALSE),
                       VLOOKUP(N77,[2]EUR3M!$E$2:$H$1000,4,FALSE),
                       ""
                       )</f>
        <v>2.5654874909999998</v>
      </c>
      <c r="P77" s="173">
        <f t="shared" si="40"/>
        <v>2.5654874909999998</v>
      </c>
      <c r="Q77" s="134" t="s">
        <v>164</v>
      </c>
      <c r="R77" s="130" t="b">
        <f t="shared" si="41"/>
        <v>0</v>
      </c>
      <c r="S77" s="134">
        <v>1.1326563569999999</v>
      </c>
      <c r="T77" s="173">
        <f t="shared" si="42"/>
        <v>1.1326563569999999</v>
      </c>
      <c r="U77" s="219">
        <f t="shared" si="43"/>
        <v>1.1326563569999999</v>
      </c>
      <c r="W77" s="216" t="str">
        <v>29Y</v>
      </c>
      <c r="X77" s="324" t="str">
        <f t="shared" si="44"/>
        <v>29Y</v>
      </c>
      <c r="Y77" s="134" t="e">
        <f xml:space="preserve"> CHOOSE(NA(),
                       VLOOKUP(X77,[3]EUR1Y!$E$2:$H$1000,4,FALSE),
                       VLOOKUP(X77,[3]EUR1Y!$C$2:$H$1000,6,FALSE),
                       VLOOKUP(X77,[3]EUR1Y!$B$2:$H$1000,7,FALSE),
                       VLOOKUP(X77,[3]EUR1Y!$E$2:$H$1000,4,FALSE),
                       ""
                       )</f>
        <v>#N/A</v>
      </c>
      <c r="Z77" s="173" t="e">
        <f t="shared" si="45"/>
        <v>#N/A</v>
      </c>
      <c r="AA77" s="134">
        <v>1.242991958</v>
      </c>
      <c r="AB77" s="173">
        <f t="shared" si="46"/>
        <v>1.242991958</v>
      </c>
      <c r="AC77" s="219">
        <f t="shared" si="47"/>
        <v>1.242991958</v>
      </c>
      <c r="AE77" s="216" t="str">
        <v>38Y</v>
      </c>
      <c r="AF77" s="324" t="str">
        <f t="shared" si="48"/>
        <v>38Y</v>
      </c>
      <c r="AG77" s="134">
        <f>CHOOSE($B77,
                       VLOOKUP(AF77,[4]EURStd!$E$2:$H$1000,4,FALSE),
                       VLOOKUP(AF77,[4]EURStd!$C$2:$H$1000,6,FALSE),
                       VLOOKUP(AF77,[4]EURStd!$B$2:$H$1000,7,FALSE),
                       VLOOKUP(AF77,[4]EURStd!$E$2:$H$1000,4,FALSE),
                       ""
                       )</f>
        <v>2.652127347</v>
      </c>
      <c r="AH77" s="173">
        <f t="shared" si="49"/>
        <v>2.652127347</v>
      </c>
      <c r="AI77" s="134">
        <v>1.1733906919999999</v>
      </c>
      <c r="AJ77" s="173">
        <f t="shared" si="50"/>
        <v>1.1733906919999999</v>
      </c>
      <c r="AK77" s="219">
        <f t="shared" si="51"/>
        <v>1.1733906919999999</v>
      </c>
      <c r="AM77" s="137" t="str">
        <v>27Y</v>
      </c>
      <c r="AN77" s="324" t="str">
        <f t="shared" si="34"/>
        <v>27Y</v>
      </c>
      <c r="AO77" s="134">
        <f>VLOOKUP(AN77,'[5]EUR-OIS'!$E$2:$H$1000,4,FALSE)</f>
        <v>2.4060000000000001</v>
      </c>
      <c r="AP77" s="173">
        <f t="shared" si="52"/>
        <v>2.4060000000000001</v>
      </c>
      <c r="AQ77" s="134">
        <v>1.0389821749999999</v>
      </c>
      <c r="AR77" s="173">
        <f t="shared" si="53"/>
        <v>1.0389821749999999</v>
      </c>
      <c r="AS77" s="219">
        <f t="shared" si="54"/>
        <v>1.0389821749999999</v>
      </c>
      <c r="AU77" s="137" t="str">
        <v>32Y</v>
      </c>
      <c r="AV77" s="144" t="str">
        <f t="shared" si="55"/>
        <v>32Y</v>
      </c>
      <c r="AW77" s="144">
        <f>VLOOKUP(AV77,[6]EURFIX1RM!$E$2:$H$1009,4,FALSE)</f>
        <v>2.4873406089999999</v>
      </c>
      <c r="AX77" s="173">
        <f t="shared" si="56"/>
        <v>2.4873406089999999</v>
      </c>
      <c r="AY77" s="134">
        <v>1.062955541</v>
      </c>
      <c r="AZ77" s="173">
        <f t="shared" si="57"/>
        <v>1.062955541</v>
      </c>
      <c r="BA77" s="219">
        <f t="shared" si="58"/>
        <v>1.062955541</v>
      </c>
      <c r="BD77" s="321" t="str">
        <v>28Y</v>
      </c>
      <c r="BE77" s="348">
        <f t="shared" si="59"/>
        <v>1.178685142</v>
      </c>
      <c r="BF77" s="321" t="str">
        <v>29Y</v>
      </c>
      <c r="BG77" s="426" t="b">
        <f t="shared" si="60"/>
        <v>0</v>
      </c>
      <c r="BH77" s="426" t="b">
        <f t="shared" si="67"/>
        <v>1</v>
      </c>
      <c r="BI77" s="426" t="b">
        <f t="shared" si="61"/>
        <v>1</v>
      </c>
      <c r="BJ77" s="426" t="str">
        <v>32Y</v>
      </c>
      <c r="BK77" s="30">
        <f t="shared" si="62"/>
        <v>1.1326563569999999</v>
      </c>
      <c r="BL77" s="321" t="str">
        <v>29Y</v>
      </c>
      <c r="BM77" s="30">
        <f t="shared" si="63"/>
        <v>1.242991958</v>
      </c>
      <c r="BN77" s="216" t="str">
        <v>38Y</v>
      </c>
      <c r="BO77" s="349">
        <f t="shared" si="64"/>
        <v>1.1710200079999999</v>
      </c>
      <c r="BP77" s="137" t="str">
        <v>27Y</v>
      </c>
      <c r="BQ77" s="349">
        <f t="shared" si="65"/>
        <v>1.0389821749999999</v>
      </c>
      <c r="BR77" s="137" t="str">
        <v>32Y</v>
      </c>
      <c r="BS77" s="349">
        <f t="shared" si="66"/>
        <v>1.062955541</v>
      </c>
      <c r="CS77" s="332"/>
      <c r="CT77" s="366" t="s">
        <v>4061</v>
      </c>
      <c r="CU77" s="307" t="s">
        <v>208</v>
      </c>
      <c r="CV77" s="307" t="s">
        <v>4059</v>
      </c>
      <c r="CW77" s="366" t="s">
        <v>23</v>
      </c>
      <c r="CX77" s="307">
        <v>-0.37056479599999997</v>
      </c>
      <c r="CY77" s="307">
        <v>-0.37056479599999997</v>
      </c>
      <c r="CZ77" s="307">
        <v>-0.37056479599999997</v>
      </c>
    </row>
    <row r="78" spans="1:104">
      <c r="A78" s="130" t="str">
        <v>39Y</v>
      </c>
      <c r="B78" s="206">
        <v>4</v>
      </c>
      <c r="C78" s="321" t="str">
        <v>29Y</v>
      </c>
      <c r="D78" s="415" t="str">
        <f t="shared" si="35"/>
        <v>29Y</v>
      </c>
      <c r="E78" s="360" t="e">
        <f>CHOOSE(NA(),
                       VLOOKUP(D78,[1]EUR6M!$E$2:$H$1000,4,FALSE),
                       VLOOKUP(D78,[1]EUR6M!$C$2:$H$1000,6,FALSE),
                       VLOOKUP(D78,[1]EUR6M!$B$2:$H$1000,7,FALSE),
                       VLOOKUP(D78,[1]EUR6M!$E$2:$H$1000,4,FALSE),
                       ""
                       )</f>
        <v>#N/A</v>
      </c>
      <c r="F78" s="361" t="e">
        <f t="shared" si="36"/>
        <v>#N/A</v>
      </c>
      <c r="G78" s="134">
        <v>1.1791316860000001</v>
      </c>
      <c r="H78" s="361">
        <f t="shared" si="37"/>
        <v>1.1791316860000001</v>
      </c>
      <c r="I78" s="362">
        <f t="shared" si="38"/>
        <v>1.1791316860000001</v>
      </c>
      <c r="M78" s="216" t="str">
        <v>33Y</v>
      </c>
      <c r="N78" s="324" t="str">
        <f t="shared" si="39"/>
        <v>33Y</v>
      </c>
      <c r="O78" s="134">
        <f>CHOOSE($B78,
                       VLOOKUP(N78,[2]EUR3M!$E$2:$H$1000,4,FALSE),
                       VLOOKUP(N78,[2]EUR3M!$C$2:$H$1000,6,FALSE),
                       VLOOKUP(N78,[2]EUR3M!$B$2:$H$1000,7,FALSE),
                       VLOOKUP(N78,[2]EUR3M!$E$2:$H$1000,4,FALSE),
                       ""
                       )</f>
        <v>2.5688355199999999</v>
      </c>
      <c r="P78" s="173">
        <f t="shared" si="40"/>
        <v>2.5688355199999999</v>
      </c>
      <c r="Q78" s="134" t="s">
        <v>165</v>
      </c>
      <c r="R78" s="130" t="b">
        <f t="shared" si="41"/>
        <v>0</v>
      </c>
      <c r="S78" s="134">
        <v>1.133723188</v>
      </c>
      <c r="T78" s="173">
        <f t="shared" si="42"/>
        <v>1.133723188</v>
      </c>
      <c r="U78" s="219">
        <f t="shared" si="43"/>
        <v>1.133723188</v>
      </c>
      <c r="W78" s="216" t="str">
        <v>30Y</v>
      </c>
      <c r="X78" s="324" t="str">
        <f t="shared" si="44"/>
        <v>30Y</v>
      </c>
      <c r="Y78" s="134" t="e">
        <f xml:space="preserve"> CHOOSE(NA(),
                       VLOOKUP(X78,[3]EUR1Y!$E$2:$H$1000,4,FALSE),
                       VLOOKUP(X78,[3]EUR1Y!$C$2:$H$1000,6,FALSE),
                       VLOOKUP(X78,[3]EUR1Y!$B$2:$H$1000,7,FALSE),
                       VLOOKUP(X78,[3]EUR1Y!$E$2:$H$1000,4,FALSE),
                       ""
                       )</f>
        <v>#N/A</v>
      </c>
      <c r="Z78" s="173" t="e">
        <f t="shared" si="45"/>
        <v>#N/A</v>
      </c>
      <c r="AA78" s="134">
        <v>1.2430000000000001</v>
      </c>
      <c r="AB78" s="173">
        <f t="shared" si="46"/>
        <v>1.2430000000000001</v>
      </c>
      <c r="AC78" s="219">
        <f t="shared" si="47"/>
        <v>1.2430000000000001</v>
      </c>
      <c r="AE78" s="216" t="str">
        <v>39Y</v>
      </c>
      <c r="AF78" s="324" t="str">
        <f t="shared" si="48"/>
        <v>39Y</v>
      </c>
      <c r="AG78" s="134">
        <f>CHOOSE($B78,
                       VLOOKUP(AF78,[4]EURStd!$E$2:$H$1000,4,FALSE),
                       VLOOKUP(AF78,[4]EURStd!$C$2:$H$1000,6,FALSE),
                       VLOOKUP(AF78,[4]EURStd!$B$2:$H$1000,7,FALSE),
                       VLOOKUP(AF78,[4]EURStd!$E$2:$H$1000,4,FALSE),
                       ""
                       )</f>
        <v>2.657168521</v>
      </c>
      <c r="AH78" s="173">
        <f t="shared" si="49"/>
        <v>2.657168521</v>
      </c>
      <c r="AI78" s="134">
        <v>1.1710200079999999</v>
      </c>
      <c r="AJ78" s="173">
        <f t="shared" si="50"/>
        <v>1.1710200079999999</v>
      </c>
      <c r="AK78" s="219">
        <f t="shared" si="51"/>
        <v>1.1710200079999999</v>
      </c>
      <c r="AM78" s="137" t="str">
        <v>28Y</v>
      </c>
      <c r="AN78" s="324" t="str">
        <f t="shared" si="34"/>
        <v>28Y</v>
      </c>
      <c r="AO78" s="134">
        <f>VLOOKUP(AN78,'[5]EUR-OIS'!$E$2:$H$1000,4,FALSE)</f>
        <v>2.4079999999999999</v>
      </c>
      <c r="AP78" s="173">
        <f t="shared" si="52"/>
        <v>2.4079999999999999</v>
      </c>
      <c r="AQ78" s="134">
        <v>1.043915505</v>
      </c>
      <c r="AR78" s="173">
        <f t="shared" si="53"/>
        <v>1.043915505</v>
      </c>
      <c r="AS78" s="219">
        <f t="shared" si="54"/>
        <v>1.043915505</v>
      </c>
      <c r="AU78" s="137" t="str">
        <v>33Y</v>
      </c>
      <c r="AV78" s="144" t="str">
        <f t="shared" si="55"/>
        <v>33Y</v>
      </c>
      <c r="AW78" s="144">
        <f>VLOOKUP(AV78,[6]EURFIX1RM!$E$2:$H$1009,4,FALSE)</f>
        <v>2.4919548489999999</v>
      </c>
      <c r="AX78" s="173">
        <f t="shared" si="56"/>
        <v>2.4919548489999999</v>
      </c>
      <c r="AY78" s="134">
        <v>1.0650691400000001</v>
      </c>
      <c r="AZ78" s="173">
        <f t="shared" si="57"/>
        <v>1.0650691400000001</v>
      </c>
      <c r="BA78" s="219">
        <f t="shared" si="58"/>
        <v>1.0650691400000001</v>
      </c>
      <c r="BD78" s="321" t="str">
        <v>29Y</v>
      </c>
      <c r="BE78" s="348">
        <f t="shared" si="59"/>
        <v>1.1791316860000001</v>
      </c>
      <c r="BF78" s="321" t="str">
        <v>30Y</v>
      </c>
      <c r="BG78" s="426" t="b">
        <f t="shared" si="60"/>
        <v>0</v>
      </c>
      <c r="BH78" s="426" t="b">
        <f t="shared" si="67"/>
        <v>1</v>
      </c>
      <c r="BI78" s="426" t="b">
        <f t="shared" si="61"/>
        <v>1</v>
      </c>
      <c r="BJ78" s="426" t="str">
        <v>33Y</v>
      </c>
      <c r="BK78" s="30">
        <f t="shared" si="62"/>
        <v>1.133723188</v>
      </c>
      <c r="BL78" s="321" t="str">
        <v>30Y</v>
      </c>
      <c r="BM78" s="30">
        <f t="shared" si="63"/>
        <v>1.2430000000000001</v>
      </c>
      <c r="BN78" s="216" t="str">
        <v>39Y</v>
      </c>
      <c r="BO78" s="349">
        <f t="shared" si="64"/>
        <v>1.1682294879999999</v>
      </c>
      <c r="BP78" s="137" t="str">
        <v>28Y</v>
      </c>
      <c r="BQ78" s="349">
        <f t="shared" si="65"/>
        <v>1.043915505</v>
      </c>
      <c r="BR78" s="137" t="str">
        <v>33Y</v>
      </c>
      <c r="BS78" s="349">
        <f t="shared" si="66"/>
        <v>1.0650691400000001</v>
      </c>
      <c r="CS78" s="332"/>
      <c r="CT78" s="366" t="s">
        <v>4062</v>
      </c>
      <c r="CU78" s="307" t="s">
        <v>208</v>
      </c>
      <c r="CV78" s="307" t="s">
        <v>4059</v>
      </c>
      <c r="CW78" s="366" t="s">
        <v>5</v>
      </c>
      <c r="CX78" s="307">
        <v>-0.36959999999999998</v>
      </c>
      <c r="CY78" s="307">
        <v>-0.36959999999999998</v>
      </c>
      <c r="CZ78" s="307">
        <v>-0.36959999999999998</v>
      </c>
    </row>
    <row r="79" spans="1:104">
      <c r="A79" s="130" t="str">
        <v>40Y</v>
      </c>
      <c r="B79" s="206">
        <v>4</v>
      </c>
      <c r="C79" s="321" t="str">
        <v>30Y</v>
      </c>
      <c r="D79" s="415" t="str">
        <f t="shared" si="35"/>
        <v>30Y</v>
      </c>
      <c r="E79" s="360" t="e">
        <f>CHOOSE(NA(),
                       VLOOKUP(D79,[1]EUR6M!$E$2:$H$1000,4,FALSE),
                       VLOOKUP(D79,[1]EUR6M!$C$2:$H$1000,6,FALSE),
                       VLOOKUP(D79,[1]EUR6M!$B$2:$H$1000,7,FALSE),
                       VLOOKUP(D79,[1]EUR6M!$E$2:$H$1000,4,FALSE),
                       ""
                       )</f>
        <v>#N/A</v>
      </c>
      <c r="F79" s="361" t="e">
        <f t="shared" si="36"/>
        <v>#N/A</v>
      </c>
      <c r="G79" s="134">
        <v>1.18</v>
      </c>
      <c r="H79" s="361">
        <f t="shared" si="37"/>
        <v>1.18</v>
      </c>
      <c r="I79" s="362">
        <f t="shared" si="38"/>
        <v>1.18</v>
      </c>
      <c r="M79" s="216" t="str">
        <v>34Y</v>
      </c>
      <c r="N79" s="324" t="str">
        <f t="shared" si="39"/>
        <v>34Y</v>
      </c>
      <c r="O79" s="134">
        <f>CHOOSE($B79,
                       VLOOKUP(N79,[2]EUR3M!$E$2:$H$1000,4,FALSE),
                       VLOOKUP(N79,[2]EUR3M!$C$2:$H$1000,6,FALSE),
                       VLOOKUP(N79,[2]EUR3M!$B$2:$H$1000,7,FALSE),
                       VLOOKUP(N79,[2]EUR3M!$E$2:$H$1000,4,FALSE),
                       ""
                       )</f>
        <v>2.5728530090000001</v>
      </c>
      <c r="P79" s="173">
        <f t="shared" si="40"/>
        <v>2.5728530090000001</v>
      </c>
      <c r="Q79" s="134" t="s">
        <v>166</v>
      </c>
      <c r="R79" s="130" t="b">
        <f t="shared" si="41"/>
        <v>0</v>
      </c>
      <c r="S79" s="134">
        <v>1.134284367</v>
      </c>
      <c r="T79" s="173">
        <f t="shared" si="42"/>
        <v>1.134284367</v>
      </c>
      <c r="U79" s="219">
        <f t="shared" si="43"/>
        <v>1.134284367</v>
      </c>
      <c r="W79" s="216" t="str">
        <v>31Y</v>
      </c>
      <c r="X79" s="324" t="str">
        <f t="shared" si="44"/>
        <v>31Y</v>
      </c>
      <c r="Y79" s="134" t="e">
        <f xml:space="preserve"> CHOOSE(NA(),
                       VLOOKUP(X79,[3]EUR1Y!$E$2:$H$1000,4,FALSE),
                       VLOOKUP(X79,[3]EUR1Y!$C$2:$H$1000,6,FALSE),
                       VLOOKUP(X79,[3]EUR1Y!$B$2:$H$1000,7,FALSE),
                       VLOOKUP(X79,[3]EUR1Y!$E$2:$H$1000,4,FALSE),
                       ""
                       )</f>
        <v>#N/A</v>
      </c>
      <c r="Z79" s="173" t="e">
        <f t="shared" si="45"/>
        <v>#N/A</v>
      </c>
      <c r="AA79" s="134">
        <v>1.242605669</v>
      </c>
      <c r="AB79" s="173">
        <f t="shared" si="46"/>
        <v>1.242605669</v>
      </c>
      <c r="AC79" s="219">
        <f t="shared" si="47"/>
        <v>1.242605669</v>
      </c>
      <c r="AE79" s="216" t="str">
        <v>40Y</v>
      </c>
      <c r="AF79" s="324" t="str">
        <f t="shared" si="48"/>
        <v>40Y</v>
      </c>
      <c r="AG79" s="134">
        <f>CHOOSE($B79,
                       VLOOKUP(AF79,[4]EURStd!$E$2:$H$1000,4,FALSE),
                       VLOOKUP(AF79,[4]EURStd!$C$2:$H$1000,6,FALSE),
                       VLOOKUP(AF79,[4]EURStd!$B$2:$H$1000,7,FALSE),
                       VLOOKUP(AF79,[4]EURStd!$E$2:$H$1000,4,FALSE),
                       ""
                       )</f>
        <v>2.6619999999999999</v>
      </c>
      <c r="AH79" s="173">
        <f t="shared" si="49"/>
        <v>2.6619999999999999</v>
      </c>
      <c r="AI79" s="134">
        <v>1.1682294879999999</v>
      </c>
      <c r="AJ79" s="173">
        <f t="shared" si="50"/>
        <v>1.1682294879999999</v>
      </c>
      <c r="AK79" s="219">
        <f t="shared" si="51"/>
        <v>1.1682294879999999</v>
      </c>
      <c r="AM79" s="137" t="str">
        <v>29Y</v>
      </c>
      <c r="AN79" s="324" t="str">
        <f t="shared" si="34"/>
        <v>29Y</v>
      </c>
      <c r="AO79" s="134">
        <f>VLOOKUP(AN79,'[5]EUR-OIS'!$E$2:$H$1000,4,FALSE)</f>
        <v>2.411</v>
      </c>
      <c r="AP79" s="173">
        <f t="shared" si="52"/>
        <v>2.411</v>
      </c>
      <c r="AQ79" s="134">
        <v>1.048244714</v>
      </c>
      <c r="AR79" s="173">
        <f t="shared" si="53"/>
        <v>1.048244714</v>
      </c>
      <c r="AS79" s="219">
        <f t="shared" si="54"/>
        <v>1.048244714</v>
      </c>
      <c r="AU79" s="137" t="str">
        <v>34Y</v>
      </c>
      <c r="AV79" s="144" t="str">
        <f t="shared" si="55"/>
        <v>34Y</v>
      </c>
      <c r="AW79" s="144">
        <f>VLOOKUP(AV79,[6]EURFIX1RM!$E$2:$H$1009,4,FALSE)</f>
        <v>2.4971507489999998</v>
      </c>
      <c r="AX79" s="173">
        <f t="shared" si="56"/>
        <v>2.4971507489999998</v>
      </c>
      <c r="AY79" s="134">
        <v>1.0666110280000001</v>
      </c>
      <c r="AZ79" s="173">
        <f t="shared" si="57"/>
        <v>1.0666110280000001</v>
      </c>
      <c r="BA79" s="219">
        <f t="shared" si="58"/>
        <v>1.0666110280000001</v>
      </c>
      <c r="BD79" s="321" t="str">
        <v>30Y</v>
      </c>
      <c r="BE79" s="348">
        <f t="shared" si="59"/>
        <v>1.18</v>
      </c>
      <c r="BF79" s="321" t="str">
        <v>31Y</v>
      </c>
      <c r="BG79" s="426" t="b">
        <f t="shared" si="60"/>
        <v>0</v>
      </c>
      <c r="BH79" s="426" t="b">
        <f t="shared" si="67"/>
        <v>1</v>
      </c>
      <c r="BI79" s="426" t="b">
        <f t="shared" si="61"/>
        <v>1</v>
      </c>
      <c r="BJ79" s="426" t="str">
        <v>34Y</v>
      </c>
      <c r="BK79" s="30">
        <f t="shared" si="62"/>
        <v>1.134284367</v>
      </c>
      <c r="BL79" s="321" t="str">
        <v>31Y</v>
      </c>
      <c r="BM79" s="30">
        <f t="shared" si="63"/>
        <v>1.242605669</v>
      </c>
      <c r="BN79" s="216" t="str">
        <v>40Y</v>
      </c>
      <c r="BO79" s="349">
        <f t="shared" si="64"/>
        <v>1.165</v>
      </c>
      <c r="BP79" s="137" t="str">
        <v>29Y</v>
      </c>
      <c r="BQ79" s="349">
        <f t="shared" si="65"/>
        <v>1.048244714</v>
      </c>
      <c r="BR79" s="137" t="str">
        <v>34Y</v>
      </c>
      <c r="BS79" s="349">
        <f t="shared" si="66"/>
        <v>1.0666110280000001</v>
      </c>
      <c r="CS79" s="332"/>
      <c r="CT79" s="366" t="s">
        <v>4063</v>
      </c>
      <c r="CU79" s="307" t="s">
        <v>208</v>
      </c>
      <c r="CV79" s="307" t="s">
        <v>4059</v>
      </c>
      <c r="CW79" s="366" t="s">
        <v>6</v>
      </c>
      <c r="CX79" s="307">
        <v>-0.36849999999999999</v>
      </c>
      <c r="CY79" s="307">
        <v>-0.36849999999999999</v>
      </c>
      <c r="CZ79" s="307">
        <v>-0.36849999999999999</v>
      </c>
    </row>
    <row r="80" spans="1:104">
      <c r="A80" s="130" t="str">
        <v>50Y</v>
      </c>
      <c r="B80" s="206">
        <v>4</v>
      </c>
      <c r="C80" s="321" t="str">
        <v>31Y</v>
      </c>
      <c r="D80" s="415" t="str">
        <f t="shared" si="35"/>
        <v>31Y</v>
      </c>
      <c r="E80" s="360" t="e">
        <f>CHOOSE(NA(),
                       VLOOKUP(D80,[1]EUR6M!$E$2:$H$1000,4,FALSE),
                       VLOOKUP(D80,[1]EUR6M!$C$2:$H$1000,6,FALSE),
                       VLOOKUP(D80,[1]EUR6M!$B$2:$H$1000,7,FALSE),
                       VLOOKUP(D80,[1]EUR6M!$E$2:$H$1000,4,FALSE),
                       ""
                       )</f>
        <v>#N/A</v>
      </c>
      <c r="F80" s="361" t="e">
        <f t="shared" si="36"/>
        <v>#N/A</v>
      </c>
      <c r="G80" s="134">
        <v>1.18029864</v>
      </c>
      <c r="H80" s="361">
        <f t="shared" si="37"/>
        <v>1.18029864</v>
      </c>
      <c r="I80" s="362">
        <f t="shared" si="38"/>
        <v>1.18029864</v>
      </c>
      <c r="M80" s="216" t="str">
        <v>35Y</v>
      </c>
      <c r="N80" s="324" t="str">
        <f t="shared" si="39"/>
        <v>35Y</v>
      </c>
      <c r="O80" s="134">
        <f>CHOOSE($B80,
                       VLOOKUP(N80,[2]EUR3M!$E$2:$H$1000,4,FALSE),
                       VLOOKUP(N80,[2]EUR3M!$C$2:$H$1000,6,FALSE),
                       VLOOKUP(N80,[2]EUR3M!$B$2:$H$1000,7,FALSE),
                       VLOOKUP(N80,[2]EUR3M!$E$2:$H$1000,4,FALSE),
                       ""
                       )</f>
        <v>2.5775999999999999</v>
      </c>
      <c r="P80" s="173">
        <f t="shared" si="40"/>
        <v>2.5775999999999999</v>
      </c>
      <c r="Q80" s="134" t="s">
        <v>167</v>
      </c>
      <c r="R80" s="130" t="b">
        <f t="shared" si="41"/>
        <v>0</v>
      </c>
      <c r="S80" s="134">
        <v>1.134317727</v>
      </c>
      <c r="T80" s="173">
        <f t="shared" si="42"/>
        <v>1.134317727</v>
      </c>
      <c r="U80" s="219">
        <f t="shared" si="43"/>
        <v>1.134317727</v>
      </c>
      <c r="W80" s="216" t="str">
        <v>32Y</v>
      </c>
      <c r="X80" s="324" t="str">
        <f t="shared" si="44"/>
        <v>32Y</v>
      </c>
      <c r="Y80" s="134" t="e">
        <f xml:space="preserve"> CHOOSE(NA(),
                       VLOOKUP(X80,[3]EUR1Y!$E$2:$H$1000,4,FALSE),
                       VLOOKUP(X80,[3]EUR1Y!$C$2:$H$1000,6,FALSE),
                       VLOOKUP(X80,[3]EUR1Y!$B$2:$H$1000,7,FALSE),
                       VLOOKUP(X80,[3]EUR1Y!$E$2:$H$1000,4,FALSE),
                       ""
                       )</f>
        <v>#N/A</v>
      </c>
      <c r="Z80" s="173" t="e">
        <f t="shared" si="45"/>
        <v>#N/A</v>
      </c>
      <c r="AA80" s="134">
        <v>1.241878152</v>
      </c>
      <c r="AB80" s="173">
        <f t="shared" si="46"/>
        <v>1.241878152</v>
      </c>
      <c r="AC80" s="219">
        <f t="shared" si="47"/>
        <v>1.241878152</v>
      </c>
      <c r="AE80" s="216" t="str">
        <v>50Y</v>
      </c>
      <c r="AF80" s="324" t="str">
        <f t="shared" si="48"/>
        <v>50Y</v>
      </c>
      <c r="AG80" s="134">
        <f>CHOOSE($B80,
                       VLOOKUP(AF80,[4]EURStd!$E$2:$H$1000,4,FALSE),
                       VLOOKUP(AF80,[4]EURStd!$C$2:$H$1000,6,FALSE),
                       VLOOKUP(AF80,[4]EURStd!$B$2:$H$1000,7,FALSE),
                       VLOOKUP(AF80,[4]EURStd!$E$2:$H$1000,4,FALSE),
                       ""
                       )</f>
        <v>2.702</v>
      </c>
      <c r="AH80" s="173">
        <f t="shared" si="49"/>
        <v>2.702</v>
      </c>
      <c r="AI80" s="134">
        <v>1.165</v>
      </c>
      <c r="AJ80" s="173">
        <f t="shared" si="50"/>
        <v>1.165</v>
      </c>
      <c r="AK80" s="219">
        <f t="shared" si="51"/>
        <v>1.165</v>
      </c>
      <c r="AM80" s="137" t="str">
        <v>30Y</v>
      </c>
      <c r="AN80" s="324" t="str">
        <f t="shared" si="34"/>
        <v>30Y</v>
      </c>
      <c r="AO80" s="134">
        <f>VLOOKUP(AN80,'[5]EUR-OIS'!$E$2:$H$1000,4,FALSE)</f>
        <v>2.4140000000000001</v>
      </c>
      <c r="AP80" s="173">
        <f t="shared" si="52"/>
        <v>2.4140000000000001</v>
      </c>
      <c r="AQ80" s="134">
        <v>1.052</v>
      </c>
      <c r="AR80" s="173">
        <f t="shared" si="53"/>
        <v>1.052</v>
      </c>
      <c r="AS80" s="219">
        <f t="shared" si="54"/>
        <v>1.052</v>
      </c>
      <c r="AU80" s="137" t="str">
        <v>35Y</v>
      </c>
      <c r="AV80" s="144" t="str">
        <f t="shared" si="55"/>
        <v>35Y</v>
      </c>
      <c r="AW80" s="144">
        <f>VLOOKUP(AV80,[6]EURFIX1RM!$E$2:$H$1009,4,FALSE)</f>
        <v>2.5030000000000001</v>
      </c>
      <c r="AX80" s="173">
        <f t="shared" si="56"/>
        <v>2.5030000000000001</v>
      </c>
      <c r="AY80" s="134">
        <v>1.0675671499999999</v>
      </c>
      <c r="AZ80" s="173">
        <f t="shared" si="57"/>
        <v>1.0675671499999999</v>
      </c>
      <c r="BA80" s="219">
        <f t="shared" si="58"/>
        <v>1.0675671499999999</v>
      </c>
      <c r="BD80" s="321" t="str">
        <v>31Y</v>
      </c>
      <c r="BE80" s="348">
        <f t="shared" si="59"/>
        <v>1.18029864</v>
      </c>
      <c r="BF80" s="321" t="str">
        <v>32Y</v>
      </c>
      <c r="BG80" s="426" t="b">
        <f t="shared" si="60"/>
        <v>0</v>
      </c>
      <c r="BH80" s="426" t="b">
        <f t="shared" si="67"/>
        <v>1</v>
      </c>
      <c r="BI80" s="426" t="b">
        <f t="shared" si="61"/>
        <v>1</v>
      </c>
      <c r="BJ80" s="426" t="str">
        <v>35Y</v>
      </c>
      <c r="BK80" s="30">
        <f t="shared" si="62"/>
        <v>1.134317727</v>
      </c>
      <c r="BL80" s="321" t="str">
        <v>32Y</v>
      </c>
      <c r="BM80" s="30">
        <f t="shared" si="63"/>
        <v>1.241878152</v>
      </c>
      <c r="BN80" s="216" t="str">
        <v>50Y</v>
      </c>
      <c r="BO80" s="349">
        <f t="shared" si="64"/>
        <v>1.111</v>
      </c>
      <c r="BP80" s="137" t="str">
        <v>30Y</v>
      </c>
      <c r="BQ80" s="349">
        <f t="shared" si="65"/>
        <v>1.052</v>
      </c>
      <c r="BR80" s="137" t="str">
        <v>35Y</v>
      </c>
      <c r="BS80" s="349">
        <f t="shared" si="66"/>
        <v>1.0675671499999999</v>
      </c>
      <c r="CS80" s="332"/>
      <c r="CT80" s="366" t="s">
        <v>4064</v>
      </c>
      <c r="CU80" s="307" t="s">
        <v>208</v>
      </c>
      <c r="CV80" s="307" t="s">
        <v>4059</v>
      </c>
      <c r="CW80" s="366" t="s">
        <v>24</v>
      </c>
      <c r="CX80" s="307">
        <v>-0.37019999999999997</v>
      </c>
      <c r="CY80" s="307">
        <v>-0.37019999999999997</v>
      </c>
      <c r="CZ80" s="307">
        <v>-0.37019999999999997</v>
      </c>
    </row>
    <row r="81" spans="1:104">
      <c r="A81" s="130" t="str">
        <v>60Y</v>
      </c>
      <c r="B81" s="206">
        <v>4</v>
      </c>
      <c r="C81" s="321" t="str">
        <v>32Y</v>
      </c>
      <c r="D81" s="415" t="str">
        <f t="shared" si="35"/>
        <v>32Y</v>
      </c>
      <c r="E81" s="360" t="e">
        <f>CHOOSE(NA(),
                       VLOOKUP(D81,[1]EUR6M!$E$2:$H$1000,4,FALSE),
                       VLOOKUP(D81,[1]EUR6M!$C$2:$H$1000,6,FALSE),
                       VLOOKUP(D81,[1]EUR6M!$B$2:$H$1000,7,FALSE),
                       VLOOKUP(D81,[1]EUR6M!$E$2:$H$1000,4,FALSE),
                       ""
                       )</f>
        <v>#N/A</v>
      </c>
      <c r="F81" s="361" t="e">
        <f t="shared" si="36"/>
        <v>#N/A</v>
      </c>
      <c r="G81" s="134">
        <v>1.1801586959999999</v>
      </c>
      <c r="H81" s="361">
        <f t="shared" si="37"/>
        <v>1.1801586959999999</v>
      </c>
      <c r="I81" s="362">
        <f t="shared" si="38"/>
        <v>1.1801586959999999</v>
      </c>
      <c r="M81" s="216" t="str">
        <v>36Y</v>
      </c>
      <c r="N81" s="324" t="str">
        <f t="shared" si="39"/>
        <v>36Y</v>
      </c>
      <c r="O81" s="134">
        <f>CHOOSE($B81,
                       VLOOKUP(N81,[2]EUR3M!$E$2:$H$1000,4,FALSE),
                       VLOOKUP(N81,[2]EUR3M!$C$2:$H$1000,6,FALSE),
                       VLOOKUP(N81,[2]EUR3M!$B$2:$H$1000,7,FALSE),
                       VLOOKUP(N81,[2]EUR3M!$E$2:$H$1000,4,FALSE),
                       ""
                       )</f>
        <v>2.582740201</v>
      </c>
      <c r="P81" s="173">
        <f t="shared" si="40"/>
        <v>2.582740201</v>
      </c>
      <c r="Q81" s="134" t="s">
        <v>168</v>
      </c>
      <c r="R81" s="130" t="b">
        <f t="shared" si="41"/>
        <v>0</v>
      </c>
      <c r="S81" s="134">
        <v>1.1338774739999999</v>
      </c>
      <c r="T81" s="173">
        <f t="shared" si="42"/>
        <v>1.1338774739999999</v>
      </c>
      <c r="U81" s="219">
        <f t="shared" si="43"/>
        <v>1.1338774739999999</v>
      </c>
      <c r="W81" s="216" t="str">
        <v>33Y</v>
      </c>
      <c r="X81" s="324" t="str">
        <f t="shared" si="44"/>
        <v>33Y</v>
      </c>
      <c r="Y81" s="134" t="e">
        <f xml:space="preserve"> CHOOSE(NA(),
                       VLOOKUP(X81,[3]EUR1Y!$E$2:$H$1000,4,FALSE),
                       VLOOKUP(X81,[3]EUR1Y!$C$2:$H$1000,6,FALSE),
                       VLOOKUP(X81,[3]EUR1Y!$B$2:$H$1000,7,FALSE),
                       VLOOKUP(X81,[3]EUR1Y!$E$2:$H$1000,4,FALSE),
                       ""
                       )</f>
        <v>#N/A</v>
      </c>
      <c r="Z81" s="173" t="e">
        <f t="shared" si="45"/>
        <v>#N/A</v>
      </c>
      <c r="AA81" s="134">
        <v>1.2406356059999999</v>
      </c>
      <c r="AB81" s="173">
        <f t="shared" si="46"/>
        <v>1.2406356059999999</v>
      </c>
      <c r="AC81" s="219">
        <f t="shared" si="47"/>
        <v>1.2406356059999999</v>
      </c>
      <c r="AE81" s="216" t="str">
        <v>60Y</v>
      </c>
      <c r="AF81" s="324" t="str">
        <f t="shared" si="48"/>
        <v>60Y</v>
      </c>
      <c r="AG81" s="134">
        <f>CHOOSE($B81,
                       VLOOKUP(AF81,[4]EURStd!$E$2:$H$1000,4,FALSE),
                       VLOOKUP(AF81,[4]EURStd!$C$2:$H$1000,6,FALSE),
                       VLOOKUP(AF81,[4]EURStd!$B$2:$H$1000,7,FALSE),
                       VLOOKUP(AF81,[4]EURStd!$E$2:$H$1000,4,FALSE),
                       ""
                       )</f>
        <v>2.73</v>
      </c>
      <c r="AH81" s="173">
        <f t="shared" si="49"/>
        <v>2.73</v>
      </c>
      <c r="AI81" s="134">
        <v>1.111</v>
      </c>
      <c r="AJ81" s="173">
        <f t="shared" si="50"/>
        <v>1.111</v>
      </c>
      <c r="AK81" s="219">
        <f t="shared" si="51"/>
        <v>1.111</v>
      </c>
      <c r="AM81" s="137" t="str">
        <v>35Y</v>
      </c>
      <c r="AN81" s="324" t="str">
        <f t="shared" si="34"/>
        <v>35Y</v>
      </c>
      <c r="AO81" s="134">
        <f>VLOOKUP(AN81,'[5]EUR-OIS'!$E$2:$H$1000,4,FALSE)</f>
        <v>2.44</v>
      </c>
      <c r="AP81" s="173">
        <f t="shared" si="52"/>
        <v>2.44</v>
      </c>
      <c r="AQ81" s="134">
        <v>1.063314597</v>
      </c>
      <c r="AR81" s="173">
        <f t="shared" si="53"/>
        <v>1.063314597</v>
      </c>
      <c r="AS81" s="219">
        <f t="shared" si="54"/>
        <v>1.063314597</v>
      </c>
      <c r="AU81" s="137" t="str">
        <v>36Y</v>
      </c>
      <c r="AV81" s="144" t="str">
        <f t="shared" si="55"/>
        <v>36Y</v>
      </c>
      <c r="AW81" s="144">
        <f>VLOOKUP(AV81,[6]EURFIX1RM!$E$2:$H$1009,4,FALSE)</f>
        <v>2.5091827750000002</v>
      </c>
      <c r="AX81" s="173">
        <f t="shared" si="56"/>
        <v>2.5091827750000002</v>
      </c>
      <c r="AY81" s="134">
        <v>1.0679783519999999</v>
      </c>
      <c r="AZ81" s="173">
        <f t="shared" si="57"/>
        <v>1.0679783519999999</v>
      </c>
      <c r="BA81" s="219">
        <f t="shared" si="58"/>
        <v>1.0679783519999999</v>
      </c>
      <c r="BD81" s="321" t="str">
        <v>32Y</v>
      </c>
      <c r="BE81" s="348">
        <f t="shared" si="59"/>
        <v>1.1801586959999999</v>
      </c>
      <c r="BF81" s="321" t="str">
        <v>33Y</v>
      </c>
      <c r="BG81" s="426" t="b">
        <f t="shared" si="60"/>
        <v>0</v>
      </c>
      <c r="BH81" s="426" t="b">
        <f t="shared" si="67"/>
        <v>1</v>
      </c>
      <c r="BI81" s="426" t="b">
        <f t="shared" si="61"/>
        <v>1</v>
      </c>
      <c r="BJ81" s="426" t="str">
        <v>36Y</v>
      </c>
      <c r="BK81" s="30">
        <f t="shared" si="62"/>
        <v>1.1338774739999999</v>
      </c>
      <c r="BL81" s="321" t="str">
        <v>33Y</v>
      </c>
      <c r="BM81" s="30">
        <f t="shared" si="63"/>
        <v>1.2406356059999999</v>
      </c>
      <c r="BN81" s="216" t="str">
        <v>60Y</v>
      </c>
      <c r="BO81" s="349">
        <f t="shared" si="64"/>
        <v>1.0760000000000001</v>
      </c>
      <c r="BP81" s="137" t="str">
        <v>35Y</v>
      </c>
      <c r="BQ81" s="349">
        <f t="shared" si="65"/>
        <v>1.063314597</v>
      </c>
      <c r="BR81" s="137" t="str">
        <v>36Y</v>
      </c>
      <c r="BS81" s="349">
        <f t="shared" si="66"/>
        <v>1.0679783519999999</v>
      </c>
      <c r="CS81" s="332"/>
      <c r="CT81" s="366" t="s">
        <v>4065</v>
      </c>
      <c r="CU81" s="307" t="s">
        <v>208</v>
      </c>
      <c r="CV81" s="307" t="s">
        <v>4059</v>
      </c>
      <c r="CW81" s="366" t="s">
        <v>7</v>
      </c>
      <c r="CX81" s="307">
        <v>-0.372</v>
      </c>
      <c r="CY81" s="307">
        <v>-0.372</v>
      </c>
      <c r="CZ81" s="307">
        <v>-0.372</v>
      </c>
    </row>
    <row r="82" spans="1:104">
      <c r="A82" s="130" t="str">
        <v/>
      </c>
      <c r="B82" s="206">
        <v>5</v>
      </c>
      <c r="C82" s="321" t="str">
        <v>33Y</v>
      </c>
      <c r="D82" s="415" t="str">
        <f t="shared" si="35"/>
        <v>33Y</v>
      </c>
      <c r="E82" s="360" t="e">
        <f>CHOOSE(NA(),
                       VLOOKUP(D82,[1]EUR6M!$E$2:$H$1000,4,FALSE),
                       VLOOKUP(D82,[1]EUR6M!$C$2:$H$1000,6,FALSE),
                       VLOOKUP(D82,[1]EUR6M!$B$2:$H$1000,7,FALSE),
                       VLOOKUP(D82,[1]EUR6M!$E$2:$H$1000,4,FALSE),
                       ""
                       )</f>
        <v>#N/A</v>
      </c>
      <c r="F82" s="361" t="e">
        <f t="shared" si="36"/>
        <v>#N/A</v>
      </c>
      <c r="G82" s="134">
        <v>1.179478961</v>
      </c>
      <c r="H82" s="361">
        <f t="shared" si="37"/>
        <v>1.179478961</v>
      </c>
      <c r="I82" s="362">
        <f t="shared" si="38"/>
        <v>1.179478961</v>
      </c>
      <c r="M82" s="216" t="str">
        <v>37Y</v>
      </c>
      <c r="N82" s="324" t="str">
        <f t="shared" si="39"/>
        <v/>
      </c>
      <c r="O82" s="134" t="str">
        <f>CHOOSE($B82,
                       VLOOKUP(N82,[2]EUR3M!$E$2:$H$1000,4,FALSE),
                       VLOOKUP(N82,[2]EUR3M!$C$2:$H$1000,6,FALSE),
                       VLOOKUP(N82,[2]EUR3M!$B$2:$H$1000,7,FALSE),
                       VLOOKUP(N82,[2]EUR3M!$E$2:$H$1000,4,FALSE),
                       ""
                       )</f>
        <v/>
      </c>
      <c r="P82" s="173" t="str">
        <f t="shared" si="40"/>
        <v/>
      </c>
      <c r="Q82" s="134" t="s">
        <v>169</v>
      </c>
      <c r="R82" s="130" t="b">
        <f t="shared" si="41"/>
        <v>0</v>
      </c>
      <c r="S82" s="134">
        <v>1.1327995289999999</v>
      </c>
      <c r="T82" s="173">
        <f t="shared" si="42"/>
        <v>1.1327995289999999</v>
      </c>
      <c r="U82" s="219">
        <f t="shared" si="43"/>
        <v>1.1327995289999999</v>
      </c>
      <c r="W82" s="216" t="str">
        <v>34Y</v>
      </c>
      <c r="X82" s="324" t="str">
        <f t="shared" si="44"/>
        <v/>
      </c>
      <c r="Y82" s="134" t="e">
        <f xml:space="preserve"> CHOOSE(NA(),
                       VLOOKUP(X82,[3]EUR1Y!$E$2:$H$1000,4,FALSE),
                       VLOOKUP(X82,[3]EUR1Y!$C$2:$H$1000,6,FALSE),
                       VLOOKUP(X82,[3]EUR1Y!$B$2:$H$1000,7,FALSE),
                       VLOOKUP(X82,[3]EUR1Y!$E$2:$H$1000,4,FALSE),
                       ""
                       )</f>
        <v>#N/A</v>
      </c>
      <c r="Z82" s="173" t="e">
        <f t="shared" si="45"/>
        <v>#N/A</v>
      </c>
      <c r="AA82" s="134">
        <v>1.2389534529999999</v>
      </c>
      <c r="AB82" s="173">
        <f t="shared" si="46"/>
        <v>1.2389534529999999</v>
      </c>
      <c r="AC82" s="219">
        <f t="shared" si="47"/>
        <v>1.2389534529999999</v>
      </c>
      <c r="AE82" s="216" t="str">
        <v/>
      </c>
      <c r="AF82" s="324" t="str">
        <f t="shared" si="48"/>
        <v/>
      </c>
      <c r="AG82" s="134" t="str">
        <f>CHOOSE($B82,
                       VLOOKUP(AF82,[4]EURStd!$E$2:$H$1000,4,FALSE),
                       VLOOKUP(AF82,[4]EURStd!$C$2:$H$1000,6,FALSE),
                       VLOOKUP(AF82,[4]EURStd!$B$2:$H$1000,7,FALSE),
                       VLOOKUP(AF82,[4]EURStd!$E$2:$H$1000,4,FALSE),
                       ""
                       )</f>
        <v/>
      </c>
      <c r="AH82" s="173" t="str">
        <f t="shared" si="49"/>
        <v/>
      </c>
      <c r="AI82" s="134">
        <v>1.0760000000000001</v>
      </c>
      <c r="AJ82" s="173">
        <f t="shared" si="50"/>
        <v>1.0760000000000001</v>
      </c>
      <c r="AK82" s="219">
        <f t="shared" si="51"/>
        <v>1.0760000000000001</v>
      </c>
      <c r="AM82" s="137" t="str">
        <v>40Y</v>
      </c>
      <c r="AN82" s="324" t="str">
        <f t="shared" si="34"/>
        <v>40Y</v>
      </c>
      <c r="AO82" s="134">
        <f>VLOOKUP(AN82,'[5]EUR-OIS'!$E$2:$H$1000,4,FALSE)</f>
        <v>2.4729999999999999</v>
      </c>
      <c r="AP82" s="173">
        <f t="shared" si="52"/>
        <v>2.4729999999999999</v>
      </c>
      <c r="AQ82" s="134">
        <v>1.06</v>
      </c>
      <c r="AR82" s="173">
        <f t="shared" si="53"/>
        <v>1.06</v>
      </c>
      <c r="AS82" s="219">
        <f t="shared" si="54"/>
        <v>1.06</v>
      </c>
      <c r="AU82" s="137" t="str">
        <v>37Y</v>
      </c>
      <c r="AV82" s="144" t="str">
        <f t="shared" si="55"/>
        <v>37Y</v>
      </c>
      <c r="AW82" s="144">
        <f>VLOOKUP(AV82,[6]EURFIX1RM!$E$2:$H$1009,4,FALSE)</f>
        <v>2.5155837170000002</v>
      </c>
      <c r="AX82" s="173">
        <f t="shared" si="56"/>
        <v>2.5155837170000002</v>
      </c>
      <c r="AY82" s="134">
        <v>1.067701918</v>
      </c>
      <c r="AZ82" s="173">
        <f t="shared" si="57"/>
        <v>1.067701918</v>
      </c>
      <c r="BA82" s="219">
        <f t="shared" si="58"/>
        <v>1.067701918</v>
      </c>
      <c r="BD82" s="321" t="str">
        <v>33Y</v>
      </c>
      <c r="BE82" s="348">
        <f t="shared" si="59"/>
        <v>1.179478961</v>
      </c>
      <c r="BF82" s="321" t="str">
        <v>34Y</v>
      </c>
      <c r="BG82" s="426" t="b">
        <f t="shared" si="60"/>
        <v>0</v>
      </c>
      <c r="BH82" s="426" t="b">
        <f t="shared" si="67"/>
        <v>1</v>
      </c>
      <c r="BI82" s="426" t="b">
        <f t="shared" si="61"/>
        <v>1</v>
      </c>
      <c r="BJ82" s="426" t="str">
        <v>37Y</v>
      </c>
      <c r="BK82" s="30">
        <f t="shared" si="62"/>
        <v>1.1327995289999999</v>
      </c>
      <c r="BL82" s="321" t="str">
        <v>34Y</v>
      </c>
      <c r="BM82" s="30">
        <f t="shared" si="63"/>
        <v>1.2389534529999999</v>
      </c>
      <c r="BN82" s="216" t="str">
        <v/>
      </c>
      <c r="BO82" s="349" t="e">
        <f t="shared" si="64"/>
        <v>#N/A</v>
      </c>
      <c r="BP82" s="137" t="str">
        <v>40Y</v>
      </c>
      <c r="BQ82" s="349">
        <f t="shared" si="65"/>
        <v>1.06</v>
      </c>
      <c r="BR82" s="137" t="str">
        <v>37Y</v>
      </c>
      <c r="BS82" s="349">
        <f t="shared" si="66"/>
        <v>1.067701918</v>
      </c>
      <c r="CS82" s="332"/>
      <c r="CT82" s="366" t="s">
        <v>4066</v>
      </c>
      <c r="CU82" s="307" t="s">
        <v>208</v>
      </c>
      <c r="CV82" s="307" t="s">
        <v>4059</v>
      </c>
      <c r="CW82" s="366" t="s">
        <v>8</v>
      </c>
      <c r="CX82" s="307">
        <v>-0.371995782</v>
      </c>
      <c r="CY82" s="307">
        <v>-0.371995782</v>
      </c>
      <c r="CZ82" s="307">
        <v>-0.371995782</v>
      </c>
    </row>
    <row r="83" spans="1:104">
      <c r="A83" s="130" t="str">
        <v/>
      </c>
      <c r="B83" s="206">
        <v>5</v>
      </c>
      <c r="C83" s="321" t="str">
        <v>34Y</v>
      </c>
      <c r="D83" s="415" t="str">
        <f t="shared" si="35"/>
        <v>34Y</v>
      </c>
      <c r="E83" s="360" t="e">
        <f>CHOOSE(NA(),
                       VLOOKUP(D83,[1]EUR6M!$E$2:$H$1000,4,FALSE),
                       VLOOKUP(D83,[1]EUR6M!$C$2:$H$1000,6,FALSE),
                       VLOOKUP(D83,[1]EUR6M!$B$2:$H$1000,7,FALSE),
                       VLOOKUP(D83,[1]EUR6M!$E$2:$H$1000,4,FALSE),
                       ""
                       )</f>
        <v>#N/A</v>
      </c>
      <c r="F83" s="361" t="e">
        <f t="shared" si="36"/>
        <v>#N/A</v>
      </c>
      <c r="G83" s="134">
        <v>1.1784082680000001</v>
      </c>
      <c r="H83" s="361">
        <f t="shared" si="37"/>
        <v>1.1784082680000001</v>
      </c>
      <c r="I83" s="362">
        <f t="shared" si="38"/>
        <v>1.1784082680000001</v>
      </c>
      <c r="M83" s="216" t="str">
        <v>38Y</v>
      </c>
      <c r="N83" s="324" t="str">
        <f t="shared" si="39"/>
        <v/>
      </c>
      <c r="O83" s="134" t="str">
        <f>CHOOSE($B83,
                       VLOOKUP(N83,[2]EUR3M!$E$2:$H$1000,4,FALSE),
                       VLOOKUP(N83,[2]EUR3M!$C$2:$H$1000,6,FALSE),
                       VLOOKUP(N83,[2]EUR3M!$B$2:$H$1000,7,FALSE),
                       VLOOKUP(N83,[2]EUR3M!$E$2:$H$1000,4,FALSE),
                       ""
                       )</f>
        <v/>
      </c>
      <c r="P83" s="173" t="str">
        <f t="shared" si="40"/>
        <v/>
      </c>
      <c r="Q83" s="134" t="s">
        <v>170</v>
      </c>
      <c r="R83" s="130" t="b">
        <f t="shared" si="41"/>
        <v>0</v>
      </c>
      <c r="S83" s="134">
        <v>1.1311357609999999</v>
      </c>
      <c r="T83" s="173">
        <f t="shared" si="42"/>
        <v>1.1311357609999999</v>
      </c>
      <c r="U83" s="219">
        <f t="shared" si="43"/>
        <v>1.1311357609999999</v>
      </c>
      <c r="W83" s="216" t="str">
        <v>35Y</v>
      </c>
      <c r="X83" s="324" t="str">
        <f t="shared" si="44"/>
        <v/>
      </c>
      <c r="Y83" s="134" t="e">
        <f xml:space="preserve"> CHOOSE(NA(),
                       VLOOKUP(X83,[3]EUR1Y!$E$2:$H$1000,4,FALSE),
                       VLOOKUP(X83,[3]EUR1Y!$C$2:$H$1000,6,FALSE),
                       VLOOKUP(X83,[3]EUR1Y!$B$2:$H$1000,7,FALSE),
                       VLOOKUP(X83,[3]EUR1Y!$E$2:$H$1000,4,FALSE),
                       ""
                       )</f>
        <v>#N/A</v>
      </c>
      <c r="Z83" s="173" t="e">
        <f t="shared" si="45"/>
        <v>#N/A</v>
      </c>
      <c r="AA83" s="134">
        <v>1.236805207</v>
      </c>
      <c r="AB83" s="173">
        <f t="shared" si="46"/>
        <v>1.236805207</v>
      </c>
      <c r="AC83" s="219">
        <f t="shared" si="47"/>
        <v>1.236805207</v>
      </c>
      <c r="AE83" s="217" t="str">
        <v/>
      </c>
      <c r="AF83" s="160" t="str">
        <f t="shared" si="48"/>
        <v/>
      </c>
      <c r="AG83" s="135" t="str">
        <f>CHOOSE($B83,
                       VLOOKUP(AF83,[4]EURStd!$E$2:$H$1000,4,FALSE),
                       VLOOKUP(AF83,[4]EURStd!$C$2:$H$1000,6,FALSE),
                       VLOOKUP(AF83,[4]EURStd!$B$2:$H$1000,7,FALSE),
                       VLOOKUP(AF83,[4]EURStd!$E$2:$H$1000,4,FALSE),
                       ""
                       )</f>
        <v/>
      </c>
      <c r="AH83" s="333" t="str">
        <f t="shared" si="49"/>
        <v/>
      </c>
      <c r="AI83" s="135" t="e">
        <v>#N/A</v>
      </c>
      <c r="AJ83" s="333" t="e">
        <f t="shared" si="50"/>
        <v>#N/A</v>
      </c>
      <c r="AK83" s="220" t="e">
        <f t="shared" si="51"/>
        <v>#N/A</v>
      </c>
      <c r="AM83" s="137" t="str">
        <v>50Y</v>
      </c>
      <c r="AN83" s="324" t="str">
        <f t="shared" si="34"/>
        <v>50Y</v>
      </c>
      <c r="AO83" s="134">
        <f>VLOOKUP(AN83,'[5]EUR-OIS'!$E$2:$H$1000,4,FALSE)</f>
        <v>2.5270000000000001</v>
      </c>
      <c r="AP83" s="173">
        <f t="shared" si="52"/>
        <v>2.5270000000000001</v>
      </c>
      <c r="AQ83" s="134">
        <v>1.02</v>
      </c>
      <c r="AR83" s="173">
        <f t="shared" si="53"/>
        <v>1.02</v>
      </c>
      <c r="AS83" s="219">
        <f t="shared" si="54"/>
        <v>1.02</v>
      </c>
      <c r="AU83" s="137" t="str">
        <v>38Y</v>
      </c>
      <c r="AV83" s="144" t="str">
        <f t="shared" si="55"/>
        <v>38Y</v>
      </c>
      <c r="AW83" s="144">
        <f>VLOOKUP(AV83,[6]EURFIX1RM!$E$2:$H$1009,4,FALSE)</f>
        <v>2.5220870020000001</v>
      </c>
      <c r="AX83" s="173">
        <f t="shared" si="56"/>
        <v>2.5220870020000001</v>
      </c>
      <c r="AY83" s="134">
        <v>1.0667861679999999</v>
      </c>
      <c r="AZ83" s="173">
        <f t="shared" si="57"/>
        <v>1.0667861679999999</v>
      </c>
      <c r="BA83" s="219">
        <f t="shared" si="58"/>
        <v>1.0667861679999999</v>
      </c>
      <c r="BD83" s="321" t="str">
        <v>34Y</v>
      </c>
      <c r="BE83" s="348">
        <f t="shared" si="59"/>
        <v>1.1784082680000001</v>
      </c>
      <c r="BF83" s="321" t="str">
        <v>35Y</v>
      </c>
      <c r="BG83" s="426" t="b">
        <f t="shared" si="60"/>
        <v>0</v>
      </c>
      <c r="BH83" s="426" t="b">
        <f t="shared" si="67"/>
        <v>1</v>
      </c>
      <c r="BI83" s="426" t="b">
        <f t="shared" si="61"/>
        <v>1</v>
      </c>
      <c r="BJ83" s="426" t="str">
        <v>38Y</v>
      </c>
      <c r="BK83" s="30">
        <f t="shared" si="62"/>
        <v>1.1311357609999999</v>
      </c>
      <c r="BL83" s="321" t="str">
        <v>35Y</v>
      </c>
      <c r="BM83" s="30">
        <f t="shared" si="63"/>
        <v>1.236805207</v>
      </c>
      <c r="BN83" s="216" t="str">
        <v/>
      </c>
      <c r="BO83" s="349" t="e">
        <f t="shared" si="64"/>
        <v>#N/A</v>
      </c>
      <c r="BP83" s="137" t="str">
        <v>50Y</v>
      </c>
      <c r="BQ83" s="349">
        <f t="shared" si="65"/>
        <v>1.02</v>
      </c>
      <c r="BR83" s="137" t="str">
        <v>38Y</v>
      </c>
      <c r="BS83" s="349">
        <f t="shared" si="66"/>
        <v>1.0667861679999999</v>
      </c>
      <c r="CS83" s="332"/>
      <c r="CT83" s="366" t="s">
        <v>4067</v>
      </c>
      <c r="CU83" s="307" t="s">
        <v>208</v>
      </c>
      <c r="CV83" s="307" t="s">
        <v>4059</v>
      </c>
      <c r="CW83" s="366" t="s">
        <v>25</v>
      </c>
      <c r="CX83" s="307">
        <v>-0.37199236600000002</v>
      </c>
      <c r="CY83" s="307">
        <v>-0.37199236600000002</v>
      </c>
      <c r="CZ83" s="307">
        <v>-0.37199236600000002</v>
      </c>
    </row>
    <row r="84" spans="1:104">
      <c r="A84" s="130" t="str">
        <v/>
      </c>
      <c r="B84" s="206">
        <v>5</v>
      </c>
      <c r="C84" s="321" t="str">
        <v>35Y</v>
      </c>
      <c r="D84" s="415" t="str">
        <f t="shared" si="35"/>
        <v>35Y</v>
      </c>
      <c r="E84" s="360" t="e">
        <f>CHOOSE(NA(),
                       VLOOKUP(D84,[1]EUR6M!$E$2:$H$1000,4,FALSE),
                       VLOOKUP(D84,[1]EUR6M!$C$2:$H$1000,6,FALSE),
                       VLOOKUP(D84,[1]EUR6M!$B$2:$H$1000,7,FALSE),
                       VLOOKUP(D84,[1]EUR6M!$E$2:$H$1000,4,FALSE),
                       ""
                       )</f>
        <v>#N/A</v>
      </c>
      <c r="F84" s="361" t="e">
        <f t="shared" si="36"/>
        <v>#N/A</v>
      </c>
      <c r="G84" s="134">
        <v>1.177</v>
      </c>
      <c r="H84" s="361">
        <f t="shared" si="37"/>
        <v>1.177</v>
      </c>
      <c r="I84" s="362">
        <f t="shared" si="38"/>
        <v>1.177</v>
      </c>
      <c r="M84" s="216" t="str">
        <v>39Y</v>
      </c>
      <c r="N84" s="324" t="str">
        <f t="shared" si="39"/>
        <v/>
      </c>
      <c r="O84" s="134" t="str">
        <f>CHOOSE($B84,
                       VLOOKUP(N84,[2]EUR3M!$E$2:$H$1000,4,FALSE),
                       VLOOKUP(N84,[2]EUR3M!$C$2:$H$1000,6,FALSE),
                       VLOOKUP(N84,[2]EUR3M!$B$2:$H$1000,7,FALSE),
                       VLOOKUP(N84,[2]EUR3M!$E$2:$H$1000,4,FALSE),
                       ""
                       )</f>
        <v/>
      </c>
      <c r="P84" s="173" t="str">
        <f t="shared" si="40"/>
        <v/>
      </c>
      <c r="Q84" s="134" t="s">
        <v>171</v>
      </c>
      <c r="R84" s="130" t="b">
        <f t="shared" si="41"/>
        <v>0</v>
      </c>
      <c r="S84" s="134">
        <v>1.1288653820000001</v>
      </c>
      <c r="T84" s="173">
        <f t="shared" si="42"/>
        <v>1.1288653820000001</v>
      </c>
      <c r="U84" s="219">
        <f t="shared" si="43"/>
        <v>1.1288653820000001</v>
      </c>
      <c r="W84" s="216" t="str">
        <v>36Y</v>
      </c>
      <c r="X84" s="324" t="str">
        <f t="shared" si="44"/>
        <v/>
      </c>
      <c r="Y84" s="134" t="e">
        <f xml:space="preserve"> CHOOSE(NA(),
                       VLOOKUP(X84,[3]EUR1Y!$E$2:$H$1000,4,FALSE),
                       VLOOKUP(X84,[3]EUR1Y!$C$2:$H$1000,6,FALSE),
                       VLOOKUP(X84,[3]EUR1Y!$B$2:$H$1000,7,FALSE),
                       VLOOKUP(X84,[3]EUR1Y!$E$2:$H$1000,4,FALSE),
                       ""
                       )</f>
        <v>#N/A</v>
      </c>
      <c r="Z84" s="173" t="e">
        <f t="shared" si="45"/>
        <v>#N/A</v>
      </c>
      <c r="AA84" s="134">
        <v>1.234288252</v>
      </c>
      <c r="AB84" s="173">
        <f t="shared" si="46"/>
        <v>1.234288252</v>
      </c>
      <c r="AC84" s="219">
        <f t="shared" si="47"/>
        <v>1.234288252</v>
      </c>
      <c r="AI84" s="4" t="e">
        <v>#N/A</v>
      </c>
      <c r="AM84" s="138" t="str">
        <v>60Y</v>
      </c>
      <c r="AN84" s="160" t="str">
        <f t="shared" si="34"/>
        <v>60Y</v>
      </c>
      <c r="AO84" s="135">
        <f>VLOOKUP(AN84,'[5]EUR-OIS'!$E$2:$H$1000,4,FALSE)</f>
        <v>2.5640000000000001</v>
      </c>
      <c r="AP84" s="178">
        <f t="shared" si="52"/>
        <v>2.5640000000000001</v>
      </c>
      <c r="AQ84" s="135">
        <v>0.995</v>
      </c>
      <c r="AR84" s="178">
        <f t="shared" si="53"/>
        <v>0.995</v>
      </c>
      <c r="AS84" s="220">
        <f t="shared" si="54"/>
        <v>0.995</v>
      </c>
      <c r="AU84" s="137" t="str">
        <v>39Y</v>
      </c>
      <c r="AV84" s="144" t="str">
        <f t="shared" si="55"/>
        <v>39Y</v>
      </c>
      <c r="AW84" s="144">
        <f>VLOOKUP(AV84,[6]EURFIX1RM!$E$2:$H$1009,4,FALSE)</f>
        <v>2.5286864370000002</v>
      </c>
      <c r="AX84" s="173">
        <f t="shared" si="56"/>
        <v>2.5286864370000002</v>
      </c>
      <c r="AY84" s="134">
        <v>1.065213374</v>
      </c>
      <c r="AZ84" s="173">
        <f t="shared" si="57"/>
        <v>1.065213374</v>
      </c>
      <c r="BA84" s="219">
        <f t="shared" si="58"/>
        <v>1.065213374</v>
      </c>
      <c r="BD84" s="321" t="str">
        <v>35Y</v>
      </c>
      <c r="BE84" s="348">
        <f t="shared" si="59"/>
        <v>1.177</v>
      </c>
      <c r="BF84" s="321" t="str">
        <v>36Y</v>
      </c>
      <c r="BG84" s="426" t="b">
        <f t="shared" si="60"/>
        <v>0</v>
      </c>
      <c r="BH84" s="426" t="b">
        <f t="shared" si="67"/>
        <v>1</v>
      </c>
      <c r="BI84" s="426" t="b">
        <f t="shared" si="61"/>
        <v>1</v>
      </c>
      <c r="BJ84" s="426" t="str">
        <v>39Y</v>
      </c>
      <c r="BK84" s="30">
        <f t="shared" si="62"/>
        <v>1.1288653820000001</v>
      </c>
      <c r="BL84" s="321" t="str">
        <v>36Y</v>
      </c>
      <c r="BM84" s="30">
        <f t="shared" si="63"/>
        <v>1.234288252</v>
      </c>
      <c r="BN84" s="216" t="str">
        <v/>
      </c>
      <c r="BO84" s="349" t="e">
        <f t="shared" si="64"/>
        <v>#N/A</v>
      </c>
      <c r="BP84" s="138" t="str">
        <v>60Y</v>
      </c>
      <c r="BQ84" s="352">
        <f t="shared" si="65"/>
        <v>0.995</v>
      </c>
      <c r="BR84" s="137" t="str">
        <v>39Y</v>
      </c>
      <c r="BS84" s="349">
        <f t="shared" si="66"/>
        <v>1.065213374</v>
      </c>
      <c r="CS84" s="332"/>
      <c r="CT84" s="366" t="s">
        <v>4068</v>
      </c>
      <c r="CU84" s="307" t="s">
        <v>208</v>
      </c>
      <c r="CV84" s="307" t="s">
        <v>4059</v>
      </c>
      <c r="CW84" s="366" t="s">
        <v>26</v>
      </c>
      <c r="CX84" s="307">
        <v>-0.37198994000000002</v>
      </c>
      <c r="CY84" s="307">
        <v>-0.37198994000000002</v>
      </c>
      <c r="CZ84" s="307">
        <v>-0.37198994000000002</v>
      </c>
    </row>
    <row r="85" spans="1:104">
      <c r="A85" s="130" t="str">
        <v/>
      </c>
      <c r="B85" s="206">
        <v>5</v>
      </c>
      <c r="C85" s="321" t="str">
        <v>36Y</v>
      </c>
      <c r="D85" s="415" t="str">
        <f t="shared" si="35"/>
        <v>36Y</v>
      </c>
      <c r="E85" s="360" t="e">
        <f>CHOOSE(NA(),
                       VLOOKUP(D85,[1]EUR6M!$E$2:$H$1000,4,FALSE),
                       VLOOKUP(D85,[1]EUR6M!$C$2:$H$1000,6,FALSE),
                       VLOOKUP(D85,[1]EUR6M!$B$2:$H$1000,7,FALSE),
                       VLOOKUP(D85,[1]EUR6M!$E$2:$H$1000,4,FALSE),
                       ""
                       )</f>
        <v>#N/A</v>
      </c>
      <c r="F85" s="361" t="e">
        <f t="shared" si="36"/>
        <v>#N/A</v>
      </c>
      <c r="G85" s="134">
        <v>1.1753930500000001</v>
      </c>
      <c r="H85" s="361">
        <f t="shared" si="37"/>
        <v>1.1753930500000001</v>
      </c>
      <c r="I85" s="362">
        <f t="shared" si="38"/>
        <v>1.1753930500000001</v>
      </c>
      <c r="M85" s="216" t="str">
        <v>40Y</v>
      </c>
      <c r="N85" s="324" t="str">
        <f t="shared" si="39"/>
        <v/>
      </c>
      <c r="O85" s="134" t="str">
        <f>CHOOSE($B85,
                       VLOOKUP(N85,[2]EUR3M!$E$2:$H$1000,4,FALSE),
                       VLOOKUP(N85,[2]EUR3M!$C$2:$H$1000,6,FALSE),
                       VLOOKUP(N85,[2]EUR3M!$B$2:$H$1000,7,FALSE),
                       VLOOKUP(N85,[2]EUR3M!$E$2:$H$1000,4,FALSE),
                       ""
                       )</f>
        <v/>
      </c>
      <c r="P85" s="173" t="str">
        <f t="shared" si="40"/>
        <v/>
      </c>
      <c r="Q85" s="134" t="s">
        <v>46</v>
      </c>
      <c r="R85" s="130" t="b">
        <f t="shared" si="41"/>
        <v>0</v>
      </c>
      <c r="S85" s="134">
        <v>1.1259999999999999</v>
      </c>
      <c r="T85" s="173">
        <f t="shared" si="42"/>
        <v>1.1259999999999999</v>
      </c>
      <c r="U85" s="219">
        <f t="shared" si="43"/>
        <v>1.1259999999999999</v>
      </c>
      <c r="W85" s="216" t="str">
        <v>37Y</v>
      </c>
      <c r="X85" s="324" t="str">
        <f t="shared" si="44"/>
        <v/>
      </c>
      <c r="Y85" s="134" t="e">
        <f xml:space="preserve"> CHOOSE(NA(),
                       VLOOKUP(X85,[3]EUR1Y!$E$2:$H$1000,4,FALSE),
                       VLOOKUP(X85,[3]EUR1Y!$C$2:$H$1000,6,FALSE),
                       VLOOKUP(X85,[3]EUR1Y!$B$2:$H$1000,7,FALSE),
                       VLOOKUP(X85,[3]EUR1Y!$E$2:$H$1000,4,FALSE),
                       ""
                       )</f>
        <v>#N/A</v>
      </c>
      <c r="Z85" s="173" t="e">
        <f t="shared" si="45"/>
        <v>#N/A</v>
      </c>
      <c r="AA85" s="134">
        <v>1.231209486</v>
      </c>
      <c r="AB85" s="173">
        <f t="shared" si="46"/>
        <v>1.231209486</v>
      </c>
      <c r="AC85" s="219">
        <f t="shared" si="47"/>
        <v>1.231209486</v>
      </c>
      <c r="AI85" s="4" t="e">
        <v>#N/A</v>
      </c>
      <c r="AM85" s="30"/>
      <c r="AN85" s="328"/>
      <c r="AO85" s="328"/>
      <c r="AP85" s="329"/>
      <c r="AQ85" s="328"/>
      <c r="AR85" s="329"/>
      <c r="AS85" s="202"/>
      <c r="AU85" s="137" t="str">
        <v>40Y</v>
      </c>
      <c r="AV85" s="144" t="str">
        <f t="shared" si="55"/>
        <v>40Y</v>
      </c>
      <c r="AW85" s="144">
        <f>VLOOKUP(AV85,[6]EURFIX1RM!$E$2:$H$1009,4,FALSE)</f>
        <v>2.5350000000000001</v>
      </c>
      <c r="AX85" s="173">
        <f t="shared" si="56"/>
        <v>2.5350000000000001</v>
      </c>
      <c r="AY85" s="134">
        <v>1.0629999999999999</v>
      </c>
      <c r="AZ85" s="173">
        <f t="shared" si="57"/>
        <v>1.0629999999999999</v>
      </c>
      <c r="BA85" s="219">
        <f t="shared" si="58"/>
        <v>1.0629999999999999</v>
      </c>
      <c r="BD85" s="321" t="str">
        <v>36Y</v>
      </c>
      <c r="BE85" s="348">
        <f t="shared" si="59"/>
        <v>1.1753930500000001</v>
      </c>
      <c r="BF85" s="321" t="str">
        <v>37Y</v>
      </c>
      <c r="BG85" s="426" t="b">
        <f t="shared" si="60"/>
        <v>0</v>
      </c>
      <c r="BH85" s="426" t="b">
        <f t="shared" si="67"/>
        <v>1</v>
      </c>
      <c r="BI85" s="426" t="b">
        <f t="shared" si="61"/>
        <v>1</v>
      </c>
      <c r="BJ85" s="426" t="str">
        <v>40Y</v>
      </c>
      <c r="BK85" s="30">
        <f t="shared" si="62"/>
        <v>1.1259999999999999</v>
      </c>
      <c r="BL85" s="321" t="str">
        <v>37Y</v>
      </c>
      <c r="BM85" s="30">
        <f t="shared" si="63"/>
        <v>1.231209486</v>
      </c>
      <c r="BN85" s="216" t="str">
        <v/>
      </c>
      <c r="BO85" s="349" t="e">
        <f t="shared" si="64"/>
        <v>#N/A</v>
      </c>
      <c r="BR85" s="137" t="str">
        <v>40Y</v>
      </c>
      <c r="BS85" s="349">
        <f t="shared" si="66"/>
        <v>1.0629999999999999</v>
      </c>
      <c r="CS85" s="332"/>
      <c r="CT85" s="366" t="s">
        <v>4069</v>
      </c>
      <c r="CU85" s="307" t="s">
        <v>208</v>
      </c>
      <c r="CV85" s="307" t="s">
        <v>4059</v>
      </c>
      <c r="CW85" s="366" t="s">
        <v>27</v>
      </c>
      <c r="CX85" s="307">
        <v>-0.372986488</v>
      </c>
      <c r="CY85" s="307">
        <v>-0.372986488</v>
      </c>
      <c r="CZ85" s="307">
        <v>-0.372986488</v>
      </c>
    </row>
    <row r="86" spans="1:104">
      <c r="A86" s="130" t="str">
        <v/>
      </c>
      <c r="B86" s="206">
        <v>5</v>
      </c>
      <c r="C86" s="321" t="str">
        <v>37Y</v>
      </c>
      <c r="D86" s="415" t="str">
        <f t="shared" si="35"/>
        <v>37Y</v>
      </c>
      <c r="E86" s="360" t="e">
        <f>CHOOSE(NA(),
                       VLOOKUP(D86,[1]EUR6M!$E$2:$H$1000,4,FALSE),
                       VLOOKUP(D86,[1]EUR6M!$C$2:$H$1000,6,FALSE),
                       VLOOKUP(D86,[1]EUR6M!$B$2:$H$1000,7,FALSE),
                       VLOOKUP(D86,[1]EUR6M!$E$2:$H$1000,4,FALSE),
                       ""
                       )</f>
        <v>#N/A</v>
      </c>
      <c r="F86" s="361" t="e">
        <f t="shared" si="36"/>
        <v>#N/A</v>
      </c>
      <c r="G86" s="134">
        <v>1.1733906919999999</v>
      </c>
      <c r="H86" s="361">
        <f t="shared" si="37"/>
        <v>1.1733906919999999</v>
      </c>
      <c r="I86" s="362">
        <f t="shared" si="38"/>
        <v>1.1733906919999999</v>
      </c>
      <c r="M86" s="216" t="str">
        <v>50Y</v>
      </c>
      <c r="N86" s="324" t="str">
        <f t="shared" si="39"/>
        <v/>
      </c>
      <c r="O86" s="134" t="str">
        <f>CHOOSE($B86,
                       VLOOKUP(N86,[2]EUR3M!$E$2:$H$1000,4,FALSE),
                       VLOOKUP(N86,[2]EUR3M!$C$2:$H$1000,6,FALSE),
                       VLOOKUP(N86,[2]EUR3M!$B$2:$H$1000,7,FALSE),
                       VLOOKUP(N86,[2]EUR3M!$E$2:$H$1000,4,FALSE),
                       ""
                       )</f>
        <v/>
      </c>
      <c r="P86" s="173" t="str">
        <f t="shared" si="40"/>
        <v/>
      </c>
      <c r="Q86" s="134" t="s">
        <v>47</v>
      </c>
      <c r="R86" s="130" t="b">
        <f t="shared" si="41"/>
        <v>0</v>
      </c>
      <c r="S86" s="134">
        <v>1.079</v>
      </c>
      <c r="T86" s="173">
        <f t="shared" si="42"/>
        <v>1.079</v>
      </c>
      <c r="U86" s="219">
        <f t="shared" si="43"/>
        <v>1.079</v>
      </c>
      <c r="W86" s="216" t="str">
        <v>38Y</v>
      </c>
      <c r="X86" s="324" t="str">
        <f t="shared" si="44"/>
        <v/>
      </c>
      <c r="Y86" s="134" t="e">
        <f xml:space="preserve"> CHOOSE(NA(),
                       VLOOKUP(X86,[3]EUR1Y!$E$2:$H$1000,4,FALSE),
                       VLOOKUP(X86,[3]EUR1Y!$C$2:$H$1000,6,FALSE),
                       VLOOKUP(X86,[3]EUR1Y!$B$2:$H$1000,7,FALSE),
                       VLOOKUP(X86,[3]EUR1Y!$E$2:$H$1000,4,FALSE),
                       ""
                       )</f>
        <v>#N/A</v>
      </c>
      <c r="Z86" s="173" t="e">
        <f t="shared" si="45"/>
        <v>#N/A</v>
      </c>
      <c r="AA86" s="134">
        <v>1.227640302</v>
      </c>
      <c r="AB86" s="173">
        <f t="shared" si="46"/>
        <v>1.227640302</v>
      </c>
      <c r="AC86" s="219">
        <f t="shared" si="47"/>
        <v>1.227640302</v>
      </c>
      <c r="AI86" s="4" t="e">
        <v>#N/A</v>
      </c>
      <c r="AM86" s="30"/>
      <c r="AN86" s="328"/>
      <c r="AO86" s="328"/>
      <c r="AP86" s="329"/>
      <c r="AQ86" s="328"/>
      <c r="AR86" s="329"/>
      <c r="AS86" s="202"/>
      <c r="AU86" s="137" t="str">
        <v>50Y</v>
      </c>
      <c r="AV86" s="144" t="str">
        <f t="shared" si="55"/>
        <v>50Y</v>
      </c>
      <c r="AW86" s="144">
        <f>VLOOKUP(AV86,[6]EURFIX1RM!$E$2:$H$1009,4,FALSE)</f>
        <v>2.5859999999999999</v>
      </c>
      <c r="AX86" s="173">
        <f t="shared" si="56"/>
        <v>2.5859999999999999</v>
      </c>
      <c r="AY86" s="134">
        <v>1.0209999999999999</v>
      </c>
      <c r="AZ86" s="173">
        <f t="shared" si="57"/>
        <v>1.0209999999999999</v>
      </c>
      <c r="BA86" s="219">
        <f t="shared" si="58"/>
        <v>1.0209999999999999</v>
      </c>
      <c r="BD86" s="321" t="str">
        <v>37Y</v>
      </c>
      <c r="BE86" s="348">
        <f t="shared" si="59"/>
        <v>1.1733906919999999</v>
      </c>
      <c r="BF86" s="321" t="str">
        <v>38Y</v>
      </c>
      <c r="BG86" s="426" t="b">
        <f t="shared" si="60"/>
        <v>0</v>
      </c>
      <c r="BH86" s="426" t="b">
        <f t="shared" si="67"/>
        <v>1</v>
      </c>
      <c r="BI86" s="426" t="b">
        <f t="shared" si="61"/>
        <v>1</v>
      </c>
      <c r="BJ86" s="426" t="str">
        <v>50Y</v>
      </c>
      <c r="BK86" s="30">
        <f t="shared" si="62"/>
        <v>1.079</v>
      </c>
      <c r="BL86" s="321" t="str">
        <v>38Y</v>
      </c>
      <c r="BM86" s="30">
        <f t="shared" si="63"/>
        <v>1.227640302</v>
      </c>
      <c r="BN86" s="216" t="str">
        <v/>
      </c>
      <c r="BO86" s="349" t="e">
        <f t="shared" si="64"/>
        <v>#N/A</v>
      </c>
      <c r="BR86" s="137" t="str">
        <v>50Y</v>
      </c>
      <c r="BS86" s="349">
        <f t="shared" si="66"/>
        <v>1.0209999999999999</v>
      </c>
      <c r="CS86" s="332"/>
      <c r="CT86" s="366" t="s">
        <v>4070</v>
      </c>
      <c r="CU86" s="307" t="s">
        <v>208</v>
      </c>
      <c r="CV86" s="307" t="s">
        <v>4059</v>
      </c>
      <c r="CW86" s="366" t="s">
        <v>28</v>
      </c>
      <c r="CX86" s="307">
        <v>-0.37298494199999999</v>
      </c>
      <c r="CY86" s="307">
        <v>-0.37298494199999999</v>
      </c>
      <c r="CZ86" s="307">
        <v>-0.37298494199999999</v>
      </c>
    </row>
    <row r="87" spans="1:104">
      <c r="A87" s="130" t="str">
        <v/>
      </c>
      <c r="B87" s="206">
        <v>5</v>
      </c>
      <c r="C87" s="321" t="str">
        <v>38Y</v>
      </c>
      <c r="D87" s="415" t="str">
        <f t="shared" ref="D87:D91" si="68">C87</f>
        <v>38Y</v>
      </c>
      <c r="E87" s="360" t="e">
        <f>CHOOSE(NA(),
                       VLOOKUP(D87,[1]EUR6M!$E$2:$H$1000,4,FALSE),
                       VLOOKUP(D87,[1]EUR6M!$C$2:$H$1000,6,FALSE),
                       VLOOKUP(D87,[1]EUR6M!$B$2:$H$1000,7,FALSE),
                       VLOOKUP(D87,[1]EUR6M!$E$2:$H$1000,4,FALSE),
                       ""
                       )</f>
        <v>#N/A</v>
      </c>
      <c r="F87" s="361" t="e">
        <f t="shared" ref="F87:F91" si="69">IF(E87=0,NA(),IF($B87=3,100-E87,E87))</f>
        <v>#N/A</v>
      </c>
      <c r="G87" s="134">
        <v>1.1710200079999999</v>
      </c>
      <c r="H87" s="361">
        <f t="shared" ref="H87:H91" si="70">IF(G87=0,NA(),G87)</f>
        <v>1.1710200079999999</v>
      </c>
      <c r="I87" s="362">
        <f t="shared" ref="I87:I91" si="71">CHOOSE(OrdMethod,F87,H87)</f>
        <v>1.1710200079999999</v>
      </c>
      <c r="M87" s="216" t="str">
        <v>60Y</v>
      </c>
      <c r="N87" s="324" t="str">
        <f t="shared" ref="N87:N91" si="72">CHOOSE($B87,M87,"STUB 3M CURVES",TEXT(M87,"DD/MM/YY"),M87,"")</f>
        <v/>
      </c>
      <c r="O87" s="134" t="str">
        <f>CHOOSE($B87,
                       VLOOKUP(N87,[2]EUR3M!$E$2:$H$1000,4,FALSE),
                       VLOOKUP(N87,[2]EUR3M!$C$2:$H$1000,6,FALSE),
                       VLOOKUP(N87,[2]EUR3M!$B$2:$H$1000,7,FALSE),
                       VLOOKUP(N87,[2]EUR3M!$E$2:$H$1000,4,FALSE),
                       ""
                       )</f>
        <v/>
      </c>
      <c r="P87" s="173" t="str">
        <f t="shared" ref="P87:P91" si="73">IF(O87=0,NA(),IF($B87=3,100-O87,O87))</f>
        <v/>
      </c>
      <c r="Q87" s="134" t="s">
        <v>48</v>
      </c>
      <c r="R87" s="130" t="b">
        <f t="shared" ref="R87:R91" si="74">NOT(ISERROR(FIND(" ",Q87)))</f>
        <v>0</v>
      </c>
      <c r="S87" s="134">
        <v>1.048</v>
      </c>
      <c r="T87" s="173">
        <f t="shared" ref="T87:T91" si="75">IF(S87=0,NA(),IF($R87,100-S87,S87))</f>
        <v>1.048</v>
      </c>
      <c r="U87" s="219">
        <f t="shared" ref="U87:U91" si="76">CHOOSE(OrdMethod,P87,T87)</f>
        <v>1.048</v>
      </c>
      <c r="W87" s="216" t="str">
        <v>39Y</v>
      </c>
      <c r="X87" s="324" t="str">
        <f t="shared" ref="X87:X91" si="77">CHOOSE($B87,W87,"STUB 12M CURVES",TEXT(W87,"DD/MM/YY"),W87,"")</f>
        <v/>
      </c>
      <c r="Y87" s="134" t="e">
        <f xml:space="preserve"> CHOOSE(NA(),
                       VLOOKUP(X87,[3]EUR1Y!$E$2:$H$1000,4,FALSE),
                       VLOOKUP(X87,[3]EUR1Y!$C$2:$H$1000,6,FALSE),
                       VLOOKUP(X87,[3]EUR1Y!$B$2:$H$1000,7,FALSE),
                       VLOOKUP(X87,[3]EUR1Y!$E$2:$H$1000,4,FALSE),
                       ""
                       )</f>
        <v>#N/A</v>
      </c>
      <c r="Z87" s="173" t="e">
        <f t="shared" ref="Z87:Z91" si="78">IF(Y87=0,NA(),IF($B87=3,100-Y87,Y87))</f>
        <v>#N/A</v>
      </c>
      <c r="AA87" s="134">
        <v>1.223567074</v>
      </c>
      <c r="AB87" s="173">
        <f t="shared" ref="AB87:AB91" si="79">IF(AA87=0,NA(),AA87)</f>
        <v>1.223567074</v>
      </c>
      <c r="AC87" s="219">
        <f t="shared" ref="AC87:AC91" si="80">CHOOSE(OrdMethod,Z87,AB87)</f>
        <v>1.223567074</v>
      </c>
      <c r="AI87" s="4" t="e">
        <v>#N/A</v>
      </c>
      <c r="AM87" s="30"/>
      <c r="AN87" s="328"/>
      <c r="AO87" s="328"/>
      <c r="AP87" s="329"/>
      <c r="AQ87" s="328"/>
      <c r="AR87" s="329"/>
      <c r="AS87" s="202"/>
      <c r="AU87" s="138" t="str">
        <v>60Y</v>
      </c>
      <c r="AV87" s="145" t="str">
        <f t="shared" ref="AV87" si="81">AU87</f>
        <v>60Y</v>
      </c>
      <c r="AW87" s="145">
        <f>VLOOKUP(AV87,[6]EURFIX1RM!$E$2:$H$1009,4,FALSE)</f>
        <v>2.621</v>
      </c>
      <c r="AX87" s="178">
        <f t="shared" ref="AX87" si="82">IF(AW87=0,NA(),AW87)</f>
        <v>2.621</v>
      </c>
      <c r="AY87" s="135">
        <v>0.995</v>
      </c>
      <c r="AZ87" s="178">
        <f t="shared" ref="AZ87" si="83">IF(AY87=0,NA(),AY87)</f>
        <v>0.995</v>
      </c>
      <c r="BA87" s="220">
        <f t="shared" ref="BA87" si="84">CHOOSE(OrdMethod,AX87,AZ87)</f>
        <v>0.995</v>
      </c>
      <c r="BD87" s="321" t="str">
        <v>38Y</v>
      </c>
      <c r="BE87" s="348">
        <f t="shared" si="59"/>
        <v>1.1710200079999999</v>
      </c>
      <c r="BF87" s="321" t="str">
        <v>39Y</v>
      </c>
      <c r="BG87" s="426" t="b">
        <f t="shared" ref="BG87:BG91" si="85">NOT(ISERROR(FIND(" ",BF87)))</f>
        <v>0</v>
      </c>
      <c r="BH87" s="426" t="b">
        <f t="shared" si="67"/>
        <v>1</v>
      </c>
      <c r="BI87" s="426" t="b">
        <f t="shared" ref="BI87:BI91" si="86">OR(AND(NOT(BG87),NOT(BH87)),BH87)</f>
        <v>1</v>
      </c>
      <c r="BJ87" s="426" t="str">
        <v>60Y</v>
      </c>
      <c r="BK87" s="30">
        <f t="shared" si="62"/>
        <v>1.048</v>
      </c>
      <c r="BL87" s="321" t="str">
        <v>39Y</v>
      </c>
      <c r="BM87" s="30">
        <f t="shared" si="63"/>
        <v>1.223567074</v>
      </c>
      <c r="BN87" s="216" t="str">
        <v/>
      </c>
      <c r="BO87" s="349" t="e">
        <f t="shared" si="64"/>
        <v>#N/A</v>
      </c>
      <c r="BR87" s="138" t="str">
        <v>60Y</v>
      </c>
      <c r="BS87" s="352">
        <f t="shared" si="66"/>
        <v>0.995</v>
      </c>
      <c r="CS87" s="332"/>
      <c r="CT87" s="366" t="s">
        <v>4071</v>
      </c>
      <c r="CU87" s="307" t="s">
        <v>208</v>
      </c>
      <c r="CV87" s="307" t="s">
        <v>4059</v>
      </c>
      <c r="CW87" s="366" t="s">
        <v>29</v>
      </c>
      <c r="CX87" s="307">
        <v>-0.37298340200000002</v>
      </c>
      <c r="CY87" s="307">
        <v>-0.37298340200000002</v>
      </c>
      <c r="CZ87" s="307">
        <v>-0.37298340200000002</v>
      </c>
    </row>
    <row r="88" spans="1:104">
      <c r="A88" s="130" t="str">
        <v/>
      </c>
      <c r="B88" s="206">
        <v>5</v>
      </c>
      <c r="C88" s="321" t="str">
        <v>39Y</v>
      </c>
      <c r="D88" s="415" t="str">
        <f t="shared" si="68"/>
        <v>39Y</v>
      </c>
      <c r="E88" s="360" t="e">
        <f>CHOOSE(NA(),
                       VLOOKUP(D88,[1]EUR6M!$E$2:$H$1000,4,FALSE),
                       VLOOKUP(D88,[1]EUR6M!$C$2:$H$1000,6,FALSE),
                       VLOOKUP(D88,[1]EUR6M!$B$2:$H$1000,7,FALSE),
                       VLOOKUP(D88,[1]EUR6M!$E$2:$H$1000,4,FALSE),
                       ""
                       )</f>
        <v>#N/A</v>
      </c>
      <c r="F88" s="361" t="e">
        <f t="shared" si="69"/>
        <v>#N/A</v>
      </c>
      <c r="G88" s="134">
        <v>1.1682294879999999</v>
      </c>
      <c r="H88" s="361">
        <f t="shared" si="70"/>
        <v>1.1682294879999999</v>
      </c>
      <c r="I88" s="362">
        <f t="shared" si="71"/>
        <v>1.1682294879999999</v>
      </c>
      <c r="M88" s="216" t="e">
        <v>#N/A</v>
      </c>
      <c r="N88" s="324" t="str">
        <f t="shared" si="72"/>
        <v/>
      </c>
      <c r="O88" s="134" t="str">
        <f>CHOOSE($B88,
                       VLOOKUP(N88,[2]EUR3M!$E$2:$H$1000,4,FALSE),
                       VLOOKUP(N88,[2]EUR3M!$C$2:$H$1000,6,FALSE),
                       VLOOKUP(N88,[2]EUR3M!$B$2:$H$1000,7,FALSE),
                       VLOOKUP(N88,[2]EUR3M!$E$2:$H$1000,4,FALSE),
                       ""
                       )</f>
        <v/>
      </c>
      <c r="P88" s="173" t="str">
        <f t="shared" si="73"/>
        <v/>
      </c>
      <c r="Q88" s="134" t="s">
        <v>23</v>
      </c>
      <c r="R88" s="130" t="b">
        <f t="shared" si="74"/>
        <v>0</v>
      </c>
      <c r="S88" s="134">
        <v>-0.324285763</v>
      </c>
      <c r="T88" s="173">
        <f t="shared" si="75"/>
        <v>-0.324285763</v>
      </c>
      <c r="U88" s="219">
        <f t="shared" si="76"/>
        <v>-0.324285763</v>
      </c>
      <c r="W88" s="216" t="str">
        <v>40Y</v>
      </c>
      <c r="X88" s="324" t="str">
        <f t="shared" si="77"/>
        <v/>
      </c>
      <c r="Y88" s="134" t="e">
        <f xml:space="preserve"> CHOOSE(NA(),
                       VLOOKUP(X88,[3]EUR1Y!$E$2:$H$1000,4,FALSE),
                       VLOOKUP(X88,[3]EUR1Y!$C$2:$H$1000,6,FALSE),
                       VLOOKUP(X88,[3]EUR1Y!$B$2:$H$1000,7,FALSE),
                       VLOOKUP(X88,[3]EUR1Y!$E$2:$H$1000,4,FALSE),
                       ""
                       )</f>
        <v>#N/A</v>
      </c>
      <c r="Z88" s="173" t="e">
        <f t="shared" si="78"/>
        <v>#N/A</v>
      </c>
      <c r="AA88" s="134">
        <v>1.2190000000000001</v>
      </c>
      <c r="AB88" s="173">
        <f t="shared" si="79"/>
        <v>1.2190000000000001</v>
      </c>
      <c r="AC88" s="219">
        <f t="shared" si="80"/>
        <v>1.2190000000000001</v>
      </c>
      <c r="AI88" s="4" t="e">
        <v>#N/A</v>
      </c>
      <c r="AM88" s="30"/>
      <c r="AN88" s="328"/>
      <c r="AO88" s="328"/>
      <c r="AP88" s="329"/>
      <c r="AQ88" s="328"/>
      <c r="AR88" s="329"/>
      <c r="AS88" s="202"/>
      <c r="AU88" s="30"/>
      <c r="BA88" s="121"/>
      <c r="BD88" s="321" t="str">
        <v>39Y</v>
      </c>
      <c r="BE88" s="348">
        <f t="shared" si="59"/>
        <v>1.1682294879999999</v>
      </c>
      <c r="BF88" s="321" t="str">
        <v>40Y</v>
      </c>
      <c r="BG88" s="426" t="b">
        <f t="shared" si="85"/>
        <v>0</v>
      </c>
      <c r="BH88" s="426" t="b">
        <f t="shared" si="67"/>
        <v>1</v>
      </c>
      <c r="BI88" s="426" t="b">
        <f t="shared" si="86"/>
        <v>1</v>
      </c>
      <c r="BJ88" s="426" t="str">
        <v>S/N</v>
      </c>
      <c r="BK88" s="30">
        <f t="shared" si="62"/>
        <v>-0.324285763</v>
      </c>
      <c r="BL88" s="321" t="str">
        <v>40Y</v>
      </c>
      <c r="BM88" s="30">
        <f t="shared" si="63"/>
        <v>1.2190000000000001</v>
      </c>
      <c r="BN88" s="217" t="str">
        <v/>
      </c>
      <c r="BO88" s="352" t="e">
        <f>VLOOKUP($AK$21&amp;"|"&amp;$A91,CurveRefTable,$H$5,FALSE)+0</f>
        <v>#N/A</v>
      </c>
      <c r="CS88" s="332"/>
      <c r="CT88" s="366" t="s">
        <v>4072</v>
      </c>
      <c r="CU88" s="307" t="s">
        <v>208</v>
      </c>
      <c r="CV88" s="307" t="s">
        <v>4059</v>
      </c>
      <c r="CW88" s="366" t="s">
        <v>30</v>
      </c>
      <c r="CX88" s="307">
        <v>-0.37198332000000001</v>
      </c>
      <c r="CY88" s="307">
        <v>-0.37198332000000001</v>
      </c>
      <c r="CZ88" s="307">
        <v>-0.37198332000000001</v>
      </c>
    </row>
    <row r="89" spans="1:104">
      <c r="A89" s="130" t="e">
        <v>#N/A</v>
      </c>
      <c r="B89" s="206" t="e">
        <v>#N/A</v>
      </c>
      <c r="C89" s="321" t="str">
        <v>40Y</v>
      </c>
      <c r="D89" s="415" t="str">
        <f t="shared" si="68"/>
        <v>40Y</v>
      </c>
      <c r="E89" s="360" t="e">
        <f>CHOOSE(NA(),
                       VLOOKUP(D89,[1]EUR6M!$E$2:$H$1000,4,FALSE),
                       VLOOKUP(D89,[1]EUR6M!$C$2:$H$1000,6,FALSE),
                       VLOOKUP(D89,[1]EUR6M!$B$2:$H$1000,7,FALSE),
                       VLOOKUP(D89,[1]EUR6M!$E$2:$H$1000,4,FALSE),
                       ""
                       )</f>
        <v>#N/A</v>
      </c>
      <c r="F89" s="361" t="e">
        <f t="shared" si="69"/>
        <v>#N/A</v>
      </c>
      <c r="G89" s="134">
        <v>1.165</v>
      </c>
      <c r="H89" s="361">
        <f t="shared" si="70"/>
        <v>1.165</v>
      </c>
      <c r="I89" s="362">
        <f t="shared" si="71"/>
        <v>1.165</v>
      </c>
      <c r="M89" s="216" t="e">
        <v>#N/A</v>
      </c>
      <c r="N89" s="324" t="e">
        <f t="shared" si="72"/>
        <v>#N/A</v>
      </c>
      <c r="O89" s="134" t="e">
        <f>CHOOSE($B89,
                       VLOOKUP(N89,[2]EUR3M!$E$2:$H$1000,4,FALSE),
                       VLOOKUP(N89,[2]EUR3M!$C$2:$H$1000,6,FALSE),
                       VLOOKUP(N89,[2]EUR3M!$B$2:$H$1000,7,FALSE),
                       VLOOKUP(N89,[2]EUR3M!$E$2:$H$1000,4,FALSE),
                       ""
                       )</f>
        <v>#N/A</v>
      </c>
      <c r="P89" s="173" t="e">
        <f t="shared" si="73"/>
        <v>#N/A</v>
      </c>
      <c r="Q89" s="134" t="s">
        <v>65</v>
      </c>
      <c r="R89" s="130" t="b">
        <f t="shared" si="74"/>
        <v>0</v>
      </c>
      <c r="S89" s="134" t="e">
        <v>#N/A</v>
      </c>
      <c r="T89" s="173" t="e">
        <f t="shared" si="75"/>
        <v>#N/A</v>
      </c>
      <c r="U89" s="219" t="e">
        <f t="shared" si="76"/>
        <v>#N/A</v>
      </c>
      <c r="W89" s="216" t="str">
        <v>50Y</v>
      </c>
      <c r="X89" s="324" t="e">
        <f t="shared" si="77"/>
        <v>#N/A</v>
      </c>
      <c r="Y89" s="134" t="e">
        <f xml:space="preserve"> CHOOSE(NA(),
                       VLOOKUP(X89,[3]EUR1Y!$E$2:$H$1000,4,FALSE),
                       VLOOKUP(X89,[3]EUR1Y!$C$2:$H$1000,6,FALSE),
                       VLOOKUP(X89,[3]EUR1Y!$B$2:$H$1000,7,FALSE),
                       VLOOKUP(X89,[3]EUR1Y!$E$2:$H$1000,4,FALSE),
                       ""
                       )</f>
        <v>#N/A</v>
      </c>
      <c r="Z89" s="173" t="e">
        <f t="shared" si="78"/>
        <v>#N/A</v>
      </c>
      <c r="AA89" s="134">
        <v>1.1599999999999999</v>
      </c>
      <c r="AB89" s="173">
        <f t="shared" si="79"/>
        <v>1.1599999999999999</v>
      </c>
      <c r="AC89" s="219">
        <f t="shared" si="80"/>
        <v>1.1599999999999999</v>
      </c>
      <c r="AM89" s="30"/>
      <c r="AN89" s="30"/>
      <c r="AO89" s="30"/>
      <c r="AP89" s="30"/>
      <c r="AQ89" s="30"/>
      <c r="AR89" s="30"/>
      <c r="AS89" s="30"/>
      <c r="AU89" s="30"/>
      <c r="BD89" s="321" t="str">
        <v>40Y</v>
      </c>
      <c r="BE89" s="348">
        <f t="shared" si="59"/>
        <v>1.165</v>
      </c>
      <c r="BF89" s="321" t="str">
        <v>50Y</v>
      </c>
      <c r="BG89" s="426" t="b">
        <f t="shared" si="85"/>
        <v>0</v>
      </c>
      <c r="BH89" s="426" t="b">
        <f t="shared" si="67"/>
        <v>1</v>
      </c>
      <c r="BI89" s="426" t="b">
        <f t="shared" si="86"/>
        <v>1</v>
      </c>
      <c r="BJ89" s="426" t="str">
        <v/>
      </c>
      <c r="BK89" s="30" t="e">
        <f t="shared" si="62"/>
        <v>#N/A</v>
      </c>
      <c r="BL89" s="321" t="str">
        <v>50Y</v>
      </c>
      <c r="BM89" s="349">
        <f t="shared" si="63"/>
        <v>1.1599999999999999</v>
      </c>
      <c r="CS89" s="332"/>
      <c r="CT89" s="366" t="s">
        <v>4073</v>
      </c>
      <c r="CU89" s="307" t="s">
        <v>208</v>
      </c>
      <c r="CV89" s="307" t="s">
        <v>4059</v>
      </c>
      <c r="CW89" s="366" t="s">
        <v>49</v>
      </c>
      <c r="CX89" s="307">
        <v>-0.37198094599999998</v>
      </c>
      <c r="CY89" s="307">
        <v>-0.37198094599999998</v>
      </c>
      <c r="CZ89" s="307">
        <v>-0.37198094599999998</v>
      </c>
    </row>
    <row r="90" spans="1:104">
      <c r="A90" s="130" t="e">
        <v>#N/A</v>
      </c>
      <c r="B90" s="206" t="e">
        <v>#N/A</v>
      </c>
      <c r="C90" s="321" t="str">
        <v>50Y</v>
      </c>
      <c r="D90" s="415" t="str">
        <f t="shared" si="68"/>
        <v>50Y</v>
      </c>
      <c r="E90" s="360" t="e">
        <f>CHOOSE(NA(),
                       VLOOKUP(D90,[1]EUR6M!$E$2:$H$1000,4,FALSE),
                       VLOOKUP(D90,[1]EUR6M!$C$2:$H$1000,6,FALSE),
                       VLOOKUP(D90,[1]EUR6M!$B$2:$H$1000,7,FALSE),
                       VLOOKUP(D90,[1]EUR6M!$E$2:$H$1000,4,FALSE),
                       ""
                       )</f>
        <v>#N/A</v>
      </c>
      <c r="F90" s="361" t="e">
        <f t="shared" si="69"/>
        <v>#N/A</v>
      </c>
      <c r="G90" s="134">
        <v>1.111</v>
      </c>
      <c r="H90" s="361">
        <f t="shared" si="70"/>
        <v>1.111</v>
      </c>
      <c r="I90" s="362">
        <f t="shared" si="71"/>
        <v>1.111</v>
      </c>
      <c r="M90" s="216" t="e">
        <v>#N/A</v>
      </c>
      <c r="N90" s="324" t="e">
        <f t="shared" si="72"/>
        <v>#N/A</v>
      </c>
      <c r="O90" s="134" t="e">
        <f>CHOOSE($B90,
                       VLOOKUP(N90,[2]EUR3M!$E$2:$H$1000,4,FALSE),
                       VLOOKUP(N90,[2]EUR3M!$C$2:$H$1000,6,FALSE),
                       VLOOKUP(N90,[2]EUR3M!$B$2:$H$1000,7,FALSE),
                       VLOOKUP(N90,[2]EUR3M!$E$2:$H$1000,4,FALSE),
                       ""
                       )</f>
        <v>#N/A</v>
      </c>
      <c r="P90" s="173" t="e">
        <f t="shared" si="73"/>
        <v>#N/A</v>
      </c>
      <c r="Q90" s="134" t="s">
        <v>65</v>
      </c>
      <c r="R90" s="130" t="b">
        <f t="shared" si="74"/>
        <v>0</v>
      </c>
      <c r="S90" s="134" t="e">
        <v>#N/A</v>
      </c>
      <c r="T90" s="173" t="e">
        <f t="shared" si="75"/>
        <v>#N/A</v>
      </c>
      <c r="U90" s="219" t="e">
        <f t="shared" si="76"/>
        <v>#N/A</v>
      </c>
      <c r="W90" s="216" t="str">
        <v>60Y</v>
      </c>
      <c r="X90" s="324" t="e">
        <f t="shared" si="77"/>
        <v>#N/A</v>
      </c>
      <c r="Y90" s="134" t="e">
        <f xml:space="preserve"> CHOOSE(NA(),
                       VLOOKUP(X90,[3]EUR1Y!$E$2:$H$1000,4,FALSE),
                       VLOOKUP(X90,[3]EUR1Y!$C$2:$H$1000,6,FALSE),
                       VLOOKUP(X90,[3]EUR1Y!$B$2:$H$1000,7,FALSE),
                       VLOOKUP(X90,[3]EUR1Y!$E$2:$H$1000,4,FALSE),
                       ""
                       )</f>
        <v>#N/A</v>
      </c>
      <c r="Z90" s="173" t="e">
        <f t="shared" si="78"/>
        <v>#N/A</v>
      </c>
      <c r="AA90" s="134">
        <v>1.121</v>
      </c>
      <c r="AB90" s="173">
        <f t="shared" si="79"/>
        <v>1.121</v>
      </c>
      <c r="AC90" s="219">
        <f t="shared" si="80"/>
        <v>1.121</v>
      </c>
      <c r="BD90" s="321" t="str">
        <v>50Y</v>
      </c>
      <c r="BE90" s="348">
        <f t="shared" si="59"/>
        <v>1.111</v>
      </c>
      <c r="BF90" s="321" t="str">
        <v>60Y</v>
      </c>
      <c r="BG90" s="426" t="b">
        <f t="shared" si="85"/>
        <v>0</v>
      </c>
      <c r="BH90" s="426" t="b">
        <f t="shared" si="67"/>
        <v>1</v>
      </c>
      <c r="BI90" s="426" t="b">
        <f t="shared" si="86"/>
        <v>1</v>
      </c>
      <c r="BJ90" s="426" t="str">
        <v/>
      </c>
      <c r="BK90" s="30" t="e">
        <f t="shared" si="62"/>
        <v>#N/A</v>
      </c>
      <c r="BL90" s="321" t="str">
        <v>60Y</v>
      </c>
      <c r="BM90" s="349">
        <f t="shared" si="63"/>
        <v>1.121</v>
      </c>
      <c r="CS90" s="332"/>
      <c r="CT90" s="366" t="s">
        <v>4074</v>
      </c>
      <c r="CU90" s="307" t="s">
        <v>208</v>
      </c>
      <c r="CV90" s="307" t="s">
        <v>4059</v>
      </c>
      <c r="CW90" s="366" t="s">
        <v>50</v>
      </c>
      <c r="CX90" s="307">
        <v>-0.37098066899999999</v>
      </c>
      <c r="CY90" s="307">
        <v>-0.37098066899999999</v>
      </c>
      <c r="CZ90" s="307">
        <v>-0.37098066899999999</v>
      </c>
    </row>
    <row r="91" spans="1:104" collapsed="1">
      <c r="A91" s="139" t="e">
        <v>#N/A</v>
      </c>
      <c r="B91" s="333" t="e">
        <v>#N/A</v>
      </c>
      <c r="C91" s="322" t="str">
        <v>60Y</v>
      </c>
      <c r="D91" s="422" t="str">
        <f t="shared" si="68"/>
        <v>60Y</v>
      </c>
      <c r="E91" s="363" t="e">
        <f>CHOOSE(NA(),
                       VLOOKUP(D91,[1]EUR6M!$E$2:$H$1000,4,FALSE),
                       VLOOKUP(D91,[1]EUR6M!$C$2:$H$1000,6,FALSE),
                       VLOOKUP(D91,[1]EUR6M!$B$2:$H$1000,7,FALSE),
                       VLOOKUP(D91,[1]EUR6M!$E$2:$H$1000,4,FALSE),
                       ""
                       )</f>
        <v>#N/A</v>
      </c>
      <c r="F91" s="364" t="e">
        <f t="shared" si="69"/>
        <v>#N/A</v>
      </c>
      <c r="G91" s="135">
        <v>1.0760000000000001</v>
      </c>
      <c r="H91" s="364">
        <f t="shared" si="70"/>
        <v>1.0760000000000001</v>
      </c>
      <c r="I91" s="365">
        <f t="shared" si="71"/>
        <v>1.0760000000000001</v>
      </c>
      <c r="M91" s="217" t="e">
        <v>#N/A</v>
      </c>
      <c r="N91" s="160" t="e">
        <f t="shared" si="72"/>
        <v>#N/A</v>
      </c>
      <c r="O91" s="135" t="e">
        <f>CHOOSE($B91,
                       VLOOKUP(N91,[2]EUR3M!$E$2:$H$1000,4,FALSE),
                       VLOOKUP(N91,[2]EUR3M!$C$2:$H$1000,6,FALSE),
                       VLOOKUP(N91,[2]EUR3M!$B$2:$H$1000,7,FALSE),
                       VLOOKUP(N91,[2]EUR3M!$E$2:$H$1000,4,FALSE),
                       ""
                       )</f>
        <v>#N/A</v>
      </c>
      <c r="P91" s="178" t="e">
        <f t="shared" si="73"/>
        <v>#N/A</v>
      </c>
      <c r="Q91" s="135" t="s">
        <v>65</v>
      </c>
      <c r="R91" s="139" t="b">
        <f t="shared" si="74"/>
        <v>0</v>
      </c>
      <c r="S91" s="135" t="e">
        <v>#N/A</v>
      </c>
      <c r="T91" s="178" t="e">
        <f t="shared" si="75"/>
        <v>#N/A</v>
      </c>
      <c r="U91" s="220" t="e">
        <f t="shared" si="76"/>
        <v>#N/A</v>
      </c>
      <c r="W91" s="217" t="e">
        <v>#N/A</v>
      </c>
      <c r="X91" s="160" t="e">
        <f t="shared" si="77"/>
        <v>#N/A</v>
      </c>
      <c r="Y91" s="135" t="e">
        <f xml:space="preserve"> CHOOSE(NA(),
                       VLOOKUP(X91,[3]EUR1Y!$E$2:$H$1000,4,FALSE),
                       VLOOKUP(X91,[3]EUR1Y!$C$2:$H$1000,6,FALSE),
                       VLOOKUP(X91,[3]EUR1Y!$B$2:$H$1000,7,FALSE),
                       VLOOKUP(X91,[3]EUR1Y!$E$2:$H$1000,4,FALSE),
                       ""
                       )</f>
        <v>#N/A</v>
      </c>
      <c r="Z91" s="178" t="e">
        <f t="shared" si="78"/>
        <v>#N/A</v>
      </c>
      <c r="AA91" s="135" t="e">
        <v>#N/A</v>
      </c>
      <c r="AB91" s="178" t="e">
        <f t="shared" si="79"/>
        <v>#N/A</v>
      </c>
      <c r="AC91" s="220" t="e">
        <f t="shared" si="80"/>
        <v>#N/A</v>
      </c>
      <c r="BD91" s="322" t="str">
        <v>60Y</v>
      </c>
      <c r="BE91" s="350">
        <f t="shared" si="59"/>
        <v>1.0760000000000001</v>
      </c>
      <c r="BF91" s="322" t="str">
        <v>S/N</v>
      </c>
      <c r="BG91" s="427" t="b">
        <f t="shared" si="85"/>
        <v>0</v>
      </c>
      <c r="BH91" s="427" t="b">
        <f t="shared" si="67"/>
        <v>1</v>
      </c>
      <c r="BI91" s="427" t="b">
        <f t="shared" si="86"/>
        <v>1</v>
      </c>
      <c r="BJ91" s="427" t="str">
        <v/>
      </c>
      <c r="BK91" s="351" t="e">
        <f t="shared" si="62"/>
        <v>#N/A</v>
      </c>
      <c r="BL91" s="322" t="e">
        <v>#N/A</v>
      </c>
      <c r="BM91" s="352" t="e">
        <f t="shared" si="63"/>
        <v>#N/A</v>
      </c>
      <c r="CS91" s="332"/>
      <c r="CT91" s="366" t="s">
        <v>4075</v>
      </c>
      <c r="CU91" s="307" t="s">
        <v>208</v>
      </c>
      <c r="CV91" s="307" t="s">
        <v>4059</v>
      </c>
      <c r="CW91" s="366" t="s">
        <v>51</v>
      </c>
      <c r="CX91" s="307">
        <v>-0.36997957100000001</v>
      </c>
      <c r="CY91" s="307">
        <v>-0.36997957100000001</v>
      </c>
      <c r="CZ91" s="307">
        <v>-0.36997957100000001</v>
      </c>
    </row>
    <row r="92" spans="1:104">
      <c r="CS92" s="332"/>
      <c r="CT92" s="366" t="s">
        <v>4076</v>
      </c>
      <c r="CU92" s="307" t="s">
        <v>208</v>
      </c>
      <c r="CV92" s="307" t="s">
        <v>4059</v>
      </c>
      <c r="CW92" s="366" t="s">
        <v>52</v>
      </c>
      <c r="CX92" s="307">
        <v>-0.36897945799999998</v>
      </c>
      <c r="CY92" s="307">
        <v>-0.36897945799999998</v>
      </c>
      <c r="CZ92" s="307">
        <v>-0.36897945799999998</v>
      </c>
    </row>
    <row r="93" spans="1:104">
      <c r="CS93" s="332"/>
      <c r="CT93" s="366" t="s">
        <v>4077</v>
      </c>
      <c r="CU93" s="307" t="s">
        <v>208</v>
      </c>
      <c r="CV93" s="307" t="s">
        <v>4059</v>
      </c>
      <c r="CW93" s="366" t="s">
        <v>94</v>
      </c>
      <c r="CX93" s="307">
        <v>-0.37092825800000001</v>
      </c>
      <c r="CY93" s="307">
        <v>-0.37092825800000001</v>
      </c>
      <c r="CZ93" s="307">
        <v>-0.37092825800000001</v>
      </c>
    </row>
    <row r="94" spans="1:104">
      <c r="D94" s="562" t="s">
        <v>777</v>
      </c>
      <c r="E94" s="564"/>
      <c r="F94" s="563"/>
      <c r="G94" s="562" t="s">
        <v>778</v>
      </c>
      <c r="H94" s="563"/>
      <c r="I94" s="327" t="s">
        <v>655</v>
      </c>
      <c r="N94" s="562" t="s">
        <v>777</v>
      </c>
      <c r="O94" s="564"/>
      <c r="P94" s="563"/>
      <c r="Q94" s="562" t="s">
        <v>778</v>
      </c>
      <c r="R94" s="564"/>
      <c r="S94" s="564"/>
      <c r="T94" s="563"/>
      <c r="U94" s="327" t="s">
        <v>829</v>
      </c>
      <c r="X94" s="562" t="s">
        <v>777</v>
      </c>
      <c r="Y94" s="564"/>
      <c r="Z94" s="563"/>
      <c r="AA94" s="562" t="s">
        <v>778</v>
      </c>
      <c r="AB94" s="563"/>
      <c r="AC94" s="327" t="s">
        <v>649</v>
      </c>
      <c r="AF94" s="562" t="s">
        <v>777</v>
      </c>
      <c r="AG94" s="564"/>
      <c r="AH94" s="563"/>
      <c r="AI94" s="562" t="s">
        <v>778</v>
      </c>
      <c r="AJ94" s="563"/>
      <c r="AK94" s="327" t="s">
        <v>651</v>
      </c>
      <c r="AN94" s="562" t="s">
        <v>777</v>
      </c>
      <c r="AO94" s="564"/>
      <c r="AP94" s="563"/>
      <c r="AQ94" s="562" t="s">
        <v>778</v>
      </c>
      <c r="AR94" s="563"/>
      <c r="AS94" s="327" t="s">
        <v>653</v>
      </c>
      <c r="AV94" s="562" t="s">
        <v>777</v>
      </c>
      <c r="AW94" s="564"/>
      <c r="AX94" s="563"/>
      <c r="AY94" s="562" t="s">
        <v>778</v>
      </c>
      <c r="AZ94" s="563"/>
      <c r="BA94" s="327" t="s">
        <v>1164</v>
      </c>
      <c r="CS94" s="332"/>
      <c r="CT94" s="366" t="s">
        <v>4078</v>
      </c>
      <c r="CU94" s="307" t="s">
        <v>208</v>
      </c>
      <c r="CV94" s="307" t="s">
        <v>4059</v>
      </c>
      <c r="CW94" s="366" t="s">
        <v>95</v>
      </c>
      <c r="CX94" s="307">
        <v>-0.36390019000000001</v>
      </c>
      <c r="CY94" s="307">
        <v>-0.36390019000000001</v>
      </c>
      <c r="CZ94" s="307">
        <v>-0.36390019000000001</v>
      </c>
    </row>
    <row r="95" spans="1:104">
      <c r="C95" s="523" t="s">
        <v>479</v>
      </c>
      <c r="D95" s="523" t="s">
        <v>90</v>
      </c>
      <c r="E95" s="524" t="s">
        <v>779</v>
      </c>
      <c r="F95" s="525" t="s">
        <v>91</v>
      </c>
      <c r="G95" s="524" t="s">
        <v>779</v>
      </c>
      <c r="H95" s="524" t="s">
        <v>91</v>
      </c>
      <c r="I95" s="526" t="s">
        <v>91</v>
      </c>
      <c r="M95" s="203" t="s">
        <v>52</v>
      </c>
      <c r="N95" s="203" t="s">
        <v>90</v>
      </c>
      <c r="O95" s="204" t="s">
        <v>779</v>
      </c>
      <c r="P95" s="323" t="s">
        <v>91</v>
      </c>
      <c r="Q95" s="204" t="s">
        <v>779</v>
      </c>
      <c r="R95" s="204"/>
      <c r="S95" s="204"/>
      <c r="T95" s="204" t="s">
        <v>91</v>
      </c>
      <c r="U95" s="205" t="s">
        <v>91</v>
      </c>
      <c r="W95" s="203" t="s">
        <v>7</v>
      </c>
      <c r="X95" s="203" t="s">
        <v>90</v>
      </c>
      <c r="Y95" s="204" t="s">
        <v>779</v>
      </c>
      <c r="Z95" s="323" t="s">
        <v>91</v>
      </c>
      <c r="AA95" s="204" t="s">
        <v>779</v>
      </c>
      <c r="AB95" s="204" t="s">
        <v>91</v>
      </c>
      <c r="AC95" s="205" t="s">
        <v>91</v>
      </c>
      <c r="AE95" s="203" t="s">
        <v>25</v>
      </c>
      <c r="AF95" s="203" t="s">
        <v>90</v>
      </c>
      <c r="AG95" s="204" t="s">
        <v>779</v>
      </c>
      <c r="AH95" s="323" t="s">
        <v>91</v>
      </c>
      <c r="AI95" s="204" t="s">
        <v>779</v>
      </c>
      <c r="AJ95" s="204" t="s">
        <v>91</v>
      </c>
      <c r="AK95" s="205" t="s">
        <v>91</v>
      </c>
      <c r="AM95" s="203" t="s">
        <v>28</v>
      </c>
      <c r="AN95" s="203" t="s">
        <v>90</v>
      </c>
      <c r="AO95" s="204" t="s">
        <v>779</v>
      </c>
      <c r="AP95" s="323" t="s">
        <v>91</v>
      </c>
      <c r="AQ95" s="204" t="s">
        <v>779</v>
      </c>
      <c r="AR95" s="204" t="s">
        <v>91</v>
      </c>
      <c r="AS95" s="205" t="s">
        <v>91</v>
      </c>
      <c r="AU95" s="203" t="s">
        <v>86</v>
      </c>
      <c r="AV95" s="203" t="s">
        <v>90</v>
      </c>
      <c r="AW95" s="204" t="s">
        <v>779</v>
      </c>
      <c r="AX95" s="204" t="s">
        <v>91</v>
      </c>
      <c r="AY95" s="204" t="s">
        <v>779</v>
      </c>
      <c r="AZ95" s="204" t="s">
        <v>91</v>
      </c>
      <c r="BA95" s="205" t="s">
        <v>91</v>
      </c>
      <c r="BE95" s="327" t="str">
        <f>$I$94</f>
        <v>USD :STD</v>
      </c>
      <c r="BK95" s="327" t="str">
        <f>$U$94</f>
        <v>USD 12M</v>
      </c>
      <c r="BM95" s="327" t="str">
        <f>$AC$94</f>
        <v>USD 1M</v>
      </c>
      <c r="BO95" s="327" t="str">
        <f>$AK$94</f>
        <v>USD 3M</v>
      </c>
      <c r="BP95" s="327" t="str">
        <f>$AS$94</f>
        <v>USD 6M</v>
      </c>
      <c r="BR95" s="327" t="str">
        <f>$BA$94</f>
        <v>USD OIS</v>
      </c>
      <c r="CS95" s="332"/>
      <c r="CT95" s="366" t="s">
        <v>4079</v>
      </c>
      <c r="CU95" s="307" t="s">
        <v>208</v>
      </c>
      <c r="CV95" s="307" t="s">
        <v>4059</v>
      </c>
      <c r="CW95" s="366" t="s">
        <v>96</v>
      </c>
      <c r="CX95" s="307">
        <v>-0.35671276000000002</v>
      </c>
      <c r="CY95" s="307">
        <v>-0.35671276000000002</v>
      </c>
      <c r="CZ95" s="307">
        <v>-0.35671276000000002</v>
      </c>
    </row>
    <row r="96" spans="1:104" ht="12.75" customHeight="1">
      <c r="A96" s="527" t="str">
        <f t="array" ref="A96:A150">UsdCommonMxSearch</f>
        <v>O/N</v>
      </c>
      <c r="B96" s="528">
        <f t="array" ref="B96:B150">UsdCommon_InstrumentN</f>
        <v>1</v>
      </c>
      <c r="C96" s="529" t="str">
        <f t="array" ref="C96:C150">UsdCommonBucket</f>
        <v>O/N</v>
      </c>
      <c r="D96" s="530" t="str">
        <f t="shared" ref="D96:D110" si="87">CHOOSE($B96,C96,C96,C96+0,C96,"")</f>
        <v>O/N</v>
      </c>
      <c r="E96" s="531">
        <f>IF($B96&lt;&gt;5,VLOOKUP(D96,[7]USDStd!$E$2:$H$100,4,FALSE),"")</f>
        <v>0.1</v>
      </c>
      <c r="F96" s="532">
        <f>IF(E96=0,NA(),IF($B96=3,100-E96,E96))</f>
        <v>0.1</v>
      </c>
      <c r="G96" s="434">
        <v>0.65</v>
      </c>
      <c r="H96" s="532">
        <f>IF(G96=0,NA(),IF($B96=3,100-G96,G96))</f>
        <v>0.65</v>
      </c>
      <c r="I96" s="533">
        <f t="shared" ref="I96:I127" si="88">CHOOSE(OrdMethod,F96,H96)</f>
        <v>0.65</v>
      </c>
      <c r="M96" s="529" t="str">
        <f t="array" ref="M96:M150">UsdCommonBucket</f>
        <v>O/N</v>
      </c>
      <c r="N96" s="530" t="str">
        <f t="shared" ref="N96:N110" si="89">CHOOSE($B96,M96,M96,M96+0,M96,"")</f>
        <v>O/N</v>
      </c>
      <c r="O96" s="531">
        <f>IF($B96&lt;&gt;5,VLOOKUP(N96,[8]USD12M!$E$2:$H$100,4,FALSE),"")</f>
        <v>0.1</v>
      </c>
      <c r="P96" s="532">
        <f>IF(O96=0,NA(),IF($B96=3,100-O96,O96))</f>
        <v>0.1</v>
      </c>
      <c r="Q96" s="434">
        <v>0.65</v>
      </c>
      <c r="R96" s="434"/>
      <c r="S96" s="434"/>
      <c r="T96" s="532">
        <f t="shared" ref="T96:T127" si="90">IF(Q96=0,NA(),IF($B96=3,100-Q96,Q96))</f>
        <v>0.65</v>
      </c>
      <c r="U96" s="533">
        <f t="shared" ref="U96:U127" si="91">CHOOSE(OrdMethod,P96,T96)</f>
        <v>0.65</v>
      </c>
      <c r="W96" s="529" t="str">
        <f t="array" ref="W96:W150">UsdCommonBucket</f>
        <v>O/N</v>
      </c>
      <c r="X96" s="530" t="str">
        <f t="shared" ref="X96:X110" si="92">CHOOSE($B96,W96,W96,W96+0,W96,"")</f>
        <v>O/N</v>
      </c>
      <c r="Y96" s="531">
        <f>IF($B96&lt;&gt;5,VLOOKUP(X96,[9]USD1M!$E$2:$H$100,4,FALSE),"")</f>
        <v>0.1</v>
      </c>
      <c r="Z96" s="532">
        <f>IF(Y96=0,NA(),IF($B96=3,100-Y96,Y96))</f>
        <v>0.1</v>
      </c>
      <c r="AA96" s="434">
        <v>0.65</v>
      </c>
      <c r="AB96" s="532">
        <f>IF(AA96=0,NA(),IF($B96=3,100-AA96,AA96))</f>
        <v>0.65</v>
      </c>
      <c r="AC96" s="533">
        <f t="shared" ref="AC96:AC127" si="93">CHOOSE(OrdMethod,Z96,AB96)</f>
        <v>0.65</v>
      </c>
      <c r="AE96" s="529" t="str">
        <f t="array" ref="AE96:AE150">UsdCommonBucket</f>
        <v>O/N</v>
      </c>
      <c r="AF96" s="530" t="str">
        <f t="shared" ref="AF96:AF110" si="94">CHOOSE($B96,AE96,AE96,AE96+0,AE96,"")</f>
        <v>O/N</v>
      </c>
      <c r="AG96" s="531">
        <f>IF($B96&lt;&gt;5,VLOOKUP(AF96,[10]USD3M!$E$2:$H$100,4,FALSE),"")</f>
        <v>0.1</v>
      </c>
      <c r="AH96" s="532">
        <f>IF(AG96=0,NA(),IF($B96=3,100-AG96,AG96))</f>
        <v>0.1</v>
      </c>
      <c r="AI96" s="434">
        <v>0.65</v>
      </c>
      <c r="AJ96" s="532">
        <f>IF(AI96=0,NA(),IF($B96=3,100-AI96,AI96))</f>
        <v>0.65</v>
      </c>
      <c r="AK96" s="533">
        <f t="shared" ref="AK96:AK127" si="95">CHOOSE(OrdMethod,AH96,AJ96)</f>
        <v>0.65</v>
      </c>
      <c r="AM96" s="529" t="str">
        <f t="array" ref="AM96:AM150">UsdCommonBucket</f>
        <v>O/N</v>
      </c>
      <c r="AN96" s="530" t="str">
        <f t="shared" ref="AN96:AN110" si="96">CHOOSE($B96,AM96,AM96,AM96+0,AM96,"")</f>
        <v>O/N</v>
      </c>
      <c r="AO96" s="531">
        <f>IF($B96&lt;&gt;5,VLOOKUP(AN96,[11]USD6M!$E$2:$H$100,4,FALSE),"")</f>
        <v>0.1</v>
      </c>
      <c r="AP96" s="532">
        <f>IF(AO96=0,NA(),IF($B96=3,100-AO96,AO96))</f>
        <v>0.1</v>
      </c>
      <c r="AQ96" s="434">
        <v>0.65</v>
      </c>
      <c r="AR96" s="532">
        <f>IF(AQ96=0,NA(),IF($B96=3,100-AQ96,AQ96))</f>
        <v>0.65</v>
      </c>
      <c r="AS96" s="533">
        <f t="shared" ref="AS96:AS127" si="97">CHOOSE(OrdMethod,AP96,AR96)</f>
        <v>0.65</v>
      </c>
      <c r="AU96" s="529" t="str">
        <f t="array" ref="AU96:AU133">UsdBucketOIS</f>
        <v>O/N</v>
      </c>
      <c r="AV96" s="535" t="str">
        <f t="shared" ref="AV96:AV133" si="98">AU96</f>
        <v>O/N</v>
      </c>
      <c r="AW96" s="531" t="s">
        <v>1174</v>
      </c>
      <c r="AX96" s="532" t="str">
        <f t="shared" ref="AX96:AX133" si="99">IF(AW96=0,NA(),AW96)</f>
        <v>=IF($B96&lt;&gt;5,VLOOKUP(AT96,'\\Mxgui.ux.imilan.it\excel_file\[USDOIS.xls]USD6M'!$E$2:$H$100,4,FALSE),"")</v>
      </c>
      <c r="AY96" s="434">
        <v>0.5</v>
      </c>
      <c r="AZ96" s="532">
        <f t="shared" ref="AZ96:AZ133" si="100">IF(AY96=0,NA(),AY96)</f>
        <v>0.5</v>
      </c>
      <c r="BA96" s="533">
        <f t="shared" ref="BA96:BA133" si="101">CHOOSE(OrdMethod,AX96,AZ96)</f>
        <v>0.5</v>
      </c>
      <c r="BD96" s="423"/>
      <c r="BE96" s="346">
        <f t="shared" ref="BE96:BE127" si="102">VLOOKUP($I$94&amp;"|"&amp;$A96,CurveRefTable,$H$5,FALSE)+0</f>
        <v>0.65</v>
      </c>
      <c r="BF96" s="423"/>
      <c r="BG96" s="425"/>
      <c r="BH96" s="425"/>
      <c r="BI96" s="425"/>
      <c r="BJ96" s="425"/>
      <c r="BK96" s="344">
        <f t="shared" ref="BK96:BK127" si="103">VLOOKUP($U$94&amp;"|"&amp;$A96,CurveRefTable,$H$5,FALSE)+0</f>
        <v>0.65</v>
      </c>
      <c r="BL96" s="423"/>
      <c r="BM96" s="344">
        <f t="shared" ref="BM96:BM127" si="104">VLOOKUP($AC$94&amp;"|"&amp;$A96,CurveRefTable,$H$5,FALSE)+0</f>
        <v>0.65</v>
      </c>
      <c r="BN96" s="345" t="str">
        <f t="array" ref="BN96:BN161">[0]!CommonBucket</f>
        <v>O/N</v>
      </c>
      <c r="BO96" s="344">
        <f t="shared" ref="BO96:BO127" si="105">VLOOKUP($AK$94&amp;"|"&amp;$A96,CurveRefTable,$H$5,FALSE)+0</f>
        <v>0.65</v>
      </c>
      <c r="BP96" s="347">
        <f t="shared" ref="BP96:BP127" si="106">VLOOKUP($AS$94&amp;"|"&amp;$A96,CurveRefTable,$H$5,FALSE)+0</f>
        <v>0.65</v>
      </c>
      <c r="BQ96" s="226" t="str">
        <f t="array" ref="BQ96:BQ133">[0]!BucketOIS</f>
        <v>O/N</v>
      </c>
      <c r="BR96" s="347">
        <f t="shared" ref="BR96:BR133" si="107">VLOOKUP($BA$94&amp;"|"&amp;$AU96,CurveRefTable,$H$5,FALSE)+0</f>
        <v>0.5</v>
      </c>
      <c r="CS96" s="332"/>
      <c r="CT96" s="366" t="s">
        <v>4080</v>
      </c>
      <c r="CU96" s="307" t="s">
        <v>208</v>
      </c>
      <c r="CV96" s="307" t="s">
        <v>4059</v>
      </c>
      <c r="CW96" s="366" t="s">
        <v>9</v>
      </c>
      <c r="CX96" s="307">
        <v>-0.34699999999999998</v>
      </c>
      <c r="CY96" s="307">
        <v>-0.34699999999999998</v>
      </c>
      <c r="CZ96" s="307">
        <v>-0.34699999999999998</v>
      </c>
    </row>
    <row r="97" spans="1:104">
      <c r="A97" s="137" t="str">
        <v>T/N</v>
      </c>
      <c r="B97" s="130">
        <v>1</v>
      </c>
      <c r="C97" s="321" t="str">
        <v>T/N</v>
      </c>
      <c r="D97" s="359" t="str">
        <f t="shared" si="87"/>
        <v>T/N</v>
      </c>
      <c r="E97" s="360">
        <f>IF($B97&lt;&gt;5,VLOOKUP(D97,[7]USDStd!$E$2:$H$100,4,FALSE),"")</f>
        <v>0.13</v>
      </c>
      <c r="F97" s="361">
        <f t="shared" ref="F97:F150" si="108">IF(E97=0,NA(),IF($B97=3,100-E97,E97))</f>
        <v>0.13</v>
      </c>
      <c r="G97" s="134">
        <v>0.7</v>
      </c>
      <c r="H97" s="361">
        <f t="shared" ref="H97:H150" si="109">IF(G97=0,NA(),IF($B97=3,100-G97,G97))</f>
        <v>0.7</v>
      </c>
      <c r="I97" s="362">
        <f t="shared" si="88"/>
        <v>0.7</v>
      </c>
      <c r="M97" s="321" t="str">
        <v>T/N</v>
      </c>
      <c r="N97" s="359" t="str">
        <f t="shared" si="89"/>
        <v>T/N</v>
      </c>
      <c r="O97" s="360">
        <f>IF($B97&lt;&gt;5,VLOOKUP(N97,[8]USD12M!$E$2:$H$100,4,FALSE),"")</f>
        <v>0.13</v>
      </c>
      <c r="P97" s="361">
        <f t="shared" ref="P97:P150" si="110">IF(O97=0,NA(),IF($B97=3,100-O97,O97))</f>
        <v>0.13</v>
      </c>
      <c r="Q97" s="134">
        <v>0.7</v>
      </c>
      <c r="R97" s="134"/>
      <c r="S97" s="134"/>
      <c r="T97" s="361">
        <f t="shared" si="90"/>
        <v>0.7</v>
      </c>
      <c r="U97" s="362">
        <f t="shared" si="91"/>
        <v>0.7</v>
      </c>
      <c r="W97" s="321" t="str">
        <v>T/N</v>
      </c>
      <c r="X97" s="359" t="str">
        <f t="shared" si="92"/>
        <v>T/N</v>
      </c>
      <c r="Y97" s="360">
        <f>IF($B97&lt;&gt;5,VLOOKUP(X97,[9]USD1M!$E$2:$H$100,4,FALSE),"")</f>
        <v>0.13</v>
      </c>
      <c r="Z97" s="361">
        <f t="shared" ref="Z97:Z150" si="111">IF(Y97=0,NA(),IF($B97=3,100-Y97,Y97))</f>
        <v>0.13</v>
      </c>
      <c r="AA97" s="134">
        <v>0.7</v>
      </c>
      <c r="AB97" s="361">
        <f t="shared" ref="AB97:AB150" si="112">IF(AA97=0,NA(),IF($B97=3,100-AA97,AA97))</f>
        <v>0.7</v>
      </c>
      <c r="AC97" s="362">
        <f t="shared" si="93"/>
        <v>0.7</v>
      </c>
      <c r="AE97" s="321" t="str">
        <v>T/N</v>
      </c>
      <c r="AF97" s="359" t="str">
        <f t="shared" si="94"/>
        <v>T/N</v>
      </c>
      <c r="AG97" s="360">
        <f>IF($B97&lt;&gt;5,VLOOKUP(AF97,[10]USD3M!$E$2:$H$100,4,FALSE),"")</f>
        <v>0.13</v>
      </c>
      <c r="AH97" s="361">
        <f t="shared" ref="AH97:AH150" si="113">IF(AG97=0,NA(),IF($B97=3,100-AG97,AG97))</f>
        <v>0.13</v>
      </c>
      <c r="AI97" s="134">
        <v>0.7</v>
      </c>
      <c r="AJ97" s="361">
        <f t="shared" ref="AJ97:AJ150" si="114">IF(AI97=0,NA(),IF($B97=3,100-AI97,AI97))</f>
        <v>0.7</v>
      </c>
      <c r="AK97" s="362">
        <f t="shared" si="95"/>
        <v>0.7</v>
      </c>
      <c r="AM97" s="321" t="str">
        <v>T/N</v>
      </c>
      <c r="AN97" s="359" t="str">
        <f t="shared" si="96"/>
        <v>T/N</v>
      </c>
      <c r="AO97" s="360">
        <f>IF($B97&lt;&gt;5,VLOOKUP(AN97,[11]USD6M!$E$2:$H$100,4,FALSE),"")</f>
        <v>0.13</v>
      </c>
      <c r="AP97" s="361">
        <f t="shared" ref="AP97:AP150" si="115">IF(AO97=0,NA(),IF($B97=3,100-AO97,AO97))</f>
        <v>0.13</v>
      </c>
      <c r="AQ97" s="134">
        <v>0.7</v>
      </c>
      <c r="AR97" s="361">
        <f t="shared" ref="AR97:AR150" si="116">IF(AQ97=0,NA(),IF($B97=3,100-AQ97,AQ97))</f>
        <v>0.7</v>
      </c>
      <c r="AS97" s="362">
        <f t="shared" si="97"/>
        <v>0.7</v>
      </c>
      <c r="AU97" s="321" t="str">
        <v>T/N</v>
      </c>
      <c r="AV97" s="415" t="str">
        <f t="shared" si="98"/>
        <v>T/N</v>
      </c>
      <c r="AW97" s="360"/>
      <c r="AX97" s="361" t="e">
        <f t="shared" si="99"/>
        <v>#N/A</v>
      </c>
      <c r="AY97" s="134">
        <v>0.5</v>
      </c>
      <c r="AZ97" s="361">
        <f t="shared" si="100"/>
        <v>0.5</v>
      </c>
      <c r="BA97" s="362">
        <f t="shared" si="101"/>
        <v>0.5</v>
      </c>
      <c r="BD97" s="321"/>
      <c r="BE97" s="348">
        <f t="shared" si="102"/>
        <v>0.7</v>
      </c>
      <c r="BF97" s="321"/>
      <c r="BG97" s="426"/>
      <c r="BH97" s="426"/>
      <c r="BI97" s="426"/>
      <c r="BJ97" s="426"/>
      <c r="BK97" s="30">
        <f t="shared" si="103"/>
        <v>0.7</v>
      </c>
      <c r="BL97" s="321"/>
      <c r="BM97" s="30">
        <f t="shared" si="104"/>
        <v>0.7</v>
      </c>
      <c r="BN97" s="216" t="str">
        <v>T/N</v>
      </c>
      <c r="BO97" s="30">
        <f t="shared" si="105"/>
        <v>0.7</v>
      </c>
      <c r="BP97" s="349">
        <f t="shared" si="106"/>
        <v>0.7</v>
      </c>
      <c r="BQ97" s="137" t="str">
        <v>T/N</v>
      </c>
      <c r="BR97" s="349">
        <f t="shared" si="107"/>
        <v>0.5</v>
      </c>
      <c r="CS97" s="332"/>
      <c r="CT97" s="366" t="s">
        <v>4081</v>
      </c>
      <c r="CU97" s="307" t="s">
        <v>208</v>
      </c>
      <c r="CV97" s="307" t="s">
        <v>4059</v>
      </c>
      <c r="CW97" s="366" t="s">
        <v>97</v>
      </c>
      <c r="CX97" s="307">
        <v>-0.33498267900000001</v>
      </c>
      <c r="CY97" s="307">
        <v>-0.33498267900000001</v>
      </c>
      <c r="CZ97" s="307">
        <v>-0.33498267900000001</v>
      </c>
    </row>
    <row r="98" spans="1:104">
      <c r="A98" s="137" t="str">
        <v>S/N</v>
      </c>
      <c r="B98" s="130">
        <v>1</v>
      </c>
      <c r="C98" s="321" t="str">
        <v>S/N</v>
      </c>
      <c r="D98" s="359" t="str">
        <f t="shared" si="87"/>
        <v>S/N</v>
      </c>
      <c r="E98" s="360">
        <f>IF($B98&lt;&gt;5,VLOOKUP(D98,[7]USDStd!$E$2:$H$100,4,FALSE),"")</f>
        <v>0.19</v>
      </c>
      <c r="F98" s="361">
        <f t="shared" si="108"/>
        <v>0.19</v>
      </c>
      <c r="G98" s="134">
        <v>0.75</v>
      </c>
      <c r="H98" s="361">
        <f t="shared" si="109"/>
        <v>0.75</v>
      </c>
      <c r="I98" s="362">
        <f t="shared" si="88"/>
        <v>0.75</v>
      </c>
      <c r="M98" s="321" t="str">
        <v>S/N</v>
      </c>
      <c r="N98" s="359" t="str">
        <f t="shared" si="89"/>
        <v>S/N</v>
      </c>
      <c r="O98" s="360">
        <f>IF($B98&lt;&gt;5,VLOOKUP(N98,[8]USD12M!$E$2:$H$100,4,FALSE),"")</f>
        <v>0.19</v>
      </c>
      <c r="P98" s="361">
        <f t="shared" si="110"/>
        <v>0.19</v>
      </c>
      <c r="Q98" s="134">
        <v>0.75</v>
      </c>
      <c r="R98" s="134"/>
      <c r="S98" s="134"/>
      <c r="T98" s="361">
        <f t="shared" si="90"/>
        <v>0.75</v>
      </c>
      <c r="U98" s="362">
        <f t="shared" si="91"/>
        <v>0.75</v>
      </c>
      <c r="W98" s="321" t="str">
        <v>S/N</v>
      </c>
      <c r="X98" s="359" t="str">
        <f t="shared" si="92"/>
        <v>S/N</v>
      </c>
      <c r="Y98" s="360">
        <f>IF($B98&lt;&gt;5,VLOOKUP(X98,[9]USD1M!$E$2:$H$100,4,FALSE),"")</f>
        <v>0.19</v>
      </c>
      <c r="Z98" s="361">
        <f t="shared" si="111"/>
        <v>0.19</v>
      </c>
      <c r="AA98" s="134">
        <v>0.75</v>
      </c>
      <c r="AB98" s="361">
        <f t="shared" si="112"/>
        <v>0.75</v>
      </c>
      <c r="AC98" s="362">
        <f t="shared" si="93"/>
        <v>0.75</v>
      </c>
      <c r="AE98" s="321" t="str">
        <v>S/N</v>
      </c>
      <c r="AF98" s="359" t="str">
        <f t="shared" si="94"/>
        <v>S/N</v>
      </c>
      <c r="AG98" s="360">
        <f>IF($B98&lt;&gt;5,VLOOKUP(AF98,[10]USD3M!$E$2:$H$100,4,FALSE),"")</f>
        <v>0.19</v>
      </c>
      <c r="AH98" s="361">
        <f t="shared" si="113"/>
        <v>0.19</v>
      </c>
      <c r="AI98" s="134">
        <v>0.75</v>
      </c>
      <c r="AJ98" s="361">
        <f t="shared" si="114"/>
        <v>0.75</v>
      </c>
      <c r="AK98" s="362">
        <f t="shared" si="95"/>
        <v>0.75</v>
      </c>
      <c r="AM98" s="321" t="str">
        <v>S/N</v>
      </c>
      <c r="AN98" s="359" t="str">
        <f t="shared" si="96"/>
        <v>S/N</v>
      </c>
      <c r="AO98" s="360">
        <f>IF($B98&lt;&gt;5,VLOOKUP(AN98,[11]USD6M!$E$2:$H$100,4,FALSE),"")</f>
        <v>0.19</v>
      </c>
      <c r="AP98" s="361">
        <f t="shared" si="115"/>
        <v>0.19</v>
      </c>
      <c r="AQ98" s="134">
        <v>0.75</v>
      </c>
      <c r="AR98" s="361">
        <f t="shared" si="116"/>
        <v>0.75</v>
      </c>
      <c r="AS98" s="362">
        <f t="shared" si="97"/>
        <v>0.75</v>
      </c>
      <c r="AU98" s="321" t="str">
        <v>S/N</v>
      </c>
      <c r="AV98" s="415" t="str">
        <f t="shared" si="98"/>
        <v>S/N</v>
      </c>
      <c r="AW98" s="360"/>
      <c r="AX98" s="361" t="e">
        <f t="shared" si="99"/>
        <v>#N/A</v>
      </c>
      <c r="AY98" s="134">
        <v>0.5</v>
      </c>
      <c r="AZ98" s="361">
        <f t="shared" si="100"/>
        <v>0.5</v>
      </c>
      <c r="BA98" s="362">
        <f t="shared" si="101"/>
        <v>0.5</v>
      </c>
      <c r="BD98" s="321"/>
      <c r="BE98" s="348">
        <f t="shared" si="102"/>
        <v>0.75</v>
      </c>
      <c r="BF98" s="321"/>
      <c r="BG98" s="426"/>
      <c r="BH98" s="426"/>
      <c r="BI98" s="426"/>
      <c r="BJ98" s="426"/>
      <c r="BK98" s="30">
        <f t="shared" si="103"/>
        <v>0.75</v>
      </c>
      <c r="BL98" s="321"/>
      <c r="BM98" s="30">
        <f t="shared" si="104"/>
        <v>0.75</v>
      </c>
      <c r="BN98" s="216" t="str">
        <v>S/N</v>
      </c>
      <c r="BO98" s="30">
        <f t="shared" si="105"/>
        <v>0.75</v>
      </c>
      <c r="BP98" s="349">
        <f t="shared" si="106"/>
        <v>0.75</v>
      </c>
      <c r="BQ98" s="137" t="str">
        <v>S/N</v>
      </c>
      <c r="BR98" s="349">
        <f t="shared" si="107"/>
        <v>0.5</v>
      </c>
      <c r="CS98" s="332"/>
      <c r="CT98" s="366" t="s">
        <v>4082</v>
      </c>
      <c r="CU98" s="307" t="s">
        <v>208</v>
      </c>
      <c r="CV98" s="307" t="s">
        <v>4059</v>
      </c>
      <c r="CW98" s="366" t="s">
        <v>98</v>
      </c>
      <c r="CX98" s="307">
        <v>-0.32048807800000001</v>
      </c>
      <c r="CY98" s="307">
        <v>-0.32048807800000001</v>
      </c>
      <c r="CZ98" s="307">
        <v>-0.32048807800000001</v>
      </c>
    </row>
    <row r="99" spans="1:104">
      <c r="A99" s="137" t="str">
        <v>1W</v>
      </c>
      <c r="B99" s="130">
        <v>1</v>
      </c>
      <c r="C99" s="321" t="str">
        <v>1W</v>
      </c>
      <c r="D99" s="359" t="str">
        <f t="shared" si="87"/>
        <v>1W</v>
      </c>
      <c r="E99" s="360">
        <f>IF($B99&lt;&gt;5,VLOOKUP(D99,[7]USDStd!$E$2:$H$100,4,FALSE),"")</f>
        <v>0.13919999999999999</v>
      </c>
      <c r="F99" s="361">
        <f t="shared" si="108"/>
        <v>0.13919999999999999</v>
      </c>
      <c r="G99" s="134">
        <v>0.45922000000000002</v>
      </c>
      <c r="H99" s="361">
        <f t="shared" si="109"/>
        <v>0.45922000000000002</v>
      </c>
      <c r="I99" s="362">
        <f t="shared" si="88"/>
        <v>0.45922000000000002</v>
      </c>
      <c r="M99" s="321" t="str">
        <v>1W</v>
      </c>
      <c r="N99" s="359" t="str">
        <f t="shared" si="89"/>
        <v>1W</v>
      </c>
      <c r="O99" s="360">
        <f>IF($B99&lt;&gt;5,VLOOKUP(N99,[8]USD12M!$E$2:$H$100,4,FALSE),"")</f>
        <v>0.98629999999999995</v>
      </c>
      <c r="P99" s="361">
        <f t="shared" si="110"/>
        <v>0.98629999999999995</v>
      </c>
      <c r="Q99" s="134">
        <v>1.0503124850000001</v>
      </c>
      <c r="R99" s="134"/>
      <c r="S99" s="134"/>
      <c r="T99" s="361">
        <f t="shared" si="90"/>
        <v>1.0503124850000001</v>
      </c>
      <c r="U99" s="362">
        <f t="shared" si="91"/>
        <v>1.0503124850000001</v>
      </c>
      <c r="W99" s="321" t="str">
        <v>1W</v>
      </c>
      <c r="X99" s="359" t="str">
        <f t="shared" si="92"/>
        <v>1W</v>
      </c>
      <c r="Y99" s="360">
        <f>IF($B99&lt;&gt;5,VLOOKUP(X99,[9]USD1M!$E$2:$H$100,4,FALSE),"")</f>
        <v>0.17906861099999999</v>
      </c>
      <c r="Z99" s="361">
        <f t="shared" si="111"/>
        <v>0.17906861099999999</v>
      </c>
      <c r="AA99" s="134">
        <v>0.5383</v>
      </c>
      <c r="AB99" s="361">
        <f t="shared" si="112"/>
        <v>0.5383</v>
      </c>
      <c r="AC99" s="362">
        <f t="shared" si="93"/>
        <v>0.5383</v>
      </c>
      <c r="AE99" s="321" t="str">
        <v>1W</v>
      </c>
      <c r="AF99" s="359" t="str">
        <f t="shared" si="94"/>
        <v>1W</v>
      </c>
      <c r="AG99" s="360">
        <f>IF($B99&lt;&gt;5,VLOOKUP(AF99,[10]USD3M!$E$2:$H$100,4,FALSE),"")</f>
        <v>0.23849999999999999</v>
      </c>
      <c r="AH99" s="361">
        <f t="shared" si="113"/>
        <v>0.23849999999999999</v>
      </c>
      <c r="AI99" s="134">
        <v>0.76309635399999998</v>
      </c>
      <c r="AJ99" s="361">
        <f t="shared" si="114"/>
        <v>0.76309635399999998</v>
      </c>
      <c r="AK99" s="362">
        <f t="shared" si="95"/>
        <v>0.76309635399999998</v>
      </c>
      <c r="AM99" s="321" t="str">
        <v>1W</v>
      </c>
      <c r="AN99" s="359" t="str">
        <f t="shared" si="96"/>
        <v>1W</v>
      </c>
      <c r="AO99" s="360">
        <f>IF($B99&lt;&gt;5,VLOOKUP(AN99,[11]USD6M!$E$2:$H$100,4,FALSE),"")</f>
        <v>0.35460000000000003</v>
      </c>
      <c r="AP99" s="361">
        <f t="shared" si="115"/>
        <v>0.35460000000000003</v>
      </c>
      <c r="AQ99" s="134">
        <v>1.06730108</v>
      </c>
      <c r="AR99" s="361">
        <f t="shared" si="116"/>
        <v>1.06730108</v>
      </c>
      <c r="AS99" s="362">
        <f t="shared" si="97"/>
        <v>1.06730108</v>
      </c>
      <c r="AU99" s="321" t="str">
        <v>1W</v>
      </c>
      <c r="AV99" s="415" t="str">
        <f t="shared" si="98"/>
        <v>1W</v>
      </c>
      <c r="AW99" s="360"/>
      <c r="AX99" s="361" t="e">
        <f t="shared" si="99"/>
        <v>#N/A</v>
      </c>
      <c r="AY99" s="134">
        <v>0.42405834399999998</v>
      </c>
      <c r="AZ99" s="361">
        <f t="shared" si="100"/>
        <v>0.42405834399999998</v>
      </c>
      <c r="BA99" s="362">
        <f t="shared" si="101"/>
        <v>0.42405834399999998</v>
      </c>
      <c r="BD99" s="321"/>
      <c r="BE99" s="348">
        <f t="shared" si="102"/>
        <v>0.45922000000000002</v>
      </c>
      <c r="BF99" s="321"/>
      <c r="BG99" s="426"/>
      <c r="BH99" s="426"/>
      <c r="BI99" s="426"/>
      <c r="BJ99" s="426"/>
      <c r="BK99" s="30">
        <f t="shared" si="103"/>
        <v>1.0503124850000001</v>
      </c>
      <c r="BL99" s="321"/>
      <c r="BM99" s="30">
        <f t="shared" si="104"/>
        <v>0.5383</v>
      </c>
      <c r="BN99" s="216" t="str">
        <v>1W</v>
      </c>
      <c r="BO99" s="30">
        <f t="shared" si="105"/>
        <v>0.76309635399999998</v>
      </c>
      <c r="BP99" s="349">
        <f t="shared" si="106"/>
        <v>1.06730108</v>
      </c>
      <c r="BQ99" s="137" t="str">
        <v>1W</v>
      </c>
      <c r="BR99" s="349">
        <f t="shared" si="107"/>
        <v>0.42405834399999998</v>
      </c>
      <c r="CS99" s="332"/>
      <c r="CT99" s="366" t="s">
        <v>4083</v>
      </c>
      <c r="CU99" s="307" t="s">
        <v>208</v>
      </c>
      <c r="CV99" s="307" t="s">
        <v>4059</v>
      </c>
      <c r="CW99" s="366" t="s">
        <v>99</v>
      </c>
      <c r="CX99" s="307">
        <v>-0.30530907200000001</v>
      </c>
      <c r="CY99" s="307">
        <v>-0.30530907200000001</v>
      </c>
      <c r="CZ99" s="307">
        <v>-0.30530907200000001</v>
      </c>
    </row>
    <row r="100" spans="1:104">
      <c r="A100" s="137" t="str">
        <v>2W</v>
      </c>
      <c r="B100" s="130">
        <v>1</v>
      </c>
      <c r="C100" s="321" t="str">
        <v>2W</v>
      </c>
      <c r="D100" s="359" t="str">
        <f t="shared" si="87"/>
        <v>2W</v>
      </c>
      <c r="E100" s="360">
        <f>IF($B100&lt;&gt;5,VLOOKUP(D100,[7]USDStd!$E$2:$H$100,4,FALSE),"")</f>
        <v>0.149242018</v>
      </c>
      <c r="F100" s="361">
        <f t="shared" si="108"/>
        <v>0.149242018</v>
      </c>
      <c r="G100" s="134">
        <v>0.490433913</v>
      </c>
      <c r="H100" s="361">
        <f t="shared" si="109"/>
        <v>0.490433913</v>
      </c>
      <c r="I100" s="362">
        <f t="shared" si="88"/>
        <v>0.490433913</v>
      </c>
      <c r="M100" s="321" t="str">
        <v>2W</v>
      </c>
      <c r="N100" s="359" t="str">
        <f t="shared" si="89"/>
        <v>2W</v>
      </c>
      <c r="O100" s="360">
        <f>IF($B100&lt;&gt;5,VLOOKUP(N100,[8]USD12M!$E$2:$H$100,4,FALSE),"")</f>
        <v>0.58440000000000003</v>
      </c>
      <c r="P100" s="361">
        <f t="shared" si="110"/>
        <v>0.58440000000000003</v>
      </c>
      <c r="Q100" s="134">
        <v>1.0583333580000001</v>
      </c>
      <c r="R100" s="134"/>
      <c r="S100" s="134"/>
      <c r="T100" s="361">
        <f t="shared" si="90"/>
        <v>1.0583333580000001</v>
      </c>
      <c r="U100" s="362">
        <f t="shared" si="91"/>
        <v>1.0583333580000001</v>
      </c>
      <c r="W100" s="321" t="str">
        <v>2W</v>
      </c>
      <c r="X100" s="359" t="str">
        <f t="shared" si="92"/>
        <v>2W</v>
      </c>
      <c r="Y100" s="360">
        <f>IF($B100&lt;&gt;5,VLOOKUP(X100,[9]USD1M!$E$2:$H$100,4,FALSE),"")</f>
        <v>0.179114093</v>
      </c>
      <c r="Z100" s="361">
        <f t="shared" si="111"/>
        <v>0.179114093</v>
      </c>
      <c r="AA100" s="134">
        <v>0.54204195399999999</v>
      </c>
      <c r="AB100" s="361">
        <f t="shared" si="112"/>
        <v>0.54204195399999999</v>
      </c>
      <c r="AC100" s="362">
        <f t="shared" si="93"/>
        <v>0.54204195399999999</v>
      </c>
      <c r="AE100" s="321" t="str">
        <v>2W</v>
      </c>
      <c r="AF100" s="359" t="str">
        <f t="shared" si="94"/>
        <v>2W</v>
      </c>
      <c r="AG100" s="360">
        <f>IF($B100&lt;&gt;5,VLOOKUP(AF100,[10]USD3M!$E$2:$H$100,4,FALSE),"")</f>
        <v>0.238127494</v>
      </c>
      <c r="AH100" s="361">
        <f t="shared" si="113"/>
        <v>0.238127494</v>
      </c>
      <c r="AI100" s="134">
        <v>0.76964865999999998</v>
      </c>
      <c r="AJ100" s="361">
        <f t="shared" si="114"/>
        <v>0.76964865999999998</v>
      </c>
      <c r="AK100" s="362">
        <f t="shared" si="95"/>
        <v>0.76964865999999998</v>
      </c>
      <c r="AM100" s="321" t="str">
        <v>2W</v>
      </c>
      <c r="AN100" s="359" t="str">
        <f t="shared" si="96"/>
        <v>2W</v>
      </c>
      <c r="AO100" s="360">
        <f>IF($B100&lt;&gt;5,VLOOKUP(AN100,[11]USD6M!$E$2:$H$100,4,FALSE),"")</f>
        <v>0.35299999999999998</v>
      </c>
      <c r="AP100" s="361">
        <f t="shared" si="115"/>
        <v>0.35299999999999998</v>
      </c>
      <c r="AQ100" s="134">
        <v>1.074427593</v>
      </c>
      <c r="AR100" s="361">
        <f t="shared" si="116"/>
        <v>1.074427593</v>
      </c>
      <c r="AS100" s="362">
        <f t="shared" si="97"/>
        <v>1.074427593</v>
      </c>
      <c r="AU100" s="321" t="str">
        <v>2W</v>
      </c>
      <c r="AV100" s="415" t="str">
        <f t="shared" si="98"/>
        <v>2W</v>
      </c>
      <c r="AW100" s="360"/>
      <c r="AX100" s="361" t="e">
        <f t="shared" si="99"/>
        <v>#N/A</v>
      </c>
      <c r="AY100" s="134">
        <v>0.426365828</v>
      </c>
      <c r="AZ100" s="361">
        <f t="shared" si="100"/>
        <v>0.426365828</v>
      </c>
      <c r="BA100" s="362">
        <f t="shared" si="101"/>
        <v>0.426365828</v>
      </c>
      <c r="BD100" s="321"/>
      <c r="BE100" s="348">
        <f t="shared" si="102"/>
        <v>0.490433913</v>
      </c>
      <c r="BF100" s="321"/>
      <c r="BG100" s="426"/>
      <c r="BH100" s="426"/>
      <c r="BI100" s="426"/>
      <c r="BJ100" s="426"/>
      <c r="BK100" s="30">
        <f t="shared" si="103"/>
        <v>1.0583333580000001</v>
      </c>
      <c r="BL100" s="321"/>
      <c r="BM100" s="30">
        <f t="shared" si="104"/>
        <v>0.54204195399999999</v>
      </c>
      <c r="BN100" s="216" t="str">
        <v>2W</v>
      </c>
      <c r="BO100" s="30">
        <f t="shared" si="105"/>
        <v>0.76964865999999998</v>
      </c>
      <c r="BP100" s="349">
        <f t="shared" si="106"/>
        <v>1.074427593</v>
      </c>
      <c r="BQ100" s="137" t="str">
        <v>2W</v>
      </c>
      <c r="BR100" s="349">
        <f t="shared" si="107"/>
        <v>0.426365828</v>
      </c>
      <c r="CS100" s="332"/>
      <c r="CT100" s="366" t="s">
        <v>4084</v>
      </c>
      <c r="CU100" s="307" t="s">
        <v>208</v>
      </c>
      <c r="CV100" s="307" t="s">
        <v>4059</v>
      </c>
      <c r="CW100" s="366" t="s">
        <v>10</v>
      </c>
      <c r="CX100" s="307">
        <v>-0.28899999999999998</v>
      </c>
      <c r="CY100" s="307">
        <v>-0.28899999999999998</v>
      </c>
      <c r="CZ100" s="307">
        <v>-0.28899999999999998</v>
      </c>
    </row>
    <row r="101" spans="1:104">
      <c r="A101" s="137" t="str">
        <v>3W</v>
      </c>
      <c r="B101" s="130">
        <v>1</v>
      </c>
      <c r="C101" s="321" t="str">
        <v>3W</v>
      </c>
      <c r="D101" s="359" t="str">
        <f t="shared" si="87"/>
        <v>3W</v>
      </c>
      <c r="E101" s="360">
        <f>IF($B101&lt;&gt;5,VLOOKUP(D101,[7]USDStd!$E$2:$H$100,4,FALSE),"")</f>
        <v>0.160016503</v>
      </c>
      <c r="F101" s="361">
        <f t="shared" si="108"/>
        <v>0.160016503</v>
      </c>
      <c r="G101" s="134">
        <v>0.52164782600000004</v>
      </c>
      <c r="H101" s="361">
        <f t="shared" si="109"/>
        <v>0.52164782600000004</v>
      </c>
      <c r="I101" s="362">
        <f t="shared" si="88"/>
        <v>0.52164782600000004</v>
      </c>
      <c r="M101" s="321" t="str">
        <v>3W</v>
      </c>
      <c r="N101" s="359" t="str">
        <f t="shared" si="89"/>
        <v>3W</v>
      </c>
      <c r="O101" s="360">
        <f>IF($B101&lt;&gt;5,VLOOKUP(N101,[8]USD12M!$E$2:$H$100,4,FALSE),"")</f>
        <v>0.58440000000000003</v>
      </c>
      <c r="P101" s="361">
        <f t="shared" si="110"/>
        <v>0.58440000000000003</v>
      </c>
      <c r="Q101" s="134">
        <v>1.0716344</v>
      </c>
      <c r="R101" s="134"/>
      <c r="S101" s="134"/>
      <c r="T101" s="361">
        <f t="shared" si="90"/>
        <v>1.0716344</v>
      </c>
      <c r="U101" s="362">
        <f t="shared" si="91"/>
        <v>1.0716344</v>
      </c>
      <c r="W101" s="321" t="str">
        <v>3W</v>
      </c>
      <c r="X101" s="359" t="str">
        <f t="shared" si="92"/>
        <v>3W</v>
      </c>
      <c r="Y101" s="360">
        <f>IF($B101&lt;&gt;5,VLOOKUP(X101,[9]USD1M!$E$2:$H$100,4,FALSE),"")</f>
        <v>0.179114522</v>
      </c>
      <c r="Z101" s="361">
        <f t="shared" si="111"/>
        <v>0.179114522</v>
      </c>
      <c r="AA101" s="134">
        <v>0.54873207300000004</v>
      </c>
      <c r="AB101" s="361">
        <f t="shared" si="112"/>
        <v>0.54873207300000004</v>
      </c>
      <c r="AC101" s="362">
        <f t="shared" si="93"/>
        <v>0.54873207300000004</v>
      </c>
      <c r="AE101" s="321" t="str">
        <v>3W</v>
      </c>
      <c r="AF101" s="359" t="str">
        <f t="shared" si="94"/>
        <v>3W</v>
      </c>
      <c r="AG101" s="360">
        <f>IF($B101&lt;&gt;5,VLOOKUP(AF101,[10]USD3M!$E$2:$H$100,4,FALSE),"")</f>
        <v>0.23813103399999999</v>
      </c>
      <c r="AH101" s="361">
        <f t="shared" si="113"/>
        <v>0.23813103399999999</v>
      </c>
      <c r="AI101" s="134">
        <v>0.78053406800000003</v>
      </c>
      <c r="AJ101" s="361">
        <f t="shared" si="114"/>
        <v>0.78053406800000003</v>
      </c>
      <c r="AK101" s="362">
        <f t="shared" si="95"/>
        <v>0.78053406800000003</v>
      </c>
      <c r="AM101" s="321" t="str">
        <v>3W</v>
      </c>
      <c r="AN101" s="359" t="str">
        <f t="shared" si="96"/>
        <v>3W</v>
      </c>
      <c r="AO101" s="360">
        <f>IF($B101&lt;&gt;5,VLOOKUP(AN101,[11]USD6M!$E$2:$H$100,4,FALSE),"")</f>
        <v>0.35149999999999998</v>
      </c>
      <c r="AP101" s="361">
        <f t="shared" si="115"/>
        <v>0.35149999999999998</v>
      </c>
      <c r="AQ101" s="134">
        <v>1.086235257</v>
      </c>
      <c r="AR101" s="361">
        <f t="shared" si="116"/>
        <v>1.086235257</v>
      </c>
      <c r="AS101" s="362">
        <f t="shared" si="97"/>
        <v>1.086235257</v>
      </c>
      <c r="AU101" s="321" t="str">
        <v>3W</v>
      </c>
      <c r="AV101" s="415" t="str">
        <f t="shared" si="98"/>
        <v>3W</v>
      </c>
      <c r="AW101" s="360"/>
      <c r="AX101" s="361" t="e">
        <f t="shared" si="99"/>
        <v>#N/A</v>
      </c>
      <c r="AY101" s="134">
        <v>0.43409461500000002</v>
      </c>
      <c r="AZ101" s="361">
        <f t="shared" si="100"/>
        <v>0.43409461500000002</v>
      </c>
      <c r="BA101" s="362">
        <f t="shared" si="101"/>
        <v>0.43409461500000002</v>
      </c>
      <c r="BD101" s="321"/>
      <c r="BE101" s="348">
        <f t="shared" si="102"/>
        <v>0.52164782600000004</v>
      </c>
      <c r="BF101" s="321"/>
      <c r="BG101" s="426"/>
      <c r="BH101" s="426"/>
      <c r="BI101" s="426"/>
      <c r="BJ101" s="426"/>
      <c r="BK101" s="30">
        <f t="shared" si="103"/>
        <v>1.0716344</v>
      </c>
      <c r="BL101" s="321"/>
      <c r="BM101" s="30">
        <f t="shared" si="104"/>
        <v>0.54873207300000004</v>
      </c>
      <c r="BN101" s="216" t="str">
        <v>3W</v>
      </c>
      <c r="BO101" s="30">
        <f t="shared" si="105"/>
        <v>0.78053406800000003</v>
      </c>
      <c r="BP101" s="349">
        <f t="shared" si="106"/>
        <v>1.086235257</v>
      </c>
      <c r="BQ101" s="137" t="str">
        <v>3W</v>
      </c>
      <c r="BR101" s="349">
        <f t="shared" si="107"/>
        <v>0.43409461500000002</v>
      </c>
      <c r="CS101" s="332"/>
      <c r="CT101" s="366" t="s">
        <v>4085</v>
      </c>
      <c r="CU101" s="307" t="s">
        <v>208</v>
      </c>
      <c r="CV101" s="307" t="s">
        <v>4059</v>
      </c>
      <c r="CW101" s="366" t="s">
        <v>11</v>
      </c>
      <c r="CX101" s="307">
        <v>-0.21299999999999999</v>
      </c>
      <c r="CY101" s="307">
        <v>-0.21299999999999999</v>
      </c>
      <c r="CZ101" s="307">
        <v>-0.21299999999999999</v>
      </c>
    </row>
    <row r="102" spans="1:104">
      <c r="A102" s="137" t="str">
        <v>1M</v>
      </c>
      <c r="B102" s="130">
        <v>1</v>
      </c>
      <c r="C102" s="321" t="str">
        <v>1M</v>
      </c>
      <c r="D102" s="359" t="str">
        <f t="shared" si="87"/>
        <v>1M</v>
      </c>
      <c r="E102" s="360">
        <f>IF($B102&lt;&gt;5,VLOOKUP(D102,[7]USDStd!$E$2:$H$100,4,FALSE),"")</f>
        <v>0.17885000000000001</v>
      </c>
      <c r="F102" s="361">
        <f t="shared" si="108"/>
        <v>0.17885000000000001</v>
      </c>
      <c r="G102" s="134">
        <v>0.56177999999999995</v>
      </c>
      <c r="H102" s="361">
        <f t="shared" si="109"/>
        <v>0.56177999999999995</v>
      </c>
      <c r="I102" s="362">
        <f t="shared" si="88"/>
        <v>0.56177999999999995</v>
      </c>
      <c r="M102" s="321" t="str">
        <v>1M</v>
      </c>
      <c r="N102" s="359" t="str">
        <f t="shared" si="89"/>
        <v>1M</v>
      </c>
      <c r="O102" s="360">
        <f>IF($B102&lt;&gt;5,VLOOKUP(N102,[8]USD12M!$E$2:$H$100,4,FALSE),"")</f>
        <v>0.58740000000000003</v>
      </c>
      <c r="P102" s="361">
        <f t="shared" si="110"/>
        <v>0.58740000000000003</v>
      </c>
      <c r="Q102" s="134">
        <v>1.0965</v>
      </c>
      <c r="R102" s="134"/>
      <c r="S102" s="134"/>
      <c r="T102" s="361">
        <f t="shared" si="90"/>
        <v>1.0965</v>
      </c>
      <c r="U102" s="362">
        <f t="shared" si="91"/>
        <v>1.0965</v>
      </c>
      <c r="W102" s="321" t="str">
        <v>1M</v>
      </c>
      <c r="X102" s="359" t="str">
        <f t="shared" si="92"/>
        <v>1M</v>
      </c>
      <c r="Y102" s="360">
        <f>IF($B102&lt;&gt;5,VLOOKUP(X102,[9]USD1M!$E$2:$H$100,4,FALSE),"")</f>
        <v>0.17911791199999999</v>
      </c>
      <c r="Z102" s="361">
        <f t="shared" si="111"/>
        <v>0.17911791199999999</v>
      </c>
      <c r="AA102" s="134">
        <v>0.56179999999999997</v>
      </c>
      <c r="AB102" s="361">
        <f t="shared" si="112"/>
        <v>0.56179999999999997</v>
      </c>
      <c r="AC102" s="362">
        <f t="shared" si="93"/>
        <v>0.56179999999999997</v>
      </c>
      <c r="AE102" s="321" t="str">
        <v>1M</v>
      </c>
      <c r="AF102" s="359" t="str">
        <f t="shared" si="94"/>
        <v>1M</v>
      </c>
      <c r="AG102" s="360">
        <f>IF($B102&lt;&gt;5,VLOOKUP(AF102,[10]USD3M!$E$2:$H$100,4,FALSE),"")</f>
        <v>0.23929999900000001</v>
      </c>
      <c r="AH102" s="361">
        <f t="shared" si="113"/>
        <v>0.23929999900000001</v>
      </c>
      <c r="AI102" s="134">
        <v>0.80089999999999995</v>
      </c>
      <c r="AJ102" s="361">
        <f t="shared" si="114"/>
        <v>0.80089999999999995</v>
      </c>
      <c r="AK102" s="362">
        <f t="shared" si="95"/>
        <v>0.80089999999999995</v>
      </c>
      <c r="AM102" s="321" t="str">
        <v>1M</v>
      </c>
      <c r="AN102" s="359" t="str">
        <f t="shared" si="96"/>
        <v>1M</v>
      </c>
      <c r="AO102" s="360">
        <f>IF($B102&lt;&gt;5,VLOOKUP(AN102,[11]USD6M!$E$2:$H$100,4,FALSE),"")</f>
        <v>0.352099999</v>
      </c>
      <c r="AP102" s="361">
        <f t="shared" si="115"/>
        <v>0.352099999</v>
      </c>
      <c r="AQ102" s="134">
        <v>1.108299999</v>
      </c>
      <c r="AR102" s="361">
        <f t="shared" si="116"/>
        <v>1.108299999</v>
      </c>
      <c r="AS102" s="362">
        <f t="shared" si="97"/>
        <v>1.108299999</v>
      </c>
      <c r="AU102" s="321" t="str">
        <v>1M</v>
      </c>
      <c r="AV102" s="415" t="str">
        <f t="shared" si="98"/>
        <v>1M</v>
      </c>
      <c r="AW102" s="360"/>
      <c r="AX102" s="361" t="e">
        <f t="shared" si="99"/>
        <v>#N/A</v>
      </c>
      <c r="AY102" s="134">
        <v>0.45200000000000001</v>
      </c>
      <c r="AZ102" s="361">
        <f t="shared" si="100"/>
        <v>0.45200000000000001</v>
      </c>
      <c r="BA102" s="362">
        <f t="shared" si="101"/>
        <v>0.45200000000000001</v>
      </c>
      <c r="BD102" s="321"/>
      <c r="BE102" s="348">
        <f t="shared" si="102"/>
        <v>0.56177999999999995</v>
      </c>
      <c r="BF102" s="321"/>
      <c r="BG102" s="426"/>
      <c r="BH102" s="426"/>
      <c r="BI102" s="426"/>
      <c r="BJ102" s="426"/>
      <c r="BK102" s="30">
        <f t="shared" si="103"/>
        <v>1.0965</v>
      </c>
      <c r="BL102" s="321"/>
      <c r="BM102" s="30">
        <f t="shared" si="104"/>
        <v>0.56179999999999997</v>
      </c>
      <c r="BN102" s="216" t="str">
        <v>1M</v>
      </c>
      <c r="BO102" s="30">
        <f t="shared" si="105"/>
        <v>0.80089999999999995</v>
      </c>
      <c r="BP102" s="349">
        <f t="shared" si="106"/>
        <v>1.108299999</v>
      </c>
      <c r="BQ102" s="137" t="str">
        <v>1M</v>
      </c>
      <c r="BR102" s="349">
        <f t="shared" si="107"/>
        <v>0.45200000000000001</v>
      </c>
      <c r="CS102" s="332"/>
      <c r="CT102" s="366" t="s">
        <v>4086</v>
      </c>
      <c r="CU102" s="307" t="s">
        <v>208</v>
      </c>
      <c r="CV102" s="307" t="s">
        <v>4059</v>
      </c>
      <c r="CW102" s="366" t="s">
        <v>12</v>
      </c>
      <c r="CX102" s="307">
        <v>-0.11899999999999999</v>
      </c>
      <c r="CY102" s="307">
        <v>-0.11899999999999999</v>
      </c>
      <c r="CZ102" s="307">
        <v>-0.11899999999999999</v>
      </c>
    </row>
    <row r="103" spans="1:104">
      <c r="A103" s="137" t="str">
        <v>2M</v>
      </c>
      <c r="B103" s="130">
        <v>1</v>
      </c>
      <c r="C103" s="321" t="str">
        <v>2M</v>
      </c>
      <c r="D103" s="359" t="str">
        <f t="shared" si="87"/>
        <v>2M</v>
      </c>
      <c r="E103" s="360">
        <f>IF($B103&lt;&gt;5,VLOOKUP(D103,[7]USDStd!$E$2:$H$100,4,FALSE),"")</f>
        <v>0.2165</v>
      </c>
      <c r="F103" s="361">
        <f t="shared" si="108"/>
        <v>0.2165</v>
      </c>
      <c r="G103" s="134">
        <v>0.70333000000000001</v>
      </c>
      <c r="H103" s="361">
        <f t="shared" si="109"/>
        <v>0.70333000000000001</v>
      </c>
      <c r="I103" s="362">
        <f t="shared" si="88"/>
        <v>0.70333000000000001</v>
      </c>
      <c r="M103" s="321" t="str">
        <v>2M</v>
      </c>
      <c r="N103" s="359" t="str">
        <f t="shared" si="89"/>
        <v>2M</v>
      </c>
      <c r="O103" s="360">
        <f>IF($B103&lt;&gt;5,VLOOKUP(N103,[8]USD12M!$E$2:$H$100,4,FALSE),"")</f>
        <v>0.59340000000000004</v>
      </c>
      <c r="P103" s="361">
        <f t="shared" si="110"/>
        <v>0.59340000000000004</v>
      </c>
      <c r="Q103" s="134">
        <v>1.2031000000000001</v>
      </c>
      <c r="R103" s="134"/>
      <c r="S103" s="134"/>
      <c r="T103" s="361">
        <f t="shared" si="90"/>
        <v>1.2031000000000001</v>
      </c>
      <c r="U103" s="362">
        <f t="shared" si="91"/>
        <v>1.2031000000000001</v>
      </c>
      <c r="W103" s="321" t="str">
        <v>2M</v>
      </c>
      <c r="X103" s="359" t="str">
        <f t="shared" si="92"/>
        <v>2M</v>
      </c>
      <c r="Y103" s="360">
        <f>IF($B103&lt;&gt;5,VLOOKUP(X103,[9]USD1M!$E$2:$H$100,4,FALSE),"")</f>
        <v>0.179128817</v>
      </c>
      <c r="Z103" s="361">
        <f t="shared" si="111"/>
        <v>0.179128817</v>
      </c>
      <c r="AA103" s="134">
        <v>0.62607694999999997</v>
      </c>
      <c r="AB103" s="361">
        <f t="shared" si="112"/>
        <v>0.62607694999999997</v>
      </c>
      <c r="AC103" s="362">
        <f t="shared" si="93"/>
        <v>0.62607694999999997</v>
      </c>
      <c r="AE103" s="321" t="str">
        <v>2M</v>
      </c>
      <c r="AF103" s="359" t="str">
        <f t="shared" si="94"/>
        <v>2M</v>
      </c>
      <c r="AG103" s="360">
        <f>IF($B103&lt;&gt;5,VLOOKUP(AF103,[10]USD3M!$E$2:$H$100,4,FALSE),"")</f>
        <v>0.24460000000000001</v>
      </c>
      <c r="AH103" s="361">
        <f t="shared" si="113"/>
        <v>0.24460000000000001</v>
      </c>
      <c r="AI103" s="134">
        <v>0.88349999999999995</v>
      </c>
      <c r="AJ103" s="361">
        <f t="shared" si="114"/>
        <v>0.88349999999999995</v>
      </c>
      <c r="AK103" s="362">
        <f t="shared" si="95"/>
        <v>0.88349999999999995</v>
      </c>
      <c r="AM103" s="321" t="str">
        <v>2M</v>
      </c>
      <c r="AN103" s="359" t="str">
        <f t="shared" si="96"/>
        <v>2M</v>
      </c>
      <c r="AO103" s="360">
        <f>IF($B103&lt;&gt;5,VLOOKUP(AN103,[11]USD6M!$E$2:$H$100,4,FALSE),"")</f>
        <v>0.35389999999999999</v>
      </c>
      <c r="AP103" s="361">
        <f t="shared" si="115"/>
        <v>0.35389999999999999</v>
      </c>
      <c r="AQ103" s="134">
        <v>1.1992</v>
      </c>
      <c r="AR103" s="361">
        <f t="shared" si="116"/>
        <v>1.1992</v>
      </c>
      <c r="AS103" s="362">
        <f t="shared" si="97"/>
        <v>1.1992</v>
      </c>
      <c r="AU103" s="321" t="str">
        <v>2M</v>
      </c>
      <c r="AV103" s="415" t="str">
        <f t="shared" si="98"/>
        <v>2M</v>
      </c>
      <c r="AW103" s="360"/>
      <c r="AX103" s="361" t="e">
        <f t="shared" si="99"/>
        <v>#N/A</v>
      </c>
      <c r="AY103" s="134">
        <v>0.53400000000000003</v>
      </c>
      <c r="AZ103" s="361">
        <f t="shared" si="100"/>
        <v>0.53400000000000003</v>
      </c>
      <c r="BA103" s="362">
        <f t="shared" si="101"/>
        <v>0.53400000000000003</v>
      </c>
      <c r="BD103" s="321"/>
      <c r="BE103" s="348">
        <f t="shared" si="102"/>
        <v>0.70333000000000001</v>
      </c>
      <c r="BF103" s="321"/>
      <c r="BG103" s="426"/>
      <c r="BH103" s="426"/>
      <c r="BI103" s="426"/>
      <c r="BJ103" s="426"/>
      <c r="BK103" s="30">
        <f t="shared" si="103"/>
        <v>1.2031000000000001</v>
      </c>
      <c r="BL103" s="321"/>
      <c r="BM103" s="30">
        <f t="shared" si="104"/>
        <v>0.62607694999999997</v>
      </c>
      <c r="BN103" s="216" t="str">
        <v>2M</v>
      </c>
      <c r="BO103" s="30">
        <f t="shared" si="105"/>
        <v>0.88349999999999995</v>
      </c>
      <c r="BP103" s="349">
        <f t="shared" si="106"/>
        <v>1.1992</v>
      </c>
      <c r="BQ103" s="137" t="str">
        <v>2M</v>
      </c>
      <c r="BR103" s="349">
        <f t="shared" si="107"/>
        <v>0.53400000000000003</v>
      </c>
      <c r="CS103" s="332"/>
      <c r="CT103" s="366" t="s">
        <v>4087</v>
      </c>
      <c r="CU103" s="307" t="s">
        <v>208</v>
      </c>
      <c r="CV103" s="307" t="s">
        <v>4059</v>
      </c>
      <c r="CW103" s="366" t="s">
        <v>13</v>
      </c>
      <c r="CX103" s="307">
        <v>-1.0999999999999999E-2</v>
      </c>
      <c r="CY103" s="307">
        <v>-1.0999999999999999E-2</v>
      </c>
      <c r="CZ103" s="307">
        <v>-1.0999999999999999E-2</v>
      </c>
    </row>
    <row r="104" spans="1:104">
      <c r="A104" s="137" t="str">
        <v>3M</v>
      </c>
      <c r="B104" s="130">
        <v>1</v>
      </c>
      <c r="C104" s="321" t="str">
        <v>3M</v>
      </c>
      <c r="D104" s="359" t="str">
        <f t="shared" si="87"/>
        <v>3M</v>
      </c>
      <c r="E104" s="360">
        <f>IF($B104&lt;&gt;5,VLOOKUP(D104,[7]USDStd!$E$2:$H$100,4,FALSE),"")</f>
        <v>0.24884999999999999</v>
      </c>
      <c r="F104" s="361">
        <f t="shared" si="108"/>
        <v>0.24884999999999999</v>
      </c>
      <c r="G104" s="134">
        <v>0.91122000000000003</v>
      </c>
      <c r="H104" s="361">
        <f t="shared" si="109"/>
        <v>0.91122000000000003</v>
      </c>
      <c r="I104" s="362">
        <f t="shared" si="88"/>
        <v>0.91122000000000003</v>
      </c>
      <c r="M104" s="321" t="str">
        <v>3M</v>
      </c>
      <c r="N104" s="359" t="str">
        <f t="shared" si="89"/>
        <v>3M</v>
      </c>
      <c r="O104" s="360">
        <f>IF($B104&lt;&gt;5,VLOOKUP(N104,[8]USD12M!$E$2:$H$100,4,FALSE),"")</f>
        <v>0.59640000000000004</v>
      </c>
      <c r="P104" s="361">
        <f t="shared" si="110"/>
        <v>0.59640000000000004</v>
      </c>
      <c r="Q104" s="134">
        <v>1.2526999999999999</v>
      </c>
      <c r="R104" s="134"/>
      <c r="S104" s="134"/>
      <c r="T104" s="361">
        <f t="shared" si="90"/>
        <v>1.2526999999999999</v>
      </c>
      <c r="U104" s="362">
        <f t="shared" si="91"/>
        <v>1.2526999999999999</v>
      </c>
      <c r="W104" s="321" t="str">
        <v>3M</v>
      </c>
      <c r="X104" s="359" t="str">
        <f t="shared" si="92"/>
        <v>3M</v>
      </c>
      <c r="Y104" s="360">
        <f>IF($B104&lt;&gt;5,VLOOKUP(X104,[9]USD1M!$E$2:$H$100,4,FALSE),"")</f>
        <v>0.17914200799999999</v>
      </c>
      <c r="Z104" s="361">
        <f t="shared" si="111"/>
        <v>0.17914200799999999</v>
      </c>
      <c r="AA104" s="134">
        <v>0.66706522199999996</v>
      </c>
      <c r="AB104" s="361">
        <f t="shared" si="112"/>
        <v>0.66706522199999996</v>
      </c>
      <c r="AC104" s="362">
        <f t="shared" si="93"/>
        <v>0.66706522199999996</v>
      </c>
      <c r="AE104" s="321" t="str">
        <v>3M</v>
      </c>
      <c r="AF104" s="359" t="str">
        <f t="shared" si="94"/>
        <v>3M</v>
      </c>
      <c r="AG104" s="360">
        <f>IF($B104&lt;&gt;5,VLOOKUP(AF104,[10]USD3M!$E$2:$H$100,4,FALSE),"")</f>
        <v>0.24890000000000001</v>
      </c>
      <c r="AH104" s="361">
        <f t="shared" si="113"/>
        <v>0.24890000000000001</v>
      </c>
      <c r="AI104" s="134">
        <v>0.91120000000000001</v>
      </c>
      <c r="AJ104" s="361">
        <f t="shared" si="114"/>
        <v>0.91120000000000001</v>
      </c>
      <c r="AK104" s="362">
        <f t="shared" si="95"/>
        <v>0.91120000000000001</v>
      </c>
      <c r="AM104" s="321" t="str">
        <v>3M</v>
      </c>
      <c r="AN104" s="359" t="str">
        <f t="shared" si="96"/>
        <v>3M</v>
      </c>
      <c r="AO104" s="360">
        <f>IF($B104&lt;&gt;5,VLOOKUP(AN104,[11]USD6M!$E$2:$H$100,4,FALSE),"")</f>
        <v>0.3543</v>
      </c>
      <c r="AP104" s="361">
        <f t="shared" si="115"/>
        <v>0.3543</v>
      </c>
      <c r="AQ104" s="134">
        <v>1.2318</v>
      </c>
      <c r="AR104" s="361">
        <f t="shared" si="116"/>
        <v>1.2318</v>
      </c>
      <c r="AS104" s="362">
        <f t="shared" si="97"/>
        <v>1.2318</v>
      </c>
      <c r="AU104" s="321" t="str">
        <v>3M</v>
      </c>
      <c r="AV104" s="415" t="str">
        <f t="shared" si="98"/>
        <v>3M</v>
      </c>
      <c r="AW104" s="360"/>
      <c r="AX104" s="361" t="e">
        <f t="shared" si="99"/>
        <v>#N/A</v>
      </c>
      <c r="AY104" s="134">
        <v>0.56200000000000006</v>
      </c>
      <c r="AZ104" s="361">
        <f t="shared" si="100"/>
        <v>0.56200000000000006</v>
      </c>
      <c r="BA104" s="362">
        <f t="shared" si="101"/>
        <v>0.56200000000000006</v>
      </c>
      <c r="BD104" s="321"/>
      <c r="BE104" s="348">
        <f t="shared" si="102"/>
        <v>0.91122000000000003</v>
      </c>
      <c r="BF104" s="321"/>
      <c r="BG104" s="426"/>
      <c r="BH104" s="426"/>
      <c r="BI104" s="426"/>
      <c r="BJ104" s="426"/>
      <c r="BK104" s="30">
        <f t="shared" si="103"/>
        <v>1.2526999999999999</v>
      </c>
      <c r="BL104" s="321"/>
      <c r="BM104" s="30">
        <f t="shared" si="104"/>
        <v>0.66706522199999996</v>
      </c>
      <c r="BN104" s="216" t="str">
        <v>3M</v>
      </c>
      <c r="BO104" s="30">
        <f t="shared" si="105"/>
        <v>0.91120000000000001</v>
      </c>
      <c r="BP104" s="349">
        <f t="shared" si="106"/>
        <v>1.2318</v>
      </c>
      <c r="BQ104" s="137" t="str">
        <v>3M</v>
      </c>
      <c r="BR104" s="349">
        <f t="shared" si="107"/>
        <v>0.56200000000000006</v>
      </c>
      <c r="CS104" s="332"/>
      <c r="CT104" s="366" t="s">
        <v>4088</v>
      </c>
      <c r="CU104" s="307" t="s">
        <v>208</v>
      </c>
      <c r="CV104" s="307" t="s">
        <v>4059</v>
      </c>
      <c r="CW104" s="366" t="s">
        <v>14</v>
      </c>
      <c r="CX104" s="307">
        <v>0.105</v>
      </c>
      <c r="CY104" s="307">
        <v>0.105</v>
      </c>
      <c r="CZ104" s="307">
        <v>0.105</v>
      </c>
    </row>
    <row r="105" spans="1:104">
      <c r="A105" s="137" t="str">
        <v>4M</v>
      </c>
      <c r="B105" s="130">
        <v>1</v>
      </c>
      <c r="C105" s="321" t="str">
        <v>4M</v>
      </c>
      <c r="D105" s="359" t="str">
        <f t="shared" si="87"/>
        <v>4M</v>
      </c>
      <c r="E105" s="360">
        <f>IF($B105&lt;&gt;5,VLOOKUP(D105,[7]USDStd!$E$2:$H$100,4,FALSE),"")</f>
        <v>0.291349735</v>
      </c>
      <c r="F105" s="361">
        <f t="shared" si="108"/>
        <v>0.291349735</v>
      </c>
      <c r="G105" s="134">
        <v>1.0243617779999998</v>
      </c>
      <c r="H105" s="361">
        <f t="shared" si="109"/>
        <v>1.0243617779999998</v>
      </c>
      <c r="I105" s="362">
        <f t="shared" si="88"/>
        <v>1.0243617779999998</v>
      </c>
      <c r="M105" s="321" t="str">
        <v>4M</v>
      </c>
      <c r="N105" s="359" t="str">
        <f t="shared" si="89"/>
        <v>4M</v>
      </c>
      <c r="O105" s="360">
        <f>IF($B105&lt;&gt;5,VLOOKUP(N105,[8]USD12M!$E$2:$H$100,4,FALSE),"")</f>
        <v>0.59940000000000004</v>
      </c>
      <c r="P105" s="361">
        <f t="shared" si="110"/>
        <v>0.59940000000000004</v>
      </c>
      <c r="Q105" s="134">
        <v>1.2906</v>
      </c>
      <c r="R105" s="134"/>
      <c r="S105" s="134"/>
      <c r="T105" s="361">
        <f t="shared" si="90"/>
        <v>1.2906</v>
      </c>
      <c r="U105" s="362">
        <f t="shared" si="91"/>
        <v>1.2906</v>
      </c>
      <c r="W105" s="321" t="str">
        <v>4M</v>
      </c>
      <c r="X105" s="359" t="str">
        <f t="shared" si="92"/>
        <v>4M</v>
      </c>
      <c r="Y105" s="360">
        <f>IF($B105&lt;&gt;5,VLOOKUP(X105,[9]USD1M!$E$2:$H$100,4,FALSE),"")</f>
        <v>0.19369087400000001</v>
      </c>
      <c r="Z105" s="361">
        <f t="shared" si="111"/>
        <v>0.19369087400000001</v>
      </c>
      <c r="AA105" s="134">
        <v>0.68778273700000003</v>
      </c>
      <c r="AB105" s="361">
        <f t="shared" si="112"/>
        <v>0.68778273700000003</v>
      </c>
      <c r="AC105" s="362">
        <f t="shared" si="93"/>
        <v>0.68778273700000003</v>
      </c>
      <c r="AE105" s="321" t="str">
        <v>4M</v>
      </c>
      <c r="AF105" s="359" t="str">
        <f t="shared" si="94"/>
        <v>4M</v>
      </c>
      <c r="AG105" s="360">
        <f>IF($B105&lt;&gt;5,VLOOKUP(AF105,[10]USD3M!$E$2:$H$100,4,FALSE),"")</f>
        <v>0.256466109</v>
      </c>
      <c r="AH105" s="361">
        <f t="shared" si="113"/>
        <v>0.256466109</v>
      </c>
      <c r="AI105" s="134">
        <v>0.92719184399999999</v>
      </c>
      <c r="AJ105" s="361">
        <f t="shared" si="114"/>
        <v>0.92719184399999999</v>
      </c>
      <c r="AK105" s="362">
        <f t="shared" si="95"/>
        <v>0.92719184399999999</v>
      </c>
      <c r="AM105" s="321" t="str">
        <v>4M</v>
      </c>
      <c r="AN105" s="359" t="str">
        <f t="shared" si="96"/>
        <v>4M</v>
      </c>
      <c r="AO105" s="360">
        <f>IF($B105&lt;&gt;5,VLOOKUP(AN105,[11]USD6M!$E$2:$H$100,4,FALSE),"")</f>
        <v>0.35670000000000002</v>
      </c>
      <c r="AP105" s="361">
        <f t="shared" si="115"/>
        <v>0.35670000000000002</v>
      </c>
      <c r="AQ105" s="134">
        <v>1.2504</v>
      </c>
      <c r="AR105" s="361">
        <f t="shared" si="116"/>
        <v>1.2504</v>
      </c>
      <c r="AS105" s="362">
        <f t="shared" si="97"/>
        <v>1.2504</v>
      </c>
      <c r="AU105" s="321" t="str">
        <v>4M</v>
      </c>
      <c r="AV105" s="415" t="str">
        <f t="shared" si="98"/>
        <v>4M</v>
      </c>
      <c r="AW105" s="360"/>
      <c r="AX105" s="361" t="e">
        <f t="shared" si="99"/>
        <v>#N/A</v>
      </c>
      <c r="AY105" s="134">
        <v>0.57899999999999996</v>
      </c>
      <c r="AZ105" s="361">
        <f t="shared" si="100"/>
        <v>0.57899999999999996</v>
      </c>
      <c r="BA105" s="362">
        <f t="shared" si="101"/>
        <v>0.57899999999999996</v>
      </c>
      <c r="BD105" s="321"/>
      <c r="BE105" s="348">
        <f t="shared" si="102"/>
        <v>1.0243617779999998</v>
      </c>
      <c r="BF105" s="321"/>
      <c r="BG105" s="426"/>
      <c r="BH105" s="426"/>
      <c r="BI105" s="426"/>
      <c r="BJ105" s="426"/>
      <c r="BK105" s="30">
        <f t="shared" si="103"/>
        <v>1.2906</v>
      </c>
      <c r="BL105" s="321"/>
      <c r="BM105" s="30">
        <f t="shared" si="104"/>
        <v>0.68778273700000003</v>
      </c>
      <c r="BN105" s="216" t="str">
        <v>4M</v>
      </c>
      <c r="BO105" s="30">
        <f t="shared" si="105"/>
        <v>0.92719184399999999</v>
      </c>
      <c r="BP105" s="349">
        <f t="shared" si="106"/>
        <v>1.2504</v>
      </c>
      <c r="BQ105" s="137" t="str">
        <v>4M</v>
      </c>
      <c r="BR105" s="349">
        <f t="shared" si="107"/>
        <v>0.57899999999999996</v>
      </c>
      <c r="CS105" s="332"/>
      <c r="CT105" s="366" t="s">
        <v>4089</v>
      </c>
      <c r="CU105" s="307" t="s">
        <v>208</v>
      </c>
      <c r="CV105" s="307" t="s">
        <v>4059</v>
      </c>
      <c r="CW105" s="366" t="s">
        <v>15</v>
      </c>
      <c r="CX105" s="307">
        <v>0.222</v>
      </c>
      <c r="CY105" s="307">
        <v>0.222</v>
      </c>
      <c r="CZ105" s="307">
        <v>0.222</v>
      </c>
    </row>
    <row r="106" spans="1:104">
      <c r="A106" s="137" t="str">
        <v>5M</v>
      </c>
      <c r="B106" s="130">
        <v>1</v>
      </c>
      <c r="C106" s="321" t="str">
        <v>5M</v>
      </c>
      <c r="D106" s="359" t="str">
        <f t="shared" si="87"/>
        <v>5M</v>
      </c>
      <c r="E106" s="360">
        <f>IF($B106&lt;&gt;5,VLOOKUP(D106,[7]USDStd!$E$2:$H$100,4,FALSE),"")</f>
        <v>0.32857702999999999</v>
      </c>
      <c r="F106" s="361">
        <f t="shared" si="108"/>
        <v>0.32857702999999999</v>
      </c>
      <c r="G106" s="134">
        <v>1.1496258890000002</v>
      </c>
      <c r="H106" s="361">
        <f t="shared" si="109"/>
        <v>1.1496258890000002</v>
      </c>
      <c r="I106" s="362">
        <f t="shared" si="88"/>
        <v>1.1496258890000002</v>
      </c>
      <c r="M106" s="321" t="str">
        <v>5M</v>
      </c>
      <c r="N106" s="359" t="str">
        <f t="shared" si="89"/>
        <v>5M</v>
      </c>
      <c r="O106" s="360">
        <f>IF($B106&lt;&gt;5,VLOOKUP(N106,[8]USD12M!$E$2:$H$100,4,FALSE),"")</f>
        <v>0.60240000000000005</v>
      </c>
      <c r="P106" s="361">
        <f t="shared" si="110"/>
        <v>0.60240000000000005</v>
      </c>
      <c r="Q106" s="134">
        <v>1.3309</v>
      </c>
      <c r="R106" s="134"/>
      <c r="S106" s="134"/>
      <c r="T106" s="361">
        <f t="shared" si="90"/>
        <v>1.3309</v>
      </c>
      <c r="U106" s="362">
        <f t="shared" si="91"/>
        <v>1.3309</v>
      </c>
      <c r="W106" s="321" t="str">
        <v>5M</v>
      </c>
      <c r="X106" s="359" t="str">
        <f t="shared" si="92"/>
        <v>5M</v>
      </c>
      <c r="Y106" s="360">
        <f>IF($B106&lt;&gt;5,VLOOKUP(X106,[9]USD1M!$E$2:$H$100,4,FALSE),"")</f>
        <v>0.193662786</v>
      </c>
      <c r="Z106" s="361">
        <f t="shared" si="111"/>
        <v>0.193662786</v>
      </c>
      <c r="AA106" s="134">
        <v>0.70260684399999995</v>
      </c>
      <c r="AB106" s="361">
        <f t="shared" si="112"/>
        <v>0.70260684399999995</v>
      </c>
      <c r="AC106" s="362">
        <f t="shared" si="93"/>
        <v>0.70260684399999995</v>
      </c>
      <c r="AE106" s="321" t="str">
        <v>5M</v>
      </c>
      <c r="AF106" s="359" t="str">
        <f t="shared" si="94"/>
        <v>5M</v>
      </c>
      <c r="AG106" s="360">
        <f>IF($B106&lt;&gt;5,VLOOKUP(AF106,[10]USD3M!$E$2:$H$100,4,FALSE),"")</f>
        <v>0.264640718</v>
      </c>
      <c r="AH106" s="361">
        <f t="shared" si="113"/>
        <v>0.264640718</v>
      </c>
      <c r="AI106" s="134">
        <v>0.93591860599999999</v>
      </c>
      <c r="AJ106" s="361">
        <f t="shared" si="114"/>
        <v>0.93591860599999999</v>
      </c>
      <c r="AK106" s="362">
        <f t="shared" si="95"/>
        <v>0.93591860599999999</v>
      </c>
      <c r="AM106" s="321" t="str">
        <v>5M</v>
      </c>
      <c r="AN106" s="359" t="str">
        <f t="shared" si="96"/>
        <v>5M</v>
      </c>
      <c r="AO106" s="360">
        <f>IF($B106&lt;&gt;5,VLOOKUP(AN106,[11]USD6M!$E$2:$H$100,4,FALSE),"")</f>
        <v>0.36109999999999998</v>
      </c>
      <c r="AP106" s="361">
        <f t="shared" si="115"/>
        <v>0.36109999999999998</v>
      </c>
      <c r="AQ106" s="134">
        <v>1.2659</v>
      </c>
      <c r="AR106" s="361">
        <f t="shared" si="116"/>
        <v>1.2659</v>
      </c>
      <c r="AS106" s="362">
        <f t="shared" si="97"/>
        <v>1.2659</v>
      </c>
      <c r="AU106" s="321" t="str">
        <v>5M</v>
      </c>
      <c r="AV106" s="415" t="str">
        <f t="shared" si="98"/>
        <v>5M</v>
      </c>
      <c r="AW106" s="360"/>
      <c r="AX106" s="361" t="e">
        <f t="shared" si="99"/>
        <v>#N/A</v>
      </c>
      <c r="AY106" s="134">
        <v>0.59599999999999997</v>
      </c>
      <c r="AZ106" s="361">
        <f t="shared" si="100"/>
        <v>0.59599999999999997</v>
      </c>
      <c r="BA106" s="362">
        <f t="shared" si="101"/>
        <v>0.59599999999999997</v>
      </c>
      <c r="BD106" s="321"/>
      <c r="BE106" s="348">
        <f t="shared" si="102"/>
        <v>1.1496258890000002</v>
      </c>
      <c r="BF106" s="321"/>
      <c r="BG106" s="426"/>
      <c r="BH106" s="426"/>
      <c r="BI106" s="426"/>
      <c r="BJ106" s="426"/>
      <c r="BK106" s="30">
        <f t="shared" si="103"/>
        <v>1.3309</v>
      </c>
      <c r="BL106" s="321"/>
      <c r="BM106" s="30">
        <f t="shared" si="104"/>
        <v>0.70260684399999995</v>
      </c>
      <c r="BN106" s="216" t="str">
        <v>5M</v>
      </c>
      <c r="BO106" s="30">
        <f t="shared" si="105"/>
        <v>0.93591860599999999</v>
      </c>
      <c r="BP106" s="349">
        <f t="shared" si="106"/>
        <v>1.2659</v>
      </c>
      <c r="BQ106" s="137" t="str">
        <v>5M</v>
      </c>
      <c r="BR106" s="349">
        <f t="shared" si="107"/>
        <v>0.59599999999999997</v>
      </c>
      <c r="CS106" s="332"/>
      <c r="CT106" s="366" t="s">
        <v>4090</v>
      </c>
      <c r="CU106" s="307" t="s">
        <v>208</v>
      </c>
      <c r="CV106" s="307" t="s">
        <v>4059</v>
      </c>
      <c r="CW106" s="366" t="s">
        <v>16</v>
      </c>
      <c r="CX106" s="307">
        <v>0.33600000000000002</v>
      </c>
      <c r="CY106" s="307">
        <v>0.33600000000000002</v>
      </c>
      <c r="CZ106" s="307">
        <v>0.33600000000000002</v>
      </c>
    </row>
    <row r="107" spans="1:104">
      <c r="A107" s="137" t="str">
        <v>6M</v>
      </c>
      <c r="B107" s="130">
        <v>1</v>
      </c>
      <c r="C107" s="321" t="str">
        <v>6M</v>
      </c>
      <c r="D107" s="359" t="str">
        <f t="shared" si="87"/>
        <v>6M</v>
      </c>
      <c r="E107" s="360">
        <f>IF($B107&lt;&gt;5,VLOOKUP(D107,[7]USDStd!$E$2:$H$100,4,FALSE),"")</f>
        <v>0.36849999999999999</v>
      </c>
      <c r="F107" s="361">
        <f t="shared" si="108"/>
        <v>0.36849999999999999</v>
      </c>
      <c r="G107" s="134">
        <v>1.2748900000000001</v>
      </c>
      <c r="H107" s="361">
        <f t="shared" si="109"/>
        <v>1.2748900000000001</v>
      </c>
      <c r="I107" s="362">
        <f t="shared" si="88"/>
        <v>1.2748900000000001</v>
      </c>
      <c r="M107" s="321" t="str">
        <v>6M</v>
      </c>
      <c r="N107" s="359" t="str">
        <f t="shared" si="89"/>
        <v>6M</v>
      </c>
      <c r="O107" s="360">
        <f>IF($B107&lt;&gt;5,VLOOKUP(N107,[8]USD12M!$E$2:$H$100,4,FALSE),"")</f>
        <v>0.60640000000000005</v>
      </c>
      <c r="P107" s="361">
        <f t="shared" si="110"/>
        <v>0.60640000000000005</v>
      </c>
      <c r="Q107" s="134">
        <v>1.3682000000000001</v>
      </c>
      <c r="R107" s="134"/>
      <c r="S107" s="134"/>
      <c r="T107" s="361">
        <f t="shared" si="90"/>
        <v>1.3682000000000001</v>
      </c>
      <c r="U107" s="362">
        <f t="shared" si="91"/>
        <v>1.3682000000000001</v>
      </c>
      <c r="W107" s="321" t="str">
        <v>6M</v>
      </c>
      <c r="X107" s="359" t="str">
        <f t="shared" si="92"/>
        <v>6M</v>
      </c>
      <c r="Y107" s="360">
        <f>IF($B107&lt;&gt;5,VLOOKUP(X107,[9]USD1M!$E$2:$H$100,4,FALSE),"")</f>
        <v>0.20355733100000001</v>
      </c>
      <c r="Z107" s="361">
        <f t="shared" si="111"/>
        <v>0.20355733100000001</v>
      </c>
      <c r="AA107" s="134">
        <v>0.71715770000000001</v>
      </c>
      <c r="AB107" s="361">
        <f t="shared" si="112"/>
        <v>0.71715770000000001</v>
      </c>
      <c r="AC107" s="362">
        <f t="shared" si="93"/>
        <v>0.71715770000000001</v>
      </c>
      <c r="AE107" s="321" t="str">
        <v>6M</v>
      </c>
      <c r="AF107" s="359" t="str">
        <f t="shared" si="94"/>
        <v>6M</v>
      </c>
      <c r="AG107" s="360">
        <f>IF($B107&lt;&gt;5,VLOOKUP(AF107,[10]USD3M!$E$2:$H$100,4,FALSE),"")</f>
        <v>0.272537908</v>
      </c>
      <c r="AH107" s="361">
        <f t="shared" si="113"/>
        <v>0.272537908</v>
      </c>
      <c r="AI107" s="134">
        <v>0.95117990399999996</v>
      </c>
      <c r="AJ107" s="361">
        <f t="shared" si="114"/>
        <v>0.95117990399999996</v>
      </c>
      <c r="AK107" s="362">
        <f t="shared" si="95"/>
        <v>0.95117990399999996</v>
      </c>
      <c r="AM107" s="321" t="str">
        <v>6M</v>
      </c>
      <c r="AN107" s="359" t="str">
        <f t="shared" si="96"/>
        <v>6M</v>
      </c>
      <c r="AO107" s="360">
        <f>IF($B107&lt;&gt;5,VLOOKUP(AN107,[11]USD6M!$E$2:$H$100,4,FALSE),"")</f>
        <v>0.36849999999999999</v>
      </c>
      <c r="AP107" s="361">
        <f t="shared" si="115"/>
        <v>0.36849999999999999</v>
      </c>
      <c r="AQ107" s="134">
        <v>1.2748999999999999</v>
      </c>
      <c r="AR107" s="361">
        <f t="shared" si="116"/>
        <v>1.2748999999999999</v>
      </c>
      <c r="AS107" s="362">
        <f t="shared" si="97"/>
        <v>1.2748999999999999</v>
      </c>
      <c r="AU107" s="321" t="str">
        <v>6M</v>
      </c>
      <c r="AV107" s="415" t="str">
        <f t="shared" si="98"/>
        <v>6M</v>
      </c>
      <c r="AW107" s="360"/>
      <c r="AX107" s="361" t="e">
        <f t="shared" si="99"/>
        <v>#N/A</v>
      </c>
      <c r="AY107" s="134">
        <v>0.61</v>
      </c>
      <c r="AZ107" s="361">
        <f t="shared" si="100"/>
        <v>0.61</v>
      </c>
      <c r="BA107" s="362">
        <f t="shared" si="101"/>
        <v>0.61</v>
      </c>
      <c r="BD107" s="321"/>
      <c r="BE107" s="348">
        <f t="shared" si="102"/>
        <v>1.2748900000000001</v>
      </c>
      <c r="BF107" s="321"/>
      <c r="BG107" s="426"/>
      <c r="BH107" s="426"/>
      <c r="BI107" s="426"/>
      <c r="BJ107" s="426"/>
      <c r="BK107" s="30">
        <f t="shared" si="103"/>
        <v>1.3682000000000001</v>
      </c>
      <c r="BL107" s="321"/>
      <c r="BM107" s="30">
        <f t="shared" si="104"/>
        <v>0.71715770000000001</v>
      </c>
      <c r="BN107" s="216" t="str">
        <v>6M</v>
      </c>
      <c r="BO107" s="30">
        <f t="shared" si="105"/>
        <v>0.95117990399999996</v>
      </c>
      <c r="BP107" s="349">
        <f t="shared" si="106"/>
        <v>1.2748999999999999</v>
      </c>
      <c r="BQ107" s="137" t="str">
        <v>6M</v>
      </c>
      <c r="BR107" s="349">
        <f t="shared" si="107"/>
        <v>0.61</v>
      </c>
      <c r="CS107" s="332"/>
      <c r="CT107" s="366" t="s">
        <v>4091</v>
      </c>
      <c r="CU107" s="307" t="s">
        <v>208</v>
      </c>
      <c r="CV107" s="307" t="s">
        <v>4059</v>
      </c>
      <c r="CW107" s="366" t="s">
        <v>17</v>
      </c>
      <c r="CX107" s="307">
        <v>0.442</v>
      </c>
      <c r="CY107" s="307">
        <v>0.442</v>
      </c>
      <c r="CZ107" s="307">
        <v>0.442</v>
      </c>
    </row>
    <row r="108" spans="1:104">
      <c r="A108" s="137" t="str">
        <v>21/06/17</v>
      </c>
      <c r="B108" s="130">
        <v>2</v>
      </c>
      <c r="C108" s="321" t="str">
        <v>#20170621</v>
      </c>
      <c r="D108" s="359" t="str">
        <f t="shared" si="87"/>
        <v>#20170621</v>
      </c>
      <c r="E108" s="360" t="e">
        <f>IF($B108&lt;&gt;5,VLOOKUP(D108,[7]USDStd!$E$2:$H$100,4,FALSE),"")</f>
        <v>#N/A</v>
      </c>
      <c r="F108" s="361" t="e">
        <f t="shared" si="108"/>
        <v>#N/A</v>
      </c>
      <c r="G108" s="134">
        <v>1.328934262</v>
      </c>
      <c r="H108" s="361">
        <f t="shared" si="109"/>
        <v>1.328934262</v>
      </c>
      <c r="I108" s="362">
        <f t="shared" si="88"/>
        <v>1.328934262</v>
      </c>
      <c r="M108" s="321" t="str">
        <v>#20170621</v>
      </c>
      <c r="N108" s="359" t="str">
        <f t="shared" si="89"/>
        <v>#20170621</v>
      </c>
      <c r="O108" s="360" t="e">
        <f>IF($B108&lt;&gt;5,VLOOKUP(N108,[8]USD12M!$E$2:$H$100,4,FALSE),"")</f>
        <v>#N/A</v>
      </c>
      <c r="P108" s="361" t="e">
        <f t="shared" si="110"/>
        <v>#N/A</v>
      </c>
      <c r="Q108" s="134">
        <v>1.4071315959999999</v>
      </c>
      <c r="R108" s="134"/>
      <c r="S108" s="134"/>
      <c r="T108" s="361">
        <f t="shared" si="90"/>
        <v>1.4071315959999999</v>
      </c>
      <c r="U108" s="362">
        <f t="shared" si="91"/>
        <v>1.4071315959999999</v>
      </c>
      <c r="W108" s="321" t="str">
        <v>#20170621</v>
      </c>
      <c r="X108" s="359" t="str">
        <f t="shared" si="92"/>
        <v>#20170621</v>
      </c>
      <c r="Y108" s="360" t="e">
        <f>IF($B108&lt;&gt;5,VLOOKUP(X108,[9]USD1M!$E$2:$H$100,4,FALSE),"")</f>
        <v>#N/A</v>
      </c>
      <c r="Z108" s="361" t="e">
        <f t="shared" si="111"/>
        <v>#N/A</v>
      </c>
      <c r="AA108" s="134">
        <v>0.73376222199999996</v>
      </c>
      <c r="AB108" s="361">
        <f t="shared" si="112"/>
        <v>0.73376222199999996</v>
      </c>
      <c r="AC108" s="362">
        <f t="shared" si="93"/>
        <v>0.73376222199999996</v>
      </c>
      <c r="AE108" s="321" t="str">
        <v>#20170621</v>
      </c>
      <c r="AF108" s="359" t="str">
        <f t="shared" si="94"/>
        <v>#20170621</v>
      </c>
      <c r="AG108" s="360" t="e">
        <f>IF($B108&lt;&gt;5,VLOOKUP(AF108,[10]USD3M!$E$2:$H$100,4,FALSE),"")</f>
        <v>#N/A</v>
      </c>
      <c r="AH108" s="361" t="e">
        <f t="shared" si="113"/>
        <v>#N/A</v>
      </c>
      <c r="AI108" s="134">
        <v>0.96837503899999999</v>
      </c>
      <c r="AJ108" s="361">
        <f t="shared" si="114"/>
        <v>0.96837503899999999</v>
      </c>
      <c r="AK108" s="362">
        <f t="shared" si="95"/>
        <v>0.96837503899999999</v>
      </c>
      <c r="AM108" s="321" t="str">
        <v>#20170621</v>
      </c>
      <c r="AN108" s="359" t="str">
        <f t="shared" si="96"/>
        <v>#20170621</v>
      </c>
      <c r="AO108" s="360" t="e">
        <f>IF($B108&lt;&gt;5,VLOOKUP(AN108,[11]USD6M!$E$2:$H$100,4,FALSE),"")</f>
        <v>#N/A</v>
      </c>
      <c r="AP108" s="361" t="e">
        <f t="shared" si="115"/>
        <v>#N/A</v>
      </c>
      <c r="AQ108" s="134">
        <v>1.2807776630000001</v>
      </c>
      <c r="AR108" s="361">
        <f t="shared" si="116"/>
        <v>1.2807776630000001</v>
      </c>
      <c r="AS108" s="362">
        <f t="shared" si="97"/>
        <v>1.2807776630000001</v>
      </c>
      <c r="AU108" s="321" t="str">
        <v>7M</v>
      </c>
      <c r="AV108" s="415" t="str">
        <f t="shared" si="98"/>
        <v>7M</v>
      </c>
      <c r="AW108" s="360"/>
      <c r="AX108" s="361" t="e">
        <f t="shared" si="99"/>
        <v>#N/A</v>
      </c>
      <c r="AY108" s="134">
        <v>0.624</v>
      </c>
      <c r="AZ108" s="361">
        <f t="shared" si="100"/>
        <v>0.624</v>
      </c>
      <c r="BA108" s="362">
        <f t="shared" si="101"/>
        <v>0.624</v>
      </c>
      <c r="BD108" s="321"/>
      <c r="BE108" s="348">
        <f t="shared" si="102"/>
        <v>1.328934262</v>
      </c>
      <c r="BF108" s="321"/>
      <c r="BG108" s="426"/>
      <c r="BH108" s="426"/>
      <c r="BI108" s="426"/>
      <c r="BJ108" s="426"/>
      <c r="BK108" s="30">
        <f t="shared" si="103"/>
        <v>1.4071315959999999</v>
      </c>
      <c r="BL108" s="321"/>
      <c r="BM108" s="30">
        <f t="shared" si="104"/>
        <v>0.73376222199999996</v>
      </c>
      <c r="BN108" s="216" t="str">
        <v>#20170621</v>
      </c>
      <c r="BO108" s="30">
        <f t="shared" si="105"/>
        <v>0.96837503899999999</v>
      </c>
      <c r="BP108" s="349">
        <f t="shared" si="106"/>
        <v>1.2807776630000001</v>
      </c>
      <c r="BQ108" s="137" t="str">
        <v>7M</v>
      </c>
      <c r="BR108" s="349">
        <f t="shared" si="107"/>
        <v>0.624</v>
      </c>
      <c r="CS108" s="332"/>
      <c r="CT108" s="366" t="s">
        <v>4092</v>
      </c>
      <c r="CU108" s="307" t="s">
        <v>208</v>
      </c>
      <c r="CV108" s="307" t="s">
        <v>4059</v>
      </c>
      <c r="CW108" s="366" t="s">
        <v>31</v>
      </c>
      <c r="CX108" s="307">
        <v>0.53656648600000001</v>
      </c>
      <c r="CY108" s="307">
        <v>0.53656648600000001</v>
      </c>
      <c r="CZ108" s="307">
        <v>0.53656648600000001</v>
      </c>
    </row>
    <row r="109" spans="1:104">
      <c r="A109" s="137" t="str">
        <v>JUN 17</v>
      </c>
      <c r="B109" s="130">
        <v>3</v>
      </c>
      <c r="C109" s="321">
        <v>42907</v>
      </c>
      <c r="D109" s="359">
        <f t="shared" si="87"/>
        <v>42907</v>
      </c>
      <c r="E109" s="360" t="e">
        <f>IF($B109&lt;&gt;5,VLOOKUP(D109,[7]USDStd!$E$2:$H$100,4,FALSE),"")</f>
        <v>#N/A</v>
      </c>
      <c r="F109" s="361" t="e">
        <f t="shared" si="108"/>
        <v>#N/A</v>
      </c>
      <c r="G109" s="134">
        <v>98.88</v>
      </c>
      <c r="H109" s="361">
        <f t="shared" si="109"/>
        <v>1.1200000000000045</v>
      </c>
      <c r="I109" s="362">
        <f t="shared" si="88"/>
        <v>1.1200000000000045</v>
      </c>
      <c r="M109" s="321">
        <v>42907</v>
      </c>
      <c r="N109" s="359">
        <f t="shared" si="89"/>
        <v>42907</v>
      </c>
      <c r="O109" s="360" t="e">
        <f>IF($B109&lt;&gt;5,VLOOKUP(N109,[8]USD12M!$E$2:$H$100,4,FALSE),"")</f>
        <v>#N/A</v>
      </c>
      <c r="P109" s="361" t="e">
        <f t="shared" si="110"/>
        <v>#N/A</v>
      </c>
      <c r="Q109" s="134">
        <v>98.218274682000001</v>
      </c>
      <c r="R109" s="134"/>
      <c r="S109" s="134"/>
      <c r="T109" s="361">
        <f t="shared" si="90"/>
        <v>1.7817253179999994</v>
      </c>
      <c r="U109" s="362">
        <f t="shared" si="91"/>
        <v>1.7817253179999994</v>
      </c>
      <c r="W109" s="321">
        <v>42907</v>
      </c>
      <c r="X109" s="359">
        <f t="shared" si="92"/>
        <v>42907</v>
      </c>
      <c r="Y109" s="360" t="e">
        <f>IF($B109&lt;&gt;5,VLOOKUP(X109,[9]USD1M!$E$2:$H$100,4,FALSE),"")</f>
        <v>#N/A</v>
      </c>
      <c r="Z109" s="361" t="e">
        <f t="shared" si="111"/>
        <v>#N/A</v>
      </c>
      <c r="AA109" s="134">
        <v>99.089832883</v>
      </c>
      <c r="AB109" s="361">
        <f t="shared" si="112"/>
        <v>0.9101671170000003</v>
      </c>
      <c r="AC109" s="362">
        <f t="shared" si="93"/>
        <v>0.9101671170000003</v>
      </c>
      <c r="AE109" s="321">
        <v>42907</v>
      </c>
      <c r="AF109" s="359">
        <f t="shared" si="94"/>
        <v>42907</v>
      </c>
      <c r="AG109" s="360" t="e">
        <f>IF($B109&lt;&gt;5,VLOOKUP(AF109,[10]USD3M!$E$2:$H$100,4,FALSE),"")</f>
        <v>#N/A</v>
      </c>
      <c r="AH109" s="361" t="e">
        <f t="shared" si="113"/>
        <v>#N/A</v>
      </c>
      <c r="AI109" s="134">
        <v>98.878757956000001</v>
      </c>
      <c r="AJ109" s="361">
        <f t="shared" si="114"/>
        <v>1.1212420439999988</v>
      </c>
      <c r="AK109" s="362">
        <f t="shared" si="95"/>
        <v>1.1212420439999988</v>
      </c>
      <c r="AM109" s="321">
        <v>42907</v>
      </c>
      <c r="AN109" s="359">
        <f t="shared" si="96"/>
        <v>42907</v>
      </c>
      <c r="AO109" s="360" t="e">
        <f>IF($B109&lt;&gt;5,VLOOKUP(AN109,[11]USD6M!$E$2:$H$100,4,FALSE),"")</f>
        <v>#N/A</v>
      </c>
      <c r="AP109" s="361" t="e">
        <f t="shared" si="115"/>
        <v>#N/A</v>
      </c>
      <c r="AQ109" s="134">
        <v>98.627532088999999</v>
      </c>
      <c r="AR109" s="361">
        <f t="shared" si="116"/>
        <v>1.3724679110000011</v>
      </c>
      <c r="AS109" s="362">
        <f t="shared" si="97"/>
        <v>1.3724679110000011</v>
      </c>
      <c r="AU109" s="321" t="str">
        <v>8M</v>
      </c>
      <c r="AV109" s="415" t="str">
        <f t="shared" si="98"/>
        <v>8M</v>
      </c>
      <c r="AW109" s="360"/>
      <c r="AX109" s="361" t="e">
        <f t="shared" si="99"/>
        <v>#N/A</v>
      </c>
      <c r="AY109" s="134">
        <v>0.64200000000000002</v>
      </c>
      <c r="AZ109" s="361">
        <f t="shared" si="100"/>
        <v>0.64200000000000002</v>
      </c>
      <c r="BA109" s="362">
        <f t="shared" si="101"/>
        <v>0.64200000000000002</v>
      </c>
      <c r="BD109" s="321"/>
      <c r="BE109" s="348">
        <f t="shared" si="102"/>
        <v>98.88</v>
      </c>
      <c r="BF109" s="321"/>
      <c r="BG109" s="426"/>
      <c r="BH109" s="426"/>
      <c r="BI109" s="426"/>
      <c r="BJ109" s="426"/>
      <c r="BK109" s="30">
        <f t="shared" si="103"/>
        <v>98.218274682000001</v>
      </c>
      <c r="BL109" s="321"/>
      <c r="BM109" s="30">
        <f t="shared" si="104"/>
        <v>99.089832883</v>
      </c>
      <c r="BN109" s="216">
        <v>42907</v>
      </c>
      <c r="BO109" s="30">
        <f t="shared" si="105"/>
        <v>98.878757956000001</v>
      </c>
      <c r="BP109" s="349">
        <f t="shared" si="106"/>
        <v>98.627532088999999</v>
      </c>
      <c r="BQ109" s="137" t="str">
        <v>8M</v>
      </c>
      <c r="BR109" s="349">
        <f t="shared" si="107"/>
        <v>0.64200000000000002</v>
      </c>
      <c r="CS109" s="332"/>
      <c r="CT109" s="366" t="s">
        <v>4093</v>
      </c>
      <c r="CU109" s="307" t="s">
        <v>208</v>
      </c>
      <c r="CV109" s="307" t="s">
        <v>4059</v>
      </c>
      <c r="CW109" s="366" t="s">
        <v>18</v>
      </c>
      <c r="CX109" s="307">
        <v>0.621</v>
      </c>
      <c r="CY109" s="307">
        <v>0.621</v>
      </c>
      <c r="CZ109" s="307">
        <v>0.621</v>
      </c>
    </row>
    <row r="110" spans="1:104">
      <c r="A110" s="137" t="str">
        <v>SEP 17</v>
      </c>
      <c r="B110" s="130">
        <v>3</v>
      </c>
      <c r="C110" s="321">
        <v>42998</v>
      </c>
      <c r="D110" s="359">
        <f t="shared" si="87"/>
        <v>42998</v>
      </c>
      <c r="E110" s="360" t="e">
        <f>IF($B110&lt;&gt;5,VLOOKUP(D110,[7]USDStd!$E$2:$H$100,4,FALSE),"")</f>
        <v>#N/A</v>
      </c>
      <c r="F110" s="361" t="e">
        <f t="shared" si="108"/>
        <v>#N/A</v>
      </c>
      <c r="G110" s="134">
        <v>98.78</v>
      </c>
      <c r="H110" s="361">
        <f t="shared" si="109"/>
        <v>1.2199999999999989</v>
      </c>
      <c r="I110" s="362">
        <f t="shared" si="88"/>
        <v>1.2199999999999989</v>
      </c>
      <c r="M110" s="321">
        <v>42998</v>
      </c>
      <c r="N110" s="359">
        <f t="shared" si="89"/>
        <v>42998</v>
      </c>
      <c r="O110" s="360" t="e">
        <f>IF($B110&lt;&gt;5,VLOOKUP(N110,[8]USD12M!$E$2:$H$100,4,FALSE),"")</f>
        <v>#N/A</v>
      </c>
      <c r="P110" s="361" t="e">
        <f t="shared" si="110"/>
        <v>#N/A</v>
      </c>
      <c r="Q110" s="134">
        <v>97.987418840000004</v>
      </c>
      <c r="R110" s="134"/>
      <c r="S110" s="134"/>
      <c r="T110" s="361">
        <f t="shared" si="90"/>
        <v>2.0125811599999963</v>
      </c>
      <c r="U110" s="362">
        <f t="shared" si="91"/>
        <v>2.0125811599999963</v>
      </c>
      <c r="W110" s="321">
        <v>42998</v>
      </c>
      <c r="X110" s="359">
        <f t="shared" si="92"/>
        <v>42998</v>
      </c>
      <c r="Y110" s="360" t="e">
        <f>IF($B110&lt;&gt;5,VLOOKUP(X110,[9]USD1M!$E$2:$H$100,4,FALSE),"")</f>
        <v>#N/A</v>
      </c>
      <c r="Z110" s="361" t="e">
        <f t="shared" si="111"/>
        <v>#N/A</v>
      </c>
      <c r="AA110" s="134">
        <v>98.991236256999997</v>
      </c>
      <c r="AB110" s="361">
        <f t="shared" si="112"/>
        <v>1.0087637430000029</v>
      </c>
      <c r="AC110" s="362">
        <f t="shared" si="93"/>
        <v>1.0087637430000029</v>
      </c>
      <c r="AE110" s="321">
        <v>42998</v>
      </c>
      <c r="AF110" s="359">
        <f t="shared" si="94"/>
        <v>42998</v>
      </c>
      <c r="AG110" s="360" t="e">
        <f>IF($B110&lt;&gt;5,VLOOKUP(AF110,[10]USD3M!$E$2:$H$100,4,FALSE),"")</f>
        <v>#N/A</v>
      </c>
      <c r="AH110" s="361" t="e">
        <f t="shared" si="113"/>
        <v>#N/A</v>
      </c>
      <c r="AI110" s="134">
        <v>98.784670609000003</v>
      </c>
      <c r="AJ110" s="361">
        <f t="shared" si="114"/>
        <v>1.2153293909999974</v>
      </c>
      <c r="AK110" s="362">
        <f t="shared" si="95"/>
        <v>1.2153293909999974</v>
      </c>
      <c r="AM110" s="321">
        <v>42998</v>
      </c>
      <c r="AN110" s="359">
        <f t="shared" si="96"/>
        <v>42998</v>
      </c>
      <c r="AO110" s="360" t="e">
        <f>IF($B110&lt;&gt;5,VLOOKUP(AN110,[11]USD6M!$E$2:$H$100,4,FALSE),"")</f>
        <v>#N/A</v>
      </c>
      <c r="AP110" s="361" t="e">
        <f t="shared" si="115"/>
        <v>#N/A</v>
      </c>
      <c r="AQ110" s="134">
        <v>98.525832715000007</v>
      </c>
      <c r="AR110" s="361">
        <f t="shared" si="116"/>
        <v>1.4741672849999929</v>
      </c>
      <c r="AS110" s="362">
        <f t="shared" si="97"/>
        <v>1.4741672849999929</v>
      </c>
      <c r="AU110" s="321" t="str">
        <v>9M</v>
      </c>
      <c r="AV110" s="415" t="str">
        <f t="shared" si="98"/>
        <v>9M</v>
      </c>
      <c r="AW110" s="360"/>
      <c r="AX110" s="361" t="e">
        <f t="shared" si="99"/>
        <v>#N/A</v>
      </c>
      <c r="AY110" s="134">
        <v>0.66</v>
      </c>
      <c r="AZ110" s="361">
        <f t="shared" si="100"/>
        <v>0.66</v>
      </c>
      <c r="BA110" s="362">
        <f t="shared" si="101"/>
        <v>0.66</v>
      </c>
      <c r="BD110" s="321"/>
      <c r="BE110" s="348">
        <f t="shared" si="102"/>
        <v>98.78</v>
      </c>
      <c r="BF110" s="321"/>
      <c r="BG110" s="426"/>
      <c r="BH110" s="426"/>
      <c r="BI110" s="426"/>
      <c r="BJ110" s="426"/>
      <c r="BK110" s="30">
        <f t="shared" si="103"/>
        <v>97.987418840000004</v>
      </c>
      <c r="BL110" s="321"/>
      <c r="BM110" s="30">
        <f t="shared" si="104"/>
        <v>98.991236256999997</v>
      </c>
      <c r="BN110" s="216">
        <v>42998</v>
      </c>
      <c r="BO110" s="30">
        <f t="shared" si="105"/>
        <v>98.784670609000003</v>
      </c>
      <c r="BP110" s="349">
        <f t="shared" si="106"/>
        <v>98.525832715000007</v>
      </c>
      <c r="BQ110" s="137" t="str">
        <v>9M</v>
      </c>
      <c r="BR110" s="349">
        <f t="shared" si="107"/>
        <v>0.66</v>
      </c>
      <c r="CS110" s="332"/>
      <c r="CT110" s="366" t="s">
        <v>4094</v>
      </c>
      <c r="CU110" s="307" t="s">
        <v>208</v>
      </c>
      <c r="CV110" s="307" t="s">
        <v>4059</v>
      </c>
      <c r="CW110" s="366" t="s">
        <v>32</v>
      </c>
      <c r="CX110" s="307">
        <v>0.69506562500000002</v>
      </c>
      <c r="CY110" s="307">
        <v>0.69506562500000002</v>
      </c>
      <c r="CZ110" s="307">
        <v>0.69506562500000002</v>
      </c>
    </row>
    <row r="111" spans="1:104">
      <c r="A111" s="137" t="str">
        <v>DEC 17</v>
      </c>
      <c r="B111" s="130">
        <v>3</v>
      </c>
      <c r="C111" s="321">
        <v>43089</v>
      </c>
      <c r="D111" s="359">
        <f>CHOOSE($B111,C111,C111,C111+0,C111,"")</f>
        <v>43089</v>
      </c>
      <c r="E111" s="360" t="e">
        <f>IF($B111&lt;&gt;5,VLOOKUP(D111,[7]USDStd!$E$2:$H$100,4,FALSE),"")</f>
        <v>#N/A</v>
      </c>
      <c r="F111" s="361" t="e">
        <f t="shared" si="108"/>
        <v>#N/A</v>
      </c>
      <c r="G111" s="134">
        <v>98.665000000000006</v>
      </c>
      <c r="H111" s="361">
        <f t="shared" si="109"/>
        <v>1.3349999999999937</v>
      </c>
      <c r="I111" s="362">
        <f t="shared" si="88"/>
        <v>1.3349999999999937</v>
      </c>
      <c r="M111" s="321">
        <v>43089</v>
      </c>
      <c r="N111" s="359">
        <f>CHOOSE($B111,M111,M111,M111+0,M111,"")</f>
        <v>43089</v>
      </c>
      <c r="O111" s="360" t="e">
        <f>IF($B111&lt;&gt;5,VLOOKUP(N111,[8]USD12M!$E$2:$H$100,4,FALSE),"")</f>
        <v>#N/A</v>
      </c>
      <c r="P111" s="361" t="e">
        <f t="shared" si="110"/>
        <v>#N/A</v>
      </c>
      <c r="Q111" s="134">
        <v>98.131992885000003</v>
      </c>
      <c r="R111" s="134"/>
      <c r="S111" s="134"/>
      <c r="T111" s="361">
        <f t="shared" si="90"/>
        <v>1.8680071149999975</v>
      </c>
      <c r="U111" s="362">
        <f t="shared" si="91"/>
        <v>1.8680071149999975</v>
      </c>
      <c r="W111" s="321">
        <v>43089</v>
      </c>
      <c r="X111" s="359">
        <f>CHOOSE($B111,W111,W111,W111+0,W111,"")</f>
        <v>43089</v>
      </c>
      <c r="Y111" s="360" t="e">
        <f>IF($B111&lt;&gt;5,VLOOKUP(X111,[9]USD1M!$E$2:$H$100,4,FALSE),"")</f>
        <v>#N/A</v>
      </c>
      <c r="Z111" s="361" t="e">
        <f t="shared" si="111"/>
        <v>#N/A</v>
      </c>
      <c r="AA111" s="134">
        <v>98.882204396000006</v>
      </c>
      <c r="AB111" s="361">
        <f t="shared" si="112"/>
        <v>1.1177956039999941</v>
      </c>
      <c r="AC111" s="362">
        <f t="shared" si="93"/>
        <v>1.1177956039999941</v>
      </c>
      <c r="AE111" s="321">
        <v>43089</v>
      </c>
      <c r="AF111" s="359">
        <f>CHOOSE($B111,AE111,AE111,AE111+0,AE111,"")</f>
        <v>43089</v>
      </c>
      <c r="AG111" s="360" t="e">
        <f>IF($B111&lt;&gt;5,VLOOKUP(AF111,[10]USD3M!$E$2:$H$100,4,FALSE),"")</f>
        <v>#N/A</v>
      </c>
      <c r="AH111" s="361" t="e">
        <f t="shared" si="113"/>
        <v>#N/A</v>
      </c>
      <c r="AI111" s="134">
        <v>98.665803009000001</v>
      </c>
      <c r="AJ111" s="361">
        <f t="shared" si="114"/>
        <v>1.3341969909999989</v>
      </c>
      <c r="AK111" s="362">
        <f t="shared" si="95"/>
        <v>1.3341969909999989</v>
      </c>
      <c r="AM111" s="321">
        <v>43089</v>
      </c>
      <c r="AN111" s="359">
        <f>CHOOSE($B111,AM111,AM111,AM111+0,AM111,"")</f>
        <v>43089</v>
      </c>
      <c r="AO111" s="360" t="e">
        <f>IF($B111&lt;&gt;5,VLOOKUP(AN111,[11]USD6M!$E$2:$H$100,4,FALSE),"")</f>
        <v>#N/A</v>
      </c>
      <c r="AP111" s="361" t="e">
        <f t="shared" si="115"/>
        <v>#N/A</v>
      </c>
      <c r="AQ111" s="134">
        <v>98.431311899999997</v>
      </c>
      <c r="AR111" s="361">
        <f t="shared" si="116"/>
        <v>1.5686881000000028</v>
      </c>
      <c r="AS111" s="362">
        <f t="shared" si="97"/>
        <v>1.5686881000000028</v>
      </c>
      <c r="AU111" s="321" t="str">
        <v>10M</v>
      </c>
      <c r="AV111" s="415" t="str">
        <f t="shared" si="98"/>
        <v>10M</v>
      </c>
      <c r="AW111" s="360"/>
      <c r="AX111" s="361" t="e">
        <f t="shared" si="99"/>
        <v>#N/A</v>
      </c>
      <c r="AY111" s="134">
        <v>0.67400000000000004</v>
      </c>
      <c r="AZ111" s="361">
        <f t="shared" si="100"/>
        <v>0.67400000000000004</v>
      </c>
      <c r="BA111" s="362">
        <f t="shared" si="101"/>
        <v>0.67400000000000004</v>
      </c>
      <c r="BD111" s="321"/>
      <c r="BE111" s="348">
        <f t="shared" si="102"/>
        <v>98.665000000000006</v>
      </c>
      <c r="BF111" s="321"/>
      <c r="BG111" s="426"/>
      <c r="BH111" s="426"/>
      <c r="BI111" s="426"/>
      <c r="BJ111" s="426"/>
      <c r="BK111" s="30">
        <f t="shared" si="103"/>
        <v>98.131992885000003</v>
      </c>
      <c r="BL111" s="321"/>
      <c r="BM111" s="30">
        <f t="shared" si="104"/>
        <v>98.882204396000006</v>
      </c>
      <c r="BN111" s="216">
        <v>43089</v>
      </c>
      <c r="BO111" s="30">
        <f t="shared" si="105"/>
        <v>98.665803009000001</v>
      </c>
      <c r="BP111" s="349">
        <f t="shared" si="106"/>
        <v>98.431311899999997</v>
      </c>
      <c r="BQ111" s="137" t="str">
        <v>10M</v>
      </c>
      <c r="BR111" s="349">
        <f t="shared" si="107"/>
        <v>0.67400000000000004</v>
      </c>
      <c r="CS111" s="332"/>
      <c r="CT111" s="366" t="s">
        <v>4095</v>
      </c>
      <c r="CU111" s="307" t="s">
        <v>208</v>
      </c>
      <c r="CV111" s="307" t="s">
        <v>4059</v>
      </c>
      <c r="CW111" s="366" t="s">
        <v>33</v>
      </c>
      <c r="CX111" s="307">
        <v>0.75928093500000005</v>
      </c>
      <c r="CY111" s="307">
        <v>0.75928093500000005</v>
      </c>
      <c r="CZ111" s="307">
        <v>0.75928093500000005</v>
      </c>
    </row>
    <row r="112" spans="1:104">
      <c r="A112" s="137" t="str">
        <v>MAR 18</v>
      </c>
      <c r="B112" s="130">
        <v>3</v>
      </c>
      <c r="C112" s="321">
        <v>43180</v>
      </c>
      <c r="D112" s="359">
        <f t="shared" ref="D112:D150" si="117">CHOOSE($B112,C112,C112,C112+0,C112,"")</f>
        <v>43180</v>
      </c>
      <c r="E112" s="360" t="e">
        <f>IF($B112&lt;&gt;5,VLOOKUP(D112,[7]USDStd!$E$2:$H$100,4,FALSE),"")</f>
        <v>#N/A</v>
      </c>
      <c r="F112" s="361" t="e">
        <f t="shared" si="108"/>
        <v>#N/A</v>
      </c>
      <c r="G112" s="134">
        <v>98.57</v>
      </c>
      <c r="H112" s="361">
        <f t="shared" si="109"/>
        <v>1.4300000000000068</v>
      </c>
      <c r="I112" s="362">
        <f t="shared" si="88"/>
        <v>1.4300000000000068</v>
      </c>
      <c r="M112" s="321">
        <v>43180</v>
      </c>
      <c r="N112" s="359">
        <f t="shared" ref="N112:N150" si="118">CHOOSE($B112,M112,M112,M112+0,M112,"")</f>
        <v>43180</v>
      </c>
      <c r="O112" s="360" t="e">
        <f>IF($B112&lt;&gt;5,VLOOKUP(N112,[8]USD12M!$E$2:$H$100,4,FALSE),"")</f>
        <v>#N/A</v>
      </c>
      <c r="P112" s="361" t="e">
        <f t="shared" si="110"/>
        <v>#N/A</v>
      </c>
      <c r="Q112" s="134">
        <v>98.324659815999993</v>
      </c>
      <c r="R112" s="134"/>
      <c r="S112" s="134"/>
      <c r="T112" s="361">
        <f t="shared" si="90"/>
        <v>1.6753401840000066</v>
      </c>
      <c r="U112" s="362">
        <f t="shared" si="91"/>
        <v>1.6753401840000066</v>
      </c>
      <c r="W112" s="321">
        <v>43180</v>
      </c>
      <c r="X112" s="359">
        <f t="shared" ref="X112:X150" si="119">CHOOSE($B112,W112,W112,W112+0,W112,"")</f>
        <v>43180</v>
      </c>
      <c r="Y112" s="360" t="e">
        <f>IF($B112&lt;&gt;5,VLOOKUP(X112,[9]USD1M!$E$2:$H$100,4,FALSE),"")</f>
        <v>#N/A</v>
      </c>
      <c r="Z112" s="361" t="e">
        <f t="shared" si="111"/>
        <v>#N/A</v>
      </c>
      <c r="AA112" s="134">
        <v>98.772875158999994</v>
      </c>
      <c r="AB112" s="361">
        <f t="shared" si="112"/>
        <v>1.2271248410000055</v>
      </c>
      <c r="AC112" s="362">
        <f t="shared" si="93"/>
        <v>1.2271248410000055</v>
      </c>
      <c r="AE112" s="321">
        <v>43180</v>
      </c>
      <c r="AF112" s="359">
        <f t="shared" ref="AF112:AF150" si="120">CHOOSE($B112,AE112,AE112,AE112+0,AE112,"")</f>
        <v>43180</v>
      </c>
      <c r="AG112" s="360" t="e">
        <f>IF($B112&lt;&gt;5,VLOOKUP(AF112,[10]USD3M!$E$2:$H$100,4,FALSE),"")</f>
        <v>#N/A</v>
      </c>
      <c r="AH112" s="361" t="e">
        <f t="shared" si="113"/>
        <v>#N/A</v>
      </c>
      <c r="AI112" s="134">
        <v>98.577191377999995</v>
      </c>
      <c r="AJ112" s="361">
        <f t="shared" si="114"/>
        <v>1.4228086220000051</v>
      </c>
      <c r="AK112" s="362">
        <f t="shared" si="95"/>
        <v>1.4228086220000051</v>
      </c>
      <c r="AM112" s="321">
        <v>43180</v>
      </c>
      <c r="AN112" s="359">
        <f t="shared" ref="AN112:AN150" si="121">CHOOSE($B112,AM112,AM112,AM112+0,AM112,"")</f>
        <v>43180</v>
      </c>
      <c r="AO112" s="360" t="e">
        <f>IF($B112&lt;&gt;5,VLOOKUP(AN112,[11]USD6M!$E$2:$H$100,4,FALSE),"")</f>
        <v>#N/A</v>
      </c>
      <c r="AP112" s="361" t="e">
        <f t="shared" si="115"/>
        <v>#N/A</v>
      </c>
      <c r="AQ112" s="134">
        <v>98.345255621000007</v>
      </c>
      <c r="AR112" s="361">
        <f t="shared" si="116"/>
        <v>1.6547443789999932</v>
      </c>
      <c r="AS112" s="362">
        <f t="shared" si="97"/>
        <v>1.6547443789999932</v>
      </c>
      <c r="AU112" s="321" t="str">
        <v>11M</v>
      </c>
      <c r="AV112" s="415" t="str">
        <f t="shared" si="98"/>
        <v>11M</v>
      </c>
      <c r="AW112" s="360"/>
      <c r="AX112" s="361" t="e">
        <f t="shared" si="99"/>
        <v>#N/A</v>
      </c>
      <c r="AY112" s="134">
        <v>0.69199999999999995</v>
      </c>
      <c r="AZ112" s="361">
        <f t="shared" si="100"/>
        <v>0.69199999999999995</v>
      </c>
      <c r="BA112" s="362">
        <f t="shared" si="101"/>
        <v>0.69199999999999995</v>
      </c>
      <c r="BD112" s="321"/>
      <c r="BE112" s="348">
        <f t="shared" si="102"/>
        <v>98.57</v>
      </c>
      <c r="BF112" s="321"/>
      <c r="BG112" s="426"/>
      <c r="BH112" s="426"/>
      <c r="BI112" s="426"/>
      <c r="BJ112" s="426"/>
      <c r="BK112" s="30">
        <f t="shared" si="103"/>
        <v>98.324659815999993</v>
      </c>
      <c r="BL112" s="321"/>
      <c r="BM112" s="30">
        <f t="shared" si="104"/>
        <v>98.772875158999994</v>
      </c>
      <c r="BN112" s="216">
        <v>43180</v>
      </c>
      <c r="BO112" s="30">
        <f t="shared" si="105"/>
        <v>98.577191377999995</v>
      </c>
      <c r="BP112" s="349">
        <f t="shared" si="106"/>
        <v>98.345255621000007</v>
      </c>
      <c r="BQ112" s="137" t="str">
        <v>11M</v>
      </c>
      <c r="BR112" s="349">
        <f t="shared" si="107"/>
        <v>0.69199999999999995</v>
      </c>
      <c r="CS112" s="332"/>
      <c r="CT112" s="366" t="s">
        <v>4096</v>
      </c>
      <c r="CU112" s="307" t="s">
        <v>208</v>
      </c>
      <c r="CV112" s="307" t="s">
        <v>4059</v>
      </c>
      <c r="CW112" s="366" t="s">
        <v>19</v>
      </c>
      <c r="CX112" s="307">
        <v>0.81399999999999995</v>
      </c>
      <c r="CY112" s="307">
        <v>0.81399999999999995</v>
      </c>
      <c r="CZ112" s="307">
        <v>0.81399999999999995</v>
      </c>
    </row>
    <row r="113" spans="1:104">
      <c r="A113" s="137" t="str">
        <v>JUN 18</v>
      </c>
      <c r="B113" s="130">
        <v>3</v>
      </c>
      <c r="C113" s="321">
        <v>43271</v>
      </c>
      <c r="D113" s="359">
        <f t="shared" si="117"/>
        <v>43271</v>
      </c>
      <c r="E113" s="360" t="e">
        <f>IF($B113&lt;&gt;5,VLOOKUP(D113,[7]USDStd!$E$2:$H$100,4,FALSE),"")</f>
        <v>#N/A</v>
      </c>
      <c r="F113" s="361" t="e">
        <f t="shared" si="108"/>
        <v>#N/A</v>
      </c>
      <c r="G113" s="134">
        <v>98.465000000000003</v>
      </c>
      <c r="H113" s="361">
        <f t="shared" si="109"/>
        <v>1.5349999999999966</v>
      </c>
      <c r="I113" s="362">
        <f t="shared" si="88"/>
        <v>1.5349999999999966</v>
      </c>
      <c r="M113" s="321">
        <v>43271</v>
      </c>
      <c r="N113" s="359">
        <f t="shared" si="118"/>
        <v>43271</v>
      </c>
      <c r="O113" s="360" t="e">
        <f>IF($B113&lt;&gt;5,VLOOKUP(N113,[8]USD12M!$E$2:$H$100,4,FALSE),"")</f>
        <v>#N/A</v>
      </c>
      <c r="P113" s="361" t="e">
        <f t="shared" si="110"/>
        <v>#N/A</v>
      </c>
      <c r="Q113" s="134">
        <v>97.947967769000002</v>
      </c>
      <c r="R113" s="134"/>
      <c r="S113" s="134"/>
      <c r="T113" s="361">
        <f t="shared" si="90"/>
        <v>2.0520322309999983</v>
      </c>
      <c r="U113" s="362">
        <f t="shared" si="91"/>
        <v>2.0520322309999983</v>
      </c>
      <c r="W113" s="321">
        <v>43271</v>
      </c>
      <c r="X113" s="359">
        <f t="shared" si="119"/>
        <v>43271</v>
      </c>
      <c r="Y113" s="360" t="e">
        <f>IF($B113&lt;&gt;5,VLOOKUP(X113,[9]USD1M!$E$2:$H$100,4,FALSE),"")</f>
        <v>#N/A</v>
      </c>
      <c r="Z113" s="361" t="e">
        <f t="shared" si="111"/>
        <v>#N/A</v>
      </c>
      <c r="AA113" s="134">
        <v>98.667834193000004</v>
      </c>
      <c r="AB113" s="361">
        <f t="shared" si="112"/>
        <v>1.3321658069999955</v>
      </c>
      <c r="AC113" s="362">
        <f t="shared" si="93"/>
        <v>1.3321658069999955</v>
      </c>
      <c r="AE113" s="321">
        <v>43271</v>
      </c>
      <c r="AF113" s="359">
        <f t="shared" si="120"/>
        <v>43271</v>
      </c>
      <c r="AG113" s="360" t="e">
        <f>IF($B113&lt;&gt;5,VLOOKUP(AF113,[10]USD3M!$E$2:$H$100,4,FALSE),"")</f>
        <v>#N/A</v>
      </c>
      <c r="AH113" s="361" t="e">
        <f t="shared" si="113"/>
        <v>#N/A</v>
      </c>
      <c r="AI113" s="134">
        <v>98.473771944000006</v>
      </c>
      <c r="AJ113" s="361">
        <f t="shared" si="114"/>
        <v>1.5262280559999937</v>
      </c>
      <c r="AK113" s="362">
        <f t="shared" si="95"/>
        <v>1.5262280559999937</v>
      </c>
      <c r="AM113" s="321">
        <v>43271</v>
      </c>
      <c r="AN113" s="359">
        <f t="shared" si="121"/>
        <v>43271</v>
      </c>
      <c r="AO113" s="360" t="e">
        <f>IF($B113&lt;&gt;5,VLOOKUP(AN113,[11]USD6M!$E$2:$H$100,4,FALSE),"")</f>
        <v>#N/A</v>
      </c>
      <c r="AP113" s="361" t="e">
        <f t="shared" si="115"/>
        <v>#N/A</v>
      </c>
      <c r="AQ113" s="134">
        <v>98.239546684999993</v>
      </c>
      <c r="AR113" s="361">
        <f t="shared" si="116"/>
        <v>1.7604533150000066</v>
      </c>
      <c r="AS113" s="362">
        <f t="shared" si="97"/>
        <v>1.7604533150000066</v>
      </c>
      <c r="AU113" s="321" t="str">
        <v>1Y</v>
      </c>
      <c r="AV113" s="415" t="str">
        <f t="shared" si="98"/>
        <v>1Y</v>
      </c>
      <c r="AW113" s="360"/>
      <c r="AX113" s="361" t="e">
        <f t="shared" si="99"/>
        <v>#N/A</v>
      </c>
      <c r="AY113" s="134">
        <v>0.70699999999999996</v>
      </c>
      <c r="AZ113" s="361">
        <f t="shared" si="100"/>
        <v>0.70699999999999996</v>
      </c>
      <c r="BA113" s="362">
        <f t="shared" si="101"/>
        <v>0.70699999999999996</v>
      </c>
      <c r="BD113" s="321"/>
      <c r="BE113" s="348">
        <f t="shared" si="102"/>
        <v>98.465000000000003</v>
      </c>
      <c r="BF113" s="321"/>
      <c r="BG113" s="426"/>
      <c r="BH113" s="426"/>
      <c r="BI113" s="426"/>
      <c r="BJ113" s="426"/>
      <c r="BK113" s="30">
        <f t="shared" si="103"/>
        <v>97.947967769000002</v>
      </c>
      <c r="BL113" s="321"/>
      <c r="BM113" s="30">
        <f t="shared" si="104"/>
        <v>98.667834193000004</v>
      </c>
      <c r="BN113" s="216">
        <v>43271</v>
      </c>
      <c r="BO113" s="30">
        <f t="shared" si="105"/>
        <v>98.473771944000006</v>
      </c>
      <c r="BP113" s="349">
        <f t="shared" si="106"/>
        <v>98.239546684999993</v>
      </c>
      <c r="BQ113" s="137" t="str">
        <v>1Y</v>
      </c>
      <c r="BR113" s="349">
        <f t="shared" si="107"/>
        <v>0.70699999999999996</v>
      </c>
      <c r="CS113" s="332"/>
      <c r="CT113" s="366" t="s">
        <v>4097</v>
      </c>
      <c r="CU113" s="307" t="s">
        <v>208</v>
      </c>
      <c r="CV113" s="307" t="s">
        <v>4059</v>
      </c>
      <c r="CW113" s="366" t="s">
        <v>34</v>
      </c>
      <c r="CX113" s="307">
        <v>0.86010260699999996</v>
      </c>
      <c r="CY113" s="307">
        <v>0.86010260699999996</v>
      </c>
      <c r="CZ113" s="307">
        <v>0.86010260699999996</v>
      </c>
    </row>
    <row r="114" spans="1:104">
      <c r="A114" s="137" t="str">
        <v>SEP 18</v>
      </c>
      <c r="B114" s="130">
        <v>3</v>
      </c>
      <c r="C114" s="321">
        <v>43362</v>
      </c>
      <c r="D114" s="359">
        <f t="shared" si="117"/>
        <v>43362</v>
      </c>
      <c r="E114" s="360" t="e">
        <f>IF($B114&lt;&gt;5,VLOOKUP(D114,[7]USDStd!$E$2:$H$100,4,FALSE),"")</f>
        <v>#N/A</v>
      </c>
      <c r="F114" s="361" t="e">
        <f t="shared" si="108"/>
        <v>#N/A</v>
      </c>
      <c r="G114" s="134">
        <v>98.364999999999995</v>
      </c>
      <c r="H114" s="361">
        <f t="shared" si="109"/>
        <v>1.6350000000000051</v>
      </c>
      <c r="I114" s="362">
        <f t="shared" si="88"/>
        <v>1.6350000000000051</v>
      </c>
      <c r="M114" s="321">
        <v>43362</v>
      </c>
      <c r="N114" s="359">
        <f t="shared" si="118"/>
        <v>43362</v>
      </c>
      <c r="O114" s="360" t="e">
        <f>IF($B114&lt;&gt;5,VLOOKUP(N114,[8]USD12M!$E$2:$H$100,4,FALSE),"")</f>
        <v>#N/A</v>
      </c>
      <c r="P114" s="361" t="e">
        <f t="shared" si="110"/>
        <v>#N/A</v>
      </c>
      <c r="Q114" s="134">
        <v>97.905453166000001</v>
      </c>
      <c r="R114" s="134"/>
      <c r="S114" s="134"/>
      <c r="T114" s="361">
        <f t="shared" si="90"/>
        <v>2.0945468339999991</v>
      </c>
      <c r="U114" s="362">
        <f t="shared" si="91"/>
        <v>2.0945468339999991</v>
      </c>
      <c r="W114" s="321">
        <v>43362</v>
      </c>
      <c r="X114" s="359">
        <f t="shared" si="119"/>
        <v>43362</v>
      </c>
      <c r="Y114" s="360" t="e">
        <f>IF($B114&lt;&gt;5,VLOOKUP(X114,[9]USD1M!$E$2:$H$100,4,FALSE),"")</f>
        <v>#N/A</v>
      </c>
      <c r="Z114" s="361" t="e">
        <f t="shared" si="111"/>
        <v>#N/A</v>
      </c>
      <c r="AA114" s="134">
        <v>98.566458424999993</v>
      </c>
      <c r="AB114" s="361">
        <f t="shared" si="112"/>
        <v>1.4335415750000067</v>
      </c>
      <c r="AC114" s="362">
        <f t="shared" si="93"/>
        <v>1.4335415750000067</v>
      </c>
      <c r="AE114" s="321">
        <v>43362</v>
      </c>
      <c r="AF114" s="359">
        <f t="shared" si="120"/>
        <v>43362</v>
      </c>
      <c r="AG114" s="360" t="e">
        <f>IF($B114&lt;&gt;5,VLOOKUP(AF114,[10]USD3M!$E$2:$H$100,4,FALSE),"")</f>
        <v>#N/A</v>
      </c>
      <c r="AH114" s="361" t="e">
        <f t="shared" si="113"/>
        <v>#N/A</v>
      </c>
      <c r="AI114" s="134">
        <v>98.370543671999997</v>
      </c>
      <c r="AJ114" s="361">
        <f t="shared" si="114"/>
        <v>1.6294563280000034</v>
      </c>
      <c r="AK114" s="362">
        <f t="shared" si="95"/>
        <v>1.6294563280000034</v>
      </c>
      <c r="AM114" s="321">
        <v>43362</v>
      </c>
      <c r="AN114" s="359">
        <f t="shared" si="121"/>
        <v>43362</v>
      </c>
      <c r="AO114" s="360" t="e">
        <f>IF($B114&lt;&gt;5,VLOOKUP(AN114,[11]USD6M!$E$2:$H$100,4,FALSE),"")</f>
        <v>#N/A</v>
      </c>
      <c r="AP114" s="361" t="e">
        <f t="shared" si="115"/>
        <v>#N/A</v>
      </c>
      <c r="AQ114" s="134">
        <v>98.149365493000005</v>
      </c>
      <c r="AR114" s="361">
        <f t="shared" si="116"/>
        <v>1.8506345069999952</v>
      </c>
      <c r="AS114" s="362">
        <f t="shared" si="97"/>
        <v>1.8506345069999952</v>
      </c>
      <c r="AU114" s="321" t="str">
        <v>15M</v>
      </c>
      <c r="AV114" s="415" t="str">
        <f t="shared" si="98"/>
        <v>15M</v>
      </c>
      <c r="AW114" s="360"/>
      <c r="AX114" s="361" t="e">
        <f t="shared" si="99"/>
        <v>#N/A</v>
      </c>
      <c r="AY114" s="134">
        <v>0.75600000000000001</v>
      </c>
      <c r="AZ114" s="361">
        <f t="shared" si="100"/>
        <v>0.75600000000000001</v>
      </c>
      <c r="BA114" s="362">
        <f t="shared" si="101"/>
        <v>0.75600000000000001</v>
      </c>
      <c r="BD114" s="321"/>
      <c r="BE114" s="348">
        <f t="shared" si="102"/>
        <v>98.364999999999995</v>
      </c>
      <c r="BF114" s="321"/>
      <c r="BG114" s="426"/>
      <c r="BH114" s="426"/>
      <c r="BI114" s="426"/>
      <c r="BJ114" s="426"/>
      <c r="BK114" s="30">
        <f t="shared" si="103"/>
        <v>97.905453166000001</v>
      </c>
      <c r="BL114" s="321"/>
      <c r="BM114" s="30">
        <f t="shared" si="104"/>
        <v>98.566458424999993</v>
      </c>
      <c r="BN114" s="216">
        <v>43362</v>
      </c>
      <c r="BO114" s="30">
        <f t="shared" si="105"/>
        <v>98.370543671999997</v>
      </c>
      <c r="BP114" s="349">
        <f t="shared" si="106"/>
        <v>98.149365493000005</v>
      </c>
      <c r="BQ114" s="137" t="str">
        <v>13M</v>
      </c>
      <c r="BR114" s="349">
        <f t="shared" si="107"/>
        <v>0.75600000000000001</v>
      </c>
      <c r="CS114" s="332"/>
      <c r="CT114" s="366" t="s">
        <v>4098</v>
      </c>
      <c r="CU114" s="307" t="s">
        <v>208</v>
      </c>
      <c r="CV114" s="307" t="s">
        <v>4059</v>
      </c>
      <c r="CW114" s="366" t="s">
        <v>35</v>
      </c>
      <c r="CX114" s="307">
        <v>0.89796881100000003</v>
      </c>
      <c r="CY114" s="307">
        <v>0.89796881100000003</v>
      </c>
      <c r="CZ114" s="307">
        <v>0.89796881100000003</v>
      </c>
    </row>
    <row r="115" spans="1:104">
      <c r="A115" s="137" t="str">
        <v>3Y</v>
      </c>
      <c r="B115" s="130">
        <v>4</v>
      </c>
      <c r="C115" s="321" t="str">
        <v>3Y</v>
      </c>
      <c r="D115" s="359" t="str">
        <f t="shared" si="117"/>
        <v>3Y</v>
      </c>
      <c r="E115" s="360">
        <f>IF($B115&lt;&gt;5,VLOOKUP(D115,[7]USDStd!$E$2:$H$100,4,FALSE),"")</f>
        <v>0.76800000000000002</v>
      </c>
      <c r="F115" s="361">
        <f t="shared" si="108"/>
        <v>0.76800000000000002</v>
      </c>
      <c r="G115" s="134">
        <v>1.427</v>
      </c>
      <c r="H115" s="361">
        <f t="shared" si="109"/>
        <v>1.427</v>
      </c>
      <c r="I115" s="362">
        <f t="shared" si="88"/>
        <v>1.427</v>
      </c>
      <c r="M115" s="321" t="str">
        <v>3Y</v>
      </c>
      <c r="N115" s="359" t="str">
        <f t="shared" si="118"/>
        <v>3Y</v>
      </c>
      <c r="O115" s="360">
        <f>IF($B115&lt;&gt;5,VLOOKUP(N115,[8]USD12M!$E$2:$H$100,4,FALSE),"")</f>
        <v>1.0652081900000001</v>
      </c>
      <c r="P115" s="361">
        <f t="shared" si="110"/>
        <v>1.0652081900000001</v>
      </c>
      <c r="Q115" s="134">
        <v>1.9291966359999999</v>
      </c>
      <c r="R115" s="134"/>
      <c r="S115" s="134"/>
      <c r="T115" s="361">
        <f t="shared" si="90"/>
        <v>1.9291966359999999</v>
      </c>
      <c r="U115" s="362">
        <f t="shared" si="91"/>
        <v>1.9291966359999999</v>
      </c>
      <c r="W115" s="321" t="str">
        <v>3Y</v>
      </c>
      <c r="X115" s="359" t="str">
        <f t="shared" si="119"/>
        <v>3Y</v>
      </c>
      <c r="Y115" s="360">
        <f>IF($B115&lt;&gt;5,VLOOKUP(X115,[9]USD1M!$E$2:$H$100,4,FALSE),"")</f>
        <v>0.68719233300000004</v>
      </c>
      <c r="Z115" s="361">
        <f t="shared" si="111"/>
        <v>0.68719233300000004</v>
      </c>
      <c r="AA115" s="134">
        <v>1.232971582</v>
      </c>
      <c r="AB115" s="361">
        <f t="shared" si="112"/>
        <v>1.232971582</v>
      </c>
      <c r="AC115" s="362">
        <f t="shared" si="93"/>
        <v>1.232971582</v>
      </c>
      <c r="AE115" s="321" t="str">
        <v>3Y</v>
      </c>
      <c r="AF115" s="359" t="str">
        <f t="shared" si="120"/>
        <v>3Y</v>
      </c>
      <c r="AG115" s="360">
        <f>IF($B115&lt;&gt;5,VLOOKUP(AF115,[10]USD3M!$E$2:$H$100,4,FALSE),"")</f>
        <v>0.76800000000000002</v>
      </c>
      <c r="AH115" s="361">
        <f t="shared" si="113"/>
        <v>0.76800000000000002</v>
      </c>
      <c r="AI115" s="134">
        <v>1.427</v>
      </c>
      <c r="AJ115" s="361">
        <f t="shared" si="114"/>
        <v>1.427</v>
      </c>
      <c r="AK115" s="362">
        <f t="shared" si="95"/>
        <v>1.427</v>
      </c>
      <c r="AM115" s="321" t="str">
        <v>3Y</v>
      </c>
      <c r="AN115" s="359" t="str">
        <f t="shared" si="121"/>
        <v>3Y</v>
      </c>
      <c r="AO115" s="360">
        <f>IF($B115&lt;&gt;5,VLOOKUP(AN115,[11]USD6M!$E$2:$H$100,4,FALSE),"")</f>
        <v>0.87551963600000005</v>
      </c>
      <c r="AP115" s="361">
        <f t="shared" si="115"/>
        <v>0.87551963600000005</v>
      </c>
      <c r="AQ115" s="134">
        <v>1.666045599</v>
      </c>
      <c r="AR115" s="361">
        <f t="shared" si="116"/>
        <v>1.666045599</v>
      </c>
      <c r="AS115" s="362">
        <f t="shared" si="97"/>
        <v>1.666045599</v>
      </c>
      <c r="AU115" s="321" t="str">
        <v>18M</v>
      </c>
      <c r="AV115" s="415" t="str">
        <f t="shared" si="98"/>
        <v>18M</v>
      </c>
      <c r="AW115" s="360"/>
      <c r="AX115" s="361" t="e">
        <f t="shared" si="99"/>
        <v>#N/A</v>
      </c>
      <c r="AY115" s="134">
        <v>0.80400000000000005</v>
      </c>
      <c r="AZ115" s="361">
        <f t="shared" si="100"/>
        <v>0.80400000000000005</v>
      </c>
      <c r="BA115" s="362">
        <f t="shared" si="101"/>
        <v>0.80400000000000005</v>
      </c>
      <c r="BD115" s="321"/>
      <c r="BE115" s="348">
        <f t="shared" si="102"/>
        <v>1.427</v>
      </c>
      <c r="BF115" s="321"/>
      <c r="BG115" s="426"/>
      <c r="BH115" s="426"/>
      <c r="BI115" s="426"/>
      <c r="BJ115" s="426"/>
      <c r="BK115" s="30">
        <f t="shared" si="103"/>
        <v>1.9291966359999999</v>
      </c>
      <c r="BL115" s="321"/>
      <c r="BM115" s="30">
        <f t="shared" si="104"/>
        <v>1.232971582</v>
      </c>
      <c r="BN115" s="216" t="str">
        <v>3Y</v>
      </c>
      <c r="BO115" s="30">
        <f t="shared" si="105"/>
        <v>1.427</v>
      </c>
      <c r="BP115" s="349">
        <f t="shared" si="106"/>
        <v>1.666045599</v>
      </c>
      <c r="BQ115" s="137" t="str">
        <v>14M</v>
      </c>
      <c r="BR115" s="349">
        <f t="shared" si="107"/>
        <v>0.80400000000000005</v>
      </c>
      <c r="CS115" s="332"/>
      <c r="CT115" s="366" t="s">
        <v>4099</v>
      </c>
      <c r="CU115" s="307" t="s">
        <v>208</v>
      </c>
      <c r="CV115" s="307" t="s">
        <v>4059</v>
      </c>
      <c r="CW115" s="366" t="s">
        <v>36</v>
      </c>
      <c r="CX115" s="307">
        <v>0.92936269000000005</v>
      </c>
      <c r="CY115" s="307">
        <v>0.92936269000000005</v>
      </c>
      <c r="CZ115" s="307">
        <v>0.92936269000000005</v>
      </c>
    </row>
    <row r="116" spans="1:104">
      <c r="A116" s="137" t="str">
        <v>4Y</v>
      </c>
      <c r="B116" s="130">
        <v>4</v>
      </c>
      <c r="C116" s="321" t="str">
        <v>4Y</v>
      </c>
      <c r="D116" s="359" t="str">
        <f t="shared" si="117"/>
        <v>4Y</v>
      </c>
      <c r="E116" s="360">
        <f>IF($B116&lt;&gt;5,VLOOKUP(D116,[7]USDStd!$E$2:$H$100,4,FALSE),"")</f>
        <v>1.1548359939999999</v>
      </c>
      <c r="F116" s="361">
        <f t="shared" si="108"/>
        <v>1.1548359939999999</v>
      </c>
      <c r="G116" s="134">
        <v>1.573</v>
      </c>
      <c r="H116" s="361">
        <f t="shared" si="109"/>
        <v>1.573</v>
      </c>
      <c r="I116" s="362">
        <f t="shared" si="88"/>
        <v>1.573</v>
      </c>
      <c r="M116" s="321" t="str">
        <v>4Y</v>
      </c>
      <c r="N116" s="359" t="str">
        <f t="shared" si="118"/>
        <v>4Y</v>
      </c>
      <c r="O116" s="360">
        <f>IF($B116&lt;&gt;5,VLOOKUP(N116,[8]USD12M!$E$2:$H$100,4,FALSE),"")</f>
        <v>1.4467853159999999</v>
      </c>
      <c r="P116" s="361">
        <f t="shared" si="110"/>
        <v>1.4467853159999999</v>
      </c>
      <c r="Q116" s="134">
        <v>2.0704378499999998</v>
      </c>
      <c r="R116" s="134"/>
      <c r="S116" s="134"/>
      <c r="T116" s="361">
        <f t="shared" si="90"/>
        <v>2.0704378499999998</v>
      </c>
      <c r="U116" s="362">
        <f t="shared" si="91"/>
        <v>2.0704378499999998</v>
      </c>
      <c r="W116" s="321" t="str">
        <v>4Y</v>
      </c>
      <c r="X116" s="359" t="str">
        <f t="shared" si="119"/>
        <v>4Y</v>
      </c>
      <c r="Y116" s="360">
        <f>IF($B116&lt;&gt;5,VLOOKUP(X116,[9]USD1M!$E$2:$H$100,4,FALSE),"")</f>
        <v>1.07214966</v>
      </c>
      <c r="Z116" s="361">
        <f t="shared" si="111"/>
        <v>1.07214966</v>
      </c>
      <c r="AA116" s="134">
        <v>1.3839528679999999</v>
      </c>
      <c r="AB116" s="361">
        <f t="shared" si="112"/>
        <v>1.3839528679999999</v>
      </c>
      <c r="AC116" s="362">
        <f t="shared" si="93"/>
        <v>1.3839528679999999</v>
      </c>
      <c r="AE116" s="321" t="str">
        <v>4Y</v>
      </c>
      <c r="AF116" s="359" t="str">
        <f t="shared" si="120"/>
        <v>4Y</v>
      </c>
      <c r="AG116" s="360">
        <f>IF($B116&lt;&gt;5,VLOOKUP(AF116,[10]USD3M!$E$2:$H$100,4,FALSE),"")</f>
        <v>1.1548359939999999</v>
      </c>
      <c r="AH116" s="361">
        <f t="shared" si="113"/>
        <v>1.1548359939999999</v>
      </c>
      <c r="AI116" s="134">
        <v>1.573</v>
      </c>
      <c r="AJ116" s="361">
        <f t="shared" si="114"/>
        <v>1.573</v>
      </c>
      <c r="AK116" s="362">
        <f t="shared" si="95"/>
        <v>1.573</v>
      </c>
      <c r="AM116" s="321" t="str">
        <v>4Y</v>
      </c>
      <c r="AN116" s="359" t="str">
        <f t="shared" si="121"/>
        <v>4Y</v>
      </c>
      <c r="AO116" s="360">
        <f>IF($B116&lt;&gt;5,VLOOKUP(AN116,[11]USD6M!$E$2:$H$100,4,FALSE),"")</f>
        <v>1.263857577</v>
      </c>
      <c r="AP116" s="361">
        <f t="shared" si="115"/>
        <v>1.263857577</v>
      </c>
      <c r="AQ116" s="134">
        <v>1.7940834889999999</v>
      </c>
      <c r="AR116" s="361">
        <f t="shared" si="116"/>
        <v>1.7940834889999999</v>
      </c>
      <c r="AS116" s="362">
        <f t="shared" si="97"/>
        <v>1.7940834889999999</v>
      </c>
      <c r="AU116" s="321" t="str">
        <v>21M</v>
      </c>
      <c r="AV116" s="415" t="str">
        <f t="shared" si="98"/>
        <v>21M</v>
      </c>
      <c r="AW116" s="360"/>
      <c r="AX116" s="361" t="e">
        <f t="shared" si="99"/>
        <v>#N/A</v>
      </c>
      <c r="AY116" s="134">
        <v>0.85299999999999998</v>
      </c>
      <c r="AZ116" s="361">
        <f t="shared" si="100"/>
        <v>0.85299999999999998</v>
      </c>
      <c r="BA116" s="362">
        <f t="shared" si="101"/>
        <v>0.85299999999999998</v>
      </c>
      <c r="BD116" s="321"/>
      <c r="BE116" s="348">
        <f t="shared" si="102"/>
        <v>1.573</v>
      </c>
      <c r="BF116" s="321"/>
      <c r="BG116" s="426"/>
      <c r="BH116" s="426"/>
      <c r="BI116" s="426"/>
      <c r="BJ116" s="426"/>
      <c r="BK116" s="30">
        <f t="shared" si="103"/>
        <v>2.0704378499999998</v>
      </c>
      <c r="BL116" s="321"/>
      <c r="BM116" s="30">
        <f t="shared" si="104"/>
        <v>1.3839528679999999</v>
      </c>
      <c r="BN116" s="216" t="str">
        <v>4Y</v>
      </c>
      <c r="BO116" s="30">
        <f t="shared" si="105"/>
        <v>1.573</v>
      </c>
      <c r="BP116" s="349">
        <f t="shared" si="106"/>
        <v>1.7940834889999999</v>
      </c>
      <c r="BQ116" s="137" t="str">
        <v>15M</v>
      </c>
      <c r="BR116" s="349">
        <f t="shared" si="107"/>
        <v>0.85299999999999998</v>
      </c>
      <c r="CS116" s="332"/>
      <c r="CT116" s="366" t="s">
        <v>4100</v>
      </c>
      <c r="CU116" s="307" t="s">
        <v>208</v>
      </c>
      <c r="CV116" s="307" t="s">
        <v>4059</v>
      </c>
      <c r="CW116" s="366" t="s">
        <v>37</v>
      </c>
      <c r="CX116" s="307">
        <v>0.95507663099999995</v>
      </c>
      <c r="CY116" s="307">
        <v>0.95507663099999995</v>
      </c>
      <c r="CZ116" s="307">
        <v>0.95507663099999995</v>
      </c>
    </row>
    <row r="117" spans="1:104">
      <c r="A117" s="137" t="str">
        <v>5Y</v>
      </c>
      <c r="B117" s="130">
        <v>4</v>
      </c>
      <c r="C117" s="321" t="str">
        <v>5Y</v>
      </c>
      <c r="D117" s="359" t="str">
        <f t="shared" si="117"/>
        <v>5Y</v>
      </c>
      <c r="E117" s="360">
        <f>IF($B117&lt;&gt;5,VLOOKUP(D117,[7]USDStd!$E$2:$H$100,4,FALSE),"")</f>
        <v>1.540867488</v>
      </c>
      <c r="F117" s="361">
        <f t="shared" si="108"/>
        <v>1.540867488</v>
      </c>
      <c r="G117" s="134">
        <v>1.6919999999999999</v>
      </c>
      <c r="H117" s="361">
        <f t="shared" si="109"/>
        <v>1.6919999999999999</v>
      </c>
      <c r="I117" s="362">
        <f t="shared" si="88"/>
        <v>1.6919999999999999</v>
      </c>
      <c r="M117" s="321" t="str">
        <v>5Y</v>
      </c>
      <c r="N117" s="359" t="str">
        <f t="shared" si="118"/>
        <v>5Y</v>
      </c>
      <c r="O117" s="360">
        <f>IF($B117&lt;&gt;5,VLOOKUP(N117,[8]USD12M!$E$2:$H$100,4,FALSE),"")</f>
        <v>1.82931161</v>
      </c>
      <c r="P117" s="361">
        <f t="shared" si="110"/>
        <v>1.82931161</v>
      </c>
      <c r="Q117" s="134">
        <v>2.1758245889999999</v>
      </c>
      <c r="R117" s="134"/>
      <c r="S117" s="134"/>
      <c r="T117" s="361">
        <f t="shared" si="90"/>
        <v>2.1758245889999999</v>
      </c>
      <c r="U117" s="362">
        <f t="shared" si="91"/>
        <v>2.1758245889999999</v>
      </c>
      <c r="W117" s="321" t="str">
        <v>5Y</v>
      </c>
      <c r="X117" s="359" t="str">
        <f t="shared" si="119"/>
        <v>5Y</v>
      </c>
      <c r="Y117" s="360">
        <f>IF($B117&lt;&gt;5,VLOOKUP(X117,[9]USD1M!$E$2:$H$100,4,FALSE),"")</f>
        <v>1.4591394680000001</v>
      </c>
      <c r="Z117" s="361">
        <f t="shared" si="111"/>
        <v>1.4591394680000001</v>
      </c>
      <c r="AA117" s="134">
        <v>1.5299524520000001</v>
      </c>
      <c r="AB117" s="361">
        <f t="shared" si="112"/>
        <v>1.5299524520000001</v>
      </c>
      <c r="AC117" s="362">
        <f t="shared" si="93"/>
        <v>1.5299524520000001</v>
      </c>
      <c r="AE117" s="321" t="str">
        <v>5Y</v>
      </c>
      <c r="AF117" s="359" t="str">
        <f t="shared" si="120"/>
        <v>5Y</v>
      </c>
      <c r="AG117" s="360">
        <f>IF($B117&lt;&gt;5,VLOOKUP(AF117,[10]USD3M!$E$2:$H$100,4,FALSE),"")</f>
        <v>1.540867488</v>
      </c>
      <c r="AH117" s="361">
        <f t="shared" si="113"/>
        <v>1.540867488</v>
      </c>
      <c r="AI117" s="134">
        <v>1.6919999999999999</v>
      </c>
      <c r="AJ117" s="361">
        <f t="shared" si="114"/>
        <v>1.6919999999999999</v>
      </c>
      <c r="AK117" s="362">
        <f t="shared" si="95"/>
        <v>1.6919999999999999</v>
      </c>
      <c r="AM117" s="321" t="str">
        <v>5Y</v>
      </c>
      <c r="AN117" s="359" t="str">
        <f t="shared" si="121"/>
        <v>5Y</v>
      </c>
      <c r="AO117" s="360">
        <f>IF($B117&lt;&gt;5,VLOOKUP(AN117,[11]USD6M!$E$2:$H$100,4,FALSE),"")</f>
        <v>1.6502300839999999</v>
      </c>
      <c r="AP117" s="361">
        <f t="shared" si="115"/>
        <v>1.6502300839999999</v>
      </c>
      <c r="AQ117" s="134">
        <v>1.898096708</v>
      </c>
      <c r="AR117" s="361">
        <f t="shared" si="116"/>
        <v>1.898096708</v>
      </c>
      <c r="AS117" s="362">
        <f t="shared" si="97"/>
        <v>1.898096708</v>
      </c>
      <c r="AU117" s="321" t="str">
        <v>2Y</v>
      </c>
      <c r="AV117" s="415" t="str">
        <f t="shared" si="98"/>
        <v>2Y</v>
      </c>
      <c r="AW117" s="360"/>
      <c r="AX117" s="361" t="e">
        <f t="shared" si="99"/>
        <v>#N/A</v>
      </c>
      <c r="AY117" s="134">
        <v>0.90200000000000002</v>
      </c>
      <c r="AZ117" s="361">
        <f t="shared" si="100"/>
        <v>0.90200000000000002</v>
      </c>
      <c r="BA117" s="362">
        <f t="shared" si="101"/>
        <v>0.90200000000000002</v>
      </c>
      <c r="BD117" s="321"/>
      <c r="BE117" s="348">
        <f t="shared" si="102"/>
        <v>1.6919999999999999</v>
      </c>
      <c r="BF117" s="321"/>
      <c r="BG117" s="426"/>
      <c r="BH117" s="426"/>
      <c r="BI117" s="426"/>
      <c r="BJ117" s="426"/>
      <c r="BK117" s="30">
        <f t="shared" si="103"/>
        <v>2.1758245889999999</v>
      </c>
      <c r="BL117" s="321"/>
      <c r="BM117" s="30">
        <f t="shared" si="104"/>
        <v>1.5299524520000001</v>
      </c>
      <c r="BN117" s="216" t="str">
        <v>5Y</v>
      </c>
      <c r="BO117" s="30">
        <f t="shared" si="105"/>
        <v>1.6919999999999999</v>
      </c>
      <c r="BP117" s="349">
        <f t="shared" si="106"/>
        <v>1.898096708</v>
      </c>
      <c r="BQ117" s="137" t="str">
        <v>16M</v>
      </c>
      <c r="BR117" s="349">
        <f t="shared" si="107"/>
        <v>0.90200000000000002</v>
      </c>
      <c r="CS117" s="332"/>
      <c r="CT117" s="366" t="s">
        <v>4101</v>
      </c>
      <c r="CU117" s="307" t="s">
        <v>208</v>
      </c>
      <c r="CV117" s="307" t="s">
        <v>4059</v>
      </c>
      <c r="CW117" s="366" t="s">
        <v>20</v>
      </c>
      <c r="CX117" s="307">
        <v>0.97599999999999998</v>
      </c>
      <c r="CY117" s="307">
        <v>0.97599999999999998</v>
      </c>
      <c r="CZ117" s="307">
        <v>0.97599999999999998</v>
      </c>
    </row>
    <row r="118" spans="1:104">
      <c r="A118" s="137" t="str">
        <v>6Y</v>
      </c>
      <c r="B118" s="130">
        <v>4</v>
      </c>
      <c r="C118" s="321" t="str">
        <v>6Y</v>
      </c>
      <c r="D118" s="359" t="str">
        <f t="shared" si="117"/>
        <v>6Y</v>
      </c>
      <c r="E118" s="360">
        <f>IF($B118&lt;&gt;5,VLOOKUP(D118,[7]USDStd!$E$2:$H$100,4,FALSE),"")</f>
        <v>1.8768882490000001</v>
      </c>
      <c r="F118" s="361">
        <f t="shared" si="108"/>
        <v>1.8768882490000001</v>
      </c>
      <c r="G118" s="134">
        <v>1.798000002</v>
      </c>
      <c r="H118" s="361">
        <f t="shared" si="109"/>
        <v>1.798000002</v>
      </c>
      <c r="I118" s="362">
        <f t="shared" si="88"/>
        <v>1.798000002</v>
      </c>
      <c r="M118" s="321" t="str">
        <v>6Y</v>
      </c>
      <c r="N118" s="359" t="str">
        <f t="shared" si="118"/>
        <v>6Y</v>
      </c>
      <c r="O118" s="360">
        <f>IF($B118&lt;&gt;5,VLOOKUP(N118,[8]USD12M!$E$2:$H$100,4,FALSE),"")</f>
        <v>2.1618242460000001</v>
      </c>
      <c r="P118" s="361">
        <f t="shared" si="110"/>
        <v>2.1618242460000001</v>
      </c>
      <c r="Q118" s="134">
        <v>2.2732025770000002</v>
      </c>
      <c r="R118" s="134"/>
      <c r="S118" s="134"/>
      <c r="T118" s="361">
        <f t="shared" si="90"/>
        <v>2.2732025770000002</v>
      </c>
      <c r="U118" s="362">
        <f t="shared" si="91"/>
        <v>2.2732025770000002</v>
      </c>
      <c r="W118" s="321" t="str">
        <v>6Y</v>
      </c>
      <c r="X118" s="359" t="str">
        <f t="shared" si="119"/>
        <v>6Y</v>
      </c>
      <c r="Y118" s="360">
        <f>IF($B118&lt;&gt;5,VLOOKUP(X118,[9]USD1M!$E$2:$H$100,4,FALSE),"")</f>
        <v>1.7999300460000001</v>
      </c>
      <c r="Z118" s="361">
        <f t="shared" si="111"/>
        <v>1.7999300460000001</v>
      </c>
      <c r="AA118" s="134">
        <v>1.6619696639999999</v>
      </c>
      <c r="AB118" s="361">
        <f t="shared" si="112"/>
        <v>1.6619696639999999</v>
      </c>
      <c r="AC118" s="362">
        <f t="shared" si="93"/>
        <v>1.6619696639999999</v>
      </c>
      <c r="AE118" s="321" t="str">
        <v>6Y</v>
      </c>
      <c r="AF118" s="359" t="str">
        <f t="shared" si="120"/>
        <v>6Y</v>
      </c>
      <c r="AG118" s="360">
        <f>IF($B118&lt;&gt;5,VLOOKUP(AF118,[10]USD3M!$E$2:$H$100,4,FALSE),"")</f>
        <v>1.8768882490000001</v>
      </c>
      <c r="AH118" s="361">
        <f t="shared" si="113"/>
        <v>1.8768882490000001</v>
      </c>
      <c r="AI118" s="134">
        <v>1.798000002</v>
      </c>
      <c r="AJ118" s="361">
        <f t="shared" si="114"/>
        <v>1.798000002</v>
      </c>
      <c r="AK118" s="362">
        <f t="shared" si="95"/>
        <v>1.798000002</v>
      </c>
      <c r="AM118" s="321" t="str">
        <v>6Y</v>
      </c>
      <c r="AN118" s="359" t="str">
        <f t="shared" si="121"/>
        <v>6Y</v>
      </c>
      <c r="AO118" s="360">
        <f>IF($B118&lt;&gt;5,VLOOKUP(AN118,[11]USD6M!$E$2:$H$100,4,FALSE),"")</f>
        <v>1.9865923240000001</v>
      </c>
      <c r="AP118" s="361">
        <f t="shared" si="115"/>
        <v>1.9865923240000001</v>
      </c>
      <c r="AQ118" s="134">
        <v>1.99411535</v>
      </c>
      <c r="AR118" s="361">
        <f t="shared" si="116"/>
        <v>1.99411535</v>
      </c>
      <c r="AS118" s="362">
        <f t="shared" si="97"/>
        <v>1.99411535</v>
      </c>
      <c r="AU118" s="321" t="str">
        <v>3Y</v>
      </c>
      <c r="AV118" s="415" t="str">
        <f t="shared" si="98"/>
        <v>3Y</v>
      </c>
      <c r="AW118" s="360"/>
      <c r="AX118" s="361" t="e">
        <f t="shared" si="99"/>
        <v>#N/A</v>
      </c>
      <c r="AY118" s="134">
        <v>1.085</v>
      </c>
      <c r="AZ118" s="361">
        <f t="shared" si="100"/>
        <v>1.085</v>
      </c>
      <c r="BA118" s="362">
        <f t="shared" si="101"/>
        <v>1.085</v>
      </c>
      <c r="BD118" s="321"/>
      <c r="BE118" s="348">
        <f t="shared" si="102"/>
        <v>1.798000002</v>
      </c>
      <c r="BF118" s="321"/>
      <c r="BG118" s="426"/>
      <c r="BH118" s="426"/>
      <c r="BI118" s="426"/>
      <c r="BJ118" s="426"/>
      <c r="BK118" s="30">
        <f t="shared" si="103"/>
        <v>2.2732025770000002</v>
      </c>
      <c r="BL118" s="321"/>
      <c r="BM118" s="30">
        <f t="shared" si="104"/>
        <v>1.6619696639999999</v>
      </c>
      <c r="BN118" s="216" t="str">
        <v>6Y</v>
      </c>
      <c r="BO118" s="30">
        <f t="shared" si="105"/>
        <v>1.798000002</v>
      </c>
      <c r="BP118" s="349">
        <f t="shared" si="106"/>
        <v>1.99411535</v>
      </c>
      <c r="BQ118" s="137" t="str">
        <v>17M</v>
      </c>
      <c r="BR118" s="349">
        <f t="shared" si="107"/>
        <v>1.085</v>
      </c>
      <c r="CS118" s="332"/>
      <c r="CT118" s="366" t="s">
        <v>4102</v>
      </c>
      <c r="CU118" s="307" t="s">
        <v>208</v>
      </c>
      <c r="CV118" s="307" t="s">
        <v>4059</v>
      </c>
      <c r="CW118" s="366" t="s">
        <v>38</v>
      </c>
      <c r="CX118" s="307">
        <v>0.99253404499999998</v>
      </c>
      <c r="CY118" s="307">
        <v>0.99253404499999998</v>
      </c>
      <c r="CZ118" s="307">
        <v>0.99253404499999998</v>
      </c>
    </row>
    <row r="119" spans="1:104">
      <c r="A119" s="137" t="str">
        <v>7Y</v>
      </c>
      <c r="B119" s="130">
        <v>4</v>
      </c>
      <c r="C119" s="321" t="str">
        <v>7Y</v>
      </c>
      <c r="D119" s="359" t="str">
        <f t="shared" si="117"/>
        <v>7Y</v>
      </c>
      <c r="E119" s="360">
        <f>IF($B119&lt;&gt;5,VLOOKUP(D119,[7]USDStd!$E$2:$H$100,4,FALSE),"")</f>
        <v>2.1659029420000002</v>
      </c>
      <c r="F119" s="361">
        <f t="shared" si="108"/>
        <v>2.1659029420000002</v>
      </c>
      <c r="G119" s="134">
        <v>1.8870000010000001</v>
      </c>
      <c r="H119" s="361">
        <f t="shared" si="109"/>
        <v>1.8870000010000001</v>
      </c>
      <c r="I119" s="362">
        <f t="shared" si="88"/>
        <v>1.8870000010000001</v>
      </c>
      <c r="M119" s="321" t="str">
        <v>7Y</v>
      </c>
      <c r="N119" s="359" t="str">
        <f t="shared" si="118"/>
        <v>7Y</v>
      </c>
      <c r="O119" s="360">
        <f>IF($B119&lt;&gt;5,VLOOKUP(N119,[8]USD12M!$E$2:$H$100,4,FALSE),"")</f>
        <v>2.4473787630000001</v>
      </c>
      <c r="P119" s="361">
        <f t="shared" si="110"/>
        <v>2.4473787630000001</v>
      </c>
      <c r="Q119" s="134">
        <v>2.3472615330000002</v>
      </c>
      <c r="R119" s="134"/>
      <c r="S119" s="134"/>
      <c r="T119" s="361">
        <f t="shared" si="90"/>
        <v>2.3472615330000002</v>
      </c>
      <c r="U119" s="362">
        <f t="shared" si="91"/>
        <v>2.3472615330000002</v>
      </c>
      <c r="W119" s="321" t="str">
        <v>7Y</v>
      </c>
      <c r="X119" s="359" t="str">
        <f t="shared" si="119"/>
        <v>7Y</v>
      </c>
      <c r="Y119" s="360">
        <f>IF($B119&lt;&gt;5,VLOOKUP(X119,[9]USD1M!$E$2:$H$100,4,FALSE),"")</f>
        <v>2.0910838350000001</v>
      </c>
      <c r="Z119" s="361">
        <f t="shared" si="111"/>
        <v>2.0910838350000001</v>
      </c>
      <c r="AA119" s="134">
        <v>1.7459707719999999</v>
      </c>
      <c r="AB119" s="361">
        <f t="shared" si="112"/>
        <v>1.7459707719999999</v>
      </c>
      <c r="AC119" s="362">
        <f t="shared" si="93"/>
        <v>1.7459707719999999</v>
      </c>
      <c r="AE119" s="321" t="str">
        <v>7Y</v>
      </c>
      <c r="AF119" s="359" t="str">
        <f t="shared" si="120"/>
        <v>7Y</v>
      </c>
      <c r="AG119" s="360">
        <f>IF($B119&lt;&gt;5,VLOOKUP(AF119,[10]USD3M!$E$2:$H$100,4,FALSE),"")</f>
        <v>2.1659029420000002</v>
      </c>
      <c r="AH119" s="361">
        <f t="shared" si="113"/>
        <v>2.1659029420000002</v>
      </c>
      <c r="AI119" s="134">
        <v>1.8870000010000001</v>
      </c>
      <c r="AJ119" s="361">
        <f t="shared" si="114"/>
        <v>1.8870000010000001</v>
      </c>
      <c r="AK119" s="362">
        <f t="shared" si="95"/>
        <v>1.8870000010000001</v>
      </c>
      <c r="AM119" s="321" t="str">
        <v>7Y</v>
      </c>
      <c r="AN119" s="359" t="str">
        <f t="shared" si="121"/>
        <v>7Y</v>
      </c>
      <c r="AO119" s="360">
        <f>IF($B119&lt;&gt;5,VLOOKUP(AN119,[11]USD6M!$E$2:$H$100,4,FALSE),"")</f>
        <v>2.274959151</v>
      </c>
      <c r="AP119" s="361">
        <f t="shared" si="115"/>
        <v>2.274959151</v>
      </c>
      <c r="AQ119" s="134">
        <v>2.075128759</v>
      </c>
      <c r="AR119" s="361">
        <f t="shared" si="116"/>
        <v>2.075128759</v>
      </c>
      <c r="AS119" s="362">
        <f t="shared" si="97"/>
        <v>2.075128759</v>
      </c>
      <c r="AU119" s="321" t="str">
        <v>4Y</v>
      </c>
      <c r="AV119" s="415" t="str">
        <f t="shared" si="98"/>
        <v>4Y</v>
      </c>
      <c r="AW119" s="360"/>
      <c r="AX119" s="361" t="e">
        <f t="shared" si="99"/>
        <v>#N/A</v>
      </c>
      <c r="AY119" s="134">
        <v>1.2310000000000001</v>
      </c>
      <c r="AZ119" s="361">
        <f t="shared" si="100"/>
        <v>1.2310000000000001</v>
      </c>
      <c r="BA119" s="362">
        <f t="shared" si="101"/>
        <v>1.2310000000000001</v>
      </c>
      <c r="BD119" s="321"/>
      <c r="BE119" s="348">
        <f t="shared" si="102"/>
        <v>1.8870000010000001</v>
      </c>
      <c r="BF119" s="321"/>
      <c r="BG119" s="426"/>
      <c r="BH119" s="426"/>
      <c r="BI119" s="426"/>
      <c r="BJ119" s="426"/>
      <c r="BK119" s="30">
        <f t="shared" si="103"/>
        <v>2.3472615330000002</v>
      </c>
      <c r="BL119" s="321"/>
      <c r="BM119" s="30">
        <f t="shared" si="104"/>
        <v>1.7459707719999999</v>
      </c>
      <c r="BN119" s="216" t="str">
        <v>7Y</v>
      </c>
      <c r="BO119" s="30">
        <f t="shared" si="105"/>
        <v>1.8870000010000001</v>
      </c>
      <c r="BP119" s="349">
        <f t="shared" si="106"/>
        <v>2.075128759</v>
      </c>
      <c r="BQ119" s="137" t="str">
        <v>18M</v>
      </c>
      <c r="BR119" s="349">
        <f t="shared" si="107"/>
        <v>1.2310000000000001</v>
      </c>
      <c r="CS119" s="332"/>
      <c r="CT119" s="366" t="s">
        <v>4103</v>
      </c>
      <c r="CU119" s="307" t="s">
        <v>208</v>
      </c>
      <c r="CV119" s="307" t="s">
        <v>4059</v>
      </c>
      <c r="CW119" s="366" t="s">
        <v>39</v>
      </c>
      <c r="CX119" s="307">
        <v>1.0055554310000001</v>
      </c>
      <c r="CY119" s="307">
        <v>1.0055554310000001</v>
      </c>
      <c r="CZ119" s="307">
        <v>1.0055554310000001</v>
      </c>
    </row>
    <row r="120" spans="1:104">
      <c r="A120" s="137" t="str">
        <v>8Y</v>
      </c>
      <c r="B120" s="130">
        <v>4</v>
      </c>
      <c r="C120" s="321" t="str">
        <v>8Y</v>
      </c>
      <c r="D120" s="359" t="str">
        <f t="shared" si="117"/>
        <v>8Y</v>
      </c>
      <c r="E120" s="360">
        <f>IF($B120&lt;&gt;5,VLOOKUP(D120,[7]USDStd!$E$2:$H$100,4,FALSE),"")</f>
        <v>2.3989138589999999</v>
      </c>
      <c r="F120" s="361">
        <f t="shared" si="108"/>
        <v>2.3989138589999999</v>
      </c>
      <c r="G120" s="134">
        <v>1.9610000009999999</v>
      </c>
      <c r="H120" s="361">
        <f t="shared" si="109"/>
        <v>1.9610000009999999</v>
      </c>
      <c r="I120" s="362">
        <f t="shared" si="88"/>
        <v>1.9610000009999999</v>
      </c>
      <c r="M120" s="321" t="str">
        <v>8Y</v>
      </c>
      <c r="N120" s="359" t="str">
        <f t="shared" si="118"/>
        <v>8Y</v>
      </c>
      <c r="O120" s="360">
        <f>IF($B120&lt;&gt;5,VLOOKUP(N120,[8]USD12M!$E$2:$H$100,4,FALSE),"")</f>
        <v>2.6771381270000001</v>
      </c>
      <c r="P120" s="361">
        <f t="shared" si="110"/>
        <v>2.6771381270000001</v>
      </c>
      <c r="Q120" s="134">
        <v>2.403770529</v>
      </c>
      <c r="R120" s="134"/>
      <c r="S120" s="134"/>
      <c r="T120" s="361">
        <f t="shared" si="90"/>
        <v>2.403770529</v>
      </c>
      <c r="U120" s="362">
        <f t="shared" si="91"/>
        <v>2.403770529</v>
      </c>
      <c r="W120" s="321" t="str">
        <v>8Y</v>
      </c>
      <c r="X120" s="359" t="str">
        <f t="shared" si="119"/>
        <v>8Y</v>
      </c>
      <c r="Y120" s="360">
        <f>IF($B120&lt;&gt;5,VLOOKUP(X120,[9]USD1M!$E$2:$H$100,4,FALSE),"")</f>
        <v>2.3299551379999999</v>
      </c>
      <c r="Z120" s="361">
        <f t="shared" si="111"/>
        <v>2.3299551379999999</v>
      </c>
      <c r="AA120" s="134">
        <v>1.8399795000000001</v>
      </c>
      <c r="AB120" s="361">
        <f t="shared" si="112"/>
        <v>1.8399795000000001</v>
      </c>
      <c r="AC120" s="362">
        <f t="shared" si="93"/>
        <v>1.8399795000000001</v>
      </c>
      <c r="AE120" s="321" t="str">
        <v>8Y</v>
      </c>
      <c r="AF120" s="359" t="str">
        <f t="shared" si="120"/>
        <v>8Y</v>
      </c>
      <c r="AG120" s="360">
        <f>IF($B120&lt;&gt;5,VLOOKUP(AF120,[10]USD3M!$E$2:$H$100,4,FALSE),"")</f>
        <v>2.3989138589999999</v>
      </c>
      <c r="AH120" s="361">
        <f t="shared" si="113"/>
        <v>2.3989138589999999</v>
      </c>
      <c r="AI120" s="134">
        <v>1.9610000009999999</v>
      </c>
      <c r="AJ120" s="361">
        <f t="shared" si="114"/>
        <v>1.9610000009999999</v>
      </c>
      <c r="AK120" s="362">
        <f t="shared" si="95"/>
        <v>1.9610000009999999</v>
      </c>
      <c r="AM120" s="321" t="str">
        <v>8Y</v>
      </c>
      <c r="AN120" s="359" t="str">
        <f t="shared" si="121"/>
        <v>8Y</v>
      </c>
      <c r="AO120" s="360">
        <f>IF($B120&lt;&gt;5,VLOOKUP(AN120,[11]USD6M!$E$2:$H$100,4,FALSE),"")</f>
        <v>2.5084254029999999</v>
      </c>
      <c r="AP120" s="361">
        <f t="shared" si="115"/>
        <v>2.5084254029999999</v>
      </c>
      <c r="AQ120" s="134">
        <v>2.1441459919999999</v>
      </c>
      <c r="AR120" s="361">
        <f t="shared" si="116"/>
        <v>2.1441459919999999</v>
      </c>
      <c r="AS120" s="362">
        <f t="shared" si="97"/>
        <v>2.1441459919999999</v>
      </c>
      <c r="AU120" s="321" t="str">
        <v>5Y</v>
      </c>
      <c r="AV120" s="415" t="str">
        <f t="shared" si="98"/>
        <v>5Y</v>
      </c>
      <c r="AW120" s="360"/>
      <c r="AX120" s="361" t="e">
        <f t="shared" si="99"/>
        <v>#N/A</v>
      </c>
      <c r="AY120" s="134">
        <v>1.351</v>
      </c>
      <c r="AZ120" s="361">
        <f t="shared" si="100"/>
        <v>1.351</v>
      </c>
      <c r="BA120" s="362">
        <f t="shared" si="101"/>
        <v>1.351</v>
      </c>
      <c r="BD120" s="321"/>
      <c r="BE120" s="348">
        <f t="shared" si="102"/>
        <v>1.9610000009999999</v>
      </c>
      <c r="BF120" s="321"/>
      <c r="BG120" s="426"/>
      <c r="BH120" s="426"/>
      <c r="BI120" s="426"/>
      <c r="BJ120" s="426"/>
      <c r="BK120" s="30">
        <f t="shared" si="103"/>
        <v>2.403770529</v>
      </c>
      <c r="BL120" s="321"/>
      <c r="BM120" s="30">
        <f t="shared" si="104"/>
        <v>1.8399795000000001</v>
      </c>
      <c r="BN120" s="216" t="str">
        <v>8Y</v>
      </c>
      <c r="BO120" s="30">
        <f t="shared" si="105"/>
        <v>1.9610000009999999</v>
      </c>
      <c r="BP120" s="349">
        <f t="shared" si="106"/>
        <v>2.1441459919999999</v>
      </c>
      <c r="BQ120" s="137" t="str">
        <v>19M</v>
      </c>
      <c r="BR120" s="349">
        <f t="shared" si="107"/>
        <v>1.351</v>
      </c>
      <c r="CS120" s="332"/>
      <c r="CT120" s="366" t="s">
        <v>4104</v>
      </c>
      <c r="CU120" s="307" t="s">
        <v>208</v>
      </c>
      <c r="CV120" s="307" t="s">
        <v>4059</v>
      </c>
      <c r="CW120" s="366" t="s">
        <v>40</v>
      </c>
      <c r="CX120" s="307">
        <v>1.0160221920000001</v>
      </c>
      <c r="CY120" s="307">
        <v>1.0160221920000001</v>
      </c>
      <c r="CZ120" s="307">
        <v>1.0160221920000001</v>
      </c>
    </row>
    <row r="121" spans="1:104">
      <c r="A121" s="137" t="str">
        <v>9Y</v>
      </c>
      <c r="B121" s="130">
        <v>4</v>
      </c>
      <c r="C121" s="321" t="str">
        <v>9Y</v>
      </c>
      <c r="D121" s="359" t="str">
        <f t="shared" si="117"/>
        <v>9Y</v>
      </c>
      <c r="E121" s="360">
        <f>IF($B121&lt;&gt;5,VLOOKUP(D121,[7]USDStd!$E$2:$H$100,4,FALSE),"")</f>
        <v>2.5939094900000002</v>
      </c>
      <c r="F121" s="361">
        <f t="shared" si="108"/>
        <v>2.5939094900000002</v>
      </c>
      <c r="G121" s="134">
        <v>2.0230000010000002</v>
      </c>
      <c r="H121" s="361">
        <f t="shared" si="109"/>
        <v>2.0230000010000002</v>
      </c>
      <c r="I121" s="362">
        <f t="shared" si="88"/>
        <v>2.0230000010000002</v>
      </c>
      <c r="M121" s="321" t="str">
        <v>9Y</v>
      </c>
      <c r="N121" s="359" t="str">
        <f t="shared" si="118"/>
        <v>9Y</v>
      </c>
      <c r="O121" s="360">
        <f>IF($B121&lt;&gt;5,VLOOKUP(N121,[8]USD12M!$E$2:$H$100,4,FALSE),"")</f>
        <v>2.868981437</v>
      </c>
      <c r="P121" s="361">
        <f t="shared" si="110"/>
        <v>2.868981437</v>
      </c>
      <c r="Q121" s="134">
        <v>2.4520259219999998</v>
      </c>
      <c r="R121" s="134"/>
      <c r="S121" s="134"/>
      <c r="T121" s="361">
        <f t="shared" si="90"/>
        <v>2.4520259219999998</v>
      </c>
      <c r="U121" s="362">
        <f t="shared" si="91"/>
        <v>2.4520259219999998</v>
      </c>
      <c r="W121" s="321" t="str">
        <v>9Y</v>
      </c>
      <c r="X121" s="359" t="str">
        <f t="shared" si="119"/>
        <v>9Y</v>
      </c>
      <c r="Y121" s="360">
        <f>IF($B121&lt;&gt;5,VLOOKUP(X121,[9]USD1M!$E$2:$H$100,4,FALSE),"")</f>
        <v>2.5290819830000002</v>
      </c>
      <c r="Z121" s="361">
        <f t="shared" si="111"/>
        <v>2.5290819830000002</v>
      </c>
      <c r="AA121" s="134">
        <v>1.8949917540000001</v>
      </c>
      <c r="AB121" s="361">
        <f t="shared" si="112"/>
        <v>1.8949917540000001</v>
      </c>
      <c r="AC121" s="362">
        <f t="shared" si="93"/>
        <v>1.8949917540000001</v>
      </c>
      <c r="AE121" s="321" t="str">
        <v>9Y</v>
      </c>
      <c r="AF121" s="359" t="str">
        <f t="shared" si="120"/>
        <v>9Y</v>
      </c>
      <c r="AG121" s="360">
        <f>IF($B121&lt;&gt;5,VLOOKUP(AF121,[10]USD3M!$E$2:$H$100,4,FALSE),"")</f>
        <v>2.5939094900000002</v>
      </c>
      <c r="AH121" s="361">
        <f t="shared" si="113"/>
        <v>2.5939094900000002</v>
      </c>
      <c r="AI121" s="134">
        <v>2.0230000010000002</v>
      </c>
      <c r="AJ121" s="361">
        <f t="shared" si="114"/>
        <v>2.0230000010000002</v>
      </c>
      <c r="AK121" s="362">
        <f t="shared" si="95"/>
        <v>2.0230000010000002</v>
      </c>
      <c r="AM121" s="321" t="str">
        <v>9Y</v>
      </c>
      <c r="AN121" s="359" t="str">
        <f t="shared" si="121"/>
        <v>9Y</v>
      </c>
      <c r="AO121" s="360">
        <f>IF($B121&lt;&gt;5,VLOOKUP(AN121,[11]USD6M!$E$2:$H$100,4,FALSE),"")</f>
        <v>2.7029424450000001</v>
      </c>
      <c r="AP121" s="361">
        <f t="shared" si="115"/>
        <v>2.7029424450000001</v>
      </c>
      <c r="AQ121" s="134">
        <v>2.2031657249999999</v>
      </c>
      <c r="AR121" s="361">
        <f t="shared" si="116"/>
        <v>2.2031657249999999</v>
      </c>
      <c r="AS121" s="362">
        <f t="shared" si="97"/>
        <v>2.2031657249999999</v>
      </c>
      <c r="AU121" s="321" t="str">
        <v>6Y</v>
      </c>
      <c r="AV121" s="415" t="str">
        <f t="shared" si="98"/>
        <v>6Y</v>
      </c>
      <c r="AW121" s="360"/>
      <c r="AX121" s="361" t="e">
        <f t="shared" si="99"/>
        <v>#N/A</v>
      </c>
      <c r="AY121" s="134">
        <v>1.4550000000000001</v>
      </c>
      <c r="AZ121" s="361">
        <f t="shared" si="100"/>
        <v>1.4550000000000001</v>
      </c>
      <c r="BA121" s="362">
        <f t="shared" si="101"/>
        <v>1.4550000000000001</v>
      </c>
      <c r="BD121" s="321"/>
      <c r="BE121" s="348">
        <f t="shared" si="102"/>
        <v>2.0230000010000002</v>
      </c>
      <c r="BF121" s="321"/>
      <c r="BG121" s="426"/>
      <c r="BH121" s="426"/>
      <c r="BI121" s="426"/>
      <c r="BJ121" s="426"/>
      <c r="BK121" s="30">
        <f t="shared" si="103"/>
        <v>2.4520259219999998</v>
      </c>
      <c r="BL121" s="321"/>
      <c r="BM121" s="30">
        <f t="shared" si="104"/>
        <v>1.8949917540000001</v>
      </c>
      <c r="BN121" s="216" t="str">
        <v>9Y</v>
      </c>
      <c r="BO121" s="30">
        <f t="shared" si="105"/>
        <v>2.0230000010000002</v>
      </c>
      <c r="BP121" s="349">
        <f t="shared" si="106"/>
        <v>2.2031657249999999</v>
      </c>
      <c r="BQ121" s="137" t="str">
        <v>20M</v>
      </c>
      <c r="BR121" s="349">
        <f t="shared" si="107"/>
        <v>1.4550000000000001</v>
      </c>
      <c r="CS121" s="332"/>
      <c r="CT121" s="366" t="s">
        <v>4105</v>
      </c>
      <c r="CU121" s="307" t="s">
        <v>208</v>
      </c>
      <c r="CV121" s="307" t="s">
        <v>4059</v>
      </c>
      <c r="CW121" s="366" t="s">
        <v>41</v>
      </c>
      <c r="CX121" s="307">
        <v>1.0247438440000001</v>
      </c>
      <c r="CY121" s="307">
        <v>1.0247438440000001</v>
      </c>
      <c r="CZ121" s="307">
        <v>1.0247438440000001</v>
      </c>
    </row>
    <row r="122" spans="1:104">
      <c r="A122" s="137" t="str">
        <v>10Y</v>
      </c>
      <c r="B122" s="130">
        <v>4</v>
      </c>
      <c r="C122" s="321" t="str">
        <v>10Y</v>
      </c>
      <c r="D122" s="359" t="str">
        <f t="shared" si="117"/>
        <v>10Y</v>
      </c>
      <c r="E122" s="360">
        <f>IF($B122&lt;&gt;5,VLOOKUP(D122,[7]USDStd!$E$2:$H$100,4,FALSE),"")</f>
        <v>2.7599104190000001</v>
      </c>
      <c r="F122" s="361">
        <f t="shared" si="108"/>
        <v>2.7599104190000001</v>
      </c>
      <c r="G122" s="134">
        <v>2.0760000010000002</v>
      </c>
      <c r="H122" s="361">
        <f t="shared" si="109"/>
        <v>2.0760000010000002</v>
      </c>
      <c r="I122" s="362">
        <f t="shared" si="88"/>
        <v>2.0760000010000002</v>
      </c>
      <c r="M122" s="321" t="str">
        <v>10Y</v>
      </c>
      <c r="N122" s="359" t="str">
        <f t="shared" si="118"/>
        <v>10Y</v>
      </c>
      <c r="O122" s="360">
        <f>IF($B122&lt;&gt;5,VLOOKUP(N122,[8]USD12M!$E$2:$H$100,4,FALSE),"")</f>
        <v>3.0319142010000002</v>
      </c>
      <c r="P122" s="361">
        <f t="shared" si="110"/>
        <v>3.0319142010000002</v>
      </c>
      <c r="Q122" s="134">
        <v>2.4912641199999999</v>
      </c>
      <c r="R122" s="134"/>
      <c r="S122" s="134"/>
      <c r="T122" s="361">
        <f t="shared" si="90"/>
        <v>2.4912641199999999</v>
      </c>
      <c r="U122" s="362">
        <f t="shared" si="91"/>
        <v>2.4912641199999999</v>
      </c>
      <c r="W122" s="321" t="str">
        <v>10Y</v>
      </c>
      <c r="X122" s="359" t="str">
        <f t="shared" si="119"/>
        <v>10Y</v>
      </c>
      <c r="Y122" s="360">
        <f>IF($B122&lt;&gt;5,VLOOKUP(X122,[9]USD1M!$E$2:$H$100,4,FALSE),"")</f>
        <v>2.6965979880000002</v>
      </c>
      <c r="Z122" s="361">
        <f t="shared" si="111"/>
        <v>2.6965979880000002</v>
      </c>
      <c r="AA122" s="134">
        <v>1.940003079</v>
      </c>
      <c r="AB122" s="361">
        <f t="shared" si="112"/>
        <v>1.940003079</v>
      </c>
      <c r="AC122" s="362">
        <f t="shared" si="93"/>
        <v>1.940003079</v>
      </c>
      <c r="AE122" s="321" t="str">
        <v>10Y</v>
      </c>
      <c r="AF122" s="359" t="str">
        <f t="shared" si="120"/>
        <v>10Y</v>
      </c>
      <c r="AG122" s="360">
        <f>IF($B122&lt;&gt;5,VLOOKUP(AF122,[10]USD3M!$E$2:$H$100,4,FALSE),"")</f>
        <v>2.7599104190000001</v>
      </c>
      <c r="AH122" s="361">
        <f t="shared" si="113"/>
        <v>2.7599104190000001</v>
      </c>
      <c r="AI122" s="134">
        <v>2.0760000010000002</v>
      </c>
      <c r="AJ122" s="361">
        <f t="shared" si="114"/>
        <v>2.0760000010000002</v>
      </c>
      <c r="AK122" s="362">
        <f t="shared" si="95"/>
        <v>2.0760000010000002</v>
      </c>
      <c r="AM122" s="321" t="str">
        <v>10Y</v>
      </c>
      <c r="AN122" s="359" t="str">
        <f t="shared" si="121"/>
        <v>10Y</v>
      </c>
      <c r="AO122" s="360">
        <f>IF($B122&lt;&gt;5,VLOOKUP(AN122,[11]USD6M!$E$2:$H$100,4,FALSE),"")</f>
        <v>2.8685011550000001</v>
      </c>
      <c r="AP122" s="361">
        <f t="shared" si="115"/>
        <v>2.8685011550000001</v>
      </c>
      <c r="AQ122" s="134">
        <v>2.2531793590000002</v>
      </c>
      <c r="AR122" s="361">
        <f t="shared" si="116"/>
        <v>2.2531793590000002</v>
      </c>
      <c r="AS122" s="362">
        <f t="shared" si="97"/>
        <v>2.2531793590000002</v>
      </c>
      <c r="AU122" s="321" t="str">
        <v>7Y</v>
      </c>
      <c r="AV122" s="415" t="str">
        <f t="shared" si="98"/>
        <v>7Y</v>
      </c>
      <c r="AW122" s="360"/>
      <c r="AX122" s="361" t="e">
        <f t="shared" si="99"/>
        <v>#N/A</v>
      </c>
      <c r="AY122" s="134">
        <v>1.544</v>
      </c>
      <c r="AZ122" s="361">
        <f t="shared" si="100"/>
        <v>1.544</v>
      </c>
      <c r="BA122" s="362">
        <f t="shared" si="101"/>
        <v>1.544</v>
      </c>
      <c r="BD122" s="321"/>
      <c r="BE122" s="348">
        <f t="shared" si="102"/>
        <v>2.0760000010000002</v>
      </c>
      <c r="BF122" s="321"/>
      <c r="BG122" s="426"/>
      <c r="BH122" s="426"/>
      <c r="BI122" s="426"/>
      <c r="BJ122" s="426"/>
      <c r="BK122" s="30">
        <f t="shared" si="103"/>
        <v>2.4912641199999999</v>
      </c>
      <c r="BL122" s="321"/>
      <c r="BM122" s="30">
        <f t="shared" si="104"/>
        <v>1.940003079</v>
      </c>
      <c r="BN122" s="216" t="str">
        <v>10Y</v>
      </c>
      <c r="BO122" s="30">
        <f t="shared" si="105"/>
        <v>2.0760000010000002</v>
      </c>
      <c r="BP122" s="349">
        <f t="shared" si="106"/>
        <v>2.2531793590000002</v>
      </c>
      <c r="BQ122" s="137" t="str">
        <v>21M</v>
      </c>
      <c r="BR122" s="349">
        <f t="shared" si="107"/>
        <v>1.544</v>
      </c>
      <c r="CS122" s="332"/>
      <c r="CT122" s="366" t="s">
        <v>4106</v>
      </c>
      <c r="CU122" s="307" t="s">
        <v>208</v>
      </c>
      <c r="CV122" s="307" t="s">
        <v>4059</v>
      </c>
      <c r="CW122" s="366" t="s">
        <v>21</v>
      </c>
      <c r="CX122" s="307">
        <v>1.032</v>
      </c>
      <c r="CY122" s="307">
        <v>1.032</v>
      </c>
      <c r="CZ122" s="307">
        <v>1.032</v>
      </c>
    </row>
    <row r="123" spans="1:104">
      <c r="A123" s="137" t="str">
        <v>11Y</v>
      </c>
      <c r="B123" s="130">
        <v>4</v>
      </c>
      <c r="C123" s="321" t="str">
        <v>11Y</v>
      </c>
      <c r="D123" s="359" t="str">
        <f t="shared" si="117"/>
        <v>11Y</v>
      </c>
      <c r="E123" s="360">
        <f>IF($B123&lt;&gt;5,VLOOKUP(D123,[7]USDStd!$E$2:$H$100,4,FALSE),"")</f>
        <v>2.9021258259999998</v>
      </c>
      <c r="F123" s="361">
        <f t="shared" si="108"/>
        <v>2.9021258259999998</v>
      </c>
      <c r="G123" s="134">
        <v>2.122095721</v>
      </c>
      <c r="H123" s="361">
        <f t="shared" si="109"/>
        <v>2.122095721</v>
      </c>
      <c r="I123" s="362">
        <f t="shared" si="88"/>
        <v>2.122095721</v>
      </c>
      <c r="M123" s="321" t="str">
        <v>11Y</v>
      </c>
      <c r="N123" s="359" t="str">
        <f t="shared" si="118"/>
        <v>11Y</v>
      </c>
      <c r="O123" s="360">
        <f>IF($B123&lt;&gt;5,VLOOKUP(N123,[8]USD12M!$E$2:$H$100,4,FALSE),"")</f>
        <v>3.170965517</v>
      </c>
      <c r="P123" s="361">
        <f t="shared" si="110"/>
        <v>3.170965517</v>
      </c>
      <c r="Q123" s="134">
        <v>2.5260977800000002</v>
      </c>
      <c r="R123" s="134"/>
      <c r="S123" s="134"/>
      <c r="T123" s="361">
        <f t="shared" si="90"/>
        <v>2.5260977800000002</v>
      </c>
      <c r="U123" s="362">
        <f t="shared" si="91"/>
        <v>2.5260977800000002</v>
      </c>
      <c r="W123" s="321" t="str">
        <v>11Y</v>
      </c>
      <c r="X123" s="359" t="str">
        <f t="shared" si="119"/>
        <v>11Y</v>
      </c>
      <c r="Y123" s="360">
        <f>IF($B123&lt;&gt;5,VLOOKUP(X123,[9]USD1M!$E$2:$H$100,4,FALSE),"")</f>
        <v>2.8415343489999998</v>
      </c>
      <c r="Z123" s="361">
        <f t="shared" si="111"/>
        <v>2.8415343489999998</v>
      </c>
      <c r="AA123" s="134">
        <v>2.0038055930000001</v>
      </c>
      <c r="AB123" s="361">
        <f t="shared" si="112"/>
        <v>2.0038055930000001</v>
      </c>
      <c r="AC123" s="362">
        <f t="shared" si="93"/>
        <v>2.0038055930000001</v>
      </c>
      <c r="AE123" s="321" t="str">
        <v>11Y</v>
      </c>
      <c r="AF123" s="359" t="str">
        <f t="shared" si="120"/>
        <v>11Y</v>
      </c>
      <c r="AG123" s="360">
        <f>IF($B123&lt;&gt;5,VLOOKUP(AF123,[10]USD3M!$E$2:$H$100,4,FALSE),"")</f>
        <v>2.9021258259999998</v>
      </c>
      <c r="AH123" s="361">
        <f t="shared" si="113"/>
        <v>2.9021258259999998</v>
      </c>
      <c r="AI123" s="134">
        <v>2.122095721</v>
      </c>
      <c r="AJ123" s="361">
        <f t="shared" si="114"/>
        <v>2.122095721</v>
      </c>
      <c r="AK123" s="362">
        <f t="shared" si="95"/>
        <v>2.122095721</v>
      </c>
      <c r="AM123" s="321" t="str">
        <v>11Y</v>
      </c>
      <c r="AN123" s="359" t="str">
        <f t="shared" si="121"/>
        <v>11Y</v>
      </c>
      <c r="AO123" s="360">
        <f>IF($B123&lt;&gt;5,VLOOKUP(AN123,[11]USD6M!$E$2:$H$100,4,FALSE),"")</f>
        <v>3.0102573420000001</v>
      </c>
      <c r="AP123" s="361">
        <f t="shared" si="115"/>
        <v>3.0102573420000001</v>
      </c>
      <c r="AQ123" s="134">
        <v>2.2978998430000002</v>
      </c>
      <c r="AR123" s="361">
        <f t="shared" si="116"/>
        <v>2.2978998430000002</v>
      </c>
      <c r="AS123" s="362">
        <f t="shared" si="97"/>
        <v>2.2978998430000002</v>
      </c>
      <c r="AU123" s="321" t="str">
        <v>8Y</v>
      </c>
      <c r="AV123" s="415" t="str">
        <f t="shared" si="98"/>
        <v>8Y</v>
      </c>
      <c r="AW123" s="360"/>
      <c r="AX123" s="361" t="e">
        <f t="shared" si="99"/>
        <v>#N/A</v>
      </c>
      <c r="AY123" s="134">
        <v>1.617</v>
      </c>
      <c r="AZ123" s="361">
        <f t="shared" si="100"/>
        <v>1.617</v>
      </c>
      <c r="BA123" s="362">
        <f t="shared" si="101"/>
        <v>1.617</v>
      </c>
      <c r="BD123" s="321"/>
      <c r="BE123" s="348">
        <f t="shared" si="102"/>
        <v>2.122095721</v>
      </c>
      <c r="BF123" s="321"/>
      <c r="BG123" s="426"/>
      <c r="BH123" s="426"/>
      <c r="BI123" s="426"/>
      <c r="BJ123" s="426"/>
      <c r="BK123" s="30">
        <f t="shared" si="103"/>
        <v>2.5260977800000002</v>
      </c>
      <c r="BL123" s="321"/>
      <c r="BM123" s="30">
        <f t="shared" si="104"/>
        <v>2.0038055930000001</v>
      </c>
      <c r="BN123" s="216" t="str">
        <v>11Y</v>
      </c>
      <c r="BO123" s="30">
        <f t="shared" si="105"/>
        <v>2.122095721</v>
      </c>
      <c r="BP123" s="349">
        <f t="shared" si="106"/>
        <v>2.2978998430000002</v>
      </c>
      <c r="BQ123" s="137" t="str">
        <v>22M</v>
      </c>
      <c r="BR123" s="349">
        <f t="shared" si="107"/>
        <v>1.617</v>
      </c>
      <c r="CS123" s="332"/>
      <c r="CT123" s="366" t="s">
        <v>4107</v>
      </c>
      <c r="CU123" s="307" t="s">
        <v>208</v>
      </c>
      <c r="CV123" s="307" t="s">
        <v>4059</v>
      </c>
      <c r="CW123" s="366" t="s">
        <v>42</v>
      </c>
      <c r="CX123" s="307">
        <v>1.038337369</v>
      </c>
      <c r="CY123" s="307">
        <v>1.038337369</v>
      </c>
      <c r="CZ123" s="307">
        <v>1.038337369</v>
      </c>
    </row>
    <row r="124" spans="1:104">
      <c r="A124" s="137" t="str">
        <v>12Y</v>
      </c>
      <c r="B124" s="130">
        <v>4</v>
      </c>
      <c r="C124" s="321" t="str">
        <v>12Y</v>
      </c>
      <c r="D124" s="359" t="str">
        <f t="shared" si="117"/>
        <v>12Y</v>
      </c>
      <c r="E124" s="360">
        <f>IF($B124&lt;&gt;5,VLOOKUP(D124,[7]USDStd!$E$2:$H$100,4,FALSE),"")</f>
        <v>3.021922752</v>
      </c>
      <c r="F124" s="361">
        <f t="shared" si="108"/>
        <v>3.021922752</v>
      </c>
      <c r="G124" s="134">
        <v>2.161999995</v>
      </c>
      <c r="H124" s="361">
        <f t="shared" si="109"/>
        <v>2.161999995</v>
      </c>
      <c r="I124" s="362">
        <f t="shared" si="88"/>
        <v>2.161999995</v>
      </c>
      <c r="M124" s="321" t="str">
        <v>12Y</v>
      </c>
      <c r="N124" s="359" t="str">
        <f t="shared" si="118"/>
        <v>12Y</v>
      </c>
      <c r="O124" s="360">
        <f>IF($B124&lt;&gt;5,VLOOKUP(N124,[8]USD12M!$E$2:$H$100,4,FALSE),"")</f>
        <v>3.2879500359999998</v>
      </c>
      <c r="P124" s="361">
        <f t="shared" si="110"/>
        <v>3.2879500359999998</v>
      </c>
      <c r="Q124" s="134">
        <v>2.5559871620000001</v>
      </c>
      <c r="R124" s="134"/>
      <c r="S124" s="134"/>
      <c r="T124" s="361">
        <f t="shared" si="90"/>
        <v>2.5559871620000001</v>
      </c>
      <c r="U124" s="362">
        <f t="shared" si="91"/>
        <v>2.5559871620000001</v>
      </c>
      <c r="W124" s="321" t="str">
        <v>12Y</v>
      </c>
      <c r="X124" s="359" t="str">
        <f t="shared" si="119"/>
        <v>12Y</v>
      </c>
      <c r="Y124" s="360">
        <f>IF($B124&lt;&gt;5,VLOOKUP(X124,[9]USD1M!$E$2:$H$100,4,FALSE),"")</f>
        <v>2.9647766600000001</v>
      </c>
      <c r="Z124" s="361">
        <f t="shared" si="111"/>
        <v>2.9647766600000001</v>
      </c>
      <c r="AA124" s="134">
        <v>2.0610354869999998</v>
      </c>
      <c r="AB124" s="361">
        <f t="shared" si="112"/>
        <v>2.0610354869999998</v>
      </c>
      <c r="AC124" s="362">
        <f t="shared" si="93"/>
        <v>2.0610354869999998</v>
      </c>
      <c r="AE124" s="321" t="str">
        <v>12Y</v>
      </c>
      <c r="AF124" s="359" t="str">
        <f t="shared" si="120"/>
        <v>12Y</v>
      </c>
      <c r="AG124" s="360">
        <f>IF($B124&lt;&gt;5,VLOOKUP(AF124,[10]USD3M!$E$2:$H$100,4,FALSE),"")</f>
        <v>3.021922752</v>
      </c>
      <c r="AH124" s="361">
        <f t="shared" si="113"/>
        <v>3.021922752</v>
      </c>
      <c r="AI124" s="134">
        <v>2.161999995</v>
      </c>
      <c r="AJ124" s="361">
        <f t="shared" si="114"/>
        <v>2.161999995</v>
      </c>
      <c r="AK124" s="362">
        <f t="shared" si="95"/>
        <v>2.161999995</v>
      </c>
      <c r="AM124" s="321" t="str">
        <v>12Y</v>
      </c>
      <c r="AN124" s="359" t="str">
        <f t="shared" si="121"/>
        <v>12Y</v>
      </c>
      <c r="AO124" s="360">
        <f>IF($B124&lt;&gt;5,VLOOKUP(AN124,[11]USD6M!$E$2:$H$100,4,FALSE),"")</f>
        <v>3.129602856</v>
      </c>
      <c r="AP124" s="361">
        <f t="shared" si="115"/>
        <v>3.129602856</v>
      </c>
      <c r="AQ124" s="134">
        <v>2.337217291</v>
      </c>
      <c r="AR124" s="361">
        <f t="shared" si="116"/>
        <v>2.337217291</v>
      </c>
      <c r="AS124" s="362">
        <f t="shared" si="97"/>
        <v>2.337217291</v>
      </c>
      <c r="AU124" s="321" t="str">
        <v>9Y</v>
      </c>
      <c r="AV124" s="415" t="str">
        <f t="shared" si="98"/>
        <v>9Y</v>
      </c>
      <c r="AW124" s="360"/>
      <c r="AX124" s="361" t="e">
        <f t="shared" si="99"/>
        <v>#N/A</v>
      </c>
      <c r="AY124" s="134">
        <v>1.6779999999999999</v>
      </c>
      <c r="AZ124" s="361">
        <f t="shared" si="100"/>
        <v>1.6779999999999999</v>
      </c>
      <c r="BA124" s="362">
        <f t="shared" si="101"/>
        <v>1.6779999999999999</v>
      </c>
      <c r="BD124" s="321"/>
      <c r="BE124" s="348">
        <f t="shared" si="102"/>
        <v>2.161999995</v>
      </c>
      <c r="BF124" s="321"/>
      <c r="BG124" s="426"/>
      <c r="BH124" s="426"/>
      <c r="BI124" s="426"/>
      <c r="BJ124" s="426"/>
      <c r="BK124" s="30">
        <f t="shared" si="103"/>
        <v>2.5559871620000001</v>
      </c>
      <c r="BL124" s="321"/>
      <c r="BM124" s="30">
        <f t="shared" si="104"/>
        <v>2.0610354869999998</v>
      </c>
      <c r="BN124" s="216" t="str">
        <v>12Y</v>
      </c>
      <c r="BO124" s="30">
        <f t="shared" si="105"/>
        <v>2.161999995</v>
      </c>
      <c r="BP124" s="349">
        <f t="shared" si="106"/>
        <v>2.337217291</v>
      </c>
      <c r="BQ124" s="137" t="str">
        <v>23M</v>
      </c>
      <c r="BR124" s="349">
        <f t="shared" si="107"/>
        <v>1.6779999999999999</v>
      </c>
      <c r="CS124" s="332"/>
      <c r="CT124" s="366" t="s">
        <v>4108</v>
      </c>
      <c r="CU124" s="307" t="s">
        <v>208</v>
      </c>
      <c r="CV124" s="307" t="s">
        <v>4059</v>
      </c>
      <c r="CW124" s="366" t="s">
        <v>43</v>
      </c>
      <c r="CX124" s="307">
        <v>1.0439416399999999</v>
      </c>
      <c r="CY124" s="307">
        <v>1.0439416399999999</v>
      </c>
      <c r="CZ124" s="307">
        <v>1.0439416399999999</v>
      </c>
    </row>
    <row r="125" spans="1:104">
      <c r="A125" s="137" t="str">
        <v>13Y</v>
      </c>
      <c r="B125" s="130">
        <v>4</v>
      </c>
      <c r="C125" s="321" t="str">
        <v>13Y</v>
      </c>
      <c r="D125" s="359" t="str">
        <f t="shared" si="117"/>
        <v>13Y</v>
      </c>
      <c r="E125" s="360">
        <f>IF($B125&lt;&gt;5,VLOOKUP(D125,[7]USDStd!$E$2:$H$100,4,FALSE),"")</f>
        <v>3.1219504210000002</v>
      </c>
      <c r="F125" s="361">
        <f t="shared" si="108"/>
        <v>3.1219504210000002</v>
      </c>
      <c r="G125" s="134">
        <v>2.195520551</v>
      </c>
      <c r="H125" s="361">
        <f t="shared" si="109"/>
        <v>2.195520551</v>
      </c>
      <c r="I125" s="362">
        <f t="shared" si="88"/>
        <v>2.195520551</v>
      </c>
      <c r="M125" s="321" t="str">
        <v>13Y</v>
      </c>
      <c r="N125" s="359" t="str">
        <f t="shared" si="118"/>
        <v>13Y</v>
      </c>
      <c r="O125" s="360">
        <f>IF($B125&lt;&gt;5,VLOOKUP(N125,[8]USD12M!$E$2:$H$100,4,FALSE),"")</f>
        <v>3.3852293279999999</v>
      </c>
      <c r="P125" s="361">
        <f t="shared" si="110"/>
        <v>3.3852293279999999</v>
      </c>
      <c r="Q125" s="134">
        <v>2.5811726990000001</v>
      </c>
      <c r="R125" s="134"/>
      <c r="S125" s="134"/>
      <c r="T125" s="361">
        <f t="shared" si="90"/>
        <v>2.5811726990000001</v>
      </c>
      <c r="U125" s="362">
        <f t="shared" si="91"/>
        <v>2.5811726990000001</v>
      </c>
      <c r="W125" s="321" t="str">
        <v>13Y</v>
      </c>
      <c r="X125" s="359" t="str">
        <f t="shared" si="119"/>
        <v>13Y</v>
      </c>
      <c r="Y125" s="360">
        <f>IF($B125&lt;&gt;5,VLOOKUP(X125,[9]USD1M!$E$2:$H$100,4,FALSE),"")</f>
        <v>3.067927713</v>
      </c>
      <c r="Z125" s="361">
        <f t="shared" si="111"/>
        <v>3.067927713</v>
      </c>
      <c r="AA125" s="134">
        <v>2.085204176</v>
      </c>
      <c r="AB125" s="361">
        <f t="shared" si="112"/>
        <v>2.085204176</v>
      </c>
      <c r="AC125" s="362">
        <f t="shared" si="93"/>
        <v>2.085204176</v>
      </c>
      <c r="AE125" s="321" t="str">
        <v>13Y</v>
      </c>
      <c r="AF125" s="359" t="str">
        <f t="shared" si="120"/>
        <v>13Y</v>
      </c>
      <c r="AG125" s="360">
        <f>IF($B125&lt;&gt;5,VLOOKUP(AF125,[10]USD3M!$E$2:$H$100,4,FALSE),"")</f>
        <v>3.1219504210000002</v>
      </c>
      <c r="AH125" s="361">
        <f t="shared" si="113"/>
        <v>3.1219504210000002</v>
      </c>
      <c r="AI125" s="134">
        <v>2.195520551</v>
      </c>
      <c r="AJ125" s="361">
        <f t="shared" si="114"/>
        <v>2.195520551</v>
      </c>
      <c r="AK125" s="362">
        <f t="shared" si="95"/>
        <v>2.195520551</v>
      </c>
      <c r="AM125" s="321" t="str">
        <v>13Y</v>
      </c>
      <c r="AN125" s="359" t="str">
        <f t="shared" si="121"/>
        <v>13Y</v>
      </c>
      <c r="AO125" s="360">
        <f>IF($B125&lt;&gt;5,VLOOKUP(AN125,[11]USD6M!$E$2:$H$100,4,FALSE),"")</f>
        <v>3.2292358540000001</v>
      </c>
      <c r="AP125" s="361">
        <f t="shared" si="115"/>
        <v>3.2292358540000001</v>
      </c>
      <c r="AQ125" s="134">
        <v>2.3699491589999999</v>
      </c>
      <c r="AR125" s="361">
        <f t="shared" si="116"/>
        <v>2.3699491589999999</v>
      </c>
      <c r="AS125" s="362">
        <f t="shared" si="97"/>
        <v>2.3699491589999999</v>
      </c>
      <c r="AU125" s="321" t="str">
        <v>10Y</v>
      </c>
      <c r="AV125" s="415" t="str">
        <f t="shared" si="98"/>
        <v>10Y</v>
      </c>
      <c r="AW125" s="360"/>
      <c r="AX125" s="361" t="e">
        <f t="shared" si="99"/>
        <v>#N/A</v>
      </c>
      <c r="AY125" s="134">
        <v>1.73</v>
      </c>
      <c r="AZ125" s="361">
        <f t="shared" si="100"/>
        <v>1.73</v>
      </c>
      <c r="BA125" s="362">
        <f t="shared" si="101"/>
        <v>1.73</v>
      </c>
      <c r="BD125" s="321"/>
      <c r="BE125" s="348">
        <f t="shared" si="102"/>
        <v>2.195520551</v>
      </c>
      <c r="BF125" s="321"/>
      <c r="BG125" s="426"/>
      <c r="BH125" s="426"/>
      <c r="BI125" s="426"/>
      <c r="BJ125" s="426"/>
      <c r="BK125" s="30">
        <f t="shared" si="103"/>
        <v>2.5811726990000001</v>
      </c>
      <c r="BL125" s="321"/>
      <c r="BM125" s="30">
        <f t="shared" si="104"/>
        <v>2.085204176</v>
      </c>
      <c r="BN125" s="216" t="str">
        <v>13Y</v>
      </c>
      <c r="BO125" s="30">
        <f t="shared" si="105"/>
        <v>2.195520551</v>
      </c>
      <c r="BP125" s="349">
        <f t="shared" si="106"/>
        <v>2.3699491589999999</v>
      </c>
      <c r="BQ125" s="137" t="str">
        <v>2Y</v>
      </c>
      <c r="BR125" s="349">
        <f t="shared" si="107"/>
        <v>1.73</v>
      </c>
      <c r="CS125" s="332"/>
      <c r="CT125" s="366" t="s">
        <v>4109</v>
      </c>
      <c r="CU125" s="307" t="s">
        <v>208</v>
      </c>
      <c r="CV125" s="307" t="s">
        <v>4059</v>
      </c>
      <c r="CW125" s="366" t="s">
        <v>44</v>
      </c>
      <c r="CX125" s="307">
        <v>1.0489178210000001</v>
      </c>
      <c r="CY125" s="307">
        <v>1.0489178210000001</v>
      </c>
      <c r="CZ125" s="307">
        <v>1.0489178210000001</v>
      </c>
    </row>
    <row r="126" spans="1:104">
      <c r="A126" s="137" t="str">
        <v>14Y</v>
      </c>
      <c r="B126" s="130">
        <v>4</v>
      </c>
      <c r="C126" s="321" t="str">
        <v>14Y</v>
      </c>
      <c r="D126" s="359" t="str">
        <f t="shared" si="117"/>
        <v>14Y</v>
      </c>
      <c r="E126" s="360">
        <f>IF($B126&lt;&gt;5,VLOOKUP(D126,[7]USDStd!$E$2:$H$100,4,FALSE),"")</f>
        <v>3.205782369</v>
      </c>
      <c r="F126" s="361">
        <f t="shared" si="108"/>
        <v>3.205782369</v>
      </c>
      <c r="G126" s="134">
        <v>2.2238145189999998</v>
      </c>
      <c r="H126" s="361">
        <f t="shared" si="109"/>
        <v>2.2238145189999998</v>
      </c>
      <c r="I126" s="362">
        <f t="shared" si="88"/>
        <v>2.2238145189999998</v>
      </c>
      <c r="M126" s="321" t="str">
        <v>14Y</v>
      </c>
      <c r="N126" s="359" t="str">
        <f t="shared" si="118"/>
        <v>14Y</v>
      </c>
      <c r="O126" s="360">
        <f>IF($B126&lt;&gt;5,VLOOKUP(N126,[8]USD12M!$E$2:$H$100,4,FALSE),"")</f>
        <v>3.4666357570000002</v>
      </c>
      <c r="P126" s="361">
        <f t="shared" si="110"/>
        <v>3.4666357570000002</v>
      </c>
      <c r="Q126" s="134">
        <v>2.6028796760000001</v>
      </c>
      <c r="R126" s="134"/>
      <c r="S126" s="134"/>
      <c r="T126" s="361">
        <f t="shared" si="90"/>
        <v>2.6028796760000001</v>
      </c>
      <c r="U126" s="362">
        <f t="shared" si="91"/>
        <v>2.6028796760000001</v>
      </c>
      <c r="W126" s="321" t="str">
        <v>14Y</v>
      </c>
      <c r="X126" s="359" t="str">
        <f t="shared" si="119"/>
        <v>14Y</v>
      </c>
      <c r="Y126" s="360">
        <f>IF($B126&lt;&gt;5,VLOOKUP(X126,[9]USD1M!$E$2:$H$100,4,FALSE),"")</f>
        <v>3.1544561789999999</v>
      </c>
      <c r="Z126" s="361">
        <f t="shared" si="111"/>
        <v>3.1544561789999999</v>
      </c>
      <c r="AA126" s="134">
        <v>2.1032327450000001</v>
      </c>
      <c r="AB126" s="361">
        <f t="shared" si="112"/>
        <v>2.1032327450000001</v>
      </c>
      <c r="AC126" s="362">
        <f t="shared" si="93"/>
        <v>2.1032327450000001</v>
      </c>
      <c r="AE126" s="321" t="str">
        <v>14Y</v>
      </c>
      <c r="AF126" s="359" t="str">
        <f t="shared" si="120"/>
        <v>14Y</v>
      </c>
      <c r="AG126" s="360">
        <f>IF($B126&lt;&gt;5,VLOOKUP(AF126,[10]USD3M!$E$2:$H$100,4,FALSE),"")</f>
        <v>3.205782369</v>
      </c>
      <c r="AH126" s="361">
        <f t="shared" si="113"/>
        <v>3.205782369</v>
      </c>
      <c r="AI126" s="134">
        <v>2.2238145189999998</v>
      </c>
      <c r="AJ126" s="361">
        <f t="shared" si="114"/>
        <v>2.2238145189999998</v>
      </c>
      <c r="AK126" s="362">
        <f t="shared" si="95"/>
        <v>2.2238145189999998</v>
      </c>
      <c r="AM126" s="321" t="str">
        <v>14Y</v>
      </c>
      <c r="AN126" s="359" t="str">
        <f t="shared" si="121"/>
        <v>14Y</v>
      </c>
      <c r="AO126" s="360">
        <f>IF($B126&lt;&gt;5,VLOOKUP(AN126,[11]USD6M!$E$2:$H$100,4,FALSE),"")</f>
        <v>3.3127126919999998</v>
      </c>
      <c r="AP126" s="361">
        <f t="shared" si="115"/>
        <v>3.3127126919999998</v>
      </c>
      <c r="AQ126" s="134">
        <v>2.3972120100000001</v>
      </c>
      <c r="AR126" s="361">
        <f t="shared" si="116"/>
        <v>2.3972120100000001</v>
      </c>
      <c r="AS126" s="362">
        <f t="shared" si="97"/>
        <v>2.3972120100000001</v>
      </c>
      <c r="AU126" s="321" t="str">
        <v>12Y</v>
      </c>
      <c r="AV126" s="415" t="str">
        <f t="shared" si="98"/>
        <v>12Y</v>
      </c>
      <c r="AW126" s="360"/>
      <c r="AX126" s="361" t="e">
        <f t="shared" si="99"/>
        <v>#N/A</v>
      </c>
      <c r="AY126" s="134">
        <v>1.8140000000000001</v>
      </c>
      <c r="AZ126" s="361">
        <f t="shared" si="100"/>
        <v>1.8140000000000001</v>
      </c>
      <c r="BA126" s="362">
        <f t="shared" si="101"/>
        <v>1.8140000000000001</v>
      </c>
      <c r="BD126" s="321"/>
      <c r="BE126" s="348">
        <f t="shared" si="102"/>
        <v>2.2238145189999998</v>
      </c>
      <c r="BF126" s="321"/>
      <c r="BG126" s="426"/>
      <c r="BH126" s="426"/>
      <c r="BI126" s="426"/>
      <c r="BJ126" s="426"/>
      <c r="BK126" s="30">
        <f t="shared" si="103"/>
        <v>2.6028796760000001</v>
      </c>
      <c r="BL126" s="321"/>
      <c r="BM126" s="30">
        <f t="shared" si="104"/>
        <v>2.1032327450000001</v>
      </c>
      <c r="BN126" s="216" t="str">
        <v>14Y</v>
      </c>
      <c r="BO126" s="30">
        <f t="shared" si="105"/>
        <v>2.2238145189999998</v>
      </c>
      <c r="BP126" s="349">
        <f t="shared" si="106"/>
        <v>2.3972120100000001</v>
      </c>
      <c r="BQ126" s="137" t="str">
        <v>3Y</v>
      </c>
      <c r="BR126" s="349">
        <f t="shared" si="107"/>
        <v>1.8140000000000001</v>
      </c>
      <c r="CS126" s="332"/>
      <c r="CT126" s="366" t="s">
        <v>4110</v>
      </c>
      <c r="CU126" s="307" t="s">
        <v>208</v>
      </c>
      <c r="CV126" s="307" t="s">
        <v>4059</v>
      </c>
      <c r="CW126" s="366" t="s">
        <v>45</v>
      </c>
      <c r="CX126" s="307">
        <v>1.053223646</v>
      </c>
      <c r="CY126" s="307">
        <v>1.053223646</v>
      </c>
      <c r="CZ126" s="307">
        <v>1.053223646</v>
      </c>
    </row>
    <row r="127" spans="1:104">
      <c r="A127" s="137" t="str">
        <v>15Y</v>
      </c>
      <c r="B127" s="130">
        <v>4</v>
      </c>
      <c r="C127" s="321" t="str">
        <v>15Y</v>
      </c>
      <c r="D127" s="359" t="str">
        <f t="shared" si="117"/>
        <v>15Y</v>
      </c>
      <c r="E127" s="360">
        <f>IF($B127&lt;&gt;5,VLOOKUP(D127,[7]USDStd!$E$2:$H$100,4,FALSE),"")</f>
        <v>3.2749365030000002</v>
      </c>
      <c r="F127" s="361">
        <f t="shared" si="108"/>
        <v>3.2749365030000002</v>
      </c>
      <c r="G127" s="134">
        <v>2.2479999949999998</v>
      </c>
      <c r="H127" s="361">
        <f t="shared" si="109"/>
        <v>2.2479999949999998</v>
      </c>
      <c r="I127" s="362">
        <f t="shared" si="88"/>
        <v>2.2479999949999998</v>
      </c>
      <c r="M127" s="321" t="str">
        <v>15Y</v>
      </c>
      <c r="N127" s="359" t="str">
        <f t="shared" si="118"/>
        <v>15Y</v>
      </c>
      <c r="O127" s="360">
        <f>IF($B127&lt;&gt;5,VLOOKUP(N127,[8]USD12M!$E$2:$H$100,4,FALSE),"")</f>
        <v>3.5338148299999999</v>
      </c>
      <c r="P127" s="361">
        <f t="shared" si="110"/>
        <v>3.5338148299999999</v>
      </c>
      <c r="Q127" s="134">
        <v>2.6219563570000002</v>
      </c>
      <c r="R127" s="134"/>
      <c r="S127" s="134"/>
      <c r="T127" s="361">
        <f t="shared" si="90"/>
        <v>2.6219563570000002</v>
      </c>
      <c r="U127" s="362">
        <f t="shared" si="91"/>
        <v>2.6219563570000002</v>
      </c>
      <c r="W127" s="321" t="str">
        <v>15Y</v>
      </c>
      <c r="X127" s="359" t="str">
        <f t="shared" si="119"/>
        <v>15Y</v>
      </c>
      <c r="Y127" s="360">
        <f>IF($B127&lt;&gt;5,VLOOKUP(X127,[9]USD1M!$E$2:$H$100,4,FALSE),"")</f>
        <v>3.2259194739999999</v>
      </c>
      <c r="Z127" s="361">
        <f t="shared" si="111"/>
        <v>3.2259194739999999</v>
      </c>
      <c r="AA127" s="134">
        <v>2.1550656699999999</v>
      </c>
      <c r="AB127" s="361">
        <f t="shared" si="112"/>
        <v>2.1550656699999999</v>
      </c>
      <c r="AC127" s="362">
        <f t="shared" si="93"/>
        <v>2.1550656699999999</v>
      </c>
      <c r="AE127" s="321" t="str">
        <v>15Y</v>
      </c>
      <c r="AF127" s="359" t="str">
        <f t="shared" si="120"/>
        <v>15Y</v>
      </c>
      <c r="AG127" s="360">
        <f>IF($B127&lt;&gt;5,VLOOKUP(AF127,[10]USD3M!$E$2:$H$100,4,FALSE),"")</f>
        <v>3.2749365030000002</v>
      </c>
      <c r="AH127" s="361">
        <f t="shared" si="113"/>
        <v>3.2749365030000002</v>
      </c>
      <c r="AI127" s="134">
        <v>2.2479999949999998</v>
      </c>
      <c r="AJ127" s="361">
        <f t="shared" si="114"/>
        <v>2.2479999949999998</v>
      </c>
      <c r="AK127" s="362">
        <f t="shared" si="95"/>
        <v>2.2479999949999998</v>
      </c>
      <c r="AM127" s="321" t="str">
        <v>15Y</v>
      </c>
      <c r="AN127" s="359" t="str">
        <f t="shared" si="121"/>
        <v>15Y</v>
      </c>
      <c r="AO127" s="360">
        <f>IF($B127&lt;&gt;5,VLOOKUP(AN127,[11]USD6M!$E$2:$H$100,4,FALSE),"")</f>
        <v>3.3815501270000001</v>
      </c>
      <c r="AP127" s="361">
        <f t="shared" si="115"/>
        <v>3.3815501270000001</v>
      </c>
      <c r="AQ127" s="134">
        <v>2.420246562</v>
      </c>
      <c r="AR127" s="361">
        <f t="shared" si="116"/>
        <v>2.420246562</v>
      </c>
      <c r="AS127" s="362">
        <f t="shared" si="97"/>
        <v>2.420246562</v>
      </c>
      <c r="AU127" s="321" t="str">
        <v>15Y</v>
      </c>
      <c r="AV127" s="415" t="str">
        <f t="shared" si="98"/>
        <v>15Y</v>
      </c>
      <c r="AW127" s="360"/>
      <c r="AX127" s="361" t="e">
        <f t="shared" si="99"/>
        <v>#N/A</v>
      </c>
      <c r="AY127" s="134">
        <v>1.8979999999999999</v>
      </c>
      <c r="AZ127" s="361">
        <f t="shared" si="100"/>
        <v>1.8979999999999999</v>
      </c>
      <c r="BA127" s="362">
        <f t="shared" si="101"/>
        <v>1.8979999999999999</v>
      </c>
      <c r="BD127" s="321"/>
      <c r="BE127" s="348">
        <f t="shared" si="102"/>
        <v>2.2479999949999998</v>
      </c>
      <c r="BF127" s="321"/>
      <c r="BG127" s="426"/>
      <c r="BH127" s="426"/>
      <c r="BI127" s="426"/>
      <c r="BJ127" s="426"/>
      <c r="BK127" s="30">
        <f t="shared" si="103"/>
        <v>2.6219563570000002</v>
      </c>
      <c r="BL127" s="321"/>
      <c r="BM127" s="30">
        <f t="shared" si="104"/>
        <v>2.1550656699999999</v>
      </c>
      <c r="BN127" s="216" t="str">
        <v>15Y</v>
      </c>
      <c r="BO127" s="30">
        <f t="shared" si="105"/>
        <v>2.2479999949999998</v>
      </c>
      <c r="BP127" s="349">
        <f t="shared" si="106"/>
        <v>2.420246562</v>
      </c>
      <c r="BQ127" s="137" t="str">
        <v>4Y</v>
      </c>
      <c r="BR127" s="349">
        <f t="shared" si="107"/>
        <v>1.8979999999999999</v>
      </c>
      <c r="CS127" s="332"/>
      <c r="CT127" s="366" t="s">
        <v>4111</v>
      </c>
      <c r="CU127" s="307" t="s">
        <v>208</v>
      </c>
      <c r="CV127" s="307" t="s">
        <v>4059</v>
      </c>
      <c r="CW127" s="366" t="s">
        <v>22</v>
      </c>
      <c r="CX127" s="307">
        <v>1.0569999999999999</v>
      </c>
      <c r="CY127" s="307">
        <v>1.0569999999999999</v>
      </c>
      <c r="CZ127" s="307">
        <v>1.0569999999999999</v>
      </c>
    </row>
    <row r="128" spans="1:104">
      <c r="A128" s="137" t="str">
        <v>16Y</v>
      </c>
      <c r="B128" s="130">
        <v>4</v>
      </c>
      <c r="C128" s="321" t="str">
        <v>16Y</v>
      </c>
      <c r="D128" s="359" t="str">
        <f t="shared" si="117"/>
        <v>16Y</v>
      </c>
      <c r="E128" s="360">
        <f>IF($B128&lt;&gt;5,VLOOKUP(D128,[7]USDStd!$E$2:$H$100,4,FALSE),"")</f>
        <v>3.332511336</v>
      </c>
      <c r="F128" s="361">
        <f t="shared" si="108"/>
        <v>3.332511336</v>
      </c>
      <c r="G128" s="134">
        <v>2.2689883160000002</v>
      </c>
      <c r="H128" s="361">
        <f t="shared" si="109"/>
        <v>2.2689883160000002</v>
      </c>
      <c r="I128" s="362">
        <f t="shared" ref="I128:I150" si="122">CHOOSE(OrdMethod,F128,H128)</f>
        <v>2.2689883160000002</v>
      </c>
      <c r="M128" s="321" t="str">
        <v>16Y</v>
      </c>
      <c r="N128" s="359" t="str">
        <f t="shared" si="118"/>
        <v>16Y</v>
      </c>
      <c r="O128" s="360">
        <f>IF($B128&lt;&gt;5,VLOOKUP(N128,[8]USD12M!$E$2:$H$100,4,FALSE),"")</f>
        <v>3.5894926190000001</v>
      </c>
      <c r="P128" s="361">
        <f t="shared" si="110"/>
        <v>3.5894926190000001</v>
      </c>
      <c r="Q128" s="134">
        <v>2.6391163340000001</v>
      </c>
      <c r="R128" s="134"/>
      <c r="S128" s="134"/>
      <c r="T128" s="361">
        <f t="shared" ref="T128:T150" si="123">IF(Q128=0,NA(),IF($B128=3,100-Q128,Q128))</f>
        <v>2.6391163340000001</v>
      </c>
      <c r="U128" s="362">
        <f t="shared" ref="U128:U150" si="124">CHOOSE(OrdMethod,P128,T128)</f>
        <v>2.6391163340000001</v>
      </c>
      <c r="W128" s="321" t="str">
        <v>16Y</v>
      </c>
      <c r="X128" s="359" t="str">
        <f t="shared" si="119"/>
        <v>16Y</v>
      </c>
      <c r="Y128" s="360">
        <f>IF($B128&lt;&gt;5,VLOOKUP(X128,[9]USD1M!$E$2:$H$100,4,FALSE),"")</f>
        <v>3.2855109530000002</v>
      </c>
      <c r="Z128" s="361">
        <f t="shared" si="111"/>
        <v>3.2855109530000002</v>
      </c>
      <c r="AA128" s="134">
        <v>2.1635659650000001</v>
      </c>
      <c r="AB128" s="361">
        <f t="shared" si="112"/>
        <v>2.1635659650000001</v>
      </c>
      <c r="AC128" s="362">
        <f t="shared" ref="AC128:AC150" si="125">CHOOSE(OrdMethod,Z128,AB128)</f>
        <v>2.1635659650000001</v>
      </c>
      <c r="AE128" s="321" t="str">
        <v>16Y</v>
      </c>
      <c r="AF128" s="359" t="str">
        <f t="shared" si="120"/>
        <v>16Y</v>
      </c>
      <c r="AG128" s="360">
        <f>IF($B128&lt;&gt;5,VLOOKUP(AF128,[10]USD3M!$E$2:$H$100,4,FALSE),"")</f>
        <v>3.332511336</v>
      </c>
      <c r="AH128" s="361">
        <f t="shared" si="113"/>
        <v>3.332511336</v>
      </c>
      <c r="AI128" s="134">
        <v>2.2689883160000002</v>
      </c>
      <c r="AJ128" s="361">
        <f t="shared" si="114"/>
        <v>2.2689883160000002</v>
      </c>
      <c r="AK128" s="362">
        <f t="shared" ref="AK128:AK150" si="126">CHOOSE(OrdMethod,AH128,AJ128)</f>
        <v>2.2689883160000002</v>
      </c>
      <c r="AM128" s="321" t="str">
        <v>16Y</v>
      </c>
      <c r="AN128" s="359" t="str">
        <f t="shared" si="121"/>
        <v>16Y</v>
      </c>
      <c r="AO128" s="360">
        <f>IF($B128&lt;&gt;5,VLOOKUP(AN128,[11]USD6M!$E$2:$H$100,4,FALSE),"")</f>
        <v>3.4388557500000001</v>
      </c>
      <c r="AP128" s="361">
        <f t="shared" si="115"/>
        <v>3.4388557500000001</v>
      </c>
      <c r="AQ128" s="134">
        <v>2.4400394630000002</v>
      </c>
      <c r="AR128" s="361">
        <f t="shared" si="116"/>
        <v>2.4400394630000002</v>
      </c>
      <c r="AS128" s="362">
        <f t="shared" ref="AS128:AS150" si="127">CHOOSE(OrdMethod,AP128,AR128)</f>
        <v>2.4400394630000002</v>
      </c>
      <c r="AU128" s="321" t="str">
        <v>20Y</v>
      </c>
      <c r="AV128" s="415" t="str">
        <f t="shared" si="98"/>
        <v>20Y</v>
      </c>
      <c r="AW128" s="360"/>
      <c r="AX128" s="361" t="e">
        <f t="shared" si="99"/>
        <v>#N/A</v>
      </c>
      <c r="AY128" s="134">
        <v>1.974</v>
      </c>
      <c r="AZ128" s="361">
        <f t="shared" si="100"/>
        <v>1.974</v>
      </c>
      <c r="BA128" s="362">
        <f t="shared" si="101"/>
        <v>1.974</v>
      </c>
      <c r="BD128" s="321"/>
      <c r="BE128" s="348">
        <f t="shared" ref="BE128:BE161" si="128">VLOOKUP($I$94&amp;"|"&amp;$A128,CurveRefTable,$H$5,FALSE)+0</f>
        <v>2.2689883160000002</v>
      </c>
      <c r="BF128" s="321"/>
      <c r="BG128" s="426"/>
      <c r="BH128" s="426"/>
      <c r="BI128" s="426"/>
      <c r="BJ128" s="426"/>
      <c r="BK128" s="30">
        <f t="shared" ref="BK128:BK161" si="129">VLOOKUP($U$94&amp;"|"&amp;$A128,CurveRefTable,$H$5,FALSE)+0</f>
        <v>2.6391163340000001</v>
      </c>
      <c r="BL128" s="321"/>
      <c r="BM128" s="30">
        <f t="shared" ref="BM128:BM161" si="130">VLOOKUP($AC$94&amp;"|"&amp;$A128,CurveRefTable,$H$5,FALSE)+0</f>
        <v>2.1635659650000001</v>
      </c>
      <c r="BN128" s="216" t="str">
        <v>16Y</v>
      </c>
      <c r="BO128" s="30">
        <f t="shared" ref="BO128:BO161" si="131">VLOOKUP($AK$94&amp;"|"&amp;$A128,CurveRefTable,$H$5,FALSE)+0</f>
        <v>2.2689883160000002</v>
      </c>
      <c r="BP128" s="349">
        <f t="shared" ref="BP128:BP161" si="132">VLOOKUP($AS$94&amp;"|"&amp;$A128,CurveRefTable,$H$5,FALSE)+0</f>
        <v>2.4400394630000002</v>
      </c>
      <c r="BQ128" s="137" t="str">
        <v>5Y</v>
      </c>
      <c r="BR128" s="349">
        <f t="shared" si="107"/>
        <v>1.974</v>
      </c>
      <c r="CS128" s="332"/>
      <c r="CT128" s="366" t="s">
        <v>4112</v>
      </c>
      <c r="CU128" s="307" t="s">
        <v>208</v>
      </c>
      <c r="CV128" s="307" t="s">
        <v>4059</v>
      </c>
      <c r="CW128" s="366" t="s">
        <v>163</v>
      </c>
      <c r="CX128" s="307">
        <v>1.0602875789999999</v>
      </c>
      <c r="CY128" s="307">
        <v>1.0602875789999999</v>
      </c>
      <c r="CZ128" s="307">
        <v>1.0602875789999999</v>
      </c>
    </row>
    <row r="129" spans="1:104">
      <c r="A129" s="137" t="str">
        <v>17Y</v>
      </c>
      <c r="B129" s="130">
        <v>4</v>
      </c>
      <c r="C129" s="321" t="str">
        <v>17Y</v>
      </c>
      <c r="D129" s="359" t="str">
        <f t="shared" si="117"/>
        <v>17Y</v>
      </c>
      <c r="E129" s="360">
        <f>IF($B129&lt;&gt;5,VLOOKUP(D129,[7]USDStd!$E$2:$H$100,4,FALSE),"")</f>
        <v>3.38063476</v>
      </c>
      <c r="F129" s="361">
        <f t="shared" si="108"/>
        <v>3.38063476</v>
      </c>
      <c r="G129" s="134">
        <v>2.2869536959999999</v>
      </c>
      <c r="H129" s="361">
        <f t="shared" si="109"/>
        <v>2.2869536959999999</v>
      </c>
      <c r="I129" s="362">
        <f t="shared" si="122"/>
        <v>2.2869536959999999</v>
      </c>
      <c r="M129" s="321" t="str">
        <v>17Y</v>
      </c>
      <c r="N129" s="359" t="str">
        <f t="shared" si="118"/>
        <v>17Y</v>
      </c>
      <c r="O129" s="360">
        <f>IF($B129&lt;&gt;5,VLOOKUP(N129,[8]USD12M!$E$2:$H$100,4,FALSE),"")</f>
        <v>3.6358869280000001</v>
      </c>
      <c r="P129" s="361">
        <f t="shared" si="110"/>
        <v>3.6358869280000001</v>
      </c>
      <c r="Q129" s="134">
        <v>2.6541566599999999</v>
      </c>
      <c r="R129" s="134"/>
      <c r="S129" s="134"/>
      <c r="T129" s="361">
        <f t="shared" si="123"/>
        <v>2.6541566599999999</v>
      </c>
      <c r="U129" s="362">
        <f t="shared" si="124"/>
        <v>2.6541566599999999</v>
      </c>
      <c r="W129" s="321" t="str">
        <v>17Y</v>
      </c>
      <c r="X129" s="359" t="str">
        <f t="shared" si="119"/>
        <v>17Y</v>
      </c>
      <c r="Y129" s="360">
        <f>IF($B129&lt;&gt;5,VLOOKUP(X129,[9]USD1M!$E$2:$H$100,4,FALSE),"")</f>
        <v>3.3353962479999999</v>
      </c>
      <c r="Z129" s="361">
        <f t="shared" si="111"/>
        <v>3.3353962479999999</v>
      </c>
      <c r="AA129" s="134">
        <v>2.181152376</v>
      </c>
      <c r="AB129" s="361">
        <f t="shared" si="112"/>
        <v>2.181152376</v>
      </c>
      <c r="AC129" s="362">
        <f t="shared" si="125"/>
        <v>2.181152376</v>
      </c>
      <c r="AE129" s="321" t="str">
        <v>17Y</v>
      </c>
      <c r="AF129" s="359" t="str">
        <f t="shared" si="120"/>
        <v>17Y</v>
      </c>
      <c r="AG129" s="360">
        <f>IF($B129&lt;&gt;5,VLOOKUP(AF129,[10]USD3M!$E$2:$H$100,4,FALSE),"")</f>
        <v>3.38063476</v>
      </c>
      <c r="AH129" s="361">
        <f t="shared" si="113"/>
        <v>3.38063476</v>
      </c>
      <c r="AI129" s="134">
        <v>2.2869536959999999</v>
      </c>
      <c r="AJ129" s="361">
        <f t="shared" si="114"/>
        <v>2.2869536959999999</v>
      </c>
      <c r="AK129" s="362">
        <f t="shared" si="126"/>
        <v>2.2869536959999999</v>
      </c>
      <c r="AM129" s="321" t="str">
        <v>17Y</v>
      </c>
      <c r="AN129" s="359" t="str">
        <f t="shared" si="121"/>
        <v>17Y</v>
      </c>
      <c r="AO129" s="360">
        <f>IF($B129&lt;&gt;5,VLOOKUP(AN129,[11]USD6M!$E$2:$H$100,4,FALSE),"")</f>
        <v>3.4867602880000002</v>
      </c>
      <c r="AP129" s="361">
        <f t="shared" si="115"/>
        <v>3.4867602880000002</v>
      </c>
      <c r="AQ129" s="134">
        <v>2.4568033460000001</v>
      </c>
      <c r="AR129" s="361">
        <f t="shared" si="116"/>
        <v>2.4568033460000001</v>
      </c>
      <c r="AS129" s="362">
        <f t="shared" si="127"/>
        <v>2.4568033460000001</v>
      </c>
      <c r="AU129" s="321" t="str">
        <v>25Y</v>
      </c>
      <c r="AV129" s="415" t="str">
        <f t="shared" si="98"/>
        <v>25Y</v>
      </c>
      <c r="AW129" s="360"/>
      <c r="AX129" s="361" t="e">
        <f t="shared" si="99"/>
        <v>#N/A</v>
      </c>
      <c r="AY129" s="134">
        <v>2.0049999999999999</v>
      </c>
      <c r="AZ129" s="361">
        <f t="shared" si="100"/>
        <v>2.0049999999999999</v>
      </c>
      <c r="BA129" s="362">
        <f t="shared" si="101"/>
        <v>2.0049999999999999</v>
      </c>
      <c r="BD129" s="321"/>
      <c r="BE129" s="348">
        <f t="shared" si="128"/>
        <v>2.2869536959999999</v>
      </c>
      <c r="BF129" s="321"/>
      <c r="BG129" s="426"/>
      <c r="BH129" s="426"/>
      <c r="BI129" s="426"/>
      <c r="BJ129" s="426"/>
      <c r="BK129" s="30">
        <f t="shared" si="129"/>
        <v>2.6541566599999999</v>
      </c>
      <c r="BL129" s="321"/>
      <c r="BM129" s="30">
        <f t="shared" si="130"/>
        <v>2.181152376</v>
      </c>
      <c r="BN129" s="216" t="str">
        <v>17Y</v>
      </c>
      <c r="BO129" s="30">
        <f t="shared" si="131"/>
        <v>2.2869536959999999</v>
      </c>
      <c r="BP129" s="349">
        <f t="shared" si="132"/>
        <v>2.4568033460000001</v>
      </c>
      <c r="BQ129" s="137" t="str">
        <v>6Y</v>
      </c>
      <c r="BR129" s="349">
        <f t="shared" si="107"/>
        <v>2.0049999999999999</v>
      </c>
      <c r="CS129" s="332"/>
      <c r="CT129" s="366" t="s">
        <v>4113</v>
      </c>
      <c r="CU129" s="307" t="s">
        <v>208</v>
      </c>
      <c r="CV129" s="307" t="s">
        <v>4059</v>
      </c>
      <c r="CW129" s="366" t="s">
        <v>164</v>
      </c>
      <c r="CX129" s="307">
        <v>1.063151679</v>
      </c>
      <c r="CY129" s="307">
        <v>1.063151679</v>
      </c>
      <c r="CZ129" s="307">
        <v>1.063151679</v>
      </c>
    </row>
    <row r="130" spans="1:104">
      <c r="A130" s="137" t="str">
        <v>18Y</v>
      </c>
      <c r="B130" s="130">
        <v>4</v>
      </c>
      <c r="C130" s="321" t="str">
        <v>18Y</v>
      </c>
      <c r="D130" s="359" t="str">
        <f t="shared" si="117"/>
        <v>18Y</v>
      </c>
      <c r="E130" s="360">
        <f>IF($B130&lt;&gt;5,VLOOKUP(D130,[7]USDStd!$E$2:$H$100,4,FALSE),"")</f>
        <v>3.4212628039999999</v>
      </c>
      <c r="F130" s="361">
        <f t="shared" si="108"/>
        <v>3.4212628039999999</v>
      </c>
      <c r="G130" s="134">
        <v>2.3024651629999999</v>
      </c>
      <c r="H130" s="361">
        <f t="shared" si="109"/>
        <v>2.3024651629999999</v>
      </c>
      <c r="I130" s="362">
        <f t="shared" si="122"/>
        <v>2.3024651629999999</v>
      </c>
      <c r="M130" s="321" t="str">
        <v>18Y</v>
      </c>
      <c r="N130" s="359" t="str">
        <f t="shared" si="118"/>
        <v>18Y</v>
      </c>
      <c r="O130" s="360">
        <f>IF($B130&lt;&gt;5,VLOOKUP(N130,[8]USD12M!$E$2:$H$100,4,FALSE),"")</f>
        <v>3.6749776870000002</v>
      </c>
      <c r="P130" s="361">
        <f t="shared" si="110"/>
        <v>3.6749776870000002</v>
      </c>
      <c r="Q130" s="134">
        <v>2.6672255690000002</v>
      </c>
      <c r="R130" s="134"/>
      <c r="S130" s="134"/>
      <c r="T130" s="361">
        <f t="shared" si="123"/>
        <v>2.6672255690000002</v>
      </c>
      <c r="U130" s="362">
        <f t="shared" si="124"/>
        <v>2.6672255690000002</v>
      </c>
      <c r="W130" s="321" t="str">
        <v>18Y</v>
      </c>
      <c r="X130" s="359" t="str">
        <f t="shared" si="119"/>
        <v>18Y</v>
      </c>
      <c r="Y130" s="360">
        <f>IF($B130&lt;&gt;5,VLOOKUP(X130,[9]USD1M!$E$2:$H$100,4,FALSE),"")</f>
        <v>3.3775615819999998</v>
      </c>
      <c r="Z130" s="361">
        <f t="shared" si="111"/>
        <v>3.3775615819999998</v>
      </c>
      <c r="AA130" s="134">
        <v>2.195649591</v>
      </c>
      <c r="AB130" s="361">
        <f t="shared" si="112"/>
        <v>2.195649591</v>
      </c>
      <c r="AC130" s="362">
        <f t="shared" si="125"/>
        <v>2.195649591</v>
      </c>
      <c r="AE130" s="321" t="str">
        <v>18Y</v>
      </c>
      <c r="AF130" s="359" t="str">
        <f t="shared" si="120"/>
        <v>18Y</v>
      </c>
      <c r="AG130" s="360">
        <f>IF($B130&lt;&gt;5,VLOOKUP(AF130,[10]USD3M!$E$2:$H$100,4,FALSE),"")</f>
        <v>3.4212628039999999</v>
      </c>
      <c r="AH130" s="361">
        <f t="shared" si="113"/>
        <v>3.4212628039999999</v>
      </c>
      <c r="AI130" s="134">
        <v>2.3024651629999999</v>
      </c>
      <c r="AJ130" s="361">
        <f t="shared" si="114"/>
        <v>2.3024651629999999</v>
      </c>
      <c r="AK130" s="362">
        <f t="shared" si="126"/>
        <v>2.3024651629999999</v>
      </c>
      <c r="AM130" s="321" t="str">
        <v>18Y</v>
      </c>
      <c r="AN130" s="359" t="str">
        <f t="shared" si="121"/>
        <v>18Y</v>
      </c>
      <c r="AO130" s="360">
        <f>IF($B130&lt;&gt;5,VLOOKUP(AN130,[11]USD6M!$E$2:$H$100,4,FALSE),"")</f>
        <v>3.5272168420000001</v>
      </c>
      <c r="AP130" s="361">
        <f t="shared" si="115"/>
        <v>3.5272168420000001</v>
      </c>
      <c r="AQ130" s="134">
        <v>2.471107425</v>
      </c>
      <c r="AR130" s="361">
        <f t="shared" si="116"/>
        <v>2.471107425</v>
      </c>
      <c r="AS130" s="362">
        <f t="shared" si="127"/>
        <v>2.471107425</v>
      </c>
      <c r="AU130" s="321" t="str">
        <v>30Y</v>
      </c>
      <c r="AV130" s="415" t="str">
        <f t="shared" si="98"/>
        <v>30Y</v>
      </c>
      <c r="AW130" s="360"/>
      <c r="AX130" s="361" t="e">
        <f t="shared" si="99"/>
        <v>#N/A</v>
      </c>
      <c r="AY130" s="134">
        <v>2.0169999999999999</v>
      </c>
      <c r="AZ130" s="361">
        <f t="shared" si="100"/>
        <v>2.0169999999999999</v>
      </c>
      <c r="BA130" s="362">
        <f t="shared" si="101"/>
        <v>2.0169999999999999</v>
      </c>
      <c r="BD130" s="321"/>
      <c r="BE130" s="348">
        <f t="shared" si="128"/>
        <v>2.3024651629999999</v>
      </c>
      <c r="BF130" s="321"/>
      <c r="BG130" s="426"/>
      <c r="BH130" s="426"/>
      <c r="BI130" s="426"/>
      <c r="BJ130" s="426"/>
      <c r="BK130" s="30">
        <f t="shared" si="129"/>
        <v>2.6672255690000002</v>
      </c>
      <c r="BL130" s="321"/>
      <c r="BM130" s="30">
        <f t="shared" si="130"/>
        <v>2.195649591</v>
      </c>
      <c r="BN130" s="216" t="str">
        <v>18Y</v>
      </c>
      <c r="BO130" s="30">
        <f t="shared" si="131"/>
        <v>2.3024651629999999</v>
      </c>
      <c r="BP130" s="349">
        <f t="shared" si="132"/>
        <v>2.471107425</v>
      </c>
      <c r="BQ130" s="137" t="str">
        <v>7Y</v>
      </c>
      <c r="BR130" s="349">
        <f t="shared" si="107"/>
        <v>2.0169999999999999</v>
      </c>
      <c r="CS130" s="332"/>
      <c r="CT130" s="366" t="s">
        <v>4114</v>
      </c>
      <c r="CU130" s="307" t="s">
        <v>208</v>
      </c>
      <c r="CV130" s="307" t="s">
        <v>4059</v>
      </c>
      <c r="CW130" s="366" t="s">
        <v>165</v>
      </c>
      <c r="CX130" s="307">
        <v>1.0653546549999999</v>
      </c>
      <c r="CY130" s="307">
        <v>1.0653546549999999</v>
      </c>
      <c r="CZ130" s="307">
        <v>1.0653546549999999</v>
      </c>
    </row>
    <row r="131" spans="1:104">
      <c r="A131" s="137" t="str">
        <v>19Y</v>
      </c>
      <c r="B131" s="130">
        <v>4</v>
      </c>
      <c r="C131" s="321" t="str">
        <v>19Y</v>
      </c>
      <c r="D131" s="359" t="str">
        <f t="shared" si="117"/>
        <v>19Y</v>
      </c>
      <c r="E131" s="360">
        <f>IF($B131&lt;&gt;5,VLOOKUP(D131,[7]USDStd!$E$2:$H$100,4,FALSE),"")</f>
        <v>3.4561989579999999</v>
      </c>
      <c r="F131" s="361">
        <f t="shared" si="108"/>
        <v>3.4561989579999999</v>
      </c>
      <c r="G131" s="134">
        <v>2.3157316469999998</v>
      </c>
      <c r="H131" s="361">
        <f t="shared" si="109"/>
        <v>2.3157316469999998</v>
      </c>
      <c r="I131" s="362">
        <f t="shared" si="122"/>
        <v>2.3157316469999998</v>
      </c>
      <c r="M131" s="321" t="str">
        <v>19Y</v>
      </c>
      <c r="N131" s="359" t="str">
        <f t="shared" si="118"/>
        <v>19Y</v>
      </c>
      <c r="O131" s="360">
        <f>IF($B131&lt;&gt;5,VLOOKUP(N131,[8]USD12M!$E$2:$H$100,4,FALSE),"")</f>
        <v>3.7085592580000002</v>
      </c>
      <c r="P131" s="361">
        <f t="shared" si="110"/>
        <v>3.7085592580000002</v>
      </c>
      <c r="Q131" s="134">
        <v>2.6782381270000002</v>
      </c>
      <c r="R131" s="134"/>
      <c r="S131" s="134"/>
      <c r="T131" s="361">
        <f t="shared" si="123"/>
        <v>2.6782381270000002</v>
      </c>
      <c r="U131" s="362">
        <f t="shared" si="124"/>
        <v>2.6782381270000002</v>
      </c>
      <c r="W131" s="321" t="str">
        <v>19Y</v>
      </c>
      <c r="X131" s="359" t="str">
        <f t="shared" si="119"/>
        <v>19Y</v>
      </c>
      <c r="Y131" s="360">
        <f>IF($B131&lt;&gt;5,VLOOKUP(X131,[9]USD1M!$E$2:$H$100,4,FALSE),"")</f>
        <v>3.4138432060000001</v>
      </c>
      <c r="Z131" s="361">
        <f t="shared" si="111"/>
        <v>3.4138432060000001</v>
      </c>
      <c r="AA131" s="134">
        <v>2.2074645099999999</v>
      </c>
      <c r="AB131" s="361">
        <f t="shared" si="112"/>
        <v>2.2074645099999999</v>
      </c>
      <c r="AC131" s="362">
        <f t="shared" si="125"/>
        <v>2.2074645099999999</v>
      </c>
      <c r="AE131" s="321" t="str">
        <v>19Y</v>
      </c>
      <c r="AF131" s="359" t="str">
        <f t="shared" si="120"/>
        <v>19Y</v>
      </c>
      <c r="AG131" s="360">
        <f>IF($B131&lt;&gt;5,VLOOKUP(AF131,[10]USD3M!$E$2:$H$100,4,FALSE),"")</f>
        <v>3.4561989579999999</v>
      </c>
      <c r="AH131" s="361">
        <f t="shared" si="113"/>
        <v>3.4561989579999999</v>
      </c>
      <c r="AI131" s="134">
        <v>2.3157316469999998</v>
      </c>
      <c r="AJ131" s="361">
        <f t="shared" si="114"/>
        <v>2.3157316469999998</v>
      </c>
      <c r="AK131" s="362">
        <f t="shared" si="126"/>
        <v>2.3157316469999998</v>
      </c>
      <c r="AM131" s="321" t="str">
        <v>19Y</v>
      </c>
      <c r="AN131" s="359" t="str">
        <f t="shared" si="121"/>
        <v>19Y</v>
      </c>
      <c r="AO131" s="360">
        <f>IF($B131&lt;&gt;5,VLOOKUP(AN131,[11]USD6M!$E$2:$H$100,4,FALSE),"")</f>
        <v>3.5620248499999998</v>
      </c>
      <c r="AP131" s="361">
        <f t="shared" si="115"/>
        <v>3.5620248499999998</v>
      </c>
      <c r="AQ131" s="134">
        <v>2.4831716340000001</v>
      </c>
      <c r="AR131" s="361">
        <f t="shared" si="116"/>
        <v>2.4831716340000001</v>
      </c>
      <c r="AS131" s="362">
        <f t="shared" si="127"/>
        <v>2.4831716340000001</v>
      </c>
      <c r="AU131" s="321" t="str">
        <v>40Y</v>
      </c>
      <c r="AV131" s="415" t="str">
        <f t="shared" si="98"/>
        <v>40Y</v>
      </c>
      <c r="AW131" s="360"/>
      <c r="AX131" s="361" t="e">
        <f t="shared" si="99"/>
        <v>#N/A</v>
      </c>
      <c r="AY131" s="134">
        <v>2.024</v>
      </c>
      <c r="AZ131" s="361">
        <f t="shared" si="100"/>
        <v>2.024</v>
      </c>
      <c r="BA131" s="362">
        <f t="shared" si="101"/>
        <v>2.024</v>
      </c>
      <c r="BD131" s="321"/>
      <c r="BE131" s="348">
        <f t="shared" si="128"/>
        <v>2.3157316469999998</v>
      </c>
      <c r="BF131" s="321"/>
      <c r="BG131" s="426"/>
      <c r="BH131" s="426"/>
      <c r="BI131" s="426"/>
      <c r="BJ131" s="426"/>
      <c r="BK131" s="30">
        <f t="shared" si="129"/>
        <v>2.6782381270000002</v>
      </c>
      <c r="BL131" s="321"/>
      <c r="BM131" s="30">
        <f t="shared" si="130"/>
        <v>2.2074645099999999</v>
      </c>
      <c r="BN131" s="216" t="str">
        <v>19Y</v>
      </c>
      <c r="BO131" s="30">
        <f t="shared" si="131"/>
        <v>2.3157316469999998</v>
      </c>
      <c r="BP131" s="349">
        <f t="shared" si="132"/>
        <v>2.4831716340000001</v>
      </c>
      <c r="BQ131" s="137" t="str">
        <v>8Y</v>
      </c>
      <c r="BR131" s="349">
        <f t="shared" si="107"/>
        <v>2.024</v>
      </c>
      <c r="CS131" s="332"/>
      <c r="CT131" s="366" t="s">
        <v>4115</v>
      </c>
      <c r="CU131" s="307" t="s">
        <v>208</v>
      </c>
      <c r="CV131" s="307" t="s">
        <v>4059</v>
      </c>
      <c r="CW131" s="366" t="s">
        <v>166</v>
      </c>
      <c r="CX131" s="307">
        <v>1.06697039</v>
      </c>
      <c r="CY131" s="307">
        <v>1.06697039</v>
      </c>
      <c r="CZ131" s="307">
        <v>1.06697039</v>
      </c>
    </row>
    <row r="132" spans="1:104">
      <c r="A132" s="137" t="str">
        <v>20Y</v>
      </c>
      <c r="B132" s="130">
        <v>4</v>
      </c>
      <c r="C132" s="321" t="str">
        <v>20Y</v>
      </c>
      <c r="D132" s="359" t="str">
        <f t="shared" si="117"/>
        <v>20Y</v>
      </c>
      <c r="E132" s="360">
        <f>IF($B132&lt;&gt;5,VLOOKUP(D132,[7]USDStd!$E$2:$H$100,4,FALSE),"")</f>
        <v>3.4859486689999999</v>
      </c>
      <c r="F132" s="361">
        <f t="shared" si="108"/>
        <v>3.4859486689999999</v>
      </c>
      <c r="G132" s="134">
        <v>2.3269999929999998</v>
      </c>
      <c r="H132" s="361">
        <f t="shared" si="109"/>
        <v>2.3269999929999998</v>
      </c>
      <c r="I132" s="362">
        <f t="shared" si="122"/>
        <v>2.3269999929999998</v>
      </c>
      <c r="M132" s="321" t="str">
        <v>20Y</v>
      </c>
      <c r="N132" s="359" t="str">
        <f t="shared" si="118"/>
        <v>20Y</v>
      </c>
      <c r="O132" s="360">
        <f>IF($B132&lt;&gt;5,VLOOKUP(N132,[8]USD12M!$E$2:$H$100,4,FALSE),"")</f>
        <v>3.7371155699999998</v>
      </c>
      <c r="P132" s="361">
        <f t="shared" si="110"/>
        <v>3.7371155699999998</v>
      </c>
      <c r="Q132" s="134">
        <v>2.687200721</v>
      </c>
      <c r="R132" s="134"/>
      <c r="S132" s="134"/>
      <c r="T132" s="361">
        <f t="shared" si="123"/>
        <v>2.687200721</v>
      </c>
      <c r="U132" s="362">
        <f t="shared" si="124"/>
        <v>2.687200721</v>
      </c>
      <c r="W132" s="321" t="str">
        <v>20Y</v>
      </c>
      <c r="X132" s="359" t="str">
        <f t="shared" si="119"/>
        <v>20Y</v>
      </c>
      <c r="Y132" s="360">
        <f>IF($B132&lt;&gt;5,VLOOKUP(X132,[9]USD1M!$E$2:$H$100,4,FALSE),"")</f>
        <v>3.4447388079999999</v>
      </c>
      <c r="Z132" s="361">
        <f t="shared" si="111"/>
        <v>3.4447388079999999</v>
      </c>
      <c r="AA132" s="134">
        <v>2.2169943879999998</v>
      </c>
      <c r="AB132" s="361">
        <f t="shared" si="112"/>
        <v>2.2169943879999998</v>
      </c>
      <c r="AC132" s="362">
        <f t="shared" si="125"/>
        <v>2.2169943879999998</v>
      </c>
      <c r="AE132" s="321" t="str">
        <v>20Y</v>
      </c>
      <c r="AF132" s="359" t="str">
        <f t="shared" si="120"/>
        <v>20Y</v>
      </c>
      <c r="AG132" s="360">
        <f>IF($B132&lt;&gt;5,VLOOKUP(AF132,[10]USD3M!$E$2:$H$100,4,FALSE),"")</f>
        <v>3.4859486689999999</v>
      </c>
      <c r="AH132" s="361">
        <f t="shared" si="113"/>
        <v>3.4859486689999999</v>
      </c>
      <c r="AI132" s="134">
        <v>2.3269999929999998</v>
      </c>
      <c r="AJ132" s="361">
        <f t="shared" si="114"/>
        <v>2.3269999929999998</v>
      </c>
      <c r="AK132" s="362">
        <f t="shared" si="126"/>
        <v>2.3269999929999998</v>
      </c>
      <c r="AM132" s="321" t="str">
        <v>20Y</v>
      </c>
      <c r="AN132" s="359" t="str">
        <f t="shared" si="121"/>
        <v>20Y</v>
      </c>
      <c r="AO132" s="360">
        <f>IF($B132&lt;&gt;5,VLOOKUP(AN132,[11]USD6M!$E$2:$H$100,4,FALSE),"")</f>
        <v>3.5916836929999998</v>
      </c>
      <c r="AP132" s="361">
        <f t="shared" si="115"/>
        <v>3.5916836929999998</v>
      </c>
      <c r="AQ132" s="134">
        <v>2.4932464830000001</v>
      </c>
      <c r="AR132" s="361">
        <f t="shared" si="116"/>
        <v>2.4932464830000001</v>
      </c>
      <c r="AS132" s="362">
        <f t="shared" si="127"/>
        <v>2.4932464830000001</v>
      </c>
      <c r="AU132" s="321" t="str">
        <v>50Y</v>
      </c>
      <c r="AV132" s="415" t="str">
        <f t="shared" si="98"/>
        <v>50Y</v>
      </c>
      <c r="AW132" s="360"/>
      <c r="AX132" s="361" t="e">
        <f t="shared" si="99"/>
        <v>#N/A</v>
      </c>
      <c r="AY132" s="134">
        <v>2.0099999999999998</v>
      </c>
      <c r="AZ132" s="361">
        <f t="shared" si="100"/>
        <v>2.0099999999999998</v>
      </c>
      <c r="BA132" s="362">
        <f t="shared" si="101"/>
        <v>2.0099999999999998</v>
      </c>
      <c r="BD132" s="321"/>
      <c r="BE132" s="348">
        <f t="shared" si="128"/>
        <v>2.3269999929999998</v>
      </c>
      <c r="BF132" s="321"/>
      <c r="BG132" s="426"/>
      <c r="BH132" s="426"/>
      <c r="BI132" s="426"/>
      <c r="BJ132" s="426"/>
      <c r="BK132" s="30">
        <f t="shared" si="129"/>
        <v>2.687200721</v>
      </c>
      <c r="BL132" s="321"/>
      <c r="BM132" s="30">
        <f t="shared" si="130"/>
        <v>2.2169943879999998</v>
      </c>
      <c r="BN132" s="216" t="str">
        <v>20Y</v>
      </c>
      <c r="BO132" s="30">
        <f t="shared" si="131"/>
        <v>2.3269999929999998</v>
      </c>
      <c r="BP132" s="349">
        <f t="shared" si="132"/>
        <v>2.4932464830000001</v>
      </c>
      <c r="BQ132" s="137" t="str">
        <v>9Y</v>
      </c>
      <c r="BR132" s="349">
        <f t="shared" si="107"/>
        <v>2.0099999999999998</v>
      </c>
      <c r="CS132" s="332"/>
      <c r="CT132" s="366" t="s">
        <v>4116</v>
      </c>
      <c r="CU132" s="307" t="s">
        <v>208</v>
      </c>
      <c r="CV132" s="307" t="s">
        <v>4059</v>
      </c>
      <c r="CW132" s="366" t="s">
        <v>167</v>
      </c>
      <c r="CX132" s="307">
        <v>1.0679712800000001</v>
      </c>
      <c r="CY132" s="307">
        <v>1.0679712800000001</v>
      </c>
      <c r="CZ132" s="307">
        <v>1.0679712800000001</v>
      </c>
    </row>
    <row r="133" spans="1:104">
      <c r="A133" s="137" t="str">
        <v>21Y</v>
      </c>
      <c r="B133" s="130">
        <v>4</v>
      </c>
      <c r="C133" s="321" t="str">
        <v>21Y</v>
      </c>
      <c r="D133" s="359" t="str">
        <f t="shared" si="117"/>
        <v>21Y</v>
      </c>
      <c r="E133" s="360">
        <f>IF($B133&lt;&gt;5,VLOOKUP(D133,[7]USDStd!$E$2:$H$100,4,FALSE),"")</f>
        <v>3.5118696759999999</v>
      </c>
      <c r="F133" s="361">
        <f t="shared" si="108"/>
        <v>3.5118696759999999</v>
      </c>
      <c r="G133" s="134">
        <v>2.3364621620000001</v>
      </c>
      <c r="H133" s="361">
        <f t="shared" si="109"/>
        <v>2.3364621620000001</v>
      </c>
      <c r="I133" s="362">
        <f t="shared" si="122"/>
        <v>2.3364621620000001</v>
      </c>
      <c r="M133" s="321" t="str">
        <v>21Y</v>
      </c>
      <c r="N133" s="359" t="str">
        <f t="shared" si="118"/>
        <v>21Y</v>
      </c>
      <c r="O133" s="360">
        <f>IF($B133&lt;&gt;5,VLOOKUP(N133,[8]USD12M!$E$2:$H$100,4,FALSE),"")</f>
        <v>3.7618486729999998</v>
      </c>
      <c r="P133" s="361">
        <f t="shared" si="110"/>
        <v>3.7618486729999998</v>
      </c>
      <c r="Q133" s="134">
        <v>2.694153977</v>
      </c>
      <c r="R133" s="134"/>
      <c r="S133" s="134"/>
      <c r="T133" s="361">
        <f t="shared" si="123"/>
        <v>2.694153977</v>
      </c>
      <c r="U133" s="362">
        <f t="shared" si="124"/>
        <v>2.694153977</v>
      </c>
      <c r="W133" s="321" t="str">
        <v>21Y</v>
      </c>
      <c r="X133" s="359" t="str">
        <f t="shared" si="119"/>
        <v>21Y</v>
      </c>
      <c r="Y133" s="360">
        <f>IF($B133&lt;&gt;5,VLOOKUP(X133,[9]USD1M!$E$2:$H$100,4,FALSE),"")</f>
        <v>3.4716433709999999</v>
      </c>
      <c r="Z133" s="361">
        <f t="shared" si="111"/>
        <v>3.4716433709999999</v>
      </c>
      <c r="AA133" s="134">
        <v>2.2245462310000002</v>
      </c>
      <c r="AB133" s="361">
        <f t="shared" si="112"/>
        <v>2.2245462310000002</v>
      </c>
      <c r="AC133" s="362">
        <f t="shared" si="125"/>
        <v>2.2245462310000002</v>
      </c>
      <c r="AE133" s="321" t="str">
        <v>21Y</v>
      </c>
      <c r="AF133" s="359" t="str">
        <f t="shared" si="120"/>
        <v>21Y</v>
      </c>
      <c r="AG133" s="360">
        <f>IF($B133&lt;&gt;5,VLOOKUP(AF133,[10]USD3M!$E$2:$H$100,4,FALSE),"")</f>
        <v>3.5118696759999999</v>
      </c>
      <c r="AH133" s="361">
        <f t="shared" si="113"/>
        <v>3.5118696759999999</v>
      </c>
      <c r="AI133" s="134">
        <v>2.3364621620000001</v>
      </c>
      <c r="AJ133" s="361">
        <f t="shared" si="114"/>
        <v>2.3364621620000001</v>
      </c>
      <c r="AK133" s="362">
        <f t="shared" si="126"/>
        <v>2.3364621620000001</v>
      </c>
      <c r="AM133" s="321" t="str">
        <v>21Y</v>
      </c>
      <c r="AN133" s="359" t="str">
        <f t="shared" si="121"/>
        <v>21Y</v>
      </c>
      <c r="AO133" s="360">
        <f>IF($B133&lt;&gt;5,VLOOKUP(AN133,[11]USD6M!$E$2:$H$100,4,FALSE),"")</f>
        <v>3.6175449940000002</v>
      </c>
      <c r="AP133" s="361">
        <f t="shared" si="115"/>
        <v>3.6175449940000002</v>
      </c>
      <c r="AQ133" s="134">
        <v>2.5015351309999998</v>
      </c>
      <c r="AR133" s="361">
        <f t="shared" si="116"/>
        <v>2.5015351309999998</v>
      </c>
      <c r="AS133" s="362">
        <f t="shared" si="127"/>
        <v>2.5015351309999998</v>
      </c>
      <c r="AU133" s="322" t="str">
        <v>60Y</v>
      </c>
      <c r="AV133" s="422" t="str">
        <f t="shared" si="98"/>
        <v>60Y</v>
      </c>
      <c r="AW133" s="363"/>
      <c r="AX133" s="364" t="e">
        <f t="shared" si="99"/>
        <v>#N/A</v>
      </c>
      <c r="AY133" s="135">
        <v>1.997249311</v>
      </c>
      <c r="AZ133" s="364">
        <f t="shared" si="100"/>
        <v>1.997249311</v>
      </c>
      <c r="BA133" s="365">
        <f t="shared" si="101"/>
        <v>1.997249311</v>
      </c>
      <c r="BD133" s="321"/>
      <c r="BE133" s="348">
        <f t="shared" si="128"/>
        <v>2.3364621620000001</v>
      </c>
      <c r="BF133" s="321"/>
      <c r="BG133" s="426"/>
      <c r="BH133" s="426"/>
      <c r="BI133" s="426"/>
      <c r="BJ133" s="426"/>
      <c r="BK133" s="30">
        <f t="shared" si="129"/>
        <v>2.694153977</v>
      </c>
      <c r="BL133" s="321"/>
      <c r="BM133" s="30">
        <f t="shared" si="130"/>
        <v>2.2245462310000002</v>
      </c>
      <c r="BN133" s="216" t="str">
        <v>21Y</v>
      </c>
      <c r="BO133" s="30">
        <f t="shared" si="131"/>
        <v>2.3364621620000001</v>
      </c>
      <c r="BP133" s="349">
        <f t="shared" si="132"/>
        <v>2.5015351309999998</v>
      </c>
      <c r="BQ133" s="138" t="str">
        <v>10Y</v>
      </c>
      <c r="BR133" s="352">
        <f t="shared" si="107"/>
        <v>1.997249311</v>
      </c>
      <c r="CS133" s="332"/>
      <c r="CT133" s="366" t="s">
        <v>4117</v>
      </c>
      <c r="CU133" s="307" t="s">
        <v>208</v>
      </c>
      <c r="CV133" s="307" t="s">
        <v>4059</v>
      </c>
      <c r="CW133" s="366" t="s">
        <v>168</v>
      </c>
      <c r="CX133" s="307">
        <v>1.068392325</v>
      </c>
      <c r="CY133" s="307">
        <v>1.068392325</v>
      </c>
      <c r="CZ133" s="307">
        <v>1.068392325</v>
      </c>
    </row>
    <row r="134" spans="1:104">
      <c r="A134" s="137" t="str">
        <v>22Y</v>
      </c>
      <c r="B134" s="130">
        <v>4</v>
      </c>
      <c r="C134" s="321" t="str">
        <v>22Y</v>
      </c>
      <c r="D134" s="359" t="str">
        <f t="shared" si="117"/>
        <v>22Y</v>
      </c>
      <c r="E134" s="360">
        <f>IF($B134&lt;&gt;5,VLOOKUP(D134,[7]USDStd!$E$2:$H$100,4,FALSE),"")</f>
        <v>3.534686502</v>
      </c>
      <c r="F134" s="361">
        <f t="shared" si="108"/>
        <v>3.534686502</v>
      </c>
      <c r="G134" s="134">
        <v>2.3442998519999998</v>
      </c>
      <c r="H134" s="361">
        <f t="shared" si="109"/>
        <v>2.3442998519999998</v>
      </c>
      <c r="I134" s="362">
        <f t="shared" si="122"/>
        <v>2.3442998519999998</v>
      </c>
      <c r="M134" s="321" t="str">
        <v>22Y</v>
      </c>
      <c r="N134" s="359" t="str">
        <f t="shared" si="118"/>
        <v>22Y</v>
      </c>
      <c r="O134" s="360">
        <f>IF($B134&lt;&gt;5,VLOOKUP(N134,[8]USD12M!$E$2:$H$100,4,FALSE),"")</f>
        <v>3.783505855</v>
      </c>
      <c r="P134" s="361">
        <f t="shared" si="110"/>
        <v>3.783505855</v>
      </c>
      <c r="Q134" s="134">
        <v>2.699322972</v>
      </c>
      <c r="R134" s="134"/>
      <c r="S134" s="134"/>
      <c r="T134" s="361">
        <f t="shared" si="123"/>
        <v>2.699322972</v>
      </c>
      <c r="U134" s="362">
        <f t="shared" si="124"/>
        <v>2.699322972</v>
      </c>
      <c r="W134" s="321" t="str">
        <v>22Y</v>
      </c>
      <c r="X134" s="359" t="str">
        <f t="shared" si="119"/>
        <v>22Y</v>
      </c>
      <c r="Y134" s="360">
        <f>IF($B134&lt;&gt;5,VLOOKUP(X134,[9]USD1M!$E$2:$H$100,4,FALSE),"")</f>
        <v>3.4953314560000002</v>
      </c>
      <c r="Z134" s="361">
        <f t="shared" si="111"/>
        <v>3.4953314560000002</v>
      </c>
      <c r="AA134" s="134">
        <v>2.2303887009999999</v>
      </c>
      <c r="AB134" s="361">
        <f t="shared" si="112"/>
        <v>2.2303887009999999</v>
      </c>
      <c r="AC134" s="362">
        <f t="shared" si="125"/>
        <v>2.2303887009999999</v>
      </c>
      <c r="AE134" s="321" t="str">
        <v>22Y</v>
      </c>
      <c r="AF134" s="359" t="str">
        <f t="shared" si="120"/>
        <v>22Y</v>
      </c>
      <c r="AG134" s="360">
        <f>IF($B134&lt;&gt;5,VLOOKUP(AF134,[10]USD3M!$E$2:$H$100,4,FALSE),"")</f>
        <v>3.534686502</v>
      </c>
      <c r="AH134" s="361">
        <f t="shared" si="113"/>
        <v>3.534686502</v>
      </c>
      <c r="AI134" s="134">
        <v>2.3442998519999998</v>
      </c>
      <c r="AJ134" s="361">
        <f t="shared" si="114"/>
        <v>2.3442998519999998</v>
      </c>
      <c r="AK134" s="362">
        <f t="shared" si="126"/>
        <v>2.3442998519999998</v>
      </c>
      <c r="AM134" s="321" t="str">
        <v>22Y</v>
      </c>
      <c r="AN134" s="359" t="str">
        <f t="shared" si="121"/>
        <v>22Y</v>
      </c>
      <c r="AO134" s="360">
        <f>IF($B134&lt;&gt;5,VLOOKUP(AN134,[11]USD6M!$E$2:$H$100,4,FALSE),"")</f>
        <v>3.6403253000000002</v>
      </c>
      <c r="AP134" s="361">
        <f t="shared" si="115"/>
        <v>3.6403253000000002</v>
      </c>
      <c r="AQ134" s="134">
        <v>2.508261895</v>
      </c>
      <c r="AR134" s="361">
        <f t="shared" si="116"/>
        <v>2.508261895</v>
      </c>
      <c r="AS134" s="362">
        <f t="shared" si="127"/>
        <v>2.508261895</v>
      </c>
      <c r="BD134" s="321"/>
      <c r="BE134" s="348">
        <f t="shared" si="128"/>
        <v>2.3442998519999998</v>
      </c>
      <c r="BF134" s="321"/>
      <c r="BG134" s="426"/>
      <c r="BH134" s="426"/>
      <c r="BI134" s="426"/>
      <c r="BJ134" s="426"/>
      <c r="BK134" s="30">
        <f t="shared" si="129"/>
        <v>2.699322972</v>
      </c>
      <c r="BL134" s="321"/>
      <c r="BM134" s="30">
        <f t="shared" si="130"/>
        <v>2.2303887009999999</v>
      </c>
      <c r="BN134" s="216" t="str">
        <v>22Y</v>
      </c>
      <c r="BO134" s="30">
        <f t="shared" si="131"/>
        <v>2.3442998519999998</v>
      </c>
      <c r="BP134" s="349">
        <f t="shared" si="132"/>
        <v>2.508261895</v>
      </c>
      <c r="CS134" s="332"/>
      <c r="CT134" s="366" t="s">
        <v>4118</v>
      </c>
      <c r="CU134" s="307" t="s">
        <v>208</v>
      </c>
      <c r="CV134" s="307" t="s">
        <v>4059</v>
      </c>
      <c r="CW134" s="366" t="s">
        <v>169</v>
      </c>
      <c r="CX134" s="307">
        <v>1.068078273</v>
      </c>
      <c r="CY134" s="307">
        <v>1.068078273</v>
      </c>
      <c r="CZ134" s="307">
        <v>1.068078273</v>
      </c>
    </row>
    <row r="135" spans="1:104">
      <c r="A135" s="137" t="str">
        <v>23Y</v>
      </c>
      <c r="B135" s="130">
        <v>4</v>
      </c>
      <c r="C135" s="321" t="str">
        <v>23Y</v>
      </c>
      <c r="D135" s="359" t="str">
        <f t="shared" si="117"/>
        <v>23Y</v>
      </c>
      <c r="E135" s="360">
        <f>IF($B135&lt;&gt;5,VLOOKUP(D135,[7]USDStd!$E$2:$H$100,4,FALSE),"")</f>
        <v>3.55489845</v>
      </c>
      <c r="F135" s="361">
        <f t="shared" si="108"/>
        <v>3.55489845</v>
      </c>
      <c r="G135" s="134">
        <v>2.3508606109999999</v>
      </c>
      <c r="H135" s="361">
        <f t="shared" si="109"/>
        <v>2.3508606109999999</v>
      </c>
      <c r="I135" s="362">
        <f t="shared" si="122"/>
        <v>2.3508606109999999</v>
      </c>
      <c r="M135" s="321" t="str">
        <v>23Y</v>
      </c>
      <c r="N135" s="359" t="str">
        <f t="shared" si="118"/>
        <v>23Y</v>
      </c>
      <c r="O135" s="360">
        <f>IF($B135&lt;&gt;5,VLOOKUP(N135,[8]USD12M!$E$2:$H$100,4,FALSE),"")</f>
        <v>3.8026070000000001</v>
      </c>
      <c r="P135" s="361">
        <f t="shared" si="110"/>
        <v>3.8026070000000001</v>
      </c>
      <c r="Q135" s="134">
        <v>2.7030876269999999</v>
      </c>
      <c r="R135" s="134"/>
      <c r="S135" s="134"/>
      <c r="T135" s="361">
        <f t="shared" si="123"/>
        <v>2.7030876269999999</v>
      </c>
      <c r="U135" s="362">
        <f t="shared" si="124"/>
        <v>2.7030876269999999</v>
      </c>
      <c r="W135" s="321" t="str">
        <v>23Y</v>
      </c>
      <c r="X135" s="359" t="str">
        <f t="shared" si="119"/>
        <v>23Y</v>
      </c>
      <c r="Y135" s="360">
        <f>IF($B135&lt;&gt;5,VLOOKUP(X135,[9]USD1M!$E$2:$H$100,4,FALSE),"")</f>
        <v>3.5163462550000002</v>
      </c>
      <c r="Z135" s="361">
        <f t="shared" si="111"/>
        <v>3.5163462550000002</v>
      </c>
      <c r="AA135" s="134">
        <v>2.2348979830000002</v>
      </c>
      <c r="AB135" s="361">
        <f t="shared" si="112"/>
        <v>2.2348979830000002</v>
      </c>
      <c r="AC135" s="362">
        <f t="shared" si="125"/>
        <v>2.2348979830000002</v>
      </c>
      <c r="AE135" s="321" t="str">
        <v>23Y</v>
      </c>
      <c r="AF135" s="359" t="str">
        <f t="shared" si="120"/>
        <v>23Y</v>
      </c>
      <c r="AG135" s="360">
        <f>IF($B135&lt;&gt;5,VLOOKUP(AF135,[10]USD3M!$E$2:$H$100,4,FALSE),"")</f>
        <v>3.55489845</v>
      </c>
      <c r="AH135" s="361">
        <f t="shared" si="113"/>
        <v>3.55489845</v>
      </c>
      <c r="AI135" s="134">
        <v>2.3508606109999999</v>
      </c>
      <c r="AJ135" s="361">
        <f t="shared" si="114"/>
        <v>2.3508606109999999</v>
      </c>
      <c r="AK135" s="362">
        <f t="shared" si="126"/>
        <v>2.3508606109999999</v>
      </c>
      <c r="AM135" s="321" t="str">
        <v>23Y</v>
      </c>
      <c r="AN135" s="359" t="str">
        <f t="shared" si="121"/>
        <v>23Y</v>
      </c>
      <c r="AO135" s="360">
        <f>IF($B135&lt;&gt;5,VLOOKUP(AN135,[11]USD6M!$E$2:$H$100,4,FALSE),"")</f>
        <v>3.6605159989999998</v>
      </c>
      <c r="AP135" s="361">
        <f t="shared" si="115"/>
        <v>3.6605159989999998</v>
      </c>
      <c r="AQ135" s="134">
        <v>2.5137963000000001</v>
      </c>
      <c r="AR135" s="361">
        <f t="shared" si="116"/>
        <v>2.5137963000000001</v>
      </c>
      <c r="AS135" s="362">
        <f t="shared" si="127"/>
        <v>2.5137963000000001</v>
      </c>
      <c r="BD135" s="321"/>
      <c r="BE135" s="348">
        <f t="shared" si="128"/>
        <v>2.3508606109999999</v>
      </c>
      <c r="BF135" s="321"/>
      <c r="BG135" s="426"/>
      <c r="BH135" s="426"/>
      <c r="BI135" s="426"/>
      <c r="BJ135" s="426"/>
      <c r="BK135" s="30">
        <f t="shared" si="129"/>
        <v>2.7030876269999999</v>
      </c>
      <c r="BL135" s="321"/>
      <c r="BM135" s="30">
        <f t="shared" si="130"/>
        <v>2.2348979830000002</v>
      </c>
      <c r="BN135" s="216" t="str">
        <v>23Y</v>
      </c>
      <c r="BO135" s="30">
        <f t="shared" si="131"/>
        <v>2.3508606109999999</v>
      </c>
      <c r="BP135" s="349">
        <f t="shared" si="132"/>
        <v>2.5137963000000001</v>
      </c>
      <c r="CS135" s="332"/>
      <c r="CT135" s="366" t="s">
        <v>4119</v>
      </c>
      <c r="CU135" s="307" t="s">
        <v>208</v>
      </c>
      <c r="CV135" s="307" t="s">
        <v>4059</v>
      </c>
      <c r="CW135" s="366" t="s">
        <v>170</v>
      </c>
      <c r="CX135" s="307">
        <v>1.067069432</v>
      </c>
      <c r="CY135" s="307">
        <v>1.067069432</v>
      </c>
      <c r="CZ135" s="307">
        <v>1.067069432</v>
      </c>
    </row>
    <row r="136" spans="1:104">
      <c r="A136" s="137" t="str">
        <v>24Y</v>
      </c>
      <c r="B136" s="130">
        <v>4</v>
      </c>
      <c r="C136" s="321" t="str">
        <v>24Y</v>
      </c>
      <c r="D136" s="359" t="str">
        <f t="shared" si="117"/>
        <v>24Y</v>
      </c>
      <c r="E136" s="360">
        <f>IF($B136&lt;&gt;5,VLOOKUP(D136,[7]USDStd!$E$2:$H$100,4,FALSE),"")</f>
        <v>3.5728166780000001</v>
      </c>
      <c r="F136" s="361">
        <f t="shared" si="108"/>
        <v>3.5728166780000001</v>
      </c>
      <c r="G136" s="134">
        <v>2.3563872510000001</v>
      </c>
      <c r="H136" s="361">
        <f t="shared" si="109"/>
        <v>2.3563872510000001</v>
      </c>
      <c r="I136" s="362">
        <f t="shared" si="122"/>
        <v>2.3563872510000001</v>
      </c>
      <c r="M136" s="321" t="str">
        <v>24Y</v>
      </c>
      <c r="N136" s="359" t="str">
        <f t="shared" si="118"/>
        <v>24Y</v>
      </c>
      <c r="O136" s="360">
        <f>IF($B136&lt;&gt;5,VLOOKUP(N136,[8]USD12M!$E$2:$H$100,4,FALSE),"")</f>
        <v>3.8194784789999998</v>
      </c>
      <c r="P136" s="361">
        <f t="shared" si="110"/>
        <v>3.8194784789999998</v>
      </c>
      <c r="Q136" s="134">
        <v>2.7057161829999998</v>
      </c>
      <c r="R136" s="134"/>
      <c r="S136" s="134"/>
      <c r="T136" s="361">
        <f t="shared" si="123"/>
        <v>2.7057161829999998</v>
      </c>
      <c r="U136" s="362">
        <f t="shared" si="124"/>
        <v>2.7057161829999998</v>
      </c>
      <c r="W136" s="321" t="str">
        <v>24Y</v>
      </c>
      <c r="X136" s="359" t="str">
        <f t="shared" si="119"/>
        <v>24Y</v>
      </c>
      <c r="Y136" s="360">
        <f>IF($B136&lt;&gt;5,VLOOKUP(X136,[9]USD1M!$E$2:$H$100,4,FALSE),"")</f>
        <v>3.535029432</v>
      </c>
      <c r="Z136" s="361">
        <f t="shared" si="111"/>
        <v>3.535029432</v>
      </c>
      <c r="AA136" s="134">
        <v>2.2383414149999998</v>
      </c>
      <c r="AB136" s="361">
        <f t="shared" si="112"/>
        <v>2.2383414149999998</v>
      </c>
      <c r="AC136" s="362">
        <f t="shared" si="125"/>
        <v>2.2383414149999998</v>
      </c>
      <c r="AE136" s="321" t="str">
        <v>24Y</v>
      </c>
      <c r="AF136" s="359" t="str">
        <f t="shared" si="120"/>
        <v>24Y</v>
      </c>
      <c r="AG136" s="360">
        <f>IF($B136&lt;&gt;5,VLOOKUP(AF136,[10]USD3M!$E$2:$H$100,4,FALSE),"")</f>
        <v>3.5728166780000001</v>
      </c>
      <c r="AH136" s="361">
        <f t="shared" si="113"/>
        <v>3.5728166780000001</v>
      </c>
      <c r="AI136" s="134">
        <v>2.3563872510000001</v>
      </c>
      <c r="AJ136" s="361">
        <f t="shared" si="114"/>
        <v>2.3563872510000001</v>
      </c>
      <c r="AK136" s="362">
        <f t="shared" si="126"/>
        <v>2.3563872510000001</v>
      </c>
      <c r="AM136" s="321" t="str">
        <v>24Y</v>
      </c>
      <c r="AN136" s="359" t="str">
        <f t="shared" si="121"/>
        <v>24Y</v>
      </c>
      <c r="AO136" s="360">
        <f>IF($B136&lt;&gt;5,VLOOKUP(AN136,[11]USD6M!$E$2:$H$100,4,FALSE),"")</f>
        <v>3.6784206570000002</v>
      </c>
      <c r="AP136" s="361">
        <f t="shared" si="115"/>
        <v>3.6784206570000002</v>
      </c>
      <c r="AQ136" s="134">
        <v>2.5184016589999998</v>
      </c>
      <c r="AR136" s="361">
        <f t="shared" si="116"/>
        <v>2.5184016589999998</v>
      </c>
      <c r="AS136" s="362">
        <f t="shared" si="127"/>
        <v>2.5184016589999998</v>
      </c>
      <c r="BD136" s="321"/>
      <c r="BE136" s="348">
        <f t="shared" si="128"/>
        <v>2.3563872510000001</v>
      </c>
      <c r="BF136" s="321"/>
      <c r="BG136" s="426"/>
      <c r="BH136" s="426"/>
      <c r="BI136" s="426"/>
      <c r="BJ136" s="426"/>
      <c r="BK136" s="30">
        <f t="shared" si="129"/>
        <v>2.7057161829999998</v>
      </c>
      <c r="BL136" s="321"/>
      <c r="BM136" s="30">
        <f t="shared" si="130"/>
        <v>2.2383414149999998</v>
      </c>
      <c r="BN136" s="216" t="str">
        <v>24Y</v>
      </c>
      <c r="BO136" s="30">
        <f t="shared" si="131"/>
        <v>2.3563872510000001</v>
      </c>
      <c r="BP136" s="349">
        <f t="shared" si="132"/>
        <v>2.5184016589999998</v>
      </c>
      <c r="CS136" s="332"/>
      <c r="CT136" s="366" t="s">
        <v>4120</v>
      </c>
      <c r="CU136" s="307" t="s">
        <v>208</v>
      </c>
      <c r="CV136" s="307" t="s">
        <v>4059</v>
      </c>
      <c r="CW136" s="366" t="s">
        <v>171</v>
      </c>
      <c r="CX136" s="307">
        <v>1.0653677159999999</v>
      </c>
      <c r="CY136" s="307">
        <v>1.0653677159999999</v>
      </c>
      <c r="CZ136" s="307">
        <v>1.0653677159999999</v>
      </c>
    </row>
    <row r="137" spans="1:104">
      <c r="A137" s="137" t="str">
        <v>25Y</v>
      </c>
      <c r="B137" s="130">
        <v>4</v>
      </c>
      <c r="C137" s="321" t="str">
        <v>25Y</v>
      </c>
      <c r="D137" s="359" t="str">
        <f t="shared" si="117"/>
        <v>25Y</v>
      </c>
      <c r="E137" s="360">
        <f>IF($B137&lt;&gt;5,VLOOKUP(D137,[7]USDStd!$E$2:$H$100,4,FALSE),"")</f>
        <v>3.5889557320000001</v>
      </c>
      <c r="F137" s="361">
        <f t="shared" si="108"/>
        <v>3.5889557320000001</v>
      </c>
      <c r="G137" s="134">
        <v>2.3609999909999999</v>
      </c>
      <c r="H137" s="361">
        <f t="shared" si="109"/>
        <v>2.3609999909999999</v>
      </c>
      <c r="I137" s="362">
        <f t="shared" si="122"/>
        <v>2.3609999909999999</v>
      </c>
      <c r="M137" s="321" t="str">
        <v>25Y</v>
      </c>
      <c r="N137" s="359" t="str">
        <f t="shared" si="118"/>
        <v>25Y</v>
      </c>
      <c r="O137" s="360">
        <f>IF($B137&lt;&gt;5,VLOOKUP(N137,[8]USD12M!$E$2:$H$100,4,FALSE),"")</f>
        <v>3.8346452649999998</v>
      </c>
      <c r="P137" s="361">
        <f t="shared" si="110"/>
        <v>3.8346452649999998</v>
      </c>
      <c r="Q137" s="134">
        <v>2.7073820739999999</v>
      </c>
      <c r="R137" s="134"/>
      <c r="S137" s="134"/>
      <c r="T137" s="361">
        <f t="shared" si="123"/>
        <v>2.7073820739999999</v>
      </c>
      <c r="U137" s="362">
        <f t="shared" si="124"/>
        <v>2.7073820739999999</v>
      </c>
      <c r="W137" s="321" t="str">
        <v>25Y</v>
      </c>
      <c r="X137" s="359" t="str">
        <f t="shared" si="119"/>
        <v>25Y</v>
      </c>
      <c r="Y137" s="360">
        <f>IF($B137&lt;&gt;5,VLOOKUP(X137,[9]USD1M!$E$2:$H$100,4,FALSE),"")</f>
        <v>3.551929055</v>
      </c>
      <c r="Z137" s="361">
        <f t="shared" si="111"/>
        <v>3.551929055</v>
      </c>
      <c r="AA137" s="134">
        <v>2.240886943</v>
      </c>
      <c r="AB137" s="361">
        <f t="shared" si="112"/>
        <v>2.240886943</v>
      </c>
      <c r="AC137" s="362">
        <f t="shared" si="125"/>
        <v>2.240886943</v>
      </c>
      <c r="AE137" s="321" t="str">
        <v>25Y</v>
      </c>
      <c r="AF137" s="359" t="str">
        <f t="shared" si="120"/>
        <v>25Y</v>
      </c>
      <c r="AG137" s="360">
        <f>IF($B137&lt;&gt;5,VLOOKUP(AF137,[10]USD3M!$E$2:$H$100,4,FALSE),"")</f>
        <v>3.5889557320000001</v>
      </c>
      <c r="AH137" s="361">
        <f t="shared" si="113"/>
        <v>3.5889557320000001</v>
      </c>
      <c r="AI137" s="134">
        <v>2.3609999909999999</v>
      </c>
      <c r="AJ137" s="361">
        <f t="shared" si="114"/>
        <v>2.3609999909999999</v>
      </c>
      <c r="AK137" s="362">
        <f t="shared" si="126"/>
        <v>2.3609999909999999</v>
      </c>
      <c r="AM137" s="321" t="str">
        <v>25Y</v>
      </c>
      <c r="AN137" s="359" t="str">
        <f t="shared" si="121"/>
        <v>25Y</v>
      </c>
      <c r="AO137" s="360">
        <f>IF($B137&lt;&gt;5,VLOOKUP(AN137,[11]USD6M!$E$2:$H$100,4,FALSE),"")</f>
        <v>3.6945480700000002</v>
      </c>
      <c r="AP137" s="361">
        <f t="shared" si="115"/>
        <v>3.6945480700000002</v>
      </c>
      <c r="AQ137" s="134">
        <v>2.522225106</v>
      </c>
      <c r="AR137" s="361">
        <f t="shared" si="116"/>
        <v>2.522225106</v>
      </c>
      <c r="AS137" s="362">
        <f t="shared" si="127"/>
        <v>2.522225106</v>
      </c>
      <c r="BD137" s="321"/>
      <c r="BE137" s="348">
        <f t="shared" si="128"/>
        <v>2.3609999909999999</v>
      </c>
      <c r="BF137" s="321"/>
      <c r="BG137" s="426"/>
      <c r="BH137" s="426"/>
      <c r="BI137" s="426"/>
      <c r="BJ137" s="426"/>
      <c r="BK137" s="30">
        <f t="shared" si="129"/>
        <v>2.7073820739999999</v>
      </c>
      <c r="BL137" s="321"/>
      <c r="BM137" s="30">
        <f t="shared" si="130"/>
        <v>2.240886943</v>
      </c>
      <c r="BN137" s="216" t="str">
        <v>25Y</v>
      </c>
      <c r="BO137" s="30">
        <f t="shared" si="131"/>
        <v>2.3609999909999999</v>
      </c>
      <c r="BP137" s="349">
        <f t="shared" si="132"/>
        <v>2.522225106</v>
      </c>
      <c r="CS137" s="332"/>
      <c r="CT137" s="366" t="s">
        <v>4121</v>
      </c>
      <c r="CU137" s="307" t="s">
        <v>208</v>
      </c>
      <c r="CV137" s="307" t="s">
        <v>4059</v>
      </c>
      <c r="CW137" s="366" t="s">
        <v>46</v>
      </c>
      <c r="CX137" s="307">
        <v>1.0629999999999999</v>
      </c>
      <c r="CY137" s="307">
        <v>1.0629999999999999</v>
      </c>
      <c r="CZ137" s="307">
        <v>1.0629999999999999</v>
      </c>
    </row>
    <row r="138" spans="1:104">
      <c r="A138" s="137" t="str">
        <v>26Y</v>
      </c>
      <c r="B138" s="130">
        <v>4</v>
      </c>
      <c r="C138" s="321" t="str">
        <v>26Y</v>
      </c>
      <c r="D138" s="359" t="str">
        <f t="shared" si="117"/>
        <v>26Y</v>
      </c>
      <c r="E138" s="360">
        <f>IF($B138&lt;&gt;5,VLOOKUP(D138,[7]USDStd!$E$2:$H$100,4,FALSE),"")</f>
        <v>3.6033195999999998</v>
      </c>
      <c r="F138" s="361">
        <f t="shared" si="108"/>
        <v>3.6033195999999998</v>
      </c>
      <c r="G138" s="134">
        <v>2.3648651269999998</v>
      </c>
      <c r="H138" s="361">
        <f t="shared" si="109"/>
        <v>2.3648651269999998</v>
      </c>
      <c r="I138" s="362">
        <f t="shared" si="122"/>
        <v>2.3648651269999998</v>
      </c>
      <c r="M138" s="321" t="str">
        <v>26Y</v>
      </c>
      <c r="N138" s="359" t="str">
        <f t="shared" si="118"/>
        <v>26Y</v>
      </c>
      <c r="O138" s="360">
        <f>IF($B138&lt;&gt;5,VLOOKUP(N138,[8]USD12M!$E$2:$H$100,4,FALSE),"")</f>
        <v>3.8480807929999998</v>
      </c>
      <c r="P138" s="361">
        <f t="shared" si="110"/>
        <v>3.8480807929999998</v>
      </c>
      <c r="Q138" s="134">
        <v>2.708304681</v>
      </c>
      <c r="R138" s="134"/>
      <c r="S138" s="134"/>
      <c r="T138" s="361">
        <f t="shared" si="123"/>
        <v>2.708304681</v>
      </c>
      <c r="U138" s="362">
        <f t="shared" si="124"/>
        <v>2.708304681</v>
      </c>
      <c r="W138" s="321" t="str">
        <v>26Y</v>
      </c>
      <c r="X138" s="359" t="str">
        <f t="shared" si="119"/>
        <v>26Y</v>
      </c>
      <c r="Y138" s="360">
        <f>IF($B138&lt;&gt;5,VLOOKUP(X138,[9]USD1M!$E$2:$H$100,4,FALSE),"")</f>
        <v>3.567047659</v>
      </c>
      <c r="Z138" s="361">
        <f t="shared" si="111"/>
        <v>3.567047659</v>
      </c>
      <c r="AA138" s="134">
        <v>2.2427327789999998</v>
      </c>
      <c r="AB138" s="361">
        <f t="shared" si="112"/>
        <v>2.2427327789999998</v>
      </c>
      <c r="AC138" s="362">
        <f t="shared" si="125"/>
        <v>2.2427327789999998</v>
      </c>
      <c r="AE138" s="321" t="str">
        <v>26Y</v>
      </c>
      <c r="AF138" s="359" t="str">
        <f t="shared" si="120"/>
        <v>26Y</v>
      </c>
      <c r="AG138" s="360">
        <f>IF($B138&lt;&gt;5,VLOOKUP(AF138,[10]USD3M!$E$2:$H$100,4,FALSE),"")</f>
        <v>3.6033195999999998</v>
      </c>
      <c r="AH138" s="361">
        <f t="shared" si="113"/>
        <v>3.6033195999999998</v>
      </c>
      <c r="AI138" s="134">
        <v>2.3648651269999998</v>
      </c>
      <c r="AJ138" s="361">
        <f t="shared" si="114"/>
        <v>2.3648651269999998</v>
      </c>
      <c r="AK138" s="362">
        <f t="shared" si="126"/>
        <v>2.3648651269999998</v>
      </c>
      <c r="AM138" s="321" t="str">
        <v>26Y</v>
      </c>
      <c r="AN138" s="359" t="str">
        <f t="shared" si="121"/>
        <v>26Y</v>
      </c>
      <c r="AO138" s="360">
        <f>IF($B138&lt;&gt;5,VLOOKUP(AN138,[11]USD6M!$E$2:$H$100,4,FALSE),"")</f>
        <v>3.7088966669999999</v>
      </c>
      <c r="AP138" s="361">
        <f t="shared" si="115"/>
        <v>3.7088966669999999</v>
      </c>
      <c r="AQ138" s="134">
        <v>2.5254422590000001</v>
      </c>
      <c r="AR138" s="361">
        <f t="shared" si="116"/>
        <v>2.5254422590000001</v>
      </c>
      <c r="AS138" s="362">
        <f t="shared" si="127"/>
        <v>2.5254422590000001</v>
      </c>
      <c r="BD138" s="321"/>
      <c r="BE138" s="348">
        <f t="shared" si="128"/>
        <v>2.3648651269999998</v>
      </c>
      <c r="BF138" s="321"/>
      <c r="BG138" s="426"/>
      <c r="BH138" s="426"/>
      <c r="BI138" s="426"/>
      <c r="BJ138" s="426"/>
      <c r="BK138" s="30">
        <f t="shared" si="129"/>
        <v>2.708304681</v>
      </c>
      <c r="BL138" s="321"/>
      <c r="BM138" s="30">
        <f t="shared" si="130"/>
        <v>2.2427327789999998</v>
      </c>
      <c r="BN138" s="216" t="str">
        <v>26Y</v>
      </c>
      <c r="BO138" s="30">
        <f t="shared" si="131"/>
        <v>2.3648651269999998</v>
      </c>
      <c r="BP138" s="349">
        <f t="shared" si="132"/>
        <v>2.5254422590000001</v>
      </c>
      <c r="CS138" s="332"/>
      <c r="CT138" s="366" t="s">
        <v>4122</v>
      </c>
      <c r="CU138" s="307" t="s">
        <v>208</v>
      </c>
      <c r="CV138" s="307" t="s">
        <v>4059</v>
      </c>
      <c r="CW138" s="366" t="s">
        <v>47</v>
      </c>
      <c r="CX138" s="307">
        <v>1.0209999999999999</v>
      </c>
      <c r="CY138" s="307">
        <v>1.0209999999999999</v>
      </c>
      <c r="CZ138" s="307">
        <v>1.0209999999999999</v>
      </c>
    </row>
    <row r="139" spans="1:104">
      <c r="A139" s="137" t="str">
        <v>27Y</v>
      </c>
      <c r="B139" s="130">
        <v>4</v>
      </c>
      <c r="C139" s="321" t="str">
        <v>27Y</v>
      </c>
      <c r="D139" s="359" t="str">
        <f t="shared" si="117"/>
        <v>27Y</v>
      </c>
      <c r="E139" s="360">
        <f>IF($B139&lt;&gt;5,VLOOKUP(D139,[7]USDStd!$E$2:$H$100,4,FALSE),"")</f>
        <v>3.616079187</v>
      </c>
      <c r="F139" s="361">
        <f t="shared" si="108"/>
        <v>3.616079187</v>
      </c>
      <c r="G139" s="134">
        <v>2.3681231720000002</v>
      </c>
      <c r="H139" s="361">
        <f t="shared" si="109"/>
        <v>2.3681231720000002</v>
      </c>
      <c r="I139" s="362">
        <f t="shared" si="122"/>
        <v>2.3681231720000002</v>
      </c>
      <c r="M139" s="321" t="str">
        <v>27Y</v>
      </c>
      <c r="N139" s="359" t="str">
        <f t="shared" si="118"/>
        <v>27Y</v>
      </c>
      <c r="O139" s="360">
        <f>IF($B139&lt;&gt;5,VLOOKUP(N139,[8]USD12M!$E$2:$H$100,4,FALSE),"")</f>
        <v>3.8599639159999999</v>
      </c>
      <c r="P139" s="361">
        <f t="shared" si="110"/>
        <v>3.8599639159999999</v>
      </c>
      <c r="Q139" s="134">
        <v>2.7087856110000001</v>
      </c>
      <c r="R139" s="134"/>
      <c r="S139" s="134"/>
      <c r="T139" s="361">
        <f t="shared" si="123"/>
        <v>2.7087856110000001</v>
      </c>
      <c r="U139" s="362">
        <f t="shared" si="124"/>
        <v>2.7087856110000001</v>
      </c>
      <c r="W139" s="321" t="str">
        <v>27Y</v>
      </c>
      <c r="X139" s="359" t="str">
        <f t="shared" si="119"/>
        <v>27Y</v>
      </c>
      <c r="Y139" s="360">
        <f>IF($B139&lt;&gt;5,VLOOKUP(X139,[9]USD1M!$E$2:$H$100,4,FALSE),"")</f>
        <v>3.5805268219999999</v>
      </c>
      <c r="Z139" s="361">
        <f t="shared" si="111"/>
        <v>3.5805268219999999</v>
      </c>
      <c r="AA139" s="134">
        <v>2.244090114</v>
      </c>
      <c r="AB139" s="361">
        <f t="shared" si="112"/>
        <v>2.244090114</v>
      </c>
      <c r="AC139" s="362">
        <f t="shared" si="125"/>
        <v>2.244090114</v>
      </c>
      <c r="AE139" s="321" t="str">
        <v>27Y</v>
      </c>
      <c r="AF139" s="359" t="str">
        <f t="shared" si="120"/>
        <v>27Y</v>
      </c>
      <c r="AG139" s="360">
        <f>IF($B139&lt;&gt;5,VLOOKUP(AF139,[10]USD3M!$E$2:$H$100,4,FALSE),"")</f>
        <v>3.616079187</v>
      </c>
      <c r="AH139" s="361">
        <f t="shared" si="113"/>
        <v>3.616079187</v>
      </c>
      <c r="AI139" s="134">
        <v>2.3681231720000002</v>
      </c>
      <c r="AJ139" s="361">
        <f t="shared" si="114"/>
        <v>2.3681231720000002</v>
      </c>
      <c r="AK139" s="362">
        <f t="shared" si="126"/>
        <v>2.3681231720000002</v>
      </c>
      <c r="AM139" s="321" t="str">
        <v>27Y</v>
      </c>
      <c r="AN139" s="359" t="str">
        <f t="shared" si="121"/>
        <v>27Y</v>
      </c>
      <c r="AO139" s="360">
        <f>IF($B139&lt;&gt;5,VLOOKUP(AN139,[11]USD6M!$E$2:$H$100,4,FALSE),"")</f>
        <v>3.7216402959999999</v>
      </c>
      <c r="AP139" s="361">
        <f t="shared" si="115"/>
        <v>3.7216402959999999</v>
      </c>
      <c r="AQ139" s="134">
        <v>2.5281838310000002</v>
      </c>
      <c r="AR139" s="361">
        <f t="shared" si="116"/>
        <v>2.5281838310000002</v>
      </c>
      <c r="AS139" s="362">
        <f t="shared" si="127"/>
        <v>2.5281838310000002</v>
      </c>
      <c r="BD139" s="321"/>
      <c r="BE139" s="348">
        <f t="shared" si="128"/>
        <v>2.3681231720000002</v>
      </c>
      <c r="BF139" s="321"/>
      <c r="BG139" s="426"/>
      <c r="BH139" s="426"/>
      <c r="BI139" s="426"/>
      <c r="BJ139" s="426"/>
      <c r="BK139" s="30">
        <f t="shared" si="129"/>
        <v>2.7087856110000001</v>
      </c>
      <c r="BL139" s="321"/>
      <c r="BM139" s="30">
        <f t="shared" si="130"/>
        <v>2.244090114</v>
      </c>
      <c r="BN139" s="216" t="str">
        <v>27Y</v>
      </c>
      <c r="BO139" s="30">
        <f t="shared" si="131"/>
        <v>2.3681231720000002</v>
      </c>
      <c r="BP139" s="349">
        <f t="shared" si="132"/>
        <v>2.5281838310000002</v>
      </c>
      <c r="CS139" s="332"/>
      <c r="CT139" s="366" t="s">
        <v>4123</v>
      </c>
      <c r="CU139" s="307" t="s">
        <v>208</v>
      </c>
      <c r="CV139" s="307" t="s">
        <v>4059</v>
      </c>
      <c r="CW139" s="366" t="s">
        <v>48</v>
      </c>
      <c r="CX139" s="307">
        <v>0.995</v>
      </c>
      <c r="CY139" s="307">
        <v>0.995</v>
      </c>
      <c r="CZ139" s="307">
        <v>0.995</v>
      </c>
    </row>
    <row r="140" spans="1:104">
      <c r="A140" s="137" t="str">
        <v>28Y</v>
      </c>
      <c r="B140" s="130">
        <v>4</v>
      </c>
      <c r="C140" s="321" t="str">
        <v>28Y</v>
      </c>
      <c r="D140" s="359" t="str">
        <f t="shared" si="117"/>
        <v>28Y</v>
      </c>
      <c r="E140" s="360">
        <f>IF($B140&lt;&gt;5,VLOOKUP(D140,[7]USDStd!$E$2:$H$100,4,FALSE),"")</f>
        <v>3.6271291300000001</v>
      </c>
      <c r="F140" s="361">
        <f t="shared" si="108"/>
        <v>3.6271291300000001</v>
      </c>
      <c r="G140" s="134">
        <v>2.3708235169999998</v>
      </c>
      <c r="H140" s="361">
        <f t="shared" si="109"/>
        <v>2.3708235169999998</v>
      </c>
      <c r="I140" s="362">
        <f t="shared" si="122"/>
        <v>2.3708235169999998</v>
      </c>
      <c r="M140" s="321" t="str">
        <v>28Y</v>
      </c>
      <c r="N140" s="359" t="str">
        <f t="shared" si="118"/>
        <v>28Y</v>
      </c>
      <c r="O140" s="360">
        <f>IF($B140&lt;&gt;5,VLOOKUP(N140,[8]USD12M!$E$2:$H$100,4,FALSE),"")</f>
        <v>3.870194938</v>
      </c>
      <c r="P140" s="361">
        <f t="shared" si="110"/>
        <v>3.870194938</v>
      </c>
      <c r="Q140" s="134">
        <v>2.7090818570000001</v>
      </c>
      <c r="R140" s="134"/>
      <c r="S140" s="134"/>
      <c r="T140" s="361">
        <f t="shared" si="123"/>
        <v>2.7090818570000001</v>
      </c>
      <c r="U140" s="362">
        <f t="shared" si="124"/>
        <v>2.7090818570000001</v>
      </c>
      <c r="W140" s="321" t="str">
        <v>28Y</v>
      </c>
      <c r="X140" s="359" t="str">
        <f t="shared" si="119"/>
        <v>28Y</v>
      </c>
      <c r="Y140" s="360">
        <f>IF($B140&lt;&gt;5,VLOOKUP(X140,[9]USD1M!$E$2:$H$100,4,FALSE),"")</f>
        <v>3.5922206729999999</v>
      </c>
      <c r="Z140" s="361">
        <f t="shared" si="111"/>
        <v>3.5922206729999999</v>
      </c>
      <c r="AA140" s="134">
        <v>2.2451138730000002</v>
      </c>
      <c r="AB140" s="361">
        <f t="shared" si="112"/>
        <v>2.2451138730000002</v>
      </c>
      <c r="AC140" s="362">
        <f t="shared" si="125"/>
        <v>2.2451138730000002</v>
      </c>
      <c r="AE140" s="321" t="str">
        <v>28Y</v>
      </c>
      <c r="AF140" s="359" t="str">
        <f t="shared" si="120"/>
        <v>28Y</v>
      </c>
      <c r="AG140" s="360">
        <f>IF($B140&lt;&gt;5,VLOOKUP(AF140,[10]USD3M!$E$2:$H$100,4,FALSE),"")</f>
        <v>3.6271291300000001</v>
      </c>
      <c r="AH140" s="361">
        <f t="shared" si="113"/>
        <v>3.6271291300000001</v>
      </c>
      <c r="AI140" s="134">
        <v>2.3708235169999998</v>
      </c>
      <c r="AJ140" s="361">
        <f t="shared" si="114"/>
        <v>2.3708235169999998</v>
      </c>
      <c r="AK140" s="362">
        <f t="shared" si="126"/>
        <v>2.3708235169999998</v>
      </c>
      <c r="AM140" s="321" t="str">
        <v>28Y</v>
      </c>
      <c r="AN140" s="359" t="str">
        <f t="shared" si="121"/>
        <v>28Y</v>
      </c>
      <c r="AO140" s="360">
        <f>IF($B140&lt;&gt;5,VLOOKUP(AN140,[11]USD6M!$E$2:$H$100,4,FALSE),"")</f>
        <v>3.7326791739999998</v>
      </c>
      <c r="AP140" s="361">
        <f t="shared" si="115"/>
        <v>3.7326791739999998</v>
      </c>
      <c r="AQ140" s="134">
        <v>2.530493211</v>
      </c>
      <c r="AR140" s="361">
        <f t="shared" si="116"/>
        <v>2.530493211</v>
      </c>
      <c r="AS140" s="362">
        <f t="shared" si="127"/>
        <v>2.530493211</v>
      </c>
      <c r="BD140" s="321"/>
      <c r="BE140" s="348">
        <f t="shared" si="128"/>
        <v>2.3708235169999998</v>
      </c>
      <c r="BF140" s="321"/>
      <c r="BG140" s="426"/>
      <c r="BH140" s="426"/>
      <c r="BI140" s="426"/>
      <c r="BJ140" s="426"/>
      <c r="BK140" s="30">
        <f t="shared" si="129"/>
        <v>2.7090818570000001</v>
      </c>
      <c r="BL140" s="321"/>
      <c r="BM140" s="30">
        <f t="shared" si="130"/>
        <v>2.2451138730000002</v>
      </c>
      <c r="BN140" s="216" t="str">
        <v>28Y</v>
      </c>
      <c r="BO140" s="30">
        <f t="shared" si="131"/>
        <v>2.3708235169999998</v>
      </c>
      <c r="BP140" s="349">
        <f t="shared" si="132"/>
        <v>2.530493211</v>
      </c>
      <c r="CS140" s="332"/>
      <c r="CT140" s="366" t="s">
        <v>1424</v>
      </c>
      <c r="CU140" s="307" t="s">
        <v>208</v>
      </c>
      <c r="CV140" s="307" t="s">
        <v>1425</v>
      </c>
      <c r="CW140" s="366" t="s">
        <v>3</v>
      </c>
      <c r="CX140" s="307">
        <v>0.56899999999999995</v>
      </c>
      <c r="CY140" s="307">
        <v>0.56899999999999995</v>
      </c>
      <c r="CZ140" s="307">
        <v>0.56899999999999995</v>
      </c>
    </row>
    <row r="141" spans="1:104">
      <c r="A141" s="137" t="str">
        <v>29Y</v>
      </c>
      <c r="B141" s="130">
        <v>4</v>
      </c>
      <c r="C141" s="321" t="str">
        <v>29Y</v>
      </c>
      <c r="D141" s="359" t="str">
        <f t="shared" si="117"/>
        <v>29Y</v>
      </c>
      <c r="E141" s="360">
        <f>IF($B141&lt;&gt;5,VLOOKUP(D141,[7]USDStd!$E$2:$H$100,4,FALSE),"")</f>
        <v>3.6364304949999999</v>
      </c>
      <c r="F141" s="361">
        <f t="shared" si="108"/>
        <v>3.6364304949999999</v>
      </c>
      <c r="G141" s="134">
        <v>2.3730944150000002</v>
      </c>
      <c r="H141" s="361">
        <f t="shared" si="109"/>
        <v>2.3730944150000002</v>
      </c>
      <c r="I141" s="362">
        <f t="shared" si="122"/>
        <v>2.3730944150000002</v>
      </c>
      <c r="M141" s="321" t="str">
        <v>29Y</v>
      </c>
      <c r="N141" s="359" t="str">
        <f t="shared" si="118"/>
        <v>29Y</v>
      </c>
      <c r="O141" s="360">
        <f>IF($B141&lt;&gt;5,VLOOKUP(N141,[8]USD12M!$E$2:$H$100,4,FALSE),"")</f>
        <v>3.8787375289999999</v>
      </c>
      <c r="P141" s="361">
        <f t="shared" si="110"/>
        <v>3.8787375289999999</v>
      </c>
      <c r="Q141" s="134">
        <v>2.7094417000000002</v>
      </c>
      <c r="R141" s="134"/>
      <c r="S141" s="134"/>
      <c r="T141" s="361">
        <f t="shared" si="123"/>
        <v>2.7094417000000002</v>
      </c>
      <c r="U141" s="362">
        <f t="shared" si="124"/>
        <v>2.7094417000000002</v>
      </c>
      <c r="W141" s="321" t="str">
        <v>29Y</v>
      </c>
      <c r="X141" s="359" t="str">
        <f t="shared" si="119"/>
        <v>29Y</v>
      </c>
      <c r="Y141" s="360">
        <f>IF($B141&lt;&gt;5,VLOOKUP(X141,[9]USD1M!$E$2:$H$100,4,FALSE),"")</f>
        <v>3.6020614659999999</v>
      </c>
      <c r="Z141" s="361">
        <f t="shared" si="111"/>
        <v>3.6020614659999999</v>
      </c>
      <c r="AA141" s="134">
        <v>2.2329776909999999</v>
      </c>
      <c r="AB141" s="361">
        <f t="shared" si="112"/>
        <v>2.2329776909999999</v>
      </c>
      <c r="AC141" s="362">
        <f t="shared" si="125"/>
        <v>2.2329776909999999</v>
      </c>
      <c r="AE141" s="321" t="str">
        <v>29Y</v>
      </c>
      <c r="AF141" s="359" t="str">
        <f t="shared" si="120"/>
        <v>29Y</v>
      </c>
      <c r="AG141" s="360">
        <f>IF($B141&lt;&gt;5,VLOOKUP(AF141,[10]USD3M!$E$2:$H$100,4,FALSE),"")</f>
        <v>3.6364304949999999</v>
      </c>
      <c r="AH141" s="361">
        <f t="shared" si="113"/>
        <v>3.6364304949999999</v>
      </c>
      <c r="AI141" s="134">
        <v>2.3730944150000002</v>
      </c>
      <c r="AJ141" s="361">
        <f t="shared" si="114"/>
        <v>2.3730944150000002</v>
      </c>
      <c r="AK141" s="362">
        <f t="shared" si="126"/>
        <v>2.3730944150000002</v>
      </c>
      <c r="AM141" s="321" t="str">
        <v>29Y</v>
      </c>
      <c r="AN141" s="359" t="str">
        <f t="shared" si="121"/>
        <v>29Y</v>
      </c>
      <c r="AO141" s="360">
        <f>IF($B141&lt;&gt;5,VLOOKUP(AN141,[11]USD6M!$E$2:$H$100,4,FALSE),"")</f>
        <v>3.7419813070000001</v>
      </c>
      <c r="AP141" s="361">
        <f t="shared" si="115"/>
        <v>3.7419813070000001</v>
      </c>
      <c r="AQ141" s="134">
        <v>2.5324849120000001</v>
      </c>
      <c r="AR141" s="361">
        <f t="shared" si="116"/>
        <v>2.5324849120000001</v>
      </c>
      <c r="AS141" s="362">
        <f t="shared" si="127"/>
        <v>2.5324849120000001</v>
      </c>
      <c r="BD141" s="321"/>
      <c r="BE141" s="348">
        <f t="shared" si="128"/>
        <v>2.3730944150000002</v>
      </c>
      <c r="BF141" s="321"/>
      <c r="BG141" s="426"/>
      <c r="BH141" s="426"/>
      <c r="BI141" s="426"/>
      <c r="BJ141" s="426"/>
      <c r="BK141" s="30">
        <f t="shared" si="129"/>
        <v>2.7094417000000002</v>
      </c>
      <c r="BL141" s="321"/>
      <c r="BM141" s="30">
        <f t="shared" si="130"/>
        <v>2.2329776909999999</v>
      </c>
      <c r="BN141" s="216" t="str">
        <v>29Y</v>
      </c>
      <c r="BO141" s="30">
        <f t="shared" si="131"/>
        <v>2.3730944150000002</v>
      </c>
      <c r="BP141" s="349">
        <f t="shared" si="132"/>
        <v>2.5324849120000001</v>
      </c>
      <c r="CS141" s="332"/>
      <c r="CT141" s="366" t="s">
        <v>1426</v>
      </c>
      <c r="CU141" s="307" t="s">
        <v>208</v>
      </c>
      <c r="CV141" s="307" t="s">
        <v>87</v>
      </c>
      <c r="CW141" s="366" t="s">
        <v>23</v>
      </c>
      <c r="CX141" s="307">
        <v>-0.1242195</v>
      </c>
      <c r="CY141" s="307">
        <v>-0.1242195</v>
      </c>
      <c r="CZ141" s="307">
        <v>-0.1242195</v>
      </c>
    </row>
    <row r="142" spans="1:104">
      <c r="A142" s="137" t="str">
        <v>30Y</v>
      </c>
      <c r="B142" s="130">
        <v>4</v>
      </c>
      <c r="C142" s="321" t="str">
        <v>30Y</v>
      </c>
      <c r="D142" s="359" t="str">
        <f t="shared" si="117"/>
        <v>30Y</v>
      </c>
      <c r="E142" s="360">
        <f>IF($B142&lt;&gt;5,VLOOKUP(D142,[7]USDStd!$E$2:$H$100,4,FALSE),"")</f>
        <v>3.6439604980000002</v>
      </c>
      <c r="F142" s="361">
        <f t="shared" si="108"/>
        <v>3.6439604980000002</v>
      </c>
      <c r="G142" s="134">
        <v>2.3749999919999998</v>
      </c>
      <c r="H142" s="361">
        <f t="shared" si="109"/>
        <v>2.3749999919999998</v>
      </c>
      <c r="I142" s="362">
        <f t="shared" si="122"/>
        <v>2.3749999919999998</v>
      </c>
      <c r="M142" s="321" t="str">
        <v>30Y</v>
      </c>
      <c r="N142" s="359" t="str">
        <f t="shared" si="118"/>
        <v>30Y</v>
      </c>
      <c r="O142" s="360">
        <f>IF($B142&lt;&gt;5,VLOOKUP(N142,[8]USD12M!$E$2:$H$100,4,FALSE),"")</f>
        <v>3.8855678990000002</v>
      </c>
      <c r="P142" s="361">
        <f t="shared" si="110"/>
        <v>3.8855678990000002</v>
      </c>
      <c r="Q142" s="134">
        <v>2.710058171</v>
      </c>
      <c r="R142" s="134"/>
      <c r="S142" s="134"/>
      <c r="T142" s="361">
        <f t="shared" si="123"/>
        <v>2.710058171</v>
      </c>
      <c r="U142" s="362">
        <f t="shared" si="124"/>
        <v>2.710058171</v>
      </c>
      <c r="W142" s="321" t="str">
        <v>30Y</v>
      </c>
      <c r="X142" s="359" t="str">
        <f t="shared" si="119"/>
        <v>30Y</v>
      </c>
      <c r="Y142" s="360">
        <f>IF($B142&lt;&gt;5,VLOOKUP(X142,[9]USD1M!$E$2:$H$100,4,FALSE),"")</f>
        <v>3.6100047860000002</v>
      </c>
      <c r="Z142" s="361">
        <f t="shared" si="111"/>
        <v>3.6100047860000002</v>
      </c>
      <c r="AA142" s="134">
        <v>2.2338062359999999</v>
      </c>
      <c r="AB142" s="361">
        <f t="shared" si="112"/>
        <v>2.2338062359999999</v>
      </c>
      <c r="AC142" s="362">
        <f t="shared" si="125"/>
        <v>2.2338062359999999</v>
      </c>
      <c r="AE142" s="321" t="str">
        <v>30Y</v>
      </c>
      <c r="AF142" s="359" t="str">
        <f t="shared" si="120"/>
        <v>30Y</v>
      </c>
      <c r="AG142" s="360">
        <f>IF($B142&lt;&gt;5,VLOOKUP(AF142,[10]USD3M!$E$2:$H$100,4,FALSE),"")</f>
        <v>3.6439604980000002</v>
      </c>
      <c r="AH142" s="361">
        <f t="shared" si="113"/>
        <v>3.6439604980000002</v>
      </c>
      <c r="AI142" s="134">
        <v>2.3749999919999998</v>
      </c>
      <c r="AJ142" s="361">
        <f t="shared" si="114"/>
        <v>2.3749999919999998</v>
      </c>
      <c r="AK142" s="362">
        <f t="shared" si="126"/>
        <v>2.3749999919999998</v>
      </c>
      <c r="AM142" s="321" t="str">
        <v>30Y</v>
      </c>
      <c r="AN142" s="359" t="str">
        <f t="shared" si="121"/>
        <v>30Y</v>
      </c>
      <c r="AO142" s="360">
        <f>IF($B142&lt;&gt;5,VLOOKUP(AN142,[11]USD6M!$E$2:$H$100,4,FALSE),"")</f>
        <v>3.749531282</v>
      </c>
      <c r="AP142" s="361">
        <f t="shared" si="115"/>
        <v>3.749531282</v>
      </c>
      <c r="AQ142" s="134">
        <v>2.5342156079999998</v>
      </c>
      <c r="AR142" s="361">
        <f t="shared" si="116"/>
        <v>2.5342156079999998</v>
      </c>
      <c r="AS142" s="362">
        <f t="shared" si="127"/>
        <v>2.5342156079999998</v>
      </c>
      <c r="BD142" s="321"/>
      <c r="BE142" s="348">
        <f t="shared" si="128"/>
        <v>2.3749999919999998</v>
      </c>
      <c r="BF142" s="321"/>
      <c r="BG142" s="426"/>
      <c r="BH142" s="426"/>
      <c r="BI142" s="426"/>
      <c r="BJ142" s="426"/>
      <c r="BK142" s="30">
        <f t="shared" si="129"/>
        <v>2.710058171</v>
      </c>
      <c r="BL142" s="321"/>
      <c r="BM142" s="30">
        <f t="shared" si="130"/>
        <v>2.2338062359999999</v>
      </c>
      <c r="BN142" s="216" t="str">
        <v>30Y</v>
      </c>
      <c r="BO142" s="30">
        <f t="shared" si="131"/>
        <v>2.3749999919999998</v>
      </c>
      <c r="BP142" s="349">
        <f t="shared" si="132"/>
        <v>2.5342156079999998</v>
      </c>
      <c r="CS142" s="332"/>
      <c r="CT142" s="366" t="s">
        <v>1427</v>
      </c>
      <c r="CU142" s="307" t="s">
        <v>208</v>
      </c>
      <c r="CV142" s="307" t="s">
        <v>87</v>
      </c>
      <c r="CW142" s="366" t="s">
        <v>5</v>
      </c>
      <c r="CX142" s="307">
        <v>-0.124218643</v>
      </c>
      <c r="CY142" s="307">
        <v>-0.124218643</v>
      </c>
      <c r="CZ142" s="307">
        <v>-0.124218643</v>
      </c>
    </row>
    <row r="143" spans="1:104">
      <c r="A143" s="137" t="str">
        <v>40Y</v>
      </c>
      <c r="B143" s="130">
        <v>4</v>
      </c>
      <c r="C143" s="321" t="str">
        <v>40Y</v>
      </c>
      <c r="D143" s="359" t="str">
        <f t="shared" si="117"/>
        <v>40Y</v>
      </c>
      <c r="E143" s="360">
        <f>IF($B143&lt;&gt;5,VLOOKUP(D143,[7]USDStd!$E$2:$H$100,4,FALSE),"")</f>
        <v>3.658966714</v>
      </c>
      <c r="F143" s="361">
        <f t="shared" si="108"/>
        <v>3.658966714</v>
      </c>
      <c r="G143" s="134">
        <v>2.3809999909999999</v>
      </c>
      <c r="H143" s="361">
        <f t="shared" si="109"/>
        <v>2.3809999909999999</v>
      </c>
      <c r="I143" s="362">
        <f t="shared" si="122"/>
        <v>2.3809999909999999</v>
      </c>
      <c r="M143" s="321" t="str">
        <v>40Y</v>
      </c>
      <c r="N143" s="359" t="str">
        <f t="shared" si="118"/>
        <v>40Y</v>
      </c>
      <c r="O143" s="360">
        <f>IF($B143&lt;&gt;5,VLOOKUP(N143,[8]USD12M!$E$2:$H$100,4,FALSE),"")</f>
        <v>3.902240682</v>
      </c>
      <c r="P143" s="361">
        <f t="shared" si="110"/>
        <v>3.902240682</v>
      </c>
      <c r="Q143" s="134">
        <v>2.7160634780000001</v>
      </c>
      <c r="R143" s="134"/>
      <c r="S143" s="134"/>
      <c r="T143" s="361">
        <f t="shared" si="123"/>
        <v>2.7160634780000001</v>
      </c>
      <c r="U143" s="362">
        <f t="shared" si="124"/>
        <v>2.7160634780000001</v>
      </c>
      <c r="W143" s="321" t="str">
        <v>40Y</v>
      </c>
      <c r="X143" s="359" t="str">
        <f t="shared" si="119"/>
        <v>40Y</v>
      </c>
      <c r="Y143" s="360">
        <f>IF($B143&lt;&gt;5,VLOOKUP(X143,[9]USD1M!$E$2:$H$100,4,FALSE),"")</f>
        <v>3.6251293790000001</v>
      </c>
      <c r="Z143" s="361">
        <f t="shared" si="111"/>
        <v>3.6251293790000001</v>
      </c>
      <c r="AA143" s="134">
        <v>2.2528035399999999</v>
      </c>
      <c r="AB143" s="361">
        <f t="shared" si="112"/>
        <v>2.2528035399999999</v>
      </c>
      <c r="AC143" s="362">
        <f t="shared" si="125"/>
        <v>2.2528035399999999</v>
      </c>
      <c r="AE143" s="321" t="str">
        <v>40Y</v>
      </c>
      <c r="AF143" s="359" t="str">
        <f t="shared" si="120"/>
        <v>40Y</v>
      </c>
      <c r="AG143" s="360">
        <f>IF($B143&lt;&gt;5,VLOOKUP(AF143,[10]USD3M!$E$2:$H$100,4,FALSE),"")</f>
        <v>3.658966714</v>
      </c>
      <c r="AH143" s="361">
        <f t="shared" si="113"/>
        <v>3.658966714</v>
      </c>
      <c r="AI143" s="134">
        <v>2.3809999909999999</v>
      </c>
      <c r="AJ143" s="361">
        <f t="shared" si="114"/>
        <v>2.3809999909999999</v>
      </c>
      <c r="AK143" s="362">
        <f t="shared" si="126"/>
        <v>2.3809999909999999</v>
      </c>
      <c r="AM143" s="321" t="str">
        <v>40Y</v>
      </c>
      <c r="AN143" s="359" t="str">
        <f t="shared" si="121"/>
        <v>40Y</v>
      </c>
      <c r="AO143" s="360">
        <f>IF($B143&lt;&gt;5,VLOOKUP(AN143,[11]USD6M!$E$2:$H$100,4,FALSE),"")</f>
        <v>3.7654039570000002</v>
      </c>
      <c r="AP143" s="361">
        <f t="shared" si="115"/>
        <v>3.7654039570000002</v>
      </c>
      <c r="AQ143" s="134">
        <v>2.5402181289999999</v>
      </c>
      <c r="AR143" s="361">
        <f t="shared" si="116"/>
        <v>2.5402181289999999</v>
      </c>
      <c r="AS143" s="362">
        <f t="shared" si="127"/>
        <v>2.5402181289999999</v>
      </c>
      <c r="BD143" s="321"/>
      <c r="BE143" s="348">
        <f t="shared" si="128"/>
        <v>2.3809999909999999</v>
      </c>
      <c r="BF143" s="321"/>
      <c r="BG143" s="426"/>
      <c r="BH143" s="426"/>
      <c r="BI143" s="426"/>
      <c r="BJ143" s="426"/>
      <c r="BK143" s="30">
        <f t="shared" si="129"/>
        <v>2.7160634780000001</v>
      </c>
      <c r="BL143" s="321"/>
      <c r="BM143" s="30">
        <f t="shared" si="130"/>
        <v>2.2528035399999999</v>
      </c>
      <c r="BN143" s="216" t="str">
        <v>31Y</v>
      </c>
      <c r="BO143" s="30">
        <f t="shared" si="131"/>
        <v>2.3809999909999999</v>
      </c>
      <c r="BP143" s="349">
        <f t="shared" si="132"/>
        <v>2.5402181289999999</v>
      </c>
      <c r="CS143" s="332"/>
      <c r="CT143" s="366" t="s">
        <v>1428</v>
      </c>
      <c r="CU143" s="307" t="s">
        <v>208</v>
      </c>
      <c r="CV143" s="307" t="s">
        <v>87</v>
      </c>
      <c r="CW143" s="366" t="s">
        <v>6</v>
      </c>
      <c r="CX143" s="307">
        <v>-0.124217143</v>
      </c>
      <c r="CY143" s="307">
        <v>-0.124217143</v>
      </c>
      <c r="CZ143" s="307">
        <v>-0.124217143</v>
      </c>
    </row>
    <row r="144" spans="1:104">
      <c r="A144" s="137" t="str">
        <v>50Y</v>
      </c>
      <c r="B144" s="130">
        <v>4</v>
      </c>
      <c r="C144" s="321" t="str">
        <v>50Y</v>
      </c>
      <c r="D144" s="359" t="str">
        <f t="shared" si="117"/>
        <v>50Y</v>
      </c>
      <c r="E144" s="360">
        <f>IF($B144&lt;&gt;5,VLOOKUP(D144,[7]USDStd!$E$2:$H$100,4,FALSE),"")</f>
        <v>3.6469695980000001</v>
      </c>
      <c r="F144" s="361">
        <f t="shared" si="108"/>
        <v>3.6469695980000001</v>
      </c>
      <c r="G144" s="134">
        <v>2.3749999910000001</v>
      </c>
      <c r="H144" s="361">
        <f t="shared" si="109"/>
        <v>2.3749999910000001</v>
      </c>
      <c r="I144" s="362">
        <f t="shared" si="122"/>
        <v>2.3749999910000001</v>
      </c>
      <c r="M144" s="321" t="str">
        <v>50Y</v>
      </c>
      <c r="N144" s="359" t="str">
        <f t="shared" si="118"/>
        <v>50Y</v>
      </c>
      <c r="O144" s="360">
        <f>IF($B144&lt;&gt;5,VLOOKUP(N144,[8]USD12M!$E$2:$H$100,4,FALSE),"")</f>
        <v>3.8923018169999999</v>
      </c>
      <c r="P144" s="361">
        <f t="shared" si="110"/>
        <v>3.8923018169999999</v>
      </c>
      <c r="Q144" s="134">
        <v>2.7100438069999999</v>
      </c>
      <c r="R144" s="134"/>
      <c r="S144" s="134"/>
      <c r="T144" s="361">
        <f t="shared" si="123"/>
        <v>2.7100438069999999</v>
      </c>
      <c r="U144" s="362">
        <f t="shared" si="124"/>
        <v>2.7100438069999999</v>
      </c>
      <c r="W144" s="321" t="str">
        <v>50Y</v>
      </c>
      <c r="X144" s="359" t="str">
        <f t="shared" si="119"/>
        <v>50Y</v>
      </c>
      <c r="Y144" s="360">
        <f>IF($B144&lt;&gt;5,VLOOKUP(X144,[9]USD1M!$E$2:$H$100,4,FALSE),"")</f>
        <v>3.6126713389999998</v>
      </c>
      <c r="Z144" s="361">
        <f t="shared" si="111"/>
        <v>3.6126713389999998</v>
      </c>
      <c r="AA144" s="134">
        <v>2.2468126050000001</v>
      </c>
      <c r="AB144" s="361">
        <f t="shared" si="112"/>
        <v>2.2468126050000001</v>
      </c>
      <c r="AC144" s="362">
        <f t="shared" si="125"/>
        <v>2.2468126050000001</v>
      </c>
      <c r="AE144" s="321" t="str">
        <v>50Y</v>
      </c>
      <c r="AF144" s="359" t="str">
        <f t="shared" si="120"/>
        <v>50Y</v>
      </c>
      <c r="AG144" s="360">
        <f>IF($B144&lt;&gt;5,VLOOKUP(AF144,[10]USD3M!$E$2:$H$100,4,FALSE),"")</f>
        <v>3.6469695980000001</v>
      </c>
      <c r="AH144" s="361">
        <f t="shared" si="113"/>
        <v>3.6469695980000001</v>
      </c>
      <c r="AI144" s="134">
        <v>2.3749999910000001</v>
      </c>
      <c r="AJ144" s="361">
        <f t="shared" si="114"/>
        <v>2.3749999910000001</v>
      </c>
      <c r="AK144" s="362">
        <f t="shared" si="126"/>
        <v>2.3749999910000001</v>
      </c>
      <c r="AM144" s="321" t="str">
        <v>50Y</v>
      </c>
      <c r="AN144" s="359" t="str">
        <f t="shared" si="121"/>
        <v>50Y</v>
      </c>
      <c r="AO144" s="360">
        <f>IF($B144&lt;&gt;5,VLOOKUP(AN144,[11]USD6M!$E$2:$H$100,4,FALSE),"")</f>
        <v>3.7544190300000002</v>
      </c>
      <c r="AP144" s="361">
        <f t="shared" si="115"/>
        <v>3.7544190300000002</v>
      </c>
      <c r="AQ144" s="134">
        <v>2.5342087819999999</v>
      </c>
      <c r="AR144" s="361">
        <f t="shared" si="116"/>
        <v>2.5342087819999999</v>
      </c>
      <c r="AS144" s="362">
        <f t="shared" si="127"/>
        <v>2.5342087819999999</v>
      </c>
      <c r="BD144" s="321"/>
      <c r="BE144" s="348">
        <f t="shared" si="128"/>
        <v>2.3749999910000001</v>
      </c>
      <c r="BF144" s="321"/>
      <c r="BG144" s="426"/>
      <c r="BH144" s="426"/>
      <c r="BI144" s="426"/>
      <c r="BJ144" s="426"/>
      <c r="BK144" s="30">
        <f t="shared" si="129"/>
        <v>2.7100438069999999</v>
      </c>
      <c r="BL144" s="321"/>
      <c r="BM144" s="30">
        <f t="shared" si="130"/>
        <v>2.2468126050000001</v>
      </c>
      <c r="BN144" s="216" t="str">
        <v>32Y</v>
      </c>
      <c r="BO144" s="30">
        <f t="shared" si="131"/>
        <v>2.3749999910000001</v>
      </c>
      <c r="BP144" s="349">
        <f t="shared" si="132"/>
        <v>2.5342087819999999</v>
      </c>
      <c r="CS144" s="332"/>
      <c r="CT144" s="366" t="s">
        <v>1429</v>
      </c>
      <c r="CU144" s="307" t="s">
        <v>208</v>
      </c>
      <c r="CV144" s="307" t="s">
        <v>87</v>
      </c>
      <c r="CW144" s="366" t="s">
        <v>24</v>
      </c>
      <c r="CX144" s="307">
        <v>-0.124215643</v>
      </c>
      <c r="CY144" s="307">
        <v>-0.124215643</v>
      </c>
      <c r="CZ144" s="307">
        <v>-0.124215643</v>
      </c>
    </row>
    <row r="145" spans="1:104">
      <c r="A145" s="137" t="str">
        <v>60Y</v>
      </c>
      <c r="B145" s="130">
        <v>4</v>
      </c>
      <c r="C145" s="321" t="str">
        <v>60Y</v>
      </c>
      <c r="D145" s="359" t="str">
        <f t="shared" si="117"/>
        <v>60Y</v>
      </c>
      <c r="E145" s="360">
        <f>IF($B145&lt;&gt;5,VLOOKUP(D145,[7]USDStd!$E$2:$H$100,4,FALSE),"")</f>
        <v>3.6376920469999998</v>
      </c>
      <c r="F145" s="361">
        <f t="shared" si="108"/>
        <v>3.6376920469999998</v>
      </c>
      <c r="G145" s="134">
        <v>2.3695336390000001</v>
      </c>
      <c r="H145" s="361">
        <f t="shared" si="109"/>
        <v>2.3695336390000001</v>
      </c>
      <c r="I145" s="362">
        <f t="shared" si="122"/>
        <v>2.3695336390000001</v>
      </c>
      <c r="M145" s="321" t="str">
        <v>60Y</v>
      </c>
      <c r="N145" s="359" t="str">
        <f t="shared" si="118"/>
        <v>60Y</v>
      </c>
      <c r="O145" s="360">
        <f>IF($B145&lt;&gt;5,VLOOKUP(N145,[8]USD12M!$E$2:$H$100,4,FALSE),"")</f>
        <v>3.884557515</v>
      </c>
      <c r="P145" s="361">
        <f t="shared" si="110"/>
        <v>3.884557515</v>
      </c>
      <c r="Q145" s="134">
        <v>2.7045604089999999</v>
      </c>
      <c r="R145" s="134"/>
      <c r="S145" s="134"/>
      <c r="T145" s="361">
        <f t="shared" si="123"/>
        <v>2.7045604089999999</v>
      </c>
      <c r="U145" s="362">
        <f t="shared" si="124"/>
        <v>2.7045604089999999</v>
      </c>
      <c r="W145" s="321" t="str">
        <v>60Y</v>
      </c>
      <c r="X145" s="359" t="str">
        <f t="shared" si="119"/>
        <v>60Y</v>
      </c>
      <c r="Y145" s="360">
        <f>IF($B145&lt;&gt;5,VLOOKUP(X145,[9]USD1M!$E$2:$H$100,4,FALSE),"")</f>
        <v>3.6033371380000001</v>
      </c>
      <c r="Z145" s="361">
        <f t="shared" si="111"/>
        <v>3.6033371380000001</v>
      </c>
      <c r="AA145" s="134">
        <v>2.240774182</v>
      </c>
      <c r="AB145" s="361">
        <f t="shared" si="112"/>
        <v>2.240774182</v>
      </c>
      <c r="AC145" s="362">
        <f t="shared" si="125"/>
        <v>2.240774182</v>
      </c>
      <c r="AE145" s="321" t="str">
        <v>60Y</v>
      </c>
      <c r="AF145" s="359" t="str">
        <f t="shared" si="120"/>
        <v>60Y</v>
      </c>
      <c r="AG145" s="360">
        <f>IF($B145&lt;&gt;5,VLOOKUP(AF145,[10]USD3M!$E$2:$H$100,4,FALSE),"")</f>
        <v>3.6376920469999998</v>
      </c>
      <c r="AH145" s="361">
        <f t="shared" si="113"/>
        <v>3.6376920469999998</v>
      </c>
      <c r="AI145" s="134">
        <v>2.3695336390000001</v>
      </c>
      <c r="AJ145" s="361">
        <f t="shared" si="114"/>
        <v>2.3695336390000001</v>
      </c>
      <c r="AK145" s="362">
        <f t="shared" si="126"/>
        <v>2.3695336390000001</v>
      </c>
      <c r="AM145" s="321" t="str">
        <v>60Y</v>
      </c>
      <c r="AN145" s="359" t="str">
        <f t="shared" si="121"/>
        <v>60Y</v>
      </c>
      <c r="AO145" s="360">
        <f>IF($B145&lt;&gt;5,VLOOKUP(AN145,[11]USD6M!$E$2:$H$100,4,FALSE),"")</f>
        <v>3.7460792390000002</v>
      </c>
      <c r="AP145" s="361">
        <f t="shared" si="115"/>
        <v>3.7460792390000002</v>
      </c>
      <c r="AQ145" s="134">
        <v>2.5287343299999998</v>
      </c>
      <c r="AR145" s="361">
        <f t="shared" si="116"/>
        <v>2.5287343299999998</v>
      </c>
      <c r="AS145" s="362">
        <f t="shared" si="127"/>
        <v>2.5287343299999998</v>
      </c>
      <c r="BD145" s="321"/>
      <c r="BE145" s="348">
        <f t="shared" si="128"/>
        <v>2.3695336390000001</v>
      </c>
      <c r="BF145" s="321"/>
      <c r="BG145" s="426"/>
      <c r="BH145" s="426"/>
      <c r="BI145" s="426"/>
      <c r="BJ145" s="426"/>
      <c r="BK145" s="30">
        <f t="shared" si="129"/>
        <v>2.7045604089999999</v>
      </c>
      <c r="BL145" s="321"/>
      <c r="BM145" s="30">
        <f t="shared" si="130"/>
        <v>2.240774182</v>
      </c>
      <c r="BN145" s="216" t="str">
        <v>33Y</v>
      </c>
      <c r="BO145" s="30">
        <f t="shared" si="131"/>
        <v>2.3695336390000001</v>
      </c>
      <c r="BP145" s="349">
        <f t="shared" si="132"/>
        <v>2.5287343299999998</v>
      </c>
      <c r="CS145" s="332"/>
      <c r="CT145" s="366" t="s">
        <v>1430</v>
      </c>
      <c r="CU145" s="307" t="s">
        <v>208</v>
      </c>
      <c r="CV145" s="307" t="s">
        <v>87</v>
      </c>
      <c r="CW145" s="366" t="s">
        <v>7</v>
      </c>
      <c r="CX145" s="307">
        <v>-0.1242135</v>
      </c>
      <c r="CY145" s="307">
        <v>-0.1242135</v>
      </c>
      <c r="CZ145" s="307">
        <v>-0.1242135</v>
      </c>
    </row>
    <row r="146" spans="1:104">
      <c r="A146" s="137" t="str">
        <v/>
      </c>
      <c r="B146" s="130">
        <v>5</v>
      </c>
      <c r="C146" s="321" t="str">
        <v/>
      </c>
      <c r="D146" s="359" t="str">
        <f t="shared" si="117"/>
        <v/>
      </c>
      <c r="E146" s="360" t="str">
        <f>IF($B146&lt;&gt;5,VLOOKUP(D146,[7]USDStd!$E$2:$H$100,4,FALSE),"")</f>
        <v/>
      </c>
      <c r="F146" s="361" t="str">
        <f t="shared" si="108"/>
        <v/>
      </c>
      <c r="G146" s="134" t="e">
        <v>#N/A</v>
      </c>
      <c r="H146" s="361" t="e">
        <f t="shared" si="109"/>
        <v>#N/A</v>
      </c>
      <c r="I146" s="362" t="e">
        <f t="shared" si="122"/>
        <v>#N/A</v>
      </c>
      <c r="M146" s="321" t="str">
        <v/>
      </c>
      <c r="N146" s="359" t="str">
        <f t="shared" si="118"/>
        <v/>
      </c>
      <c r="O146" s="360" t="str">
        <f>IF($B146&lt;&gt;5,VLOOKUP(N146,[8]USD12M!$E$2:$H$100,4,FALSE),"")</f>
        <v/>
      </c>
      <c r="P146" s="361" t="str">
        <f t="shared" si="110"/>
        <v/>
      </c>
      <c r="Q146" s="134" t="e">
        <v>#N/A</v>
      </c>
      <c r="R146" s="134"/>
      <c r="S146" s="134"/>
      <c r="T146" s="361" t="e">
        <f t="shared" si="123"/>
        <v>#N/A</v>
      </c>
      <c r="U146" s="362" t="e">
        <f t="shared" si="124"/>
        <v>#N/A</v>
      </c>
      <c r="W146" s="321" t="str">
        <v/>
      </c>
      <c r="X146" s="359" t="str">
        <f t="shared" si="119"/>
        <v/>
      </c>
      <c r="Y146" s="360" t="str">
        <f>IF($B146&lt;&gt;5,VLOOKUP(X146,[9]USD1M!$E$2:$H$100,4,FALSE),"")</f>
        <v/>
      </c>
      <c r="Z146" s="361" t="str">
        <f t="shared" si="111"/>
        <v/>
      </c>
      <c r="AA146" s="134" t="e">
        <v>#N/A</v>
      </c>
      <c r="AB146" s="361" t="e">
        <f t="shared" si="112"/>
        <v>#N/A</v>
      </c>
      <c r="AC146" s="362" t="e">
        <f t="shared" si="125"/>
        <v>#N/A</v>
      </c>
      <c r="AE146" s="321" t="str">
        <v/>
      </c>
      <c r="AF146" s="359" t="str">
        <f t="shared" si="120"/>
        <v/>
      </c>
      <c r="AG146" s="360" t="str">
        <f>IF($B146&lt;&gt;5,VLOOKUP(AF146,[10]USD3M!$E$2:$H$100,4,FALSE),"")</f>
        <v/>
      </c>
      <c r="AH146" s="361" t="str">
        <f t="shared" si="113"/>
        <v/>
      </c>
      <c r="AI146" s="134" t="e">
        <v>#N/A</v>
      </c>
      <c r="AJ146" s="361" t="e">
        <f t="shared" si="114"/>
        <v>#N/A</v>
      </c>
      <c r="AK146" s="362" t="e">
        <f t="shared" si="126"/>
        <v>#N/A</v>
      </c>
      <c r="AM146" s="321" t="str">
        <v/>
      </c>
      <c r="AN146" s="359" t="str">
        <f t="shared" si="121"/>
        <v/>
      </c>
      <c r="AO146" s="360" t="str">
        <f>IF($B146&lt;&gt;5,VLOOKUP(AN146,[11]USD6M!$E$2:$H$100,4,FALSE),"")</f>
        <v/>
      </c>
      <c r="AP146" s="361" t="str">
        <f t="shared" si="115"/>
        <v/>
      </c>
      <c r="AQ146" s="134" t="e">
        <v>#N/A</v>
      </c>
      <c r="AR146" s="361" t="e">
        <f t="shared" si="116"/>
        <v>#N/A</v>
      </c>
      <c r="AS146" s="362" t="e">
        <f t="shared" si="127"/>
        <v>#N/A</v>
      </c>
      <c r="BD146" s="321"/>
      <c r="BE146" s="348" t="e">
        <f t="shared" si="128"/>
        <v>#N/A</v>
      </c>
      <c r="BF146" s="321"/>
      <c r="BG146" s="426"/>
      <c r="BH146" s="426"/>
      <c r="BI146" s="426"/>
      <c r="BJ146" s="426"/>
      <c r="BK146" s="30" t="e">
        <f t="shared" si="129"/>
        <v>#N/A</v>
      </c>
      <c r="BL146" s="321"/>
      <c r="BM146" s="30" t="e">
        <f t="shared" si="130"/>
        <v>#N/A</v>
      </c>
      <c r="BN146" s="216" t="str">
        <v>34Y</v>
      </c>
      <c r="BO146" s="30" t="e">
        <f t="shared" si="131"/>
        <v>#N/A</v>
      </c>
      <c r="BP146" s="349" t="e">
        <f t="shared" si="132"/>
        <v>#N/A</v>
      </c>
      <c r="CS146" s="332"/>
      <c r="CT146" s="366" t="s">
        <v>1431</v>
      </c>
      <c r="CU146" s="307" t="s">
        <v>208</v>
      </c>
      <c r="CV146" s="307" t="s">
        <v>87</v>
      </c>
      <c r="CW146" s="366" t="s">
        <v>8</v>
      </c>
      <c r="CX146" s="307">
        <v>-0.124207071</v>
      </c>
      <c r="CY146" s="307">
        <v>-0.124207071</v>
      </c>
      <c r="CZ146" s="307">
        <v>-0.124207071</v>
      </c>
    </row>
    <row r="147" spans="1:104">
      <c r="A147" s="137" t="str">
        <v/>
      </c>
      <c r="B147" s="130">
        <v>5</v>
      </c>
      <c r="C147" s="321" t="str">
        <v/>
      </c>
      <c r="D147" s="359" t="str">
        <f t="shared" si="117"/>
        <v/>
      </c>
      <c r="E147" s="360" t="str">
        <f>IF($B147&lt;&gt;5,VLOOKUP(D147,[7]USDStd!$E$2:$H$100,4,FALSE),"")</f>
        <v/>
      </c>
      <c r="F147" s="361" t="str">
        <f t="shared" si="108"/>
        <v/>
      </c>
      <c r="G147" s="134" t="e">
        <v>#N/A</v>
      </c>
      <c r="H147" s="361" t="e">
        <f t="shared" si="109"/>
        <v>#N/A</v>
      </c>
      <c r="I147" s="362" t="e">
        <f t="shared" si="122"/>
        <v>#N/A</v>
      </c>
      <c r="M147" s="321" t="str">
        <v/>
      </c>
      <c r="N147" s="359" t="str">
        <f t="shared" si="118"/>
        <v/>
      </c>
      <c r="O147" s="360" t="str">
        <f>IF($B147&lt;&gt;5,VLOOKUP(N147,[8]USD12M!$E$2:$H$100,4,FALSE),"")</f>
        <v/>
      </c>
      <c r="P147" s="361" t="str">
        <f t="shared" si="110"/>
        <v/>
      </c>
      <c r="Q147" s="134" t="e">
        <v>#N/A</v>
      </c>
      <c r="R147" s="134"/>
      <c r="S147" s="134"/>
      <c r="T147" s="361" t="e">
        <f t="shared" si="123"/>
        <v>#N/A</v>
      </c>
      <c r="U147" s="362" t="e">
        <f t="shared" si="124"/>
        <v>#N/A</v>
      </c>
      <c r="W147" s="321" t="str">
        <v/>
      </c>
      <c r="X147" s="359" t="str">
        <f t="shared" si="119"/>
        <v/>
      </c>
      <c r="Y147" s="360" t="str">
        <f>IF($B147&lt;&gt;5,VLOOKUP(X147,[9]USD1M!$E$2:$H$100,4,FALSE),"")</f>
        <v/>
      </c>
      <c r="Z147" s="361" t="str">
        <f t="shared" si="111"/>
        <v/>
      </c>
      <c r="AA147" s="134" t="e">
        <v>#N/A</v>
      </c>
      <c r="AB147" s="361" t="e">
        <f t="shared" si="112"/>
        <v>#N/A</v>
      </c>
      <c r="AC147" s="362" t="e">
        <f t="shared" si="125"/>
        <v>#N/A</v>
      </c>
      <c r="AE147" s="321" t="str">
        <v/>
      </c>
      <c r="AF147" s="359" t="str">
        <f t="shared" si="120"/>
        <v/>
      </c>
      <c r="AG147" s="360" t="str">
        <f>IF($B147&lt;&gt;5,VLOOKUP(AF147,[10]USD3M!$E$2:$H$100,4,FALSE),"")</f>
        <v/>
      </c>
      <c r="AH147" s="361" t="str">
        <f t="shared" si="113"/>
        <v/>
      </c>
      <c r="AI147" s="134" t="e">
        <v>#N/A</v>
      </c>
      <c r="AJ147" s="361" t="e">
        <f t="shared" si="114"/>
        <v>#N/A</v>
      </c>
      <c r="AK147" s="362" t="e">
        <f t="shared" si="126"/>
        <v>#N/A</v>
      </c>
      <c r="AM147" s="321" t="str">
        <v/>
      </c>
      <c r="AN147" s="359" t="str">
        <f t="shared" si="121"/>
        <v/>
      </c>
      <c r="AO147" s="360" t="str">
        <f>IF($B147&lt;&gt;5,VLOOKUP(AN147,[11]USD6M!$E$2:$H$100,4,FALSE),"")</f>
        <v/>
      </c>
      <c r="AP147" s="361" t="str">
        <f t="shared" si="115"/>
        <v/>
      </c>
      <c r="AQ147" s="134" t="e">
        <v>#N/A</v>
      </c>
      <c r="AR147" s="361" t="e">
        <f t="shared" si="116"/>
        <v>#N/A</v>
      </c>
      <c r="AS147" s="362" t="e">
        <f t="shared" si="127"/>
        <v>#N/A</v>
      </c>
      <c r="BD147" s="321"/>
      <c r="BE147" s="348" t="e">
        <f t="shared" si="128"/>
        <v>#N/A</v>
      </c>
      <c r="BF147" s="321"/>
      <c r="BG147" s="426"/>
      <c r="BH147" s="426"/>
      <c r="BI147" s="426"/>
      <c r="BJ147" s="426"/>
      <c r="BK147" s="30" t="e">
        <f t="shared" si="129"/>
        <v>#N/A</v>
      </c>
      <c r="BL147" s="321"/>
      <c r="BM147" s="30" t="e">
        <f t="shared" si="130"/>
        <v>#N/A</v>
      </c>
      <c r="BN147" s="216" t="str">
        <v>35Y</v>
      </c>
      <c r="BO147" s="30" t="e">
        <f t="shared" si="131"/>
        <v>#N/A</v>
      </c>
      <c r="BP147" s="349" t="e">
        <f t="shared" si="132"/>
        <v>#N/A</v>
      </c>
      <c r="CS147" s="332"/>
      <c r="CT147" s="366" t="s">
        <v>1432</v>
      </c>
      <c r="CU147" s="307" t="s">
        <v>208</v>
      </c>
      <c r="CV147" s="307" t="s">
        <v>87</v>
      </c>
      <c r="CW147" s="366" t="s">
        <v>25</v>
      </c>
      <c r="CX147" s="307">
        <v>-0.1242</v>
      </c>
      <c r="CY147" s="307">
        <v>-0.1242</v>
      </c>
      <c r="CZ147" s="307">
        <v>-0.1242</v>
      </c>
    </row>
    <row r="148" spans="1:104">
      <c r="A148" s="137" t="str">
        <v/>
      </c>
      <c r="B148" s="130">
        <v>5</v>
      </c>
      <c r="C148" s="321" t="str">
        <v/>
      </c>
      <c r="D148" s="359" t="str">
        <f t="shared" si="117"/>
        <v/>
      </c>
      <c r="E148" s="360" t="str">
        <f>IF($B148&lt;&gt;5,VLOOKUP(D148,[7]USDStd!$E$2:$H$100,4,FALSE),"")</f>
        <v/>
      </c>
      <c r="F148" s="361" t="str">
        <f t="shared" si="108"/>
        <v/>
      </c>
      <c r="G148" s="134" t="e">
        <v>#N/A</v>
      </c>
      <c r="H148" s="361" t="e">
        <f t="shared" si="109"/>
        <v>#N/A</v>
      </c>
      <c r="I148" s="362" t="e">
        <f t="shared" si="122"/>
        <v>#N/A</v>
      </c>
      <c r="M148" s="321" t="str">
        <v/>
      </c>
      <c r="N148" s="359" t="str">
        <f t="shared" si="118"/>
        <v/>
      </c>
      <c r="O148" s="360" t="str">
        <f>IF($B148&lt;&gt;5,VLOOKUP(N148,[8]USD12M!$E$2:$H$100,4,FALSE),"")</f>
        <v/>
      </c>
      <c r="P148" s="361" t="str">
        <f t="shared" si="110"/>
        <v/>
      </c>
      <c r="Q148" s="134" t="e">
        <v>#N/A</v>
      </c>
      <c r="R148" s="134"/>
      <c r="S148" s="134"/>
      <c r="T148" s="361" t="e">
        <f t="shared" si="123"/>
        <v>#N/A</v>
      </c>
      <c r="U148" s="362" t="e">
        <f t="shared" si="124"/>
        <v>#N/A</v>
      </c>
      <c r="W148" s="321" t="str">
        <v/>
      </c>
      <c r="X148" s="359" t="str">
        <f t="shared" si="119"/>
        <v/>
      </c>
      <c r="Y148" s="360" t="str">
        <f>IF($B148&lt;&gt;5,VLOOKUP(X148,[9]USD1M!$E$2:$H$100,4,FALSE),"")</f>
        <v/>
      </c>
      <c r="Z148" s="361" t="str">
        <f t="shared" si="111"/>
        <v/>
      </c>
      <c r="AA148" s="134" t="e">
        <v>#N/A</v>
      </c>
      <c r="AB148" s="361" t="e">
        <f t="shared" si="112"/>
        <v>#N/A</v>
      </c>
      <c r="AC148" s="362" t="e">
        <f t="shared" si="125"/>
        <v>#N/A</v>
      </c>
      <c r="AE148" s="321" t="str">
        <v/>
      </c>
      <c r="AF148" s="359" t="str">
        <f t="shared" si="120"/>
        <v/>
      </c>
      <c r="AG148" s="360" t="str">
        <f>IF($B148&lt;&gt;5,VLOOKUP(AF148,[10]USD3M!$E$2:$H$100,4,FALSE),"")</f>
        <v/>
      </c>
      <c r="AH148" s="361" t="str">
        <f t="shared" si="113"/>
        <v/>
      </c>
      <c r="AI148" s="134" t="e">
        <v>#N/A</v>
      </c>
      <c r="AJ148" s="361" t="e">
        <f t="shared" si="114"/>
        <v>#N/A</v>
      </c>
      <c r="AK148" s="362" t="e">
        <f t="shared" si="126"/>
        <v>#N/A</v>
      </c>
      <c r="AM148" s="321" t="str">
        <v/>
      </c>
      <c r="AN148" s="359" t="str">
        <f t="shared" si="121"/>
        <v/>
      </c>
      <c r="AO148" s="360" t="str">
        <f>IF($B148&lt;&gt;5,VLOOKUP(AN148,[11]USD6M!$E$2:$H$100,4,FALSE),"")</f>
        <v/>
      </c>
      <c r="AP148" s="361" t="str">
        <f t="shared" si="115"/>
        <v/>
      </c>
      <c r="AQ148" s="134" t="e">
        <v>#N/A</v>
      </c>
      <c r="AR148" s="361" t="e">
        <f t="shared" si="116"/>
        <v>#N/A</v>
      </c>
      <c r="AS148" s="362" t="e">
        <f t="shared" si="127"/>
        <v>#N/A</v>
      </c>
      <c r="BD148" s="321"/>
      <c r="BE148" s="348" t="e">
        <f t="shared" si="128"/>
        <v>#N/A</v>
      </c>
      <c r="BF148" s="321"/>
      <c r="BG148" s="426"/>
      <c r="BH148" s="426"/>
      <c r="BI148" s="426"/>
      <c r="BJ148" s="426"/>
      <c r="BK148" s="30" t="e">
        <f t="shared" si="129"/>
        <v>#N/A</v>
      </c>
      <c r="BL148" s="321"/>
      <c r="BM148" s="30" t="e">
        <f t="shared" si="130"/>
        <v>#N/A</v>
      </c>
      <c r="BN148" s="216" t="str">
        <v>36Y</v>
      </c>
      <c r="BO148" s="30" t="e">
        <f t="shared" si="131"/>
        <v>#N/A</v>
      </c>
      <c r="BP148" s="349" t="e">
        <f t="shared" si="132"/>
        <v>#N/A</v>
      </c>
      <c r="CS148" s="332"/>
      <c r="CT148" s="366" t="s">
        <v>1433</v>
      </c>
      <c r="CU148" s="307" t="s">
        <v>208</v>
      </c>
      <c r="CV148" s="307" t="s">
        <v>87</v>
      </c>
      <c r="CW148" s="366" t="s">
        <v>26</v>
      </c>
      <c r="CX148" s="307">
        <v>-0.121989786</v>
      </c>
      <c r="CY148" s="307">
        <v>-0.121989786</v>
      </c>
      <c r="CZ148" s="307">
        <v>-0.121989786</v>
      </c>
    </row>
    <row r="149" spans="1:104">
      <c r="A149" s="137" t="str">
        <v/>
      </c>
      <c r="B149" s="130">
        <v>5</v>
      </c>
      <c r="C149" s="321" t="str">
        <v/>
      </c>
      <c r="D149" s="359" t="str">
        <f t="shared" si="117"/>
        <v/>
      </c>
      <c r="E149" s="360" t="str">
        <f>IF($B149&lt;&gt;5,VLOOKUP(D149,[7]USDStd!$E$2:$H$100,4,FALSE),"")</f>
        <v/>
      </c>
      <c r="F149" s="361" t="str">
        <f t="shared" si="108"/>
        <v/>
      </c>
      <c r="G149" s="134" t="e">
        <v>#N/A</v>
      </c>
      <c r="H149" s="361" t="e">
        <f t="shared" si="109"/>
        <v>#N/A</v>
      </c>
      <c r="I149" s="362" t="e">
        <f t="shared" si="122"/>
        <v>#N/A</v>
      </c>
      <c r="M149" s="321" t="str">
        <v/>
      </c>
      <c r="N149" s="359" t="str">
        <f t="shared" si="118"/>
        <v/>
      </c>
      <c r="O149" s="360" t="str">
        <f>IF($B149&lt;&gt;5,VLOOKUP(N149,[8]USD12M!$E$2:$H$100,4,FALSE),"")</f>
        <v/>
      </c>
      <c r="P149" s="361" t="str">
        <f t="shared" si="110"/>
        <v/>
      </c>
      <c r="Q149" s="134" t="e">
        <v>#N/A</v>
      </c>
      <c r="R149" s="134"/>
      <c r="S149" s="134"/>
      <c r="T149" s="361" t="e">
        <f t="shared" si="123"/>
        <v>#N/A</v>
      </c>
      <c r="U149" s="362" t="e">
        <f t="shared" si="124"/>
        <v>#N/A</v>
      </c>
      <c r="W149" s="321" t="str">
        <v/>
      </c>
      <c r="X149" s="359" t="str">
        <f t="shared" si="119"/>
        <v/>
      </c>
      <c r="Y149" s="360" t="str">
        <f>IF($B149&lt;&gt;5,VLOOKUP(X149,[9]USD1M!$E$2:$H$100,4,FALSE),"")</f>
        <v/>
      </c>
      <c r="Z149" s="361" t="str">
        <f t="shared" si="111"/>
        <v/>
      </c>
      <c r="AA149" s="134" t="e">
        <v>#N/A</v>
      </c>
      <c r="AB149" s="361" t="e">
        <f t="shared" si="112"/>
        <v>#N/A</v>
      </c>
      <c r="AC149" s="362" t="e">
        <f t="shared" si="125"/>
        <v>#N/A</v>
      </c>
      <c r="AE149" s="321" t="str">
        <v/>
      </c>
      <c r="AF149" s="359" t="str">
        <f t="shared" si="120"/>
        <v/>
      </c>
      <c r="AG149" s="360" t="str">
        <f>IF($B149&lt;&gt;5,VLOOKUP(AF149,[10]USD3M!$E$2:$H$100,4,FALSE),"")</f>
        <v/>
      </c>
      <c r="AH149" s="361" t="str">
        <f t="shared" si="113"/>
        <v/>
      </c>
      <c r="AI149" s="134" t="e">
        <v>#N/A</v>
      </c>
      <c r="AJ149" s="361" t="e">
        <f t="shared" si="114"/>
        <v>#N/A</v>
      </c>
      <c r="AK149" s="362" t="e">
        <f t="shared" si="126"/>
        <v>#N/A</v>
      </c>
      <c r="AM149" s="321" t="str">
        <v/>
      </c>
      <c r="AN149" s="359" t="str">
        <f t="shared" si="121"/>
        <v/>
      </c>
      <c r="AO149" s="360" t="str">
        <f>IF($B149&lt;&gt;5,VLOOKUP(AN149,[11]USD6M!$E$2:$H$100,4,FALSE),"")</f>
        <v/>
      </c>
      <c r="AP149" s="361" t="str">
        <f t="shared" si="115"/>
        <v/>
      </c>
      <c r="AQ149" s="134" t="e">
        <v>#N/A</v>
      </c>
      <c r="AR149" s="361" t="e">
        <f t="shared" si="116"/>
        <v>#N/A</v>
      </c>
      <c r="AS149" s="362" t="e">
        <f t="shared" si="127"/>
        <v>#N/A</v>
      </c>
      <c r="BD149" s="321"/>
      <c r="BE149" s="348" t="e">
        <f t="shared" si="128"/>
        <v>#N/A</v>
      </c>
      <c r="BF149" s="321"/>
      <c r="BG149" s="426"/>
      <c r="BH149" s="426"/>
      <c r="BI149" s="426"/>
      <c r="BJ149" s="426"/>
      <c r="BK149" s="30" t="e">
        <f t="shared" si="129"/>
        <v>#N/A</v>
      </c>
      <c r="BL149" s="321"/>
      <c r="BM149" s="30" t="e">
        <f t="shared" si="130"/>
        <v>#N/A</v>
      </c>
      <c r="BN149" s="216" t="str">
        <v>37Y</v>
      </c>
      <c r="BO149" s="30" t="e">
        <f t="shared" si="131"/>
        <v>#N/A</v>
      </c>
      <c r="BP149" s="349" t="e">
        <f t="shared" si="132"/>
        <v>#N/A</v>
      </c>
      <c r="CS149" s="332"/>
      <c r="CT149" s="366" t="s">
        <v>1434</v>
      </c>
      <c r="CU149" s="307" t="s">
        <v>208</v>
      </c>
      <c r="CV149" s="307" t="s">
        <v>87</v>
      </c>
      <c r="CW149" s="366" t="s">
        <v>27</v>
      </c>
      <c r="CX149" s="307">
        <v>-0.116698863</v>
      </c>
      <c r="CY149" s="307">
        <v>-0.116698863</v>
      </c>
      <c r="CZ149" s="307">
        <v>-0.116698863</v>
      </c>
    </row>
    <row r="150" spans="1:104">
      <c r="A150" s="138" t="str">
        <v/>
      </c>
      <c r="B150" s="139">
        <v>5</v>
      </c>
      <c r="C150" s="322" t="str">
        <v/>
      </c>
      <c r="D150" s="534" t="str">
        <f t="shared" si="117"/>
        <v/>
      </c>
      <c r="E150" s="363" t="str">
        <f>IF($B150&lt;&gt;5,VLOOKUP(D150,[7]USDStd!$E$2:$H$100,4,FALSE),"")</f>
        <v/>
      </c>
      <c r="F150" s="364" t="str">
        <f t="shared" si="108"/>
        <v/>
      </c>
      <c r="G150" s="135" t="e">
        <v>#N/A</v>
      </c>
      <c r="H150" s="364" t="e">
        <f t="shared" si="109"/>
        <v>#N/A</v>
      </c>
      <c r="I150" s="365" t="e">
        <f t="shared" si="122"/>
        <v>#N/A</v>
      </c>
      <c r="M150" s="322" t="str">
        <v/>
      </c>
      <c r="N150" s="534" t="str">
        <f t="shared" si="118"/>
        <v/>
      </c>
      <c r="O150" s="363" t="str">
        <f>IF($B150&lt;&gt;5,VLOOKUP(N150,[8]USD12M!$E$2:$H$100,4,FALSE),"")</f>
        <v/>
      </c>
      <c r="P150" s="364" t="str">
        <f t="shared" si="110"/>
        <v/>
      </c>
      <c r="Q150" s="135" t="e">
        <v>#N/A</v>
      </c>
      <c r="R150" s="135"/>
      <c r="S150" s="135"/>
      <c r="T150" s="364" t="e">
        <f t="shared" si="123"/>
        <v>#N/A</v>
      </c>
      <c r="U150" s="365" t="e">
        <f t="shared" si="124"/>
        <v>#N/A</v>
      </c>
      <c r="W150" s="322" t="str">
        <v/>
      </c>
      <c r="X150" s="534" t="str">
        <f t="shared" si="119"/>
        <v/>
      </c>
      <c r="Y150" s="363" t="str">
        <f>IF($B150&lt;&gt;5,VLOOKUP(X150,[9]USD1M!$E$2:$H$100,4,FALSE),"")</f>
        <v/>
      </c>
      <c r="Z150" s="364" t="str">
        <f t="shared" si="111"/>
        <v/>
      </c>
      <c r="AA150" s="135" t="e">
        <v>#N/A</v>
      </c>
      <c r="AB150" s="364" t="e">
        <f t="shared" si="112"/>
        <v>#N/A</v>
      </c>
      <c r="AC150" s="365" t="e">
        <f t="shared" si="125"/>
        <v>#N/A</v>
      </c>
      <c r="AE150" s="322" t="str">
        <v/>
      </c>
      <c r="AF150" s="534" t="str">
        <f t="shared" si="120"/>
        <v/>
      </c>
      <c r="AG150" s="363" t="str">
        <f>IF($B150&lt;&gt;5,VLOOKUP(AF150,[10]USD3M!$E$2:$H$100,4,FALSE),"")</f>
        <v/>
      </c>
      <c r="AH150" s="364" t="str">
        <f t="shared" si="113"/>
        <v/>
      </c>
      <c r="AI150" s="135" t="e">
        <v>#N/A</v>
      </c>
      <c r="AJ150" s="364" t="e">
        <f t="shared" si="114"/>
        <v>#N/A</v>
      </c>
      <c r="AK150" s="365" t="e">
        <f t="shared" si="126"/>
        <v>#N/A</v>
      </c>
      <c r="AM150" s="322" t="str">
        <v/>
      </c>
      <c r="AN150" s="534" t="str">
        <f t="shared" si="121"/>
        <v/>
      </c>
      <c r="AO150" s="363" t="str">
        <f>IF($B150&lt;&gt;5,VLOOKUP(AN150,[11]USD6M!$E$2:$H$100,4,FALSE),"")</f>
        <v/>
      </c>
      <c r="AP150" s="364" t="str">
        <f t="shared" si="115"/>
        <v/>
      </c>
      <c r="AQ150" s="135" t="e">
        <v>#N/A</v>
      </c>
      <c r="AR150" s="364" t="e">
        <f t="shared" si="116"/>
        <v>#N/A</v>
      </c>
      <c r="AS150" s="365" t="e">
        <f t="shared" si="127"/>
        <v>#N/A</v>
      </c>
      <c r="BD150" s="321"/>
      <c r="BE150" s="348" t="e">
        <f t="shared" si="128"/>
        <v>#N/A</v>
      </c>
      <c r="BF150" s="321"/>
      <c r="BG150" s="426"/>
      <c r="BH150" s="426"/>
      <c r="BI150" s="426"/>
      <c r="BJ150" s="426"/>
      <c r="BK150" s="30" t="e">
        <f t="shared" si="129"/>
        <v>#N/A</v>
      </c>
      <c r="BL150" s="321"/>
      <c r="BM150" s="30" t="e">
        <f t="shared" si="130"/>
        <v>#N/A</v>
      </c>
      <c r="BN150" s="216" t="str">
        <v>38Y</v>
      </c>
      <c r="BO150" s="30" t="e">
        <f t="shared" si="131"/>
        <v>#N/A</v>
      </c>
      <c r="BP150" s="349" t="e">
        <f t="shared" si="132"/>
        <v>#N/A</v>
      </c>
      <c r="CS150" s="332"/>
      <c r="CT150" s="366" t="s">
        <v>1435</v>
      </c>
      <c r="CU150" s="307" t="s">
        <v>208</v>
      </c>
      <c r="CV150" s="307" t="s">
        <v>87</v>
      </c>
      <c r="CW150" s="366" t="s">
        <v>28</v>
      </c>
      <c r="CX150" s="307">
        <v>-0.11070000000000001</v>
      </c>
      <c r="CY150" s="307">
        <v>-0.11070000000000001</v>
      </c>
      <c r="CZ150" s="307">
        <v>-0.11070000000000001</v>
      </c>
    </row>
    <row r="151" spans="1:104">
      <c r="G151" s="4" t="e">
        <v>#N/A</v>
      </c>
      <c r="Q151" s="4" t="e">
        <v>#N/A</v>
      </c>
      <c r="AA151" s="4" t="e">
        <v>#N/A</v>
      </c>
      <c r="AI151" s="4" t="e">
        <v>#N/A</v>
      </c>
      <c r="AQ151" s="4" t="e">
        <v>#N/A</v>
      </c>
      <c r="BD151" s="321"/>
      <c r="BE151" s="348" t="e">
        <f t="shared" si="128"/>
        <v>#N/A</v>
      </c>
      <c r="BF151" s="321"/>
      <c r="BG151" s="426"/>
      <c r="BH151" s="426"/>
      <c r="BI151" s="426"/>
      <c r="BJ151" s="426"/>
      <c r="BK151" s="30" t="e">
        <f t="shared" si="129"/>
        <v>#N/A</v>
      </c>
      <c r="BL151" s="321"/>
      <c r="BM151" s="30" t="e">
        <f t="shared" si="130"/>
        <v>#N/A</v>
      </c>
      <c r="BN151" s="216" t="str">
        <v>39Y</v>
      </c>
      <c r="BO151" s="30" t="e">
        <f t="shared" si="131"/>
        <v>#N/A</v>
      </c>
      <c r="BP151" s="349" t="e">
        <f t="shared" si="132"/>
        <v>#N/A</v>
      </c>
      <c r="CS151" s="332"/>
      <c r="CT151" s="366" t="s">
        <v>1436</v>
      </c>
      <c r="CU151" s="307" t="s">
        <v>208</v>
      </c>
      <c r="CV151" s="307" t="s">
        <v>87</v>
      </c>
      <c r="CW151" s="366" t="s">
        <v>29</v>
      </c>
      <c r="CX151" s="307">
        <v>-0.105238919</v>
      </c>
      <c r="CY151" s="307">
        <v>-0.105238919</v>
      </c>
      <c r="CZ151" s="307">
        <v>-0.105238919</v>
      </c>
    </row>
    <row r="152" spans="1:104">
      <c r="G152" s="4" t="e">
        <v>#N/A</v>
      </c>
      <c r="Q152" s="4" t="e">
        <v>#N/A</v>
      </c>
      <c r="AA152" s="4" t="e">
        <v>#N/A</v>
      </c>
      <c r="AI152" s="4" t="e">
        <v>#N/A</v>
      </c>
      <c r="AQ152" s="4" t="e">
        <v>#N/A</v>
      </c>
      <c r="BD152" s="321"/>
      <c r="BE152" s="348" t="e">
        <f t="shared" si="128"/>
        <v>#N/A</v>
      </c>
      <c r="BF152" s="321"/>
      <c r="BG152" s="426"/>
      <c r="BH152" s="426"/>
      <c r="BI152" s="426"/>
      <c r="BJ152" s="426"/>
      <c r="BK152" s="30" t="e">
        <f t="shared" si="129"/>
        <v>#N/A</v>
      </c>
      <c r="BL152" s="321"/>
      <c r="BM152" s="30" t="e">
        <f t="shared" si="130"/>
        <v>#N/A</v>
      </c>
      <c r="BN152" s="216" t="str">
        <v>40Y</v>
      </c>
      <c r="BO152" s="30" t="e">
        <f t="shared" si="131"/>
        <v>#N/A</v>
      </c>
      <c r="BP152" s="349" t="e">
        <f t="shared" si="132"/>
        <v>#N/A</v>
      </c>
      <c r="CS152" s="332"/>
      <c r="CT152" s="366" t="s">
        <v>1437</v>
      </c>
      <c r="CU152" s="307" t="s">
        <v>208</v>
      </c>
      <c r="CV152" s="307" t="s">
        <v>87</v>
      </c>
      <c r="CW152" s="366" t="s">
        <v>30</v>
      </c>
      <c r="CX152" s="307">
        <v>-0.100511134</v>
      </c>
      <c r="CY152" s="307">
        <v>-0.100511134</v>
      </c>
      <c r="CZ152" s="307">
        <v>-0.100511134</v>
      </c>
    </row>
    <row r="153" spans="1:104">
      <c r="G153" s="4" t="e">
        <v>#N/A</v>
      </c>
      <c r="Q153" s="4" t="e">
        <v>#N/A</v>
      </c>
      <c r="AA153" s="4" t="e">
        <v>#N/A</v>
      </c>
      <c r="AI153" s="4" t="e">
        <v>#N/A</v>
      </c>
      <c r="AQ153" s="4" t="e">
        <v>#N/A</v>
      </c>
      <c r="BD153" s="321"/>
      <c r="BE153" s="348" t="e">
        <f t="shared" si="128"/>
        <v>#N/A</v>
      </c>
      <c r="BF153" s="321"/>
      <c r="BG153" s="426"/>
      <c r="BH153" s="426"/>
      <c r="BI153" s="426"/>
      <c r="BJ153" s="426"/>
      <c r="BK153" s="30" t="e">
        <f t="shared" si="129"/>
        <v>#N/A</v>
      </c>
      <c r="BL153" s="321"/>
      <c r="BM153" s="30" t="e">
        <f t="shared" si="130"/>
        <v>#N/A</v>
      </c>
      <c r="BN153" s="216" t="str">
        <v>50Y</v>
      </c>
      <c r="BO153" s="30" t="e">
        <f t="shared" si="131"/>
        <v>#N/A</v>
      </c>
      <c r="BP153" s="349" t="e">
        <f t="shared" si="132"/>
        <v>#N/A</v>
      </c>
      <c r="CS153" s="332"/>
      <c r="CT153" s="366" t="s">
        <v>1438</v>
      </c>
      <c r="CU153" s="307" t="s">
        <v>208</v>
      </c>
      <c r="CV153" s="307" t="s">
        <v>87</v>
      </c>
      <c r="CW153" s="366" t="s">
        <v>49</v>
      </c>
      <c r="CX153" s="307">
        <v>-9.5399999999999999E-2</v>
      </c>
      <c r="CY153" s="307">
        <v>-9.5399999999999999E-2</v>
      </c>
      <c r="CZ153" s="307">
        <v>-9.5399999999999999E-2</v>
      </c>
    </row>
    <row r="154" spans="1:104">
      <c r="G154" s="4" t="e">
        <v>#N/A</v>
      </c>
      <c r="Q154" s="4" t="e">
        <v>#N/A</v>
      </c>
      <c r="AA154" s="4" t="e">
        <v>#N/A</v>
      </c>
      <c r="AI154" s="4" t="e">
        <v>#N/A</v>
      </c>
      <c r="AQ154" s="4" t="e">
        <v>#N/A</v>
      </c>
      <c r="BD154" s="321"/>
      <c r="BE154" s="348" t="e">
        <f t="shared" si="128"/>
        <v>#N/A</v>
      </c>
      <c r="BF154" s="321"/>
      <c r="BG154" s="426"/>
      <c r="BH154" s="426"/>
      <c r="BI154" s="426"/>
      <c r="BJ154" s="426"/>
      <c r="BK154" s="30" t="e">
        <f t="shared" si="129"/>
        <v>#N/A</v>
      </c>
      <c r="BL154" s="321"/>
      <c r="BM154" s="30" t="e">
        <f t="shared" si="130"/>
        <v>#N/A</v>
      </c>
      <c r="BN154" s="216" t="str">
        <v>60Y</v>
      </c>
      <c r="BO154" s="30" t="e">
        <f t="shared" si="131"/>
        <v>#N/A</v>
      </c>
      <c r="BP154" s="349" t="e">
        <f t="shared" si="132"/>
        <v>#N/A</v>
      </c>
      <c r="CS154" s="332"/>
      <c r="CT154" s="366" t="s">
        <v>4124</v>
      </c>
      <c r="CU154" s="307" t="s">
        <v>208</v>
      </c>
      <c r="CV154" s="307" t="s">
        <v>87</v>
      </c>
      <c r="CW154" s="366" t="s">
        <v>50</v>
      </c>
      <c r="CX154" s="307">
        <v>-8.9959358000000003E-2</v>
      </c>
      <c r="CY154" s="307">
        <v>-8.9959358000000003E-2</v>
      </c>
      <c r="CZ154" s="307">
        <v>-8.9959358000000003E-2</v>
      </c>
    </row>
    <row r="155" spans="1:104">
      <c r="G155" s="4" t="e">
        <v>#N/A</v>
      </c>
      <c r="Q155" s="4" t="e">
        <v>#N/A</v>
      </c>
      <c r="AA155" s="4" t="e">
        <v>#N/A</v>
      </c>
      <c r="AI155" s="4" t="e">
        <v>#N/A</v>
      </c>
      <c r="AQ155" s="4" t="e">
        <v>#N/A</v>
      </c>
      <c r="BD155" s="321"/>
      <c r="BE155" s="348" t="e">
        <f t="shared" si="128"/>
        <v>#N/A</v>
      </c>
      <c r="BF155" s="321"/>
      <c r="BG155" s="426"/>
      <c r="BH155" s="426"/>
      <c r="BI155" s="426"/>
      <c r="BJ155" s="426"/>
      <c r="BK155" s="30" t="e">
        <f t="shared" si="129"/>
        <v>#N/A</v>
      </c>
      <c r="BL155" s="321"/>
      <c r="BM155" s="30" t="e">
        <f t="shared" si="130"/>
        <v>#N/A</v>
      </c>
      <c r="BN155" s="216" t="str">
        <v/>
      </c>
      <c r="BO155" s="30" t="e">
        <f t="shared" si="131"/>
        <v>#N/A</v>
      </c>
      <c r="BP155" s="349" t="e">
        <f t="shared" si="132"/>
        <v>#N/A</v>
      </c>
      <c r="CS155" s="332"/>
      <c r="CT155" s="366" t="s">
        <v>4125</v>
      </c>
      <c r="CU155" s="307" t="s">
        <v>208</v>
      </c>
      <c r="CV155" s="307" t="s">
        <v>87</v>
      </c>
      <c r="CW155" s="366" t="s">
        <v>51</v>
      </c>
      <c r="CX155" s="307">
        <v>-8.4217626000000004E-2</v>
      </c>
      <c r="CY155" s="307">
        <v>-8.4217626000000004E-2</v>
      </c>
      <c r="CZ155" s="307">
        <v>-8.4217626000000004E-2</v>
      </c>
    </row>
    <row r="156" spans="1:104">
      <c r="G156" s="4" t="e">
        <v>#N/A</v>
      </c>
      <c r="Q156" s="4" t="e">
        <v>#N/A</v>
      </c>
      <c r="AA156" s="4" t="e">
        <v>#N/A</v>
      </c>
      <c r="AI156" s="4" t="e">
        <v>#N/A</v>
      </c>
      <c r="AQ156" s="4" t="e">
        <v>#N/A</v>
      </c>
      <c r="BD156" s="321"/>
      <c r="BE156" s="348" t="e">
        <f t="shared" si="128"/>
        <v>#N/A</v>
      </c>
      <c r="BF156" s="321"/>
      <c r="BG156" s="426"/>
      <c r="BH156" s="426"/>
      <c r="BI156" s="426"/>
      <c r="BJ156" s="426"/>
      <c r="BK156" s="30" t="e">
        <f t="shared" si="129"/>
        <v>#N/A</v>
      </c>
      <c r="BL156" s="321"/>
      <c r="BM156" s="30" t="e">
        <f t="shared" si="130"/>
        <v>#N/A</v>
      </c>
      <c r="BN156" s="216" t="str">
        <v/>
      </c>
      <c r="BO156" s="30" t="e">
        <f t="shared" si="131"/>
        <v>#N/A</v>
      </c>
      <c r="BP156" s="349" t="e">
        <f t="shared" si="132"/>
        <v>#N/A</v>
      </c>
      <c r="CS156" s="332"/>
      <c r="CT156" s="366" t="s">
        <v>4126</v>
      </c>
      <c r="CU156" s="307" t="s">
        <v>208</v>
      </c>
      <c r="CV156" s="307" t="s">
        <v>87</v>
      </c>
      <c r="CW156" s="366" t="s">
        <v>52</v>
      </c>
      <c r="CX156" s="307">
        <v>-7.7200000000000005E-2</v>
      </c>
      <c r="CY156" s="307">
        <v>-7.7200000000000005E-2</v>
      </c>
      <c r="CZ156" s="307">
        <v>-7.7200000000000005E-2</v>
      </c>
    </row>
    <row r="157" spans="1:104">
      <c r="G157" s="4" t="e">
        <v>#N/A</v>
      </c>
      <c r="Q157" s="4" t="e">
        <v>#N/A</v>
      </c>
      <c r="AA157" s="4" t="e">
        <v>#N/A</v>
      </c>
      <c r="AI157" s="4" t="e">
        <v>#N/A</v>
      </c>
      <c r="AQ157" s="4" t="e">
        <v>#N/A</v>
      </c>
      <c r="BD157" s="321"/>
      <c r="BE157" s="348" t="e">
        <f t="shared" si="128"/>
        <v>#N/A</v>
      </c>
      <c r="BF157" s="321"/>
      <c r="BG157" s="426"/>
      <c r="BH157" s="426"/>
      <c r="BI157" s="426"/>
      <c r="BJ157" s="426"/>
      <c r="BK157" s="30" t="e">
        <f t="shared" si="129"/>
        <v>#N/A</v>
      </c>
      <c r="BL157" s="321"/>
      <c r="BM157" s="30" t="e">
        <f t="shared" si="130"/>
        <v>#N/A</v>
      </c>
      <c r="BN157" s="216" t="str">
        <v/>
      </c>
      <c r="BO157" s="30" t="e">
        <f t="shared" si="131"/>
        <v>#N/A</v>
      </c>
      <c r="BP157" s="349" t="e">
        <f t="shared" si="132"/>
        <v>#N/A</v>
      </c>
      <c r="CS157" s="332"/>
      <c r="CT157" s="366" t="s">
        <v>4127</v>
      </c>
      <c r="CU157" s="307" t="s">
        <v>208</v>
      </c>
      <c r="CV157" s="307" t="s">
        <v>87</v>
      </c>
      <c r="CW157" s="366" t="s">
        <v>2817</v>
      </c>
      <c r="CX157" s="307">
        <v>-6.6000000000000003E-2</v>
      </c>
      <c r="CY157" s="307">
        <v>-6.6000000000000003E-2</v>
      </c>
      <c r="CZ157" s="307">
        <v>-6.6000000000000003E-2</v>
      </c>
    </row>
    <row r="158" spans="1:104">
      <c r="G158" s="4" t="e">
        <v>#N/A</v>
      </c>
      <c r="Q158" s="4" t="e">
        <v>#N/A</v>
      </c>
      <c r="AA158" s="4" t="e">
        <v>#N/A</v>
      </c>
      <c r="AI158" s="4" t="e">
        <v>#N/A</v>
      </c>
      <c r="AQ158" s="4" t="e">
        <v>#N/A</v>
      </c>
      <c r="BD158" s="321"/>
      <c r="BE158" s="348" t="e">
        <f t="shared" si="128"/>
        <v>#N/A</v>
      </c>
      <c r="BF158" s="321"/>
      <c r="BG158" s="426"/>
      <c r="BH158" s="426"/>
      <c r="BI158" s="426"/>
      <c r="BJ158" s="426"/>
      <c r="BK158" s="30" t="e">
        <f t="shared" si="129"/>
        <v>#N/A</v>
      </c>
      <c r="BL158" s="321"/>
      <c r="BM158" s="30" t="e">
        <f t="shared" si="130"/>
        <v>#N/A</v>
      </c>
      <c r="BN158" s="216" t="str">
        <v/>
      </c>
      <c r="BO158" s="30" t="e">
        <f t="shared" si="131"/>
        <v>#N/A</v>
      </c>
      <c r="BP158" s="349" t="e">
        <f t="shared" si="132"/>
        <v>#N/A</v>
      </c>
      <c r="CS158" s="332"/>
      <c r="CT158" s="366" t="s">
        <v>4128</v>
      </c>
      <c r="CU158" s="307" t="s">
        <v>208</v>
      </c>
      <c r="CV158" s="307" t="s">
        <v>87</v>
      </c>
      <c r="CW158" s="366" t="s">
        <v>2819</v>
      </c>
      <c r="CX158" s="307">
        <v>-5.5E-2</v>
      </c>
      <c r="CY158" s="307">
        <v>-5.5E-2</v>
      </c>
      <c r="CZ158" s="307">
        <v>-5.5E-2</v>
      </c>
    </row>
    <row r="159" spans="1:104">
      <c r="G159" s="4" t="e">
        <v>#N/A</v>
      </c>
      <c r="Q159" s="4" t="e">
        <v>#N/A</v>
      </c>
      <c r="AA159" s="4" t="e">
        <v>#N/A</v>
      </c>
      <c r="AI159" s="4" t="e">
        <v>#N/A</v>
      </c>
      <c r="AQ159" s="4" t="e">
        <v>#N/A</v>
      </c>
      <c r="BD159" s="321"/>
      <c r="BE159" s="348" t="e">
        <f t="shared" si="128"/>
        <v>#N/A</v>
      </c>
      <c r="BF159" s="321"/>
      <c r="BG159" s="426"/>
      <c r="BH159" s="426"/>
      <c r="BI159" s="426"/>
      <c r="BJ159" s="426"/>
      <c r="BK159" s="30" t="e">
        <f t="shared" si="129"/>
        <v>#N/A</v>
      </c>
      <c r="BL159" s="321"/>
      <c r="BM159" s="30" t="e">
        <f t="shared" si="130"/>
        <v>#N/A</v>
      </c>
      <c r="BN159" s="216" t="str">
        <v/>
      </c>
      <c r="BO159" s="30" t="e">
        <f t="shared" si="131"/>
        <v>#N/A</v>
      </c>
      <c r="BP159" s="349" t="e">
        <f t="shared" si="132"/>
        <v>#N/A</v>
      </c>
      <c r="CS159" s="332"/>
      <c r="CT159" s="366" t="s">
        <v>4129</v>
      </c>
      <c r="CU159" s="307" t="s">
        <v>208</v>
      </c>
      <c r="CV159" s="307" t="s">
        <v>87</v>
      </c>
      <c r="CW159" s="366" t="s">
        <v>2821</v>
      </c>
      <c r="CX159" s="307">
        <v>-4.5999999999999999E-2</v>
      </c>
      <c r="CY159" s="307">
        <v>-4.5999999999999999E-2</v>
      </c>
      <c r="CZ159" s="307">
        <v>-4.5999999999999999E-2</v>
      </c>
    </row>
    <row r="160" spans="1:104">
      <c r="G160" s="4" t="e">
        <v>#N/A</v>
      </c>
      <c r="Q160" s="4" t="e">
        <v>#N/A</v>
      </c>
      <c r="AA160" s="4" t="e">
        <v>#N/A</v>
      </c>
      <c r="AI160" s="4" t="e">
        <v>#N/A</v>
      </c>
      <c r="AQ160" s="4" t="e">
        <v>#N/A</v>
      </c>
      <c r="BD160" s="321"/>
      <c r="BE160" s="348" t="e">
        <f t="shared" si="128"/>
        <v>#N/A</v>
      </c>
      <c r="BF160" s="321"/>
      <c r="BG160" s="426"/>
      <c r="BH160" s="426"/>
      <c r="BI160" s="426"/>
      <c r="BJ160" s="426"/>
      <c r="BK160" s="30" t="e">
        <f t="shared" si="129"/>
        <v>#N/A</v>
      </c>
      <c r="BL160" s="321"/>
      <c r="BM160" s="30" t="e">
        <f t="shared" si="130"/>
        <v>#N/A</v>
      </c>
      <c r="BN160" s="216" t="str">
        <v/>
      </c>
      <c r="BO160" s="30" t="e">
        <f t="shared" si="131"/>
        <v>#N/A</v>
      </c>
      <c r="BP160" s="349" t="e">
        <f t="shared" si="132"/>
        <v>#N/A</v>
      </c>
      <c r="CS160" s="332"/>
      <c r="CT160" s="366" t="s">
        <v>4130</v>
      </c>
      <c r="CU160" s="307" t="s">
        <v>208</v>
      </c>
      <c r="CV160" s="307" t="s">
        <v>87</v>
      </c>
      <c r="CW160" s="366" t="s">
        <v>2823</v>
      </c>
      <c r="CX160" s="307">
        <v>-3.6999999999999998E-2</v>
      </c>
      <c r="CY160" s="307">
        <v>-3.6999999999999998E-2</v>
      </c>
      <c r="CZ160" s="307">
        <v>-3.6999999999999998E-2</v>
      </c>
    </row>
    <row r="161" spans="7:104">
      <c r="G161" s="4" t="e">
        <v>#N/A</v>
      </c>
      <c r="Q161" s="4" t="e">
        <v>#N/A</v>
      </c>
      <c r="AA161" s="4" t="e">
        <v>#N/A</v>
      </c>
      <c r="AI161" s="4" t="e">
        <v>#N/A</v>
      </c>
      <c r="AQ161" s="4" t="e">
        <v>#N/A</v>
      </c>
      <c r="BD161" s="322"/>
      <c r="BE161" s="350" t="e">
        <f t="shared" si="128"/>
        <v>#N/A</v>
      </c>
      <c r="BF161" s="322"/>
      <c r="BG161" s="427"/>
      <c r="BH161" s="427"/>
      <c r="BI161" s="427"/>
      <c r="BJ161" s="427"/>
      <c r="BK161" s="351" t="e">
        <f t="shared" si="129"/>
        <v>#N/A</v>
      </c>
      <c r="BL161" s="322"/>
      <c r="BM161" s="351" t="e">
        <f t="shared" si="130"/>
        <v>#N/A</v>
      </c>
      <c r="BN161" s="217" t="str">
        <v/>
      </c>
      <c r="BO161" s="351" t="e">
        <f t="shared" si="131"/>
        <v>#N/A</v>
      </c>
      <c r="BP161" s="352" t="e">
        <f t="shared" si="132"/>
        <v>#N/A</v>
      </c>
      <c r="CS161" s="332"/>
      <c r="CT161" s="366" t="s">
        <v>4131</v>
      </c>
      <c r="CU161" s="307" t="s">
        <v>208</v>
      </c>
      <c r="CV161" s="307" t="s">
        <v>87</v>
      </c>
      <c r="CW161" s="366" t="s">
        <v>2825</v>
      </c>
      <c r="CX161" s="307">
        <v>-2.5999999999999999E-2</v>
      </c>
      <c r="CY161" s="307">
        <v>-2.5999999999999999E-2</v>
      </c>
      <c r="CZ161" s="307">
        <v>-2.5999999999999999E-2</v>
      </c>
    </row>
    <row r="162" spans="7:104">
      <c r="CS162" s="332"/>
      <c r="CT162" s="366" t="s">
        <v>4132</v>
      </c>
      <c r="CU162" s="307" t="s">
        <v>208</v>
      </c>
      <c r="CV162" s="307" t="s">
        <v>87</v>
      </c>
      <c r="CW162" s="366" t="s">
        <v>2827</v>
      </c>
      <c r="CX162" s="307">
        <v>-1.6E-2</v>
      </c>
      <c r="CY162" s="307">
        <v>-1.6E-2</v>
      </c>
      <c r="CZ162" s="307">
        <v>-1.6E-2</v>
      </c>
    </row>
    <row r="163" spans="7:104">
      <c r="CS163" s="332"/>
      <c r="CT163" s="366" t="s">
        <v>4133</v>
      </c>
      <c r="CU163" s="307" t="s">
        <v>208</v>
      </c>
      <c r="CV163" s="307" t="s">
        <v>87</v>
      </c>
      <c r="CW163" s="366" t="s">
        <v>2829</v>
      </c>
      <c r="CX163" s="307">
        <v>-5.0000000000000001E-3</v>
      </c>
      <c r="CY163" s="307">
        <v>-5.0000000000000001E-3</v>
      </c>
      <c r="CZ163" s="307">
        <v>-5.0000000000000001E-3</v>
      </c>
    </row>
    <row r="164" spans="7:104">
      <c r="CS164" s="332"/>
      <c r="CT164" s="366" t="s">
        <v>4134</v>
      </c>
      <c r="CU164" s="307" t="s">
        <v>208</v>
      </c>
      <c r="CV164" s="307" t="s">
        <v>87</v>
      </c>
      <c r="CW164" s="366" t="s">
        <v>2831</v>
      </c>
      <c r="CX164" s="307">
        <v>7.0000000000000001E-3</v>
      </c>
      <c r="CY164" s="307">
        <v>7.0000000000000001E-3</v>
      </c>
      <c r="CZ164" s="307">
        <v>7.0000000000000001E-3</v>
      </c>
    </row>
    <row r="165" spans="7:104">
      <c r="CS165" s="332"/>
      <c r="CT165" s="366" t="s">
        <v>4135</v>
      </c>
      <c r="CU165" s="307" t="s">
        <v>208</v>
      </c>
      <c r="CV165" s="307" t="s">
        <v>87</v>
      </c>
      <c r="CW165" s="366" t="s">
        <v>2833</v>
      </c>
      <c r="CX165" s="307">
        <v>1.7999999999999999E-2</v>
      </c>
      <c r="CY165" s="307">
        <v>1.7999999999999999E-2</v>
      </c>
      <c r="CZ165" s="307">
        <v>1.7999999999999999E-2</v>
      </c>
    </row>
    <row r="166" spans="7:104">
      <c r="CS166" s="332"/>
      <c r="CT166" s="366" t="s">
        <v>4136</v>
      </c>
      <c r="CU166" s="307" t="s">
        <v>208</v>
      </c>
      <c r="CV166" s="307" t="s">
        <v>87</v>
      </c>
      <c r="CW166" s="366" t="s">
        <v>2835</v>
      </c>
      <c r="CX166" s="307">
        <v>0.03</v>
      </c>
      <c r="CY166" s="307">
        <v>0.03</v>
      </c>
      <c r="CZ166" s="307">
        <v>0.03</v>
      </c>
    </row>
    <row r="167" spans="7:104">
      <c r="CS167" s="332"/>
      <c r="CT167" s="366" t="s">
        <v>4137</v>
      </c>
      <c r="CU167" s="307" t="s">
        <v>208</v>
      </c>
      <c r="CV167" s="307" t="s">
        <v>87</v>
      </c>
      <c r="CW167" s="366" t="s">
        <v>2837</v>
      </c>
      <c r="CX167" s="307">
        <v>4.3999999999999997E-2</v>
      </c>
      <c r="CY167" s="307">
        <v>4.3999999999999997E-2</v>
      </c>
      <c r="CZ167" s="307">
        <v>4.3999999999999997E-2</v>
      </c>
    </row>
    <row r="168" spans="7:104">
      <c r="CS168" s="332"/>
      <c r="CT168" s="366" t="s">
        <v>4138</v>
      </c>
      <c r="CU168" s="307" t="s">
        <v>208</v>
      </c>
      <c r="CV168" s="307" t="s">
        <v>87</v>
      </c>
      <c r="CW168" s="366" t="s">
        <v>3886</v>
      </c>
      <c r="CX168" s="307">
        <v>5.7000000000000002E-2</v>
      </c>
      <c r="CY168" s="307">
        <v>5.7000000000000002E-2</v>
      </c>
      <c r="CZ168" s="307">
        <v>5.7000000000000002E-2</v>
      </c>
    </row>
    <row r="169" spans="7:104">
      <c r="CS169" s="332"/>
      <c r="CT169" s="366" t="s">
        <v>1439</v>
      </c>
      <c r="CU169" s="307" t="s">
        <v>208</v>
      </c>
      <c r="CV169" s="307" t="s">
        <v>87</v>
      </c>
      <c r="CW169" s="366" t="s">
        <v>10</v>
      </c>
      <c r="CX169" s="307">
        <v>6.9000000000000006E-2</v>
      </c>
      <c r="CY169" s="307">
        <v>6.9000000000000006E-2</v>
      </c>
      <c r="CZ169" s="307">
        <v>6.9000000000000006E-2</v>
      </c>
    </row>
    <row r="170" spans="7:104">
      <c r="CS170" s="332"/>
      <c r="CT170" s="366" t="s">
        <v>1440</v>
      </c>
      <c r="CU170" s="307" t="s">
        <v>208</v>
      </c>
      <c r="CV170" s="307" t="s">
        <v>87</v>
      </c>
      <c r="CW170" s="366" t="s">
        <v>11</v>
      </c>
      <c r="CX170" s="307">
        <v>0.161</v>
      </c>
      <c r="CY170" s="307">
        <v>0.161</v>
      </c>
      <c r="CZ170" s="307">
        <v>0.161</v>
      </c>
    </row>
    <row r="171" spans="7:104">
      <c r="CS171" s="332"/>
      <c r="CT171" s="366" t="s">
        <v>1441</v>
      </c>
      <c r="CU171" s="307" t="s">
        <v>208</v>
      </c>
      <c r="CV171" s="307" t="s">
        <v>87</v>
      </c>
      <c r="CW171" s="366" t="s">
        <v>12</v>
      </c>
      <c r="CX171" s="307">
        <v>0.26700000000000002</v>
      </c>
      <c r="CY171" s="307">
        <v>0.26700000000000002</v>
      </c>
      <c r="CZ171" s="307">
        <v>0.26700000000000002</v>
      </c>
    </row>
    <row r="172" spans="7:104">
      <c r="CS172" s="332"/>
      <c r="CT172" s="366" t="s">
        <v>1442</v>
      </c>
      <c r="CU172" s="307" t="s">
        <v>208</v>
      </c>
      <c r="CV172" s="307" t="s">
        <v>87</v>
      </c>
      <c r="CW172" s="366" t="s">
        <v>13</v>
      </c>
      <c r="CX172" s="307">
        <v>0.377</v>
      </c>
      <c r="CY172" s="307">
        <v>0.377</v>
      </c>
      <c r="CZ172" s="307">
        <v>0.377</v>
      </c>
    </row>
    <row r="173" spans="7:104">
      <c r="CS173" s="332"/>
      <c r="CT173" s="366" t="s">
        <v>1443</v>
      </c>
      <c r="CU173" s="307" t="s">
        <v>208</v>
      </c>
      <c r="CV173" s="307" t="s">
        <v>87</v>
      </c>
      <c r="CW173" s="366" t="s">
        <v>14</v>
      </c>
      <c r="CX173" s="307">
        <v>0.48899999999999999</v>
      </c>
      <c r="CY173" s="307">
        <v>0.48899999999999999</v>
      </c>
      <c r="CZ173" s="307">
        <v>0.48899999999999999</v>
      </c>
    </row>
    <row r="174" spans="7:104">
      <c r="CS174" s="332"/>
      <c r="CT174" s="366" t="s">
        <v>1444</v>
      </c>
      <c r="CU174" s="307" t="s">
        <v>208</v>
      </c>
      <c r="CV174" s="307" t="s">
        <v>87</v>
      </c>
      <c r="CW174" s="366" t="s">
        <v>15</v>
      </c>
      <c r="CX174" s="307">
        <v>0.59899999999999998</v>
      </c>
      <c r="CY174" s="307">
        <v>0.59899999999999998</v>
      </c>
      <c r="CZ174" s="307">
        <v>0.59899999999999998</v>
      </c>
    </row>
    <row r="175" spans="7:104">
      <c r="CS175" s="332"/>
      <c r="CT175" s="366" t="s">
        <v>1445</v>
      </c>
      <c r="CU175" s="307" t="s">
        <v>208</v>
      </c>
      <c r="CV175" s="307" t="s">
        <v>87</v>
      </c>
      <c r="CW175" s="366" t="s">
        <v>16</v>
      </c>
      <c r="CX175" s="307">
        <v>0.70399999999999996</v>
      </c>
      <c r="CY175" s="307">
        <v>0.70399999999999996</v>
      </c>
      <c r="CZ175" s="307">
        <v>0.70399999999999996</v>
      </c>
    </row>
    <row r="176" spans="7:104">
      <c r="CS176" s="332"/>
      <c r="CT176" s="366" t="s">
        <v>1446</v>
      </c>
      <c r="CU176" s="307" t="s">
        <v>208</v>
      </c>
      <c r="CV176" s="307" t="s">
        <v>87</v>
      </c>
      <c r="CW176" s="366" t="s">
        <v>17</v>
      </c>
      <c r="CX176" s="307">
        <v>0.79600000000000004</v>
      </c>
      <c r="CY176" s="307">
        <v>0.79600000000000004</v>
      </c>
      <c r="CZ176" s="307">
        <v>0.79600000000000004</v>
      </c>
    </row>
    <row r="177" spans="97:104">
      <c r="CS177" s="332"/>
      <c r="CT177" s="366" t="s">
        <v>1447</v>
      </c>
      <c r="CU177" s="307" t="s">
        <v>208</v>
      </c>
      <c r="CV177" s="307" t="s">
        <v>87</v>
      </c>
      <c r="CW177" s="366" t="s">
        <v>31</v>
      </c>
      <c r="CX177" s="307">
        <v>0.87583966000000002</v>
      </c>
      <c r="CY177" s="307">
        <v>0.87583966000000002</v>
      </c>
      <c r="CZ177" s="307">
        <v>0.87583966000000002</v>
      </c>
    </row>
    <row r="178" spans="97:104">
      <c r="CS178" s="332"/>
      <c r="CT178" s="366" t="s">
        <v>1448</v>
      </c>
      <c r="CU178" s="307" t="s">
        <v>208</v>
      </c>
      <c r="CV178" s="307" t="s">
        <v>87</v>
      </c>
      <c r="CW178" s="366" t="s">
        <v>18</v>
      </c>
      <c r="CX178" s="307">
        <v>0.94599999999999995</v>
      </c>
      <c r="CY178" s="307">
        <v>0.94599999999999995</v>
      </c>
      <c r="CZ178" s="307">
        <v>0.94599999999999995</v>
      </c>
    </row>
    <row r="179" spans="97:104">
      <c r="CS179" s="332"/>
      <c r="CT179" s="366" t="s">
        <v>1449</v>
      </c>
      <c r="CU179" s="307" t="s">
        <v>208</v>
      </c>
      <c r="CV179" s="307" t="s">
        <v>87</v>
      </c>
      <c r="CW179" s="366" t="s">
        <v>32</v>
      </c>
      <c r="CX179" s="307">
        <v>1.0059137149999999</v>
      </c>
      <c r="CY179" s="307">
        <v>1.0059137149999999</v>
      </c>
      <c r="CZ179" s="307">
        <v>1.0059137149999999</v>
      </c>
    </row>
    <row r="180" spans="97:104">
      <c r="CS180" s="332"/>
      <c r="CT180" s="366" t="s">
        <v>1450</v>
      </c>
      <c r="CU180" s="307" t="s">
        <v>208</v>
      </c>
      <c r="CV180" s="307" t="s">
        <v>87</v>
      </c>
      <c r="CW180" s="366" t="s">
        <v>33</v>
      </c>
      <c r="CX180" s="307">
        <v>1.057097969</v>
      </c>
      <c r="CY180" s="307">
        <v>1.057097969</v>
      </c>
      <c r="CZ180" s="307">
        <v>1.057097969</v>
      </c>
    </row>
    <row r="181" spans="97:104">
      <c r="CS181" s="332"/>
      <c r="CT181" s="366" t="s">
        <v>1451</v>
      </c>
      <c r="CU181" s="307" t="s">
        <v>208</v>
      </c>
      <c r="CV181" s="307" t="s">
        <v>87</v>
      </c>
      <c r="CW181" s="366" t="s">
        <v>19</v>
      </c>
      <c r="CX181" s="307">
        <v>1.1000000000000001</v>
      </c>
      <c r="CY181" s="307">
        <v>1.1000000000000001</v>
      </c>
      <c r="CZ181" s="307">
        <v>1.1000000000000001</v>
      </c>
    </row>
    <row r="182" spans="97:104">
      <c r="CS182" s="332"/>
      <c r="CT182" s="366" t="s">
        <v>1452</v>
      </c>
      <c r="CU182" s="307" t="s">
        <v>208</v>
      </c>
      <c r="CV182" s="307" t="s">
        <v>87</v>
      </c>
      <c r="CW182" s="366" t="s">
        <v>34</v>
      </c>
      <c r="CX182" s="307">
        <v>1.135184062</v>
      </c>
      <c r="CY182" s="307">
        <v>1.135184062</v>
      </c>
      <c r="CZ182" s="307">
        <v>1.135184062</v>
      </c>
    </row>
    <row r="183" spans="97:104">
      <c r="CS183" s="332"/>
      <c r="CT183" s="366" t="s">
        <v>1453</v>
      </c>
      <c r="CU183" s="307" t="s">
        <v>208</v>
      </c>
      <c r="CV183" s="307" t="s">
        <v>87</v>
      </c>
      <c r="CW183" s="366" t="s">
        <v>35</v>
      </c>
      <c r="CX183" s="307">
        <v>1.163006934</v>
      </c>
      <c r="CY183" s="307">
        <v>1.163006934</v>
      </c>
      <c r="CZ183" s="307">
        <v>1.163006934</v>
      </c>
    </row>
    <row r="184" spans="97:104">
      <c r="CS184" s="332"/>
      <c r="CT184" s="366" t="s">
        <v>1454</v>
      </c>
      <c r="CU184" s="307" t="s">
        <v>208</v>
      </c>
      <c r="CV184" s="307" t="s">
        <v>87</v>
      </c>
      <c r="CW184" s="366" t="s">
        <v>36</v>
      </c>
      <c r="CX184" s="307">
        <v>1.1848519790000001</v>
      </c>
      <c r="CY184" s="307">
        <v>1.1848519790000001</v>
      </c>
      <c r="CZ184" s="307">
        <v>1.1848519790000001</v>
      </c>
    </row>
    <row r="185" spans="97:104">
      <c r="CS185" s="332"/>
      <c r="CT185" s="366" t="s">
        <v>1455</v>
      </c>
      <c r="CU185" s="307" t="s">
        <v>208</v>
      </c>
      <c r="CV185" s="307" t="s">
        <v>87</v>
      </c>
      <c r="CW185" s="366" t="s">
        <v>37</v>
      </c>
      <c r="CX185" s="307">
        <v>1.201414735</v>
      </c>
      <c r="CY185" s="307">
        <v>1.201414735</v>
      </c>
      <c r="CZ185" s="307">
        <v>1.201414735</v>
      </c>
    </row>
    <row r="186" spans="97:104">
      <c r="CS186" s="332"/>
      <c r="CT186" s="366" t="s">
        <v>1456</v>
      </c>
      <c r="CU186" s="307" t="s">
        <v>208</v>
      </c>
      <c r="CV186" s="307" t="s">
        <v>87</v>
      </c>
      <c r="CW186" s="366" t="s">
        <v>20</v>
      </c>
      <c r="CX186" s="307">
        <v>1.214</v>
      </c>
      <c r="CY186" s="307">
        <v>1.214</v>
      </c>
      <c r="CZ186" s="307">
        <v>1.214</v>
      </c>
    </row>
    <row r="187" spans="97:104">
      <c r="CS187" s="332"/>
      <c r="CT187" s="366" t="s">
        <v>1457</v>
      </c>
      <c r="CU187" s="307" t="s">
        <v>208</v>
      </c>
      <c r="CV187" s="307" t="s">
        <v>87</v>
      </c>
      <c r="CW187" s="366" t="s">
        <v>38</v>
      </c>
      <c r="CX187" s="307">
        <v>1.2231231010000001</v>
      </c>
      <c r="CY187" s="307">
        <v>1.2231231010000001</v>
      </c>
      <c r="CZ187" s="307">
        <v>1.2231231010000001</v>
      </c>
    </row>
    <row r="188" spans="97:104">
      <c r="CS188" s="332"/>
      <c r="CT188" s="366" t="s">
        <v>1458</v>
      </c>
      <c r="CU188" s="307" t="s">
        <v>208</v>
      </c>
      <c r="CV188" s="307" t="s">
        <v>87</v>
      </c>
      <c r="CW188" s="366" t="s">
        <v>39</v>
      </c>
      <c r="CX188" s="307">
        <v>1.229587993</v>
      </c>
      <c r="CY188" s="307">
        <v>1.229587993</v>
      </c>
      <c r="CZ188" s="307">
        <v>1.229587993</v>
      </c>
    </row>
    <row r="189" spans="97:104">
      <c r="CS189" s="332"/>
      <c r="CT189" s="366" t="s">
        <v>1459</v>
      </c>
      <c r="CU189" s="307" t="s">
        <v>208</v>
      </c>
      <c r="CV189" s="307" t="s">
        <v>87</v>
      </c>
      <c r="CW189" s="366" t="s">
        <v>40</v>
      </c>
      <c r="CX189" s="307">
        <v>1.2339844280000001</v>
      </c>
      <c r="CY189" s="307">
        <v>1.2339844280000001</v>
      </c>
      <c r="CZ189" s="307">
        <v>1.2339844280000001</v>
      </c>
    </row>
    <row r="190" spans="97:104">
      <c r="CS190" s="332"/>
      <c r="CT190" s="366" t="s">
        <v>1460</v>
      </c>
      <c r="CU190" s="307" t="s">
        <v>208</v>
      </c>
      <c r="CV190" s="307" t="s">
        <v>87</v>
      </c>
      <c r="CW190" s="366" t="s">
        <v>41</v>
      </c>
      <c r="CX190" s="307">
        <v>1.2370241710000001</v>
      </c>
      <c r="CY190" s="307">
        <v>1.2370241710000001</v>
      </c>
      <c r="CZ190" s="307">
        <v>1.2370241710000001</v>
      </c>
    </row>
    <row r="191" spans="97:104">
      <c r="CS191" s="332"/>
      <c r="CT191" s="366" t="s">
        <v>1461</v>
      </c>
      <c r="CU191" s="307" t="s">
        <v>208</v>
      </c>
      <c r="CV191" s="307" t="s">
        <v>87</v>
      </c>
      <c r="CW191" s="366" t="s">
        <v>21</v>
      </c>
      <c r="CX191" s="307">
        <v>1.2390000000000001</v>
      </c>
      <c r="CY191" s="307">
        <v>1.2390000000000001</v>
      </c>
      <c r="CZ191" s="307">
        <v>1.2390000000000001</v>
      </c>
    </row>
    <row r="192" spans="97:104">
      <c r="CS192" s="332"/>
      <c r="CT192" s="366" t="s">
        <v>1462</v>
      </c>
      <c r="CU192" s="307" t="s">
        <v>208</v>
      </c>
      <c r="CV192" s="307" t="s">
        <v>87</v>
      </c>
      <c r="CW192" s="366" t="s">
        <v>42</v>
      </c>
      <c r="CX192" s="307">
        <v>1.2405303219999999</v>
      </c>
      <c r="CY192" s="307">
        <v>1.2405303219999999</v>
      </c>
      <c r="CZ192" s="307">
        <v>1.2405303219999999</v>
      </c>
    </row>
    <row r="193" spans="97:104">
      <c r="CS193" s="332"/>
      <c r="CT193" s="366" t="s">
        <v>1463</v>
      </c>
      <c r="CU193" s="307" t="s">
        <v>208</v>
      </c>
      <c r="CV193" s="307" t="s">
        <v>87</v>
      </c>
      <c r="CW193" s="366" t="s">
        <v>43</v>
      </c>
      <c r="CX193" s="307">
        <v>1.241695427</v>
      </c>
      <c r="CY193" s="307">
        <v>1.241695427</v>
      </c>
      <c r="CZ193" s="307">
        <v>1.241695427</v>
      </c>
    </row>
    <row r="194" spans="97:104">
      <c r="CS194" s="332"/>
      <c r="CT194" s="366" t="s">
        <v>1464</v>
      </c>
      <c r="CU194" s="307" t="s">
        <v>208</v>
      </c>
      <c r="CV194" s="307" t="s">
        <v>87</v>
      </c>
      <c r="CW194" s="366" t="s">
        <v>44</v>
      </c>
      <c r="CX194" s="307">
        <v>1.242589422</v>
      </c>
      <c r="CY194" s="307">
        <v>1.242589422</v>
      </c>
      <c r="CZ194" s="307">
        <v>1.242589422</v>
      </c>
    </row>
    <row r="195" spans="97:104">
      <c r="CS195" s="332"/>
      <c r="CT195" s="366" t="s">
        <v>1465</v>
      </c>
      <c r="CU195" s="307" t="s">
        <v>208</v>
      </c>
      <c r="CV195" s="307" t="s">
        <v>87</v>
      </c>
      <c r="CW195" s="366" t="s">
        <v>45</v>
      </c>
      <c r="CX195" s="307">
        <v>1.242991958</v>
      </c>
      <c r="CY195" s="307">
        <v>1.242991958</v>
      </c>
      <c r="CZ195" s="307">
        <v>1.242991958</v>
      </c>
    </row>
    <row r="196" spans="97:104">
      <c r="CS196" s="332"/>
      <c r="CT196" s="366" t="s">
        <v>1466</v>
      </c>
      <c r="CU196" s="307" t="s">
        <v>208</v>
      </c>
      <c r="CV196" s="307" t="s">
        <v>87</v>
      </c>
      <c r="CW196" s="366" t="s">
        <v>22</v>
      </c>
      <c r="CX196" s="307">
        <v>1.2430000000000001</v>
      </c>
      <c r="CY196" s="307">
        <v>1.2430000000000001</v>
      </c>
      <c r="CZ196" s="307">
        <v>1.2430000000000001</v>
      </c>
    </row>
    <row r="197" spans="97:104">
      <c r="CS197" s="332"/>
      <c r="CT197" s="366" t="s">
        <v>1467</v>
      </c>
      <c r="CU197" s="307" t="s">
        <v>208</v>
      </c>
      <c r="CV197" s="307" t="s">
        <v>87</v>
      </c>
      <c r="CW197" s="366" t="s">
        <v>163</v>
      </c>
      <c r="CX197" s="307">
        <v>1.242605669</v>
      </c>
      <c r="CY197" s="307">
        <v>1.242605669</v>
      </c>
      <c r="CZ197" s="307">
        <v>1.242605669</v>
      </c>
    </row>
    <row r="198" spans="97:104">
      <c r="CS198" s="332"/>
      <c r="CT198" s="366" t="s">
        <v>1468</v>
      </c>
      <c r="CU198" s="307" t="s">
        <v>208</v>
      </c>
      <c r="CV198" s="307" t="s">
        <v>87</v>
      </c>
      <c r="CW198" s="366" t="s">
        <v>164</v>
      </c>
      <c r="CX198" s="307">
        <v>1.241878152</v>
      </c>
      <c r="CY198" s="307">
        <v>1.241878152</v>
      </c>
      <c r="CZ198" s="307">
        <v>1.241878152</v>
      </c>
    </row>
    <row r="199" spans="97:104">
      <c r="CS199" s="332"/>
      <c r="CT199" s="366" t="s">
        <v>1469</v>
      </c>
      <c r="CU199" s="307" t="s">
        <v>208</v>
      </c>
      <c r="CV199" s="307" t="s">
        <v>87</v>
      </c>
      <c r="CW199" s="366" t="s">
        <v>165</v>
      </c>
      <c r="CX199" s="307">
        <v>1.2406356059999999</v>
      </c>
      <c r="CY199" s="307">
        <v>1.2406356059999999</v>
      </c>
      <c r="CZ199" s="307">
        <v>1.2406356059999999</v>
      </c>
    </row>
    <row r="200" spans="97:104">
      <c r="CS200" s="332"/>
      <c r="CT200" s="366" t="s">
        <v>1470</v>
      </c>
      <c r="CU200" s="307" t="s">
        <v>208</v>
      </c>
      <c r="CV200" s="307" t="s">
        <v>87</v>
      </c>
      <c r="CW200" s="366" t="s">
        <v>166</v>
      </c>
      <c r="CX200" s="307">
        <v>1.2389534529999999</v>
      </c>
      <c r="CY200" s="307">
        <v>1.2389534529999999</v>
      </c>
      <c r="CZ200" s="307">
        <v>1.2389534529999999</v>
      </c>
    </row>
    <row r="201" spans="97:104">
      <c r="CS201" s="332"/>
      <c r="CT201" s="366" t="s">
        <v>1471</v>
      </c>
      <c r="CU201" s="307" t="s">
        <v>208</v>
      </c>
      <c r="CV201" s="307" t="s">
        <v>87</v>
      </c>
      <c r="CW201" s="366" t="s">
        <v>167</v>
      </c>
      <c r="CX201" s="307">
        <v>1.236805207</v>
      </c>
      <c r="CY201" s="307">
        <v>1.236805207</v>
      </c>
      <c r="CZ201" s="307">
        <v>1.236805207</v>
      </c>
    </row>
    <row r="202" spans="97:104">
      <c r="CS202" s="332"/>
      <c r="CT202" s="366" t="s">
        <v>1472</v>
      </c>
      <c r="CU202" s="307" t="s">
        <v>208</v>
      </c>
      <c r="CV202" s="307" t="s">
        <v>87</v>
      </c>
      <c r="CW202" s="366" t="s">
        <v>168</v>
      </c>
      <c r="CX202" s="307">
        <v>1.234288252</v>
      </c>
      <c r="CY202" s="307">
        <v>1.234288252</v>
      </c>
      <c r="CZ202" s="307">
        <v>1.234288252</v>
      </c>
    </row>
    <row r="203" spans="97:104">
      <c r="CS203" s="332"/>
      <c r="CT203" s="366" t="s">
        <v>1473</v>
      </c>
      <c r="CU203" s="307" t="s">
        <v>208</v>
      </c>
      <c r="CV203" s="307" t="s">
        <v>87</v>
      </c>
      <c r="CW203" s="366" t="s">
        <v>169</v>
      </c>
      <c r="CX203" s="307">
        <v>1.231209486</v>
      </c>
      <c r="CY203" s="307">
        <v>1.231209486</v>
      </c>
      <c r="CZ203" s="307">
        <v>1.231209486</v>
      </c>
    </row>
    <row r="204" spans="97:104">
      <c r="CS204" s="332"/>
      <c r="CT204" s="366" t="s">
        <v>1474</v>
      </c>
      <c r="CU204" s="307" t="s">
        <v>208</v>
      </c>
      <c r="CV204" s="307" t="s">
        <v>87</v>
      </c>
      <c r="CW204" s="366" t="s">
        <v>170</v>
      </c>
      <c r="CX204" s="307">
        <v>1.227640302</v>
      </c>
      <c r="CY204" s="307">
        <v>1.227640302</v>
      </c>
      <c r="CZ204" s="307">
        <v>1.227640302</v>
      </c>
    </row>
    <row r="205" spans="97:104">
      <c r="CS205" s="332"/>
      <c r="CT205" s="366" t="s">
        <v>1475</v>
      </c>
      <c r="CU205" s="307" t="s">
        <v>208</v>
      </c>
      <c r="CV205" s="307" t="s">
        <v>87</v>
      </c>
      <c r="CW205" s="366" t="s">
        <v>171</v>
      </c>
      <c r="CX205" s="307">
        <v>1.223567074</v>
      </c>
      <c r="CY205" s="307">
        <v>1.223567074</v>
      </c>
      <c r="CZ205" s="307">
        <v>1.223567074</v>
      </c>
    </row>
    <row r="206" spans="97:104">
      <c r="CS206" s="332"/>
      <c r="CT206" s="366" t="s">
        <v>1476</v>
      </c>
      <c r="CU206" s="307" t="s">
        <v>208</v>
      </c>
      <c r="CV206" s="307" t="s">
        <v>87</v>
      </c>
      <c r="CW206" s="366" t="s">
        <v>46</v>
      </c>
      <c r="CX206" s="307">
        <v>1.2190000000000001</v>
      </c>
      <c r="CY206" s="307">
        <v>1.2190000000000001</v>
      </c>
      <c r="CZ206" s="307">
        <v>1.2190000000000001</v>
      </c>
    </row>
    <row r="207" spans="97:104">
      <c r="CS207" s="332"/>
      <c r="CT207" s="366" t="s">
        <v>1477</v>
      </c>
      <c r="CU207" s="307" t="s">
        <v>208</v>
      </c>
      <c r="CV207" s="307" t="s">
        <v>87</v>
      </c>
      <c r="CW207" s="366" t="s">
        <v>47</v>
      </c>
      <c r="CX207" s="307">
        <v>1.1599999999999999</v>
      </c>
      <c r="CY207" s="307">
        <v>1.1599999999999999</v>
      </c>
      <c r="CZ207" s="307">
        <v>1.1599999999999999</v>
      </c>
    </row>
    <row r="208" spans="97:104">
      <c r="CS208" s="332"/>
      <c r="CT208" s="366" t="s">
        <v>1478</v>
      </c>
      <c r="CU208" s="307" t="s">
        <v>208</v>
      </c>
      <c r="CV208" s="307" t="s">
        <v>87</v>
      </c>
      <c r="CW208" s="366" t="s">
        <v>48</v>
      </c>
      <c r="CX208" s="307">
        <v>1.121</v>
      </c>
      <c r="CY208" s="307">
        <v>1.121</v>
      </c>
      <c r="CZ208" s="307">
        <v>1.121</v>
      </c>
    </row>
    <row r="209" spans="97:104">
      <c r="CS209" s="332"/>
      <c r="CT209" s="366" t="s">
        <v>1479</v>
      </c>
      <c r="CU209" s="307" t="s">
        <v>208</v>
      </c>
      <c r="CV209" s="307" t="s">
        <v>88</v>
      </c>
      <c r="CW209" s="366" t="s">
        <v>23</v>
      </c>
      <c r="CX209" s="307">
        <v>-0.324285763</v>
      </c>
      <c r="CY209" s="307">
        <v>-0.324285763</v>
      </c>
      <c r="CZ209" s="307">
        <v>-0.324285763</v>
      </c>
    </row>
    <row r="210" spans="97:104">
      <c r="CS210" s="332"/>
      <c r="CT210" s="366" t="s">
        <v>1480</v>
      </c>
      <c r="CU210" s="307" t="s">
        <v>208</v>
      </c>
      <c r="CV210" s="307" t="s">
        <v>88</v>
      </c>
      <c r="CW210" s="366" t="s">
        <v>5</v>
      </c>
      <c r="CX210" s="307">
        <v>-0.32427992100000003</v>
      </c>
      <c r="CY210" s="307">
        <v>-0.32427992100000003</v>
      </c>
      <c r="CZ210" s="307">
        <v>-0.32427992100000003</v>
      </c>
    </row>
    <row r="211" spans="97:104">
      <c r="CS211" s="332"/>
      <c r="CT211" s="366" t="s">
        <v>1481</v>
      </c>
      <c r="CU211" s="307" t="s">
        <v>208</v>
      </c>
      <c r="CV211" s="307" t="s">
        <v>88</v>
      </c>
      <c r="CW211" s="366" t="s">
        <v>6</v>
      </c>
      <c r="CX211" s="307">
        <v>-0.32195570200000001</v>
      </c>
      <c r="CY211" s="307">
        <v>-0.32195570200000001</v>
      </c>
      <c r="CZ211" s="307">
        <v>-0.32195570200000001</v>
      </c>
    </row>
    <row r="212" spans="97:104">
      <c r="CS212" s="332"/>
      <c r="CT212" s="366" t="s">
        <v>1482</v>
      </c>
      <c r="CU212" s="307" t="s">
        <v>208</v>
      </c>
      <c r="CV212" s="307" t="s">
        <v>88</v>
      </c>
      <c r="CW212" s="366" t="s">
        <v>24</v>
      </c>
      <c r="CX212" s="307">
        <v>-0.32271690800000002</v>
      </c>
      <c r="CY212" s="307">
        <v>-0.32271690800000002</v>
      </c>
      <c r="CZ212" s="307">
        <v>-0.32271690800000002</v>
      </c>
    </row>
    <row r="213" spans="97:104">
      <c r="CS213" s="332"/>
      <c r="CT213" s="366" t="s">
        <v>1483</v>
      </c>
      <c r="CU213" s="307" t="s">
        <v>208</v>
      </c>
      <c r="CV213" s="307" t="s">
        <v>88</v>
      </c>
      <c r="CW213" s="366" t="s">
        <v>7</v>
      </c>
      <c r="CX213" s="307">
        <v>-0.32319999999999999</v>
      </c>
      <c r="CY213" s="307">
        <v>-0.32319999999999999</v>
      </c>
      <c r="CZ213" s="307">
        <v>-0.32319999999999999</v>
      </c>
    </row>
    <row r="214" spans="97:104">
      <c r="CS214" s="332"/>
      <c r="CT214" s="366" t="s">
        <v>1484</v>
      </c>
      <c r="CU214" s="307" t="s">
        <v>208</v>
      </c>
      <c r="CV214" s="307" t="s">
        <v>88</v>
      </c>
      <c r="CW214" s="366" t="s">
        <v>8</v>
      </c>
      <c r="CX214" s="307">
        <v>-0.3165</v>
      </c>
      <c r="CY214" s="307">
        <v>-0.3165</v>
      </c>
      <c r="CZ214" s="307">
        <v>-0.3165</v>
      </c>
    </row>
    <row r="215" spans="97:104">
      <c r="CS215" s="332"/>
      <c r="CT215" s="366" t="s">
        <v>1485</v>
      </c>
      <c r="CU215" s="307" t="s">
        <v>208</v>
      </c>
      <c r="CV215" s="307" t="s">
        <v>88</v>
      </c>
      <c r="CW215" s="366" t="s">
        <v>25</v>
      </c>
      <c r="CX215" s="307">
        <v>-0.31309999999999999</v>
      </c>
      <c r="CY215" s="307">
        <v>-0.31309999999999999</v>
      </c>
      <c r="CZ215" s="307">
        <v>-0.31309999999999999</v>
      </c>
    </row>
    <row r="216" spans="97:104">
      <c r="CS216" s="332"/>
      <c r="CT216" s="366" t="s">
        <v>4139</v>
      </c>
      <c r="CU216" s="307" t="s">
        <v>208</v>
      </c>
      <c r="CV216" s="307" t="s">
        <v>88</v>
      </c>
      <c r="CW216" s="366" t="s">
        <v>1350</v>
      </c>
      <c r="CX216" s="307">
        <v>-0.30499999999999999</v>
      </c>
      <c r="CY216" s="307">
        <v>-0.30499999999999999</v>
      </c>
      <c r="CZ216" s="307">
        <v>-0.30499999999999999</v>
      </c>
    </row>
    <row r="217" spans="97:104">
      <c r="CS217" s="332"/>
      <c r="CT217" s="366" t="s">
        <v>4140</v>
      </c>
      <c r="CU217" s="307" t="s">
        <v>208</v>
      </c>
      <c r="CV217" s="307" t="s">
        <v>88</v>
      </c>
      <c r="CW217" s="366" t="s">
        <v>1351</v>
      </c>
      <c r="CX217" s="307">
        <v>-0.3</v>
      </c>
      <c r="CY217" s="307">
        <v>-0.3</v>
      </c>
      <c r="CZ217" s="307">
        <v>-0.3</v>
      </c>
    </row>
    <row r="218" spans="97:104">
      <c r="CS218" s="332"/>
      <c r="CT218" s="366" t="s">
        <v>4141</v>
      </c>
      <c r="CU218" s="307" t="s">
        <v>208</v>
      </c>
      <c r="CV218" s="307" t="s">
        <v>88</v>
      </c>
      <c r="CW218" s="366" t="s">
        <v>1213</v>
      </c>
      <c r="CX218" s="307">
        <v>-0.29599999999999999</v>
      </c>
      <c r="CY218" s="307">
        <v>-0.29599999999999999</v>
      </c>
      <c r="CZ218" s="307">
        <v>-0.29599999999999999</v>
      </c>
    </row>
    <row r="219" spans="97:104">
      <c r="CS219" s="332"/>
      <c r="CT219" s="366" t="s">
        <v>4149</v>
      </c>
      <c r="CU219" s="307" t="s">
        <v>208</v>
      </c>
      <c r="CV219" s="307" t="s">
        <v>88</v>
      </c>
      <c r="CW219" s="366" t="s">
        <v>1063</v>
      </c>
      <c r="CX219" s="307">
        <v>100.2925</v>
      </c>
      <c r="CY219" s="307">
        <v>100.2925</v>
      </c>
      <c r="CZ219" s="307">
        <v>100.2925</v>
      </c>
    </row>
    <row r="220" spans="97:104">
      <c r="CS220" s="332"/>
      <c r="CT220" s="366" t="s">
        <v>4142</v>
      </c>
      <c r="CU220" s="307" t="s">
        <v>208</v>
      </c>
      <c r="CV220" s="307" t="s">
        <v>88</v>
      </c>
      <c r="CW220" s="366" t="s">
        <v>1352</v>
      </c>
      <c r="CX220" s="307">
        <v>-0.29099999999999998</v>
      </c>
      <c r="CY220" s="307">
        <v>-0.29099999999999998</v>
      </c>
      <c r="CZ220" s="307">
        <v>-0.29099999999999998</v>
      </c>
    </row>
    <row r="221" spans="97:104">
      <c r="CS221" s="332"/>
      <c r="CT221" s="366" t="s">
        <v>4143</v>
      </c>
      <c r="CU221" s="307" t="s">
        <v>208</v>
      </c>
      <c r="CV221" s="307" t="s">
        <v>88</v>
      </c>
      <c r="CW221" s="366" t="s">
        <v>1353</v>
      </c>
      <c r="CX221" s="307">
        <v>-0.28599999999999998</v>
      </c>
      <c r="CY221" s="307">
        <v>-0.28599999999999998</v>
      </c>
      <c r="CZ221" s="307">
        <v>-0.28599999999999998</v>
      </c>
    </row>
    <row r="222" spans="97:104">
      <c r="CS222" s="332"/>
      <c r="CT222" s="366" t="s">
        <v>4144</v>
      </c>
      <c r="CU222" s="307" t="s">
        <v>208</v>
      </c>
      <c r="CV222" s="307" t="s">
        <v>88</v>
      </c>
      <c r="CW222" s="366" t="s">
        <v>1214</v>
      </c>
      <c r="CX222" s="307">
        <v>-0.28199999999999997</v>
      </c>
      <c r="CY222" s="307">
        <v>-0.28199999999999997</v>
      </c>
      <c r="CZ222" s="307">
        <v>-0.28199999999999997</v>
      </c>
    </row>
    <row r="223" spans="97:104">
      <c r="CS223" s="332"/>
      <c r="CT223" s="366" t="s">
        <v>4152</v>
      </c>
      <c r="CU223" s="307" t="s">
        <v>208</v>
      </c>
      <c r="CV223" s="307" t="s">
        <v>88</v>
      </c>
      <c r="CW223" s="366" t="s">
        <v>1066</v>
      </c>
      <c r="CX223" s="307">
        <v>100.2775</v>
      </c>
      <c r="CY223" s="307">
        <v>100.2775</v>
      </c>
      <c r="CZ223" s="307">
        <v>100.2775</v>
      </c>
    </row>
    <row r="224" spans="97:104">
      <c r="CS224" s="332"/>
      <c r="CT224" s="366" t="s">
        <v>4145</v>
      </c>
      <c r="CU224" s="307" t="s">
        <v>208</v>
      </c>
      <c r="CV224" s="307" t="s">
        <v>88</v>
      </c>
      <c r="CW224" s="366" t="s">
        <v>1354</v>
      </c>
      <c r="CX224" s="307">
        <v>-0.27700000000000002</v>
      </c>
      <c r="CY224" s="307">
        <v>-0.27700000000000002</v>
      </c>
      <c r="CZ224" s="307">
        <v>-0.27700000000000002</v>
      </c>
    </row>
    <row r="225" spans="97:104">
      <c r="CS225" s="332"/>
      <c r="CT225" s="366" t="s">
        <v>4146</v>
      </c>
      <c r="CU225" s="307" t="s">
        <v>208</v>
      </c>
      <c r="CV225" s="307" t="s">
        <v>88</v>
      </c>
      <c r="CW225" s="366" t="s">
        <v>1355</v>
      </c>
      <c r="CX225" s="307">
        <v>-0.27100000000000002</v>
      </c>
      <c r="CY225" s="307">
        <v>-0.27100000000000002</v>
      </c>
      <c r="CZ225" s="307">
        <v>-0.27100000000000002</v>
      </c>
    </row>
    <row r="226" spans="97:104">
      <c r="CS226" s="332"/>
      <c r="CT226" s="366" t="s">
        <v>4147</v>
      </c>
      <c r="CU226" s="307" t="s">
        <v>208</v>
      </c>
      <c r="CV226" s="307" t="s">
        <v>88</v>
      </c>
      <c r="CW226" s="366" t="s">
        <v>1215</v>
      </c>
      <c r="CX226" s="307">
        <v>-0.26600000000000001</v>
      </c>
      <c r="CY226" s="307">
        <v>-0.26600000000000001</v>
      </c>
      <c r="CZ226" s="307">
        <v>-0.26600000000000001</v>
      </c>
    </row>
    <row r="227" spans="97:104">
      <c r="CS227" s="332"/>
      <c r="CT227" s="366" t="s">
        <v>4153</v>
      </c>
      <c r="CU227" s="307" t="s">
        <v>208</v>
      </c>
      <c r="CV227" s="307" t="s">
        <v>88</v>
      </c>
      <c r="CW227" s="366" t="s">
        <v>1069</v>
      </c>
      <c r="CX227" s="307">
        <v>100.25749999999999</v>
      </c>
      <c r="CY227" s="307">
        <v>100.25749999999999</v>
      </c>
      <c r="CZ227" s="307">
        <v>100.25749999999999</v>
      </c>
    </row>
    <row r="228" spans="97:104">
      <c r="CS228" s="332"/>
      <c r="CT228" s="366" t="s">
        <v>4148</v>
      </c>
      <c r="CU228" s="307" t="s">
        <v>208</v>
      </c>
      <c r="CV228" s="307" t="s">
        <v>88</v>
      </c>
      <c r="CW228" s="366" t="s">
        <v>3887</v>
      </c>
      <c r="CX228" s="307">
        <v>-0.26</v>
      </c>
      <c r="CY228" s="307">
        <v>-0.26</v>
      </c>
      <c r="CZ228" s="307">
        <v>-0.26</v>
      </c>
    </row>
    <row r="229" spans="97:104">
      <c r="CS229" s="332"/>
      <c r="CT229" s="366" t="s">
        <v>4150</v>
      </c>
      <c r="CU229" s="307" t="s">
        <v>208</v>
      </c>
      <c r="CV229" s="307" t="s">
        <v>88</v>
      </c>
      <c r="CW229" s="366" t="s">
        <v>3888</v>
      </c>
      <c r="CX229" s="307">
        <v>-0.252</v>
      </c>
      <c r="CY229" s="307">
        <v>-0.252</v>
      </c>
      <c r="CZ229" s="307">
        <v>-0.252</v>
      </c>
    </row>
    <row r="230" spans="97:104">
      <c r="CS230" s="332"/>
      <c r="CT230" s="366" t="s">
        <v>4151</v>
      </c>
      <c r="CU230" s="307" t="s">
        <v>208</v>
      </c>
      <c r="CV230" s="307" t="s">
        <v>88</v>
      </c>
      <c r="CW230" s="366" t="s">
        <v>2179</v>
      </c>
      <c r="CX230" s="307">
        <v>-0.246</v>
      </c>
      <c r="CY230" s="307">
        <v>-0.246</v>
      </c>
      <c r="CZ230" s="307">
        <v>-0.246</v>
      </c>
    </row>
    <row r="231" spans="97:104">
      <c r="CS231" s="332"/>
      <c r="CT231" s="366" t="s">
        <v>4154</v>
      </c>
      <c r="CU231" s="307" t="s">
        <v>208</v>
      </c>
      <c r="CV231" s="307" t="s">
        <v>88</v>
      </c>
      <c r="CW231" s="366" t="s">
        <v>3865</v>
      </c>
      <c r="CX231" s="307">
        <v>100.24250000000001</v>
      </c>
      <c r="CY231" s="307">
        <v>100.24250000000001</v>
      </c>
      <c r="CZ231" s="307">
        <v>100.24250000000001</v>
      </c>
    </row>
    <row r="232" spans="97:104">
      <c r="CS232" s="332"/>
      <c r="CT232" s="366" t="s">
        <v>4155</v>
      </c>
      <c r="CU232" s="307" t="s">
        <v>208</v>
      </c>
      <c r="CV232" s="307" t="s">
        <v>88</v>
      </c>
      <c r="CW232" s="366" t="s">
        <v>3866</v>
      </c>
      <c r="CX232" s="307">
        <v>100.2175</v>
      </c>
      <c r="CY232" s="307">
        <v>100.2175</v>
      </c>
      <c r="CZ232" s="307">
        <v>100.2175</v>
      </c>
    </row>
    <row r="233" spans="97:104">
      <c r="CS233" s="332"/>
      <c r="CT233" s="366" t="s">
        <v>4156</v>
      </c>
      <c r="CU233" s="307" t="s">
        <v>208</v>
      </c>
      <c r="CV233" s="307" t="s">
        <v>88</v>
      </c>
      <c r="CW233" s="366" t="s">
        <v>3889</v>
      </c>
      <c r="CX233" s="307">
        <v>100.1875</v>
      </c>
      <c r="CY233" s="307">
        <v>100.1875</v>
      </c>
      <c r="CZ233" s="307">
        <v>100.1875</v>
      </c>
    </row>
    <row r="234" spans="97:104">
      <c r="CS234" s="332"/>
      <c r="CT234" s="366" t="s">
        <v>4157</v>
      </c>
      <c r="CU234" s="307" t="s">
        <v>208</v>
      </c>
      <c r="CV234" s="307" t="s">
        <v>88</v>
      </c>
      <c r="CW234" s="366" t="s">
        <v>3890</v>
      </c>
      <c r="CX234" s="307">
        <v>100.1525</v>
      </c>
      <c r="CY234" s="307">
        <v>100.1525</v>
      </c>
      <c r="CZ234" s="307">
        <v>100.1525</v>
      </c>
    </row>
    <row r="235" spans="97:104">
      <c r="CS235" s="332"/>
      <c r="CT235" s="366" t="s">
        <v>5061</v>
      </c>
      <c r="CU235" s="307" t="s">
        <v>208</v>
      </c>
      <c r="CV235" s="307" t="s">
        <v>88</v>
      </c>
      <c r="CW235" s="366" t="s">
        <v>4821</v>
      </c>
      <c r="CX235" s="307">
        <v>100.1125</v>
      </c>
      <c r="CY235" s="307">
        <v>100.1125</v>
      </c>
      <c r="CZ235" s="307">
        <v>100.1125</v>
      </c>
    </row>
    <row r="236" spans="97:104">
      <c r="CS236" s="332"/>
      <c r="CT236" s="366" t="s">
        <v>5105</v>
      </c>
      <c r="CU236" s="307" t="s">
        <v>208</v>
      </c>
      <c r="CV236" s="307" t="s">
        <v>88</v>
      </c>
      <c r="CW236" s="366" t="s">
        <v>5100</v>
      </c>
      <c r="CX236" s="307">
        <v>100.0675</v>
      </c>
      <c r="CY236" s="307">
        <v>100.0675</v>
      </c>
      <c r="CZ236" s="307">
        <v>100.0675</v>
      </c>
    </row>
    <row r="237" spans="97:104">
      <c r="CS237" s="332"/>
      <c r="CT237" s="366" t="s">
        <v>1486</v>
      </c>
      <c r="CU237" s="307" t="s">
        <v>208</v>
      </c>
      <c r="CV237" s="307" t="s">
        <v>88</v>
      </c>
      <c r="CW237" s="366" t="s">
        <v>10</v>
      </c>
      <c r="CX237" s="307">
        <v>-0.186</v>
      </c>
      <c r="CY237" s="307">
        <v>-0.186</v>
      </c>
      <c r="CZ237" s="307">
        <v>-0.186</v>
      </c>
    </row>
    <row r="238" spans="97:104">
      <c r="CS238" s="332"/>
      <c r="CT238" s="366" t="s">
        <v>1487</v>
      </c>
      <c r="CU238" s="307" t="s">
        <v>208</v>
      </c>
      <c r="CV238" s="307" t="s">
        <v>88</v>
      </c>
      <c r="CW238" s="366" t="s">
        <v>11</v>
      </c>
      <c r="CX238" s="307">
        <v>-0.105</v>
      </c>
      <c r="CY238" s="307">
        <v>-0.105</v>
      </c>
      <c r="CZ238" s="307">
        <v>-0.105</v>
      </c>
    </row>
    <row r="239" spans="97:104">
      <c r="CS239" s="332"/>
      <c r="CT239" s="366" t="s">
        <v>1488</v>
      </c>
      <c r="CU239" s="307" t="s">
        <v>208</v>
      </c>
      <c r="CV239" s="307" t="s">
        <v>88</v>
      </c>
      <c r="CW239" s="366" t="s">
        <v>12</v>
      </c>
      <c r="CX239" s="307">
        <v>-6.0000000000000001E-3</v>
      </c>
      <c r="CY239" s="307">
        <v>-6.0000000000000001E-3</v>
      </c>
      <c r="CZ239" s="307">
        <v>-6.0000000000000001E-3</v>
      </c>
    </row>
    <row r="240" spans="97:104">
      <c r="CS240" s="332"/>
      <c r="CT240" s="366" t="s">
        <v>1489</v>
      </c>
      <c r="CU240" s="307" t="s">
        <v>208</v>
      </c>
      <c r="CV240" s="307" t="s">
        <v>88</v>
      </c>
      <c r="CW240" s="366" t="s">
        <v>13</v>
      </c>
      <c r="CX240" s="307">
        <v>0.10299999999999999</v>
      </c>
      <c r="CY240" s="307">
        <v>0.10299999999999999</v>
      </c>
      <c r="CZ240" s="307">
        <v>0.10299999999999999</v>
      </c>
    </row>
    <row r="241" spans="97:104">
      <c r="CS241" s="332"/>
      <c r="CT241" s="366" t="s">
        <v>1490</v>
      </c>
      <c r="CU241" s="307" t="s">
        <v>208</v>
      </c>
      <c r="CV241" s="307" t="s">
        <v>88</v>
      </c>
      <c r="CW241" s="366" t="s">
        <v>14</v>
      </c>
      <c r="CX241" s="307">
        <v>0.218</v>
      </c>
      <c r="CY241" s="307">
        <v>0.218</v>
      </c>
      <c r="CZ241" s="307">
        <v>0.218</v>
      </c>
    </row>
    <row r="242" spans="97:104">
      <c r="CS242" s="332"/>
      <c r="CT242" s="366" t="s">
        <v>1491</v>
      </c>
      <c r="CU242" s="307" t="s">
        <v>208</v>
      </c>
      <c r="CV242" s="307" t="s">
        <v>88</v>
      </c>
      <c r="CW242" s="366" t="s">
        <v>15</v>
      </c>
      <c r="CX242" s="307">
        <v>0.33400000000000002</v>
      </c>
      <c r="CY242" s="307">
        <v>0.33400000000000002</v>
      </c>
      <c r="CZ242" s="307">
        <v>0.33400000000000002</v>
      </c>
    </row>
    <row r="243" spans="97:104">
      <c r="CS243" s="332"/>
      <c r="CT243" s="366" t="s">
        <v>1492</v>
      </c>
      <c r="CU243" s="307" t="s">
        <v>208</v>
      </c>
      <c r="CV243" s="307" t="s">
        <v>88</v>
      </c>
      <c r="CW243" s="366" t="s">
        <v>16</v>
      </c>
      <c r="CX243" s="307">
        <v>0.44600000000000001</v>
      </c>
      <c r="CY243" s="307">
        <v>0.44600000000000001</v>
      </c>
      <c r="CZ243" s="307">
        <v>0.44600000000000001</v>
      </c>
    </row>
    <row r="244" spans="97:104">
      <c r="CS244" s="332"/>
      <c r="CT244" s="366" t="s">
        <v>1493</v>
      </c>
      <c r="CU244" s="307" t="s">
        <v>208</v>
      </c>
      <c r="CV244" s="307" t="s">
        <v>88</v>
      </c>
      <c r="CW244" s="366" t="s">
        <v>17</v>
      </c>
      <c r="CX244" s="307">
        <v>0.55000000000000004</v>
      </c>
      <c r="CY244" s="307">
        <v>0.55000000000000004</v>
      </c>
      <c r="CZ244" s="307">
        <v>0.55000000000000004</v>
      </c>
    </row>
    <row r="245" spans="97:104">
      <c r="CS245" s="332"/>
      <c r="CT245" s="366" t="s">
        <v>1494</v>
      </c>
      <c r="CU245" s="307" t="s">
        <v>208</v>
      </c>
      <c r="CV245" s="307" t="s">
        <v>88</v>
      </c>
      <c r="CW245" s="366" t="s">
        <v>31</v>
      </c>
      <c r="CX245" s="307">
        <v>0.64348159999999999</v>
      </c>
      <c r="CY245" s="307">
        <v>0.64348159999999999</v>
      </c>
      <c r="CZ245" s="307">
        <v>0.64348159999999999</v>
      </c>
    </row>
    <row r="246" spans="97:104">
      <c r="CS246" s="332"/>
      <c r="CT246" s="366" t="s">
        <v>1495</v>
      </c>
      <c r="CU246" s="307" t="s">
        <v>208</v>
      </c>
      <c r="CV246" s="307" t="s">
        <v>88</v>
      </c>
      <c r="CW246" s="366" t="s">
        <v>18</v>
      </c>
      <c r="CX246" s="307">
        <v>0.72699999999999998</v>
      </c>
      <c r="CY246" s="307">
        <v>0.72699999999999998</v>
      </c>
      <c r="CZ246" s="307">
        <v>0.72699999999999998</v>
      </c>
    </row>
    <row r="247" spans="97:104">
      <c r="CS247" s="332"/>
      <c r="CT247" s="366" t="s">
        <v>1496</v>
      </c>
      <c r="CU247" s="307" t="s">
        <v>208</v>
      </c>
      <c r="CV247" s="307" t="s">
        <v>88</v>
      </c>
      <c r="CW247" s="366" t="s">
        <v>32</v>
      </c>
      <c r="CX247" s="307">
        <v>0.79907134899999999</v>
      </c>
      <c r="CY247" s="307">
        <v>0.79907134899999999</v>
      </c>
      <c r="CZ247" s="307">
        <v>0.79907134899999999</v>
      </c>
    </row>
    <row r="248" spans="97:104">
      <c r="CS248" s="332"/>
      <c r="CT248" s="366" t="s">
        <v>1497</v>
      </c>
      <c r="CU248" s="307" t="s">
        <v>208</v>
      </c>
      <c r="CV248" s="307" t="s">
        <v>88</v>
      </c>
      <c r="CW248" s="366" t="s">
        <v>33</v>
      </c>
      <c r="CX248" s="307">
        <v>0.86122129700000005</v>
      </c>
      <c r="CY248" s="307">
        <v>0.86122129700000005</v>
      </c>
      <c r="CZ248" s="307">
        <v>0.86122129700000005</v>
      </c>
    </row>
    <row r="249" spans="97:104">
      <c r="CS249" s="332"/>
      <c r="CT249" s="366" t="s">
        <v>1498</v>
      </c>
      <c r="CU249" s="307" t="s">
        <v>208</v>
      </c>
      <c r="CV249" s="307" t="s">
        <v>88</v>
      </c>
      <c r="CW249" s="366" t="s">
        <v>19</v>
      </c>
      <c r="CX249" s="307">
        <v>0.91400000000000003</v>
      </c>
      <c r="CY249" s="307">
        <v>0.91400000000000003</v>
      </c>
      <c r="CZ249" s="307">
        <v>0.91400000000000003</v>
      </c>
    </row>
    <row r="250" spans="97:104">
      <c r="CS250" s="332"/>
      <c r="CT250" s="366" t="s">
        <v>1499</v>
      </c>
      <c r="CU250" s="307" t="s">
        <v>208</v>
      </c>
      <c r="CV250" s="307" t="s">
        <v>88</v>
      </c>
      <c r="CW250" s="366" t="s">
        <v>34</v>
      </c>
      <c r="CX250" s="307">
        <v>0.95701836799999995</v>
      </c>
      <c r="CY250" s="307">
        <v>0.95701836799999995</v>
      </c>
      <c r="CZ250" s="307">
        <v>0.95701836799999995</v>
      </c>
    </row>
    <row r="251" spans="97:104">
      <c r="CS251" s="332"/>
      <c r="CT251" s="366" t="s">
        <v>1500</v>
      </c>
      <c r="CU251" s="307" t="s">
        <v>208</v>
      </c>
      <c r="CV251" s="307" t="s">
        <v>88</v>
      </c>
      <c r="CW251" s="366" t="s">
        <v>35</v>
      </c>
      <c r="CX251" s="307">
        <v>0.99375122299999996</v>
      </c>
      <c r="CY251" s="307">
        <v>0.99375122299999996</v>
      </c>
      <c r="CZ251" s="307">
        <v>0.99375122299999996</v>
      </c>
    </row>
    <row r="252" spans="97:104">
      <c r="CS252" s="332"/>
      <c r="CT252" s="366" t="s">
        <v>1501</v>
      </c>
      <c r="CU252" s="307" t="s">
        <v>208</v>
      </c>
      <c r="CV252" s="307" t="s">
        <v>88</v>
      </c>
      <c r="CW252" s="366" t="s">
        <v>36</v>
      </c>
      <c r="CX252" s="307">
        <v>1.022725814</v>
      </c>
      <c r="CY252" s="307">
        <v>1.022725814</v>
      </c>
      <c r="CZ252" s="307">
        <v>1.022725814</v>
      </c>
    </row>
    <row r="253" spans="97:104">
      <c r="CS253" s="332"/>
      <c r="CT253" s="366" t="s">
        <v>1502</v>
      </c>
      <c r="CU253" s="307" t="s">
        <v>208</v>
      </c>
      <c r="CV253" s="307" t="s">
        <v>88</v>
      </c>
      <c r="CW253" s="366" t="s">
        <v>37</v>
      </c>
      <c r="CX253" s="307">
        <v>1.0456524549999999</v>
      </c>
      <c r="CY253" s="307">
        <v>1.0456524549999999</v>
      </c>
      <c r="CZ253" s="307">
        <v>1.0456524549999999</v>
      </c>
    </row>
    <row r="254" spans="97:104">
      <c r="CS254" s="332"/>
      <c r="CT254" s="366" t="s">
        <v>1503</v>
      </c>
      <c r="CU254" s="307" t="s">
        <v>208</v>
      </c>
      <c r="CV254" s="307" t="s">
        <v>88</v>
      </c>
      <c r="CW254" s="366" t="s">
        <v>20</v>
      </c>
      <c r="CX254" s="307">
        <v>1.0640000000000001</v>
      </c>
      <c r="CY254" s="307">
        <v>1.0640000000000001</v>
      </c>
      <c r="CZ254" s="307">
        <v>1.0640000000000001</v>
      </c>
    </row>
    <row r="255" spans="97:104">
      <c r="CS255" s="332"/>
      <c r="CT255" s="366" t="s">
        <v>1504</v>
      </c>
      <c r="CU255" s="307" t="s">
        <v>208</v>
      </c>
      <c r="CV255" s="307" t="s">
        <v>88</v>
      </c>
      <c r="CW255" s="366" t="s">
        <v>38</v>
      </c>
      <c r="CX255" s="307">
        <v>1.078394989</v>
      </c>
      <c r="CY255" s="307">
        <v>1.078394989</v>
      </c>
      <c r="CZ255" s="307">
        <v>1.078394989</v>
      </c>
    </row>
    <row r="256" spans="97:104">
      <c r="CS256" s="332"/>
      <c r="CT256" s="366" t="s">
        <v>1505</v>
      </c>
      <c r="CU256" s="307" t="s">
        <v>208</v>
      </c>
      <c r="CV256" s="307" t="s">
        <v>88</v>
      </c>
      <c r="CW256" s="366" t="s">
        <v>39</v>
      </c>
      <c r="CX256" s="307">
        <v>1.089665503</v>
      </c>
      <c r="CY256" s="307">
        <v>1.089665503</v>
      </c>
      <c r="CZ256" s="307">
        <v>1.089665503</v>
      </c>
    </row>
    <row r="257" spans="97:104">
      <c r="CS257" s="332"/>
      <c r="CT257" s="366" t="s">
        <v>1506</v>
      </c>
      <c r="CU257" s="307" t="s">
        <v>208</v>
      </c>
      <c r="CV257" s="307" t="s">
        <v>88</v>
      </c>
      <c r="CW257" s="366" t="s">
        <v>40</v>
      </c>
      <c r="CX257" s="307">
        <v>1.0984324050000001</v>
      </c>
      <c r="CY257" s="307">
        <v>1.0984324050000001</v>
      </c>
      <c r="CZ257" s="307">
        <v>1.0984324050000001</v>
      </c>
    </row>
    <row r="258" spans="97:104">
      <c r="CS258" s="332"/>
      <c r="CT258" s="366" t="s">
        <v>1507</v>
      </c>
      <c r="CU258" s="307" t="s">
        <v>208</v>
      </c>
      <c r="CV258" s="307" t="s">
        <v>88</v>
      </c>
      <c r="CW258" s="366" t="s">
        <v>41</v>
      </c>
      <c r="CX258" s="307">
        <v>1.1054453959999999</v>
      </c>
      <c r="CY258" s="307">
        <v>1.1054453959999999</v>
      </c>
      <c r="CZ258" s="307">
        <v>1.1054453959999999</v>
      </c>
    </row>
    <row r="259" spans="97:104">
      <c r="CS259" s="332"/>
      <c r="CT259" s="366" t="s">
        <v>1508</v>
      </c>
      <c r="CU259" s="307" t="s">
        <v>208</v>
      </c>
      <c r="CV259" s="307" t="s">
        <v>88</v>
      </c>
      <c r="CW259" s="366" t="s">
        <v>21</v>
      </c>
      <c r="CX259" s="307">
        <v>1.111</v>
      </c>
      <c r="CY259" s="307">
        <v>1.111</v>
      </c>
      <c r="CZ259" s="307">
        <v>1.111</v>
      </c>
    </row>
    <row r="260" spans="97:104">
      <c r="CS260" s="332"/>
      <c r="CT260" s="366" t="s">
        <v>1509</v>
      </c>
      <c r="CU260" s="307" t="s">
        <v>208</v>
      </c>
      <c r="CV260" s="307" t="s">
        <v>88</v>
      </c>
      <c r="CW260" s="366" t="s">
        <v>42</v>
      </c>
      <c r="CX260" s="307">
        <v>1.115777598</v>
      </c>
      <c r="CY260" s="307">
        <v>1.115777598</v>
      </c>
      <c r="CZ260" s="307">
        <v>1.115777598</v>
      </c>
    </row>
    <row r="261" spans="97:104">
      <c r="CS261" s="332"/>
      <c r="CT261" s="366" t="s">
        <v>1510</v>
      </c>
      <c r="CU261" s="307" t="s">
        <v>208</v>
      </c>
      <c r="CV261" s="307" t="s">
        <v>88</v>
      </c>
      <c r="CW261" s="366" t="s">
        <v>43</v>
      </c>
      <c r="CX261" s="307">
        <v>1.1199046450000001</v>
      </c>
      <c r="CY261" s="307">
        <v>1.1199046450000001</v>
      </c>
      <c r="CZ261" s="307">
        <v>1.1199046450000001</v>
      </c>
    </row>
    <row r="262" spans="97:104">
      <c r="CS262" s="332"/>
      <c r="CT262" s="366" t="s">
        <v>1511</v>
      </c>
      <c r="CU262" s="307" t="s">
        <v>208</v>
      </c>
      <c r="CV262" s="307" t="s">
        <v>88</v>
      </c>
      <c r="CW262" s="366" t="s">
        <v>44</v>
      </c>
      <c r="CX262" s="307">
        <v>1.1235343600000001</v>
      </c>
      <c r="CY262" s="307">
        <v>1.1235343600000001</v>
      </c>
      <c r="CZ262" s="307">
        <v>1.1235343600000001</v>
      </c>
    </row>
    <row r="263" spans="97:104">
      <c r="CS263" s="332"/>
      <c r="CT263" s="366" t="s">
        <v>1512</v>
      </c>
      <c r="CU263" s="307" t="s">
        <v>208</v>
      </c>
      <c r="CV263" s="307" t="s">
        <v>88</v>
      </c>
      <c r="CW263" s="366" t="s">
        <v>45</v>
      </c>
      <c r="CX263" s="307">
        <v>1.1265262549999999</v>
      </c>
      <c r="CY263" s="307">
        <v>1.1265262549999999</v>
      </c>
      <c r="CZ263" s="307">
        <v>1.1265262549999999</v>
      </c>
    </row>
    <row r="264" spans="97:104">
      <c r="CS264" s="332"/>
      <c r="CT264" s="366" t="s">
        <v>1513</v>
      </c>
      <c r="CU264" s="307" t="s">
        <v>208</v>
      </c>
      <c r="CV264" s="307" t="s">
        <v>88</v>
      </c>
      <c r="CW264" s="366" t="s">
        <v>22</v>
      </c>
      <c r="CX264" s="307">
        <v>1.129</v>
      </c>
      <c r="CY264" s="307">
        <v>1.129</v>
      </c>
      <c r="CZ264" s="307">
        <v>1.129</v>
      </c>
    </row>
    <row r="265" spans="97:104">
      <c r="CS265" s="332"/>
      <c r="CT265" s="366" t="s">
        <v>1514</v>
      </c>
      <c r="CU265" s="307" t="s">
        <v>208</v>
      </c>
      <c r="CV265" s="307" t="s">
        <v>88</v>
      </c>
      <c r="CW265" s="366" t="s">
        <v>163</v>
      </c>
      <c r="CX265" s="307">
        <v>1.1310174369999999</v>
      </c>
      <c r="CY265" s="307">
        <v>1.1310174369999999</v>
      </c>
      <c r="CZ265" s="307">
        <v>1.1310174369999999</v>
      </c>
    </row>
    <row r="266" spans="97:104">
      <c r="CS266" s="332"/>
      <c r="CT266" s="366" t="s">
        <v>1515</v>
      </c>
      <c r="CU266" s="307" t="s">
        <v>208</v>
      </c>
      <c r="CV266" s="307" t="s">
        <v>88</v>
      </c>
      <c r="CW266" s="366" t="s">
        <v>164</v>
      </c>
      <c r="CX266" s="307">
        <v>1.1326563569999999</v>
      </c>
      <c r="CY266" s="307">
        <v>1.1326563569999999</v>
      </c>
      <c r="CZ266" s="307">
        <v>1.1326563569999999</v>
      </c>
    </row>
    <row r="267" spans="97:104">
      <c r="CS267" s="332"/>
      <c r="CT267" s="366" t="s">
        <v>1516</v>
      </c>
      <c r="CU267" s="307" t="s">
        <v>208</v>
      </c>
      <c r="CV267" s="307" t="s">
        <v>88</v>
      </c>
      <c r="CW267" s="366" t="s">
        <v>165</v>
      </c>
      <c r="CX267" s="307">
        <v>1.133723188</v>
      </c>
      <c r="CY267" s="307">
        <v>1.133723188</v>
      </c>
      <c r="CZ267" s="307">
        <v>1.133723188</v>
      </c>
    </row>
    <row r="268" spans="97:104">
      <c r="CS268" s="332"/>
      <c r="CT268" s="366" t="s">
        <v>1517</v>
      </c>
      <c r="CU268" s="307" t="s">
        <v>208</v>
      </c>
      <c r="CV268" s="307" t="s">
        <v>88</v>
      </c>
      <c r="CW268" s="366" t="s">
        <v>166</v>
      </c>
      <c r="CX268" s="307">
        <v>1.134284367</v>
      </c>
      <c r="CY268" s="307">
        <v>1.134284367</v>
      </c>
      <c r="CZ268" s="307">
        <v>1.134284367</v>
      </c>
    </row>
    <row r="269" spans="97:104">
      <c r="CS269" s="332"/>
      <c r="CT269" s="366" t="s">
        <v>1518</v>
      </c>
      <c r="CU269" s="307" t="s">
        <v>208</v>
      </c>
      <c r="CV269" s="307" t="s">
        <v>88</v>
      </c>
      <c r="CW269" s="366" t="s">
        <v>167</v>
      </c>
      <c r="CX269" s="307">
        <v>1.134317727</v>
      </c>
      <c r="CY269" s="307">
        <v>1.134317727</v>
      </c>
      <c r="CZ269" s="307">
        <v>1.134317727</v>
      </c>
    </row>
    <row r="270" spans="97:104">
      <c r="CS270" s="332"/>
      <c r="CT270" s="366" t="s">
        <v>1519</v>
      </c>
      <c r="CU270" s="307" t="s">
        <v>208</v>
      </c>
      <c r="CV270" s="307" t="s">
        <v>88</v>
      </c>
      <c r="CW270" s="366" t="s">
        <v>168</v>
      </c>
      <c r="CX270" s="307">
        <v>1.1338774739999999</v>
      </c>
      <c r="CY270" s="307">
        <v>1.1338774739999999</v>
      </c>
      <c r="CZ270" s="307">
        <v>1.1338774739999999</v>
      </c>
    </row>
    <row r="271" spans="97:104">
      <c r="CS271" s="332"/>
      <c r="CT271" s="366" t="s">
        <v>1520</v>
      </c>
      <c r="CU271" s="307" t="s">
        <v>208</v>
      </c>
      <c r="CV271" s="307" t="s">
        <v>88</v>
      </c>
      <c r="CW271" s="366" t="s">
        <v>169</v>
      </c>
      <c r="CX271" s="307">
        <v>1.1327995289999999</v>
      </c>
      <c r="CY271" s="307">
        <v>1.1327995289999999</v>
      </c>
      <c r="CZ271" s="307">
        <v>1.1327995289999999</v>
      </c>
    </row>
    <row r="272" spans="97:104">
      <c r="CS272" s="332"/>
      <c r="CT272" s="366" t="s">
        <v>1521</v>
      </c>
      <c r="CU272" s="307" t="s">
        <v>208</v>
      </c>
      <c r="CV272" s="307" t="s">
        <v>88</v>
      </c>
      <c r="CW272" s="366" t="s">
        <v>170</v>
      </c>
      <c r="CX272" s="307">
        <v>1.1311357609999999</v>
      </c>
      <c r="CY272" s="307">
        <v>1.1311357609999999</v>
      </c>
      <c r="CZ272" s="307">
        <v>1.1311357609999999</v>
      </c>
    </row>
    <row r="273" spans="97:104">
      <c r="CS273" s="332"/>
      <c r="CT273" s="366" t="s">
        <v>1522</v>
      </c>
      <c r="CU273" s="307" t="s">
        <v>208</v>
      </c>
      <c r="CV273" s="307" t="s">
        <v>88</v>
      </c>
      <c r="CW273" s="366" t="s">
        <v>171</v>
      </c>
      <c r="CX273" s="307">
        <v>1.1288653820000001</v>
      </c>
      <c r="CY273" s="307">
        <v>1.1288653820000001</v>
      </c>
      <c r="CZ273" s="307">
        <v>1.1288653820000001</v>
      </c>
    </row>
    <row r="274" spans="97:104">
      <c r="CS274" s="332"/>
      <c r="CT274" s="366" t="s">
        <v>1523</v>
      </c>
      <c r="CU274" s="307" t="s">
        <v>208</v>
      </c>
      <c r="CV274" s="307" t="s">
        <v>88</v>
      </c>
      <c r="CW274" s="366" t="s">
        <v>46</v>
      </c>
      <c r="CX274" s="307">
        <v>1.1259999999999999</v>
      </c>
      <c r="CY274" s="307">
        <v>1.1259999999999999</v>
      </c>
      <c r="CZ274" s="307">
        <v>1.1259999999999999</v>
      </c>
    </row>
    <row r="275" spans="97:104">
      <c r="CS275" s="332"/>
      <c r="CT275" s="366" t="s">
        <v>1524</v>
      </c>
      <c r="CU275" s="307" t="s">
        <v>208</v>
      </c>
      <c r="CV275" s="307" t="s">
        <v>88</v>
      </c>
      <c r="CW275" s="366" t="s">
        <v>47</v>
      </c>
      <c r="CX275" s="307">
        <v>1.079</v>
      </c>
      <c r="CY275" s="307">
        <v>1.079</v>
      </c>
      <c r="CZ275" s="307">
        <v>1.079</v>
      </c>
    </row>
    <row r="276" spans="97:104">
      <c r="CS276" s="332"/>
      <c r="CT276" s="366" t="s">
        <v>1525</v>
      </c>
      <c r="CU276" s="307" t="s">
        <v>208</v>
      </c>
      <c r="CV276" s="307" t="s">
        <v>88</v>
      </c>
      <c r="CW276" s="366" t="s">
        <v>48</v>
      </c>
      <c r="CX276" s="307">
        <v>1.048</v>
      </c>
      <c r="CY276" s="307">
        <v>1.048</v>
      </c>
      <c r="CZ276" s="307">
        <v>1.048</v>
      </c>
    </row>
    <row r="277" spans="97:104">
      <c r="CS277" s="332"/>
      <c r="CT277" s="366" t="s">
        <v>1526</v>
      </c>
      <c r="CU277" s="307" t="s">
        <v>208</v>
      </c>
      <c r="CV277" s="307" t="s">
        <v>89</v>
      </c>
      <c r="CW277" s="366" t="s">
        <v>23</v>
      </c>
      <c r="CX277" s="307">
        <v>-0.23766691400000001</v>
      </c>
      <c r="CY277" s="307">
        <v>-0.23766691400000001</v>
      </c>
      <c r="CZ277" s="307">
        <v>-0.23766691400000001</v>
      </c>
    </row>
    <row r="278" spans="97:104">
      <c r="CS278" s="332"/>
      <c r="CT278" s="366" t="s">
        <v>1527</v>
      </c>
      <c r="CU278" s="307" t="s">
        <v>208</v>
      </c>
      <c r="CV278" s="307" t="s">
        <v>89</v>
      </c>
      <c r="CW278" s="366" t="s">
        <v>5</v>
      </c>
      <c r="CX278" s="307">
        <v>-0.23766377599999999</v>
      </c>
      <c r="CY278" s="307">
        <v>-0.23766377599999999</v>
      </c>
      <c r="CZ278" s="307">
        <v>-0.23766377599999999</v>
      </c>
    </row>
    <row r="279" spans="97:104">
      <c r="CS279" s="332"/>
      <c r="CT279" s="366" t="s">
        <v>1528</v>
      </c>
      <c r="CU279" s="307" t="s">
        <v>208</v>
      </c>
      <c r="CV279" s="307" t="s">
        <v>89</v>
      </c>
      <c r="CW279" s="366" t="s">
        <v>6</v>
      </c>
      <c r="CX279" s="307">
        <v>-0.23534421</v>
      </c>
      <c r="CY279" s="307">
        <v>-0.23534421</v>
      </c>
      <c r="CZ279" s="307">
        <v>-0.23534421</v>
      </c>
    </row>
    <row r="280" spans="97:104">
      <c r="CS280" s="332"/>
      <c r="CT280" s="366" t="s">
        <v>1529</v>
      </c>
      <c r="CU280" s="307" t="s">
        <v>208</v>
      </c>
      <c r="CV280" s="307" t="s">
        <v>89</v>
      </c>
      <c r="CW280" s="366" t="s">
        <v>24</v>
      </c>
      <c r="CX280" s="307">
        <v>-0.23611014799999999</v>
      </c>
      <c r="CY280" s="307">
        <v>-0.23611014799999999</v>
      </c>
      <c r="CZ280" s="307">
        <v>-0.23611014799999999</v>
      </c>
    </row>
    <row r="281" spans="97:104">
      <c r="CS281" s="332"/>
      <c r="CT281" s="366" t="s">
        <v>1530</v>
      </c>
      <c r="CU281" s="307" t="s">
        <v>208</v>
      </c>
      <c r="CV281" s="307" t="s">
        <v>89</v>
      </c>
      <c r="CW281" s="366" t="s">
        <v>7</v>
      </c>
      <c r="CX281" s="307">
        <v>-0.2366</v>
      </c>
      <c r="CY281" s="307">
        <v>-0.2366</v>
      </c>
      <c r="CZ281" s="307">
        <v>-0.2366</v>
      </c>
    </row>
    <row r="282" spans="97:104">
      <c r="CS282" s="332"/>
      <c r="CT282" s="366" t="s">
        <v>1531</v>
      </c>
      <c r="CU282" s="307" t="s">
        <v>208</v>
      </c>
      <c r="CV282" s="307" t="s">
        <v>89</v>
      </c>
      <c r="CW282" s="366" t="s">
        <v>8</v>
      </c>
      <c r="CX282" s="307">
        <v>-0.2296</v>
      </c>
      <c r="CY282" s="307">
        <v>-0.2296</v>
      </c>
      <c r="CZ282" s="307">
        <v>-0.2296</v>
      </c>
    </row>
    <row r="283" spans="97:104">
      <c r="CS283" s="332"/>
      <c r="CT283" s="366" t="s">
        <v>1532</v>
      </c>
      <c r="CU283" s="307" t="s">
        <v>208</v>
      </c>
      <c r="CV283" s="307" t="s">
        <v>89</v>
      </c>
      <c r="CW283" s="366" t="s">
        <v>25</v>
      </c>
      <c r="CX283" s="307">
        <v>-0.2258</v>
      </c>
      <c r="CY283" s="307">
        <v>-0.2258</v>
      </c>
      <c r="CZ283" s="307">
        <v>-0.2258</v>
      </c>
    </row>
    <row r="284" spans="97:104">
      <c r="CS284" s="332"/>
      <c r="CT284" s="366" t="s">
        <v>1533</v>
      </c>
      <c r="CU284" s="307" t="s">
        <v>208</v>
      </c>
      <c r="CV284" s="307" t="s">
        <v>89</v>
      </c>
      <c r="CW284" s="366" t="s">
        <v>26</v>
      </c>
      <c r="CX284" s="307">
        <v>-0.22159999999999999</v>
      </c>
      <c r="CY284" s="307">
        <v>-0.22159999999999999</v>
      </c>
      <c r="CZ284" s="307">
        <v>-0.22159999999999999</v>
      </c>
    </row>
    <row r="285" spans="97:104">
      <c r="CS285" s="332"/>
      <c r="CT285" s="366" t="s">
        <v>1534</v>
      </c>
      <c r="CU285" s="307" t="s">
        <v>208</v>
      </c>
      <c r="CV285" s="307" t="s">
        <v>89</v>
      </c>
      <c r="CW285" s="366" t="s">
        <v>27</v>
      </c>
      <c r="CX285" s="307">
        <v>-0.218</v>
      </c>
      <c r="CY285" s="307">
        <v>-0.218</v>
      </c>
      <c r="CZ285" s="307">
        <v>-0.218</v>
      </c>
    </row>
    <row r="286" spans="97:104">
      <c r="CS286" s="332"/>
      <c r="CT286" s="366" t="s">
        <v>1535</v>
      </c>
      <c r="CU286" s="307" t="s">
        <v>208</v>
      </c>
      <c r="CV286" s="307" t="s">
        <v>89</v>
      </c>
      <c r="CW286" s="366" t="s">
        <v>28</v>
      </c>
      <c r="CX286" s="307">
        <v>-0.2145</v>
      </c>
      <c r="CY286" s="307">
        <v>-0.2145</v>
      </c>
      <c r="CZ286" s="307">
        <v>-0.2145</v>
      </c>
    </row>
    <row r="287" spans="97:104">
      <c r="CS287" s="332"/>
      <c r="CT287" s="366" t="s">
        <v>4158</v>
      </c>
      <c r="CU287" s="307" t="s">
        <v>208</v>
      </c>
      <c r="CV287" s="307" t="s">
        <v>89</v>
      </c>
      <c r="CW287" s="366" t="s">
        <v>1221</v>
      </c>
      <c r="CX287" s="307">
        <v>-0.20599999999999999</v>
      </c>
      <c r="CY287" s="307">
        <v>-0.20599999999999999</v>
      </c>
      <c r="CZ287" s="307">
        <v>-0.20599999999999999</v>
      </c>
    </row>
    <row r="288" spans="97:104">
      <c r="CS288" s="332"/>
      <c r="CT288" s="366" t="s">
        <v>4159</v>
      </c>
      <c r="CU288" s="307" t="s">
        <v>208</v>
      </c>
      <c r="CV288" s="307" t="s">
        <v>89</v>
      </c>
      <c r="CW288" s="366" t="s">
        <v>1222</v>
      </c>
      <c r="CX288" s="307">
        <v>-0.19800000000000001</v>
      </c>
      <c r="CY288" s="307">
        <v>-0.19800000000000001</v>
      </c>
      <c r="CZ288" s="307">
        <v>-0.19800000000000001</v>
      </c>
    </row>
    <row r="289" spans="97:104">
      <c r="CS289" s="332"/>
      <c r="CT289" s="366" t="s">
        <v>4160</v>
      </c>
      <c r="CU289" s="307" t="s">
        <v>208</v>
      </c>
      <c r="CV289" s="307" t="s">
        <v>89</v>
      </c>
      <c r="CW289" s="366" t="s">
        <v>1223</v>
      </c>
      <c r="CX289" s="307">
        <v>-0.191</v>
      </c>
      <c r="CY289" s="307">
        <v>-0.191</v>
      </c>
      <c r="CZ289" s="307">
        <v>-0.191</v>
      </c>
    </row>
    <row r="290" spans="97:104">
      <c r="CS290" s="332"/>
      <c r="CT290" s="366" t="s">
        <v>4161</v>
      </c>
      <c r="CU290" s="307" t="s">
        <v>208</v>
      </c>
      <c r="CV290" s="307" t="s">
        <v>89</v>
      </c>
      <c r="CW290" s="366" t="s">
        <v>1224</v>
      </c>
      <c r="CX290" s="307">
        <v>-0.183</v>
      </c>
      <c r="CY290" s="307">
        <v>-0.183</v>
      </c>
      <c r="CZ290" s="307">
        <v>-0.183</v>
      </c>
    </row>
    <row r="291" spans="97:104">
      <c r="CS291" s="332"/>
      <c r="CT291" s="366" t="s">
        <v>4162</v>
      </c>
      <c r="CU291" s="307" t="s">
        <v>208</v>
      </c>
      <c r="CV291" s="307" t="s">
        <v>89</v>
      </c>
      <c r="CW291" s="366" t="s">
        <v>1225</v>
      </c>
      <c r="CX291" s="307">
        <v>-0.17499999999999999</v>
      </c>
      <c r="CY291" s="307">
        <v>-0.17499999999999999</v>
      </c>
      <c r="CZ291" s="307">
        <v>-0.17499999999999999</v>
      </c>
    </row>
    <row r="292" spans="97:104">
      <c r="CS292" s="332"/>
      <c r="CT292" s="366" t="s">
        <v>4163</v>
      </c>
      <c r="CU292" s="307" t="s">
        <v>208</v>
      </c>
      <c r="CV292" s="307" t="s">
        <v>89</v>
      </c>
      <c r="CW292" s="366" t="s">
        <v>1194</v>
      </c>
      <c r="CX292" s="307">
        <v>-0.16700000000000001</v>
      </c>
      <c r="CY292" s="307">
        <v>-0.16700000000000001</v>
      </c>
      <c r="CZ292" s="307">
        <v>-0.16700000000000001</v>
      </c>
    </row>
    <row r="293" spans="97:104">
      <c r="CS293" s="332"/>
      <c r="CT293" s="366" t="s">
        <v>4164</v>
      </c>
      <c r="CU293" s="307" t="s">
        <v>208</v>
      </c>
      <c r="CV293" s="307" t="s">
        <v>89</v>
      </c>
      <c r="CW293" s="366" t="s">
        <v>1226</v>
      </c>
      <c r="CX293" s="307">
        <v>-0.16</v>
      </c>
      <c r="CY293" s="307">
        <v>-0.16</v>
      </c>
      <c r="CZ293" s="307">
        <v>-0.16</v>
      </c>
    </row>
    <row r="294" spans="97:104">
      <c r="CS294" s="332"/>
      <c r="CT294" s="366" t="s">
        <v>4165</v>
      </c>
      <c r="CU294" s="307" t="s">
        <v>208</v>
      </c>
      <c r="CV294" s="307" t="s">
        <v>89</v>
      </c>
      <c r="CW294" s="366" t="s">
        <v>1227</v>
      </c>
      <c r="CX294" s="307">
        <v>-0.15</v>
      </c>
      <c r="CY294" s="307">
        <v>-0.15</v>
      </c>
      <c r="CZ294" s="307">
        <v>-0.15</v>
      </c>
    </row>
    <row r="295" spans="97:104">
      <c r="CS295" s="332"/>
      <c r="CT295" s="366" t="s">
        <v>4166</v>
      </c>
      <c r="CU295" s="307" t="s">
        <v>208</v>
      </c>
      <c r="CV295" s="307" t="s">
        <v>89</v>
      </c>
      <c r="CW295" s="366" t="s">
        <v>1195</v>
      </c>
      <c r="CX295" s="307">
        <v>-0.14199999999999999</v>
      </c>
      <c r="CY295" s="307">
        <v>-0.14199999999999999</v>
      </c>
      <c r="CZ295" s="307">
        <v>-0.14199999999999999</v>
      </c>
    </row>
    <row r="296" spans="97:104">
      <c r="CS296" s="332"/>
      <c r="CT296" s="366" t="s">
        <v>4167</v>
      </c>
      <c r="CU296" s="307" t="s">
        <v>208</v>
      </c>
      <c r="CV296" s="307" t="s">
        <v>89</v>
      </c>
      <c r="CW296" s="366" t="s">
        <v>1228</v>
      </c>
      <c r="CX296" s="307">
        <v>-0.13400000000000001</v>
      </c>
      <c r="CY296" s="307">
        <v>-0.13400000000000001</v>
      </c>
      <c r="CZ296" s="307">
        <v>-0.13400000000000001</v>
      </c>
    </row>
    <row r="297" spans="97:104">
      <c r="CS297" s="332"/>
      <c r="CT297" s="366" t="s">
        <v>4168</v>
      </c>
      <c r="CU297" s="307" t="s">
        <v>208</v>
      </c>
      <c r="CV297" s="307" t="s">
        <v>89</v>
      </c>
      <c r="CW297" s="366" t="s">
        <v>1229</v>
      </c>
      <c r="CX297" s="307">
        <v>-0.123</v>
      </c>
      <c r="CY297" s="307">
        <v>-0.123</v>
      </c>
      <c r="CZ297" s="307">
        <v>-0.123</v>
      </c>
    </row>
    <row r="298" spans="97:104">
      <c r="CS298" s="332"/>
      <c r="CT298" s="366" t="s">
        <v>4169</v>
      </c>
      <c r="CU298" s="307" t="s">
        <v>208</v>
      </c>
      <c r="CV298" s="307" t="s">
        <v>89</v>
      </c>
      <c r="CW298" s="366" t="s">
        <v>1196</v>
      </c>
      <c r="CX298" s="307">
        <v>-0.114</v>
      </c>
      <c r="CY298" s="307">
        <v>-0.114</v>
      </c>
      <c r="CZ298" s="307">
        <v>-0.114</v>
      </c>
    </row>
    <row r="299" spans="97:104">
      <c r="CS299" s="332"/>
      <c r="CT299" s="366" t="s">
        <v>4170</v>
      </c>
      <c r="CU299" s="307" t="s">
        <v>208</v>
      </c>
      <c r="CV299" s="307" t="s">
        <v>89</v>
      </c>
      <c r="CW299" s="366" t="s">
        <v>1230</v>
      </c>
      <c r="CX299" s="307">
        <v>-0.104</v>
      </c>
      <c r="CY299" s="307">
        <v>-0.104</v>
      </c>
      <c r="CZ299" s="307">
        <v>-0.104</v>
      </c>
    </row>
    <row r="300" spans="97:104">
      <c r="CS300" s="332"/>
      <c r="CT300" s="366" t="s">
        <v>4171</v>
      </c>
      <c r="CU300" s="307" t="s">
        <v>208</v>
      </c>
      <c r="CV300" s="307" t="s">
        <v>89</v>
      </c>
      <c r="CW300" s="366" t="s">
        <v>1231</v>
      </c>
      <c r="CX300" s="307">
        <v>-9.1999999999999998E-2</v>
      </c>
      <c r="CY300" s="307">
        <v>-9.1999999999999998E-2</v>
      </c>
      <c r="CZ300" s="307">
        <v>-9.1999999999999998E-2</v>
      </c>
    </row>
    <row r="301" spans="97:104">
      <c r="CS301" s="332"/>
      <c r="CT301" s="366" t="s">
        <v>4172</v>
      </c>
      <c r="CU301" s="307" t="s">
        <v>208</v>
      </c>
      <c r="CV301" s="307" t="s">
        <v>89</v>
      </c>
      <c r="CW301" s="366" t="s">
        <v>1232</v>
      </c>
      <c r="CX301" s="307">
        <v>-8.1000000000000003E-2</v>
      </c>
      <c r="CY301" s="307">
        <v>-8.1000000000000003E-2</v>
      </c>
      <c r="CZ301" s="307">
        <v>-8.1000000000000003E-2</v>
      </c>
    </row>
    <row r="302" spans="97:104">
      <c r="CS302" s="332"/>
      <c r="CT302" s="366" t="s">
        <v>4173</v>
      </c>
      <c r="CU302" s="307" t="s">
        <v>208</v>
      </c>
      <c r="CV302" s="307" t="s">
        <v>89</v>
      </c>
      <c r="CW302" s="366" t="s">
        <v>1233</v>
      </c>
      <c r="CX302" s="307">
        <v>-7.0000000000000007E-2</v>
      </c>
      <c r="CY302" s="307">
        <v>-7.0000000000000007E-2</v>
      </c>
      <c r="CZ302" s="307">
        <v>-7.0000000000000007E-2</v>
      </c>
    </row>
    <row r="303" spans="97:104">
      <c r="CS303" s="332"/>
      <c r="CT303" s="366" t="s">
        <v>4174</v>
      </c>
      <c r="CU303" s="307" t="s">
        <v>208</v>
      </c>
      <c r="CV303" s="307" t="s">
        <v>89</v>
      </c>
      <c r="CW303" s="366" t="s">
        <v>1234</v>
      </c>
      <c r="CX303" s="307">
        <v>-5.6000000000000001E-2</v>
      </c>
      <c r="CY303" s="307">
        <v>-5.6000000000000001E-2</v>
      </c>
      <c r="CZ303" s="307">
        <v>-5.6000000000000001E-2</v>
      </c>
    </row>
    <row r="304" spans="97:104">
      <c r="CS304" s="332"/>
      <c r="CT304" s="366" t="s">
        <v>4175</v>
      </c>
      <c r="CU304" s="307" t="s">
        <v>208</v>
      </c>
      <c r="CV304" s="307" t="s">
        <v>89</v>
      </c>
      <c r="CW304" s="366" t="s">
        <v>1235</v>
      </c>
      <c r="CX304" s="307">
        <v>-4.2999999999999997E-2</v>
      </c>
      <c r="CY304" s="307">
        <v>-4.2999999999999997E-2</v>
      </c>
      <c r="CZ304" s="307">
        <v>-4.2999999999999997E-2</v>
      </c>
    </row>
    <row r="305" spans="97:104">
      <c r="CS305" s="332"/>
      <c r="CT305" s="366" t="s">
        <v>4176</v>
      </c>
      <c r="CU305" s="307" t="s">
        <v>208</v>
      </c>
      <c r="CV305" s="307" t="s">
        <v>89</v>
      </c>
      <c r="CW305" s="366" t="s">
        <v>3891</v>
      </c>
      <c r="CX305" s="307">
        <v>3.2045966000000002E-2</v>
      </c>
      <c r="CY305" s="307">
        <v>3.2045966000000002E-2</v>
      </c>
      <c r="CZ305" s="307">
        <v>3.2045966000000002E-2</v>
      </c>
    </row>
    <row r="306" spans="97:104">
      <c r="CS306" s="332"/>
      <c r="CT306" s="366" t="s">
        <v>1536</v>
      </c>
      <c r="CU306" s="307" t="s">
        <v>208</v>
      </c>
      <c r="CV306" s="307" t="s">
        <v>89</v>
      </c>
      <c r="CW306" s="366" t="s">
        <v>10</v>
      </c>
      <c r="CX306" s="307">
        <v>-6.0999999999999999E-2</v>
      </c>
      <c r="CY306" s="307">
        <v>-6.0999999999999999E-2</v>
      </c>
      <c r="CZ306" s="307">
        <v>-6.0999999999999999E-2</v>
      </c>
    </row>
    <row r="307" spans="97:104">
      <c r="CS307" s="332"/>
      <c r="CT307" s="366" t="s">
        <v>1537</v>
      </c>
      <c r="CU307" s="307" t="s">
        <v>208</v>
      </c>
      <c r="CV307" s="307" t="s">
        <v>89</v>
      </c>
      <c r="CW307" s="366" t="s">
        <v>11</v>
      </c>
      <c r="CX307" s="307">
        <v>2.8000000000000001E-2</v>
      </c>
      <c r="CY307" s="307">
        <v>2.8000000000000001E-2</v>
      </c>
      <c r="CZ307" s="307">
        <v>2.8000000000000001E-2</v>
      </c>
    </row>
    <row r="308" spans="97:104">
      <c r="CS308" s="332"/>
      <c r="CT308" s="366" t="s">
        <v>1538</v>
      </c>
      <c r="CU308" s="307" t="s">
        <v>208</v>
      </c>
      <c r="CV308" s="307" t="s">
        <v>89</v>
      </c>
      <c r="CW308" s="366" t="s">
        <v>12</v>
      </c>
      <c r="CX308" s="307">
        <v>0.13200000000000001</v>
      </c>
      <c r="CY308" s="307">
        <v>0.13200000000000001</v>
      </c>
      <c r="CZ308" s="307">
        <v>0.13200000000000001</v>
      </c>
    </row>
    <row r="309" spans="97:104">
      <c r="CS309" s="332"/>
      <c r="CT309" s="366" t="s">
        <v>1539</v>
      </c>
      <c r="CU309" s="307" t="s">
        <v>208</v>
      </c>
      <c r="CV309" s="307" t="s">
        <v>89</v>
      </c>
      <c r="CW309" s="366" t="s">
        <v>13</v>
      </c>
      <c r="CX309" s="307">
        <v>0.24199999999999999</v>
      </c>
      <c r="CY309" s="307">
        <v>0.24199999999999999</v>
      </c>
      <c r="CZ309" s="307">
        <v>0.24199999999999999</v>
      </c>
    </row>
    <row r="310" spans="97:104">
      <c r="CS310" s="332"/>
      <c r="CT310" s="366" t="s">
        <v>1540</v>
      </c>
      <c r="CU310" s="307" t="s">
        <v>208</v>
      </c>
      <c r="CV310" s="307" t="s">
        <v>89</v>
      </c>
      <c r="CW310" s="366" t="s">
        <v>14</v>
      </c>
      <c r="CX310" s="307">
        <v>0.35499999999999998</v>
      </c>
      <c r="CY310" s="307">
        <v>0.35499999999999998</v>
      </c>
      <c r="CZ310" s="307">
        <v>0.35499999999999998</v>
      </c>
    </row>
    <row r="311" spans="97:104">
      <c r="CS311" s="332"/>
      <c r="CT311" s="366" t="s">
        <v>1541</v>
      </c>
      <c r="CU311" s="307" t="s">
        <v>208</v>
      </c>
      <c r="CV311" s="307" t="s">
        <v>89</v>
      </c>
      <c r="CW311" s="366" t="s">
        <v>15</v>
      </c>
      <c r="CX311" s="307">
        <v>0.46700000000000003</v>
      </c>
      <c r="CY311" s="307">
        <v>0.46700000000000003</v>
      </c>
      <c r="CZ311" s="307">
        <v>0.46700000000000003</v>
      </c>
    </row>
    <row r="312" spans="97:104">
      <c r="CS312" s="332"/>
      <c r="CT312" s="366" t="s">
        <v>1542</v>
      </c>
      <c r="CU312" s="307" t="s">
        <v>208</v>
      </c>
      <c r="CV312" s="307" t="s">
        <v>89</v>
      </c>
      <c r="CW312" s="366" t="s">
        <v>16</v>
      </c>
      <c r="CX312" s="307">
        <v>0.57399999999999995</v>
      </c>
      <c r="CY312" s="307">
        <v>0.57399999999999995</v>
      </c>
      <c r="CZ312" s="307">
        <v>0.57399999999999995</v>
      </c>
    </row>
    <row r="313" spans="97:104">
      <c r="CS313" s="332"/>
      <c r="CT313" s="366" t="s">
        <v>1543</v>
      </c>
      <c r="CU313" s="307" t="s">
        <v>208</v>
      </c>
      <c r="CV313" s="307" t="s">
        <v>89</v>
      </c>
      <c r="CW313" s="366" t="s">
        <v>17</v>
      </c>
      <c r="CX313" s="307">
        <v>0.67100000000000004</v>
      </c>
      <c r="CY313" s="307">
        <v>0.67100000000000004</v>
      </c>
      <c r="CZ313" s="307">
        <v>0.67100000000000004</v>
      </c>
    </row>
    <row r="314" spans="97:104">
      <c r="CS314" s="332"/>
      <c r="CT314" s="366" t="s">
        <v>1544</v>
      </c>
      <c r="CU314" s="307" t="s">
        <v>208</v>
      </c>
      <c r="CV314" s="307" t="s">
        <v>89</v>
      </c>
      <c r="CW314" s="366" t="s">
        <v>31</v>
      </c>
      <c r="CX314" s="307">
        <v>0.75771047999999996</v>
      </c>
      <c r="CY314" s="307">
        <v>0.75771047999999996</v>
      </c>
      <c r="CZ314" s="307">
        <v>0.75771047999999996</v>
      </c>
    </row>
    <row r="315" spans="97:104">
      <c r="CS315" s="332"/>
      <c r="CT315" s="366" t="s">
        <v>1545</v>
      </c>
      <c r="CU315" s="307" t="s">
        <v>208</v>
      </c>
      <c r="CV315" s="307" t="s">
        <v>89</v>
      </c>
      <c r="CW315" s="366" t="s">
        <v>18</v>
      </c>
      <c r="CX315" s="307">
        <v>0.83499999999999996</v>
      </c>
      <c r="CY315" s="307">
        <v>0.83499999999999996</v>
      </c>
      <c r="CZ315" s="307">
        <v>0.83499999999999996</v>
      </c>
    </row>
    <row r="316" spans="97:104">
      <c r="CS316" s="332"/>
      <c r="CT316" s="366" t="s">
        <v>1546</v>
      </c>
      <c r="CU316" s="307" t="s">
        <v>208</v>
      </c>
      <c r="CV316" s="307" t="s">
        <v>89</v>
      </c>
      <c r="CW316" s="366" t="s">
        <v>32</v>
      </c>
      <c r="CX316" s="307">
        <v>0.90110858100000002</v>
      </c>
      <c r="CY316" s="307">
        <v>0.90110858100000002</v>
      </c>
      <c r="CZ316" s="307">
        <v>0.90110858100000002</v>
      </c>
    </row>
    <row r="317" spans="97:104">
      <c r="CS317" s="332"/>
      <c r="CT317" s="366" t="s">
        <v>1547</v>
      </c>
      <c r="CU317" s="307" t="s">
        <v>208</v>
      </c>
      <c r="CV317" s="307" t="s">
        <v>89</v>
      </c>
      <c r="CW317" s="366" t="s">
        <v>33</v>
      </c>
      <c r="CX317" s="307">
        <v>0.95755458199999999</v>
      </c>
      <c r="CY317" s="307">
        <v>0.95755458199999999</v>
      </c>
      <c r="CZ317" s="307">
        <v>0.95755458199999999</v>
      </c>
    </row>
    <row r="318" spans="97:104">
      <c r="CS318" s="332"/>
      <c r="CT318" s="366" t="s">
        <v>1548</v>
      </c>
      <c r="CU318" s="307" t="s">
        <v>208</v>
      </c>
      <c r="CV318" s="307" t="s">
        <v>89</v>
      </c>
      <c r="CW318" s="366" t="s">
        <v>19</v>
      </c>
      <c r="CX318" s="307">
        <v>1.0049999999999999</v>
      </c>
      <c r="CY318" s="307">
        <v>1.0049999999999999</v>
      </c>
      <c r="CZ318" s="307">
        <v>1.0049999999999999</v>
      </c>
    </row>
    <row r="319" spans="97:104">
      <c r="CS319" s="332"/>
      <c r="CT319" s="366" t="s">
        <v>1549</v>
      </c>
      <c r="CU319" s="307" t="s">
        <v>208</v>
      </c>
      <c r="CV319" s="307" t="s">
        <v>89</v>
      </c>
      <c r="CW319" s="366" t="s">
        <v>34</v>
      </c>
      <c r="CX319" s="307">
        <v>1.0441685469999999</v>
      </c>
      <c r="CY319" s="307">
        <v>1.0441685469999999</v>
      </c>
      <c r="CZ319" s="307">
        <v>1.0441685469999999</v>
      </c>
    </row>
    <row r="320" spans="97:104">
      <c r="CS320" s="332"/>
      <c r="CT320" s="366" t="s">
        <v>1550</v>
      </c>
      <c r="CU320" s="307" t="s">
        <v>208</v>
      </c>
      <c r="CV320" s="307" t="s">
        <v>89</v>
      </c>
      <c r="CW320" s="366" t="s">
        <v>35</v>
      </c>
      <c r="CX320" s="307">
        <v>1.0755175340000001</v>
      </c>
      <c r="CY320" s="307">
        <v>1.0755175340000001</v>
      </c>
      <c r="CZ320" s="307">
        <v>1.0755175340000001</v>
      </c>
    </row>
    <row r="321" spans="97:104">
      <c r="CS321" s="332"/>
      <c r="CT321" s="366" t="s">
        <v>1551</v>
      </c>
      <c r="CU321" s="307" t="s">
        <v>208</v>
      </c>
      <c r="CV321" s="307" t="s">
        <v>89</v>
      </c>
      <c r="CW321" s="366" t="s">
        <v>36</v>
      </c>
      <c r="CX321" s="307">
        <v>1.1005122430000001</v>
      </c>
      <c r="CY321" s="307">
        <v>1.1005122430000001</v>
      </c>
      <c r="CZ321" s="307">
        <v>1.1005122430000001</v>
      </c>
    </row>
    <row r="322" spans="97:104">
      <c r="CS322" s="332"/>
      <c r="CT322" s="366" t="s">
        <v>1552</v>
      </c>
      <c r="CU322" s="307" t="s">
        <v>208</v>
      </c>
      <c r="CV322" s="307" t="s">
        <v>89</v>
      </c>
      <c r="CW322" s="366" t="s">
        <v>37</v>
      </c>
      <c r="CX322" s="307">
        <v>1.1198747060000001</v>
      </c>
      <c r="CY322" s="307">
        <v>1.1198747060000001</v>
      </c>
      <c r="CZ322" s="307">
        <v>1.1198747060000001</v>
      </c>
    </row>
    <row r="323" spans="97:104">
      <c r="CS323" s="332"/>
      <c r="CT323" s="366" t="s">
        <v>1553</v>
      </c>
      <c r="CU323" s="307" t="s">
        <v>208</v>
      </c>
      <c r="CV323" s="307" t="s">
        <v>89</v>
      </c>
      <c r="CW323" s="366" t="s">
        <v>20</v>
      </c>
      <c r="CX323" s="307">
        <v>1.135</v>
      </c>
      <c r="CY323" s="307">
        <v>1.135</v>
      </c>
      <c r="CZ323" s="307">
        <v>1.135</v>
      </c>
    </row>
    <row r="324" spans="97:104">
      <c r="CS324" s="332"/>
      <c r="CT324" s="366" t="s">
        <v>1554</v>
      </c>
      <c r="CU324" s="307" t="s">
        <v>208</v>
      </c>
      <c r="CV324" s="307" t="s">
        <v>89</v>
      </c>
      <c r="CW324" s="366" t="s">
        <v>38</v>
      </c>
      <c r="CX324" s="307">
        <v>1.1464710229999999</v>
      </c>
      <c r="CY324" s="307">
        <v>1.1464710229999999</v>
      </c>
      <c r="CZ324" s="307">
        <v>1.1464710229999999</v>
      </c>
    </row>
    <row r="325" spans="97:104">
      <c r="CS325" s="332"/>
      <c r="CT325" s="366" t="s">
        <v>1555</v>
      </c>
      <c r="CU325" s="307" t="s">
        <v>208</v>
      </c>
      <c r="CV325" s="307" t="s">
        <v>89</v>
      </c>
      <c r="CW325" s="366" t="s">
        <v>39</v>
      </c>
      <c r="CX325" s="307">
        <v>1.1551005569999999</v>
      </c>
      <c r="CY325" s="307">
        <v>1.1551005569999999</v>
      </c>
      <c r="CZ325" s="307">
        <v>1.1551005569999999</v>
      </c>
    </row>
    <row r="326" spans="97:104">
      <c r="CS326" s="332"/>
      <c r="CT326" s="366" t="s">
        <v>1556</v>
      </c>
      <c r="CU326" s="307" t="s">
        <v>208</v>
      </c>
      <c r="CV326" s="307" t="s">
        <v>89</v>
      </c>
      <c r="CW326" s="366" t="s">
        <v>40</v>
      </c>
      <c r="CX326" s="307">
        <v>1.161488088</v>
      </c>
      <c r="CY326" s="307">
        <v>1.161488088</v>
      </c>
      <c r="CZ326" s="307">
        <v>1.161488088</v>
      </c>
    </row>
    <row r="327" spans="97:104">
      <c r="CS327" s="332"/>
      <c r="CT327" s="366" t="s">
        <v>1557</v>
      </c>
      <c r="CU327" s="307" t="s">
        <v>208</v>
      </c>
      <c r="CV327" s="307" t="s">
        <v>89</v>
      </c>
      <c r="CW327" s="366" t="s">
        <v>41</v>
      </c>
      <c r="CX327" s="307">
        <v>1.1663573979999999</v>
      </c>
      <c r="CY327" s="307">
        <v>1.1663573979999999</v>
      </c>
      <c r="CZ327" s="307">
        <v>1.1663573979999999</v>
      </c>
    </row>
    <row r="328" spans="97:104">
      <c r="CS328" s="332"/>
      <c r="CT328" s="366" t="s">
        <v>1558</v>
      </c>
      <c r="CU328" s="307" t="s">
        <v>208</v>
      </c>
      <c r="CV328" s="307" t="s">
        <v>89</v>
      </c>
      <c r="CW328" s="366" t="s">
        <v>21</v>
      </c>
      <c r="CX328" s="307">
        <v>1.17</v>
      </c>
      <c r="CY328" s="307">
        <v>1.17</v>
      </c>
      <c r="CZ328" s="307">
        <v>1.17</v>
      </c>
    </row>
    <row r="329" spans="97:104">
      <c r="CS329" s="332"/>
      <c r="CT329" s="366" t="s">
        <v>1559</v>
      </c>
      <c r="CU329" s="307" t="s">
        <v>208</v>
      </c>
      <c r="CV329" s="307" t="s">
        <v>89</v>
      </c>
      <c r="CW329" s="366" t="s">
        <v>42</v>
      </c>
      <c r="CX329" s="307">
        <v>1.1730526349999999</v>
      </c>
      <c r="CY329" s="307">
        <v>1.1730526349999999</v>
      </c>
      <c r="CZ329" s="307">
        <v>1.1730526349999999</v>
      </c>
    </row>
    <row r="330" spans="97:104">
      <c r="CS330" s="332"/>
      <c r="CT330" s="366" t="s">
        <v>1560</v>
      </c>
      <c r="CU330" s="307" t="s">
        <v>208</v>
      </c>
      <c r="CV330" s="307" t="s">
        <v>89</v>
      </c>
      <c r="CW330" s="366" t="s">
        <v>43</v>
      </c>
      <c r="CX330" s="307">
        <v>1.1755861329999999</v>
      </c>
      <c r="CY330" s="307">
        <v>1.1755861329999999</v>
      </c>
      <c r="CZ330" s="307">
        <v>1.1755861329999999</v>
      </c>
    </row>
    <row r="331" spans="97:104">
      <c r="CS331" s="332"/>
      <c r="CT331" s="366" t="s">
        <v>1561</v>
      </c>
      <c r="CU331" s="307" t="s">
        <v>208</v>
      </c>
      <c r="CV331" s="307" t="s">
        <v>89</v>
      </c>
      <c r="CW331" s="366" t="s">
        <v>44</v>
      </c>
      <c r="CX331" s="307">
        <v>1.178685142</v>
      </c>
      <c r="CY331" s="307">
        <v>1.178685142</v>
      </c>
      <c r="CZ331" s="307">
        <v>1.178685142</v>
      </c>
    </row>
    <row r="332" spans="97:104">
      <c r="CS332" s="332"/>
      <c r="CT332" s="366" t="s">
        <v>1562</v>
      </c>
      <c r="CU332" s="307" t="s">
        <v>208</v>
      </c>
      <c r="CV332" s="307" t="s">
        <v>89</v>
      </c>
      <c r="CW332" s="366" t="s">
        <v>45</v>
      </c>
      <c r="CX332" s="307">
        <v>1.1791316860000001</v>
      </c>
      <c r="CY332" s="307">
        <v>1.1791316860000001</v>
      </c>
      <c r="CZ332" s="307">
        <v>1.1791316860000001</v>
      </c>
    </row>
    <row r="333" spans="97:104">
      <c r="CS333" s="332"/>
      <c r="CT333" s="366" t="s">
        <v>1563</v>
      </c>
      <c r="CU333" s="307" t="s">
        <v>208</v>
      </c>
      <c r="CV333" s="307" t="s">
        <v>89</v>
      </c>
      <c r="CW333" s="366" t="s">
        <v>22</v>
      </c>
      <c r="CX333" s="307">
        <v>1.18</v>
      </c>
      <c r="CY333" s="307">
        <v>1.18</v>
      </c>
      <c r="CZ333" s="307">
        <v>1.18</v>
      </c>
    </row>
    <row r="334" spans="97:104">
      <c r="CS334" s="332"/>
      <c r="CT334" s="366" t="s">
        <v>1564</v>
      </c>
      <c r="CU334" s="307" t="s">
        <v>208</v>
      </c>
      <c r="CV334" s="307" t="s">
        <v>89</v>
      </c>
      <c r="CW334" s="366" t="s">
        <v>163</v>
      </c>
      <c r="CX334" s="307">
        <v>1.18029864</v>
      </c>
      <c r="CY334" s="307">
        <v>1.18029864</v>
      </c>
      <c r="CZ334" s="307">
        <v>1.18029864</v>
      </c>
    </row>
    <row r="335" spans="97:104">
      <c r="CS335" s="332"/>
      <c r="CT335" s="366" t="s">
        <v>1565</v>
      </c>
      <c r="CU335" s="307" t="s">
        <v>208</v>
      </c>
      <c r="CV335" s="307" t="s">
        <v>89</v>
      </c>
      <c r="CW335" s="366" t="s">
        <v>164</v>
      </c>
      <c r="CX335" s="307">
        <v>1.1801586959999999</v>
      </c>
      <c r="CY335" s="307">
        <v>1.1801586959999999</v>
      </c>
      <c r="CZ335" s="307">
        <v>1.1801586959999999</v>
      </c>
    </row>
    <row r="336" spans="97:104">
      <c r="CS336" s="332"/>
      <c r="CT336" s="366" t="s">
        <v>1566</v>
      </c>
      <c r="CU336" s="307" t="s">
        <v>208</v>
      </c>
      <c r="CV336" s="307" t="s">
        <v>89</v>
      </c>
      <c r="CW336" s="366" t="s">
        <v>165</v>
      </c>
      <c r="CX336" s="307">
        <v>1.179478961</v>
      </c>
      <c r="CY336" s="307">
        <v>1.179478961</v>
      </c>
      <c r="CZ336" s="307">
        <v>1.179478961</v>
      </c>
    </row>
    <row r="337" spans="97:104">
      <c r="CS337" s="332"/>
      <c r="CT337" s="366" t="s">
        <v>1567</v>
      </c>
      <c r="CU337" s="307" t="s">
        <v>208</v>
      </c>
      <c r="CV337" s="307" t="s">
        <v>89</v>
      </c>
      <c r="CW337" s="366" t="s">
        <v>166</v>
      </c>
      <c r="CX337" s="307">
        <v>1.1784082680000001</v>
      </c>
      <c r="CY337" s="307">
        <v>1.1784082680000001</v>
      </c>
      <c r="CZ337" s="307">
        <v>1.1784082680000001</v>
      </c>
    </row>
    <row r="338" spans="97:104">
      <c r="CS338" s="332"/>
      <c r="CT338" s="366" t="s">
        <v>1568</v>
      </c>
      <c r="CU338" s="307" t="s">
        <v>208</v>
      </c>
      <c r="CV338" s="307" t="s">
        <v>89</v>
      </c>
      <c r="CW338" s="366" t="s">
        <v>167</v>
      </c>
      <c r="CX338" s="307">
        <v>1.177</v>
      </c>
      <c r="CY338" s="307">
        <v>1.177</v>
      </c>
      <c r="CZ338" s="307">
        <v>1.177</v>
      </c>
    </row>
    <row r="339" spans="97:104">
      <c r="CS339" s="332"/>
      <c r="CT339" s="366" t="s">
        <v>1569</v>
      </c>
      <c r="CU339" s="307" t="s">
        <v>208</v>
      </c>
      <c r="CV339" s="307" t="s">
        <v>89</v>
      </c>
      <c r="CW339" s="366" t="s">
        <v>168</v>
      </c>
      <c r="CX339" s="307">
        <v>1.1753930500000001</v>
      </c>
      <c r="CY339" s="307">
        <v>1.1753930500000001</v>
      </c>
      <c r="CZ339" s="307">
        <v>1.1753930500000001</v>
      </c>
    </row>
    <row r="340" spans="97:104">
      <c r="CS340" s="332"/>
      <c r="CT340" s="366" t="s">
        <v>1570</v>
      </c>
      <c r="CU340" s="307" t="s">
        <v>208</v>
      </c>
      <c r="CV340" s="307" t="s">
        <v>89</v>
      </c>
      <c r="CW340" s="366" t="s">
        <v>169</v>
      </c>
      <c r="CX340" s="307">
        <v>1.1733906919999999</v>
      </c>
      <c r="CY340" s="307">
        <v>1.1733906919999999</v>
      </c>
      <c r="CZ340" s="307">
        <v>1.1733906919999999</v>
      </c>
    </row>
    <row r="341" spans="97:104">
      <c r="CS341" s="332"/>
      <c r="CT341" s="366" t="s">
        <v>1571</v>
      </c>
      <c r="CU341" s="307" t="s">
        <v>208</v>
      </c>
      <c r="CV341" s="307" t="s">
        <v>89</v>
      </c>
      <c r="CW341" s="366" t="s">
        <v>170</v>
      </c>
      <c r="CX341" s="307">
        <v>1.1710200079999999</v>
      </c>
      <c r="CY341" s="307">
        <v>1.1710200079999999</v>
      </c>
      <c r="CZ341" s="307">
        <v>1.1710200079999999</v>
      </c>
    </row>
    <row r="342" spans="97:104">
      <c r="CS342" s="332"/>
      <c r="CT342" s="366" t="s">
        <v>1572</v>
      </c>
      <c r="CU342" s="307" t="s">
        <v>208</v>
      </c>
      <c r="CV342" s="307" t="s">
        <v>89</v>
      </c>
      <c r="CW342" s="366" t="s">
        <v>171</v>
      </c>
      <c r="CX342" s="307">
        <v>1.1682294879999999</v>
      </c>
      <c r="CY342" s="307">
        <v>1.1682294879999999</v>
      </c>
      <c r="CZ342" s="307">
        <v>1.1682294879999999</v>
      </c>
    </row>
    <row r="343" spans="97:104">
      <c r="CS343" s="332"/>
      <c r="CT343" s="366" t="s">
        <v>1573</v>
      </c>
      <c r="CU343" s="307" t="s">
        <v>208</v>
      </c>
      <c r="CV343" s="307" t="s">
        <v>89</v>
      </c>
      <c r="CW343" s="366" t="s">
        <v>46</v>
      </c>
      <c r="CX343" s="307">
        <v>1.165</v>
      </c>
      <c r="CY343" s="307">
        <v>1.165</v>
      </c>
      <c r="CZ343" s="307">
        <v>1.165</v>
      </c>
    </row>
    <row r="344" spans="97:104">
      <c r="CS344" s="332"/>
      <c r="CT344" s="366" t="s">
        <v>1574</v>
      </c>
      <c r="CU344" s="307" t="s">
        <v>208</v>
      </c>
      <c r="CV344" s="307" t="s">
        <v>89</v>
      </c>
      <c r="CW344" s="366" t="s">
        <v>47</v>
      </c>
      <c r="CX344" s="307">
        <v>1.111</v>
      </c>
      <c r="CY344" s="307">
        <v>1.111</v>
      </c>
      <c r="CZ344" s="307">
        <v>1.111</v>
      </c>
    </row>
    <row r="345" spans="97:104">
      <c r="CS345" s="332"/>
      <c r="CT345" s="366" t="s">
        <v>1575</v>
      </c>
      <c r="CU345" s="307" t="s">
        <v>208</v>
      </c>
      <c r="CV345" s="307" t="s">
        <v>89</v>
      </c>
      <c r="CW345" s="366" t="s">
        <v>48</v>
      </c>
      <c r="CX345" s="307">
        <v>1.0760000000000001</v>
      </c>
      <c r="CY345" s="307">
        <v>1.0760000000000001</v>
      </c>
      <c r="CZ345" s="307">
        <v>1.0760000000000001</v>
      </c>
    </row>
    <row r="346" spans="97:104">
      <c r="CS346" s="332"/>
      <c r="CT346" s="366" t="s">
        <v>1576</v>
      </c>
      <c r="CU346" s="307" t="s">
        <v>208</v>
      </c>
      <c r="CV346" s="307" t="s">
        <v>196</v>
      </c>
      <c r="CW346" s="366" t="s">
        <v>3</v>
      </c>
      <c r="CX346" s="307">
        <v>-0.36999989999999999</v>
      </c>
      <c r="CY346" s="307">
        <v>-0.36999989999999999</v>
      </c>
      <c r="CZ346" s="307">
        <v>-0.36999989999999999</v>
      </c>
    </row>
    <row r="347" spans="97:104">
      <c r="CS347" s="332"/>
      <c r="CT347" s="366" t="s">
        <v>1577</v>
      </c>
      <c r="CU347" s="307" t="s">
        <v>208</v>
      </c>
      <c r="CV347" s="307" t="s">
        <v>196</v>
      </c>
      <c r="CW347" s="366" t="s">
        <v>4</v>
      </c>
      <c r="CX347" s="307">
        <v>-0.37</v>
      </c>
      <c r="CY347" s="307">
        <v>-0.37</v>
      </c>
      <c r="CZ347" s="307">
        <v>-0.37</v>
      </c>
    </row>
    <row r="348" spans="97:104">
      <c r="CS348" s="332"/>
      <c r="CT348" s="366" t="s">
        <v>1578</v>
      </c>
      <c r="CU348" s="307" t="s">
        <v>208</v>
      </c>
      <c r="CV348" s="307" t="s">
        <v>196</v>
      </c>
      <c r="CW348" s="366" t="s">
        <v>23</v>
      </c>
      <c r="CX348" s="307">
        <v>-0.37</v>
      </c>
      <c r="CY348" s="307">
        <v>-0.37</v>
      </c>
      <c r="CZ348" s="307">
        <v>-0.37</v>
      </c>
    </row>
    <row r="349" spans="97:104">
      <c r="CS349" s="332"/>
      <c r="CT349" s="366" t="s">
        <v>1579</v>
      </c>
      <c r="CU349" s="307" t="s">
        <v>208</v>
      </c>
      <c r="CV349" s="307" t="s">
        <v>196</v>
      </c>
      <c r="CW349" s="366" t="s">
        <v>5</v>
      </c>
      <c r="CX349" s="307">
        <v>-0.37</v>
      </c>
      <c r="CY349" s="307">
        <v>-0.37</v>
      </c>
      <c r="CZ349" s="307">
        <v>-0.37</v>
      </c>
    </row>
    <row r="350" spans="97:104">
      <c r="CS350" s="332"/>
      <c r="CT350" s="366" t="s">
        <v>1580</v>
      </c>
      <c r="CU350" s="307" t="s">
        <v>208</v>
      </c>
      <c r="CV350" s="307" t="s">
        <v>196</v>
      </c>
      <c r="CW350" s="366" t="s">
        <v>6</v>
      </c>
      <c r="CX350" s="307">
        <v>-0.37</v>
      </c>
      <c r="CY350" s="307">
        <v>-0.37</v>
      </c>
      <c r="CZ350" s="307">
        <v>-0.37</v>
      </c>
    </row>
    <row r="351" spans="97:104">
      <c r="CS351" s="332"/>
      <c r="CT351" s="366" t="s">
        <v>1581</v>
      </c>
      <c r="CU351" s="307" t="s">
        <v>208</v>
      </c>
      <c r="CV351" s="307" t="s">
        <v>196</v>
      </c>
      <c r="CW351" s="366" t="s">
        <v>24</v>
      </c>
      <c r="CX351" s="307">
        <v>-0.37</v>
      </c>
      <c r="CY351" s="307">
        <v>-0.37</v>
      </c>
      <c r="CZ351" s="307">
        <v>-0.37</v>
      </c>
    </row>
    <row r="352" spans="97:104">
      <c r="CS352" s="332"/>
      <c r="CT352" s="366" t="s">
        <v>1582</v>
      </c>
      <c r="CU352" s="307" t="s">
        <v>208</v>
      </c>
      <c r="CV352" s="307" t="s">
        <v>196</v>
      </c>
      <c r="CW352" s="366" t="s">
        <v>7</v>
      </c>
      <c r="CX352" s="307">
        <v>-0.37</v>
      </c>
      <c r="CY352" s="307">
        <v>-0.37</v>
      </c>
      <c r="CZ352" s="307">
        <v>-0.37</v>
      </c>
    </row>
    <row r="353" spans="97:104">
      <c r="CS353" s="332"/>
      <c r="CT353" s="366" t="s">
        <v>1583</v>
      </c>
      <c r="CU353" s="307" t="s">
        <v>208</v>
      </c>
      <c r="CV353" s="307" t="s">
        <v>196</v>
      </c>
      <c r="CW353" s="366" t="s">
        <v>8</v>
      </c>
      <c r="CX353" s="307">
        <v>-0.33</v>
      </c>
      <c r="CY353" s="307">
        <v>-0.33</v>
      </c>
      <c r="CZ353" s="307">
        <v>-0.33</v>
      </c>
    </row>
    <row r="354" spans="97:104">
      <c r="CS354" s="332"/>
      <c r="CT354" s="366" t="s">
        <v>1584</v>
      </c>
      <c r="CU354" s="307" t="s">
        <v>208</v>
      </c>
      <c r="CV354" s="307" t="s">
        <v>196</v>
      </c>
      <c r="CW354" s="366" t="s">
        <v>25</v>
      </c>
      <c r="CX354" s="307">
        <v>-0.3</v>
      </c>
      <c r="CY354" s="307">
        <v>-0.3</v>
      </c>
      <c r="CZ354" s="307">
        <v>-0.3</v>
      </c>
    </row>
    <row r="355" spans="97:104">
      <c r="CS355" s="332"/>
      <c r="CT355" s="366" t="s">
        <v>1585</v>
      </c>
      <c r="CU355" s="307" t="s">
        <v>208</v>
      </c>
      <c r="CV355" s="307" t="s">
        <v>196</v>
      </c>
      <c r="CW355" s="366" t="s">
        <v>26</v>
      </c>
      <c r="CX355" s="307">
        <v>-0.27</v>
      </c>
      <c r="CY355" s="307">
        <v>-0.27</v>
      </c>
      <c r="CZ355" s="307">
        <v>-0.27</v>
      </c>
    </row>
    <row r="356" spans="97:104">
      <c r="CS356" s="332"/>
      <c r="CT356" s="366" t="s">
        <v>1586</v>
      </c>
      <c r="CU356" s="307" t="s">
        <v>208</v>
      </c>
      <c r="CV356" s="307" t="s">
        <v>196</v>
      </c>
      <c r="CW356" s="366" t="s">
        <v>27</v>
      </c>
      <c r="CX356" s="307">
        <v>-0.24</v>
      </c>
      <c r="CY356" s="307">
        <v>-0.24</v>
      </c>
      <c r="CZ356" s="307">
        <v>-0.24</v>
      </c>
    </row>
    <row r="357" spans="97:104">
      <c r="CS357" s="332"/>
      <c r="CT357" s="366" t="s">
        <v>1587</v>
      </c>
      <c r="CU357" s="307" t="s">
        <v>208</v>
      </c>
      <c r="CV357" s="307" t="s">
        <v>196</v>
      </c>
      <c r="CW357" s="366" t="s">
        <v>28</v>
      </c>
      <c r="CX357" s="307">
        <v>-0.21</v>
      </c>
      <c r="CY357" s="307">
        <v>-0.21</v>
      </c>
      <c r="CZ357" s="307">
        <v>-0.21</v>
      </c>
    </row>
    <row r="358" spans="97:104">
      <c r="CS358" s="332"/>
      <c r="CT358" s="366" t="s">
        <v>1588</v>
      </c>
      <c r="CU358" s="307" t="s">
        <v>208</v>
      </c>
      <c r="CV358" s="307" t="s">
        <v>196</v>
      </c>
      <c r="CW358" s="366" t="s">
        <v>29</v>
      </c>
      <c r="CX358" s="307">
        <v>-0.18</v>
      </c>
      <c r="CY358" s="307">
        <v>-0.18</v>
      </c>
      <c r="CZ358" s="307">
        <v>-0.18</v>
      </c>
    </row>
    <row r="359" spans="97:104">
      <c r="CS359" s="332"/>
      <c r="CT359" s="366" t="s">
        <v>5106</v>
      </c>
      <c r="CU359" s="307" t="s">
        <v>208</v>
      </c>
      <c r="CV359" s="307" t="s">
        <v>196</v>
      </c>
      <c r="CW359" s="366" t="s">
        <v>5101</v>
      </c>
      <c r="CX359" s="307">
        <v>-0.19</v>
      </c>
      <c r="CY359" s="307">
        <v>-0.17</v>
      </c>
      <c r="CZ359" s="307">
        <v>-0.18</v>
      </c>
    </row>
    <row r="360" spans="97:104">
      <c r="CS360" s="332"/>
      <c r="CT360" s="366" t="s">
        <v>1589</v>
      </c>
      <c r="CU360" s="307" t="s">
        <v>208</v>
      </c>
      <c r="CV360" s="307" t="s">
        <v>196</v>
      </c>
      <c r="CW360" s="366" t="s">
        <v>30</v>
      </c>
      <c r="CX360" s="307">
        <v>-0.15</v>
      </c>
      <c r="CY360" s="307">
        <v>-0.15</v>
      </c>
      <c r="CZ360" s="307">
        <v>-0.15</v>
      </c>
    </row>
    <row r="361" spans="97:104">
      <c r="CS361" s="332"/>
      <c r="CT361" s="366" t="s">
        <v>1590</v>
      </c>
      <c r="CU361" s="307" t="s">
        <v>208</v>
      </c>
      <c r="CV361" s="307" t="s">
        <v>196</v>
      </c>
      <c r="CW361" s="366" t="s">
        <v>49</v>
      </c>
      <c r="CX361" s="307">
        <v>-0.13</v>
      </c>
      <c r="CY361" s="307">
        <v>-0.13</v>
      </c>
      <c r="CZ361" s="307">
        <v>-0.13</v>
      </c>
    </row>
    <row r="362" spans="97:104">
      <c r="CS362" s="332"/>
      <c r="CT362" s="366" t="s">
        <v>4177</v>
      </c>
      <c r="CU362" s="307" t="s">
        <v>208</v>
      </c>
      <c r="CV362" s="307" t="s">
        <v>196</v>
      </c>
      <c r="CW362" s="366" t="s">
        <v>1066</v>
      </c>
      <c r="CX362" s="307">
        <v>100.27500000000001</v>
      </c>
      <c r="CY362" s="307">
        <v>100.28</v>
      </c>
      <c r="CZ362" s="307">
        <v>100.2775</v>
      </c>
    </row>
    <row r="363" spans="97:104">
      <c r="CS363" s="332"/>
      <c r="CT363" s="366" t="s">
        <v>1591</v>
      </c>
      <c r="CU363" s="307" t="s">
        <v>208</v>
      </c>
      <c r="CV363" s="307" t="s">
        <v>196</v>
      </c>
      <c r="CW363" s="366" t="s">
        <v>56</v>
      </c>
      <c r="CX363" s="307">
        <v>-0.19261002799999999</v>
      </c>
      <c r="CY363" s="307">
        <v>-0.19261002799999999</v>
      </c>
      <c r="CZ363" s="307">
        <v>-0.19261002799999999</v>
      </c>
    </row>
    <row r="364" spans="97:104">
      <c r="CS364" s="332"/>
      <c r="CT364" s="366" t="s">
        <v>4178</v>
      </c>
      <c r="CU364" s="307" t="s">
        <v>208</v>
      </c>
      <c r="CV364" s="307" t="s">
        <v>196</v>
      </c>
      <c r="CW364" s="366" t="s">
        <v>1069</v>
      </c>
      <c r="CX364" s="307">
        <v>100.255</v>
      </c>
      <c r="CY364" s="307">
        <v>100.26</v>
      </c>
      <c r="CZ364" s="307">
        <v>100.25749999999999</v>
      </c>
    </row>
    <row r="365" spans="97:104">
      <c r="CS365" s="332"/>
      <c r="CT365" s="366" t="s">
        <v>4179</v>
      </c>
      <c r="CU365" s="307" t="s">
        <v>208</v>
      </c>
      <c r="CV365" s="307" t="s">
        <v>196</v>
      </c>
      <c r="CW365" s="366" t="s">
        <v>3865</v>
      </c>
      <c r="CX365" s="307">
        <v>100.24</v>
      </c>
      <c r="CY365" s="307">
        <v>100.245</v>
      </c>
      <c r="CZ365" s="307">
        <v>100.24250000000001</v>
      </c>
    </row>
    <row r="366" spans="97:104">
      <c r="CS366" s="332"/>
      <c r="CT366" s="366" t="s">
        <v>4180</v>
      </c>
      <c r="CU366" s="307" t="s">
        <v>208</v>
      </c>
      <c r="CV366" s="307" t="s">
        <v>196</v>
      </c>
      <c r="CW366" s="366" t="s">
        <v>3866</v>
      </c>
      <c r="CX366" s="307">
        <v>100.215</v>
      </c>
      <c r="CY366" s="307">
        <v>100.22</v>
      </c>
      <c r="CZ366" s="307">
        <v>100.2175</v>
      </c>
    </row>
    <row r="367" spans="97:104">
      <c r="CS367" s="332"/>
      <c r="CT367" s="366" t="s">
        <v>5062</v>
      </c>
      <c r="CU367" s="307" t="s">
        <v>208</v>
      </c>
      <c r="CV367" s="307" t="s">
        <v>196</v>
      </c>
      <c r="CW367" s="366" t="s">
        <v>3889</v>
      </c>
      <c r="CX367" s="307">
        <v>100.185</v>
      </c>
      <c r="CY367" s="307">
        <v>100.19</v>
      </c>
      <c r="CZ367" s="307">
        <v>100.1875</v>
      </c>
    </row>
    <row r="368" spans="97:104">
      <c r="CS368" s="332"/>
      <c r="CT368" s="366" t="s">
        <v>1592</v>
      </c>
      <c r="CU368" s="307" t="s">
        <v>208</v>
      </c>
      <c r="CV368" s="307" t="s">
        <v>196</v>
      </c>
      <c r="CW368" s="366" t="s">
        <v>9</v>
      </c>
      <c r="CX368" s="307">
        <v>-0.135962267</v>
      </c>
      <c r="CY368" s="307">
        <v>-0.135962267</v>
      </c>
      <c r="CZ368" s="307">
        <v>-0.135962267</v>
      </c>
    </row>
    <row r="369" spans="97:104">
      <c r="CS369" s="332"/>
      <c r="CT369" s="366" t="s">
        <v>5107</v>
      </c>
      <c r="CU369" s="307" t="s">
        <v>208</v>
      </c>
      <c r="CV369" s="307" t="s">
        <v>196</v>
      </c>
      <c r="CW369" s="366" t="s">
        <v>3890</v>
      </c>
      <c r="CX369" s="307">
        <v>100.15</v>
      </c>
      <c r="CY369" s="307">
        <v>100.155</v>
      </c>
      <c r="CZ369" s="307">
        <v>100.1525</v>
      </c>
    </row>
    <row r="370" spans="97:104">
      <c r="CS370" s="332"/>
      <c r="CT370" s="366" t="s">
        <v>1593</v>
      </c>
      <c r="CU370" s="307" t="s">
        <v>208</v>
      </c>
      <c r="CV370" s="307" t="s">
        <v>196</v>
      </c>
      <c r="CW370" s="366" t="s">
        <v>10</v>
      </c>
      <c r="CX370" s="307">
        <v>-6.0999999999999999E-2</v>
      </c>
      <c r="CY370" s="307">
        <v>-6.0999999999999999E-2</v>
      </c>
      <c r="CZ370" s="307">
        <v>-6.0999999999999999E-2</v>
      </c>
    </row>
    <row r="371" spans="97:104">
      <c r="CS371" s="332"/>
      <c r="CT371" s="366" t="s">
        <v>1594</v>
      </c>
      <c r="CU371" s="307" t="s">
        <v>208</v>
      </c>
      <c r="CV371" s="307" t="s">
        <v>196</v>
      </c>
      <c r="CW371" s="366" t="s">
        <v>11</v>
      </c>
      <c r="CX371" s="307">
        <v>2.8000000000000001E-2</v>
      </c>
      <c r="CY371" s="307">
        <v>2.8000000000000001E-2</v>
      </c>
      <c r="CZ371" s="307">
        <v>2.8000000000000001E-2</v>
      </c>
    </row>
    <row r="372" spans="97:104">
      <c r="CS372" s="332"/>
      <c r="CT372" s="366" t="s">
        <v>1595</v>
      </c>
      <c r="CU372" s="307" t="s">
        <v>208</v>
      </c>
      <c r="CV372" s="307" t="s">
        <v>196</v>
      </c>
      <c r="CW372" s="366" t="s">
        <v>12</v>
      </c>
      <c r="CX372" s="307">
        <v>0.13200000000000001</v>
      </c>
      <c r="CY372" s="307">
        <v>0.13200000000000001</v>
      </c>
      <c r="CZ372" s="307">
        <v>0.13200000000000001</v>
      </c>
    </row>
    <row r="373" spans="97:104">
      <c r="CS373" s="332"/>
      <c r="CT373" s="366" t="s">
        <v>1596</v>
      </c>
      <c r="CU373" s="307" t="s">
        <v>208</v>
      </c>
      <c r="CV373" s="307" t="s">
        <v>196</v>
      </c>
      <c r="CW373" s="366" t="s">
        <v>13</v>
      </c>
      <c r="CX373" s="307">
        <v>0.24199999999999999</v>
      </c>
      <c r="CY373" s="307">
        <v>0.24199999999999999</v>
      </c>
      <c r="CZ373" s="307">
        <v>0.24199999999999999</v>
      </c>
    </row>
    <row r="374" spans="97:104">
      <c r="CS374" s="332"/>
      <c r="CT374" s="366" t="s">
        <v>1597</v>
      </c>
      <c r="CU374" s="307" t="s">
        <v>208</v>
      </c>
      <c r="CV374" s="307" t="s">
        <v>196</v>
      </c>
      <c r="CW374" s="366" t="s">
        <v>14</v>
      </c>
      <c r="CX374" s="307">
        <v>0.35499999999999998</v>
      </c>
      <c r="CY374" s="307">
        <v>0.35499999999999998</v>
      </c>
      <c r="CZ374" s="307">
        <v>0.35499999999999998</v>
      </c>
    </row>
    <row r="375" spans="97:104">
      <c r="CS375" s="332"/>
      <c r="CT375" s="366" t="s">
        <v>1598</v>
      </c>
      <c r="CU375" s="307" t="s">
        <v>208</v>
      </c>
      <c r="CV375" s="307" t="s">
        <v>196</v>
      </c>
      <c r="CW375" s="366" t="s">
        <v>15</v>
      </c>
      <c r="CX375" s="307">
        <v>0.46700000000000003</v>
      </c>
      <c r="CY375" s="307">
        <v>0.46700000000000003</v>
      </c>
      <c r="CZ375" s="307">
        <v>0.46700000000000003</v>
      </c>
    </row>
    <row r="376" spans="97:104">
      <c r="CS376" s="332"/>
      <c r="CT376" s="366" t="s">
        <v>1599</v>
      </c>
      <c r="CU376" s="307" t="s">
        <v>208</v>
      </c>
      <c r="CV376" s="307" t="s">
        <v>196</v>
      </c>
      <c r="CW376" s="366" t="s">
        <v>16</v>
      </c>
      <c r="CX376" s="307">
        <v>0.57399999999999995</v>
      </c>
      <c r="CY376" s="307">
        <v>0.57399999999999995</v>
      </c>
      <c r="CZ376" s="307">
        <v>0.57399999999999995</v>
      </c>
    </row>
    <row r="377" spans="97:104">
      <c r="CS377" s="332"/>
      <c r="CT377" s="366" t="s">
        <v>1600</v>
      </c>
      <c r="CU377" s="307" t="s">
        <v>208</v>
      </c>
      <c r="CV377" s="307" t="s">
        <v>196</v>
      </c>
      <c r="CW377" s="366" t="s">
        <v>17</v>
      </c>
      <c r="CX377" s="307">
        <v>0.67100000000000004</v>
      </c>
      <c r="CY377" s="307">
        <v>0.67100000000000004</v>
      </c>
      <c r="CZ377" s="307">
        <v>0.67100000000000004</v>
      </c>
    </row>
    <row r="378" spans="97:104">
      <c r="CS378" s="332"/>
      <c r="CT378" s="366" t="s">
        <v>1601</v>
      </c>
      <c r="CU378" s="307" t="s">
        <v>208</v>
      </c>
      <c r="CV378" s="307" t="s">
        <v>196</v>
      </c>
      <c r="CW378" s="366" t="s">
        <v>31</v>
      </c>
      <c r="CX378" s="307">
        <v>0.75771047999999996</v>
      </c>
      <c r="CY378" s="307">
        <v>0.75771047999999996</v>
      </c>
      <c r="CZ378" s="307">
        <v>0.75771047999999996</v>
      </c>
    </row>
    <row r="379" spans="97:104">
      <c r="CS379" s="332"/>
      <c r="CT379" s="366" t="s">
        <v>1602</v>
      </c>
      <c r="CU379" s="307" t="s">
        <v>208</v>
      </c>
      <c r="CV379" s="307" t="s">
        <v>196</v>
      </c>
      <c r="CW379" s="366" t="s">
        <v>18</v>
      </c>
      <c r="CX379" s="307">
        <v>0.83499999999999996</v>
      </c>
      <c r="CY379" s="307">
        <v>0.83499999999999996</v>
      </c>
      <c r="CZ379" s="307">
        <v>0.83499999999999996</v>
      </c>
    </row>
    <row r="380" spans="97:104">
      <c r="CS380" s="332"/>
      <c r="CT380" s="366" t="s">
        <v>1603</v>
      </c>
      <c r="CU380" s="307" t="s">
        <v>208</v>
      </c>
      <c r="CV380" s="307" t="s">
        <v>196</v>
      </c>
      <c r="CW380" s="366" t="s">
        <v>32</v>
      </c>
      <c r="CX380" s="307">
        <v>0.90110858100000002</v>
      </c>
      <c r="CY380" s="307">
        <v>0.90110858100000002</v>
      </c>
      <c r="CZ380" s="307">
        <v>0.90110858100000002</v>
      </c>
    </row>
    <row r="381" spans="97:104">
      <c r="CS381" s="332"/>
      <c r="CT381" s="366" t="s">
        <v>1604</v>
      </c>
      <c r="CU381" s="307" t="s">
        <v>208</v>
      </c>
      <c r="CV381" s="307" t="s">
        <v>196</v>
      </c>
      <c r="CW381" s="366" t="s">
        <v>33</v>
      </c>
      <c r="CX381" s="307">
        <v>0.95755458199999999</v>
      </c>
      <c r="CY381" s="307">
        <v>0.95755458199999999</v>
      </c>
      <c r="CZ381" s="307">
        <v>0.95755458199999999</v>
      </c>
    </row>
    <row r="382" spans="97:104">
      <c r="CS382" s="332"/>
      <c r="CT382" s="366" t="s">
        <v>1605</v>
      </c>
      <c r="CU382" s="307" t="s">
        <v>208</v>
      </c>
      <c r="CV382" s="307" t="s">
        <v>196</v>
      </c>
      <c r="CW382" s="366" t="s">
        <v>19</v>
      </c>
      <c r="CX382" s="307">
        <v>1.0049999999999999</v>
      </c>
      <c r="CY382" s="307">
        <v>1.0049999999999999</v>
      </c>
      <c r="CZ382" s="307">
        <v>1.0049999999999999</v>
      </c>
    </row>
    <row r="383" spans="97:104">
      <c r="CS383" s="332"/>
      <c r="CT383" s="366" t="s">
        <v>1606</v>
      </c>
      <c r="CU383" s="307" t="s">
        <v>208</v>
      </c>
      <c r="CV383" s="307" t="s">
        <v>196</v>
      </c>
      <c r="CW383" s="366" t="s">
        <v>34</v>
      </c>
      <c r="CX383" s="307">
        <v>1.0441685469999999</v>
      </c>
      <c r="CY383" s="307">
        <v>1.0441685469999999</v>
      </c>
      <c r="CZ383" s="307">
        <v>1.0441685469999999</v>
      </c>
    </row>
    <row r="384" spans="97:104">
      <c r="CS384" s="332"/>
      <c r="CT384" s="366" t="s">
        <v>1607</v>
      </c>
      <c r="CU384" s="307" t="s">
        <v>208</v>
      </c>
      <c r="CV384" s="307" t="s">
        <v>196</v>
      </c>
      <c r="CW384" s="366" t="s">
        <v>35</v>
      </c>
      <c r="CX384" s="307">
        <v>1.0755175340000001</v>
      </c>
      <c r="CY384" s="307">
        <v>1.0755175340000001</v>
      </c>
      <c r="CZ384" s="307">
        <v>1.0755175340000001</v>
      </c>
    </row>
    <row r="385" spans="97:104">
      <c r="CS385" s="332"/>
      <c r="CT385" s="366" t="s">
        <v>1608</v>
      </c>
      <c r="CU385" s="307" t="s">
        <v>208</v>
      </c>
      <c r="CV385" s="307" t="s">
        <v>196</v>
      </c>
      <c r="CW385" s="366" t="s">
        <v>36</v>
      </c>
      <c r="CX385" s="307">
        <v>1.1005122430000001</v>
      </c>
      <c r="CY385" s="307">
        <v>1.1005122430000001</v>
      </c>
      <c r="CZ385" s="307">
        <v>1.1005122430000001</v>
      </c>
    </row>
    <row r="386" spans="97:104">
      <c r="CS386" s="332"/>
      <c r="CT386" s="366" t="s">
        <v>1609</v>
      </c>
      <c r="CU386" s="307" t="s">
        <v>208</v>
      </c>
      <c r="CV386" s="307" t="s">
        <v>196</v>
      </c>
      <c r="CW386" s="366" t="s">
        <v>37</v>
      </c>
      <c r="CX386" s="307">
        <v>1.1198747060000001</v>
      </c>
      <c r="CY386" s="307">
        <v>1.1198747060000001</v>
      </c>
      <c r="CZ386" s="307">
        <v>1.1198747060000001</v>
      </c>
    </row>
    <row r="387" spans="97:104">
      <c r="CS387" s="332"/>
      <c r="CT387" s="366" t="s">
        <v>1610</v>
      </c>
      <c r="CU387" s="307" t="s">
        <v>208</v>
      </c>
      <c r="CV387" s="307" t="s">
        <v>196</v>
      </c>
      <c r="CW387" s="366" t="s">
        <v>20</v>
      </c>
      <c r="CX387" s="307">
        <v>1.135</v>
      </c>
      <c r="CY387" s="307">
        <v>1.135</v>
      </c>
      <c r="CZ387" s="307">
        <v>1.135</v>
      </c>
    </row>
    <row r="388" spans="97:104">
      <c r="CS388" s="332"/>
      <c r="CT388" s="366" t="s">
        <v>1611</v>
      </c>
      <c r="CU388" s="307" t="s">
        <v>208</v>
      </c>
      <c r="CV388" s="307" t="s">
        <v>196</v>
      </c>
      <c r="CW388" s="366" t="s">
        <v>38</v>
      </c>
      <c r="CX388" s="307">
        <v>1.1464710229999999</v>
      </c>
      <c r="CY388" s="307">
        <v>1.1464710229999999</v>
      </c>
      <c r="CZ388" s="307">
        <v>1.1464710229999999</v>
      </c>
    </row>
    <row r="389" spans="97:104">
      <c r="CS389" s="332"/>
      <c r="CT389" s="366" t="s">
        <v>1612</v>
      </c>
      <c r="CU389" s="307" t="s">
        <v>208</v>
      </c>
      <c r="CV389" s="307" t="s">
        <v>196</v>
      </c>
      <c r="CW389" s="366" t="s">
        <v>39</v>
      </c>
      <c r="CX389" s="307">
        <v>1.1551005569999999</v>
      </c>
      <c r="CY389" s="307">
        <v>1.1551005569999999</v>
      </c>
      <c r="CZ389" s="307">
        <v>1.1551005569999999</v>
      </c>
    </row>
    <row r="390" spans="97:104">
      <c r="CS390" s="332"/>
      <c r="CT390" s="366" t="s">
        <v>1613</v>
      </c>
      <c r="CU390" s="307" t="s">
        <v>208</v>
      </c>
      <c r="CV390" s="307" t="s">
        <v>196</v>
      </c>
      <c r="CW390" s="366" t="s">
        <v>40</v>
      </c>
      <c r="CX390" s="307">
        <v>1.161488088</v>
      </c>
      <c r="CY390" s="307">
        <v>1.161488088</v>
      </c>
      <c r="CZ390" s="307">
        <v>1.161488088</v>
      </c>
    </row>
    <row r="391" spans="97:104">
      <c r="CS391" s="332"/>
      <c r="CT391" s="366" t="s">
        <v>1614</v>
      </c>
      <c r="CU391" s="307" t="s">
        <v>208</v>
      </c>
      <c r="CV391" s="307" t="s">
        <v>196</v>
      </c>
      <c r="CW391" s="366" t="s">
        <v>41</v>
      </c>
      <c r="CX391" s="307">
        <v>1.1663573979999999</v>
      </c>
      <c r="CY391" s="307">
        <v>1.1663573979999999</v>
      </c>
      <c r="CZ391" s="307">
        <v>1.1663573979999999</v>
      </c>
    </row>
    <row r="392" spans="97:104">
      <c r="CS392" s="332"/>
      <c r="CT392" s="366" t="s">
        <v>1615</v>
      </c>
      <c r="CU392" s="307" t="s">
        <v>208</v>
      </c>
      <c r="CV392" s="307" t="s">
        <v>196</v>
      </c>
      <c r="CW392" s="366" t="s">
        <v>21</v>
      </c>
      <c r="CX392" s="307">
        <v>1.17</v>
      </c>
      <c r="CY392" s="307">
        <v>1.17</v>
      </c>
      <c r="CZ392" s="307">
        <v>1.17</v>
      </c>
    </row>
    <row r="393" spans="97:104">
      <c r="CS393" s="332"/>
      <c r="CT393" s="366" t="s">
        <v>1616</v>
      </c>
      <c r="CU393" s="307" t="s">
        <v>208</v>
      </c>
      <c r="CV393" s="307" t="s">
        <v>196</v>
      </c>
      <c r="CW393" s="366" t="s">
        <v>42</v>
      </c>
      <c r="CX393" s="307">
        <v>1.1730526349999999</v>
      </c>
      <c r="CY393" s="307">
        <v>1.1730526349999999</v>
      </c>
      <c r="CZ393" s="307">
        <v>1.1730526349999999</v>
      </c>
    </row>
    <row r="394" spans="97:104">
      <c r="CS394" s="332"/>
      <c r="CT394" s="366" t="s">
        <v>1617</v>
      </c>
      <c r="CU394" s="307" t="s">
        <v>208</v>
      </c>
      <c r="CV394" s="307" t="s">
        <v>196</v>
      </c>
      <c r="CW394" s="366" t="s">
        <v>43</v>
      </c>
      <c r="CX394" s="307">
        <v>1.1755861329999999</v>
      </c>
      <c r="CY394" s="307">
        <v>1.1755861329999999</v>
      </c>
      <c r="CZ394" s="307">
        <v>1.1755861329999999</v>
      </c>
    </row>
    <row r="395" spans="97:104">
      <c r="CS395" s="332"/>
      <c r="CT395" s="366" t="s">
        <v>1618</v>
      </c>
      <c r="CU395" s="307" t="s">
        <v>208</v>
      </c>
      <c r="CV395" s="307" t="s">
        <v>196</v>
      </c>
      <c r="CW395" s="366" t="s">
        <v>44</v>
      </c>
      <c r="CX395" s="307">
        <v>1.178685142</v>
      </c>
      <c r="CY395" s="307">
        <v>1.178685142</v>
      </c>
      <c r="CZ395" s="307">
        <v>1.178685142</v>
      </c>
    </row>
    <row r="396" spans="97:104">
      <c r="CS396" s="332"/>
      <c r="CT396" s="366" t="s">
        <v>1619</v>
      </c>
      <c r="CU396" s="307" t="s">
        <v>208</v>
      </c>
      <c r="CV396" s="307" t="s">
        <v>196</v>
      </c>
      <c r="CW396" s="366" t="s">
        <v>45</v>
      </c>
      <c r="CX396" s="307">
        <v>1.1791316860000001</v>
      </c>
      <c r="CY396" s="307">
        <v>1.1791316860000001</v>
      </c>
      <c r="CZ396" s="307">
        <v>1.1791316860000001</v>
      </c>
    </row>
    <row r="397" spans="97:104">
      <c r="CS397" s="332"/>
      <c r="CT397" s="366" t="s">
        <v>1620</v>
      </c>
      <c r="CU397" s="307" t="s">
        <v>208</v>
      </c>
      <c r="CV397" s="307" t="s">
        <v>196</v>
      </c>
      <c r="CW397" s="366" t="s">
        <v>22</v>
      </c>
      <c r="CX397" s="307">
        <v>1.18</v>
      </c>
      <c r="CY397" s="307">
        <v>1.18</v>
      </c>
      <c r="CZ397" s="307">
        <v>1.18</v>
      </c>
    </row>
    <row r="398" spans="97:104">
      <c r="CS398" s="332"/>
      <c r="CT398" s="366" t="s">
        <v>1621</v>
      </c>
      <c r="CU398" s="307" t="s">
        <v>208</v>
      </c>
      <c r="CV398" s="307" t="s">
        <v>196</v>
      </c>
      <c r="CW398" s="366" t="s">
        <v>163</v>
      </c>
      <c r="CX398" s="307">
        <v>1.18029864</v>
      </c>
      <c r="CY398" s="307">
        <v>1.18029864</v>
      </c>
      <c r="CZ398" s="307">
        <v>1.18029864</v>
      </c>
    </row>
    <row r="399" spans="97:104">
      <c r="CS399" s="332"/>
      <c r="CT399" s="366" t="s">
        <v>1622</v>
      </c>
      <c r="CU399" s="307" t="s">
        <v>208</v>
      </c>
      <c r="CV399" s="307" t="s">
        <v>196</v>
      </c>
      <c r="CW399" s="366" t="s">
        <v>164</v>
      </c>
      <c r="CX399" s="307">
        <v>1.1801586959999999</v>
      </c>
      <c r="CY399" s="307">
        <v>1.1801586959999999</v>
      </c>
      <c r="CZ399" s="307">
        <v>1.1801586959999999</v>
      </c>
    </row>
    <row r="400" spans="97:104">
      <c r="CS400" s="332"/>
      <c r="CT400" s="366" t="s">
        <v>1623</v>
      </c>
      <c r="CU400" s="307" t="s">
        <v>208</v>
      </c>
      <c r="CV400" s="307" t="s">
        <v>196</v>
      </c>
      <c r="CW400" s="366" t="s">
        <v>165</v>
      </c>
      <c r="CX400" s="307">
        <v>1.179478961</v>
      </c>
      <c r="CY400" s="307">
        <v>1.179478961</v>
      </c>
      <c r="CZ400" s="307">
        <v>1.179478961</v>
      </c>
    </row>
    <row r="401" spans="97:104">
      <c r="CS401" s="332"/>
      <c r="CT401" s="366" t="s">
        <v>1624</v>
      </c>
      <c r="CU401" s="307" t="s">
        <v>208</v>
      </c>
      <c r="CV401" s="307" t="s">
        <v>196</v>
      </c>
      <c r="CW401" s="366" t="s">
        <v>166</v>
      </c>
      <c r="CX401" s="307">
        <v>1.1784082680000001</v>
      </c>
      <c r="CY401" s="307">
        <v>1.1784082680000001</v>
      </c>
      <c r="CZ401" s="307">
        <v>1.1784082680000001</v>
      </c>
    </row>
    <row r="402" spans="97:104">
      <c r="CS402" s="332"/>
      <c r="CT402" s="366" t="s">
        <v>1625</v>
      </c>
      <c r="CU402" s="307" t="s">
        <v>208</v>
      </c>
      <c r="CV402" s="307" t="s">
        <v>196</v>
      </c>
      <c r="CW402" s="366" t="s">
        <v>167</v>
      </c>
      <c r="CX402" s="307">
        <v>1.177</v>
      </c>
      <c r="CY402" s="307">
        <v>1.177</v>
      </c>
      <c r="CZ402" s="307">
        <v>1.177</v>
      </c>
    </row>
    <row r="403" spans="97:104">
      <c r="CS403" s="332"/>
      <c r="CT403" s="366" t="s">
        <v>1626</v>
      </c>
      <c r="CU403" s="307" t="s">
        <v>208</v>
      </c>
      <c r="CV403" s="307" t="s">
        <v>196</v>
      </c>
      <c r="CW403" s="366" t="s">
        <v>168</v>
      </c>
      <c r="CX403" s="307">
        <v>1.1753930500000001</v>
      </c>
      <c r="CY403" s="307">
        <v>1.1753930500000001</v>
      </c>
      <c r="CZ403" s="307">
        <v>1.1753930500000001</v>
      </c>
    </row>
    <row r="404" spans="97:104">
      <c r="CS404" s="332"/>
      <c r="CT404" s="366" t="s">
        <v>1627</v>
      </c>
      <c r="CU404" s="307" t="s">
        <v>208</v>
      </c>
      <c r="CV404" s="307" t="s">
        <v>196</v>
      </c>
      <c r="CW404" s="366" t="s">
        <v>169</v>
      </c>
      <c r="CX404" s="307">
        <v>1.1733906919999999</v>
      </c>
      <c r="CY404" s="307">
        <v>1.1733906919999999</v>
      </c>
      <c r="CZ404" s="307">
        <v>1.1733906919999999</v>
      </c>
    </row>
    <row r="405" spans="97:104">
      <c r="CS405" s="332"/>
      <c r="CT405" s="366" t="s">
        <v>1628</v>
      </c>
      <c r="CU405" s="307" t="s">
        <v>208</v>
      </c>
      <c r="CV405" s="307" t="s">
        <v>196</v>
      </c>
      <c r="CW405" s="366" t="s">
        <v>170</v>
      </c>
      <c r="CX405" s="307">
        <v>1.1710200079999999</v>
      </c>
      <c r="CY405" s="307">
        <v>1.1710200079999999</v>
      </c>
      <c r="CZ405" s="307">
        <v>1.1710200079999999</v>
      </c>
    </row>
    <row r="406" spans="97:104">
      <c r="CS406" s="332"/>
      <c r="CT406" s="366" t="s">
        <v>1629</v>
      </c>
      <c r="CU406" s="307" t="s">
        <v>208</v>
      </c>
      <c r="CV406" s="307" t="s">
        <v>196</v>
      </c>
      <c r="CW406" s="366" t="s">
        <v>171</v>
      </c>
      <c r="CX406" s="307">
        <v>1.1682294879999999</v>
      </c>
      <c r="CY406" s="307">
        <v>1.1682294879999999</v>
      </c>
      <c r="CZ406" s="307">
        <v>1.1682294879999999</v>
      </c>
    </row>
    <row r="407" spans="97:104">
      <c r="CS407" s="332"/>
      <c r="CT407" s="366" t="s">
        <v>1630</v>
      </c>
      <c r="CU407" s="307" t="s">
        <v>208</v>
      </c>
      <c r="CV407" s="307" t="s">
        <v>196</v>
      </c>
      <c r="CW407" s="366" t="s">
        <v>46</v>
      </c>
      <c r="CX407" s="307">
        <v>1.165</v>
      </c>
      <c r="CY407" s="307">
        <v>1.165</v>
      </c>
      <c r="CZ407" s="307">
        <v>1.165</v>
      </c>
    </row>
    <row r="408" spans="97:104">
      <c r="CS408" s="332"/>
      <c r="CT408" s="366" t="s">
        <v>1631</v>
      </c>
      <c r="CU408" s="307" t="s">
        <v>208</v>
      </c>
      <c r="CV408" s="307" t="s">
        <v>196</v>
      </c>
      <c r="CW408" s="366" t="s">
        <v>47</v>
      </c>
      <c r="CX408" s="307">
        <v>1.111</v>
      </c>
      <c r="CY408" s="307">
        <v>1.111</v>
      </c>
      <c r="CZ408" s="307">
        <v>1.111</v>
      </c>
    </row>
    <row r="409" spans="97:104">
      <c r="CS409" s="332"/>
      <c r="CT409" s="366" t="s">
        <v>1632</v>
      </c>
      <c r="CU409" s="307" t="s">
        <v>208</v>
      </c>
      <c r="CV409" s="307" t="s">
        <v>196</v>
      </c>
      <c r="CW409" s="366" t="s">
        <v>48</v>
      </c>
      <c r="CX409" s="307">
        <v>1.0760000000000001</v>
      </c>
      <c r="CY409" s="307">
        <v>1.0760000000000001</v>
      </c>
      <c r="CZ409" s="307">
        <v>1.0760000000000001</v>
      </c>
    </row>
    <row r="410" spans="97:104">
      <c r="CS410" s="332"/>
      <c r="CT410" s="366" t="s">
        <v>1633</v>
      </c>
      <c r="CU410" s="307" t="s">
        <v>208</v>
      </c>
      <c r="CV410" s="307" t="s">
        <v>1634</v>
      </c>
      <c r="CW410" s="366" t="s">
        <v>56</v>
      </c>
      <c r="CX410" s="307">
        <v>110</v>
      </c>
      <c r="CY410" s="307">
        <v>110</v>
      </c>
      <c r="CZ410" s="307">
        <v>110</v>
      </c>
    </row>
    <row r="411" spans="97:104">
      <c r="CS411" s="332"/>
      <c r="CT411" s="366" t="s">
        <v>1635</v>
      </c>
      <c r="CU411" s="307" t="s">
        <v>208</v>
      </c>
      <c r="CV411" s="307" t="s">
        <v>1636</v>
      </c>
      <c r="CW411" s="366" t="s">
        <v>5</v>
      </c>
      <c r="CX411" s="307">
        <v>-0.67011070399999995</v>
      </c>
      <c r="CY411" s="307">
        <v>-0.67011070399999995</v>
      </c>
      <c r="CZ411" s="307">
        <v>-0.67011070399999995</v>
      </c>
    </row>
    <row r="412" spans="97:104">
      <c r="CS412" s="332"/>
      <c r="CT412" s="366" t="s">
        <v>1637</v>
      </c>
      <c r="CU412" s="307" t="s">
        <v>208</v>
      </c>
      <c r="CV412" s="307" t="s">
        <v>1636</v>
      </c>
      <c r="CW412" s="366" t="s">
        <v>6</v>
      </c>
      <c r="CX412" s="307">
        <v>-0.721788859</v>
      </c>
      <c r="CY412" s="307">
        <v>-0.721788859</v>
      </c>
      <c r="CZ412" s="307">
        <v>-0.721788859</v>
      </c>
    </row>
    <row r="413" spans="97:104">
      <c r="CS413" s="332"/>
      <c r="CT413" s="366" t="s">
        <v>1638</v>
      </c>
      <c r="CU413" s="307" t="s">
        <v>208</v>
      </c>
      <c r="CV413" s="307" t="s">
        <v>1636</v>
      </c>
      <c r="CW413" s="366" t="s">
        <v>24</v>
      </c>
      <c r="CX413" s="307">
        <v>-0.68762041399999996</v>
      </c>
      <c r="CY413" s="307">
        <v>-0.68762041399999996</v>
      </c>
      <c r="CZ413" s="307">
        <v>-0.68762041399999996</v>
      </c>
    </row>
    <row r="414" spans="97:104">
      <c r="CS414" s="332"/>
      <c r="CT414" s="366" t="s">
        <v>1639</v>
      </c>
      <c r="CU414" s="307" t="s">
        <v>208</v>
      </c>
      <c r="CV414" s="307" t="s">
        <v>1636</v>
      </c>
      <c r="CW414" s="366" t="s">
        <v>7</v>
      </c>
      <c r="CX414" s="307">
        <v>-0.71472453300000005</v>
      </c>
      <c r="CY414" s="307">
        <v>-0.71472453300000005</v>
      </c>
      <c r="CZ414" s="307">
        <v>-0.71472453300000005</v>
      </c>
    </row>
    <row r="415" spans="97:104">
      <c r="CS415" s="332"/>
      <c r="CT415" s="366" t="s">
        <v>1640</v>
      </c>
      <c r="CU415" s="307" t="s">
        <v>208</v>
      </c>
      <c r="CV415" s="307" t="s">
        <v>1636</v>
      </c>
      <c r="CW415" s="366" t="s">
        <v>8</v>
      </c>
      <c r="CX415" s="307">
        <v>-1.0591928420000001</v>
      </c>
      <c r="CY415" s="307">
        <v>-1.0591928420000001</v>
      </c>
      <c r="CZ415" s="307">
        <v>-1.0591928420000001</v>
      </c>
    </row>
    <row r="416" spans="97:104">
      <c r="CS416" s="332"/>
      <c r="CT416" s="366" t="s">
        <v>1641</v>
      </c>
      <c r="CU416" s="307" t="s">
        <v>208</v>
      </c>
      <c r="CV416" s="307" t="s">
        <v>1636</v>
      </c>
      <c r="CW416" s="366" t="s">
        <v>25</v>
      </c>
      <c r="CX416" s="307">
        <v>-0.81075525699999995</v>
      </c>
      <c r="CY416" s="307">
        <v>-0.81075525699999995</v>
      </c>
      <c r="CZ416" s="307">
        <v>-0.81075525699999995</v>
      </c>
    </row>
    <row r="417" spans="97:104">
      <c r="CS417" s="332"/>
      <c r="CT417" s="366" t="s">
        <v>1642</v>
      </c>
      <c r="CU417" s="307" t="s">
        <v>208</v>
      </c>
      <c r="CV417" s="307" t="s">
        <v>1636</v>
      </c>
      <c r="CW417" s="366" t="s">
        <v>26</v>
      </c>
      <c r="CX417" s="307">
        <v>-0.67403797899999995</v>
      </c>
      <c r="CY417" s="307">
        <v>-0.67403797899999995</v>
      </c>
      <c r="CZ417" s="307">
        <v>-0.67403797899999995</v>
      </c>
    </row>
    <row r="418" spans="97:104">
      <c r="CS418" s="332"/>
      <c r="CT418" s="366" t="s">
        <v>1643</v>
      </c>
      <c r="CU418" s="307" t="s">
        <v>208</v>
      </c>
      <c r="CV418" s="307" t="s">
        <v>1636</v>
      </c>
      <c r="CW418" s="366" t="s">
        <v>27</v>
      </c>
      <c r="CX418" s="307">
        <v>-0.58669461999999994</v>
      </c>
      <c r="CY418" s="307">
        <v>-0.58669461999999994</v>
      </c>
      <c r="CZ418" s="307">
        <v>-0.58669461999999994</v>
      </c>
    </row>
    <row r="419" spans="97:104">
      <c r="CS419" s="332"/>
      <c r="CT419" s="366" t="s">
        <v>1644</v>
      </c>
      <c r="CU419" s="307" t="s">
        <v>208</v>
      </c>
      <c r="CV419" s="307" t="s">
        <v>1636</v>
      </c>
      <c r="CW419" s="366" t="s">
        <v>28</v>
      </c>
      <c r="CX419" s="307">
        <v>-0.45067666000000001</v>
      </c>
      <c r="CY419" s="307">
        <v>-0.45067666000000001</v>
      </c>
      <c r="CZ419" s="307">
        <v>-0.45067666000000001</v>
      </c>
    </row>
    <row r="420" spans="97:104">
      <c r="CS420" s="332"/>
      <c r="CT420" s="366" t="s">
        <v>1644</v>
      </c>
      <c r="CU420" s="307" t="s">
        <v>208</v>
      </c>
      <c r="CV420" s="307" t="s">
        <v>1636</v>
      </c>
      <c r="CW420" s="366" t="s">
        <v>28</v>
      </c>
      <c r="CX420" s="307">
        <v>-0.51</v>
      </c>
      <c r="CY420" s="307">
        <v>-0.41</v>
      </c>
      <c r="CZ420" s="307">
        <v>-0.45999999999999996</v>
      </c>
    </row>
    <row r="421" spans="97:104">
      <c r="CS421" s="332"/>
      <c r="CT421" s="366" t="s">
        <v>1645</v>
      </c>
      <c r="CU421" s="307" t="s">
        <v>208</v>
      </c>
      <c r="CV421" s="307" t="s">
        <v>1636</v>
      </c>
      <c r="CW421" s="366" t="s">
        <v>49</v>
      </c>
      <c r="CX421" s="307">
        <v>-0.46173922899999997</v>
      </c>
      <c r="CY421" s="307">
        <v>-0.46173922899999997</v>
      </c>
      <c r="CZ421" s="307">
        <v>-0.46173922899999997</v>
      </c>
    </row>
    <row r="422" spans="97:104">
      <c r="CS422" s="332"/>
      <c r="CT422" s="366" t="s">
        <v>1645</v>
      </c>
      <c r="CU422" s="307" t="s">
        <v>208</v>
      </c>
      <c r="CV422" s="307" t="s">
        <v>1636</v>
      </c>
      <c r="CW422" s="366" t="s">
        <v>49</v>
      </c>
      <c r="CX422" s="307">
        <v>-0.495</v>
      </c>
      <c r="CY422" s="307">
        <v>-0.39500000000000002</v>
      </c>
      <c r="CZ422" s="307">
        <v>-0.44500000000000001</v>
      </c>
    </row>
    <row r="423" spans="97:104">
      <c r="CS423" s="332"/>
      <c r="CT423" s="366" t="s">
        <v>1646</v>
      </c>
      <c r="CU423" s="307" t="s">
        <v>208</v>
      </c>
      <c r="CV423" s="307" t="s">
        <v>1636</v>
      </c>
      <c r="CW423" s="366" t="s">
        <v>56</v>
      </c>
      <c r="CX423" s="307">
        <v>-0.46625</v>
      </c>
      <c r="CY423" s="307">
        <v>-0.41625000000000001</v>
      </c>
      <c r="CZ423" s="307">
        <v>-0.44125000000000003</v>
      </c>
    </row>
    <row r="424" spans="97:104">
      <c r="CS424" s="332"/>
      <c r="CT424" s="366" t="s">
        <v>1647</v>
      </c>
      <c r="CU424" s="307" t="s">
        <v>208</v>
      </c>
      <c r="CV424" s="307" t="s">
        <v>1636</v>
      </c>
      <c r="CW424" s="366" t="s">
        <v>54</v>
      </c>
      <c r="CX424" s="307">
        <v>-0.46500000000000002</v>
      </c>
      <c r="CY424" s="307">
        <v>-0.41499999999999998</v>
      </c>
      <c r="CZ424" s="307">
        <v>-0.44</v>
      </c>
    </row>
    <row r="425" spans="97:104">
      <c r="CS425" s="332"/>
      <c r="CT425" s="366" t="s">
        <v>1648</v>
      </c>
      <c r="CU425" s="307" t="s">
        <v>208</v>
      </c>
      <c r="CV425" s="307" t="s">
        <v>1636</v>
      </c>
      <c r="CW425" s="366" t="s">
        <v>9</v>
      </c>
      <c r="CX425" s="307">
        <v>-0.45124999999999998</v>
      </c>
      <c r="CY425" s="307">
        <v>-0.40125</v>
      </c>
      <c r="CZ425" s="307">
        <v>-0.42625000000000002</v>
      </c>
    </row>
    <row r="426" spans="97:104">
      <c r="CS426" s="332"/>
      <c r="CT426" s="366" t="s">
        <v>1649</v>
      </c>
      <c r="CU426" s="307" t="s">
        <v>208</v>
      </c>
      <c r="CV426" s="307" t="s">
        <v>1636</v>
      </c>
      <c r="CW426" s="366" t="s">
        <v>10</v>
      </c>
      <c r="CX426" s="307">
        <v>-0.4425</v>
      </c>
      <c r="CY426" s="307">
        <v>-0.39250000000000002</v>
      </c>
      <c r="CZ426" s="307">
        <v>-0.41749999999999998</v>
      </c>
    </row>
    <row r="427" spans="97:104">
      <c r="CS427" s="332"/>
      <c r="CT427" s="366" t="s">
        <v>1650</v>
      </c>
      <c r="CU427" s="307" t="s">
        <v>208</v>
      </c>
      <c r="CV427" s="307" t="s">
        <v>1636</v>
      </c>
      <c r="CW427" s="366" t="s">
        <v>11</v>
      </c>
      <c r="CX427" s="307">
        <v>-0.4425</v>
      </c>
      <c r="CY427" s="307">
        <v>-0.39250000000000002</v>
      </c>
      <c r="CZ427" s="307">
        <v>-0.41749999999999998</v>
      </c>
    </row>
    <row r="428" spans="97:104">
      <c r="CS428" s="332"/>
      <c r="CT428" s="366" t="s">
        <v>1651</v>
      </c>
      <c r="CU428" s="307" t="s">
        <v>208</v>
      </c>
      <c r="CV428" s="307" t="s">
        <v>1636</v>
      </c>
      <c r="CW428" s="366" t="s">
        <v>12</v>
      </c>
      <c r="CX428" s="307">
        <v>-0.44874999999999998</v>
      </c>
      <c r="CY428" s="307">
        <v>-0.39874999999999999</v>
      </c>
      <c r="CZ428" s="307">
        <v>-0.42374999999999996</v>
      </c>
    </row>
    <row r="429" spans="97:104">
      <c r="CS429" s="332"/>
      <c r="CT429" s="366" t="s">
        <v>4181</v>
      </c>
      <c r="CU429" s="307" t="s">
        <v>208</v>
      </c>
      <c r="CV429" s="307" t="s">
        <v>1636</v>
      </c>
      <c r="CW429" s="366" t="s">
        <v>13</v>
      </c>
      <c r="CX429" s="307">
        <v>-0.45374999999999999</v>
      </c>
      <c r="CY429" s="307">
        <v>-0.40375</v>
      </c>
      <c r="CZ429" s="307">
        <v>-0.42874999999999996</v>
      </c>
    </row>
    <row r="430" spans="97:104">
      <c r="CS430" s="332"/>
      <c r="CT430" s="366" t="s">
        <v>1652</v>
      </c>
      <c r="CU430" s="307" t="s">
        <v>208</v>
      </c>
      <c r="CV430" s="307" t="s">
        <v>1636</v>
      </c>
      <c r="CW430" s="366" t="s">
        <v>14</v>
      </c>
      <c r="CX430" s="307">
        <v>-0.45500000000000002</v>
      </c>
      <c r="CY430" s="307">
        <v>-0.40500000000000003</v>
      </c>
      <c r="CZ430" s="307">
        <v>-0.43000000000000005</v>
      </c>
    </row>
    <row r="431" spans="97:104">
      <c r="CS431" s="332"/>
      <c r="CT431" s="366" t="s">
        <v>4182</v>
      </c>
      <c r="CU431" s="307" t="s">
        <v>208</v>
      </c>
      <c r="CV431" s="307" t="s">
        <v>1636</v>
      </c>
      <c r="CW431" s="366" t="s">
        <v>15</v>
      </c>
      <c r="CX431" s="307">
        <v>-0.45250000000000001</v>
      </c>
      <c r="CY431" s="307">
        <v>-0.40250000000000002</v>
      </c>
      <c r="CZ431" s="307">
        <v>-0.42749999999999999</v>
      </c>
    </row>
    <row r="432" spans="97:104">
      <c r="CS432" s="332"/>
      <c r="CT432" s="366" t="s">
        <v>4183</v>
      </c>
      <c r="CU432" s="307" t="s">
        <v>208</v>
      </c>
      <c r="CV432" s="307" t="s">
        <v>1636</v>
      </c>
      <c r="CW432" s="366" t="s">
        <v>16</v>
      </c>
      <c r="CX432" s="307">
        <v>-0.45</v>
      </c>
      <c r="CY432" s="307">
        <v>-0.4</v>
      </c>
      <c r="CZ432" s="307">
        <v>-0.42500000000000004</v>
      </c>
    </row>
    <row r="433" spans="97:104">
      <c r="CS433" s="332"/>
      <c r="CT433" s="366" t="s">
        <v>1653</v>
      </c>
      <c r="CU433" s="307" t="s">
        <v>208</v>
      </c>
      <c r="CV433" s="307" t="s">
        <v>1636</v>
      </c>
      <c r="CW433" s="366" t="s">
        <v>17</v>
      </c>
      <c r="CX433" s="307">
        <v>-0.44624999999999998</v>
      </c>
      <c r="CY433" s="307">
        <v>-0.39624999999999999</v>
      </c>
      <c r="CZ433" s="307">
        <v>-0.42125000000000001</v>
      </c>
    </row>
    <row r="434" spans="97:104">
      <c r="CS434" s="332"/>
      <c r="CT434" s="366" t="s">
        <v>4184</v>
      </c>
      <c r="CU434" s="307" t="s">
        <v>208</v>
      </c>
      <c r="CV434" s="307" t="s">
        <v>1636</v>
      </c>
      <c r="CW434" s="366" t="s">
        <v>18</v>
      </c>
      <c r="CX434" s="307">
        <v>-0.4325</v>
      </c>
      <c r="CY434" s="307">
        <v>-0.38250000000000001</v>
      </c>
      <c r="CZ434" s="307">
        <v>-0.40749999999999997</v>
      </c>
    </row>
    <row r="435" spans="97:104">
      <c r="CS435" s="332"/>
      <c r="CT435" s="366" t="s">
        <v>1654</v>
      </c>
      <c r="CU435" s="307" t="s">
        <v>208</v>
      </c>
      <c r="CV435" s="307" t="s">
        <v>1636</v>
      </c>
      <c r="CW435" s="366" t="s">
        <v>19</v>
      </c>
      <c r="CX435" s="307">
        <v>-0.38874999999999998</v>
      </c>
      <c r="CY435" s="307">
        <v>-0.33875</v>
      </c>
      <c r="CZ435" s="307">
        <v>-0.36375000000000002</v>
      </c>
    </row>
    <row r="436" spans="97:104">
      <c r="CS436" s="332"/>
      <c r="CT436" s="366" t="s">
        <v>1655</v>
      </c>
      <c r="CU436" s="307" t="s">
        <v>208</v>
      </c>
      <c r="CV436" s="307" t="s">
        <v>1636</v>
      </c>
      <c r="CW436" s="366" t="s">
        <v>20</v>
      </c>
      <c r="CX436" s="307">
        <v>-0.32124999999999998</v>
      </c>
      <c r="CY436" s="307">
        <v>-0.27124999999999999</v>
      </c>
      <c r="CZ436" s="307">
        <v>-0.29625000000000001</v>
      </c>
    </row>
    <row r="437" spans="97:104">
      <c r="CS437" s="332"/>
      <c r="CT437" s="366" t="s">
        <v>4185</v>
      </c>
      <c r="CU437" s="307" t="s">
        <v>208</v>
      </c>
      <c r="CV437" s="307" t="s">
        <v>1636</v>
      </c>
      <c r="CW437" s="366" t="s">
        <v>21</v>
      </c>
      <c r="CX437" s="307">
        <v>-0.27124999999999999</v>
      </c>
      <c r="CY437" s="307">
        <v>-0.22125</v>
      </c>
      <c r="CZ437" s="307">
        <v>-0.24625</v>
      </c>
    </row>
    <row r="438" spans="97:104">
      <c r="CS438" s="332"/>
      <c r="CT438" s="366" t="s">
        <v>1656</v>
      </c>
      <c r="CU438" s="307" t="s">
        <v>208</v>
      </c>
      <c r="CV438" s="307" t="s">
        <v>1636</v>
      </c>
      <c r="CW438" s="366" t="s">
        <v>22</v>
      </c>
      <c r="CX438" s="307">
        <v>-0.24374999999999999</v>
      </c>
      <c r="CY438" s="307">
        <v>-0.19375000000000001</v>
      </c>
      <c r="CZ438" s="307">
        <v>-0.21875</v>
      </c>
    </row>
    <row r="439" spans="97:104">
      <c r="CS439" s="332"/>
      <c r="CT439" s="366" t="s">
        <v>4186</v>
      </c>
      <c r="CU439" s="307" t="s">
        <v>208</v>
      </c>
      <c r="CV439" s="307" t="s">
        <v>1636</v>
      </c>
      <c r="CW439" s="366" t="s">
        <v>46</v>
      </c>
      <c r="CX439" s="307">
        <v>-0.25624999999999998</v>
      </c>
      <c r="CY439" s="307">
        <v>-0.20624999999999999</v>
      </c>
      <c r="CZ439" s="307">
        <v>-0.23124999999999998</v>
      </c>
    </row>
    <row r="440" spans="97:104">
      <c r="CS440" s="332"/>
      <c r="CT440" s="366" t="s">
        <v>4187</v>
      </c>
      <c r="CU440" s="307" t="s">
        <v>208</v>
      </c>
      <c r="CV440" s="307" t="s">
        <v>1636</v>
      </c>
      <c r="CW440" s="366" t="s">
        <v>47</v>
      </c>
      <c r="CX440" s="307">
        <v>-0.28375</v>
      </c>
      <c r="CY440" s="307">
        <v>-0.23375000000000001</v>
      </c>
      <c r="CZ440" s="307">
        <v>-0.25875000000000004</v>
      </c>
    </row>
    <row r="441" spans="97:104">
      <c r="CS441" s="332"/>
      <c r="CT441" s="366" t="s">
        <v>1657</v>
      </c>
      <c r="CU441" s="307" t="s">
        <v>208</v>
      </c>
      <c r="CV441" s="307" t="s">
        <v>1658</v>
      </c>
      <c r="CW441" s="366" t="s">
        <v>3</v>
      </c>
      <c r="CX441" s="307">
        <v>-0.36999989999999999</v>
      </c>
      <c r="CY441" s="307">
        <v>-0.36999989999999999</v>
      </c>
      <c r="CZ441" s="307">
        <v>-0.36999989999999999</v>
      </c>
    </row>
    <row r="442" spans="97:104">
      <c r="CS442" s="332"/>
      <c r="CT442" s="366" t="s">
        <v>1659</v>
      </c>
      <c r="CU442" s="307" t="s">
        <v>208</v>
      </c>
      <c r="CV442" s="307" t="s">
        <v>1658</v>
      </c>
      <c r="CW442" s="366" t="s">
        <v>4</v>
      </c>
      <c r="CX442" s="307">
        <v>-0.37</v>
      </c>
      <c r="CY442" s="307">
        <v>-0.37</v>
      </c>
      <c r="CZ442" s="307">
        <v>-0.37</v>
      </c>
    </row>
    <row r="443" spans="97:104">
      <c r="CS443" s="332"/>
      <c r="CT443" s="366" t="s">
        <v>1660</v>
      </c>
      <c r="CU443" s="307" t="s">
        <v>208</v>
      </c>
      <c r="CV443" s="307" t="s">
        <v>1658</v>
      </c>
      <c r="CW443" s="366" t="s">
        <v>23</v>
      </c>
      <c r="CX443" s="307">
        <v>-0.37</v>
      </c>
      <c r="CY443" s="307">
        <v>-0.37</v>
      </c>
      <c r="CZ443" s="307">
        <v>-0.37</v>
      </c>
    </row>
    <row r="444" spans="97:104">
      <c r="CS444" s="332"/>
      <c r="CT444" s="366" t="s">
        <v>4981</v>
      </c>
      <c r="CU444" s="307" t="s">
        <v>208</v>
      </c>
      <c r="CV444" s="307" t="s">
        <v>1658</v>
      </c>
      <c r="CW444" s="366" t="s">
        <v>4982</v>
      </c>
      <c r="CX444" s="307">
        <v>-0.37</v>
      </c>
      <c r="CY444" s="307">
        <v>-0.37</v>
      </c>
      <c r="CZ444" s="307">
        <v>-0.37</v>
      </c>
    </row>
    <row r="445" spans="97:104">
      <c r="CS445" s="332"/>
      <c r="CT445" s="366" t="s">
        <v>4983</v>
      </c>
      <c r="CU445" s="307" t="s">
        <v>208</v>
      </c>
      <c r="CV445" s="307" t="s">
        <v>1658</v>
      </c>
      <c r="CW445" s="366" t="s">
        <v>4984</v>
      </c>
      <c r="CX445" s="307">
        <v>-0.37</v>
      </c>
      <c r="CY445" s="307">
        <v>-0.37</v>
      </c>
      <c r="CZ445" s="307">
        <v>-0.37</v>
      </c>
    </row>
    <row r="446" spans="97:104">
      <c r="CS446" s="332"/>
      <c r="CT446" s="366" t="s">
        <v>4985</v>
      </c>
      <c r="CU446" s="307" t="s">
        <v>208</v>
      </c>
      <c r="CV446" s="307" t="s">
        <v>1658</v>
      </c>
      <c r="CW446" s="366" t="s">
        <v>4986</v>
      </c>
      <c r="CX446" s="307">
        <v>-0.37</v>
      </c>
      <c r="CY446" s="307">
        <v>-0.37</v>
      </c>
      <c r="CZ446" s="307">
        <v>-0.37</v>
      </c>
    </row>
    <row r="447" spans="97:104">
      <c r="CS447" s="332"/>
      <c r="CT447" s="366" t="s">
        <v>4987</v>
      </c>
      <c r="CU447" s="307" t="s">
        <v>208</v>
      </c>
      <c r="CV447" s="307" t="s">
        <v>1658</v>
      </c>
      <c r="CW447" s="366" t="s">
        <v>4988</v>
      </c>
      <c r="CX447" s="307">
        <v>-0.37</v>
      </c>
      <c r="CY447" s="307">
        <v>-0.37</v>
      </c>
      <c r="CZ447" s="307">
        <v>-0.37</v>
      </c>
    </row>
    <row r="448" spans="97:104">
      <c r="CS448" s="332"/>
      <c r="CT448" s="366" t="s">
        <v>5063</v>
      </c>
      <c r="CU448" s="307" t="s">
        <v>208</v>
      </c>
      <c r="CV448" s="307" t="s">
        <v>1658</v>
      </c>
      <c r="CW448" s="366" t="s">
        <v>5064</v>
      </c>
      <c r="CX448" s="307">
        <v>-0.37</v>
      </c>
      <c r="CY448" s="307">
        <v>-0.37</v>
      </c>
      <c r="CZ448" s="307">
        <v>-0.37</v>
      </c>
    </row>
    <row r="449" spans="97:104">
      <c r="CS449" s="332"/>
      <c r="CT449" s="366" t="s">
        <v>5065</v>
      </c>
      <c r="CU449" s="307" t="s">
        <v>208</v>
      </c>
      <c r="CV449" s="307" t="s">
        <v>1658</v>
      </c>
      <c r="CW449" s="366" t="s">
        <v>5066</v>
      </c>
      <c r="CX449" s="307">
        <v>-0.37</v>
      </c>
      <c r="CY449" s="307">
        <v>-0.37</v>
      </c>
      <c r="CZ449" s="307">
        <v>-0.37</v>
      </c>
    </row>
    <row r="450" spans="97:104">
      <c r="CS450" s="332"/>
      <c r="CT450" s="366" t="s">
        <v>5067</v>
      </c>
      <c r="CU450" s="307" t="s">
        <v>208</v>
      </c>
      <c r="CV450" s="307" t="s">
        <v>1658</v>
      </c>
      <c r="CW450" s="366" t="s">
        <v>5068</v>
      </c>
      <c r="CX450" s="307">
        <v>-0.37</v>
      </c>
      <c r="CY450" s="307">
        <v>-0.37</v>
      </c>
      <c r="CZ450" s="307">
        <v>-0.37</v>
      </c>
    </row>
    <row r="451" spans="97:104">
      <c r="CS451" s="332"/>
      <c r="CT451" s="366" t="s">
        <v>5069</v>
      </c>
      <c r="CU451" s="307" t="s">
        <v>208</v>
      </c>
      <c r="CV451" s="307" t="s">
        <v>1658</v>
      </c>
      <c r="CW451" s="366" t="s">
        <v>5070</v>
      </c>
      <c r="CX451" s="307">
        <v>-0.37</v>
      </c>
      <c r="CY451" s="307">
        <v>-0.37</v>
      </c>
      <c r="CZ451" s="307">
        <v>-0.37</v>
      </c>
    </row>
    <row r="452" spans="97:104">
      <c r="CS452" s="332"/>
      <c r="CT452" s="366" t="s">
        <v>5071</v>
      </c>
      <c r="CU452" s="307" t="s">
        <v>208</v>
      </c>
      <c r="CV452" s="307" t="s">
        <v>1658</v>
      </c>
      <c r="CW452" s="366" t="s">
        <v>5072</v>
      </c>
      <c r="CX452" s="307">
        <v>-0.37</v>
      </c>
      <c r="CY452" s="307">
        <v>-0.37</v>
      </c>
      <c r="CZ452" s="307">
        <v>-0.37</v>
      </c>
    </row>
    <row r="453" spans="97:104">
      <c r="CS453" s="332"/>
      <c r="CT453" s="366" t="s">
        <v>1661</v>
      </c>
      <c r="CU453" s="307" t="s">
        <v>208</v>
      </c>
      <c r="CV453" s="307" t="s">
        <v>1658</v>
      </c>
      <c r="CW453" s="366" t="s">
        <v>10</v>
      </c>
      <c r="CX453" s="307">
        <v>-6.0999999999999999E-2</v>
      </c>
      <c r="CY453" s="307">
        <v>-6.0999999999999999E-2</v>
      </c>
      <c r="CZ453" s="307">
        <v>-6.0999999999999999E-2</v>
      </c>
    </row>
    <row r="454" spans="97:104">
      <c r="CS454" s="332"/>
      <c r="CT454" s="366" t="s">
        <v>1662</v>
      </c>
      <c r="CU454" s="307" t="s">
        <v>208</v>
      </c>
      <c r="CV454" s="307" t="s">
        <v>1658</v>
      </c>
      <c r="CW454" s="366" t="s">
        <v>11</v>
      </c>
      <c r="CX454" s="307">
        <v>2.8000000000000001E-2</v>
      </c>
      <c r="CY454" s="307">
        <v>2.8000000000000001E-2</v>
      </c>
      <c r="CZ454" s="307">
        <v>2.8000000000000001E-2</v>
      </c>
    </row>
    <row r="455" spans="97:104">
      <c r="CS455" s="332"/>
      <c r="CT455" s="366" t="s">
        <v>1663</v>
      </c>
      <c r="CU455" s="307" t="s">
        <v>208</v>
      </c>
      <c r="CV455" s="307" t="s">
        <v>1658</v>
      </c>
      <c r="CW455" s="366" t="s">
        <v>12</v>
      </c>
      <c r="CX455" s="307">
        <v>0.13200000000000001</v>
      </c>
      <c r="CY455" s="307">
        <v>0.13200000000000001</v>
      </c>
      <c r="CZ455" s="307">
        <v>0.13200000000000001</v>
      </c>
    </row>
    <row r="456" spans="97:104">
      <c r="CS456" s="332"/>
      <c r="CT456" s="366" t="s">
        <v>1664</v>
      </c>
      <c r="CU456" s="307" t="s">
        <v>208</v>
      </c>
      <c r="CV456" s="307" t="s">
        <v>1658</v>
      </c>
      <c r="CW456" s="366" t="s">
        <v>13</v>
      </c>
      <c r="CX456" s="307">
        <v>0.24199999999999999</v>
      </c>
      <c r="CY456" s="307">
        <v>0.24199999999999999</v>
      </c>
      <c r="CZ456" s="307">
        <v>0.24199999999999999</v>
      </c>
    </row>
    <row r="457" spans="97:104">
      <c r="CS457" s="332"/>
      <c r="CT457" s="366" t="s">
        <v>1665</v>
      </c>
      <c r="CU457" s="307" t="s">
        <v>208</v>
      </c>
      <c r="CV457" s="307" t="s">
        <v>1658</v>
      </c>
      <c r="CW457" s="366" t="s">
        <v>14</v>
      </c>
      <c r="CX457" s="307">
        <v>0.35499999999999998</v>
      </c>
      <c r="CY457" s="307">
        <v>0.35499999999999998</v>
      </c>
      <c r="CZ457" s="307">
        <v>0.35499999999999998</v>
      </c>
    </row>
    <row r="458" spans="97:104">
      <c r="CS458" s="332"/>
      <c r="CT458" s="366" t="s">
        <v>1666</v>
      </c>
      <c r="CU458" s="307" t="s">
        <v>208</v>
      </c>
      <c r="CV458" s="307" t="s">
        <v>1658</v>
      </c>
      <c r="CW458" s="366" t="s">
        <v>15</v>
      </c>
      <c r="CX458" s="307">
        <v>0.46700000000000003</v>
      </c>
      <c r="CY458" s="307">
        <v>0.46700000000000003</v>
      </c>
      <c r="CZ458" s="307">
        <v>0.46700000000000003</v>
      </c>
    </row>
    <row r="459" spans="97:104">
      <c r="CS459" s="332"/>
      <c r="CT459" s="366" t="s">
        <v>1667</v>
      </c>
      <c r="CU459" s="307" t="s">
        <v>208</v>
      </c>
      <c r="CV459" s="307" t="s">
        <v>1658</v>
      </c>
      <c r="CW459" s="366" t="s">
        <v>16</v>
      </c>
      <c r="CX459" s="307">
        <v>0.57399999999999995</v>
      </c>
      <c r="CY459" s="307">
        <v>0.57399999999999995</v>
      </c>
      <c r="CZ459" s="307">
        <v>0.57399999999999995</v>
      </c>
    </row>
    <row r="460" spans="97:104">
      <c r="CS460" s="332"/>
      <c r="CT460" s="366" t="s">
        <v>1668</v>
      </c>
      <c r="CU460" s="307" t="s">
        <v>208</v>
      </c>
      <c r="CV460" s="307" t="s">
        <v>1658</v>
      </c>
      <c r="CW460" s="366" t="s">
        <v>17</v>
      </c>
      <c r="CX460" s="307">
        <v>0.67100000000000004</v>
      </c>
      <c r="CY460" s="307">
        <v>0.67100000000000004</v>
      </c>
      <c r="CZ460" s="307">
        <v>0.67100000000000004</v>
      </c>
    </row>
    <row r="461" spans="97:104">
      <c r="CS461" s="332"/>
      <c r="CT461" s="366" t="s">
        <v>1669</v>
      </c>
      <c r="CU461" s="307" t="s">
        <v>208</v>
      </c>
      <c r="CV461" s="307" t="s">
        <v>1658</v>
      </c>
      <c r="CW461" s="366" t="s">
        <v>31</v>
      </c>
      <c r="CX461" s="307">
        <v>0.75775925600000005</v>
      </c>
      <c r="CY461" s="307">
        <v>0.75775925600000005</v>
      </c>
      <c r="CZ461" s="307">
        <v>0.75775925600000005</v>
      </c>
    </row>
    <row r="462" spans="97:104">
      <c r="CS462" s="332"/>
      <c r="CT462" s="366" t="s">
        <v>1670</v>
      </c>
      <c r="CU462" s="307" t="s">
        <v>208</v>
      </c>
      <c r="CV462" s="307" t="s">
        <v>1658</v>
      </c>
      <c r="CW462" s="366" t="s">
        <v>18</v>
      </c>
      <c r="CX462" s="307">
        <v>0.83499999999999996</v>
      </c>
      <c r="CY462" s="307">
        <v>0.83499999999999996</v>
      </c>
      <c r="CZ462" s="307">
        <v>0.83499999999999996</v>
      </c>
    </row>
    <row r="463" spans="97:104">
      <c r="CS463" s="332"/>
      <c r="CT463" s="366" t="s">
        <v>1671</v>
      </c>
      <c r="CU463" s="307" t="s">
        <v>208</v>
      </c>
      <c r="CV463" s="307" t="s">
        <v>1658</v>
      </c>
      <c r="CW463" s="366" t="s">
        <v>32</v>
      </c>
      <c r="CX463" s="307">
        <v>0.901469878</v>
      </c>
      <c r="CY463" s="307">
        <v>0.901469878</v>
      </c>
      <c r="CZ463" s="307">
        <v>0.901469878</v>
      </c>
    </row>
    <row r="464" spans="97:104">
      <c r="CS464" s="332"/>
      <c r="CT464" s="366" t="s">
        <v>1672</v>
      </c>
      <c r="CU464" s="307" t="s">
        <v>208</v>
      </c>
      <c r="CV464" s="307" t="s">
        <v>1658</v>
      </c>
      <c r="CW464" s="366" t="s">
        <v>33</v>
      </c>
      <c r="CX464" s="307">
        <v>0.95791295300000001</v>
      </c>
      <c r="CY464" s="307">
        <v>0.95791295300000001</v>
      </c>
      <c r="CZ464" s="307">
        <v>0.95791295300000001</v>
      </c>
    </row>
    <row r="465" spans="97:104">
      <c r="CS465" s="332"/>
      <c r="CT465" s="366" t="s">
        <v>1673</v>
      </c>
      <c r="CU465" s="307" t="s">
        <v>208</v>
      </c>
      <c r="CV465" s="307" t="s">
        <v>1658</v>
      </c>
      <c r="CW465" s="366" t="s">
        <v>19</v>
      </c>
      <c r="CX465" s="307">
        <v>1.0049999999999999</v>
      </c>
      <c r="CY465" s="307">
        <v>1.0049999999999999</v>
      </c>
      <c r="CZ465" s="307">
        <v>1.0049999999999999</v>
      </c>
    </row>
    <row r="466" spans="97:104">
      <c r="CS466" s="332"/>
      <c r="CT466" s="366" t="s">
        <v>1674</v>
      </c>
      <c r="CU466" s="307" t="s">
        <v>208</v>
      </c>
      <c r="CV466" s="307" t="s">
        <v>1658</v>
      </c>
      <c r="CW466" s="366" t="s">
        <v>34</v>
      </c>
      <c r="CX466" s="307">
        <v>1.0438079309999999</v>
      </c>
      <c r="CY466" s="307">
        <v>1.0438079309999999</v>
      </c>
      <c r="CZ466" s="307">
        <v>1.0438079309999999</v>
      </c>
    </row>
    <row r="467" spans="97:104">
      <c r="CS467" s="332"/>
      <c r="CT467" s="366" t="s">
        <v>1675</v>
      </c>
      <c r="CU467" s="307" t="s">
        <v>208</v>
      </c>
      <c r="CV467" s="307" t="s">
        <v>1658</v>
      </c>
      <c r="CW467" s="366" t="s">
        <v>35</v>
      </c>
      <c r="CX467" s="307">
        <v>1.0748230969999999</v>
      </c>
      <c r="CY467" s="307">
        <v>1.0748230969999999</v>
      </c>
      <c r="CZ467" s="307">
        <v>1.0748230969999999</v>
      </c>
    </row>
    <row r="468" spans="97:104">
      <c r="CS468" s="332"/>
      <c r="CT468" s="366" t="s">
        <v>1676</v>
      </c>
      <c r="CU468" s="307" t="s">
        <v>208</v>
      </c>
      <c r="CV468" s="307" t="s">
        <v>1658</v>
      </c>
      <c r="CW468" s="366" t="s">
        <v>36</v>
      </c>
      <c r="CX468" s="307">
        <v>1.099791722</v>
      </c>
      <c r="CY468" s="307">
        <v>1.099791722</v>
      </c>
      <c r="CZ468" s="307">
        <v>1.099791722</v>
      </c>
    </row>
    <row r="469" spans="97:104">
      <c r="CS469" s="332"/>
      <c r="CT469" s="366" t="s">
        <v>1677</v>
      </c>
      <c r="CU469" s="307" t="s">
        <v>208</v>
      </c>
      <c r="CV469" s="307" t="s">
        <v>1658</v>
      </c>
      <c r="CW469" s="366" t="s">
        <v>37</v>
      </c>
      <c r="CX469" s="307">
        <v>1.1195473650000001</v>
      </c>
      <c r="CY469" s="307">
        <v>1.1195473650000001</v>
      </c>
      <c r="CZ469" s="307">
        <v>1.1195473650000001</v>
      </c>
    </row>
    <row r="470" spans="97:104">
      <c r="CS470" s="332"/>
      <c r="CT470" s="366" t="s">
        <v>1678</v>
      </c>
      <c r="CU470" s="307" t="s">
        <v>208</v>
      </c>
      <c r="CV470" s="307" t="s">
        <v>1658</v>
      </c>
      <c r="CW470" s="366" t="s">
        <v>20</v>
      </c>
      <c r="CX470" s="307">
        <v>1.135</v>
      </c>
      <c r="CY470" s="307">
        <v>1.135</v>
      </c>
      <c r="CZ470" s="307">
        <v>1.135</v>
      </c>
    </row>
    <row r="471" spans="97:104">
      <c r="CS471" s="332"/>
      <c r="CT471" s="366" t="s">
        <v>1679</v>
      </c>
      <c r="CU471" s="307" t="s">
        <v>208</v>
      </c>
      <c r="CV471" s="307" t="s">
        <v>1658</v>
      </c>
      <c r="CW471" s="366" t="s">
        <v>38</v>
      </c>
      <c r="CX471" s="307">
        <v>1.1465149459999999</v>
      </c>
      <c r="CY471" s="307">
        <v>1.1465149459999999</v>
      </c>
      <c r="CZ471" s="307">
        <v>1.1465149459999999</v>
      </c>
    </row>
    <row r="472" spans="97:104">
      <c r="CS472" s="332"/>
      <c r="CT472" s="366" t="s">
        <v>1680</v>
      </c>
      <c r="CU472" s="307" t="s">
        <v>208</v>
      </c>
      <c r="CV472" s="307" t="s">
        <v>1658</v>
      </c>
      <c r="CW472" s="366" t="s">
        <v>39</v>
      </c>
      <c r="CX472" s="307">
        <v>1.1549966599999999</v>
      </c>
      <c r="CY472" s="307">
        <v>1.1549966599999999</v>
      </c>
      <c r="CZ472" s="307">
        <v>1.1549966599999999</v>
      </c>
    </row>
    <row r="473" spans="97:104">
      <c r="CS473" s="332"/>
      <c r="CT473" s="366" t="s">
        <v>1681</v>
      </c>
      <c r="CU473" s="307" t="s">
        <v>208</v>
      </c>
      <c r="CV473" s="307" t="s">
        <v>1658</v>
      </c>
      <c r="CW473" s="366" t="s">
        <v>40</v>
      </c>
      <c r="CX473" s="307">
        <v>1.161313571</v>
      </c>
      <c r="CY473" s="307">
        <v>1.161313571</v>
      </c>
      <c r="CZ473" s="307">
        <v>1.161313571</v>
      </c>
    </row>
    <row r="474" spans="97:104">
      <c r="CS474" s="332"/>
      <c r="CT474" s="366" t="s">
        <v>1682</v>
      </c>
      <c r="CU474" s="307" t="s">
        <v>208</v>
      </c>
      <c r="CV474" s="307" t="s">
        <v>1658</v>
      </c>
      <c r="CW474" s="366" t="s">
        <v>41</v>
      </c>
      <c r="CX474" s="307">
        <v>1.166230731</v>
      </c>
      <c r="CY474" s="307">
        <v>1.166230731</v>
      </c>
      <c r="CZ474" s="307">
        <v>1.166230731</v>
      </c>
    </row>
    <row r="475" spans="97:104">
      <c r="CS475" s="332"/>
      <c r="CT475" s="366" t="s">
        <v>1683</v>
      </c>
      <c r="CU475" s="307" t="s">
        <v>208</v>
      </c>
      <c r="CV475" s="307" t="s">
        <v>1658</v>
      </c>
      <c r="CW475" s="366" t="s">
        <v>21</v>
      </c>
      <c r="CX475" s="307">
        <v>1.17</v>
      </c>
      <c r="CY475" s="307">
        <v>1.17</v>
      </c>
      <c r="CZ475" s="307">
        <v>1.17</v>
      </c>
    </row>
    <row r="476" spans="97:104">
      <c r="CS476" s="332"/>
      <c r="CT476" s="366" t="s">
        <v>1684</v>
      </c>
      <c r="CU476" s="307" t="s">
        <v>208</v>
      </c>
      <c r="CV476" s="307" t="s">
        <v>1658</v>
      </c>
      <c r="CW476" s="366" t="s">
        <v>42</v>
      </c>
      <c r="CX476" s="307">
        <v>1.173130225</v>
      </c>
      <c r="CY476" s="307">
        <v>1.173130225</v>
      </c>
      <c r="CZ476" s="307">
        <v>1.173130225</v>
      </c>
    </row>
    <row r="477" spans="97:104">
      <c r="CS477" s="332"/>
      <c r="CT477" s="366" t="s">
        <v>1685</v>
      </c>
      <c r="CU477" s="307" t="s">
        <v>208</v>
      </c>
      <c r="CV477" s="307" t="s">
        <v>1658</v>
      </c>
      <c r="CW477" s="366" t="s">
        <v>43</v>
      </c>
      <c r="CX477" s="307">
        <v>1.175699206</v>
      </c>
      <c r="CY477" s="307">
        <v>1.175699206</v>
      </c>
      <c r="CZ477" s="307">
        <v>1.175699206</v>
      </c>
    </row>
    <row r="478" spans="97:104">
      <c r="CS478" s="332"/>
      <c r="CT478" s="366" t="s">
        <v>1686</v>
      </c>
      <c r="CU478" s="307" t="s">
        <v>208</v>
      </c>
      <c r="CV478" s="307" t="s">
        <v>1658</v>
      </c>
      <c r="CW478" s="366" t="s">
        <v>44</v>
      </c>
      <c r="CX478" s="307">
        <v>1.177772373</v>
      </c>
      <c r="CY478" s="307">
        <v>1.177772373</v>
      </c>
      <c r="CZ478" s="307">
        <v>1.177772373</v>
      </c>
    </row>
    <row r="479" spans="97:104">
      <c r="CS479" s="332"/>
      <c r="CT479" s="366" t="s">
        <v>1687</v>
      </c>
      <c r="CU479" s="307" t="s">
        <v>208</v>
      </c>
      <c r="CV479" s="307" t="s">
        <v>1658</v>
      </c>
      <c r="CW479" s="366" t="s">
        <v>45</v>
      </c>
      <c r="CX479" s="307">
        <v>1.1791747800000001</v>
      </c>
      <c r="CY479" s="307">
        <v>1.1791747800000001</v>
      </c>
      <c r="CZ479" s="307">
        <v>1.1791747800000001</v>
      </c>
    </row>
    <row r="480" spans="97:104">
      <c r="CS480" s="332"/>
      <c r="CT480" s="366" t="s">
        <v>1688</v>
      </c>
      <c r="CU480" s="307" t="s">
        <v>208</v>
      </c>
      <c r="CV480" s="307" t="s">
        <v>1658</v>
      </c>
      <c r="CW480" s="366" t="s">
        <v>22</v>
      </c>
      <c r="CX480" s="307">
        <v>1.18</v>
      </c>
      <c r="CY480" s="307">
        <v>1.18</v>
      </c>
      <c r="CZ480" s="307">
        <v>1.18</v>
      </c>
    </row>
    <row r="481" spans="97:104">
      <c r="CS481" s="332"/>
      <c r="CT481" s="366" t="s">
        <v>1689</v>
      </c>
      <c r="CU481" s="307" t="s">
        <v>208</v>
      </c>
      <c r="CV481" s="307" t="s">
        <v>1658</v>
      </c>
      <c r="CW481" s="366" t="s">
        <v>46</v>
      </c>
      <c r="CX481" s="307">
        <v>1.165</v>
      </c>
      <c r="CY481" s="307">
        <v>1.165</v>
      </c>
      <c r="CZ481" s="307">
        <v>1.165</v>
      </c>
    </row>
    <row r="482" spans="97:104">
      <c r="CS482" s="332"/>
      <c r="CT482" s="366" t="s">
        <v>1690</v>
      </c>
      <c r="CU482" s="307" t="s">
        <v>208</v>
      </c>
      <c r="CV482" s="307" t="s">
        <v>1658</v>
      </c>
      <c r="CW482" s="366" t="s">
        <v>47</v>
      </c>
      <c r="CX482" s="307">
        <v>1.111</v>
      </c>
      <c r="CY482" s="307">
        <v>1.111</v>
      </c>
      <c r="CZ482" s="307">
        <v>1.111</v>
      </c>
    </row>
    <row r="483" spans="97:104">
      <c r="CS483" s="332"/>
      <c r="CT483" s="366" t="s">
        <v>1691</v>
      </c>
      <c r="CU483" s="307" t="s">
        <v>208</v>
      </c>
      <c r="CV483" s="307" t="s">
        <v>1658</v>
      </c>
      <c r="CW483" s="366" t="s">
        <v>48</v>
      </c>
      <c r="CX483" s="307">
        <v>1.0760000000000001</v>
      </c>
      <c r="CY483" s="307">
        <v>1.0760000000000001</v>
      </c>
      <c r="CZ483" s="307">
        <v>1.0760000000000001</v>
      </c>
    </row>
    <row r="484" spans="97:104">
      <c r="CS484" s="332"/>
      <c r="CT484" s="366" t="s">
        <v>1692</v>
      </c>
      <c r="CU484" s="307" t="s">
        <v>208</v>
      </c>
      <c r="CV484" s="307" t="s">
        <v>1693</v>
      </c>
      <c r="CW484" s="366" t="s">
        <v>3</v>
      </c>
      <c r="CX484" s="307">
        <v>-0.36999989999999999</v>
      </c>
      <c r="CY484" s="307">
        <v>-0.36999989999999999</v>
      </c>
      <c r="CZ484" s="307">
        <v>-0.36999989999999999</v>
      </c>
    </row>
    <row r="485" spans="97:104">
      <c r="CS485" s="332"/>
      <c r="CT485" s="366" t="s">
        <v>1694</v>
      </c>
      <c r="CU485" s="307" t="s">
        <v>208</v>
      </c>
      <c r="CV485" s="307" t="s">
        <v>1693</v>
      </c>
      <c r="CW485" s="366" t="s">
        <v>4</v>
      </c>
      <c r="CX485" s="307">
        <v>-0.37</v>
      </c>
      <c r="CY485" s="307">
        <v>-0.37</v>
      </c>
      <c r="CZ485" s="307">
        <v>-0.37</v>
      </c>
    </row>
    <row r="486" spans="97:104">
      <c r="CS486" s="332"/>
      <c r="CT486" s="366" t="s">
        <v>1695</v>
      </c>
      <c r="CU486" s="307" t="s">
        <v>208</v>
      </c>
      <c r="CV486" s="307" t="s">
        <v>1693</v>
      </c>
      <c r="CW486" s="366" t="s">
        <v>23</v>
      </c>
      <c r="CX486" s="307">
        <v>-0.37</v>
      </c>
      <c r="CY486" s="307">
        <v>-0.37</v>
      </c>
      <c r="CZ486" s="307">
        <v>-0.37</v>
      </c>
    </row>
    <row r="487" spans="97:104">
      <c r="CS487" s="332"/>
      <c r="CT487" s="366" t="s">
        <v>1696</v>
      </c>
      <c r="CU487" s="307" t="s">
        <v>208</v>
      </c>
      <c r="CV487" s="307" t="s">
        <v>1693</v>
      </c>
      <c r="CW487" s="366" t="s">
        <v>5</v>
      </c>
      <c r="CX487" s="307">
        <v>-0.15909999999999999</v>
      </c>
      <c r="CY487" s="307">
        <v>-5.91E-2</v>
      </c>
      <c r="CZ487" s="307">
        <v>-0.1091</v>
      </c>
    </row>
    <row r="488" spans="97:104">
      <c r="CS488" s="332"/>
      <c r="CT488" s="366" t="s">
        <v>1697</v>
      </c>
      <c r="CU488" s="307" t="s">
        <v>208</v>
      </c>
      <c r="CV488" s="307" t="s">
        <v>1693</v>
      </c>
      <c r="CW488" s="366" t="s">
        <v>6</v>
      </c>
      <c r="CX488" s="307">
        <v>-0.26390000000000002</v>
      </c>
      <c r="CY488" s="307">
        <v>-0.16389999999999999</v>
      </c>
      <c r="CZ488" s="307">
        <v>-0.21390000000000001</v>
      </c>
    </row>
    <row r="489" spans="97:104">
      <c r="CS489" s="332"/>
      <c r="CT489" s="366" t="s">
        <v>1698</v>
      </c>
      <c r="CU489" s="307" t="s">
        <v>208</v>
      </c>
      <c r="CV489" s="307" t="s">
        <v>1693</v>
      </c>
      <c r="CW489" s="366" t="s">
        <v>24</v>
      </c>
      <c r="CX489" s="307">
        <v>-0.28910000000000002</v>
      </c>
      <c r="CY489" s="307">
        <v>-0.18909999999999999</v>
      </c>
      <c r="CZ489" s="307">
        <v>-0.23910000000000001</v>
      </c>
    </row>
    <row r="490" spans="97:104">
      <c r="CS490" s="332"/>
      <c r="CT490" s="366" t="s">
        <v>1699</v>
      </c>
      <c r="CU490" s="307" t="s">
        <v>208</v>
      </c>
      <c r="CV490" s="307" t="s">
        <v>1693</v>
      </c>
      <c r="CW490" s="366" t="s">
        <v>7</v>
      </c>
      <c r="CX490" s="307">
        <v>-0.29620000000000002</v>
      </c>
      <c r="CY490" s="307">
        <v>-0.2462</v>
      </c>
      <c r="CZ490" s="307">
        <v>-0.2712</v>
      </c>
    </row>
    <row r="491" spans="97:104">
      <c r="CS491" s="332"/>
      <c r="CT491" s="366" t="s">
        <v>1700</v>
      </c>
      <c r="CU491" s="307" t="s">
        <v>208</v>
      </c>
      <c r="CV491" s="307" t="s">
        <v>1693</v>
      </c>
      <c r="CW491" s="366" t="s">
        <v>8</v>
      </c>
      <c r="CX491" s="307">
        <v>-0.318</v>
      </c>
      <c r="CY491" s="307">
        <v>-0.26800000000000002</v>
      </c>
      <c r="CZ491" s="307">
        <v>-0.29300000000000004</v>
      </c>
    </row>
    <row r="492" spans="97:104">
      <c r="CS492" s="332"/>
      <c r="CT492" s="366" t="s">
        <v>1701</v>
      </c>
      <c r="CU492" s="307" t="s">
        <v>208</v>
      </c>
      <c r="CV492" s="307" t="s">
        <v>1693</v>
      </c>
      <c r="CW492" s="366" t="s">
        <v>25</v>
      </c>
      <c r="CX492" s="307">
        <v>-0.32119999999999999</v>
      </c>
      <c r="CY492" s="307">
        <v>-0.2712</v>
      </c>
      <c r="CZ492" s="307">
        <v>-0.29620000000000002</v>
      </c>
    </row>
    <row r="493" spans="97:104">
      <c r="CS493" s="332"/>
      <c r="CT493" s="366" t="s">
        <v>1702</v>
      </c>
      <c r="CU493" s="307" t="s">
        <v>208</v>
      </c>
      <c r="CV493" s="307" t="s">
        <v>1693</v>
      </c>
      <c r="CW493" s="366" t="s">
        <v>26</v>
      </c>
      <c r="CX493" s="307">
        <v>-0.31969999999999998</v>
      </c>
      <c r="CY493" s="307">
        <v>-0.2697</v>
      </c>
      <c r="CZ493" s="307">
        <v>-0.29469999999999996</v>
      </c>
    </row>
    <row r="494" spans="97:104">
      <c r="CS494" s="332"/>
      <c r="CT494" s="366" t="s">
        <v>1703</v>
      </c>
      <c r="CU494" s="307" t="s">
        <v>208</v>
      </c>
      <c r="CV494" s="307" t="s">
        <v>1693</v>
      </c>
      <c r="CW494" s="366" t="s">
        <v>27</v>
      </c>
      <c r="CX494" s="307">
        <v>-0.31950000000000001</v>
      </c>
      <c r="CY494" s="307">
        <v>-0.26950000000000002</v>
      </c>
      <c r="CZ494" s="307">
        <v>-0.29449999999999998</v>
      </c>
    </row>
    <row r="495" spans="97:104">
      <c r="CS495" s="332"/>
      <c r="CT495" s="366" t="s">
        <v>1704</v>
      </c>
      <c r="CU495" s="307" t="s">
        <v>208</v>
      </c>
      <c r="CV495" s="307" t="s">
        <v>1693</v>
      </c>
      <c r="CW495" s="366" t="s">
        <v>28</v>
      </c>
      <c r="CX495" s="307">
        <v>-0.31730000000000003</v>
      </c>
      <c r="CY495" s="307">
        <v>-0.26729999999999998</v>
      </c>
      <c r="CZ495" s="307">
        <v>-0.2923</v>
      </c>
    </row>
    <row r="496" spans="97:104">
      <c r="CS496" s="332"/>
      <c r="CT496" s="366" t="s">
        <v>5108</v>
      </c>
      <c r="CU496" s="307" t="s">
        <v>208</v>
      </c>
      <c r="CV496" s="307" t="s">
        <v>1693</v>
      </c>
      <c r="CW496" s="366" t="s">
        <v>5101</v>
      </c>
      <c r="CX496" s="307">
        <v>-0.29020000000000001</v>
      </c>
      <c r="CY496" s="307">
        <v>-0.29020000000000001</v>
      </c>
      <c r="CZ496" s="307">
        <v>-0.29020000000000001</v>
      </c>
    </row>
    <row r="497" spans="97:104">
      <c r="CS497" s="332"/>
      <c r="CT497" s="366" t="s">
        <v>1705</v>
      </c>
      <c r="CU497" s="307" t="s">
        <v>208</v>
      </c>
      <c r="CV497" s="307" t="s">
        <v>1693</v>
      </c>
      <c r="CW497" s="366" t="s">
        <v>29</v>
      </c>
      <c r="CX497" s="307">
        <v>-0.31519999999999998</v>
      </c>
      <c r="CY497" s="307">
        <v>-0.26519999999999999</v>
      </c>
      <c r="CZ497" s="307">
        <v>-0.29020000000000001</v>
      </c>
    </row>
    <row r="498" spans="97:104">
      <c r="CS498" s="332"/>
      <c r="CT498" s="366" t="s">
        <v>1706</v>
      </c>
      <c r="CU498" s="307" t="s">
        <v>208</v>
      </c>
      <c r="CV498" s="307" t="s">
        <v>1693</v>
      </c>
      <c r="CW498" s="366" t="s">
        <v>30</v>
      </c>
      <c r="CX498" s="307">
        <v>-0.31209999999999999</v>
      </c>
      <c r="CY498" s="307">
        <v>-0.2621</v>
      </c>
      <c r="CZ498" s="307">
        <v>-0.28710000000000002</v>
      </c>
    </row>
    <row r="499" spans="97:104">
      <c r="CS499" s="332"/>
      <c r="CT499" s="366" t="s">
        <v>1707</v>
      </c>
      <c r="CU499" s="307" t="s">
        <v>208</v>
      </c>
      <c r="CV499" s="307" t="s">
        <v>1693</v>
      </c>
      <c r="CW499" s="366" t="s">
        <v>49</v>
      </c>
      <c r="CX499" s="307">
        <v>-0.30980000000000002</v>
      </c>
      <c r="CY499" s="307">
        <v>-0.25979999999999998</v>
      </c>
      <c r="CZ499" s="307">
        <v>-0.2848</v>
      </c>
    </row>
    <row r="500" spans="97:104">
      <c r="CS500" s="332"/>
      <c r="CT500" s="366" t="s">
        <v>4188</v>
      </c>
      <c r="CU500" s="307" t="s">
        <v>208</v>
      </c>
      <c r="CV500" s="307" t="s">
        <v>1693</v>
      </c>
      <c r="CW500" s="366" t="s">
        <v>1066</v>
      </c>
      <c r="CX500" s="307">
        <v>100.27500000000001</v>
      </c>
      <c r="CY500" s="307">
        <v>100.28</v>
      </c>
      <c r="CZ500" s="307">
        <v>100.2775</v>
      </c>
    </row>
    <row r="501" spans="97:104">
      <c r="CS501" s="332"/>
      <c r="CT501" s="366" t="s">
        <v>1708</v>
      </c>
      <c r="CU501" s="307" t="s">
        <v>208</v>
      </c>
      <c r="CV501" s="307" t="s">
        <v>1693</v>
      </c>
      <c r="CW501" s="366" t="s">
        <v>56</v>
      </c>
      <c r="CX501" s="307">
        <v>-0.292675291</v>
      </c>
      <c r="CY501" s="307">
        <v>-0.292675291</v>
      </c>
      <c r="CZ501" s="307">
        <v>-0.292675291</v>
      </c>
    </row>
    <row r="502" spans="97:104">
      <c r="CS502" s="332"/>
      <c r="CT502" s="366" t="s">
        <v>4189</v>
      </c>
      <c r="CU502" s="307" t="s">
        <v>208</v>
      </c>
      <c r="CV502" s="307" t="s">
        <v>1693</v>
      </c>
      <c r="CW502" s="366" t="s">
        <v>1069</v>
      </c>
      <c r="CX502" s="307">
        <v>100.255</v>
      </c>
      <c r="CY502" s="307">
        <v>100.26</v>
      </c>
      <c r="CZ502" s="307">
        <v>100.25749999999999</v>
      </c>
    </row>
    <row r="503" spans="97:104">
      <c r="CS503" s="332"/>
      <c r="CT503" s="366" t="s">
        <v>4190</v>
      </c>
      <c r="CU503" s="307" t="s">
        <v>208</v>
      </c>
      <c r="CV503" s="307" t="s">
        <v>1693</v>
      </c>
      <c r="CW503" s="366" t="s">
        <v>3865</v>
      </c>
      <c r="CX503" s="307">
        <v>100.24</v>
      </c>
      <c r="CY503" s="307">
        <v>100.245</v>
      </c>
      <c r="CZ503" s="307">
        <v>100.24250000000001</v>
      </c>
    </row>
    <row r="504" spans="97:104">
      <c r="CS504" s="332"/>
      <c r="CT504" s="366" t="s">
        <v>4191</v>
      </c>
      <c r="CU504" s="307" t="s">
        <v>208</v>
      </c>
      <c r="CV504" s="307" t="s">
        <v>1693</v>
      </c>
      <c r="CW504" s="366" t="s">
        <v>3866</v>
      </c>
      <c r="CX504" s="307">
        <v>100.215</v>
      </c>
      <c r="CY504" s="307">
        <v>100.22</v>
      </c>
      <c r="CZ504" s="307">
        <v>100.2175</v>
      </c>
    </row>
    <row r="505" spans="97:104">
      <c r="CS505" s="332"/>
      <c r="CT505" s="366" t="s">
        <v>5073</v>
      </c>
      <c r="CU505" s="307" t="s">
        <v>208</v>
      </c>
      <c r="CV505" s="307" t="s">
        <v>1693</v>
      </c>
      <c r="CW505" s="366" t="s">
        <v>3889</v>
      </c>
      <c r="CX505" s="307">
        <v>100.185</v>
      </c>
      <c r="CY505" s="307">
        <v>100.19</v>
      </c>
      <c r="CZ505" s="307">
        <v>100.1875</v>
      </c>
    </row>
    <row r="506" spans="97:104">
      <c r="CS506" s="332"/>
      <c r="CT506" s="366" t="s">
        <v>1709</v>
      </c>
      <c r="CU506" s="307" t="s">
        <v>208</v>
      </c>
      <c r="CV506" s="307" t="s">
        <v>1693</v>
      </c>
      <c r="CW506" s="366" t="s">
        <v>9</v>
      </c>
      <c r="CX506" s="307">
        <v>-0.25204313699999997</v>
      </c>
      <c r="CY506" s="307">
        <v>-0.25204313699999997</v>
      </c>
      <c r="CZ506" s="307">
        <v>-0.25204313699999997</v>
      </c>
    </row>
    <row r="507" spans="97:104">
      <c r="CS507" s="332"/>
      <c r="CT507" s="366" t="s">
        <v>5109</v>
      </c>
      <c r="CU507" s="307" t="s">
        <v>208</v>
      </c>
      <c r="CV507" s="307" t="s">
        <v>1693</v>
      </c>
      <c r="CW507" s="366" t="s">
        <v>3890</v>
      </c>
      <c r="CX507" s="307">
        <v>100.15</v>
      </c>
      <c r="CY507" s="307">
        <v>100.155</v>
      </c>
      <c r="CZ507" s="307">
        <v>100.1525</v>
      </c>
    </row>
    <row r="508" spans="97:104">
      <c r="CS508" s="332"/>
      <c r="CT508" s="366" t="s">
        <v>1710</v>
      </c>
      <c r="CU508" s="307" t="s">
        <v>208</v>
      </c>
      <c r="CV508" s="307" t="s">
        <v>1693</v>
      </c>
      <c r="CW508" s="366" t="s">
        <v>10</v>
      </c>
      <c r="CX508" s="307">
        <v>-0.186</v>
      </c>
      <c r="CY508" s="307">
        <v>-0.186</v>
      </c>
      <c r="CZ508" s="307">
        <v>-0.186</v>
      </c>
    </row>
    <row r="509" spans="97:104">
      <c r="CS509" s="332"/>
      <c r="CT509" s="366" t="s">
        <v>1711</v>
      </c>
      <c r="CU509" s="307" t="s">
        <v>208</v>
      </c>
      <c r="CV509" s="307" t="s">
        <v>1693</v>
      </c>
      <c r="CW509" s="366" t="s">
        <v>11</v>
      </c>
      <c r="CX509" s="307">
        <v>-0.105</v>
      </c>
      <c r="CY509" s="307">
        <v>-0.105</v>
      </c>
      <c r="CZ509" s="307">
        <v>-0.105</v>
      </c>
    </row>
    <row r="510" spans="97:104">
      <c r="CS510" s="332"/>
      <c r="CT510" s="366" t="s">
        <v>1712</v>
      </c>
      <c r="CU510" s="307" t="s">
        <v>208</v>
      </c>
      <c r="CV510" s="307" t="s">
        <v>1693</v>
      </c>
      <c r="CW510" s="366" t="s">
        <v>12</v>
      </c>
      <c r="CX510" s="307">
        <v>-6.0000000000000001E-3</v>
      </c>
      <c r="CY510" s="307">
        <v>-6.0000000000000001E-3</v>
      </c>
      <c r="CZ510" s="307">
        <v>-6.0000000000000001E-3</v>
      </c>
    </row>
    <row r="511" spans="97:104">
      <c r="CS511" s="332"/>
      <c r="CT511" s="366" t="s">
        <v>1713</v>
      </c>
      <c r="CU511" s="307" t="s">
        <v>208</v>
      </c>
      <c r="CV511" s="307" t="s">
        <v>1693</v>
      </c>
      <c r="CW511" s="366" t="s">
        <v>13</v>
      </c>
      <c r="CX511" s="307">
        <v>0.10299999999999999</v>
      </c>
      <c r="CY511" s="307">
        <v>0.10299999999999999</v>
      </c>
      <c r="CZ511" s="307">
        <v>0.10299999999999999</v>
      </c>
    </row>
    <row r="512" spans="97:104">
      <c r="CS512" s="332"/>
      <c r="CT512" s="366" t="s">
        <v>1714</v>
      </c>
      <c r="CU512" s="307" t="s">
        <v>208</v>
      </c>
      <c r="CV512" s="307" t="s">
        <v>1693</v>
      </c>
      <c r="CW512" s="366" t="s">
        <v>14</v>
      </c>
      <c r="CX512" s="307">
        <v>0.218</v>
      </c>
      <c r="CY512" s="307">
        <v>0.218</v>
      </c>
      <c r="CZ512" s="307">
        <v>0.218</v>
      </c>
    </row>
    <row r="513" spans="97:104">
      <c r="CS513" s="332"/>
      <c r="CT513" s="366" t="s">
        <v>1715</v>
      </c>
      <c r="CU513" s="307" t="s">
        <v>208</v>
      </c>
      <c r="CV513" s="307" t="s">
        <v>1693</v>
      </c>
      <c r="CW513" s="366" t="s">
        <v>15</v>
      </c>
      <c r="CX513" s="307">
        <v>0.33400000000000002</v>
      </c>
      <c r="CY513" s="307">
        <v>0.33400000000000002</v>
      </c>
      <c r="CZ513" s="307">
        <v>0.33400000000000002</v>
      </c>
    </row>
    <row r="514" spans="97:104">
      <c r="CS514" s="332"/>
      <c r="CT514" s="366" t="s">
        <v>1716</v>
      </c>
      <c r="CU514" s="307" t="s">
        <v>208</v>
      </c>
      <c r="CV514" s="307" t="s">
        <v>1693</v>
      </c>
      <c r="CW514" s="366" t="s">
        <v>16</v>
      </c>
      <c r="CX514" s="307">
        <v>0.44600000000000001</v>
      </c>
      <c r="CY514" s="307">
        <v>0.44600000000000001</v>
      </c>
      <c r="CZ514" s="307">
        <v>0.44600000000000001</v>
      </c>
    </row>
    <row r="515" spans="97:104">
      <c r="CS515" s="332"/>
      <c r="CT515" s="366" t="s">
        <v>1717</v>
      </c>
      <c r="CU515" s="307" t="s">
        <v>208</v>
      </c>
      <c r="CV515" s="307" t="s">
        <v>1693</v>
      </c>
      <c r="CW515" s="366" t="s">
        <v>17</v>
      </c>
      <c r="CX515" s="307">
        <v>0.55000000000000004</v>
      </c>
      <c r="CY515" s="307">
        <v>0.55000000000000004</v>
      </c>
      <c r="CZ515" s="307">
        <v>0.55000000000000004</v>
      </c>
    </row>
    <row r="516" spans="97:104">
      <c r="CS516" s="332"/>
      <c r="CT516" s="366" t="s">
        <v>1718</v>
      </c>
      <c r="CU516" s="307" t="s">
        <v>208</v>
      </c>
      <c r="CV516" s="307" t="s">
        <v>1693</v>
      </c>
      <c r="CW516" s="366" t="s">
        <v>31</v>
      </c>
      <c r="CX516" s="307">
        <v>0.643502405</v>
      </c>
      <c r="CY516" s="307">
        <v>0.643502405</v>
      </c>
      <c r="CZ516" s="307">
        <v>0.643502405</v>
      </c>
    </row>
    <row r="517" spans="97:104">
      <c r="CS517" s="332"/>
      <c r="CT517" s="366" t="s">
        <v>1719</v>
      </c>
      <c r="CU517" s="307" t="s">
        <v>208</v>
      </c>
      <c r="CV517" s="307" t="s">
        <v>1693</v>
      </c>
      <c r="CW517" s="366" t="s">
        <v>18</v>
      </c>
      <c r="CX517" s="307">
        <v>0.72699999999999998</v>
      </c>
      <c r="CY517" s="307">
        <v>0.72699999999999998</v>
      </c>
      <c r="CZ517" s="307">
        <v>0.72699999999999998</v>
      </c>
    </row>
    <row r="518" spans="97:104">
      <c r="CS518" s="332"/>
      <c r="CT518" s="366" t="s">
        <v>1720</v>
      </c>
      <c r="CU518" s="307" t="s">
        <v>208</v>
      </c>
      <c r="CV518" s="307" t="s">
        <v>1693</v>
      </c>
      <c r="CW518" s="366" t="s">
        <v>32</v>
      </c>
      <c r="CX518" s="307">
        <v>0.79949402999999997</v>
      </c>
      <c r="CY518" s="307">
        <v>0.79949402999999997</v>
      </c>
      <c r="CZ518" s="307">
        <v>0.79949402999999997</v>
      </c>
    </row>
    <row r="519" spans="97:104">
      <c r="CS519" s="332"/>
      <c r="CT519" s="366" t="s">
        <v>1721</v>
      </c>
      <c r="CU519" s="307" t="s">
        <v>208</v>
      </c>
      <c r="CV519" s="307" t="s">
        <v>1693</v>
      </c>
      <c r="CW519" s="366" t="s">
        <v>33</v>
      </c>
      <c r="CX519" s="307">
        <v>0.861635971</v>
      </c>
      <c r="CY519" s="307">
        <v>0.861635971</v>
      </c>
      <c r="CZ519" s="307">
        <v>0.861635971</v>
      </c>
    </row>
    <row r="520" spans="97:104">
      <c r="CS520" s="332"/>
      <c r="CT520" s="366" t="s">
        <v>1722</v>
      </c>
      <c r="CU520" s="307" t="s">
        <v>208</v>
      </c>
      <c r="CV520" s="307" t="s">
        <v>1693</v>
      </c>
      <c r="CW520" s="366" t="s">
        <v>19</v>
      </c>
      <c r="CX520" s="307">
        <v>0.91400000000000003</v>
      </c>
      <c r="CY520" s="307">
        <v>0.91400000000000003</v>
      </c>
      <c r="CZ520" s="307">
        <v>0.91400000000000003</v>
      </c>
    </row>
    <row r="521" spans="97:104">
      <c r="CS521" s="332"/>
      <c r="CT521" s="366" t="s">
        <v>1723</v>
      </c>
      <c r="CU521" s="307" t="s">
        <v>208</v>
      </c>
      <c r="CV521" s="307" t="s">
        <v>1693</v>
      </c>
      <c r="CW521" s="366" t="s">
        <v>34</v>
      </c>
      <c r="CX521" s="307">
        <v>0.95762430300000001</v>
      </c>
      <c r="CY521" s="307">
        <v>0.95762430300000001</v>
      </c>
      <c r="CZ521" s="307">
        <v>0.95762430300000001</v>
      </c>
    </row>
    <row r="522" spans="97:104">
      <c r="CS522" s="332"/>
      <c r="CT522" s="366" t="s">
        <v>1724</v>
      </c>
      <c r="CU522" s="307" t="s">
        <v>208</v>
      </c>
      <c r="CV522" s="307" t="s">
        <v>1693</v>
      </c>
      <c r="CW522" s="366" t="s">
        <v>35</v>
      </c>
      <c r="CX522" s="307">
        <v>0.99299166500000002</v>
      </c>
      <c r="CY522" s="307">
        <v>0.99299166500000002</v>
      </c>
      <c r="CZ522" s="307">
        <v>0.99299166500000002</v>
      </c>
    </row>
    <row r="523" spans="97:104">
      <c r="CS523" s="332"/>
      <c r="CT523" s="366" t="s">
        <v>1725</v>
      </c>
      <c r="CU523" s="307" t="s">
        <v>208</v>
      </c>
      <c r="CV523" s="307" t="s">
        <v>1693</v>
      </c>
      <c r="CW523" s="366" t="s">
        <v>36</v>
      </c>
      <c r="CX523" s="307">
        <v>1.021926723</v>
      </c>
      <c r="CY523" s="307">
        <v>1.021926723</v>
      </c>
      <c r="CZ523" s="307">
        <v>1.021926723</v>
      </c>
    </row>
    <row r="524" spans="97:104">
      <c r="CS524" s="332"/>
      <c r="CT524" s="366" t="s">
        <v>1726</v>
      </c>
      <c r="CU524" s="307" t="s">
        <v>208</v>
      </c>
      <c r="CV524" s="307" t="s">
        <v>1693</v>
      </c>
      <c r="CW524" s="366" t="s">
        <v>37</v>
      </c>
      <c r="CX524" s="307">
        <v>1.0452838390000001</v>
      </c>
      <c r="CY524" s="307">
        <v>1.0452838390000001</v>
      </c>
      <c r="CZ524" s="307">
        <v>1.0452838390000001</v>
      </c>
    </row>
    <row r="525" spans="97:104">
      <c r="CS525" s="332"/>
      <c r="CT525" s="366" t="s">
        <v>1727</v>
      </c>
      <c r="CU525" s="307" t="s">
        <v>208</v>
      </c>
      <c r="CV525" s="307" t="s">
        <v>1693</v>
      </c>
      <c r="CW525" s="366" t="s">
        <v>20</v>
      </c>
      <c r="CX525" s="307">
        <v>1.0640000000000001</v>
      </c>
      <c r="CY525" s="307">
        <v>1.0640000000000001</v>
      </c>
      <c r="CZ525" s="307">
        <v>1.0640000000000001</v>
      </c>
    </row>
    <row r="526" spans="97:104">
      <c r="CS526" s="332"/>
      <c r="CT526" s="366" t="s">
        <v>1728</v>
      </c>
      <c r="CU526" s="307" t="s">
        <v>208</v>
      </c>
      <c r="CV526" s="307" t="s">
        <v>1693</v>
      </c>
      <c r="CW526" s="366" t="s">
        <v>38</v>
      </c>
      <c r="CX526" s="307">
        <v>1.0784790829999999</v>
      </c>
      <c r="CY526" s="307">
        <v>1.0784790829999999</v>
      </c>
      <c r="CZ526" s="307">
        <v>1.0784790829999999</v>
      </c>
    </row>
    <row r="527" spans="97:104">
      <c r="CS527" s="332"/>
      <c r="CT527" s="366" t="s">
        <v>1729</v>
      </c>
      <c r="CU527" s="307" t="s">
        <v>208</v>
      </c>
      <c r="CV527" s="307" t="s">
        <v>1693</v>
      </c>
      <c r="CW527" s="366" t="s">
        <v>39</v>
      </c>
      <c r="CX527" s="307">
        <v>1.0896088500000001</v>
      </c>
      <c r="CY527" s="307">
        <v>1.0896088500000001</v>
      </c>
      <c r="CZ527" s="307">
        <v>1.0896088500000001</v>
      </c>
    </row>
    <row r="528" spans="97:104">
      <c r="CS528" s="332"/>
      <c r="CT528" s="366" t="s">
        <v>1730</v>
      </c>
      <c r="CU528" s="307" t="s">
        <v>208</v>
      </c>
      <c r="CV528" s="307" t="s">
        <v>1693</v>
      </c>
      <c r="CW528" s="366" t="s">
        <v>40</v>
      </c>
      <c r="CX528" s="307">
        <v>1.0983026760000001</v>
      </c>
      <c r="CY528" s="307">
        <v>1.0983026760000001</v>
      </c>
      <c r="CZ528" s="307">
        <v>1.0983026760000001</v>
      </c>
    </row>
    <row r="529" spans="97:104">
      <c r="CS529" s="332"/>
      <c r="CT529" s="366" t="s">
        <v>1731</v>
      </c>
      <c r="CU529" s="307" t="s">
        <v>208</v>
      </c>
      <c r="CV529" s="307" t="s">
        <v>1693</v>
      </c>
      <c r="CW529" s="366" t="s">
        <v>41</v>
      </c>
      <c r="CX529" s="307">
        <v>1.1053466919999999</v>
      </c>
      <c r="CY529" s="307">
        <v>1.1053466919999999</v>
      </c>
      <c r="CZ529" s="307">
        <v>1.1053466919999999</v>
      </c>
    </row>
    <row r="530" spans="97:104">
      <c r="CS530" s="332"/>
      <c r="CT530" s="366" t="s">
        <v>1732</v>
      </c>
      <c r="CU530" s="307" t="s">
        <v>208</v>
      </c>
      <c r="CV530" s="307" t="s">
        <v>1693</v>
      </c>
      <c r="CW530" s="366" t="s">
        <v>21</v>
      </c>
      <c r="CX530" s="307">
        <v>1.111</v>
      </c>
      <c r="CY530" s="307">
        <v>1.111</v>
      </c>
      <c r="CZ530" s="307">
        <v>1.111</v>
      </c>
    </row>
    <row r="531" spans="97:104">
      <c r="CS531" s="332"/>
      <c r="CT531" s="366" t="s">
        <v>1733</v>
      </c>
      <c r="CU531" s="307" t="s">
        <v>208</v>
      </c>
      <c r="CV531" s="307" t="s">
        <v>1693</v>
      </c>
      <c r="CW531" s="366" t="s">
        <v>42</v>
      </c>
      <c r="CX531" s="307">
        <v>1.115800203</v>
      </c>
      <c r="CY531" s="307">
        <v>1.115800203</v>
      </c>
      <c r="CZ531" s="307">
        <v>1.115800203</v>
      </c>
    </row>
    <row r="532" spans="97:104">
      <c r="CS532" s="332"/>
      <c r="CT532" s="366" t="s">
        <v>1734</v>
      </c>
      <c r="CU532" s="307" t="s">
        <v>208</v>
      </c>
      <c r="CV532" s="307" t="s">
        <v>1693</v>
      </c>
      <c r="CW532" s="366" t="s">
        <v>43</v>
      </c>
      <c r="CX532" s="307">
        <v>1.1199252070000001</v>
      </c>
      <c r="CY532" s="307">
        <v>1.1199252070000001</v>
      </c>
      <c r="CZ532" s="307">
        <v>1.1199252070000001</v>
      </c>
    </row>
    <row r="533" spans="97:104">
      <c r="CS533" s="332"/>
      <c r="CT533" s="366" t="s">
        <v>1735</v>
      </c>
      <c r="CU533" s="307" t="s">
        <v>208</v>
      </c>
      <c r="CV533" s="307" t="s">
        <v>1693</v>
      </c>
      <c r="CW533" s="366" t="s">
        <v>44</v>
      </c>
      <c r="CX533" s="307">
        <v>1.1235090000000001</v>
      </c>
      <c r="CY533" s="307">
        <v>1.1235090000000001</v>
      </c>
      <c r="CZ533" s="307">
        <v>1.1235090000000001</v>
      </c>
    </row>
    <row r="534" spans="97:104">
      <c r="CS534" s="332"/>
      <c r="CT534" s="366" t="s">
        <v>1736</v>
      </c>
      <c r="CU534" s="307" t="s">
        <v>208</v>
      </c>
      <c r="CV534" s="307" t="s">
        <v>1693</v>
      </c>
      <c r="CW534" s="366" t="s">
        <v>45</v>
      </c>
      <c r="CX534" s="307">
        <v>1.1264828730000001</v>
      </c>
      <c r="CY534" s="307">
        <v>1.1264828730000001</v>
      </c>
      <c r="CZ534" s="307">
        <v>1.1264828730000001</v>
      </c>
    </row>
    <row r="535" spans="97:104">
      <c r="CS535" s="332"/>
      <c r="CT535" s="366" t="s">
        <v>1737</v>
      </c>
      <c r="CU535" s="307" t="s">
        <v>208</v>
      </c>
      <c r="CV535" s="307" t="s">
        <v>1693</v>
      </c>
      <c r="CW535" s="366" t="s">
        <v>22</v>
      </c>
      <c r="CX535" s="307">
        <v>1.129</v>
      </c>
      <c r="CY535" s="307">
        <v>1.129</v>
      </c>
      <c r="CZ535" s="307">
        <v>1.129</v>
      </c>
    </row>
    <row r="536" spans="97:104">
      <c r="CS536" s="332"/>
      <c r="CT536" s="366" t="s">
        <v>1738</v>
      </c>
      <c r="CU536" s="307" t="s">
        <v>208</v>
      </c>
      <c r="CV536" s="307" t="s">
        <v>1693</v>
      </c>
      <c r="CW536" s="366" t="s">
        <v>46</v>
      </c>
      <c r="CX536" s="307">
        <v>1.1259999999999999</v>
      </c>
      <c r="CY536" s="307">
        <v>1.1259999999999999</v>
      </c>
      <c r="CZ536" s="307">
        <v>1.1259999999999999</v>
      </c>
    </row>
    <row r="537" spans="97:104">
      <c r="CS537" s="332"/>
      <c r="CT537" s="366" t="s">
        <v>1739</v>
      </c>
      <c r="CU537" s="307" t="s">
        <v>208</v>
      </c>
      <c r="CV537" s="307" t="s">
        <v>1693</v>
      </c>
      <c r="CW537" s="366" t="s">
        <v>47</v>
      </c>
      <c r="CX537" s="307">
        <v>1.079</v>
      </c>
      <c r="CY537" s="307">
        <v>1.079</v>
      </c>
      <c r="CZ537" s="307">
        <v>1.079</v>
      </c>
    </row>
    <row r="538" spans="97:104">
      <c r="CS538" s="332"/>
      <c r="CT538" s="366" t="s">
        <v>1740</v>
      </c>
      <c r="CU538" s="307" t="s">
        <v>208</v>
      </c>
      <c r="CV538" s="307" t="s">
        <v>1693</v>
      </c>
      <c r="CW538" s="366" t="s">
        <v>48</v>
      </c>
      <c r="CX538" s="307">
        <v>1.048</v>
      </c>
      <c r="CY538" s="307">
        <v>1.048</v>
      </c>
      <c r="CZ538" s="307">
        <v>1.048</v>
      </c>
    </row>
    <row r="539" spans="97:104">
      <c r="CS539" s="332"/>
      <c r="CT539" s="366" t="s">
        <v>1741</v>
      </c>
      <c r="CU539" s="307" t="s">
        <v>208</v>
      </c>
      <c r="CV539" s="307" t="s">
        <v>1742</v>
      </c>
      <c r="CW539" s="366" t="s">
        <v>3</v>
      </c>
      <c r="CX539" s="307">
        <v>0.56899999999999995</v>
      </c>
      <c r="CY539" s="307">
        <v>0.56899999999999995</v>
      </c>
      <c r="CZ539" s="307">
        <v>0.56899999999999995</v>
      </c>
    </row>
    <row r="540" spans="97:104">
      <c r="CS540" s="332"/>
      <c r="CT540" s="366" t="s">
        <v>1743</v>
      </c>
      <c r="CU540" s="307" t="s">
        <v>208</v>
      </c>
      <c r="CV540" s="307" t="s">
        <v>1742</v>
      </c>
      <c r="CW540" s="366" t="s">
        <v>4</v>
      </c>
      <c r="CX540" s="307">
        <v>-0.37</v>
      </c>
      <c r="CY540" s="307">
        <v>-0.37</v>
      </c>
      <c r="CZ540" s="307">
        <v>-0.37</v>
      </c>
    </row>
    <row r="541" spans="97:104">
      <c r="CS541" s="332"/>
      <c r="CT541" s="366" t="s">
        <v>1744</v>
      </c>
      <c r="CU541" s="307" t="s">
        <v>208</v>
      </c>
      <c r="CV541" s="307" t="s">
        <v>1742</v>
      </c>
      <c r="CW541" s="366" t="s">
        <v>23</v>
      </c>
      <c r="CX541" s="307">
        <v>-0.37</v>
      </c>
      <c r="CY541" s="307">
        <v>-0.37</v>
      </c>
      <c r="CZ541" s="307">
        <v>-0.37</v>
      </c>
    </row>
    <row r="542" spans="97:104">
      <c r="CS542" s="332"/>
      <c r="CT542" s="366" t="s">
        <v>1745</v>
      </c>
      <c r="CU542" s="307" t="s">
        <v>208</v>
      </c>
      <c r="CV542" s="307" t="s">
        <v>1742</v>
      </c>
      <c r="CW542" s="366" t="s">
        <v>5</v>
      </c>
      <c r="CX542" s="307">
        <v>-0.39900000000000002</v>
      </c>
      <c r="CY542" s="307">
        <v>-0.29899999999999999</v>
      </c>
      <c r="CZ542" s="307">
        <v>-0.34899999999999998</v>
      </c>
    </row>
    <row r="543" spans="97:104">
      <c r="CS543" s="332"/>
      <c r="CT543" s="366" t="s">
        <v>1746</v>
      </c>
      <c r="CU543" s="307" t="s">
        <v>208</v>
      </c>
      <c r="CV543" s="307" t="s">
        <v>1742</v>
      </c>
      <c r="CW543" s="366" t="s">
        <v>6</v>
      </c>
      <c r="CX543" s="307">
        <v>-0.39700000000000002</v>
      </c>
      <c r="CY543" s="307">
        <v>-0.29699999999999999</v>
      </c>
      <c r="CZ543" s="307">
        <v>-0.34699999999999998</v>
      </c>
    </row>
    <row r="544" spans="97:104">
      <c r="CS544" s="332"/>
      <c r="CT544" s="366" t="s">
        <v>1747</v>
      </c>
      <c r="CU544" s="307" t="s">
        <v>208</v>
      </c>
      <c r="CV544" s="307" t="s">
        <v>1742</v>
      </c>
      <c r="CW544" s="366" t="s">
        <v>24</v>
      </c>
      <c r="CX544" s="307">
        <v>-0.39800000000000002</v>
      </c>
      <c r="CY544" s="307">
        <v>-0.29799999999999999</v>
      </c>
      <c r="CZ544" s="307">
        <v>-0.34799999999999998</v>
      </c>
    </row>
    <row r="545" spans="97:104">
      <c r="CS545" s="332"/>
      <c r="CT545" s="366" t="s">
        <v>1748</v>
      </c>
      <c r="CU545" s="307" t="s">
        <v>208</v>
      </c>
      <c r="CV545" s="307" t="s">
        <v>1742</v>
      </c>
      <c r="CW545" s="366" t="s">
        <v>7</v>
      </c>
      <c r="CX545" s="307">
        <v>-0.374</v>
      </c>
      <c r="CY545" s="307">
        <v>-0.32400000000000001</v>
      </c>
      <c r="CZ545" s="307">
        <v>-0.34899999999999998</v>
      </c>
    </row>
    <row r="546" spans="97:104">
      <c r="CS546" s="332"/>
      <c r="CT546" s="366" t="s">
        <v>1749</v>
      </c>
      <c r="CU546" s="307" t="s">
        <v>208</v>
      </c>
      <c r="CV546" s="307" t="s">
        <v>1742</v>
      </c>
      <c r="CW546" s="366" t="s">
        <v>8</v>
      </c>
      <c r="CX546" s="307">
        <v>-0.372</v>
      </c>
      <c r="CY546" s="307">
        <v>-0.32200000000000001</v>
      </c>
      <c r="CZ546" s="307">
        <v>-0.34699999999999998</v>
      </c>
    </row>
    <row r="547" spans="97:104">
      <c r="CS547" s="332"/>
      <c r="CT547" s="366" t="s">
        <v>1750</v>
      </c>
      <c r="CU547" s="307" t="s">
        <v>208</v>
      </c>
      <c r="CV547" s="307" t="s">
        <v>1742</v>
      </c>
      <c r="CW547" s="366" t="s">
        <v>25</v>
      </c>
      <c r="CX547" s="307">
        <v>-0.373</v>
      </c>
      <c r="CY547" s="307">
        <v>-0.32300000000000001</v>
      </c>
      <c r="CZ547" s="307">
        <v>-0.34799999999999998</v>
      </c>
    </row>
    <row r="548" spans="97:104">
      <c r="CS548" s="332"/>
      <c r="CT548" s="366" t="s">
        <v>1751</v>
      </c>
      <c r="CU548" s="307" t="s">
        <v>208</v>
      </c>
      <c r="CV548" s="307" t="s">
        <v>1742</v>
      </c>
      <c r="CW548" s="366" t="s">
        <v>26</v>
      </c>
      <c r="CX548" s="307">
        <v>-0.374</v>
      </c>
      <c r="CY548" s="307">
        <v>-0.32400000000000001</v>
      </c>
      <c r="CZ548" s="307">
        <v>-0.34899999999999998</v>
      </c>
    </row>
    <row r="549" spans="97:104">
      <c r="CS549" s="332"/>
      <c r="CT549" s="366" t="s">
        <v>1752</v>
      </c>
      <c r="CU549" s="307" t="s">
        <v>208</v>
      </c>
      <c r="CV549" s="307" t="s">
        <v>1742</v>
      </c>
      <c r="CW549" s="366" t="s">
        <v>27</v>
      </c>
      <c r="CX549" s="307">
        <v>-0.376</v>
      </c>
      <c r="CY549" s="307">
        <v>-0.32600000000000001</v>
      </c>
      <c r="CZ549" s="307">
        <v>-0.35099999999999998</v>
      </c>
    </row>
    <row r="550" spans="97:104">
      <c r="CS550" s="332"/>
      <c r="CT550" s="366" t="s">
        <v>1753</v>
      </c>
      <c r="CU550" s="307" t="s">
        <v>208</v>
      </c>
      <c r="CV550" s="307" t="s">
        <v>1742</v>
      </c>
      <c r="CW550" s="366" t="s">
        <v>28</v>
      </c>
      <c r="CX550" s="307">
        <v>-0.377</v>
      </c>
      <c r="CY550" s="307">
        <v>-0.32700000000000001</v>
      </c>
      <c r="CZ550" s="307">
        <v>-0.35199999999999998</v>
      </c>
    </row>
    <row r="551" spans="97:104">
      <c r="CS551" s="332"/>
      <c r="CT551" s="366" t="s">
        <v>1754</v>
      </c>
      <c r="CU551" s="307" t="s">
        <v>208</v>
      </c>
      <c r="CV551" s="307" t="s">
        <v>1742</v>
      </c>
      <c r="CW551" s="366" t="s">
        <v>29</v>
      </c>
      <c r="CX551" s="307">
        <v>-0.378</v>
      </c>
      <c r="CY551" s="307">
        <v>-0.32800000000000001</v>
      </c>
      <c r="CZ551" s="307">
        <v>-0.35299999999999998</v>
      </c>
    </row>
    <row r="552" spans="97:104">
      <c r="CS552" s="332"/>
      <c r="CT552" s="366" t="s">
        <v>1755</v>
      </c>
      <c r="CU552" s="307" t="s">
        <v>208</v>
      </c>
      <c r="CV552" s="307" t="s">
        <v>1742</v>
      </c>
      <c r="CW552" s="366" t="s">
        <v>30</v>
      </c>
      <c r="CX552" s="307">
        <v>-0.378</v>
      </c>
      <c r="CY552" s="307">
        <v>-0.32800000000000001</v>
      </c>
      <c r="CZ552" s="307">
        <v>-0.35299999999999998</v>
      </c>
    </row>
    <row r="553" spans="97:104">
      <c r="CS553" s="332"/>
      <c r="CT553" s="366" t="s">
        <v>1756</v>
      </c>
      <c r="CU553" s="307" t="s">
        <v>208</v>
      </c>
      <c r="CV553" s="307" t="s">
        <v>1742</v>
      </c>
      <c r="CW553" s="366" t="s">
        <v>49</v>
      </c>
      <c r="CX553" s="307">
        <v>-0.379</v>
      </c>
      <c r="CY553" s="307">
        <v>-0.32900000000000001</v>
      </c>
      <c r="CZ553" s="307">
        <v>-0.35399999999999998</v>
      </c>
    </row>
    <row r="554" spans="97:104">
      <c r="CS554" s="332"/>
      <c r="CT554" s="366" t="s">
        <v>1757</v>
      </c>
      <c r="CU554" s="307" t="s">
        <v>208</v>
      </c>
      <c r="CV554" s="307" t="s">
        <v>1742</v>
      </c>
      <c r="CW554" s="366" t="s">
        <v>10</v>
      </c>
      <c r="CX554" s="307">
        <v>-6.0999999999999999E-2</v>
      </c>
      <c r="CY554" s="307">
        <v>-6.0999999999999999E-2</v>
      </c>
      <c r="CZ554" s="307">
        <v>-6.0999999999999999E-2</v>
      </c>
    </row>
    <row r="555" spans="97:104">
      <c r="CS555" s="332"/>
      <c r="CT555" s="366" t="s">
        <v>1758</v>
      </c>
      <c r="CU555" s="307" t="s">
        <v>208</v>
      </c>
      <c r="CV555" s="307" t="s">
        <v>1742</v>
      </c>
      <c r="CW555" s="366" t="s">
        <v>11</v>
      </c>
      <c r="CX555" s="307">
        <v>2.8000000000000001E-2</v>
      </c>
      <c r="CY555" s="307">
        <v>2.8000000000000001E-2</v>
      </c>
      <c r="CZ555" s="307">
        <v>2.8000000000000001E-2</v>
      </c>
    </row>
    <row r="556" spans="97:104">
      <c r="CS556" s="332"/>
      <c r="CT556" s="366" t="s">
        <v>1759</v>
      </c>
      <c r="CU556" s="307" t="s">
        <v>208</v>
      </c>
      <c r="CV556" s="307" t="s">
        <v>1742</v>
      </c>
      <c r="CW556" s="366" t="s">
        <v>12</v>
      </c>
      <c r="CX556" s="307">
        <v>0.13200000000000001</v>
      </c>
      <c r="CY556" s="307">
        <v>0.13200000000000001</v>
      </c>
      <c r="CZ556" s="307">
        <v>0.13200000000000001</v>
      </c>
    </row>
    <row r="557" spans="97:104">
      <c r="CS557" s="332"/>
      <c r="CT557" s="366" t="s">
        <v>1760</v>
      </c>
      <c r="CU557" s="307" t="s">
        <v>208</v>
      </c>
      <c r="CV557" s="307" t="s">
        <v>1742</v>
      </c>
      <c r="CW557" s="366" t="s">
        <v>13</v>
      </c>
      <c r="CX557" s="307">
        <v>0.24199999999999999</v>
      </c>
      <c r="CY557" s="307">
        <v>0.24199999999999999</v>
      </c>
      <c r="CZ557" s="307">
        <v>0.24199999999999999</v>
      </c>
    </row>
    <row r="558" spans="97:104">
      <c r="CS558" s="332"/>
      <c r="CT558" s="366" t="s">
        <v>1761</v>
      </c>
      <c r="CU558" s="307" t="s">
        <v>208</v>
      </c>
      <c r="CV558" s="307" t="s">
        <v>1742</v>
      </c>
      <c r="CW558" s="366" t="s">
        <v>14</v>
      </c>
      <c r="CX558" s="307">
        <v>0.35499999999999998</v>
      </c>
      <c r="CY558" s="307">
        <v>0.35499999999999998</v>
      </c>
      <c r="CZ558" s="307">
        <v>0.35499999999999998</v>
      </c>
    </row>
    <row r="559" spans="97:104">
      <c r="CS559" s="332"/>
      <c r="CT559" s="366" t="s">
        <v>1762</v>
      </c>
      <c r="CU559" s="307" t="s">
        <v>208</v>
      </c>
      <c r="CV559" s="307" t="s">
        <v>1742</v>
      </c>
      <c r="CW559" s="366" t="s">
        <v>15</v>
      </c>
      <c r="CX559" s="307">
        <v>0.46700000000000003</v>
      </c>
      <c r="CY559" s="307">
        <v>0.46700000000000003</v>
      </c>
      <c r="CZ559" s="307">
        <v>0.46700000000000003</v>
      </c>
    </row>
    <row r="560" spans="97:104">
      <c r="CS560" s="332"/>
      <c r="CT560" s="366" t="s">
        <v>1763</v>
      </c>
      <c r="CU560" s="307" t="s">
        <v>208</v>
      </c>
      <c r="CV560" s="307" t="s">
        <v>1742</v>
      </c>
      <c r="CW560" s="366" t="s">
        <v>16</v>
      </c>
      <c r="CX560" s="307">
        <v>0.57399999999999995</v>
      </c>
      <c r="CY560" s="307">
        <v>0.57399999999999995</v>
      </c>
      <c r="CZ560" s="307">
        <v>0.57399999999999995</v>
      </c>
    </row>
    <row r="561" spans="97:104">
      <c r="CS561" s="332"/>
      <c r="CT561" s="366" t="s">
        <v>1764</v>
      </c>
      <c r="CU561" s="307" t="s">
        <v>208</v>
      </c>
      <c r="CV561" s="307" t="s">
        <v>1742</v>
      </c>
      <c r="CW561" s="366" t="s">
        <v>17</v>
      </c>
      <c r="CX561" s="307">
        <v>0.67100000000000004</v>
      </c>
      <c r="CY561" s="307">
        <v>0.67100000000000004</v>
      </c>
      <c r="CZ561" s="307">
        <v>0.67100000000000004</v>
      </c>
    </row>
    <row r="562" spans="97:104">
      <c r="CS562" s="332"/>
      <c r="CT562" s="366" t="s">
        <v>1765</v>
      </c>
      <c r="CU562" s="307" t="s">
        <v>208</v>
      </c>
      <c r="CV562" s="307" t="s">
        <v>1742</v>
      </c>
      <c r="CW562" s="366" t="s">
        <v>31</v>
      </c>
      <c r="CX562" s="307">
        <v>0.75775925600000005</v>
      </c>
      <c r="CY562" s="307">
        <v>0.75775925600000005</v>
      </c>
      <c r="CZ562" s="307">
        <v>0.75775925600000005</v>
      </c>
    </row>
    <row r="563" spans="97:104">
      <c r="CS563" s="332"/>
      <c r="CT563" s="366" t="s">
        <v>1766</v>
      </c>
      <c r="CU563" s="307" t="s">
        <v>208</v>
      </c>
      <c r="CV563" s="307" t="s">
        <v>1742</v>
      </c>
      <c r="CW563" s="366" t="s">
        <v>18</v>
      </c>
      <c r="CX563" s="307">
        <v>0.83499999999999996</v>
      </c>
      <c r="CY563" s="307">
        <v>0.83499999999999996</v>
      </c>
      <c r="CZ563" s="307">
        <v>0.83499999999999996</v>
      </c>
    </row>
    <row r="564" spans="97:104">
      <c r="CS564" s="332"/>
      <c r="CT564" s="366" t="s">
        <v>1767</v>
      </c>
      <c r="CU564" s="307" t="s">
        <v>208</v>
      </c>
      <c r="CV564" s="307" t="s">
        <v>1742</v>
      </c>
      <c r="CW564" s="366" t="s">
        <v>32</v>
      </c>
      <c r="CX564" s="307">
        <v>0.901469878</v>
      </c>
      <c r="CY564" s="307">
        <v>0.901469878</v>
      </c>
      <c r="CZ564" s="307">
        <v>0.901469878</v>
      </c>
    </row>
    <row r="565" spans="97:104">
      <c r="CS565" s="332"/>
      <c r="CT565" s="366" t="s">
        <v>1768</v>
      </c>
      <c r="CU565" s="307" t="s">
        <v>208</v>
      </c>
      <c r="CV565" s="307" t="s">
        <v>1742</v>
      </c>
      <c r="CW565" s="366" t="s">
        <v>33</v>
      </c>
      <c r="CX565" s="307">
        <v>0.95791295300000001</v>
      </c>
      <c r="CY565" s="307">
        <v>0.95791295300000001</v>
      </c>
      <c r="CZ565" s="307">
        <v>0.95791295300000001</v>
      </c>
    </row>
    <row r="566" spans="97:104">
      <c r="CS566" s="332"/>
      <c r="CT566" s="366" t="s">
        <v>1769</v>
      </c>
      <c r="CU566" s="307" t="s">
        <v>208</v>
      </c>
      <c r="CV566" s="307" t="s">
        <v>1742</v>
      </c>
      <c r="CW566" s="366" t="s">
        <v>19</v>
      </c>
      <c r="CX566" s="307">
        <v>1.0049999999999999</v>
      </c>
      <c r="CY566" s="307">
        <v>1.0049999999999999</v>
      </c>
      <c r="CZ566" s="307">
        <v>1.0049999999999999</v>
      </c>
    </row>
    <row r="567" spans="97:104">
      <c r="CS567" s="332"/>
      <c r="CT567" s="366" t="s">
        <v>1770</v>
      </c>
      <c r="CU567" s="307" t="s">
        <v>208</v>
      </c>
      <c r="CV567" s="307" t="s">
        <v>1742</v>
      </c>
      <c r="CW567" s="366" t="s">
        <v>34</v>
      </c>
      <c r="CX567" s="307">
        <v>1.0438079309999999</v>
      </c>
      <c r="CY567" s="307">
        <v>1.0438079309999999</v>
      </c>
      <c r="CZ567" s="307">
        <v>1.0438079309999999</v>
      </c>
    </row>
    <row r="568" spans="97:104">
      <c r="CS568" s="332"/>
      <c r="CT568" s="366" t="s">
        <v>1771</v>
      </c>
      <c r="CU568" s="307" t="s">
        <v>208</v>
      </c>
      <c r="CV568" s="307" t="s">
        <v>1742</v>
      </c>
      <c r="CW568" s="366" t="s">
        <v>35</v>
      </c>
      <c r="CX568" s="307">
        <v>1.0748230969999999</v>
      </c>
      <c r="CY568" s="307">
        <v>1.0748230969999999</v>
      </c>
      <c r="CZ568" s="307">
        <v>1.0748230969999999</v>
      </c>
    </row>
    <row r="569" spans="97:104">
      <c r="CS569" s="332"/>
      <c r="CT569" s="366" t="s">
        <v>1772</v>
      </c>
      <c r="CU569" s="307" t="s">
        <v>208</v>
      </c>
      <c r="CV569" s="307" t="s">
        <v>1742</v>
      </c>
      <c r="CW569" s="366" t="s">
        <v>36</v>
      </c>
      <c r="CX569" s="307">
        <v>1.099791722</v>
      </c>
      <c r="CY569" s="307">
        <v>1.099791722</v>
      </c>
      <c r="CZ569" s="307">
        <v>1.099791722</v>
      </c>
    </row>
    <row r="570" spans="97:104">
      <c r="CS570" s="332"/>
      <c r="CT570" s="366" t="s">
        <v>1773</v>
      </c>
      <c r="CU570" s="307" t="s">
        <v>208</v>
      </c>
      <c r="CV570" s="307" t="s">
        <v>1742</v>
      </c>
      <c r="CW570" s="366" t="s">
        <v>37</v>
      </c>
      <c r="CX570" s="307">
        <v>1.1195473650000001</v>
      </c>
      <c r="CY570" s="307">
        <v>1.1195473650000001</v>
      </c>
      <c r="CZ570" s="307">
        <v>1.1195473650000001</v>
      </c>
    </row>
    <row r="571" spans="97:104">
      <c r="CS571" s="332"/>
      <c r="CT571" s="366" t="s">
        <v>1774</v>
      </c>
      <c r="CU571" s="307" t="s">
        <v>208</v>
      </c>
      <c r="CV571" s="307" t="s">
        <v>1742</v>
      </c>
      <c r="CW571" s="366" t="s">
        <v>20</v>
      </c>
      <c r="CX571" s="307">
        <v>1.135</v>
      </c>
      <c r="CY571" s="307">
        <v>1.135</v>
      </c>
      <c r="CZ571" s="307">
        <v>1.135</v>
      </c>
    </row>
    <row r="572" spans="97:104">
      <c r="CS572" s="332"/>
      <c r="CT572" s="366" t="s">
        <v>1775</v>
      </c>
      <c r="CU572" s="307" t="s">
        <v>208</v>
      </c>
      <c r="CV572" s="307" t="s">
        <v>1742</v>
      </c>
      <c r="CW572" s="366" t="s">
        <v>38</v>
      </c>
      <c r="CX572" s="307">
        <v>1.1465149459999999</v>
      </c>
      <c r="CY572" s="307">
        <v>1.1465149459999999</v>
      </c>
      <c r="CZ572" s="307">
        <v>1.1465149459999999</v>
      </c>
    </row>
    <row r="573" spans="97:104">
      <c r="CS573" s="332"/>
      <c r="CT573" s="366" t="s">
        <v>1776</v>
      </c>
      <c r="CU573" s="307" t="s">
        <v>208</v>
      </c>
      <c r="CV573" s="307" t="s">
        <v>1742</v>
      </c>
      <c r="CW573" s="366" t="s">
        <v>39</v>
      </c>
      <c r="CX573" s="307">
        <v>1.1549966599999999</v>
      </c>
      <c r="CY573" s="307">
        <v>1.1549966599999999</v>
      </c>
      <c r="CZ573" s="307">
        <v>1.1549966599999999</v>
      </c>
    </row>
    <row r="574" spans="97:104">
      <c r="CS574" s="332"/>
      <c r="CT574" s="366" t="s">
        <v>1777</v>
      </c>
      <c r="CU574" s="307" t="s">
        <v>208</v>
      </c>
      <c r="CV574" s="307" t="s">
        <v>1742</v>
      </c>
      <c r="CW574" s="366" t="s">
        <v>40</v>
      </c>
      <c r="CX574" s="307">
        <v>1.161313571</v>
      </c>
      <c r="CY574" s="307">
        <v>1.161313571</v>
      </c>
      <c r="CZ574" s="307">
        <v>1.161313571</v>
      </c>
    </row>
    <row r="575" spans="97:104">
      <c r="CS575" s="332"/>
      <c r="CT575" s="366" t="s">
        <v>1778</v>
      </c>
      <c r="CU575" s="307" t="s">
        <v>208</v>
      </c>
      <c r="CV575" s="307" t="s">
        <v>1742</v>
      </c>
      <c r="CW575" s="366" t="s">
        <v>41</v>
      </c>
      <c r="CX575" s="307">
        <v>1.166230731</v>
      </c>
      <c r="CY575" s="307">
        <v>1.166230731</v>
      </c>
      <c r="CZ575" s="307">
        <v>1.166230731</v>
      </c>
    </row>
    <row r="576" spans="97:104">
      <c r="CS576" s="332"/>
      <c r="CT576" s="366" t="s">
        <v>1779</v>
      </c>
      <c r="CU576" s="307" t="s">
        <v>208</v>
      </c>
      <c r="CV576" s="307" t="s">
        <v>1742</v>
      </c>
      <c r="CW576" s="366" t="s">
        <v>21</v>
      </c>
      <c r="CX576" s="307">
        <v>1.17</v>
      </c>
      <c r="CY576" s="307">
        <v>1.17</v>
      </c>
      <c r="CZ576" s="307">
        <v>1.17</v>
      </c>
    </row>
    <row r="577" spans="97:104">
      <c r="CS577" s="332"/>
      <c r="CT577" s="366" t="s">
        <v>1780</v>
      </c>
      <c r="CU577" s="307" t="s">
        <v>208</v>
      </c>
      <c r="CV577" s="307" t="s">
        <v>1742</v>
      </c>
      <c r="CW577" s="366" t="s">
        <v>42</v>
      </c>
      <c r="CX577" s="307">
        <v>1.173130225</v>
      </c>
      <c r="CY577" s="307">
        <v>1.173130225</v>
      </c>
      <c r="CZ577" s="307">
        <v>1.173130225</v>
      </c>
    </row>
    <row r="578" spans="97:104">
      <c r="CS578" s="332"/>
      <c r="CT578" s="366" t="s">
        <v>1781</v>
      </c>
      <c r="CU578" s="307" t="s">
        <v>208</v>
      </c>
      <c r="CV578" s="307" t="s">
        <v>1742</v>
      </c>
      <c r="CW578" s="366" t="s">
        <v>43</v>
      </c>
      <c r="CX578" s="307">
        <v>1.175699206</v>
      </c>
      <c r="CY578" s="307">
        <v>1.175699206</v>
      </c>
      <c r="CZ578" s="307">
        <v>1.175699206</v>
      </c>
    </row>
    <row r="579" spans="97:104">
      <c r="CS579" s="332"/>
      <c r="CT579" s="366" t="s">
        <v>1782</v>
      </c>
      <c r="CU579" s="307" t="s">
        <v>208</v>
      </c>
      <c r="CV579" s="307" t="s">
        <v>1742</v>
      </c>
      <c r="CW579" s="366" t="s">
        <v>44</v>
      </c>
      <c r="CX579" s="307">
        <v>1.177772373</v>
      </c>
      <c r="CY579" s="307">
        <v>1.177772373</v>
      </c>
      <c r="CZ579" s="307">
        <v>1.177772373</v>
      </c>
    </row>
    <row r="580" spans="97:104">
      <c r="CS580" s="332"/>
      <c r="CT580" s="366" t="s">
        <v>1783</v>
      </c>
      <c r="CU580" s="307" t="s">
        <v>208</v>
      </c>
      <c r="CV580" s="307" t="s">
        <v>1742</v>
      </c>
      <c r="CW580" s="366" t="s">
        <v>45</v>
      </c>
      <c r="CX580" s="307">
        <v>1.1791747800000001</v>
      </c>
      <c r="CY580" s="307">
        <v>1.1791747800000001</v>
      </c>
      <c r="CZ580" s="307">
        <v>1.1791747800000001</v>
      </c>
    </row>
    <row r="581" spans="97:104">
      <c r="CS581" s="332"/>
      <c r="CT581" s="366" t="s">
        <v>1784</v>
      </c>
      <c r="CU581" s="307" t="s">
        <v>208</v>
      </c>
      <c r="CV581" s="307" t="s">
        <v>1742</v>
      </c>
      <c r="CW581" s="366" t="s">
        <v>22</v>
      </c>
      <c r="CX581" s="307">
        <v>1.18</v>
      </c>
      <c r="CY581" s="307">
        <v>1.18</v>
      </c>
      <c r="CZ581" s="307">
        <v>1.18</v>
      </c>
    </row>
    <row r="582" spans="97:104">
      <c r="CS582" s="332"/>
      <c r="CT582" s="366" t="s">
        <v>1785</v>
      </c>
      <c r="CU582" s="307" t="s">
        <v>208</v>
      </c>
      <c r="CV582" s="307" t="s">
        <v>1742</v>
      </c>
      <c r="CW582" s="366" t="s">
        <v>46</v>
      </c>
      <c r="CX582" s="307">
        <v>1.165</v>
      </c>
      <c r="CY582" s="307">
        <v>1.165</v>
      </c>
      <c r="CZ582" s="307">
        <v>1.165</v>
      </c>
    </row>
    <row r="583" spans="97:104">
      <c r="CS583" s="332"/>
      <c r="CT583" s="366" t="s">
        <v>1786</v>
      </c>
      <c r="CU583" s="307" t="s">
        <v>208</v>
      </c>
      <c r="CV583" s="307" t="s">
        <v>1742</v>
      </c>
      <c r="CW583" s="366" t="s">
        <v>47</v>
      </c>
      <c r="CX583" s="307">
        <v>1.111</v>
      </c>
      <c r="CY583" s="307">
        <v>1.111</v>
      </c>
      <c r="CZ583" s="307">
        <v>1.111</v>
      </c>
    </row>
    <row r="584" spans="97:104">
      <c r="CS584" s="332"/>
      <c r="CT584" s="366" t="s">
        <v>1787</v>
      </c>
      <c r="CU584" s="307" t="s">
        <v>208</v>
      </c>
      <c r="CV584" s="307" t="s">
        <v>1742</v>
      </c>
      <c r="CW584" s="366" t="s">
        <v>48</v>
      </c>
      <c r="CX584" s="307">
        <v>1.0760000000000001</v>
      </c>
      <c r="CY584" s="307">
        <v>1.0760000000000001</v>
      </c>
      <c r="CZ584" s="307">
        <v>1.0760000000000001</v>
      </c>
    </row>
    <row r="585" spans="97:104">
      <c r="CS585" s="332"/>
      <c r="CT585" s="366" t="s">
        <v>1788</v>
      </c>
      <c r="CU585" s="307" t="s">
        <v>208</v>
      </c>
      <c r="CV585" s="307" t="s">
        <v>1789</v>
      </c>
      <c r="CW585" s="366" t="s">
        <v>3</v>
      </c>
      <c r="CX585" s="307">
        <v>0.56899999999999995</v>
      </c>
      <c r="CY585" s="307">
        <v>0.56899999999999995</v>
      </c>
      <c r="CZ585" s="307">
        <v>0.56899999999999995</v>
      </c>
    </row>
    <row r="586" spans="97:104">
      <c r="CS586" s="332"/>
      <c r="CT586" s="366" t="s">
        <v>1790</v>
      </c>
      <c r="CU586" s="307" t="s">
        <v>208</v>
      </c>
      <c r="CV586" s="307" t="s">
        <v>1789</v>
      </c>
      <c r="CW586" s="366" t="s">
        <v>4</v>
      </c>
      <c r="CX586" s="307">
        <v>-0.37</v>
      </c>
      <c r="CY586" s="307">
        <v>-0.37</v>
      </c>
      <c r="CZ586" s="307">
        <v>-0.37</v>
      </c>
    </row>
    <row r="587" spans="97:104">
      <c r="CS587" s="332"/>
      <c r="CT587" s="366" t="s">
        <v>1791</v>
      </c>
      <c r="CU587" s="307" t="s">
        <v>208</v>
      </c>
      <c r="CV587" s="307" t="s">
        <v>1789</v>
      </c>
      <c r="CW587" s="366" t="s">
        <v>23</v>
      </c>
      <c r="CX587" s="307">
        <v>-0.37</v>
      </c>
      <c r="CY587" s="307">
        <v>-0.37</v>
      </c>
      <c r="CZ587" s="307">
        <v>-0.37</v>
      </c>
    </row>
    <row r="588" spans="97:104">
      <c r="CS588" s="332"/>
      <c r="CT588" s="366" t="s">
        <v>1792</v>
      </c>
      <c r="CU588" s="307" t="s">
        <v>208</v>
      </c>
      <c r="CV588" s="307" t="s">
        <v>1789</v>
      </c>
      <c r="CW588" s="366" t="s">
        <v>5</v>
      </c>
      <c r="CX588" s="307">
        <v>-0.39900000000000002</v>
      </c>
      <c r="CY588" s="307">
        <v>-0.29899999999999999</v>
      </c>
      <c r="CZ588" s="307">
        <v>-0.34899999999999998</v>
      </c>
    </row>
    <row r="589" spans="97:104">
      <c r="CS589" s="332"/>
      <c r="CT589" s="366" t="s">
        <v>1793</v>
      </c>
      <c r="CU589" s="307" t="s">
        <v>208</v>
      </c>
      <c r="CV589" s="307" t="s">
        <v>1789</v>
      </c>
      <c r="CW589" s="366" t="s">
        <v>6</v>
      </c>
      <c r="CX589" s="307">
        <v>-0.39700000000000002</v>
      </c>
      <c r="CY589" s="307">
        <v>-0.29699999999999999</v>
      </c>
      <c r="CZ589" s="307">
        <v>-0.34699999999999998</v>
      </c>
    </row>
    <row r="590" spans="97:104">
      <c r="CS590" s="332"/>
      <c r="CT590" s="366" t="s">
        <v>1794</v>
      </c>
      <c r="CU590" s="307" t="s">
        <v>208</v>
      </c>
      <c r="CV590" s="307" t="s">
        <v>1789</v>
      </c>
      <c r="CW590" s="366" t="s">
        <v>24</v>
      </c>
      <c r="CX590" s="307">
        <v>-0.39800000000000002</v>
      </c>
      <c r="CY590" s="307">
        <v>-0.29799999999999999</v>
      </c>
      <c r="CZ590" s="307">
        <v>-0.34799999999999998</v>
      </c>
    </row>
    <row r="591" spans="97:104">
      <c r="CS591" s="332"/>
      <c r="CT591" s="366" t="s">
        <v>1795</v>
      </c>
      <c r="CU591" s="307" t="s">
        <v>208</v>
      </c>
      <c r="CV591" s="307" t="s">
        <v>1789</v>
      </c>
      <c r="CW591" s="366" t="s">
        <v>7</v>
      </c>
      <c r="CX591" s="307">
        <v>-0.374</v>
      </c>
      <c r="CY591" s="307">
        <v>-0.32400000000000001</v>
      </c>
      <c r="CZ591" s="307">
        <v>-0.34899999999999998</v>
      </c>
    </row>
    <row r="592" spans="97:104">
      <c r="CS592" s="332"/>
      <c r="CT592" s="366" t="s">
        <v>1796</v>
      </c>
      <c r="CU592" s="307" t="s">
        <v>208</v>
      </c>
      <c r="CV592" s="307" t="s">
        <v>1789</v>
      </c>
      <c r="CW592" s="366" t="s">
        <v>8</v>
      </c>
      <c r="CX592" s="307">
        <v>-0.372</v>
      </c>
      <c r="CY592" s="307">
        <v>-0.32200000000000001</v>
      </c>
      <c r="CZ592" s="307">
        <v>-0.34699999999999998</v>
      </c>
    </row>
    <row r="593" spans="97:104">
      <c r="CS593" s="332"/>
      <c r="CT593" s="366" t="s">
        <v>1797</v>
      </c>
      <c r="CU593" s="307" t="s">
        <v>208</v>
      </c>
      <c r="CV593" s="307" t="s">
        <v>1789</v>
      </c>
      <c r="CW593" s="366" t="s">
        <v>25</v>
      </c>
      <c r="CX593" s="307">
        <v>-0.373</v>
      </c>
      <c r="CY593" s="307">
        <v>-0.32300000000000001</v>
      </c>
      <c r="CZ593" s="307">
        <v>-0.34799999999999998</v>
      </c>
    </row>
    <row r="594" spans="97:104">
      <c r="CS594" s="332"/>
      <c r="CT594" s="366" t="s">
        <v>1798</v>
      </c>
      <c r="CU594" s="307" t="s">
        <v>208</v>
      </c>
      <c r="CV594" s="307" t="s">
        <v>1789</v>
      </c>
      <c r="CW594" s="366" t="s">
        <v>26</v>
      </c>
      <c r="CX594" s="307">
        <v>-0.374</v>
      </c>
      <c r="CY594" s="307">
        <v>-0.32400000000000001</v>
      </c>
      <c r="CZ594" s="307">
        <v>-0.34899999999999998</v>
      </c>
    </row>
    <row r="595" spans="97:104">
      <c r="CS595" s="332"/>
      <c r="CT595" s="366" t="s">
        <v>1799</v>
      </c>
      <c r="CU595" s="307" t="s">
        <v>208</v>
      </c>
      <c r="CV595" s="307" t="s">
        <v>1789</v>
      </c>
      <c r="CW595" s="366" t="s">
        <v>27</v>
      </c>
      <c r="CX595" s="307">
        <v>-0.376</v>
      </c>
      <c r="CY595" s="307">
        <v>-0.32600000000000001</v>
      </c>
      <c r="CZ595" s="307">
        <v>-0.35099999999999998</v>
      </c>
    </row>
    <row r="596" spans="97:104">
      <c r="CS596" s="332"/>
      <c r="CT596" s="366" t="s">
        <v>1800</v>
      </c>
      <c r="CU596" s="307" t="s">
        <v>208</v>
      </c>
      <c r="CV596" s="307" t="s">
        <v>1789</v>
      </c>
      <c r="CW596" s="366" t="s">
        <v>28</v>
      </c>
      <c r="CX596" s="307">
        <v>-0.377</v>
      </c>
      <c r="CY596" s="307">
        <v>-0.32700000000000001</v>
      </c>
      <c r="CZ596" s="307">
        <v>-0.35199999999999998</v>
      </c>
    </row>
    <row r="597" spans="97:104">
      <c r="CS597" s="332"/>
      <c r="CT597" s="366" t="s">
        <v>1801</v>
      </c>
      <c r="CU597" s="307" t="s">
        <v>208</v>
      </c>
      <c r="CV597" s="307" t="s">
        <v>1789</v>
      </c>
      <c r="CW597" s="366" t="s">
        <v>29</v>
      </c>
      <c r="CX597" s="307">
        <v>-0.378</v>
      </c>
      <c r="CY597" s="307">
        <v>-0.32800000000000001</v>
      </c>
      <c r="CZ597" s="307">
        <v>-0.35299999999999998</v>
      </c>
    </row>
    <row r="598" spans="97:104">
      <c r="CS598" s="332"/>
      <c r="CT598" s="366" t="s">
        <v>1802</v>
      </c>
      <c r="CU598" s="307" t="s">
        <v>208</v>
      </c>
      <c r="CV598" s="307" t="s">
        <v>1789</v>
      </c>
      <c r="CW598" s="366" t="s">
        <v>30</v>
      </c>
      <c r="CX598" s="307">
        <v>-0.378</v>
      </c>
      <c r="CY598" s="307">
        <v>-0.32800000000000001</v>
      </c>
      <c r="CZ598" s="307">
        <v>-0.35299999999999998</v>
      </c>
    </row>
    <row r="599" spans="97:104">
      <c r="CS599" s="332"/>
      <c r="CT599" s="366" t="s">
        <v>1803</v>
      </c>
      <c r="CU599" s="307" t="s">
        <v>208</v>
      </c>
      <c r="CV599" s="307" t="s">
        <v>1789</v>
      </c>
      <c r="CW599" s="366" t="s">
        <v>49</v>
      </c>
      <c r="CX599" s="307">
        <v>-0.379</v>
      </c>
      <c r="CY599" s="307">
        <v>-0.32900000000000001</v>
      </c>
      <c r="CZ599" s="307">
        <v>-0.35399999999999998</v>
      </c>
    </row>
    <row r="600" spans="97:104">
      <c r="CS600" s="332"/>
      <c r="CT600" s="366" t="s">
        <v>1804</v>
      </c>
      <c r="CU600" s="307" t="s">
        <v>208</v>
      </c>
      <c r="CV600" s="307" t="s">
        <v>1789</v>
      </c>
      <c r="CW600" s="366" t="s">
        <v>10</v>
      </c>
      <c r="CX600" s="307">
        <v>-6.0999999999999999E-2</v>
      </c>
      <c r="CY600" s="307">
        <v>-6.0999999999999999E-2</v>
      </c>
      <c r="CZ600" s="307">
        <v>-6.0999999999999999E-2</v>
      </c>
    </row>
    <row r="601" spans="97:104">
      <c r="CS601" s="332"/>
      <c r="CT601" s="366" t="s">
        <v>1805</v>
      </c>
      <c r="CU601" s="307" t="s">
        <v>208</v>
      </c>
      <c r="CV601" s="307" t="s">
        <v>1789</v>
      </c>
      <c r="CW601" s="366" t="s">
        <v>11</v>
      </c>
      <c r="CX601" s="307">
        <v>2.8000000000000001E-2</v>
      </c>
      <c r="CY601" s="307">
        <v>2.8000000000000001E-2</v>
      </c>
      <c r="CZ601" s="307">
        <v>2.8000000000000001E-2</v>
      </c>
    </row>
    <row r="602" spans="97:104">
      <c r="CS602" s="332"/>
      <c r="CT602" s="366" t="s">
        <v>1806</v>
      </c>
      <c r="CU602" s="307" t="s">
        <v>208</v>
      </c>
      <c r="CV602" s="307" t="s">
        <v>1789</v>
      </c>
      <c r="CW602" s="366" t="s">
        <v>12</v>
      </c>
      <c r="CX602" s="307">
        <v>0.13200000000000001</v>
      </c>
      <c r="CY602" s="307">
        <v>0.13200000000000001</v>
      </c>
      <c r="CZ602" s="307">
        <v>0.13200000000000001</v>
      </c>
    </row>
    <row r="603" spans="97:104">
      <c r="CS603" s="332"/>
      <c r="CT603" s="366" t="s">
        <v>1807</v>
      </c>
      <c r="CU603" s="307" t="s">
        <v>208</v>
      </c>
      <c r="CV603" s="307" t="s">
        <v>1789</v>
      </c>
      <c r="CW603" s="366" t="s">
        <v>13</v>
      </c>
      <c r="CX603" s="307">
        <v>0.24199999999999999</v>
      </c>
      <c r="CY603" s="307">
        <v>0.24199999999999999</v>
      </c>
      <c r="CZ603" s="307">
        <v>0.24199999999999999</v>
      </c>
    </row>
    <row r="604" spans="97:104">
      <c r="CS604" s="332"/>
      <c r="CT604" s="366" t="s">
        <v>1808</v>
      </c>
      <c r="CU604" s="307" t="s">
        <v>208</v>
      </c>
      <c r="CV604" s="307" t="s">
        <v>1789</v>
      </c>
      <c r="CW604" s="366" t="s">
        <v>14</v>
      </c>
      <c r="CX604" s="307">
        <v>0.35499999999999998</v>
      </c>
      <c r="CY604" s="307">
        <v>0.35499999999999998</v>
      </c>
      <c r="CZ604" s="307">
        <v>0.35499999999999998</v>
      </c>
    </row>
    <row r="605" spans="97:104">
      <c r="CS605" s="332"/>
      <c r="CT605" s="366" t="s">
        <v>1809</v>
      </c>
      <c r="CU605" s="307" t="s">
        <v>208</v>
      </c>
      <c r="CV605" s="307" t="s">
        <v>1789</v>
      </c>
      <c r="CW605" s="366" t="s">
        <v>15</v>
      </c>
      <c r="CX605" s="307">
        <v>0.46700000000000003</v>
      </c>
      <c r="CY605" s="307">
        <v>0.46700000000000003</v>
      </c>
      <c r="CZ605" s="307">
        <v>0.46700000000000003</v>
      </c>
    </row>
    <row r="606" spans="97:104">
      <c r="CS606" s="332"/>
      <c r="CT606" s="366" t="s">
        <v>1810</v>
      </c>
      <c r="CU606" s="307" t="s">
        <v>208</v>
      </c>
      <c r="CV606" s="307" t="s">
        <v>1789</v>
      </c>
      <c r="CW606" s="366" t="s">
        <v>16</v>
      </c>
      <c r="CX606" s="307">
        <v>0.57399999999999995</v>
      </c>
      <c r="CY606" s="307">
        <v>0.57399999999999995</v>
      </c>
      <c r="CZ606" s="307">
        <v>0.57399999999999995</v>
      </c>
    </row>
    <row r="607" spans="97:104">
      <c r="CS607" s="332"/>
      <c r="CT607" s="366" t="s">
        <v>1811</v>
      </c>
      <c r="CU607" s="307" t="s">
        <v>208</v>
      </c>
      <c r="CV607" s="307" t="s">
        <v>1789</v>
      </c>
      <c r="CW607" s="366" t="s">
        <v>17</v>
      </c>
      <c r="CX607" s="307">
        <v>0.67100000000000004</v>
      </c>
      <c r="CY607" s="307">
        <v>0.67100000000000004</v>
      </c>
      <c r="CZ607" s="307">
        <v>0.67100000000000004</v>
      </c>
    </row>
    <row r="608" spans="97:104">
      <c r="CS608" s="332"/>
      <c r="CT608" s="366" t="s">
        <v>1812</v>
      </c>
      <c r="CU608" s="307" t="s">
        <v>208</v>
      </c>
      <c r="CV608" s="307" t="s">
        <v>1789</v>
      </c>
      <c r="CW608" s="366" t="s">
        <v>31</v>
      </c>
      <c r="CX608" s="307">
        <v>0.75775925600000005</v>
      </c>
      <c r="CY608" s="307">
        <v>0.75775925600000005</v>
      </c>
      <c r="CZ608" s="307">
        <v>0.75775925600000005</v>
      </c>
    </row>
    <row r="609" spans="97:104">
      <c r="CS609" s="332"/>
      <c r="CT609" s="366" t="s">
        <v>1813</v>
      </c>
      <c r="CU609" s="307" t="s">
        <v>208</v>
      </c>
      <c r="CV609" s="307" t="s">
        <v>1789</v>
      </c>
      <c r="CW609" s="366" t="s">
        <v>18</v>
      </c>
      <c r="CX609" s="307">
        <v>0.83499999999999996</v>
      </c>
      <c r="CY609" s="307">
        <v>0.83499999999999996</v>
      </c>
      <c r="CZ609" s="307">
        <v>0.83499999999999996</v>
      </c>
    </row>
    <row r="610" spans="97:104">
      <c r="CS610" s="332"/>
      <c r="CT610" s="366" t="s">
        <v>1814</v>
      </c>
      <c r="CU610" s="307" t="s">
        <v>208</v>
      </c>
      <c r="CV610" s="307" t="s">
        <v>1789</v>
      </c>
      <c r="CW610" s="366" t="s">
        <v>32</v>
      </c>
      <c r="CX610" s="307">
        <v>0.901469878</v>
      </c>
      <c r="CY610" s="307">
        <v>0.901469878</v>
      </c>
      <c r="CZ610" s="307">
        <v>0.901469878</v>
      </c>
    </row>
    <row r="611" spans="97:104">
      <c r="CS611" s="332"/>
      <c r="CT611" s="366" t="s">
        <v>1815</v>
      </c>
      <c r="CU611" s="307" t="s">
        <v>208</v>
      </c>
      <c r="CV611" s="307" t="s">
        <v>1789</v>
      </c>
      <c r="CW611" s="366" t="s">
        <v>33</v>
      </c>
      <c r="CX611" s="307">
        <v>0.95791295300000001</v>
      </c>
      <c r="CY611" s="307">
        <v>0.95791295300000001</v>
      </c>
      <c r="CZ611" s="307">
        <v>0.95791295300000001</v>
      </c>
    </row>
    <row r="612" spans="97:104">
      <c r="CS612" s="332"/>
      <c r="CT612" s="366" t="s">
        <v>1816</v>
      </c>
      <c r="CU612" s="307" t="s">
        <v>208</v>
      </c>
      <c r="CV612" s="307" t="s">
        <v>1789</v>
      </c>
      <c r="CW612" s="366" t="s">
        <v>19</v>
      </c>
      <c r="CX612" s="307">
        <v>1.0049999999999999</v>
      </c>
      <c r="CY612" s="307">
        <v>1.0049999999999999</v>
      </c>
      <c r="CZ612" s="307">
        <v>1.0049999999999999</v>
      </c>
    </row>
    <row r="613" spans="97:104">
      <c r="CS613" s="332"/>
      <c r="CT613" s="366" t="s">
        <v>1817</v>
      </c>
      <c r="CU613" s="307" t="s">
        <v>208</v>
      </c>
      <c r="CV613" s="307" t="s">
        <v>1789</v>
      </c>
      <c r="CW613" s="366" t="s">
        <v>34</v>
      </c>
      <c r="CX613" s="307">
        <v>1.0438079309999999</v>
      </c>
      <c r="CY613" s="307">
        <v>1.0438079309999999</v>
      </c>
      <c r="CZ613" s="307">
        <v>1.0438079309999999</v>
      </c>
    </row>
    <row r="614" spans="97:104">
      <c r="CS614" s="332"/>
      <c r="CT614" s="366" t="s">
        <v>1818</v>
      </c>
      <c r="CU614" s="307" t="s">
        <v>208</v>
      </c>
      <c r="CV614" s="307" t="s">
        <v>1789</v>
      </c>
      <c r="CW614" s="366" t="s">
        <v>35</v>
      </c>
      <c r="CX614" s="307">
        <v>1.0748230969999999</v>
      </c>
      <c r="CY614" s="307">
        <v>1.0748230969999999</v>
      </c>
      <c r="CZ614" s="307">
        <v>1.0748230969999999</v>
      </c>
    </row>
    <row r="615" spans="97:104">
      <c r="CS615" s="332"/>
      <c r="CT615" s="366" t="s">
        <v>1819</v>
      </c>
      <c r="CU615" s="307" t="s">
        <v>208</v>
      </c>
      <c r="CV615" s="307" t="s">
        <v>1789</v>
      </c>
      <c r="CW615" s="366" t="s">
        <v>36</v>
      </c>
      <c r="CX615" s="307">
        <v>1.099791722</v>
      </c>
      <c r="CY615" s="307">
        <v>1.099791722</v>
      </c>
      <c r="CZ615" s="307">
        <v>1.099791722</v>
      </c>
    </row>
    <row r="616" spans="97:104">
      <c r="CS616" s="332"/>
      <c r="CT616" s="366" t="s">
        <v>1820</v>
      </c>
      <c r="CU616" s="307" t="s">
        <v>208</v>
      </c>
      <c r="CV616" s="307" t="s">
        <v>1789</v>
      </c>
      <c r="CW616" s="366" t="s">
        <v>37</v>
      </c>
      <c r="CX616" s="307">
        <v>1.1195473650000001</v>
      </c>
      <c r="CY616" s="307">
        <v>1.1195473650000001</v>
      </c>
      <c r="CZ616" s="307">
        <v>1.1195473650000001</v>
      </c>
    </row>
    <row r="617" spans="97:104">
      <c r="CS617" s="332"/>
      <c r="CT617" s="366" t="s">
        <v>1821</v>
      </c>
      <c r="CU617" s="307" t="s">
        <v>208</v>
      </c>
      <c r="CV617" s="307" t="s">
        <v>1789</v>
      </c>
      <c r="CW617" s="366" t="s">
        <v>20</v>
      </c>
      <c r="CX617" s="307">
        <v>1.135</v>
      </c>
      <c r="CY617" s="307">
        <v>1.135</v>
      </c>
      <c r="CZ617" s="307">
        <v>1.135</v>
      </c>
    </row>
    <row r="618" spans="97:104">
      <c r="CS618" s="332"/>
      <c r="CT618" s="366" t="s">
        <v>1822</v>
      </c>
      <c r="CU618" s="307" t="s">
        <v>208</v>
      </c>
      <c r="CV618" s="307" t="s">
        <v>1789</v>
      </c>
      <c r="CW618" s="366" t="s">
        <v>38</v>
      </c>
      <c r="CX618" s="307">
        <v>1.1465149459999999</v>
      </c>
      <c r="CY618" s="307">
        <v>1.1465149459999999</v>
      </c>
      <c r="CZ618" s="307">
        <v>1.1465149459999999</v>
      </c>
    </row>
    <row r="619" spans="97:104">
      <c r="CS619" s="332"/>
      <c r="CT619" s="366" t="s">
        <v>1823</v>
      </c>
      <c r="CU619" s="307" t="s">
        <v>208</v>
      </c>
      <c r="CV619" s="307" t="s">
        <v>1789</v>
      </c>
      <c r="CW619" s="366" t="s">
        <v>39</v>
      </c>
      <c r="CX619" s="307">
        <v>1.1549966599999999</v>
      </c>
      <c r="CY619" s="307">
        <v>1.1549966599999999</v>
      </c>
      <c r="CZ619" s="307">
        <v>1.1549966599999999</v>
      </c>
    </row>
    <row r="620" spans="97:104">
      <c r="CS620" s="332"/>
      <c r="CT620" s="366" t="s">
        <v>1824</v>
      </c>
      <c r="CU620" s="307" t="s">
        <v>208</v>
      </c>
      <c r="CV620" s="307" t="s">
        <v>1789</v>
      </c>
      <c r="CW620" s="366" t="s">
        <v>40</v>
      </c>
      <c r="CX620" s="307">
        <v>1.161313571</v>
      </c>
      <c r="CY620" s="307">
        <v>1.161313571</v>
      </c>
      <c r="CZ620" s="307">
        <v>1.161313571</v>
      </c>
    </row>
    <row r="621" spans="97:104">
      <c r="CS621" s="332"/>
      <c r="CT621" s="366" t="s">
        <v>1825</v>
      </c>
      <c r="CU621" s="307" t="s">
        <v>208</v>
      </c>
      <c r="CV621" s="307" t="s">
        <v>1789</v>
      </c>
      <c r="CW621" s="366" t="s">
        <v>41</v>
      </c>
      <c r="CX621" s="307">
        <v>1.166230731</v>
      </c>
      <c r="CY621" s="307">
        <v>1.166230731</v>
      </c>
      <c r="CZ621" s="307">
        <v>1.166230731</v>
      </c>
    </row>
    <row r="622" spans="97:104">
      <c r="CS622" s="332"/>
      <c r="CT622" s="366" t="s">
        <v>1826</v>
      </c>
      <c r="CU622" s="307" t="s">
        <v>208</v>
      </c>
      <c r="CV622" s="307" t="s">
        <v>1789</v>
      </c>
      <c r="CW622" s="366" t="s">
        <v>21</v>
      </c>
      <c r="CX622" s="307">
        <v>1.17</v>
      </c>
      <c r="CY622" s="307">
        <v>1.17</v>
      </c>
      <c r="CZ622" s="307">
        <v>1.17</v>
      </c>
    </row>
    <row r="623" spans="97:104">
      <c r="CS623" s="332"/>
      <c r="CT623" s="366" t="s">
        <v>1827</v>
      </c>
      <c r="CU623" s="307" t="s">
        <v>208</v>
      </c>
      <c r="CV623" s="307" t="s">
        <v>1789</v>
      </c>
      <c r="CW623" s="366" t="s">
        <v>42</v>
      </c>
      <c r="CX623" s="307">
        <v>1.173130225</v>
      </c>
      <c r="CY623" s="307">
        <v>1.173130225</v>
      </c>
      <c r="CZ623" s="307">
        <v>1.173130225</v>
      </c>
    </row>
    <row r="624" spans="97:104">
      <c r="CS624" s="332"/>
      <c r="CT624" s="366" t="s">
        <v>1828</v>
      </c>
      <c r="CU624" s="307" t="s">
        <v>208</v>
      </c>
      <c r="CV624" s="307" t="s">
        <v>1789</v>
      </c>
      <c r="CW624" s="366" t="s">
        <v>43</v>
      </c>
      <c r="CX624" s="307">
        <v>1.175699206</v>
      </c>
      <c r="CY624" s="307">
        <v>1.175699206</v>
      </c>
      <c r="CZ624" s="307">
        <v>1.175699206</v>
      </c>
    </row>
    <row r="625" spans="97:104">
      <c r="CS625" s="332"/>
      <c r="CT625" s="366" t="s">
        <v>1829</v>
      </c>
      <c r="CU625" s="307" t="s">
        <v>208</v>
      </c>
      <c r="CV625" s="307" t="s">
        <v>1789</v>
      </c>
      <c r="CW625" s="366" t="s">
        <v>44</v>
      </c>
      <c r="CX625" s="307">
        <v>1.177772373</v>
      </c>
      <c r="CY625" s="307">
        <v>1.177772373</v>
      </c>
      <c r="CZ625" s="307">
        <v>1.177772373</v>
      </c>
    </row>
    <row r="626" spans="97:104">
      <c r="CS626" s="332"/>
      <c r="CT626" s="366" t="s">
        <v>1830</v>
      </c>
      <c r="CU626" s="307" t="s">
        <v>208</v>
      </c>
      <c r="CV626" s="307" t="s">
        <v>1789</v>
      </c>
      <c r="CW626" s="366" t="s">
        <v>45</v>
      </c>
      <c r="CX626" s="307">
        <v>1.1791747800000001</v>
      </c>
      <c r="CY626" s="307">
        <v>1.1791747800000001</v>
      </c>
      <c r="CZ626" s="307">
        <v>1.1791747800000001</v>
      </c>
    </row>
    <row r="627" spans="97:104">
      <c r="CS627" s="332"/>
      <c r="CT627" s="366" t="s">
        <v>1831</v>
      </c>
      <c r="CU627" s="307" t="s">
        <v>208</v>
      </c>
      <c r="CV627" s="307" t="s">
        <v>1789</v>
      </c>
      <c r="CW627" s="366" t="s">
        <v>22</v>
      </c>
      <c r="CX627" s="307">
        <v>1.18</v>
      </c>
      <c r="CY627" s="307">
        <v>1.18</v>
      </c>
      <c r="CZ627" s="307">
        <v>1.18</v>
      </c>
    </row>
    <row r="628" spans="97:104">
      <c r="CS628" s="332"/>
      <c r="CT628" s="366" t="s">
        <v>1832</v>
      </c>
      <c r="CU628" s="307" t="s">
        <v>208</v>
      </c>
      <c r="CV628" s="307" t="s">
        <v>1789</v>
      </c>
      <c r="CW628" s="366" t="s">
        <v>46</v>
      </c>
      <c r="CX628" s="307">
        <v>1.165</v>
      </c>
      <c r="CY628" s="307">
        <v>1.165</v>
      </c>
      <c r="CZ628" s="307">
        <v>1.165</v>
      </c>
    </row>
    <row r="629" spans="97:104">
      <c r="CS629" s="332"/>
      <c r="CT629" s="366" t="s">
        <v>1833</v>
      </c>
      <c r="CU629" s="307" t="s">
        <v>208</v>
      </c>
      <c r="CV629" s="307" t="s">
        <v>1789</v>
      </c>
      <c r="CW629" s="366" t="s">
        <v>47</v>
      </c>
      <c r="CX629" s="307">
        <v>1.111</v>
      </c>
      <c r="CY629" s="307">
        <v>1.111</v>
      </c>
      <c r="CZ629" s="307">
        <v>1.111</v>
      </c>
    </row>
    <row r="630" spans="97:104">
      <c r="CS630" s="332"/>
      <c r="CT630" s="366" t="s">
        <v>1834</v>
      </c>
      <c r="CU630" s="307" t="s">
        <v>208</v>
      </c>
      <c r="CV630" s="307" t="s">
        <v>1789</v>
      </c>
      <c r="CW630" s="366" t="s">
        <v>48</v>
      </c>
      <c r="CX630" s="307">
        <v>1.0760000000000001</v>
      </c>
      <c r="CY630" s="307">
        <v>1.0760000000000001</v>
      </c>
      <c r="CZ630" s="307">
        <v>1.0760000000000001</v>
      </c>
    </row>
    <row r="631" spans="97:104">
      <c r="CS631" s="332"/>
      <c r="CT631" s="366" t="s">
        <v>1835</v>
      </c>
      <c r="CU631" s="307" t="s">
        <v>208</v>
      </c>
      <c r="CV631" s="307" t="s">
        <v>1836</v>
      </c>
      <c r="CW631" s="366" t="s">
        <v>3</v>
      </c>
      <c r="CX631" s="307">
        <v>0.56899999999999995</v>
      </c>
      <c r="CY631" s="307">
        <v>0.56899999999999995</v>
      </c>
      <c r="CZ631" s="307">
        <v>0.56899999999999995</v>
      </c>
    </row>
    <row r="632" spans="97:104">
      <c r="CS632" s="332"/>
      <c r="CT632" s="366" t="s">
        <v>1837</v>
      </c>
      <c r="CU632" s="307" t="s">
        <v>208</v>
      </c>
      <c r="CV632" s="307" t="s">
        <v>1836</v>
      </c>
      <c r="CW632" s="366" t="s">
        <v>4</v>
      </c>
      <c r="CX632" s="307">
        <v>-0.37</v>
      </c>
      <c r="CY632" s="307">
        <v>-0.37</v>
      </c>
      <c r="CZ632" s="307">
        <v>-0.37</v>
      </c>
    </row>
    <row r="633" spans="97:104">
      <c r="CS633" s="332"/>
      <c r="CT633" s="366" t="s">
        <v>1838</v>
      </c>
      <c r="CU633" s="307" t="s">
        <v>208</v>
      </c>
      <c r="CV633" s="307" t="s">
        <v>1836</v>
      </c>
      <c r="CW633" s="366" t="s">
        <v>23</v>
      </c>
      <c r="CX633" s="307">
        <v>-0.37</v>
      </c>
      <c r="CY633" s="307">
        <v>-0.37</v>
      </c>
      <c r="CZ633" s="307">
        <v>-0.37</v>
      </c>
    </row>
    <row r="634" spans="97:104">
      <c r="CS634" s="332"/>
      <c r="CT634" s="366" t="s">
        <v>1839</v>
      </c>
      <c r="CU634" s="307" t="s">
        <v>208</v>
      </c>
      <c r="CV634" s="307" t="s">
        <v>1836</v>
      </c>
      <c r="CW634" s="366" t="s">
        <v>5</v>
      </c>
      <c r="CX634" s="307">
        <v>-0.39900000000000002</v>
      </c>
      <c r="CY634" s="307">
        <v>-0.29899999999999999</v>
      </c>
      <c r="CZ634" s="307">
        <v>-0.34899999999999998</v>
      </c>
    </row>
    <row r="635" spans="97:104">
      <c r="CS635" s="332"/>
      <c r="CT635" s="366" t="s">
        <v>1840</v>
      </c>
      <c r="CU635" s="307" t="s">
        <v>208</v>
      </c>
      <c r="CV635" s="307" t="s">
        <v>1836</v>
      </c>
      <c r="CW635" s="366" t="s">
        <v>6</v>
      </c>
      <c r="CX635" s="307">
        <v>-0.39700000000000002</v>
      </c>
      <c r="CY635" s="307">
        <v>-0.29699999999999999</v>
      </c>
      <c r="CZ635" s="307">
        <v>-0.34699999999999998</v>
      </c>
    </row>
    <row r="636" spans="97:104">
      <c r="CS636" s="332"/>
      <c r="CT636" s="366" t="s">
        <v>1841</v>
      </c>
      <c r="CU636" s="307" t="s">
        <v>208</v>
      </c>
      <c r="CV636" s="307" t="s">
        <v>1836</v>
      </c>
      <c r="CW636" s="366" t="s">
        <v>24</v>
      </c>
      <c r="CX636" s="307">
        <v>-0.39800000000000002</v>
      </c>
      <c r="CY636" s="307">
        <v>-0.29799999999999999</v>
      </c>
      <c r="CZ636" s="307">
        <v>-0.34799999999999998</v>
      </c>
    </row>
    <row r="637" spans="97:104">
      <c r="CS637" s="332"/>
      <c r="CT637" s="366" t="s">
        <v>1842</v>
      </c>
      <c r="CU637" s="307" t="s">
        <v>208</v>
      </c>
      <c r="CV637" s="307" t="s">
        <v>1836</v>
      </c>
      <c r="CW637" s="366" t="s">
        <v>7</v>
      </c>
      <c r="CX637" s="307">
        <v>-0.374</v>
      </c>
      <c r="CY637" s="307">
        <v>-0.32400000000000001</v>
      </c>
      <c r="CZ637" s="307">
        <v>-0.34899999999999998</v>
      </c>
    </row>
    <row r="638" spans="97:104">
      <c r="CS638" s="332"/>
      <c r="CT638" s="366" t="s">
        <v>1843</v>
      </c>
      <c r="CU638" s="307" t="s">
        <v>208</v>
      </c>
      <c r="CV638" s="307" t="s">
        <v>1836</v>
      </c>
      <c r="CW638" s="366" t="s">
        <v>8</v>
      </c>
      <c r="CX638" s="307">
        <v>-0.372</v>
      </c>
      <c r="CY638" s="307">
        <v>-0.32200000000000001</v>
      </c>
      <c r="CZ638" s="307">
        <v>-0.34699999999999998</v>
      </c>
    </row>
    <row r="639" spans="97:104">
      <c r="CS639" s="332"/>
      <c r="CT639" s="366" t="s">
        <v>1844</v>
      </c>
      <c r="CU639" s="307" t="s">
        <v>208</v>
      </c>
      <c r="CV639" s="307" t="s">
        <v>1836</v>
      </c>
      <c r="CW639" s="366" t="s">
        <v>25</v>
      </c>
      <c r="CX639" s="307">
        <v>-0.373</v>
      </c>
      <c r="CY639" s="307">
        <v>-0.32300000000000001</v>
      </c>
      <c r="CZ639" s="307">
        <v>-0.34799999999999998</v>
      </c>
    </row>
    <row r="640" spans="97:104">
      <c r="CS640" s="332"/>
      <c r="CT640" s="366" t="s">
        <v>1845</v>
      </c>
      <c r="CU640" s="307" t="s">
        <v>208</v>
      </c>
      <c r="CV640" s="307" t="s">
        <v>1836</v>
      </c>
      <c r="CW640" s="366" t="s">
        <v>26</v>
      </c>
      <c r="CX640" s="307">
        <v>-0.374</v>
      </c>
      <c r="CY640" s="307">
        <v>-0.32400000000000001</v>
      </c>
      <c r="CZ640" s="307">
        <v>-0.34899999999999998</v>
      </c>
    </row>
    <row r="641" spans="97:104">
      <c r="CS641" s="332"/>
      <c r="CT641" s="366" t="s">
        <v>1846</v>
      </c>
      <c r="CU641" s="307" t="s">
        <v>208</v>
      </c>
      <c r="CV641" s="307" t="s">
        <v>1836</v>
      </c>
      <c r="CW641" s="366" t="s">
        <v>27</v>
      </c>
      <c r="CX641" s="307">
        <v>-0.376</v>
      </c>
      <c r="CY641" s="307">
        <v>-0.32600000000000001</v>
      </c>
      <c r="CZ641" s="307">
        <v>-0.35099999999999998</v>
      </c>
    </row>
    <row r="642" spans="97:104">
      <c r="CS642" s="332"/>
      <c r="CT642" s="366" t="s">
        <v>1847</v>
      </c>
      <c r="CU642" s="307" t="s">
        <v>208</v>
      </c>
      <c r="CV642" s="307" t="s">
        <v>1836</v>
      </c>
      <c r="CW642" s="366" t="s">
        <v>28</v>
      </c>
      <c r="CX642" s="307">
        <v>-0.377</v>
      </c>
      <c r="CY642" s="307">
        <v>-0.32700000000000001</v>
      </c>
      <c r="CZ642" s="307">
        <v>-0.35199999999999998</v>
      </c>
    </row>
    <row r="643" spans="97:104">
      <c r="CS643" s="332"/>
      <c r="CT643" s="366" t="s">
        <v>1848</v>
      </c>
      <c r="CU643" s="307" t="s">
        <v>208</v>
      </c>
      <c r="CV643" s="307" t="s">
        <v>1836</v>
      </c>
      <c r="CW643" s="366" t="s">
        <v>29</v>
      </c>
      <c r="CX643" s="307">
        <v>-0.378</v>
      </c>
      <c r="CY643" s="307">
        <v>-0.32800000000000001</v>
      </c>
      <c r="CZ643" s="307">
        <v>-0.35299999999999998</v>
      </c>
    </row>
    <row r="644" spans="97:104">
      <c r="CS644" s="332"/>
      <c r="CT644" s="366" t="s">
        <v>1849</v>
      </c>
      <c r="CU644" s="307" t="s">
        <v>208</v>
      </c>
      <c r="CV644" s="307" t="s">
        <v>1836</v>
      </c>
      <c r="CW644" s="366" t="s">
        <v>30</v>
      </c>
      <c r="CX644" s="307">
        <v>-0.378</v>
      </c>
      <c r="CY644" s="307">
        <v>-0.32800000000000001</v>
      </c>
      <c r="CZ644" s="307">
        <v>-0.35299999999999998</v>
      </c>
    </row>
    <row r="645" spans="97:104">
      <c r="CS645" s="332"/>
      <c r="CT645" s="366" t="s">
        <v>1850</v>
      </c>
      <c r="CU645" s="307" t="s">
        <v>208</v>
      </c>
      <c r="CV645" s="307" t="s">
        <v>1836</v>
      </c>
      <c r="CW645" s="366" t="s">
        <v>49</v>
      </c>
      <c r="CX645" s="307">
        <v>-0.379</v>
      </c>
      <c r="CY645" s="307">
        <v>-0.32900000000000001</v>
      </c>
      <c r="CZ645" s="307">
        <v>-0.35399999999999998</v>
      </c>
    </row>
    <row r="646" spans="97:104">
      <c r="CS646" s="332"/>
      <c r="CT646" s="366" t="s">
        <v>1851</v>
      </c>
      <c r="CU646" s="307" t="s">
        <v>208</v>
      </c>
      <c r="CV646" s="307" t="s">
        <v>1836</v>
      </c>
      <c r="CW646" s="366" t="s">
        <v>10</v>
      </c>
      <c r="CX646" s="307">
        <v>-6.0999999999999999E-2</v>
      </c>
      <c r="CY646" s="307">
        <v>-6.0999999999999999E-2</v>
      </c>
      <c r="CZ646" s="307">
        <v>-6.0999999999999999E-2</v>
      </c>
    </row>
    <row r="647" spans="97:104">
      <c r="CS647" s="332"/>
      <c r="CT647" s="366" t="s">
        <v>1852</v>
      </c>
      <c r="CU647" s="307" t="s">
        <v>208</v>
      </c>
      <c r="CV647" s="307" t="s">
        <v>1836</v>
      </c>
      <c r="CW647" s="366" t="s">
        <v>11</v>
      </c>
      <c r="CX647" s="307">
        <v>2.8000000000000001E-2</v>
      </c>
      <c r="CY647" s="307">
        <v>2.8000000000000001E-2</v>
      </c>
      <c r="CZ647" s="307">
        <v>2.8000000000000001E-2</v>
      </c>
    </row>
    <row r="648" spans="97:104">
      <c r="CS648" s="332"/>
      <c r="CT648" s="366" t="s">
        <v>1853</v>
      </c>
      <c r="CU648" s="307" t="s">
        <v>208</v>
      </c>
      <c r="CV648" s="307" t="s">
        <v>1836</v>
      </c>
      <c r="CW648" s="366" t="s">
        <v>12</v>
      </c>
      <c r="CX648" s="307">
        <v>0.13200000000000001</v>
      </c>
      <c r="CY648" s="307">
        <v>0.13200000000000001</v>
      </c>
      <c r="CZ648" s="307">
        <v>0.13200000000000001</v>
      </c>
    </row>
    <row r="649" spans="97:104">
      <c r="CS649" s="332"/>
      <c r="CT649" s="366" t="s">
        <v>1854</v>
      </c>
      <c r="CU649" s="307" t="s">
        <v>208</v>
      </c>
      <c r="CV649" s="307" t="s">
        <v>1836</v>
      </c>
      <c r="CW649" s="366" t="s">
        <v>13</v>
      </c>
      <c r="CX649" s="307">
        <v>0.24199999999999999</v>
      </c>
      <c r="CY649" s="307">
        <v>0.24199999999999999</v>
      </c>
      <c r="CZ649" s="307">
        <v>0.24199999999999999</v>
      </c>
    </row>
    <row r="650" spans="97:104">
      <c r="CS650" s="332"/>
      <c r="CT650" s="366" t="s">
        <v>1855</v>
      </c>
      <c r="CU650" s="307" t="s">
        <v>208</v>
      </c>
      <c r="CV650" s="307" t="s">
        <v>1836</v>
      </c>
      <c r="CW650" s="366" t="s">
        <v>14</v>
      </c>
      <c r="CX650" s="307">
        <v>0.35499999999999998</v>
      </c>
      <c r="CY650" s="307">
        <v>0.35499999999999998</v>
      </c>
      <c r="CZ650" s="307">
        <v>0.35499999999999998</v>
      </c>
    </row>
    <row r="651" spans="97:104">
      <c r="CS651" s="332"/>
      <c r="CT651" s="366" t="s">
        <v>1856</v>
      </c>
      <c r="CU651" s="307" t="s">
        <v>208</v>
      </c>
      <c r="CV651" s="307" t="s">
        <v>1836</v>
      </c>
      <c r="CW651" s="366" t="s">
        <v>15</v>
      </c>
      <c r="CX651" s="307">
        <v>0.46700000000000003</v>
      </c>
      <c r="CY651" s="307">
        <v>0.46700000000000003</v>
      </c>
      <c r="CZ651" s="307">
        <v>0.46700000000000003</v>
      </c>
    </row>
    <row r="652" spans="97:104">
      <c r="CS652" s="332"/>
      <c r="CT652" s="366" t="s">
        <v>1857</v>
      </c>
      <c r="CU652" s="307" t="s">
        <v>208</v>
      </c>
      <c r="CV652" s="307" t="s">
        <v>1836</v>
      </c>
      <c r="CW652" s="366" t="s">
        <v>16</v>
      </c>
      <c r="CX652" s="307">
        <v>0.57399999999999995</v>
      </c>
      <c r="CY652" s="307">
        <v>0.57399999999999995</v>
      </c>
      <c r="CZ652" s="307">
        <v>0.57399999999999995</v>
      </c>
    </row>
    <row r="653" spans="97:104">
      <c r="CS653" s="332"/>
      <c r="CT653" s="366" t="s">
        <v>1858</v>
      </c>
      <c r="CU653" s="307" t="s">
        <v>208</v>
      </c>
      <c r="CV653" s="307" t="s">
        <v>1836</v>
      </c>
      <c r="CW653" s="366" t="s">
        <v>17</v>
      </c>
      <c r="CX653" s="307">
        <v>0.67100000000000004</v>
      </c>
      <c r="CY653" s="307">
        <v>0.67100000000000004</v>
      </c>
      <c r="CZ653" s="307">
        <v>0.67100000000000004</v>
      </c>
    </row>
    <row r="654" spans="97:104">
      <c r="CS654" s="332"/>
      <c r="CT654" s="366" t="s">
        <v>1859</v>
      </c>
      <c r="CU654" s="307" t="s">
        <v>208</v>
      </c>
      <c r="CV654" s="307" t="s">
        <v>1836</v>
      </c>
      <c r="CW654" s="366" t="s">
        <v>31</v>
      </c>
      <c r="CX654" s="307">
        <v>0.75775925600000005</v>
      </c>
      <c r="CY654" s="307">
        <v>0.75775925600000005</v>
      </c>
      <c r="CZ654" s="307">
        <v>0.75775925600000005</v>
      </c>
    </row>
    <row r="655" spans="97:104">
      <c r="CS655" s="332"/>
      <c r="CT655" s="366" t="s">
        <v>1860</v>
      </c>
      <c r="CU655" s="307" t="s">
        <v>208</v>
      </c>
      <c r="CV655" s="307" t="s">
        <v>1836</v>
      </c>
      <c r="CW655" s="366" t="s">
        <v>18</v>
      </c>
      <c r="CX655" s="307">
        <v>0.83499999999999996</v>
      </c>
      <c r="CY655" s="307">
        <v>0.83499999999999996</v>
      </c>
      <c r="CZ655" s="307">
        <v>0.83499999999999996</v>
      </c>
    </row>
    <row r="656" spans="97:104">
      <c r="CS656" s="332"/>
      <c r="CT656" s="366" t="s">
        <v>1861</v>
      </c>
      <c r="CU656" s="307" t="s">
        <v>208</v>
      </c>
      <c r="CV656" s="307" t="s">
        <v>1836</v>
      </c>
      <c r="CW656" s="366" t="s">
        <v>32</v>
      </c>
      <c r="CX656" s="307">
        <v>0.901469878</v>
      </c>
      <c r="CY656" s="307">
        <v>0.901469878</v>
      </c>
      <c r="CZ656" s="307">
        <v>0.901469878</v>
      </c>
    </row>
    <row r="657" spans="97:104">
      <c r="CS657" s="332"/>
      <c r="CT657" s="366" t="s">
        <v>1862</v>
      </c>
      <c r="CU657" s="307" t="s">
        <v>208</v>
      </c>
      <c r="CV657" s="307" t="s">
        <v>1836</v>
      </c>
      <c r="CW657" s="366" t="s">
        <v>33</v>
      </c>
      <c r="CX657" s="307">
        <v>0.95791295300000001</v>
      </c>
      <c r="CY657" s="307">
        <v>0.95791295300000001</v>
      </c>
      <c r="CZ657" s="307">
        <v>0.95791295300000001</v>
      </c>
    </row>
    <row r="658" spans="97:104">
      <c r="CS658" s="332"/>
      <c r="CT658" s="366" t="s">
        <v>1863</v>
      </c>
      <c r="CU658" s="307" t="s">
        <v>208</v>
      </c>
      <c r="CV658" s="307" t="s">
        <v>1836</v>
      </c>
      <c r="CW658" s="366" t="s">
        <v>19</v>
      </c>
      <c r="CX658" s="307">
        <v>1.0049999999999999</v>
      </c>
      <c r="CY658" s="307">
        <v>1.0049999999999999</v>
      </c>
      <c r="CZ658" s="307">
        <v>1.0049999999999999</v>
      </c>
    </row>
    <row r="659" spans="97:104">
      <c r="CS659" s="332"/>
      <c r="CT659" s="366" t="s">
        <v>1864</v>
      </c>
      <c r="CU659" s="307" t="s">
        <v>208</v>
      </c>
      <c r="CV659" s="307" t="s">
        <v>1836</v>
      </c>
      <c r="CW659" s="366" t="s">
        <v>34</v>
      </c>
      <c r="CX659" s="307">
        <v>1.0438079309999999</v>
      </c>
      <c r="CY659" s="307">
        <v>1.0438079309999999</v>
      </c>
      <c r="CZ659" s="307">
        <v>1.0438079309999999</v>
      </c>
    </row>
    <row r="660" spans="97:104">
      <c r="CS660" s="332"/>
      <c r="CT660" s="366" t="s">
        <v>1865</v>
      </c>
      <c r="CU660" s="307" t="s">
        <v>208</v>
      </c>
      <c r="CV660" s="307" t="s">
        <v>1836</v>
      </c>
      <c r="CW660" s="366" t="s">
        <v>35</v>
      </c>
      <c r="CX660" s="307">
        <v>1.0748230969999999</v>
      </c>
      <c r="CY660" s="307">
        <v>1.0748230969999999</v>
      </c>
      <c r="CZ660" s="307">
        <v>1.0748230969999999</v>
      </c>
    </row>
    <row r="661" spans="97:104">
      <c r="CS661" s="332"/>
      <c r="CT661" s="366" t="s">
        <v>1866</v>
      </c>
      <c r="CU661" s="307" t="s">
        <v>208</v>
      </c>
      <c r="CV661" s="307" t="s">
        <v>1836</v>
      </c>
      <c r="CW661" s="366" t="s">
        <v>36</v>
      </c>
      <c r="CX661" s="307">
        <v>1.099791722</v>
      </c>
      <c r="CY661" s="307">
        <v>1.099791722</v>
      </c>
      <c r="CZ661" s="307">
        <v>1.099791722</v>
      </c>
    </row>
    <row r="662" spans="97:104">
      <c r="CS662" s="332"/>
      <c r="CT662" s="366" t="s">
        <v>1867</v>
      </c>
      <c r="CU662" s="307" t="s">
        <v>208</v>
      </c>
      <c r="CV662" s="307" t="s">
        <v>1836</v>
      </c>
      <c r="CW662" s="366" t="s">
        <v>37</v>
      </c>
      <c r="CX662" s="307">
        <v>1.1195473650000001</v>
      </c>
      <c r="CY662" s="307">
        <v>1.1195473650000001</v>
      </c>
      <c r="CZ662" s="307">
        <v>1.1195473650000001</v>
      </c>
    </row>
    <row r="663" spans="97:104">
      <c r="CS663" s="332"/>
      <c r="CT663" s="366" t="s">
        <v>1868</v>
      </c>
      <c r="CU663" s="307" t="s">
        <v>208</v>
      </c>
      <c r="CV663" s="307" t="s">
        <v>1836</v>
      </c>
      <c r="CW663" s="366" t="s">
        <v>20</v>
      </c>
      <c r="CX663" s="307">
        <v>1.135</v>
      </c>
      <c r="CY663" s="307">
        <v>1.135</v>
      </c>
      <c r="CZ663" s="307">
        <v>1.135</v>
      </c>
    </row>
    <row r="664" spans="97:104">
      <c r="CS664" s="332"/>
      <c r="CT664" s="366" t="s">
        <v>1869</v>
      </c>
      <c r="CU664" s="307" t="s">
        <v>208</v>
      </c>
      <c r="CV664" s="307" t="s">
        <v>1836</v>
      </c>
      <c r="CW664" s="366" t="s">
        <v>38</v>
      </c>
      <c r="CX664" s="307">
        <v>1.1465149459999999</v>
      </c>
      <c r="CY664" s="307">
        <v>1.1465149459999999</v>
      </c>
      <c r="CZ664" s="307">
        <v>1.1465149459999999</v>
      </c>
    </row>
    <row r="665" spans="97:104">
      <c r="CS665" s="332"/>
      <c r="CT665" s="366" t="s">
        <v>1870</v>
      </c>
      <c r="CU665" s="307" t="s">
        <v>208</v>
      </c>
      <c r="CV665" s="307" t="s">
        <v>1836</v>
      </c>
      <c r="CW665" s="366" t="s">
        <v>39</v>
      </c>
      <c r="CX665" s="307">
        <v>1.1549966599999999</v>
      </c>
      <c r="CY665" s="307">
        <v>1.1549966599999999</v>
      </c>
      <c r="CZ665" s="307">
        <v>1.1549966599999999</v>
      </c>
    </row>
    <row r="666" spans="97:104">
      <c r="CS666" s="332"/>
      <c r="CT666" s="366" t="s">
        <v>1871</v>
      </c>
      <c r="CU666" s="307" t="s">
        <v>208</v>
      </c>
      <c r="CV666" s="307" t="s">
        <v>1836</v>
      </c>
      <c r="CW666" s="366" t="s">
        <v>40</v>
      </c>
      <c r="CX666" s="307">
        <v>1.161313571</v>
      </c>
      <c r="CY666" s="307">
        <v>1.161313571</v>
      </c>
      <c r="CZ666" s="307">
        <v>1.161313571</v>
      </c>
    </row>
    <row r="667" spans="97:104">
      <c r="CS667" s="332"/>
      <c r="CT667" s="366" t="s">
        <v>1872</v>
      </c>
      <c r="CU667" s="307" t="s">
        <v>208</v>
      </c>
      <c r="CV667" s="307" t="s">
        <v>1836</v>
      </c>
      <c r="CW667" s="366" t="s">
        <v>41</v>
      </c>
      <c r="CX667" s="307">
        <v>1.166230731</v>
      </c>
      <c r="CY667" s="307">
        <v>1.166230731</v>
      </c>
      <c r="CZ667" s="307">
        <v>1.166230731</v>
      </c>
    </row>
    <row r="668" spans="97:104">
      <c r="CS668" s="332"/>
      <c r="CT668" s="366" t="s">
        <v>1873</v>
      </c>
      <c r="CU668" s="307" t="s">
        <v>208</v>
      </c>
      <c r="CV668" s="307" t="s">
        <v>1836</v>
      </c>
      <c r="CW668" s="366" t="s">
        <v>21</v>
      </c>
      <c r="CX668" s="307">
        <v>1.17</v>
      </c>
      <c r="CY668" s="307">
        <v>1.17</v>
      </c>
      <c r="CZ668" s="307">
        <v>1.17</v>
      </c>
    </row>
    <row r="669" spans="97:104">
      <c r="CS669" s="332"/>
      <c r="CT669" s="366" t="s">
        <v>1874</v>
      </c>
      <c r="CU669" s="307" t="s">
        <v>208</v>
      </c>
      <c r="CV669" s="307" t="s">
        <v>1836</v>
      </c>
      <c r="CW669" s="366" t="s">
        <v>42</v>
      </c>
      <c r="CX669" s="307">
        <v>1.173130225</v>
      </c>
      <c r="CY669" s="307">
        <v>1.173130225</v>
      </c>
      <c r="CZ669" s="307">
        <v>1.173130225</v>
      </c>
    </row>
    <row r="670" spans="97:104">
      <c r="CS670" s="332"/>
      <c r="CT670" s="366" t="s">
        <v>1875</v>
      </c>
      <c r="CU670" s="307" t="s">
        <v>208</v>
      </c>
      <c r="CV670" s="307" t="s">
        <v>1836</v>
      </c>
      <c r="CW670" s="366" t="s">
        <v>43</v>
      </c>
      <c r="CX670" s="307">
        <v>1.175699206</v>
      </c>
      <c r="CY670" s="307">
        <v>1.175699206</v>
      </c>
      <c r="CZ670" s="307">
        <v>1.175699206</v>
      </c>
    </row>
    <row r="671" spans="97:104">
      <c r="CS671" s="332"/>
      <c r="CT671" s="366" t="s">
        <v>1876</v>
      </c>
      <c r="CU671" s="307" t="s">
        <v>208</v>
      </c>
      <c r="CV671" s="307" t="s">
        <v>1836</v>
      </c>
      <c r="CW671" s="366" t="s">
        <v>44</v>
      </c>
      <c r="CX671" s="307">
        <v>1.177772373</v>
      </c>
      <c r="CY671" s="307">
        <v>1.177772373</v>
      </c>
      <c r="CZ671" s="307">
        <v>1.177772373</v>
      </c>
    </row>
    <row r="672" spans="97:104">
      <c r="CS672" s="332"/>
      <c r="CT672" s="366" t="s">
        <v>1877</v>
      </c>
      <c r="CU672" s="307" t="s">
        <v>208</v>
      </c>
      <c r="CV672" s="307" t="s">
        <v>1836</v>
      </c>
      <c r="CW672" s="366" t="s">
        <v>45</v>
      </c>
      <c r="CX672" s="307">
        <v>1.1791747800000001</v>
      </c>
      <c r="CY672" s="307">
        <v>1.1791747800000001</v>
      </c>
      <c r="CZ672" s="307">
        <v>1.1791747800000001</v>
      </c>
    </row>
    <row r="673" spans="97:104">
      <c r="CS673" s="332"/>
      <c r="CT673" s="366" t="s">
        <v>1878</v>
      </c>
      <c r="CU673" s="307" t="s">
        <v>208</v>
      </c>
      <c r="CV673" s="307" t="s">
        <v>1836</v>
      </c>
      <c r="CW673" s="366" t="s">
        <v>22</v>
      </c>
      <c r="CX673" s="307">
        <v>1.18</v>
      </c>
      <c r="CY673" s="307">
        <v>1.18</v>
      </c>
      <c r="CZ673" s="307">
        <v>1.18</v>
      </c>
    </row>
    <row r="674" spans="97:104">
      <c r="CS674" s="332"/>
      <c r="CT674" s="366" t="s">
        <v>1879</v>
      </c>
      <c r="CU674" s="307" t="s">
        <v>208</v>
      </c>
      <c r="CV674" s="307" t="s">
        <v>1836</v>
      </c>
      <c r="CW674" s="366" t="s">
        <v>46</v>
      </c>
      <c r="CX674" s="307">
        <v>1.165</v>
      </c>
      <c r="CY674" s="307">
        <v>1.165</v>
      </c>
      <c r="CZ674" s="307">
        <v>1.165</v>
      </c>
    </row>
    <row r="675" spans="97:104">
      <c r="CS675" s="332"/>
      <c r="CT675" s="366" t="s">
        <v>1880</v>
      </c>
      <c r="CU675" s="307" t="s">
        <v>208</v>
      </c>
      <c r="CV675" s="307" t="s">
        <v>1836</v>
      </c>
      <c r="CW675" s="366" t="s">
        <v>47</v>
      </c>
      <c r="CX675" s="307">
        <v>1.111</v>
      </c>
      <c r="CY675" s="307">
        <v>1.111</v>
      </c>
      <c r="CZ675" s="307">
        <v>1.111</v>
      </c>
    </row>
    <row r="676" spans="97:104">
      <c r="CS676" s="332"/>
      <c r="CT676" s="366" t="s">
        <v>1881</v>
      </c>
      <c r="CU676" s="307" t="s">
        <v>208</v>
      </c>
      <c r="CV676" s="307" t="s">
        <v>1836</v>
      </c>
      <c r="CW676" s="366" t="s">
        <v>48</v>
      </c>
      <c r="CX676" s="307">
        <v>1.0760000000000001</v>
      </c>
      <c r="CY676" s="307">
        <v>1.0760000000000001</v>
      </c>
      <c r="CZ676" s="307">
        <v>1.0760000000000001</v>
      </c>
    </row>
    <row r="677" spans="97:104">
      <c r="CS677" s="332"/>
      <c r="CT677" s="366" t="s">
        <v>4192</v>
      </c>
      <c r="CU677" s="307" t="s">
        <v>208</v>
      </c>
      <c r="CV677" s="307" t="s">
        <v>4193</v>
      </c>
      <c r="CW677" s="366" t="s">
        <v>3</v>
      </c>
      <c r="CX677" s="307">
        <v>-0.36999989999999999</v>
      </c>
      <c r="CY677" s="307">
        <v>-0.36999989999999999</v>
      </c>
      <c r="CZ677" s="307">
        <v>-0.36999989999999999</v>
      </c>
    </row>
    <row r="678" spans="97:104">
      <c r="CS678" s="332"/>
      <c r="CT678" s="366" t="s">
        <v>4194</v>
      </c>
      <c r="CU678" s="307" t="s">
        <v>208</v>
      </c>
      <c r="CV678" s="307" t="s">
        <v>4193</v>
      </c>
      <c r="CW678" s="366" t="s">
        <v>4</v>
      </c>
      <c r="CX678" s="307">
        <v>-0.37</v>
      </c>
      <c r="CY678" s="307">
        <v>-0.37</v>
      </c>
      <c r="CZ678" s="307">
        <v>-0.37</v>
      </c>
    </row>
    <row r="679" spans="97:104">
      <c r="CS679" s="332"/>
      <c r="CT679" s="366" t="s">
        <v>4195</v>
      </c>
      <c r="CU679" s="307" t="s">
        <v>208</v>
      </c>
      <c r="CV679" s="307" t="s">
        <v>4193</v>
      </c>
      <c r="CW679" s="366" t="s">
        <v>23</v>
      </c>
      <c r="CX679" s="307">
        <v>-0.37</v>
      </c>
      <c r="CY679" s="307">
        <v>-0.37</v>
      </c>
      <c r="CZ679" s="307">
        <v>-0.37</v>
      </c>
    </row>
    <row r="680" spans="97:104">
      <c r="CS680" s="332"/>
      <c r="CT680" s="366" t="s">
        <v>4196</v>
      </c>
      <c r="CU680" s="307" t="s">
        <v>208</v>
      </c>
      <c r="CV680" s="307" t="s">
        <v>4193</v>
      </c>
      <c r="CW680" s="366" t="s">
        <v>5</v>
      </c>
      <c r="CX680" s="307">
        <v>-0.37</v>
      </c>
      <c r="CY680" s="307">
        <v>-0.37</v>
      </c>
      <c r="CZ680" s="307">
        <v>-0.37</v>
      </c>
    </row>
    <row r="681" spans="97:104">
      <c r="CS681" s="332"/>
      <c r="CT681" s="366" t="s">
        <v>4197</v>
      </c>
      <c r="CU681" s="307" t="s">
        <v>208</v>
      </c>
      <c r="CV681" s="307" t="s">
        <v>4193</v>
      </c>
      <c r="CW681" s="366" t="s">
        <v>6</v>
      </c>
      <c r="CX681" s="307">
        <v>-0.37</v>
      </c>
      <c r="CY681" s="307">
        <v>-0.37</v>
      </c>
      <c r="CZ681" s="307">
        <v>-0.37</v>
      </c>
    </row>
    <row r="682" spans="97:104">
      <c r="CS682" s="332"/>
      <c r="CT682" s="366" t="s">
        <v>4198</v>
      </c>
      <c r="CU682" s="307" t="s">
        <v>208</v>
      </c>
      <c r="CV682" s="307" t="s">
        <v>4193</v>
      </c>
      <c r="CW682" s="366" t="s">
        <v>24</v>
      </c>
      <c r="CX682" s="307">
        <v>-0.37</v>
      </c>
      <c r="CY682" s="307">
        <v>-0.37</v>
      </c>
      <c r="CZ682" s="307">
        <v>-0.37</v>
      </c>
    </row>
    <row r="683" spans="97:104">
      <c r="CS683" s="332"/>
      <c r="CT683" s="366" t="s">
        <v>4199</v>
      </c>
      <c r="CU683" s="307" t="s">
        <v>208</v>
      </c>
      <c r="CV683" s="307" t="s">
        <v>4193</v>
      </c>
      <c r="CW683" s="366" t="s">
        <v>7</v>
      </c>
      <c r="CX683" s="307">
        <v>-0.37</v>
      </c>
      <c r="CY683" s="307">
        <v>-0.37</v>
      </c>
      <c r="CZ683" s="307">
        <v>-0.37</v>
      </c>
    </row>
    <row r="684" spans="97:104">
      <c r="CS684" s="332"/>
      <c r="CT684" s="366" t="s">
        <v>4200</v>
      </c>
      <c r="CU684" s="307" t="s">
        <v>208</v>
      </c>
      <c r="CV684" s="307" t="s">
        <v>4193</v>
      </c>
      <c r="CW684" s="366" t="s">
        <v>8</v>
      </c>
      <c r="CX684" s="307">
        <v>-0.33</v>
      </c>
      <c r="CY684" s="307">
        <v>-0.33</v>
      </c>
      <c r="CZ684" s="307">
        <v>-0.33</v>
      </c>
    </row>
    <row r="685" spans="97:104">
      <c r="CS685" s="332"/>
      <c r="CT685" s="366" t="s">
        <v>4201</v>
      </c>
      <c r="CU685" s="307" t="s">
        <v>208</v>
      </c>
      <c r="CV685" s="307" t="s">
        <v>4193</v>
      </c>
      <c r="CW685" s="366" t="s">
        <v>25</v>
      </c>
      <c r="CX685" s="307">
        <v>-0.3</v>
      </c>
      <c r="CY685" s="307">
        <v>-0.3</v>
      </c>
      <c r="CZ685" s="307">
        <v>-0.3</v>
      </c>
    </row>
    <row r="686" spans="97:104">
      <c r="CS686" s="332"/>
      <c r="CT686" s="366" t="s">
        <v>4202</v>
      </c>
      <c r="CU686" s="307" t="s">
        <v>208</v>
      </c>
      <c r="CV686" s="307" t="s">
        <v>4193</v>
      </c>
      <c r="CW686" s="366" t="s">
        <v>26</v>
      </c>
      <c r="CX686" s="307">
        <v>-0.27</v>
      </c>
      <c r="CY686" s="307">
        <v>-0.27</v>
      </c>
      <c r="CZ686" s="307">
        <v>-0.27</v>
      </c>
    </row>
    <row r="687" spans="97:104">
      <c r="CS687" s="332"/>
      <c r="CT687" s="366" t="s">
        <v>4203</v>
      </c>
      <c r="CU687" s="307" t="s">
        <v>208</v>
      </c>
      <c r="CV687" s="307" t="s">
        <v>4193</v>
      </c>
      <c r="CW687" s="366" t="s">
        <v>27</v>
      </c>
      <c r="CX687" s="307">
        <v>-0.24</v>
      </c>
      <c r="CY687" s="307">
        <v>-0.24</v>
      </c>
      <c r="CZ687" s="307">
        <v>-0.24</v>
      </c>
    </row>
    <row r="688" spans="97:104">
      <c r="CS688" s="332"/>
      <c r="CT688" s="366" t="s">
        <v>4204</v>
      </c>
      <c r="CU688" s="307" t="s">
        <v>208</v>
      </c>
      <c r="CV688" s="307" t="s">
        <v>4193</v>
      </c>
      <c r="CW688" s="366" t="s">
        <v>28</v>
      </c>
      <c r="CX688" s="307">
        <v>-0.21</v>
      </c>
      <c r="CY688" s="307">
        <v>-0.21</v>
      </c>
      <c r="CZ688" s="307">
        <v>-0.21</v>
      </c>
    </row>
    <row r="689" spans="97:104">
      <c r="CS689" s="332"/>
      <c r="CT689" s="366" t="s">
        <v>4205</v>
      </c>
      <c r="CU689" s="307" t="s">
        <v>208</v>
      </c>
      <c r="CV689" s="307" t="s">
        <v>4193</v>
      </c>
      <c r="CW689" s="366" t="s">
        <v>29</v>
      </c>
      <c r="CX689" s="307">
        <v>-0.18</v>
      </c>
      <c r="CY689" s="307">
        <v>-0.18</v>
      </c>
      <c r="CZ689" s="307">
        <v>-0.18</v>
      </c>
    </row>
    <row r="690" spans="97:104">
      <c r="CS690" s="332"/>
      <c r="CT690" s="366" t="s">
        <v>5110</v>
      </c>
      <c r="CU690" s="307" t="s">
        <v>208</v>
      </c>
      <c r="CV690" s="307" t="s">
        <v>4193</v>
      </c>
      <c r="CW690" s="366" t="s">
        <v>5101</v>
      </c>
      <c r="CX690" s="307">
        <v>-0.19</v>
      </c>
      <c r="CY690" s="307">
        <v>-0.17</v>
      </c>
      <c r="CZ690" s="307">
        <v>-0.18</v>
      </c>
    </row>
    <row r="691" spans="97:104">
      <c r="CS691" s="332"/>
      <c r="CT691" s="366" t="s">
        <v>4206</v>
      </c>
      <c r="CU691" s="307" t="s">
        <v>208</v>
      </c>
      <c r="CV691" s="307" t="s">
        <v>4193</v>
      </c>
      <c r="CW691" s="366" t="s">
        <v>30</v>
      </c>
      <c r="CX691" s="307">
        <v>-0.15</v>
      </c>
      <c r="CY691" s="307">
        <v>-0.15</v>
      </c>
      <c r="CZ691" s="307">
        <v>-0.15</v>
      </c>
    </row>
    <row r="692" spans="97:104">
      <c r="CS692" s="332"/>
      <c r="CT692" s="366" t="s">
        <v>4207</v>
      </c>
      <c r="CU692" s="307" t="s">
        <v>208</v>
      </c>
      <c r="CV692" s="307" t="s">
        <v>4193</v>
      </c>
      <c r="CW692" s="366" t="s">
        <v>49</v>
      </c>
      <c r="CX692" s="307">
        <v>-0.13</v>
      </c>
      <c r="CY692" s="307">
        <v>-0.13</v>
      </c>
      <c r="CZ692" s="307">
        <v>-0.13</v>
      </c>
    </row>
    <row r="693" spans="97:104">
      <c r="CS693" s="332"/>
      <c r="CT693" s="366" t="s">
        <v>4209</v>
      </c>
      <c r="CU693" s="307" t="s">
        <v>208</v>
      </c>
      <c r="CV693" s="307" t="s">
        <v>4193</v>
      </c>
      <c r="CW693" s="366" t="s">
        <v>1066</v>
      </c>
      <c r="CX693" s="307">
        <v>100.27500000000001</v>
      </c>
      <c r="CY693" s="307">
        <v>100.28</v>
      </c>
      <c r="CZ693" s="307">
        <v>100.2775</v>
      </c>
    </row>
    <row r="694" spans="97:104">
      <c r="CS694" s="332"/>
      <c r="CT694" s="366" t="s">
        <v>4208</v>
      </c>
      <c r="CU694" s="307" t="s">
        <v>208</v>
      </c>
      <c r="CV694" s="307" t="s">
        <v>4193</v>
      </c>
      <c r="CW694" s="366" t="s">
        <v>56</v>
      </c>
      <c r="CX694" s="307">
        <v>-0.19343618400000001</v>
      </c>
      <c r="CY694" s="307">
        <v>-0.19343618400000001</v>
      </c>
      <c r="CZ694" s="307">
        <v>-0.19343618400000001</v>
      </c>
    </row>
    <row r="695" spans="97:104">
      <c r="CS695" s="332"/>
      <c r="CT695" s="366" t="s">
        <v>4210</v>
      </c>
      <c r="CU695" s="307" t="s">
        <v>208</v>
      </c>
      <c r="CV695" s="307" t="s">
        <v>4193</v>
      </c>
      <c r="CW695" s="366" t="s">
        <v>1069</v>
      </c>
      <c r="CX695" s="307">
        <v>100.255</v>
      </c>
      <c r="CY695" s="307">
        <v>100.26</v>
      </c>
      <c r="CZ695" s="307">
        <v>100.25749999999999</v>
      </c>
    </row>
    <row r="696" spans="97:104">
      <c r="CS696" s="332"/>
      <c r="CT696" s="366" t="s">
        <v>4211</v>
      </c>
      <c r="CU696" s="307" t="s">
        <v>208</v>
      </c>
      <c r="CV696" s="307" t="s">
        <v>4193</v>
      </c>
      <c r="CW696" s="366" t="s">
        <v>3865</v>
      </c>
      <c r="CX696" s="307">
        <v>100.24</v>
      </c>
      <c r="CY696" s="307">
        <v>100.245</v>
      </c>
      <c r="CZ696" s="307">
        <v>100.24250000000001</v>
      </c>
    </row>
    <row r="697" spans="97:104">
      <c r="CS697" s="332"/>
      <c r="CT697" s="366" t="s">
        <v>5111</v>
      </c>
      <c r="CU697" s="307" t="s">
        <v>208</v>
      </c>
      <c r="CV697" s="307" t="s">
        <v>4193</v>
      </c>
      <c r="CW697" s="366" t="s">
        <v>3866</v>
      </c>
      <c r="CX697" s="307">
        <v>100.215</v>
      </c>
      <c r="CY697" s="307">
        <v>100.22</v>
      </c>
      <c r="CZ697" s="307">
        <v>100.2175</v>
      </c>
    </row>
    <row r="698" spans="97:104">
      <c r="CS698" s="332"/>
      <c r="CT698" s="366" t="s">
        <v>5112</v>
      </c>
      <c r="CU698" s="307" t="s">
        <v>208</v>
      </c>
      <c r="CV698" s="307" t="s">
        <v>4193</v>
      </c>
      <c r="CW698" s="366" t="s">
        <v>3889</v>
      </c>
      <c r="CX698" s="307">
        <v>100.185</v>
      </c>
      <c r="CY698" s="307">
        <v>100.19</v>
      </c>
      <c r="CZ698" s="307">
        <v>100.1875</v>
      </c>
    </row>
    <row r="699" spans="97:104">
      <c r="CS699" s="332"/>
      <c r="CT699" s="366" t="s">
        <v>4212</v>
      </c>
      <c r="CU699" s="307" t="s">
        <v>208</v>
      </c>
      <c r="CV699" s="307" t="s">
        <v>4193</v>
      </c>
      <c r="CW699" s="366" t="s">
        <v>9</v>
      </c>
      <c r="CX699" s="307">
        <v>-0.13622922800000001</v>
      </c>
      <c r="CY699" s="307">
        <v>-0.13622922800000001</v>
      </c>
      <c r="CZ699" s="307">
        <v>-0.13622922800000001</v>
      </c>
    </row>
    <row r="700" spans="97:104">
      <c r="CS700" s="332"/>
      <c r="CT700" s="366" t="s">
        <v>5113</v>
      </c>
      <c r="CU700" s="307" t="s">
        <v>208</v>
      </c>
      <c r="CV700" s="307" t="s">
        <v>4193</v>
      </c>
      <c r="CW700" s="366" t="s">
        <v>3890</v>
      </c>
      <c r="CX700" s="307">
        <v>100.15</v>
      </c>
      <c r="CY700" s="307">
        <v>100.155</v>
      </c>
      <c r="CZ700" s="307">
        <v>100.1525</v>
      </c>
    </row>
    <row r="701" spans="97:104">
      <c r="CS701" s="332"/>
      <c r="CT701" s="366" t="s">
        <v>4213</v>
      </c>
      <c r="CU701" s="307" t="s">
        <v>208</v>
      </c>
      <c r="CV701" s="307" t="s">
        <v>4193</v>
      </c>
      <c r="CW701" s="366" t="s">
        <v>10</v>
      </c>
      <c r="CX701" s="307">
        <v>-6.0999999999999999E-2</v>
      </c>
      <c r="CY701" s="307">
        <v>-6.0999999999999999E-2</v>
      </c>
      <c r="CZ701" s="307">
        <v>-6.0999999999999999E-2</v>
      </c>
    </row>
    <row r="702" spans="97:104">
      <c r="CS702" s="332"/>
      <c r="CT702" s="366" t="s">
        <v>4214</v>
      </c>
      <c r="CU702" s="307" t="s">
        <v>208</v>
      </c>
      <c r="CV702" s="307" t="s">
        <v>4193</v>
      </c>
      <c r="CW702" s="366" t="s">
        <v>11</v>
      </c>
      <c r="CX702" s="307">
        <v>2.8000000000000001E-2</v>
      </c>
      <c r="CY702" s="307">
        <v>2.8000000000000001E-2</v>
      </c>
      <c r="CZ702" s="307">
        <v>2.8000000000000001E-2</v>
      </c>
    </row>
    <row r="703" spans="97:104">
      <c r="CS703" s="332"/>
      <c r="CT703" s="366" t="s">
        <v>4215</v>
      </c>
      <c r="CU703" s="307" t="s">
        <v>208</v>
      </c>
      <c r="CV703" s="307" t="s">
        <v>4193</v>
      </c>
      <c r="CW703" s="366" t="s">
        <v>12</v>
      </c>
      <c r="CX703" s="307">
        <v>0.13200000000000001</v>
      </c>
      <c r="CY703" s="307">
        <v>0.13200000000000001</v>
      </c>
      <c r="CZ703" s="307">
        <v>0.13200000000000001</v>
      </c>
    </row>
    <row r="704" spans="97:104">
      <c r="CS704" s="332"/>
      <c r="CT704" s="366" t="s">
        <v>4216</v>
      </c>
      <c r="CU704" s="307" t="s">
        <v>208</v>
      </c>
      <c r="CV704" s="307" t="s">
        <v>4193</v>
      </c>
      <c r="CW704" s="366" t="s">
        <v>13</v>
      </c>
      <c r="CX704" s="307">
        <v>0.24199999999999999</v>
      </c>
      <c r="CY704" s="307">
        <v>0.24199999999999999</v>
      </c>
      <c r="CZ704" s="307">
        <v>0.24199999999999999</v>
      </c>
    </row>
    <row r="705" spans="97:104">
      <c r="CS705" s="332"/>
      <c r="CT705" s="366" t="s">
        <v>4217</v>
      </c>
      <c r="CU705" s="307" t="s">
        <v>208</v>
      </c>
      <c r="CV705" s="307" t="s">
        <v>4193</v>
      </c>
      <c r="CW705" s="366" t="s">
        <v>14</v>
      </c>
      <c r="CX705" s="307">
        <v>0.35499999999999998</v>
      </c>
      <c r="CY705" s="307">
        <v>0.35499999999999998</v>
      </c>
      <c r="CZ705" s="307">
        <v>0.35499999999999998</v>
      </c>
    </row>
    <row r="706" spans="97:104">
      <c r="CS706" s="332"/>
      <c r="CT706" s="366" t="s">
        <v>4218</v>
      </c>
      <c r="CU706" s="307" t="s">
        <v>208</v>
      </c>
      <c r="CV706" s="307" t="s">
        <v>4193</v>
      </c>
      <c r="CW706" s="366" t="s">
        <v>15</v>
      </c>
      <c r="CX706" s="307">
        <v>0.46700000000000003</v>
      </c>
      <c r="CY706" s="307">
        <v>0.46700000000000003</v>
      </c>
      <c r="CZ706" s="307">
        <v>0.46700000000000003</v>
      </c>
    </row>
    <row r="707" spans="97:104">
      <c r="CS707" s="332"/>
      <c r="CT707" s="366" t="s">
        <v>4219</v>
      </c>
      <c r="CU707" s="307" t="s">
        <v>208</v>
      </c>
      <c r="CV707" s="307" t="s">
        <v>4193</v>
      </c>
      <c r="CW707" s="366" t="s">
        <v>16</v>
      </c>
      <c r="CX707" s="307">
        <v>0.57399999999999995</v>
      </c>
      <c r="CY707" s="307">
        <v>0.57399999999999995</v>
      </c>
      <c r="CZ707" s="307">
        <v>0.57399999999999995</v>
      </c>
    </row>
    <row r="708" spans="97:104">
      <c r="CS708" s="332"/>
      <c r="CT708" s="366" t="s">
        <v>4220</v>
      </c>
      <c r="CU708" s="307" t="s">
        <v>208</v>
      </c>
      <c r="CV708" s="307" t="s">
        <v>4193</v>
      </c>
      <c r="CW708" s="366" t="s">
        <v>17</v>
      </c>
      <c r="CX708" s="307">
        <v>0.67100000000000004</v>
      </c>
      <c r="CY708" s="307">
        <v>0.67100000000000004</v>
      </c>
      <c r="CZ708" s="307">
        <v>0.67100000000000004</v>
      </c>
    </row>
    <row r="709" spans="97:104">
      <c r="CS709" s="332"/>
      <c r="CT709" s="366" t="s">
        <v>4221</v>
      </c>
      <c r="CU709" s="307" t="s">
        <v>208</v>
      </c>
      <c r="CV709" s="307" t="s">
        <v>4193</v>
      </c>
      <c r="CW709" s="366" t="s">
        <v>31</v>
      </c>
      <c r="CX709" s="307">
        <v>0.75775925600000005</v>
      </c>
      <c r="CY709" s="307">
        <v>0.75775925600000005</v>
      </c>
      <c r="CZ709" s="307">
        <v>0.75775925600000005</v>
      </c>
    </row>
    <row r="710" spans="97:104">
      <c r="CS710" s="332"/>
      <c r="CT710" s="366" t="s">
        <v>4222</v>
      </c>
      <c r="CU710" s="307" t="s">
        <v>208</v>
      </c>
      <c r="CV710" s="307" t="s">
        <v>4193</v>
      </c>
      <c r="CW710" s="366" t="s">
        <v>18</v>
      </c>
      <c r="CX710" s="307">
        <v>0.83499999999999996</v>
      </c>
      <c r="CY710" s="307">
        <v>0.83499999999999996</v>
      </c>
      <c r="CZ710" s="307">
        <v>0.83499999999999996</v>
      </c>
    </row>
    <row r="711" spans="97:104">
      <c r="CS711" s="332"/>
      <c r="CT711" s="366" t="s">
        <v>4223</v>
      </c>
      <c r="CU711" s="307" t="s">
        <v>208</v>
      </c>
      <c r="CV711" s="307" t="s">
        <v>4193</v>
      </c>
      <c r="CW711" s="366" t="s">
        <v>32</v>
      </c>
      <c r="CX711" s="307">
        <v>0.901469878</v>
      </c>
      <c r="CY711" s="307">
        <v>0.901469878</v>
      </c>
      <c r="CZ711" s="307">
        <v>0.901469878</v>
      </c>
    </row>
    <row r="712" spans="97:104">
      <c r="CS712" s="332"/>
      <c r="CT712" s="366" t="s">
        <v>4224</v>
      </c>
      <c r="CU712" s="307" t="s">
        <v>208</v>
      </c>
      <c r="CV712" s="307" t="s">
        <v>4193</v>
      </c>
      <c r="CW712" s="366" t="s">
        <v>33</v>
      </c>
      <c r="CX712" s="307">
        <v>0.95791295300000001</v>
      </c>
      <c r="CY712" s="307">
        <v>0.95791295300000001</v>
      </c>
      <c r="CZ712" s="307">
        <v>0.95791295300000001</v>
      </c>
    </row>
    <row r="713" spans="97:104">
      <c r="CS713" s="332"/>
      <c r="CT713" s="366" t="s">
        <v>4225</v>
      </c>
      <c r="CU713" s="307" t="s">
        <v>208</v>
      </c>
      <c r="CV713" s="307" t="s">
        <v>4193</v>
      </c>
      <c r="CW713" s="366" t="s">
        <v>19</v>
      </c>
      <c r="CX713" s="307">
        <v>1.0049999999999999</v>
      </c>
      <c r="CY713" s="307">
        <v>1.0049999999999999</v>
      </c>
      <c r="CZ713" s="307">
        <v>1.0049999999999999</v>
      </c>
    </row>
    <row r="714" spans="97:104">
      <c r="CS714" s="332"/>
      <c r="CT714" s="366" t="s">
        <v>4226</v>
      </c>
      <c r="CU714" s="307" t="s">
        <v>208</v>
      </c>
      <c r="CV714" s="307" t="s">
        <v>4193</v>
      </c>
      <c r="CW714" s="366" t="s">
        <v>34</v>
      </c>
      <c r="CX714" s="307">
        <v>1.0438079309999999</v>
      </c>
      <c r="CY714" s="307">
        <v>1.0438079309999999</v>
      </c>
      <c r="CZ714" s="307">
        <v>1.0438079309999999</v>
      </c>
    </row>
    <row r="715" spans="97:104">
      <c r="CS715" s="332"/>
      <c r="CT715" s="366" t="s">
        <v>4227</v>
      </c>
      <c r="CU715" s="307" t="s">
        <v>208</v>
      </c>
      <c r="CV715" s="307" t="s">
        <v>4193</v>
      </c>
      <c r="CW715" s="366" t="s">
        <v>35</v>
      </c>
      <c r="CX715" s="307">
        <v>1.0748230969999999</v>
      </c>
      <c r="CY715" s="307">
        <v>1.0748230969999999</v>
      </c>
      <c r="CZ715" s="307">
        <v>1.0748230969999999</v>
      </c>
    </row>
    <row r="716" spans="97:104">
      <c r="CS716" s="332"/>
      <c r="CT716" s="366" t="s">
        <v>4228</v>
      </c>
      <c r="CU716" s="307" t="s">
        <v>208</v>
      </c>
      <c r="CV716" s="307" t="s">
        <v>4193</v>
      </c>
      <c r="CW716" s="366" t="s">
        <v>36</v>
      </c>
      <c r="CX716" s="307">
        <v>1.099791722</v>
      </c>
      <c r="CY716" s="307">
        <v>1.099791722</v>
      </c>
      <c r="CZ716" s="307">
        <v>1.099791722</v>
      </c>
    </row>
    <row r="717" spans="97:104">
      <c r="CS717" s="332"/>
      <c r="CT717" s="366" t="s">
        <v>4229</v>
      </c>
      <c r="CU717" s="307" t="s">
        <v>208</v>
      </c>
      <c r="CV717" s="307" t="s">
        <v>4193</v>
      </c>
      <c r="CW717" s="366" t="s">
        <v>37</v>
      </c>
      <c r="CX717" s="307">
        <v>1.1195473650000001</v>
      </c>
      <c r="CY717" s="307">
        <v>1.1195473650000001</v>
      </c>
      <c r="CZ717" s="307">
        <v>1.1195473650000001</v>
      </c>
    </row>
    <row r="718" spans="97:104">
      <c r="CS718" s="332"/>
      <c r="CT718" s="366" t="s">
        <v>4230</v>
      </c>
      <c r="CU718" s="307" t="s">
        <v>208</v>
      </c>
      <c r="CV718" s="307" t="s">
        <v>4193</v>
      </c>
      <c r="CW718" s="366" t="s">
        <v>20</v>
      </c>
      <c r="CX718" s="307">
        <v>1.135</v>
      </c>
      <c r="CY718" s="307">
        <v>1.135</v>
      </c>
      <c r="CZ718" s="307">
        <v>1.135</v>
      </c>
    </row>
    <row r="719" spans="97:104">
      <c r="CS719" s="332"/>
      <c r="CT719" s="366" t="s">
        <v>4231</v>
      </c>
      <c r="CU719" s="307" t="s">
        <v>208</v>
      </c>
      <c r="CV719" s="307" t="s">
        <v>4193</v>
      </c>
      <c r="CW719" s="366" t="s">
        <v>38</v>
      </c>
      <c r="CX719" s="307">
        <v>1.1465149459999999</v>
      </c>
      <c r="CY719" s="307">
        <v>1.1465149459999999</v>
      </c>
      <c r="CZ719" s="307">
        <v>1.1465149459999999</v>
      </c>
    </row>
    <row r="720" spans="97:104">
      <c r="CS720" s="332"/>
      <c r="CT720" s="366" t="s">
        <v>4232</v>
      </c>
      <c r="CU720" s="307" t="s">
        <v>208</v>
      </c>
      <c r="CV720" s="307" t="s">
        <v>4193</v>
      </c>
      <c r="CW720" s="366" t="s">
        <v>39</v>
      </c>
      <c r="CX720" s="307">
        <v>1.1549966599999999</v>
      </c>
      <c r="CY720" s="307">
        <v>1.1549966599999999</v>
      </c>
      <c r="CZ720" s="307">
        <v>1.1549966599999999</v>
      </c>
    </row>
    <row r="721" spans="97:104">
      <c r="CS721" s="332"/>
      <c r="CT721" s="366" t="s">
        <v>4233</v>
      </c>
      <c r="CU721" s="307" t="s">
        <v>208</v>
      </c>
      <c r="CV721" s="307" t="s">
        <v>4193</v>
      </c>
      <c r="CW721" s="366" t="s">
        <v>40</v>
      </c>
      <c r="CX721" s="307">
        <v>1.161313571</v>
      </c>
      <c r="CY721" s="307">
        <v>1.161313571</v>
      </c>
      <c r="CZ721" s="307">
        <v>1.161313571</v>
      </c>
    </row>
    <row r="722" spans="97:104">
      <c r="CS722" s="332"/>
      <c r="CT722" s="366" t="s">
        <v>4234</v>
      </c>
      <c r="CU722" s="307" t="s">
        <v>208</v>
      </c>
      <c r="CV722" s="307" t="s">
        <v>4193</v>
      </c>
      <c r="CW722" s="366" t="s">
        <v>41</v>
      </c>
      <c r="CX722" s="307">
        <v>1.166230731</v>
      </c>
      <c r="CY722" s="307">
        <v>1.166230731</v>
      </c>
      <c r="CZ722" s="307">
        <v>1.166230731</v>
      </c>
    </row>
    <row r="723" spans="97:104">
      <c r="CS723" s="332"/>
      <c r="CT723" s="366" t="s">
        <v>4235</v>
      </c>
      <c r="CU723" s="307" t="s">
        <v>208</v>
      </c>
      <c r="CV723" s="307" t="s">
        <v>4193</v>
      </c>
      <c r="CW723" s="366" t="s">
        <v>21</v>
      </c>
      <c r="CX723" s="307">
        <v>1.17</v>
      </c>
      <c r="CY723" s="307">
        <v>1.17</v>
      </c>
      <c r="CZ723" s="307">
        <v>1.17</v>
      </c>
    </row>
    <row r="724" spans="97:104">
      <c r="CS724" s="332"/>
      <c r="CT724" s="366" t="s">
        <v>4236</v>
      </c>
      <c r="CU724" s="307" t="s">
        <v>208</v>
      </c>
      <c r="CV724" s="307" t="s">
        <v>4193</v>
      </c>
      <c r="CW724" s="366" t="s">
        <v>42</v>
      </c>
      <c r="CX724" s="307">
        <v>1.173130225</v>
      </c>
      <c r="CY724" s="307">
        <v>1.173130225</v>
      </c>
      <c r="CZ724" s="307">
        <v>1.173130225</v>
      </c>
    </row>
    <row r="725" spans="97:104">
      <c r="CS725" s="332"/>
      <c r="CT725" s="366" t="s">
        <v>4237</v>
      </c>
      <c r="CU725" s="307" t="s">
        <v>208</v>
      </c>
      <c r="CV725" s="307" t="s">
        <v>4193</v>
      </c>
      <c r="CW725" s="366" t="s">
        <v>43</v>
      </c>
      <c r="CX725" s="307">
        <v>1.175699206</v>
      </c>
      <c r="CY725" s="307">
        <v>1.175699206</v>
      </c>
      <c r="CZ725" s="307">
        <v>1.175699206</v>
      </c>
    </row>
    <row r="726" spans="97:104">
      <c r="CS726" s="332"/>
      <c r="CT726" s="366" t="s">
        <v>4238</v>
      </c>
      <c r="CU726" s="307" t="s">
        <v>208</v>
      </c>
      <c r="CV726" s="307" t="s">
        <v>4193</v>
      </c>
      <c r="CW726" s="366" t="s">
        <v>44</v>
      </c>
      <c r="CX726" s="307">
        <v>1.177772373</v>
      </c>
      <c r="CY726" s="307">
        <v>1.177772373</v>
      </c>
      <c r="CZ726" s="307">
        <v>1.177772373</v>
      </c>
    </row>
    <row r="727" spans="97:104">
      <c r="CS727" s="332"/>
      <c r="CT727" s="366" t="s">
        <v>4239</v>
      </c>
      <c r="CU727" s="307" t="s">
        <v>208</v>
      </c>
      <c r="CV727" s="307" t="s">
        <v>4193</v>
      </c>
      <c r="CW727" s="366" t="s">
        <v>45</v>
      </c>
      <c r="CX727" s="307">
        <v>1.1791747800000001</v>
      </c>
      <c r="CY727" s="307">
        <v>1.1791747800000001</v>
      </c>
      <c r="CZ727" s="307">
        <v>1.1791747800000001</v>
      </c>
    </row>
    <row r="728" spans="97:104">
      <c r="CS728" s="332"/>
      <c r="CT728" s="366" t="s">
        <v>4240</v>
      </c>
      <c r="CU728" s="307" t="s">
        <v>208</v>
      </c>
      <c r="CV728" s="307" t="s">
        <v>4193</v>
      </c>
      <c r="CW728" s="366" t="s">
        <v>22</v>
      </c>
      <c r="CX728" s="307">
        <v>1.18</v>
      </c>
      <c r="CY728" s="307">
        <v>1.18</v>
      </c>
      <c r="CZ728" s="307">
        <v>1.18</v>
      </c>
    </row>
    <row r="729" spans="97:104">
      <c r="CS729" s="332"/>
      <c r="CT729" s="366" t="s">
        <v>4241</v>
      </c>
      <c r="CU729" s="307" t="s">
        <v>208</v>
      </c>
      <c r="CV729" s="307" t="s">
        <v>4193</v>
      </c>
      <c r="CW729" s="366" t="s">
        <v>46</v>
      </c>
      <c r="CX729" s="307">
        <v>1.165</v>
      </c>
      <c r="CY729" s="307">
        <v>1.165</v>
      </c>
      <c r="CZ729" s="307">
        <v>1.165</v>
      </c>
    </row>
    <row r="730" spans="97:104">
      <c r="CS730" s="332"/>
      <c r="CT730" s="366" t="s">
        <v>4242</v>
      </c>
      <c r="CU730" s="307" t="s">
        <v>208</v>
      </c>
      <c r="CV730" s="307" t="s">
        <v>4193</v>
      </c>
      <c r="CW730" s="366" t="s">
        <v>47</v>
      </c>
      <c r="CX730" s="307">
        <v>1.111</v>
      </c>
      <c r="CY730" s="307">
        <v>1.111</v>
      </c>
      <c r="CZ730" s="307">
        <v>1.111</v>
      </c>
    </row>
    <row r="731" spans="97:104">
      <c r="CS731" s="332"/>
      <c r="CT731" s="366" t="s">
        <v>4243</v>
      </c>
      <c r="CU731" s="307" t="s">
        <v>208</v>
      </c>
      <c r="CV731" s="307" t="s">
        <v>4193</v>
      </c>
      <c r="CW731" s="366" t="s">
        <v>48</v>
      </c>
      <c r="CX731" s="307">
        <v>1.0760000000000001</v>
      </c>
      <c r="CY731" s="307">
        <v>1.0760000000000001</v>
      </c>
      <c r="CZ731" s="307">
        <v>1.0760000000000001</v>
      </c>
    </row>
    <row r="732" spans="97:104">
      <c r="CS732" s="332"/>
      <c r="CT732" s="366" t="s">
        <v>1882</v>
      </c>
      <c r="CU732" s="307" t="s">
        <v>208</v>
      </c>
      <c r="CV732" s="307" t="s">
        <v>1883</v>
      </c>
      <c r="CW732" s="366" t="s">
        <v>3</v>
      </c>
      <c r="CX732" s="307">
        <v>0.56899999999999995</v>
      </c>
      <c r="CY732" s="307">
        <v>0.56899999999999995</v>
      </c>
      <c r="CZ732" s="307">
        <v>0.56899999999999995</v>
      </c>
    </row>
    <row r="733" spans="97:104">
      <c r="CS733" s="332"/>
      <c r="CT733" s="366" t="s">
        <v>1884</v>
      </c>
      <c r="CU733" s="307" t="s">
        <v>208</v>
      </c>
      <c r="CV733" s="307" t="s">
        <v>1883</v>
      </c>
      <c r="CW733" s="366" t="s">
        <v>4</v>
      </c>
      <c r="CX733" s="307">
        <v>-0.37</v>
      </c>
      <c r="CY733" s="307">
        <v>-0.37</v>
      </c>
      <c r="CZ733" s="307">
        <v>-0.37</v>
      </c>
    </row>
    <row r="734" spans="97:104">
      <c r="CS734" s="332"/>
      <c r="CT734" s="366" t="s">
        <v>1885</v>
      </c>
      <c r="CU734" s="307" t="s">
        <v>208</v>
      </c>
      <c r="CV734" s="307" t="s">
        <v>1883</v>
      </c>
      <c r="CW734" s="366" t="s">
        <v>23</v>
      </c>
      <c r="CX734" s="307">
        <v>-0.37</v>
      </c>
      <c r="CY734" s="307">
        <v>-0.37</v>
      </c>
      <c r="CZ734" s="307">
        <v>-0.37</v>
      </c>
    </row>
    <row r="735" spans="97:104">
      <c r="CS735" s="332"/>
      <c r="CT735" s="366" t="s">
        <v>1886</v>
      </c>
      <c r="CU735" s="307" t="s">
        <v>208</v>
      </c>
      <c r="CV735" s="307" t="s">
        <v>1883</v>
      </c>
      <c r="CW735" s="366" t="s">
        <v>5</v>
      </c>
      <c r="CX735" s="307">
        <v>-0.37</v>
      </c>
      <c r="CY735" s="307">
        <v>-0.37</v>
      </c>
      <c r="CZ735" s="307">
        <v>-0.37</v>
      </c>
    </row>
    <row r="736" spans="97:104">
      <c r="CS736" s="332"/>
      <c r="CT736" s="366" t="s">
        <v>1887</v>
      </c>
      <c r="CU736" s="307" t="s">
        <v>208</v>
      </c>
      <c r="CV736" s="307" t="s">
        <v>1883</v>
      </c>
      <c r="CW736" s="366" t="s">
        <v>7</v>
      </c>
      <c r="CX736" s="307">
        <v>-0.37</v>
      </c>
      <c r="CY736" s="307">
        <v>-0.37</v>
      </c>
      <c r="CZ736" s="307">
        <v>-0.37</v>
      </c>
    </row>
    <row r="737" spans="97:104">
      <c r="CS737" s="332"/>
      <c r="CT737" s="366" t="s">
        <v>1888</v>
      </c>
      <c r="CU737" s="307" t="s">
        <v>208</v>
      </c>
      <c r="CV737" s="307" t="s">
        <v>1883</v>
      </c>
      <c r="CW737" s="366" t="s">
        <v>8</v>
      </c>
      <c r="CX737" s="307">
        <v>-0.33</v>
      </c>
      <c r="CY737" s="307">
        <v>-0.33</v>
      </c>
      <c r="CZ737" s="307">
        <v>-0.33</v>
      </c>
    </row>
    <row r="738" spans="97:104">
      <c r="CS738" s="332"/>
      <c r="CT738" s="366" t="s">
        <v>1889</v>
      </c>
      <c r="CU738" s="307" t="s">
        <v>208</v>
      </c>
      <c r="CV738" s="307" t="s">
        <v>1883</v>
      </c>
      <c r="CW738" s="366" t="s">
        <v>25</v>
      </c>
      <c r="CX738" s="307">
        <v>-0.3</v>
      </c>
      <c r="CY738" s="307">
        <v>-0.3</v>
      </c>
      <c r="CZ738" s="307">
        <v>-0.3</v>
      </c>
    </row>
    <row r="739" spans="97:104">
      <c r="CS739" s="332"/>
      <c r="CT739" s="366" t="s">
        <v>1890</v>
      </c>
      <c r="CU739" s="307" t="s">
        <v>208</v>
      </c>
      <c r="CV739" s="307" t="s">
        <v>1883</v>
      </c>
      <c r="CW739" s="366" t="s">
        <v>56</v>
      </c>
      <c r="CX739" s="307">
        <v>-0.19343618400000001</v>
      </c>
      <c r="CY739" s="307">
        <v>-0.19343618400000001</v>
      </c>
      <c r="CZ739" s="307">
        <v>-0.19343618400000001</v>
      </c>
    </row>
    <row r="740" spans="97:104">
      <c r="CS740" s="332"/>
      <c r="CT740" s="366" t="s">
        <v>1891</v>
      </c>
      <c r="CU740" s="307" t="s">
        <v>208</v>
      </c>
      <c r="CV740" s="307" t="s">
        <v>1883</v>
      </c>
      <c r="CW740" s="366" t="s">
        <v>9</v>
      </c>
      <c r="CX740" s="307">
        <v>-0.13622922800000001</v>
      </c>
      <c r="CY740" s="307">
        <v>-0.13622922800000001</v>
      </c>
      <c r="CZ740" s="307">
        <v>-0.13622922800000001</v>
      </c>
    </row>
    <row r="741" spans="97:104">
      <c r="CS741" s="332"/>
      <c r="CT741" s="366" t="s">
        <v>1892</v>
      </c>
      <c r="CU741" s="307" t="s">
        <v>208</v>
      </c>
      <c r="CV741" s="307" t="s">
        <v>1883</v>
      </c>
      <c r="CW741" s="366" t="s">
        <v>10</v>
      </c>
      <c r="CX741" s="307">
        <v>-6.0999999999999999E-2</v>
      </c>
      <c r="CY741" s="307">
        <v>-6.0999999999999999E-2</v>
      </c>
      <c r="CZ741" s="307">
        <v>-6.0999999999999999E-2</v>
      </c>
    </row>
    <row r="742" spans="97:104">
      <c r="CS742" s="332"/>
      <c r="CT742" s="366" t="s">
        <v>1893</v>
      </c>
      <c r="CU742" s="307" t="s">
        <v>208</v>
      </c>
      <c r="CV742" s="307" t="s">
        <v>1883</v>
      </c>
      <c r="CW742" s="366" t="s">
        <v>11</v>
      </c>
      <c r="CX742" s="307">
        <v>2.8000000000000001E-2</v>
      </c>
      <c r="CY742" s="307">
        <v>2.8000000000000001E-2</v>
      </c>
      <c r="CZ742" s="307">
        <v>2.8000000000000001E-2</v>
      </c>
    </row>
    <row r="743" spans="97:104">
      <c r="CS743" s="332"/>
      <c r="CT743" s="366" t="s">
        <v>1894</v>
      </c>
      <c r="CU743" s="307" t="s">
        <v>208</v>
      </c>
      <c r="CV743" s="307" t="s">
        <v>1883</v>
      </c>
      <c r="CW743" s="366" t="s">
        <v>12</v>
      </c>
      <c r="CX743" s="307">
        <v>0.13200000000000001</v>
      </c>
      <c r="CY743" s="307">
        <v>0.13200000000000001</v>
      </c>
      <c r="CZ743" s="307">
        <v>0.13200000000000001</v>
      </c>
    </row>
    <row r="744" spans="97:104">
      <c r="CS744" s="332"/>
      <c r="CT744" s="366" t="s">
        <v>1895</v>
      </c>
      <c r="CU744" s="307" t="s">
        <v>208</v>
      </c>
      <c r="CV744" s="307" t="s">
        <v>1883</v>
      </c>
      <c r="CW744" s="366" t="s">
        <v>13</v>
      </c>
      <c r="CX744" s="307">
        <v>0.24199999999999999</v>
      </c>
      <c r="CY744" s="307">
        <v>0.24199999999999999</v>
      </c>
      <c r="CZ744" s="307">
        <v>0.24199999999999999</v>
      </c>
    </row>
    <row r="745" spans="97:104">
      <c r="CS745" s="332"/>
      <c r="CT745" s="366" t="s">
        <v>1896</v>
      </c>
      <c r="CU745" s="307" t="s">
        <v>208</v>
      </c>
      <c r="CV745" s="307" t="s">
        <v>1883</v>
      </c>
      <c r="CW745" s="366" t="s">
        <v>14</v>
      </c>
      <c r="CX745" s="307">
        <v>0.35499999999999998</v>
      </c>
      <c r="CY745" s="307">
        <v>0.35499999999999998</v>
      </c>
      <c r="CZ745" s="307">
        <v>0.35499999999999998</v>
      </c>
    </row>
    <row r="746" spans="97:104">
      <c r="CS746" s="332"/>
      <c r="CT746" s="366" t="s">
        <v>1897</v>
      </c>
      <c r="CU746" s="307" t="s">
        <v>208</v>
      </c>
      <c r="CV746" s="307" t="s">
        <v>1883</v>
      </c>
      <c r="CW746" s="366" t="s">
        <v>15</v>
      </c>
      <c r="CX746" s="307">
        <v>0.46700000000000003</v>
      </c>
      <c r="CY746" s="307">
        <v>0.46700000000000003</v>
      </c>
      <c r="CZ746" s="307">
        <v>0.46700000000000003</v>
      </c>
    </row>
    <row r="747" spans="97:104">
      <c r="CS747" s="332"/>
      <c r="CT747" s="366" t="s">
        <v>1898</v>
      </c>
      <c r="CU747" s="307" t="s">
        <v>208</v>
      </c>
      <c r="CV747" s="307" t="s">
        <v>1883</v>
      </c>
      <c r="CW747" s="366" t="s">
        <v>16</v>
      </c>
      <c r="CX747" s="307">
        <v>0.57399999999999995</v>
      </c>
      <c r="CY747" s="307">
        <v>0.57399999999999995</v>
      </c>
      <c r="CZ747" s="307">
        <v>0.57399999999999995</v>
      </c>
    </row>
    <row r="748" spans="97:104">
      <c r="CS748" s="332"/>
      <c r="CT748" s="366" t="s">
        <v>1899</v>
      </c>
      <c r="CU748" s="307" t="s">
        <v>208</v>
      </c>
      <c r="CV748" s="307" t="s">
        <v>1883</v>
      </c>
      <c r="CW748" s="366" t="s">
        <v>17</v>
      </c>
      <c r="CX748" s="307">
        <v>0.67100000000000004</v>
      </c>
      <c r="CY748" s="307">
        <v>0.67100000000000004</v>
      </c>
      <c r="CZ748" s="307">
        <v>0.67100000000000004</v>
      </c>
    </row>
    <row r="749" spans="97:104">
      <c r="CS749" s="332"/>
      <c r="CT749" s="366" t="s">
        <v>1900</v>
      </c>
      <c r="CU749" s="307" t="s">
        <v>208</v>
      </c>
      <c r="CV749" s="307" t="s">
        <v>1883</v>
      </c>
      <c r="CW749" s="366" t="s">
        <v>31</v>
      </c>
      <c r="CX749" s="307">
        <v>0.75775925600000005</v>
      </c>
      <c r="CY749" s="307">
        <v>0.75775925600000005</v>
      </c>
      <c r="CZ749" s="307">
        <v>0.75775925600000005</v>
      </c>
    </row>
    <row r="750" spans="97:104">
      <c r="CS750" s="332"/>
      <c r="CT750" s="366" t="s">
        <v>1901</v>
      </c>
      <c r="CU750" s="307" t="s">
        <v>208</v>
      </c>
      <c r="CV750" s="307" t="s">
        <v>1883</v>
      </c>
      <c r="CW750" s="366" t="s">
        <v>18</v>
      </c>
      <c r="CX750" s="307">
        <v>0.83499999999999996</v>
      </c>
      <c r="CY750" s="307">
        <v>0.83499999999999996</v>
      </c>
      <c r="CZ750" s="307">
        <v>0.83499999999999996</v>
      </c>
    </row>
    <row r="751" spans="97:104">
      <c r="CS751" s="332"/>
      <c r="CT751" s="366" t="s">
        <v>1902</v>
      </c>
      <c r="CU751" s="307" t="s">
        <v>208</v>
      </c>
      <c r="CV751" s="307" t="s">
        <v>1883</v>
      </c>
      <c r="CW751" s="366" t="s">
        <v>32</v>
      </c>
      <c r="CX751" s="307">
        <v>0.901469878</v>
      </c>
      <c r="CY751" s="307">
        <v>0.901469878</v>
      </c>
      <c r="CZ751" s="307">
        <v>0.901469878</v>
      </c>
    </row>
    <row r="752" spans="97:104">
      <c r="CS752" s="332"/>
      <c r="CT752" s="366" t="s">
        <v>1903</v>
      </c>
      <c r="CU752" s="307" t="s">
        <v>208</v>
      </c>
      <c r="CV752" s="307" t="s">
        <v>1883</v>
      </c>
      <c r="CW752" s="366" t="s">
        <v>33</v>
      </c>
      <c r="CX752" s="307">
        <v>0.95791295300000001</v>
      </c>
      <c r="CY752" s="307">
        <v>0.95791295300000001</v>
      </c>
      <c r="CZ752" s="307">
        <v>0.95791295300000001</v>
      </c>
    </row>
    <row r="753" spans="97:104">
      <c r="CS753" s="332"/>
      <c r="CT753" s="366" t="s">
        <v>1904</v>
      </c>
      <c r="CU753" s="307" t="s">
        <v>208</v>
      </c>
      <c r="CV753" s="307" t="s">
        <v>1883</v>
      </c>
      <c r="CW753" s="366" t="s">
        <v>19</v>
      </c>
      <c r="CX753" s="307">
        <v>1.0049999999999999</v>
      </c>
      <c r="CY753" s="307">
        <v>1.0049999999999999</v>
      </c>
      <c r="CZ753" s="307">
        <v>1.0049999999999999</v>
      </c>
    </row>
    <row r="754" spans="97:104">
      <c r="CS754" s="332"/>
      <c r="CT754" s="366" t="s">
        <v>1905</v>
      </c>
      <c r="CU754" s="307" t="s">
        <v>208</v>
      </c>
      <c r="CV754" s="307" t="s">
        <v>1883</v>
      </c>
      <c r="CW754" s="366" t="s">
        <v>34</v>
      </c>
      <c r="CX754" s="307">
        <v>1.0438079309999999</v>
      </c>
      <c r="CY754" s="307">
        <v>1.0438079309999999</v>
      </c>
      <c r="CZ754" s="307">
        <v>1.0438079309999999</v>
      </c>
    </row>
    <row r="755" spans="97:104">
      <c r="CS755" s="332"/>
      <c r="CT755" s="366" t="s">
        <v>1906</v>
      </c>
      <c r="CU755" s="307" t="s">
        <v>208</v>
      </c>
      <c r="CV755" s="307" t="s">
        <v>1883</v>
      </c>
      <c r="CW755" s="366" t="s">
        <v>35</v>
      </c>
      <c r="CX755" s="307">
        <v>1.0748230969999999</v>
      </c>
      <c r="CY755" s="307">
        <v>1.0748230969999999</v>
      </c>
      <c r="CZ755" s="307">
        <v>1.0748230969999999</v>
      </c>
    </row>
    <row r="756" spans="97:104">
      <c r="CS756" s="332"/>
      <c r="CT756" s="366" t="s">
        <v>1907</v>
      </c>
      <c r="CU756" s="307" t="s">
        <v>208</v>
      </c>
      <c r="CV756" s="307" t="s">
        <v>1883</v>
      </c>
      <c r="CW756" s="366" t="s">
        <v>36</v>
      </c>
      <c r="CX756" s="307">
        <v>1.099791722</v>
      </c>
      <c r="CY756" s="307">
        <v>1.099791722</v>
      </c>
      <c r="CZ756" s="307">
        <v>1.099791722</v>
      </c>
    </row>
    <row r="757" spans="97:104">
      <c r="CS757" s="332"/>
      <c r="CT757" s="366" t="s">
        <v>1908</v>
      </c>
      <c r="CU757" s="307" t="s">
        <v>208</v>
      </c>
      <c r="CV757" s="307" t="s">
        <v>1883</v>
      </c>
      <c r="CW757" s="366" t="s">
        <v>37</v>
      </c>
      <c r="CX757" s="307">
        <v>1.1195473650000001</v>
      </c>
      <c r="CY757" s="307">
        <v>1.1195473650000001</v>
      </c>
      <c r="CZ757" s="307">
        <v>1.1195473650000001</v>
      </c>
    </row>
    <row r="758" spans="97:104">
      <c r="CS758" s="332"/>
      <c r="CT758" s="366" t="s">
        <v>1909</v>
      </c>
      <c r="CU758" s="307" t="s">
        <v>208</v>
      </c>
      <c r="CV758" s="307" t="s">
        <v>1883</v>
      </c>
      <c r="CW758" s="366" t="s">
        <v>20</v>
      </c>
      <c r="CX758" s="307">
        <v>1.135</v>
      </c>
      <c r="CY758" s="307">
        <v>1.135</v>
      </c>
      <c r="CZ758" s="307">
        <v>1.135</v>
      </c>
    </row>
    <row r="759" spans="97:104">
      <c r="CS759" s="332"/>
      <c r="CT759" s="366" t="s">
        <v>1910</v>
      </c>
      <c r="CU759" s="307" t="s">
        <v>208</v>
      </c>
      <c r="CV759" s="307" t="s">
        <v>1883</v>
      </c>
      <c r="CW759" s="366" t="s">
        <v>38</v>
      </c>
      <c r="CX759" s="307">
        <v>1.1465149459999999</v>
      </c>
      <c r="CY759" s="307">
        <v>1.1465149459999999</v>
      </c>
      <c r="CZ759" s="307">
        <v>1.1465149459999999</v>
      </c>
    </row>
    <row r="760" spans="97:104">
      <c r="CS760" s="332"/>
      <c r="CT760" s="366" t="s">
        <v>1911</v>
      </c>
      <c r="CU760" s="307" t="s">
        <v>208</v>
      </c>
      <c r="CV760" s="307" t="s">
        <v>1883</v>
      </c>
      <c r="CW760" s="366" t="s">
        <v>39</v>
      </c>
      <c r="CX760" s="307">
        <v>1.1549966599999999</v>
      </c>
      <c r="CY760" s="307">
        <v>1.1549966599999999</v>
      </c>
      <c r="CZ760" s="307">
        <v>1.1549966599999999</v>
      </c>
    </row>
    <row r="761" spans="97:104">
      <c r="CS761" s="332"/>
      <c r="CT761" s="366" t="s">
        <v>1912</v>
      </c>
      <c r="CU761" s="307" t="s">
        <v>208</v>
      </c>
      <c r="CV761" s="307" t="s">
        <v>1883</v>
      </c>
      <c r="CW761" s="366" t="s">
        <v>40</v>
      </c>
      <c r="CX761" s="307">
        <v>1.161313571</v>
      </c>
      <c r="CY761" s="307">
        <v>1.161313571</v>
      </c>
      <c r="CZ761" s="307">
        <v>1.161313571</v>
      </c>
    </row>
    <row r="762" spans="97:104">
      <c r="CS762" s="332"/>
      <c r="CT762" s="366" t="s">
        <v>1913</v>
      </c>
      <c r="CU762" s="307" t="s">
        <v>208</v>
      </c>
      <c r="CV762" s="307" t="s">
        <v>1883</v>
      </c>
      <c r="CW762" s="366" t="s">
        <v>41</v>
      </c>
      <c r="CX762" s="307">
        <v>1.166230731</v>
      </c>
      <c r="CY762" s="307">
        <v>1.166230731</v>
      </c>
      <c r="CZ762" s="307">
        <v>1.166230731</v>
      </c>
    </row>
    <row r="763" spans="97:104">
      <c r="CS763" s="332"/>
      <c r="CT763" s="366" t="s">
        <v>1914</v>
      </c>
      <c r="CU763" s="307" t="s">
        <v>208</v>
      </c>
      <c r="CV763" s="307" t="s">
        <v>1883</v>
      </c>
      <c r="CW763" s="366" t="s">
        <v>21</v>
      </c>
      <c r="CX763" s="307">
        <v>1.17</v>
      </c>
      <c r="CY763" s="307">
        <v>1.17</v>
      </c>
      <c r="CZ763" s="307">
        <v>1.17</v>
      </c>
    </row>
    <row r="764" spans="97:104">
      <c r="CS764" s="332"/>
      <c r="CT764" s="366" t="s">
        <v>1915</v>
      </c>
      <c r="CU764" s="307" t="s">
        <v>208</v>
      </c>
      <c r="CV764" s="307" t="s">
        <v>1883</v>
      </c>
      <c r="CW764" s="366" t="s">
        <v>42</v>
      </c>
      <c r="CX764" s="307">
        <v>1.173130225</v>
      </c>
      <c r="CY764" s="307">
        <v>1.173130225</v>
      </c>
      <c r="CZ764" s="307">
        <v>1.173130225</v>
      </c>
    </row>
    <row r="765" spans="97:104">
      <c r="CS765" s="332"/>
      <c r="CT765" s="366" t="s">
        <v>1916</v>
      </c>
      <c r="CU765" s="307" t="s">
        <v>208</v>
      </c>
      <c r="CV765" s="307" t="s">
        <v>1883</v>
      </c>
      <c r="CW765" s="366" t="s">
        <v>43</v>
      </c>
      <c r="CX765" s="307">
        <v>1.175699206</v>
      </c>
      <c r="CY765" s="307">
        <v>1.175699206</v>
      </c>
      <c r="CZ765" s="307">
        <v>1.175699206</v>
      </c>
    </row>
    <row r="766" spans="97:104">
      <c r="CS766" s="332"/>
      <c r="CT766" s="366" t="s">
        <v>1917</v>
      </c>
      <c r="CU766" s="307" t="s">
        <v>208</v>
      </c>
      <c r="CV766" s="307" t="s">
        <v>1883</v>
      </c>
      <c r="CW766" s="366" t="s">
        <v>44</v>
      </c>
      <c r="CX766" s="307">
        <v>1.177772373</v>
      </c>
      <c r="CY766" s="307">
        <v>1.177772373</v>
      </c>
      <c r="CZ766" s="307">
        <v>1.177772373</v>
      </c>
    </row>
    <row r="767" spans="97:104">
      <c r="CS767" s="332"/>
      <c r="CT767" s="366" t="s">
        <v>1918</v>
      </c>
      <c r="CU767" s="307" t="s">
        <v>208</v>
      </c>
      <c r="CV767" s="307" t="s">
        <v>1883</v>
      </c>
      <c r="CW767" s="366" t="s">
        <v>45</v>
      </c>
      <c r="CX767" s="307">
        <v>1.1791747800000001</v>
      </c>
      <c r="CY767" s="307">
        <v>1.1791747800000001</v>
      </c>
      <c r="CZ767" s="307">
        <v>1.1791747800000001</v>
      </c>
    </row>
    <row r="768" spans="97:104">
      <c r="CS768" s="332"/>
      <c r="CT768" s="366" t="s">
        <v>1919</v>
      </c>
      <c r="CU768" s="307" t="s">
        <v>208</v>
      </c>
      <c r="CV768" s="307" t="s">
        <v>1883</v>
      </c>
      <c r="CW768" s="366" t="s">
        <v>22</v>
      </c>
      <c r="CX768" s="307">
        <v>1.18</v>
      </c>
      <c r="CY768" s="307">
        <v>1.18</v>
      </c>
      <c r="CZ768" s="307">
        <v>1.18</v>
      </c>
    </row>
    <row r="769" spans="97:104">
      <c r="CS769" s="332"/>
      <c r="CT769" s="366" t="s">
        <v>1920</v>
      </c>
      <c r="CU769" s="307" t="s">
        <v>208</v>
      </c>
      <c r="CV769" s="307" t="s">
        <v>1921</v>
      </c>
      <c r="CW769" s="366" t="s">
        <v>7</v>
      </c>
      <c r="CX769" s="307">
        <v>0.19259880600000001</v>
      </c>
      <c r="CY769" s="307">
        <v>0.18051820399999999</v>
      </c>
      <c r="CZ769" s="307">
        <v>0.18655850499999999</v>
      </c>
    </row>
    <row r="770" spans="97:104">
      <c r="CS770" s="332"/>
      <c r="CT770" s="366" t="s">
        <v>1922</v>
      </c>
      <c r="CU770" s="307" t="s">
        <v>208</v>
      </c>
      <c r="CV770" s="307" t="s">
        <v>1921</v>
      </c>
      <c r="CW770" s="366" t="s">
        <v>8</v>
      </c>
      <c r="CX770" s="307">
        <v>0.210947622</v>
      </c>
      <c r="CY770" s="307">
        <v>0.210947622</v>
      </c>
      <c r="CZ770" s="307">
        <v>0.210947622</v>
      </c>
    </row>
    <row r="771" spans="97:104">
      <c r="CS771" s="332"/>
      <c r="CT771" s="366" t="s">
        <v>1923</v>
      </c>
      <c r="CU771" s="307" t="s">
        <v>208</v>
      </c>
      <c r="CV771" s="307" t="s">
        <v>1921</v>
      </c>
      <c r="CW771" s="366" t="s">
        <v>25</v>
      </c>
      <c r="CX771" s="307">
        <v>0.21722535100000001</v>
      </c>
      <c r="CY771" s="307">
        <v>0.21572601399999999</v>
      </c>
      <c r="CZ771" s="307">
        <v>0.21647568249999999</v>
      </c>
    </row>
    <row r="772" spans="97:104">
      <c r="CS772" s="332"/>
      <c r="CT772" s="366" t="s">
        <v>1924</v>
      </c>
      <c r="CU772" s="307" t="s">
        <v>208</v>
      </c>
      <c r="CV772" s="307" t="s">
        <v>1921</v>
      </c>
      <c r="CW772" s="366" t="s">
        <v>28</v>
      </c>
      <c r="CX772" s="307">
        <v>0.250512444</v>
      </c>
      <c r="CY772" s="307">
        <v>0.30408073600000002</v>
      </c>
      <c r="CZ772" s="307">
        <v>0.27729659000000001</v>
      </c>
    </row>
    <row r="773" spans="97:104">
      <c r="CS773" s="332"/>
      <c r="CT773" s="366" t="s">
        <v>1925</v>
      </c>
      <c r="CU773" s="307" t="s">
        <v>208</v>
      </c>
      <c r="CV773" s="307" t="s">
        <v>1921</v>
      </c>
      <c r="CW773" s="366" t="s">
        <v>49</v>
      </c>
      <c r="CX773" s="307">
        <v>0.32522258999999998</v>
      </c>
      <c r="CY773" s="307">
        <v>0.32522258999999998</v>
      </c>
      <c r="CZ773" s="307">
        <v>0.32522258999999998</v>
      </c>
    </row>
    <row r="774" spans="97:104">
      <c r="CS774" s="332"/>
      <c r="CT774" s="366" t="s">
        <v>1926</v>
      </c>
      <c r="CU774" s="307" t="s">
        <v>208</v>
      </c>
      <c r="CV774" s="307" t="s">
        <v>1921</v>
      </c>
      <c r="CW774" s="366" t="s">
        <v>56</v>
      </c>
      <c r="CX774" s="307">
        <v>0.38735754</v>
      </c>
      <c r="CY774" s="307">
        <v>0.38718531299999998</v>
      </c>
      <c r="CZ774" s="307">
        <v>0.38727142650000002</v>
      </c>
    </row>
    <row r="775" spans="97:104">
      <c r="CS775" s="332"/>
      <c r="CT775" s="366" t="s">
        <v>1927</v>
      </c>
      <c r="CU775" s="307" t="s">
        <v>208</v>
      </c>
      <c r="CV775" s="307" t="s">
        <v>1921</v>
      </c>
      <c r="CW775" s="366" t="s">
        <v>9</v>
      </c>
      <c r="CX775" s="307">
        <v>0.55840606400000004</v>
      </c>
      <c r="CY775" s="307">
        <v>0.55840939000000001</v>
      </c>
      <c r="CZ775" s="307">
        <v>0.55840772700000008</v>
      </c>
    </row>
    <row r="776" spans="97:104">
      <c r="CS776" s="332"/>
      <c r="CT776" s="366" t="s">
        <v>1928</v>
      </c>
      <c r="CU776" s="307" t="s">
        <v>208</v>
      </c>
      <c r="CV776" s="307" t="s">
        <v>1921</v>
      </c>
      <c r="CW776" s="366" t="s">
        <v>10</v>
      </c>
      <c r="CX776" s="307">
        <v>0.86583074400000004</v>
      </c>
      <c r="CY776" s="307">
        <v>0.86583074400000004</v>
      </c>
      <c r="CZ776" s="307">
        <v>0.86583074400000004</v>
      </c>
    </row>
    <row r="777" spans="97:104">
      <c r="CS777" s="332"/>
      <c r="CT777" s="366" t="s">
        <v>1929</v>
      </c>
      <c r="CU777" s="307" t="s">
        <v>208</v>
      </c>
      <c r="CV777" s="307" t="s">
        <v>1921</v>
      </c>
      <c r="CW777" s="366" t="s">
        <v>11</v>
      </c>
      <c r="CX777" s="307">
        <v>1.1071175339999999</v>
      </c>
      <c r="CY777" s="307">
        <v>1.1071175339999999</v>
      </c>
      <c r="CZ777" s="307">
        <v>1.1071175339999999</v>
      </c>
    </row>
    <row r="778" spans="97:104">
      <c r="CS778" s="332"/>
      <c r="CT778" s="366" t="s">
        <v>1930</v>
      </c>
      <c r="CU778" s="307" t="s">
        <v>208</v>
      </c>
      <c r="CV778" s="307" t="s">
        <v>1921</v>
      </c>
      <c r="CW778" s="366" t="s">
        <v>12</v>
      </c>
      <c r="CX778" s="307">
        <v>1.364050416</v>
      </c>
      <c r="CY778" s="307">
        <v>1.364050416</v>
      </c>
      <c r="CZ778" s="307">
        <v>1.364050416</v>
      </c>
    </row>
    <row r="779" spans="97:104">
      <c r="CS779" s="332"/>
      <c r="CT779" s="366" t="s">
        <v>1931</v>
      </c>
      <c r="CU779" s="307" t="s">
        <v>208</v>
      </c>
      <c r="CV779" s="307" t="s">
        <v>1921</v>
      </c>
      <c r="CW779" s="366" t="s">
        <v>13</v>
      </c>
      <c r="CX779" s="307">
        <v>1.7070623220000001</v>
      </c>
      <c r="CY779" s="307">
        <v>1.707750337</v>
      </c>
      <c r="CZ779" s="307">
        <v>1.7074063294999999</v>
      </c>
    </row>
    <row r="780" spans="97:104">
      <c r="CS780" s="332"/>
      <c r="CT780" s="366" t="s">
        <v>1932</v>
      </c>
      <c r="CU780" s="307" t="s">
        <v>208</v>
      </c>
      <c r="CV780" s="307" t="s">
        <v>1921</v>
      </c>
      <c r="CW780" s="366" t="s">
        <v>14</v>
      </c>
      <c r="CX780" s="307">
        <v>2.057128219</v>
      </c>
      <c r="CY780" s="307">
        <v>2.057128219</v>
      </c>
      <c r="CZ780" s="307">
        <v>2.057128219</v>
      </c>
    </row>
    <row r="781" spans="97:104">
      <c r="CS781" s="332"/>
      <c r="CT781" s="366" t="s">
        <v>1933</v>
      </c>
      <c r="CU781" s="307" t="s">
        <v>208</v>
      </c>
      <c r="CV781" s="307" t="s">
        <v>1921</v>
      </c>
      <c r="CW781" s="366" t="s">
        <v>15</v>
      </c>
      <c r="CX781" s="307">
        <v>2.443554942</v>
      </c>
      <c r="CY781" s="307">
        <v>2.4436614369999998</v>
      </c>
      <c r="CZ781" s="307">
        <v>2.4436081894999999</v>
      </c>
    </row>
    <row r="782" spans="97:104">
      <c r="CS782" s="332"/>
      <c r="CT782" s="366" t="s">
        <v>1934</v>
      </c>
      <c r="CU782" s="307" t="s">
        <v>208</v>
      </c>
      <c r="CV782" s="307" t="s">
        <v>1921</v>
      </c>
      <c r="CW782" s="366" t="s">
        <v>16</v>
      </c>
      <c r="CX782" s="307">
        <v>2.6273395100000001</v>
      </c>
      <c r="CY782" s="307">
        <v>2.6261564609999999</v>
      </c>
      <c r="CZ782" s="307">
        <v>2.6267479854999998</v>
      </c>
    </row>
    <row r="783" spans="97:104">
      <c r="CS783" s="332"/>
      <c r="CT783" s="366" t="s">
        <v>1935</v>
      </c>
      <c r="CU783" s="307" t="s">
        <v>208</v>
      </c>
      <c r="CV783" s="307" t="s">
        <v>1921</v>
      </c>
      <c r="CW783" s="366" t="s">
        <v>17</v>
      </c>
      <c r="CX783" s="307">
        <v>2.802391428</v>
      </c>
      <c r="CY783" s="307">
        <v>2.868536508</v>
      </c>
      <c r="CZ783" s="307">
        <v>2.835463968</v>
      </c>
    </row>
    <row r="784" spans="97:104">
      <c r="CS784" s="332"/>
      <c r="CT784" s="366" t="s">
        <v>1936</v>
      </c>
      <c r="CU784" s="307" t="s">
        <v>208</v>
      </c>
      <c r="CV784" s="307" t="s">
        <v>1921</v>
      </c>
      <c r="CW784" s="366" t="s">
        <v>31</v>
      </c>
      <c r="CX784" s="307">
        <v>3.033717003</v>
      </c>
      <c r="CY784" s="307">
        <v>3.0334820840000001</v>
      </c>
      <c r="CZ784" s="307">
        <v>3.0335995435000003</v>
      </c>
    </row>
    <row r="785" spans="97:104">
      <c r="CS785" s="332"/>
      <c r="CT785" s="366" t="s">
        <v>1937</v>
      </c>
      <c r="CU785" s="307" t="s">
        <v>208</v>
      </c>
      <c r="CV785" s="307" t="s">
        <v>1921</v>
      </c>
      <c r="CW785" s="366" t="s">
        <v>18</v>
      </c>
      <c r="CX785" s="307">
        <v>3.2016530250000002</v>
      </c>
      <c r="CY785" s="307">
        <v>3.2016530250000002</v>
      </c>
      <c r="CZ785" s="307">
        <v>3.2016530250000002</v>
      </c>
    </row>
    <row r="786" spans="97:104">
      <c r="CS786" s="332"/>
      <c r="CT786" s="366" t="s">
        <v>1938</v>
      </c>
      <c r="CU786" s="307" t="s">
        <v>208</v>
      </c>
      <c r="CV786" s="307" t="s">
        <v>1921</v>
      </c>
      <c r="CW786" s="366" t="s">
        <v>32</v>
      </c>
      <c r="CX786" s="307">
        <v>3.2924978459999998</v>
      </c>
      <c r="CY786" s="307">
        <v>3.2924978459999998</v>
      </c>
      <c r="CZ786" s="307">
        <v>3.2924978459999998</v>
      </c>
    </row>
    <row r="787" spans="97:104">
      <c r="CS787" s="332"/>
      <c r="CT787" s="366" t="s">
        <v>1939</v>
      </c>
      <c r="CU787" s="307" t="s">
        <v>208</v>
      </c>
      <c r="CV787" s="307" t="s">
        <v>1921</v>
      </c>
      <c r="CW787" s="366" t="s">
        <v>33</v>
      </c>
      <c r="CX787" s="307">
        <v>3.3664847249999998</v>
      </c>
      <c r="CY787" s="307">
        <v>3.3664893600000001</v>
      </c>
      <c r="CZ787" s="307">
        <v>3.3664870425000002</v>
      </c>
    </row>
    <row r="788" spans="97:104">
      <c r="CS788" s="332"/>
      <c r="CT788" s="366" t="s">
        <v>1940</v>
      </c>
      <c r="CU788" s="307" t="s">
        <v>208</v>
      </c>
      <c r="CV788" s="307" t="s">
        <v>1921</v>
      </c>
      <c r="CW788" s="366" t="s">
        <v>19</v>
      </c>
      <c r="CX788" s="307">
        <v>3.4574755860000002</v>
      </c>
      <c r="CY788" s="307">
        <v>3.4574755860000002</v>
      </c>
      <c r="CZ788" s="307">
        <v>3.4574755860000002</v>
      </c>
    </row>
    <row r="789" spans="97:104">
      <c r="CS789" s="332"/>
      <c r="CT789" s="366" t="s">
        <v>1941</v>
      </c>
      <c r="CU789" s="307" t="s">
        <v>208</v>
      </c>
      <c r="CV789" s="307" t="s">
        <v>1921</v>
      </c>
      <c r="CW789" s="366" t="s">
        <v>34</v>
      </c>
      <c r="CX789" s="307">
        <v>3.445134462</v>
      </c>
      <c r="CY789" s="307">
        <v>3.44564439</v>
      </c>
      <c r="CZ789" s="307">
        <v>3.4453894260000002</v>
      </c>
    </row>
    <row r="790" spans="97:104">
      <c r="CS790" s="332"/>
      <c r="CT790" s="366" t="s">
        <v>1942</v>
      </c>
      <c r="CU790" s="307" t="s">
        <v>208</v>
      </c>
      <c r="CV790" s="307" t="s">
        <v>1921</v>
      </c>
      <c r="CW790" s="366" t="s">
        <v>35</v>
      </c>
      <c r="CX790" s="307">
        <v>3.5905470689999999</v>
      </c>
      <c r="CY790" s="307">
        <v>3.5905470689999999</v>
      </c>
      <c r="CZ790" s="307">
        <v>3.5905470689999999</v>
      </c>
    </row>
    <row r="791" spans="97:104">
      <c r="CS791" s="332"/>
      <c r="CT791" s="366" t="s">
        <v>1943</v>
      </c>
      <c r="CU791" s="307" t="s">
        <v>208</v>
      </c>
      <c r="CV791" s="307" t="s">
        <v>1921</v>
      </c>
      <c r="CW791" s="366" t="s">
        <v>36</v>
      </c>
      <c r="CX791" s="307">
        <v>3.6353496179999998</v>
      </c>
      <c r="CY791" s="307">
        <v>3.6353496179999998</v>
      </c>
      <c r="CZ791" s="307">
        <v>3.6353496179999998</v>
      </c>
    </row>
    <row r="792" spans="97:104">
      <c r="CS792" s="332"/>
      <c r="CT792" s="366" t="s">
        <v>1944</v>
      </c>
      <c r="CU792" s="307" t="s">
        <v>208</v>
      </c>
      <c r="CV792" s="307" t="s">
        <v>1921</v>
      </c>
      <c r="CW792" s="366" t="s">
        <v>37</v>
      </c>
      <c r="CX792" s="307">
        <v>3.6719508099999998</v>
      </c>
      <c r="CY792" s="307">
        <v>3.6719508099999998</v>
      </c>
      <c r="CZ792" s="307">
        <v>3.6719508099999998</v>
      </c>
    </row>
    <row r="793" spans="97:104">
      <c r="CS793" s="332"/>
      <c r="CT793" s="366" t="s">
        <v>1945</v>
      </c>
      <c r="CU793" s="307" t="s">
        <v>208</v>
      </c>
      <c r="CV793" s="307" t="s">
        <v>1921</v>
      </c>
      <c r="CW793" s="366" t="s">
        <v>20</v>
      </c>
      <c r="CX793" s="307">
        <v>3.7016515239999999</v>
      </c>
      <c r="CY793" s="307">
        <v>3.7016515239999999</v>
      </c>
      <c r="CZ793" s="307">
        <v>3.7016515239999999</v>
      </c>
    </row>
    <row r="794" spans="97:104">
      <c r="CS794" s="332"/>
      <c r="CT794" s="366" t="s">
        <v>1946</v>
      </c>
      <c r="CU794" s="307" t="s">
        <v>208</v>
      </c>
      <c r="CV794" s="307" t="s">
        <v>1921</v>
      </c>
      <c r="CW794" s="366" t="s">
        <v>38</v>
      </c>
      <c r="CX794" s="307">
        <v>3.6813939169999998</v>
      </c>
      <c r="CY794" s="307">
        <v>3.6813939169999998</v>
      </c>
      <c r="CZ794" s="307">
        <v>3.6813939169999998</v>
      </c>
    </row>
    <row r="795" spans="97:104">
      <c r="CS795" s="332"/>
      <c r="CT795" s="366" t="s">
        <v>1947</v>
      </c>
      <c r="CU795" s="307" t="s">
        <v>208</v>
      </c>
      <c r="CV795" s="307" t="s">
        <v>1921</v>
      </c>
      <c r="CW795" s="366" t="s">
        <v>39</v>
      </c>
      <c r="CX795" s="307">
        <v>3.6645987529999999</v>
      </c>
      <c r="CY795" s="307">
        <v>3.6645987529999999</v>
      </c>
      <c r="CZ795" s="307">
        <v>3.6645987529999999</v>
      </c>
    </row>
    <row r="796" spans="97:104">
      <c r="CS796" s="332"/>
      <c r="CT796" s="366" t="s">
        <v>1948</v>
      </c>
      <c r="CU796" s="307" t="s">
        <v>208</v>
      </c>
      <c r="CV796" s="307" t="s">
        <v>1921</v>
      </c>
      <c r="CW796" s="366" t="s">
        <v>40</v>
      </c>
      <c r="CX796" s="307">
        <v>3.647447482</v>
      </c>
      <c r="CY796" s="307">
        <v>3.6474469570000001</v>
      </c>
      <c r="CZ796" s="307">
        <v>3.6474472195000001</v>
      </c>
    </row>
    <row r="797" spans="97:104">
      <c r="CS797" s="332"/>
      <c r="CT797" s="366" t="s">
        <v>1949</v>
      </c>
      <c r="CU797" s="307" t="s">
        <v>208</v>
      </c>
      <c r="CV797" s="307" t="s">
        <v>1921</v>
      </c>
      <c r="CW797" s="366" t="s">
        <v>41</v>
      </c>
      <c r="CX797" s="307">
        <v>3.628442513</v>
      </c>
      <c r="CY797" s="307">
        <v>3.628442513</v>
      </c>
      <c r="CZ797" s="307">
        <v>3.628442513</v>
      </c>
    </row>
    <row r="798" spans="97:104">
      <c r="CS798" s="332"/>
      <c r="CT798" s="366" t="s">
        <v>1950</v>
      </c>
      <c r="CU798" s="307" t="s">
        <v>208</v>
      </c>
      <c r="CV798" s="307" t="s">
        <v>1921</v>
      </c>
      <c r="CW798" s="366" t="s">
        <v>21</v>
      </c>
      <c r="CX798" s="307">
        <v>3.6128411050000002</v>
      </c>
      <c r="CY798" s="307">
        <v>3.6128365790000001</v>
      </c>
      <c r="CZ798" s="307">
        <v>3.6128388420000004</v>
      </c>
    </row>
    <row r="799" spans="97:104">
      <c r="CS799" s="332"/>
      <c r="CT799" s="366" t="s">
        <v>1951</v>
      </c>
      <c r="CU799" s="307" t="s">
        <v>208</v>
      </c>
      <c r="CV799" s="307" t="s">
        <v>1921</v>
      </c>
      <c r="CW799" s="366" t="s">
        <v>42</v>
      </c>
      <c r="CX799" s="307">
        <v>3.5951464949999998</v>
      </c>
      <c r="CY799" s="307">
        <v>3.5951464949999998</v>
      </c>
      <c r="CZ799" s="307">
        <v>3.5951464949999998</v>
      </c>
    </row>
    <row r="800" spans="97:104">
      <c r="CS800" s="332"/>
      <c r="CT800" s="366" t="s">
        <v>1952</v>
      </c>
      <c r="CU800" s="307" t="s">
        <v>208</v>
      </c>
      <c r="CV800" s="307" t="s">
        <v>1921</v>
      </c>
      <c r="CW800" s="366" t="s">
        <v>43</v>
      </c>
      <c r="CX800" s="307">
        <v>3.5755965179999998</v>
      </c>
      <c r="CY800" s="307">
        <v>3.5755965179999998</v>
      </c>
      <c r="CZ800" s="307">
        <v>3.5755965179999998</v>
      </c>
    </row>
    <row r="801" spans="97:104">
      <c r="CS801" s="332"/>
      <c r="CT801" s="366" t="s">
        <v>1953</v>
      </c>
      <c r="CU801" s="307" t="s">
        <v>208</v>
      </c>
      <c r="CV801" s="307" t="s">
        <v>1921</v>
      </c>
      <c r="CW801" s="366" t="s">
        <v>44</v>
      </c>
      <c r="CX801" s="307">
        <v>3.5582712719999998</v>
      </c>
      <c r="CY801" s="307">
        <v>3.5582712719999998</v>
      </c>
      <c r="CZ801" s="307">
        <v>3.5582712719999998</v>
      </c>
    </row>
    <row r="802" spans="97:104">
      <c r="CS802" s="332"/>
      <c r="CT802" s="366" t="s">
        <v>1954</v>
      </c>
      <c r="CU802" s="307" t="s">
        <v>208</v>
      </c>
      <c r="CV802" s="307" t="s">
        <v>1921</v>
      </c>
      <c r="CW802" s="366" t="s">
        <v>45</v>
      </c>
      <c r="CX802" s="307">
        <v>3.5438241609999999</v>
      </c>
      <c r="CY802" s="307">
        <v>3.5438241609999999</v>
      </c>
      <c r="CZ802" s="307">
        <v>3.5438241609999999</v>
      </c>
    </row>
    <row r="803" spans="97:104">
      <c r="CS803" s="332"/>
      <c r="CT803" s="366" t="s">
        <v>1955</v>
      </c>
      <c r="CU803" s="307" t="s">
        <v>208</v>
      </c>
      <c r="CV803" s="307" t="s">
        <v>1921</v>
      </c>
      <c r="CW803" s="366" t="s">
        <v>22</v>
      </c>
      <c r="CX803" s="307">
        <v>3.531341195</v>
      </c>
      <c r="CY803" s="307">
        <v>3.531341195</v>
      </c>
      <c r="CZ803" s="307">
        <v>3.531341195</v>
      </c>
    </row>
    <row r="804" spans="97:104">
      <c r="CS804" s="332"/>
      <c r="CT804" s="366" t="s">
        <v>3771</v>
      </c>
      <c r="CU804" s="307" t="s">
        <v>208</v>
      </c>
      <c r="CV804" s="307" t="s">
        <v>3772</v>
      </c>
      <c r="CW804" s="366" t="s">
        <v>56</v>
      </c>
      <c r="CX804" s="307">
        <v>125.982</v>
      </c>
      <c r="CY804" s="307">
        <v>125.982</v>
      </c>
      <c r="CZ804" s="307">
        <v>125.982</v>
      </c>
    </row>
    <row r="805" spans="97:104">
      <c r="CS805" s="332"/>
      <c r="CT805" s="366" t="s">
        <v>3773</v>
      </c>
      <c r="CU805" s="307" t="s">
        <v>208</v>
      </c>
      <c r="CV805" s="307" t="s">
        <v>3772</v>
      </c>
      <c r="CW805" s="366" t="s">
        <v>9</v>
      </c>
      <c r="CX805" s="307">
        <v>125.982</v>
      </c>
      <c r="CY805" s="307">
        <v>125.982</v>
      </c>
      <c r="CZ805" s="307">
        <v>125.982</v>
      </c>
    </row>
    <row r="806" spans="97:104">
      <c r="CS806" s="332"/>
      <c r="CT806" s="366" t="s">
        <v>3774</v>
      </c>
      <c r="CU806" s="307" t="s">
        <v>208</v>
      </c>
      <c r="CV806" s="307" t="s">
        <v>3772</v>
      </c>
      <c r="CW806" s="366" t="s">
        <v>10</v>
      </c>
      <c r="CX806" s="307">
        <v>125.982</v>
      </c>
      <c r="CY806" s="307">
        <v>125.982</v>
      </c>
      <c r="CZ806" s="307">
        <v>125.982</v>
      </c>
    </row>
    <row r="807" spans="97:104">
      <c r="CS807" s="332"/>
      <c r="CT807" s="366" t="s">
        <v>3775</v>
      </c>
      <c r="CU807" s="307" t="s">
        <v>208</v>
      </c>
      <c r="CV807" s="307" t="s">
        <v>3772</v>
      </c>
      <c r="CW807" s="366" t="s">
        <v>11</v>
      </c>
      <c r="CX807" s="307">
        <v>125.982</v>
      </c>
      <c r="CY807" s="307">
        <v>125.982</v>
      </c>
      <c r="CZ807" s="307">
        <v>125.982</v>
      </c>
    </row>
    <row r="808" spans="97:104">
      <c r="CS808" s="332"/>
      <c r="CT808" s="366" t="s">
        <v>3776</v>
      </c>
      <c r="CU808" s="307" t="s">
        <v>208</v>
      </c>
      <c r="CV808" s="307" t="s">
        <v>3772</v>
      </c>
      <c r="CW808" s="366" t="s">
        <v>12</v>
      </c>
      <c r="CX808" s="307">
        <v>125.982</v>
      </c>
      <c r="CY808" s="307">
        <v>125.982</v>
      </c>
      <c r="CZ808" s="307">
        <v>125.982</v>
      </c>
    </row>
    <row r="809" spans="97:104">
      <c r="CS809" s="332"/>
      <c r="CT809" s="366" t="s">
        <v>1956</v>
      </c>
      <c r="CU809" s="307" t="s">
        <v>208</v>
      </c>
      <c r="CV809" s="307" t="s">
        <v>1957</v>
      </c>
      <c r="CW809" s="366" t="s">
        <v>3</v>
      </c>
      <c r="CX809" s="307">
        <v>0.05</v>
      </c>
      <c r="CY809" s="307">
        <v>0.05</v>
      </c>
      <c r="CZ809" s="307">
        <v>0.05</v>
      </c>
    </row>
    <row r="810" spans="97:104">
      <c r="CS810" s="332"/>
      <c r="CT810" s="366" t="s">
        <v>1958</v>
      </c>
      <c r="CU810" s="307" t="s">
        <v>208</v>
      </c>
      <c r="CV810" s="307" t="s">
        <v>1957</v>
      </c>
      <c r="CW810" s="366" t="s">
        <v>4</v>
      </c>
      <c r="CX810" s="307">
        <v>0.05</v>
      </c>
      <c r="CY810" s="307">
        <v>0.05</v>
      </c>
      <c r="CZ810" s="307">
        <v>0.05</v>
      </c>
    </row>
    <row r="811" spans="97:104">
      <c r="CS811" s="332"/>
      <c r="CT811" s="366" t="s">
        <v>1959</v>
      </c>
      <c r="CU811" s="307" t="s">
        <v>208</v>
      </c>
      <c r="CV811" s="307" t="s">
        <v>1957</v>
      </c>
      <c r="CW811" s="366" t="s">
        <v>23</v>
      </c>
      <c r="CX811" s="307">
        <v>0.05</v>
      </c>
      <c r="CY811" s="307">
        <v>0.05</v>
      </c>
      <c r="CZ811" s="307">
        <v>0.05</v>
      </c>
    </row>
    <row r="812" spans="97:104">
      <c r="CS812" s="332"/>
      <c r="CT812" s="366" t="s">
        <v>1960</v>
      </c>
      <c r="CU812" s="307" t="s">
        <v>208</v>
      </c>
      <c r="CV812" s="307" t="s">
        <v>1957</v>
      </c>
      <c r="CW812" s="366" t="s">
        <v>5</v>
      </c>
      <c r="CX812" s="307">
        <v>0.05</v>
      </c>
      <c r="CY812" s="307">
        <v>0.05</v>
      </c>
      <c r="CZ812" s="307">
        <v>0.05</v>
      </c>
    </row>
    <row r="813" spans="97:104">
      <c r="CS813" s="332"/>
      <c r="CT813" s="366" t="s">
        <v>1961</v>
      </c>
      <c r="CU813" s="307" t="s">
        <v>208</v>
      </c>
      <c r="CV813" s="307" t="s">
        <v>1957</v>
      </c>
      <c r="CW813" s="366" t="s">
        <v>6</v>
      </c>
      <c r="CX813" s="307">
        <v>0.05</v>
      </c>
      <c r="CY813" s="307">
        <v>0.05</v>
      </c>
      <c r="CZ813" s="307">
        <v>0.05</v>
      </c>
    </row>
    <row r="814" spans="97:104">
      <c r="CS814" s="332"/>
      <c r="CT814" s="366" t="s">
        <v>1962</v>
      </c>
      <c r="CU814" s="307" t="s">
        <v>208</v>
      </c>
      <c r="CV814" s="307" t="s">
        <v>1957</v>
      </c>
      <c r="CW814" s="366" t="s">
        <v>24</v>
      </c>
      <c r="CX814" s="307">
        <v>0.05</v>
      </c>
      <c r="CY814" s="307">
        <v>0.05</v>
      </c>
      <c r="CZ814" s="307">
        <v>0.05</v>
      </c>
    </row>
    <row r="815" spans="97:104">
      <c r="CS815" s="332"/>
      <c r="CT815" s="366" t="s">
        <v>1963</v>
      </c>
      <c r="CU815" s="307" t="s">
        <v>208</v>
      </c>
      <c r="CV815" s="307" t="s">
        <v>1957</v>
      </c>
      <c r="CW815" s="366" t="s">
        <v>7</v>
      </c>
      <c r="CX815" s="307">
        <v>0.05</v>
      </c>
      <c r="CY815" s="307">
        <v>0.05</v>
      </c>
      <c r="CZ815" s="307">
        <v>0.05</v>
      </c>
    </row>
    <row r="816" spans="97:104">
      <c r="CS816" s="332"/>
      <c r="CT816" s="366" t="s">
        <v>1964</v>
      </c>
      <c r="CU816" s="307" t="s">
        <v>208</v>
      </c>
      <c r="CV816" s="307" t="s">
        <v>1957</v>
      </c>
      <c r="CW816" s="366" t="s">
        <v>8</v>
      </c>
      <c r="CX816" s="307">
        <v>0.05</v>
      </c>
      <c r="CY816" s="307">
        <v>0.05</v>
      </c>
      <c r="CZ816" s="307">
        <v>0.05</v>
      </c>
    </row>
    <row r="817" spans="97:104">
      <c r="CS817" s="332"/>
      <c r="CT817" s="366" t="s">
        <v>1965</v>
      </c>
      <c r="CU817" s="307" t="s">
        <v>208</v>
      </c>
      <c r="CV817" s="307" t="s">
        <v>1957</v>
      </c>
      <c r="CW817" s="366" t="s">
        <v>25</v>
      </c>
      <c r="CX817" s="307">
        <v>0.05</v>
      </c>
      <c r="CY817" s="307">
        <v>0.05</v>
      </c>
      <c r="CZ817" s="307">
        <v>0.05</v>
      </c>
    </row>
    <row r="818" spans="97:104">
      <c r="CS818" s="332"/>
      <c r="CT818" s="366" t="s">
        <v>1966</v>
      </c>
      <c r="CU818" s="307" t="s">
        <v>208</v>
      </c>
      <c r="CV818" s="307" t="s">
        <v>1957</v>
      </c>
      <c r="CW818" s="366" t="s">
        <v>26</v>
      </c>
      <c r="CX818" s="307">
        <v>0.05</v>
      </c>
      <c r="CY818" s="307">
        <v>0.05</v>
      </c>
      <c r="CZ818" s="307">
        <v>0.05</v>
      </c>
    </row>
    <row r="819" spans="97:104">
      <c r="CS819" s="332"/>
      <c r="CT819" s="366" t="s">
        <v>1967</v>
      </c>
      <c r="CU819" s="307" t="s">
        <v>208</v>
      </c>
      <c r="CV819" s="307" t="s">
        <v>1957</v>
      </c>
      <c r="CW819" s="366" t="s">
        <v>27</v>
      </c>
      <c r="CX819" s="307">
        <v>0.05</v>
      </c>
      <c r="CY819" s="307">
        <v>0.05</v>
      </c>
      <c r="CZ819" s="307">
        <v>0.05</v>
      </c>
    </row>
    <row r="820" spans="97:104">
      <c r="CS820" s="332"/>
      <c r="CT820" s="366" t="s">
        <v>1968</v>
      </c>
      <c r="CU820" s="307" t="s">
        <v>208</v>
      </c>
      <c r="CV820" s="307" t="s">
        <v>1957</v>
      </c>
      <c r="CW820" s="366" t="s">
        <v>28</v>
      </c>
      <c r="CX820" s="307">
        <v>0.05</v>
      </c>
      <c r="CY820" s="307">
        <v>0.05</v>
      </c>
      <c r="CZ820" s="307">
        <v>0.05</v>
      </c>
    </row>
    <row r="821" spans="97:104">
      <c r="CS821" s="332"/>
      <c r="CT821" s="366" t="s">
        <v>1969</v>
      </c>
      <c r="CU821" s="307" t="s">
        <v>208</v>
      </c>
      <c r="CV821" s="307" t="s">
        <v>1957</v>
      </c>
      <c r="CW821" s="366" t="s">
        <v>29</v>
      </c>
      <c r="CX821" s="307">
        <v>0.05</v>
      </c>
      <c r="CY821" s="307">
        <v>0.05</v>
      </c>
      <c r="CZ821" s="307">
        <v>0.05</v>
      </c>
    </row>
    <row r="822" spans="97:104">
      <c r="CS822" s="332"/>
      <c r="CT822" s="366" t="s">
        <v>1970</v>
      </c>
      <c r="CU822" s="307" t="s">
        <v>208</v>
      </c>
      <c r="CV822" s="307" t="s">
        <v>1957</v>
      </c>
      <c r="CW822" s="366" t="s">
        <v>30</v>
      </c>
      <c r="CX822" s="307">
        <v>0.05</v>
      </c>
      <c r="CY822" s="307">
        <v>0.05</v>
      </c>
      <c r="CZ822" s="307">
        <v>0.05</v>
      </c>
    </row>
    <row r="823" spans="97:104">
      <c r="CS823" s="332"/>
      <c r="CT823" s="366" t="s">
        <v>1971</v>
      </c>
      <c r="CU823" s="307" t="s">
        <v>208</v>
      </c>
      <c r="CV823" s="307" t="s">
        <v>1957</v>
      </c>
      <c r="CW823" s="366" t="s">
        <v>49</v>
      </c>
      <c r="CX823" s="307">
        <v>0.05</v>
      </c>
      <c r="CY823" s="307">
        <v>0.05</v>
      </c>
      <c r="CZ823" s="307">
        <v>0.05</v>
      </c>
    </row>
    <row r="824" spans="97:104">
      <c r="CS824" s="332"/>
      <c r="CT824" s="366" t="s">
        <v>1972</v>
      </c>
      <c r="CU824" s="307" t="s">
        <v>208</v>
      </c>
      <c r="CV824" s="307" t="s">
        <v>1957</v>
      </c>
      <c r="CW824" s="366" t="s">
        <v>50</v>
      </c>
      <c r="CX824" s="307">
        <v>0.05</v>
      </c>
      <c r="CY824" s="307">
        <v>0.05</v>
      </c>
      <c r="CZ824" s="307">
        <v>0.05</v>
      </c>
    </row>
    <row r="825" spans="97:104">
      <c r="CS825" s="332"/>
      <c r="CT825" s="366" t="s">
        <v>1973</v>
      </c>
      <c r="CU825" s="307" t="s">
        <v>208</v>
      </c>
      <c r="CV825" s="307" t="s">
        <v>1957</v>
      </c>
      <c r="CW825" s="366" t="s">
        <v>51</v>
      </c>
      <c r="CX825" s="307">
        <v>0.05</v>
      </c>
      <c r="CY825" s="307">
        <v>0.05</v>
      </c>
      <c r="CZ825" s="307">
        <v>0.05</v>
      </c>
    </row>
    <row r="826" spans="97:104">
      <c r="CS826" s="332"/>
      <c r="CT826" s="366" t="s">
        <v>1974</v>
      </c>
      <c r="CU826" s="307" t="s">
        <v>208</v>
      </c>
      <c r="CV826" s="307" t="s">
        <v>1957</v>
      </c>
      <c r="CW826" s="366" t="s">
        <v>56</v>
      </c>
      <c r="CX826" s="307">
        <v>0.05</v>
      </c>
      <c r="CY826" s="307">
        <v>0.05</v>
      </c>
      <c r="CZ826" s="307">
        <v>0.05</v>
      </c>
    </row>
    <row r="827" spans="97:104">
      <c r="CS827" s="332"/>
      <c r="CT827" s="366" t="s">
        <v>1975</v>
      </c>
      <c r="CU827" s="307" t="s">
        <v>208</v>
      </c>
      <c r="CV827" s="307" t="s">
        <v>1957</v>
      </c>
      <c r="CW827" s="366" t="s">
        <v>57</v>
      </c>
      <c r="CX827" s="307">
        <v>0.05</v>
      </c>
      <c r="CY827" s="307">
        <v>0.05</v>
      </c>
      <c r="CZ827" s="307">
        <v>0.05</v>
      </c>
    </row>
    <row r="828" spans="97:104">
      <c r="CS828" s="332"/>
      <c r="CT828" s="366" t="s">
        <v>1976</v>
      </c>
      <c r="CU828" s="307" t="s">
        <v>208</v>
      </c>
      <c r="CV828" s="307" t="s">
        <v>1957</v>
      </c>
      <c r="CW828" s="366" t="s">
        <v>58</v>
      </c>
      <c r="CX828" s="307">
        <v>0.05</v>
      </c>
      <c r="CY828" s="307">
        <v>0.05</v>
      </c>
      <c r="CZ828" s="307">
        <v>0.05</v>
      </c>
    </row>
    <row r="829" spans="97:104">
      <c r="CS829" s="332"/>
      <c r="CT829" s="366" t="s">
        <v>1977</v>
      </c>
      <c r="CU829" s="307" t="s">
        <v>208</v>
      </c>
      <c r="CV829" s="307" t="s">
        <v>1957</v>
      </c>
      <c r="CW829" s="366" t="s">
        <v>53</v>
      </c>
      <c r="CX829" s="307">
        <v>0.05</v>
      </c>
      <c r="CY829" s="307">
        <v>0.05</v>
      </c>
      <c r="CZ829" s="307">
        <v>0.05</v>
      </c>
    </row>
    <row r="830" spans="97:104">
      <c r="CS830" s="332"/>
      <c r="CT830" s="366" t="s">
        <v>1978</v>
      </c>
      <c r="CU830" s="307" t="s">
        <v>208</v>
      </c>
      <c r="CV830" s="307" t="s">
        <v>1957</v>
      </c>
      <c r="CW830" s="366" t="s">
        <v>59</v>
      </c>
      <c r="CX830" s="307">
        <v>0.05</v>
      </c>
      <c r="CY830" s="307">
        <v>0.05</v>
      </c>
      <c r="CZ830" s="307">
        <v>0.05</v>
      </c>
    </row>
    <row r="831" spans="97:104">
      <c r="CS831" s="332"/>
      <c r="CT831" s="366" t="s">
        <v>1979</v>
      </c>
      <c r="CU831" s="307" t="s">
        <v>208</v>
      </c>
      <c r="CV831" s="307" t="s">
        <v>1957</v>
      </c>
      <c r="CW831" s="366" t="s">
        <v>60</v>
      </c>
      <c r="CX831" s="307">
        <v>0.05</v>
      </c>
      <c r="CY831" s="307">
        <v>0.05</v>
      </c>
      <c r="CZ831" s="307">
        <v>0.05</v>
      </c>
    </row>
    <row r="832" spans="97:104">
      <c r="CS832" s="332"/>
      <c r="CT832" s="366" t="s">
        <v>1980</v>
      </c>
      <c r="CU832" s="307" t="s">
        <v>208</v>
      </c>
      <c r="CV832" s="307" t="s">
        <v>1957</v>
      </c>
      <c r="CW832" s="366" t="s">
        <v>54</v>
      </c>
      <c r="CX832" s="307">
        <v>0.05</v>
      </c>
      <c r="CY832" s="307">
        <v>0.05</v>
      </c>
      <c r="CZ832" s="307">
        <v>0.05</v>
      </c>
    </row>
    <row r="833" spans="97:104">
      <c r="CS833" s="332"/>
      <c r="CT833" s="366" t="s">
        <v>1981</v>
      </c>
      <c r="CU833" s="307" t="s">
        <v>208</v>
      </c>
      <c r="CV833" s="307" t="s">
        <v>1957</v>
      </c>
      <c r="CW833" s="366" t="s">
        <v>61</v>
      </c>
      <c r="CX833" s="307">
        <v>0.05</v>
      </c>
      <c r="CY833" s="307">
        <v>0.05</v>
      </c>
      <c r="CZ833" s="307">
        <v>0.05</v>
      </c>
    </row>
    <row r="834" spans="97:104">
      <c r="CS834" s="332"/>
      <c r="CT834" s="366" t="s">
        <v>1982</v>
      </c>
      <c r="CU834" s="307" t="s">
        <v>208</v>
      </c>
      <c r="CV834" s="307" t="s">
        <v>1957</v>
      </c>
      <c r="CW834" s="366" t="s">
        <v>62</v>
      </c>
      <c r="CX834" s="307">
        <v>0.05</v>
      </c>
      <c r="CY834" s="307">
        <v>0.05</v>
      </c>
      <c r="CZ834" s="307">
        <v>0.05</v>
      </c>
    </row>
    <row r="835" spans="97:104">
      <c r="CS835" s="332"/>
      <c r="CT835" s="366" t="s">
        <v>1983</v>
      </c>
      <c r="CU835" s="307" t="s">
        <v>208</v>
      </c>
      <c r="CV835" s="307" t="s">
        <v>1957</v>
      </c>
      <c r="CW835" s="366" t="s">
        <v>55</v>
      </c>
      <c r="CX835" s="307">
        <v>0.05</v>
      </c>
      <c r="CY835" s="307">
        <v>0.05</v>
      </c>
      <c r="CZ835" s="307">
        <v>0.05</v>
      </c>
    </row>
    <row r="836" spans="97:104">
      <c r="CS836" s="332"/>
      <c r="CT836" s="366" t="s">
        <v>1984</v>
      </c>
      <c r="CU836" s="307" t="s">
        <v>208</v>
      </c>
      <c r="CV836" s="307" t="s">
        <v>1957</v>
      </c>
      <c r="CW836" s="366" t="s">
        <v>63</v>
      </c>
      <c r="CX836" s="307">
        <v>0.05</v>
      </c>
      <c r="CY836" s="307">
        <v>0.05</v>
      </c>
      <c r="CZ836" s="307">
        <v>0.05</v>
      </c>
    </row>
    <row r="837" spans="97:104">
      <c r="CS837" s="332"/>
      <c r="CT837" s="366" t="s">
        <v>1985</v>
      </c>
      <c r="CU837" s="307" t="s">
        <v>208</v>
      </c>
      <c r="CV837" s="307" t="s">
        <v>1957</v>
      </c>
      <c r="CW837" s="366" t="s">
        <v>64</v>
      </c>
      <c r="CX837" s="307">
        <v>0.05</v>
      </c>
      <c r="CY837" s="307">
        <v>0.05</v>
      </c>
      <c r="CZ837" s="307">
        <v>0.05</v>
      </c>
    </row>
    <row r="838" spans="97:104">
      <c r="CS838" s="332"/>
      <c r="CT838" s="366" t="s">
        <v>1986</v>
      </c>
      <c r="CU838" s="307" t="s">
        <v>208</v>
      </c>
      <c r="CV838" s="307" t="s">
        <v>1957</v>
      </c>
      <c r="CW838" s="366" t="s">
        <v>9</v>
      </c>
      <c r="CX838" s="307">
        <v>0.05</v>
      </c>
      <c r="CY838" s="307">
        <v>0.05</v>
      </c>
      <c r="CZ838" s="307">
        <v>0.05</v>
      </c>
    </row>
    <row r="839" spans="97:104">
      <c r="CS839" s="332"/>
      <c r="CT839" s="366" t="s">
        <v>1987</v>
      </c>
      <c r="CU839" s="307" t="s">
        <v>208</v>
      </c>
      <c r="CV839" s="307" t="s">
        <v>1957</v>
      </c>
      <c r="CW839" s="366" t="s">
        <v>10</v>
      </c>
      <c r="CX839" s="307">
        <v>0.05</v>
      </c>
      <c r="CY839" s="307">
        <v>0.05</v>
      </c>
      <c r="CZ839" s="307">
        <v>0.05</v>
      </c>
    </row>
    <row r="840" spans="97:104">
      <c r="CS840" s="332"/>
      <c r="CT840" s="366" t="s">
        <v>1988</v>
      </c>
      <c r="CU840" s="307" t="s">
        <v>208</v>
      </c>
      <c r="CV840" s="307" t="s">
        <v>1957</v>
      </c>
      <c r="CW840" s="366" t="s">
        <v>11</v>
      </c>
      <c r="CX840" s="307">
        <v>0.05</v>
      </c>
      <c r="CY840" s="307">
        <v>0.05</v>
      </c>
      <c r="CZ840" s="307">
        <v>0.05</v>
      </c>
    </row>
    <row r="841" spans="97:104">
      <c r="CS841" s="332"/>
      <c r="CT841" s="366" t="s">
        <v>1989</v>
      </c>
      <c r="CU841" s="307" t="s">
        <v>208</v>
      </c>
      <c r="CV841" s="307" t="s">
        <v>1957</v>
      </c>
      <c r="CW841" s="366" t="s">
        <v>12</v>
      </c>
      <c r="CX841" s="307">
        <v>0.05</v>
      </c>
      <c r="CY841" s="307">
        <v>0.05</v>
      </c>
      <c r="CZ841" s="307">
        <v>0.05</v>
      </c>
    </row>
    <row r="842" spans="97:104">
      <c r="CS842" s="332"/>
      <c r="CT842" s="366" t="s">
        <v>1990</v>
      </c>
      <c r="CU842" s="307" t="s">
        <v>208</v>
      </c>
      <c r="CV842" s="307" t="s">
        <v>1957</v>
      </c>
      <c r="CW842" s="366" t="s">
        <v>13</v>
      </c>
      <c r="CX842" s="307">
        <v>0.05</v>
      </c>
      <c r="CY842" s="307">
        <v>0.05</v>
      </c>
      <c r="CZ842" s="307">
        <v>0.05</v>
      </c>
    </row>
    <row r="843" spans="97:104">
      <c r="CS843" s="332"/>
      <c r="CT843" s="366" t="s">
        <v>1991</v>
      </c>
      <c r="CU843" s="307" t="s">
        <v>208</v>
      </c>
      <c r="CV843" s="307" t="s">
        <v>1957</v>
      </c>
      <c r="CW843" s="366" t="s">
        <v>14</v>
      </c>
      <c r="CX843" s="307">
        <v>0.05</v>
      </c>
      <c r="CY843" s="307">
        <v>0.05</v>
      </c>
      <c r="CZ843" s="307">
        <v>0.05</v>
      </c>
    </row>
    <row r="844" spans="97:104">
      <c r="CS844" s="332"/>
      <c r="CT844" s="366" t="s">
        <v>1992</v>
      </c>
      <c r="CU844" s="307" t="s">
        <v>208</v>
      </c>
      <c r="CV844" s="307" t="s">
        <v>1957</v>
      </c>
      <c r="CW844" s="366" t="s">
        <v>15</v>
      </c>
      <c r="CX844" s="307">
        <v>0.05</v>
      </c>
      <c r="CY844" s="307">
        <v>0.05</v>
      </c>
      <c r="CZ844" s="307">
        <v>0.05</v>
      </c>
    </row>
    <row r="845" spans="97:104">
      <c r="CS845" s="332"/>
      <c r="CT845" s="366" t="s">
        <v>1993</v>
      </c>
      <c r="CU845" s="307" t="s">
        <v>208</v>
      </c>
      <c r="CV845" s="307" t="s">
        <v>1957</v>
      </c>
      <c r="CW845" s="366" t="s">
        <v>16</v>
      </c>
      <c r="CX845" s="307">
        <v>0.05</v>
      </c>
      <c r="CY845" s="307">
        <v>0.05</v>
      </c>
      <c r="CZ845" s="307">
        <v>0.05</v>
      </c>
    </row>
    <row r="846" spans="97:104">
      <c r="CS846" s="332"/>
      <c r="CT846" s="366" t="s">
        <v>1994</v>
      </c>
      <c r="CU846" s="307" t="s">
        <v>208</v>
      </c>
      <c r="CV846" s="307" t="s">
        <v>1957</v>
      </c>
      <c r="CW846" s="366" t="s">
        <v>17</v>
      </c>
      <c r="CX846" s="307">
        <v>0.05</v>
      </c>
      <c r="CY846" s="307">
        <v>0.05</v>
      </c>
      <c r="CZ846" s="307">
        <v>0.05</v>
      </c>
    </row>
    <row r="847" spans="97:104">
      <c r="CS847" s="332"/>
      <c r="CT847" s="366" t="s">
        <v>1995</v>
      </c>
      <c r="CU847" s="307" t="s">
        <v>208</v>
      </c>
      <c r="CV847" s="307" t="s">
        <v>1957</v>
      </c>
      <c r="CW847" s="366" t="s">
        <v>18</v>
      </c>
      <c r="CX847" s="307">
        <v>0.05</v>
      </c>
      <c r="CY847" s="307">
        <v>0.05</v>
      </c>
      <c r="CZ847" s="307">
        <v>0.05</v>
      </c>
    </row>
    <row r="848" spans="97:104">
      <c r="CS848" s="332"/>
      <c r="CT848" s="366" t="s">
        <v>1996</v>
      </c>
      <c r="CU848" s="307" t="s">
        <v>208</v>
      </c>
      <c r="CV848" s="307" t="s">
        <v>1957</v>
      </c>
      <c r="CW848" s="366" t="s">
        <v>32</v>
      </c>
      <c r="CX848" s="307">
        <v>0.05</v>
      </c>
      <c r="CY848" s="307">
        <v>0.05</v>
      </c>
      <c r="CZ848" s="307">
        <v>0.05</v>
      </c>
    </row>
    <row r="849" spans="97:104">
      <c r="CS849" s="332"/>
      <c r="CT849" s="366" t="s">
        <v>1997</v>
      </c>
      <c r="CU849" s="307" t="s">
        <v>208</v>
      </c>
      <c r="CV849" s="307" t="s">
        <v>1957</v>
      </c>
      <c r="CW849" s="366" t="s">
        <v>33</v>
      </c>
      <c r="CX849" s="307">
        <v>0.05</v>
      </c>
      <c r="CY849" s="307">
        <v>0.05</v>
      </c>
      <c r="CZ849" s="307">
        <v>0.05</v>
      </c>
    </row>
    <row r="850" spans="97:104">
      <c r="CS850" s="332"/>
      <c r="CT850" s="366" t="s">
        <v>1998</v>
      </c>
      <c r="CU850" s="307" t="s">
        <v>208</v>
      </c>
      <c r="CV850" s="307" t="s">
        <v>1957</v>
      </c>
      <c r="CW850" s="366" t="s">
        <v>19</v>
      </c>
      <c r="CX850" s="307">
        <v>0.05</v>
      </c>
      <c r="CY850" s="307">
        <v>0.05</v>
      </c>
      <c r="CZ850" s="307">
        <v>0.05</v>
      </c>
    </row>
    <row r="851" spans="97:104">
      <c r="CS851" s="332"/>
      <c r="CT851" s="366" t="s">
        <v>1999</v>
      </c>
      <c r="CU851" s="307" t="s">
        <v>208</v>
      </c>
      <c r="CV851" s="307" t="s">
        <v>1957</v>
      </c>
      <c r="CW851" s="366" t="s">
        <v>34</v>
      </c>
      <c r="CX851" s="307">
        <v>0.05</v>
      </c>
      <c r="CY851" s="307">
        <v>0.05</v>
      </c>
      <c r="CZ851" s="307">
        <v>0.05</v>
      </c>
    </row>
    <row r="852" spans="97:104">
      <c r="CS852" s="332"/>
      <c r="CT852" s="366" t="s">
        <v>2000</v>
      </c>
      <c r="CU852" s="307" t="s">
        <v>208</v>
      </c>
      <c r="CV852" s="307" t="s">
        <v>1957</v>
      </c>
      <c r="CW852" s="366" t="s">
        <v>35</v>
      </c>
      <c r="CX852" s="307">
        <v>0.05</v>
      </c>
      <c r="CY852" s="307">
        <v>0.05</v>
      </c>
      <c r="CZ852" s="307">
        <v>0.05</v>
      </c>
    </row>
    <row r="853" spans="97:104">
      <c r="CS853" s="332"/>
      <c r="CT853" s="366" t="s">
        <v>2001</v>
      </c>
      <c r="CU853" s="307" t="s">
        <v>208</v>
      </c>
      <c r="CV853" s="307" t="s">
        <v>1957</v>
      </c>
      <c r="CW853" s="366" t="s">
        <v>36</v>
      </c>
      <c r="CX853" s="307">
        <v>0.05</v>
      </c>
      <c r="CY853" s="307">
        <v>0.05</v>
      </c>
      <c r="CZ853" s="307">
        <v>0.05</v>
      </c>
    </row>
    <row r="854" spans="97:104">
      <c r="CS854" s="332"/>
      <c r="CT854" s="366" t="s">
        <v>2002</v>
      </c>
      <c r="CU854" s="307" t="s">
        <v>208</v>
      </c>
      <c r="CV854" s="307" t="s">
        <v>1957</v>
      </c>
      <c r="CW854" s="366" t="s">
        <v>37</v>
      </c>
      <c r="CX854" s="307">
        <v>0.05</v>
      </c>
      <c r="CY854" s="307">
        <v>0.05</v>
      </c>
      <c r="CZ854" s="307">
        <v>0.05</v>
      </c>
    </row>
    <row r="855" spans="97:104">
      <c r="CS855" s="332"/>
      <c r="CT855" s="366" t="s">
        <v>2003</v>
      </c>
      <c r="CU855" s="307" t="s">
        <v>208</v>
      </c>
      <c r="CV855" s="307" t="s">
        <v>1957</v>
      </c>
      <c r="CW855" s="366" t="s">
        <v>20</v>
      </c>
      <c r="CX855" s="307">
        <v>0.05</v>
      </c>
      <c r="CY855" s="307">
        <v>0.05</v>
      </c>
      <c r="CZ855" s="307">
        <v>0.05</v>
      </c>
    </row>
    <row r="856" spans="97:104">
      <c r="CS856" s="332"/>
      <c r="CT856" s="366" t="s">
        <v>2004</v>
      </c>
      <c r="CU856" s="307" t="s">
        <v>208</v>
      </c>
      <c r="CV856" s="307" t="s">
        <v>1957</v>
      </c>
      <c r="CW856" s="366" t="s">
        <v>38</v>
      </c>
      <c r="CX856" s="307">
        <v>0.05</v>
      </c>
      <c r="CY856" s="307">
        <v>0.05</v>
      </c>
      <c r="CZ856" s="307">
        <v>0.05</v>
      </c>
    </row>
    <row r="857" spans="97:104">
      <c r="CS857" s="332"/>
      <c r="CT857" s="366" t="s">
        <v>2005</v>
      </c>
      <c r="CU857" s="307" t="s">
        <v>208</v>
      </c>
      <c r="CV857" s="307" t="s">
        <v>1957</v>
      </c>
      <c r="CW857" s="366" t="s">
        <v>39</v>
      </c>
      <c r="CX857" s="307">
        <v>0.05</v>
      </c>
      <c r="CY857" s="307">
        <v>0.05</v>
      </c>
      <c r="CZ857" s="307">
        <v>0.05</v>
      </c>
    </row>
    <row r="858" spans="97:104">
      <c r="CS858" s="332"/>
      <c r="CT858" s="366" t="s">
        <v>2006</v>
      </c>
      <c r="CU858" s="307" t="s">
        <v>208</v>
      </c>
      <c r="CV858" s="307" t="s">
        <v>1957</v>
      </c>
      <c r="CW858" s="366" t="s">
        <v>40</v>
      </c>
      <c r="CX858" s="307">
        <v>0.05</v>
      </c>
      <c r="CY858" s="307">
        <v>0.05</v>
      </c>
      <c r="CZ858" s="307">
        <v>0.05</v>
      </c>
    </row>
    <row r="859" spans="97:104">
      <c r="CS859" s="332"/>
      <c r="CT859" s="366" t="s">
        <v>2007</v>
      </c>
      <c r="CU859" s="307" t="s">
        <v>208</v>
      </c>
      <c r="CV859" s="307" t="s">
        <v>1957</v>
      </c>
      <c r="CW859" s="366" t="s">
        <v>41</v>
      </c>
      <c r="CX859" s="307">
        <v>0.05</v>
      </c>
      <c r="CY859" s="307">
        <v>0.05</v>
      </c>
      <c r="CZ859" s="307">
        <v>0.05</v>
      </c>
    </row>
    <row r="860" spans="97:104">
      <c r="CS860" s="332"/>
      <c r="CT860" s="366" t="s">
        <v>2008</v>
      </c>
      <c r="CU860" s="307" t="s">
        <v>208</v>
      </c>
      <c r="CV860" s="307" t="s">
        <v>1957</v>
      </c>
      <c r="CW860" s="366" t="s">
        <v>21</v>
      </c>
      <c r="CX860" s="307">
        <v>0.05</v>
      </c>
      <c r="CY860" s="307">
        <v>0.05</v>
      </c>
      <c r="CZ860" s="307">
        <v>0.05</v>
      </c>
    </row>
    <row r="861" spans="97:104">
      <c r="CS861" s="332"/>
      <c r="CT861" s="366" t="s">
        <v>2009</v>
      </c>
      <c r="CU861" s="307" t="s">
        <v>208</v>
      </c>
      <c r="CV861" s="307" t="s">
        <v>1957</v>
      </c>
      <c r="CW861" s="366" t="s">
        <v>42</v>
      </c>
      <c r="CX861" s="307">
        <v>0.05</v>
      </c>
      <c r="CY861" s="307">
        <v>0.05</v>
      </c>
      <c r="CZ861" s="307">
        <v>0.05</v>
      </c>
    </row>
    <row r="862" spans="97:104">
      <c r="CS862" s="332"/>
      <c r="CT862" s="366" t="s">
        <v>2010</v>
      </c>
      <c r="CU862" s="307" t="s">
        <v>208</v>
      </c>
      <c r="CV862" s="307" t="s">
        <v>1957</v>
      </c>
      <c r="CW862" s="366" t="s">
        <v>43</v>
      </c>
      <c r="CX862" s="307">
        <v>0.05</v>
      </c>
      <c r="CY862" s="307">
        <v>0.05</v>
      </c>
      <c r="CZ862" s="307">
        <v>0.05</v>
      </c>
    </row>
    <row r="863" spans="97:104">
      <c r="CS863" s="332"/>
      <c r="CT863" s="366" t="s">
        <v>2011</v>
      </c>
      <c r="CU863" s="307" t="s">
        <v>208</v>
      </c>
      <c r="CV863" s="307" t="s">
        <v>1957</v>
      </c>
      <c r="CW863" s="366" t="s">
        <v>44</v>
      </c>
      <c r="CX863" s="307">
        <v>0.05</v>
      </c>
      <c r="CY863" s="307">
        <v>0.05</v>
      </c>
      <c r="CZ863" s="307">
        <v>0.05</v>
      </c>
    </row>
    <row r="864" spans="97:104">
      <c r="CS864" s="332"/>
      <c r="CT864" s="366" t="s">
        <v>2012</v>
      </c>
      <c r="CU864" s="307" t="s">
        <v>208</v>
      </c>
      <c r="CV864" s="307" t="s">
        <v>1957</v>
      </c>
      <c r="CW864" s="366" t="s">
        <v>45</v>
      </c>
      <c r="CX864" s="307">
        <v>0.05</v>
      </c>
      <c r="CY864" s="307">
        <v>0.05</v>
      </c>
      <c r="CZ864" s="307">
        <v>0.05</v>
      </c>
    </row>
    <row r="865" spans="97:104">
      <c r="CS865" s="332"/>
      <c r="CT865" s="366" t="s">
        <v>2013</v>
      </c>
      <c r="CU865" s="307" t="s">
        <v>208</v>
      </c>
      <c r="CV865" s="307" t="s">
        <v>1957</v>
      </c>
      <c r="CW865" s="366" t="s">
        <v>22</v>
      </c>
      <c r="CX865" s="307">
        <v>0.05</v>
      </c>
      <c r="CY865" s="307">
        <v>0.05</v>
      </c>
      <c r="CZ865" s="307">
        <v>0.05</v>
      </c>
    </row>
    <row r="866" spans="97:104">
      <c r="CS866" s="332"/>
      <c r="CT866" s="366" t="s">
        <v>2014</v>
      </c>
      <c r="CU866" s="307" t="s">
        <v>208</v>
      </c>
      <c r="CV866" s="307" t="s">
        <v>2015</v>
      </c>
      <c r="CW866" s="366" t="s">
        <v>3</v>
      </c>
      <c r="CX866" s="307">
        <v>-0.36999989999999999</v>
      </c>
      <c r="CY866" s="307">
        <v>-0.36999989999999999</v>
      </c>
      <c r="CZ866" s="307">
        <v>-0.36999989999999999</v>
      </c>
    </row>
    <row r="867" spans="97:104">
      <c r="CS867" s="332"/>
      <c r="CT867" s="366" t="s">
        <v>2016</v>
      </c>
      <c r="CU867" s="307" t="s">
        <v>208</v>
      </c>
      <c r="CV867" s="307" t="s">
        <v>2015</v>
      </c>
      <c r="CW867" s="366" t="s">
        <v>4</v>
      </c>
      <c r="CX867" s="307">
        <v>-0.37</v>
      </c>
      <c r="CY867" s="307">
        <v>-0.37</v>
      </c>
      <c r="CZ867" s="307">
        <v>-0.37</v>
      </c>
    </row>
    <row r="868" spans="97:104">
      <c r="CS868" s="332"/>
      <c r="CT868" s="366" t="s">
        <v>2017</v>
      </c>
      <c r="CU868" s="307" t="s">
        <v>208</v>
      </c>
      <c r="CV868" s="307" t="s">
        <v>2015</v>
      </c>
      <c r="CW868" s="366" t="s">
        <v>23</v>
      </c>
      <c r="CX868" s="307">
        <v>-0.37</v>
      </c>
      <c r="CY868" s="307">
        <v>-0.37</v>
      </c>
      <c r="CZ868" s="307">
        <v>-0.37</v>
      </c>
    </row>
    <row r="869" spans="97:104">
      <c r="CS869" s="332"/>
      <c r="CT869" s="366" t="s">
        <v>2018</v>
      </c>
      <c r="CU869" s="307" t="s">
        <v>208</v>
      </c>
      <c r="CV869" s="307" t="s">
        <v>2015</v>
      </c>
      <c r="CW869" s="366" t="s">
        <v>5</v>
      </c>
      <c r="CX869" s="307">
        <v>-0.37</v>
      </c>
      <c r="CY869" s="307">
        <v>-0.37</v>
      </c>
      <c r="CZ869" s="307">
        <v>-0.37</v>
      </c>
    </row>
    <row r="870" spans="97:104">
      <c r="CS870" s="332"/>
      <c r="CT870" s="366" t="s">
        <v>2019</v>
      </c>
      <c r="CU870" s="307" t="s">
        <v>208</v>
      </c>
      <c r="CV870" s="307" t="s">
        <v>2015</v>
      </c>
      <c r="CW870" s="366" t="s">
        <v>6</v>
      </c>
      <c r="CX870" s="307">
        <v>-0.37</v>
      </c>
      <c r="CY870" s="307">
        <v>-0.37</v>
      </c>
      <c r="CZ870" s="307">
        <v>-0.37</v>
      </c>
    </row>
    <row r="871" spans="97:104">
      <c r="CS871" s="332"/>
      <c r="CT871" s="366" t="s">
        <v>2020</v>
      </c>
      <c r="CU871" s="307" t="s">
        <v>208</v>
      </c>
      <c r="CV871" s="307" t="s">
        <v>2015</v>
      </c>
      <c r="CW871" s="366" t="s">
        <v>24</v>
      </c>
      <c r="CX871" s="307">
        <v>-0.37</v>
      </c>
      <c r="CY871" s="307">
        <v>-0.37</v>
      </c>
      <c r="CZ871" s="307">
        <v>-0.37</v>
      </c>
    </row>
    <row r="872" spans="97:104">
      <c r="CS872" s="332"/>
      <c r="CT872" s="366" t="s">
        <v>2021</v>
      </c>
      <c r="CU872" s="307" t="s">
        <v>208</v>
      </c>
      <c r="CV872" s="307" t="s">
        <v>2015</v>
      </c>
      <c r="CW872" s="366" t="s">
        <v>7</v>
      </c>
      <c r="CX872" s="307">
        <v>-0.37</v>
      </c>
      <c r="CY872" s="307">
        <v>-0.37</v>
      </c>
      <c r="CZ872" s="307">
        <v>-0.37</v>
      </c>
    </row>
    <row r="873" spans="97:104">
      <c r="CS873" s="332"/>
      <c r="CT873" s="366" t="s">
        <v>2022</v>
      </c>
      <c r="CU873" s="307" t="s">
        <v>208</v>
      </c>
      <c r="CV873" s="307" t="s">
        <v>2015</v>
      </c>
      <c r="CW873" s="366" t="s">
        <v>8</v>
      </c>
      <c r="CX873" s="307">
        <v>-0.33</v>
      </c>
      <c r="CY873" s="307">
        <v>-0.33</v>
      </c>
      <c r="CZ873" s="307">
        <v>-0.33</v>
      </c>
    </row>
    <row r="874" spans="97:104">
      <c r="CS874" s="332"/>
      <c r="CT874" s="366" t="s">
        <v>2023</v>
      </c>
      <c r="CU874" s="307" t="s">
        <v>208</v>
      </c>
      <c r="CV874" s="307" t="s">
        <v>2015</v>
      </c>
      <c r="CW874" s="366" t="s">
        <v>25</v>
      </c>
      <c r="CX874" s="307">
        <v>-0.3</v>
      </c>
      <c r="CY874" s="307">
        <v>-0.3</v>
      </c>
      <c r="CZ874" s="307">
        <v>-0.3</v>
      </c>
    </row>
    <row r="875" spans="97:104">
      <c r="CS875" s="332"/>
      <c r="CT875" s="366" t="s">
        <v>2024</v>
      </c>
      <c r="CU875" s="307" t="s">
        <v>208</v>
      </c>
      <c r="CV875" s="307" t="s">
        <v>2015</v>
      </c>
      <c r="CW875" s="366" t="s">
        <v>26</v>
      </c>
      <c r="CX875" s="307">
        <v>-0.27</v>
      </c>
      <c r="CY875" s="307">
        <v>-0.27</v>
      </c>
      <c r="CZ875" s="307">
        <v>-0.27</v>
      </c>
    </row>
    <row r="876" spans="97:104">
      <c r="CS876" s="332"/>
      <c r="CT876" s="366" t="s">
        <v>2025</v>
      </c>
      <c r="CU876" s="307" t="s">
        <v>208</v>
      </c>
      <c r="CV876" s="307" t="s">
        <v>2015</v>
      </c>
      <c r="CW876" s="366" t="s">
        <v>27</v>
      </c>
      <c r="CX876" s="307">
        <v>-0.24</v>
      </c>
      <c r="CY876" s="307">
        <v>-0.24</v>
      </c>
      <c r="CZ876" s="307">
        <v>-0.24</v>
      </c>
    </row>
    <row r="877" spans="97:104">
      <c r="CS877" s="332"/>
      <c r="CT877" s="366" t="s">
        <v>2026</v>
      </c>
      <c r="CU877" s="307" t="s">
        <v>208</v>
      </c>
      <c r="CV877" s="307" t="s">
        <v>2015</v>
      </c>
      <c r="CW877" s="366" t="s">
        <v>28</v>
      </c>
      <c r="CX877" s="307">
        <v>-0.21</v>
      </c>
      <c r="CY877" s="307">
        <v>-0.21</v>
      </c>
      <c r="CZ877" s="307">
        <v>-0.21</v>
      </c>
    </row>
    <row r="878" spans="97:104">
      <c r="CS878" s="332"/>
      <c r="CT878" s="366" t="s">
        <v>2027</v>
      </c>
      <c r="CU878" s="307" t="s">
        <v>208</v>
      </c>
      <c r="CV878" s="307" t="s">
        <v>2015</v>
      </c>
      <c r="CW878" s="366" t="s">
        <v>29</v>
      </c>
      <c r="CX878" s="307">
        <v>-0.18</v>
      </c>
      <c r="CY878" s="307">
        <v>-0.18</v>
      </c>
      <c r="CZ878" s="307">
        <v>-0.18</v>
      </c>
    </row>
    <row r="879" spans="97:104">
      <c r="CS879" s="332"/>
      <c r="CT879" s="366" t="s">
        <v>5114</v>
      </c>
      <c r="CU879" s="307" t="s">
        <v>208</v>
      </c>
      <c r="CV879" s="307" t="s">
        <v>2015</v>
      </c>
      <c r="CW879" s="366" t="s">
        <v>5101</v>
      </c>
      <c r="CX879" s="307">
        <v>-0.19</v>
      </c>
      <c r="CY879" s="307">
        <v>-0.17</v>
      </c>
      <c r="CZ879" s="307">
        <v>-0.18</v>
      </c>
    </row>
    <row r="880" spans="97:104">
      <c r="CS880" s="332"/>
      <c r="CT880" s="366" t="s">
        <v>2028</v>
      </c>
      <c r="CU880" s="307" t="s">
        <v>208</v>
      </c>
      <c r="CV880" s="307" t="s">
        <v>2015</v>
      </c>
      <c r="CW880" s="366" t="s">
        <v>30</v>
      </c>
      <c r="CX880" s="307">
        <v>-0.15</v>
      </c>
      <c r="CY880" s="307">
        <v>-0.15</v>
      </c>
      <c r="CZ880" s="307">
        <v>-0.15</v>
      </c>
    </row>
    <row r="881" spans="97:104">
      <c r="CS881" s="332"/>
      <c r="CT881" s="366" t="s">
        <v>2029</v>
      </c>
      <c r="CU881" s="307" t="s">
        <v>208</v>
      </c>
      <c r="CV881" s="307" t="s">
        <v>2015</v>
      </c>
      <c r="CW881" s="366" t="s">
        <v>49</v>
      </c>
      <c r="CX881" s="307">
        <v>-0.13</v>
      </c>
      <c r="CY881" s="307">
        <v>-0.13</v>
      </c>
      <c r="CZ881" s="307">
        <v>-0.13</v>
      </c>
    </row>
    <row r="882" spans="97:104">
      <c r="CS882" s="332"/>
      <c r="CT882" s="366" t="s">
        <v>4244</v>
      </c>
      <c r="CU882" s="307" t="s">
        <v>208</v>
      </c>
      <c r="CV882" s="307" t="s">
        <v>2015</v>
      </c>
      <c r="CW882" s="366" t="s">
        <v>1066</v>
      </c>
      <c r="CX882" s="307">
        <v>100.27500000000001</v>
      </c>
      <c r="CY882" s="307">
        <v>100.28</v>
      </c>
      <c r="CZ882" s="307">
        <v>100.2775</v>
      </c>
    </row>
    <row r="883" spans="97:104">
      <c r="CS883" s="332"/>
      <c r="CT883" s="366" t="s">
        <v>2030</v>
      </c>
      <c r="CU883" s="307" t="s">
        <v>208</v>
      </c>
      <c r="CV883" s="307" t="s">
        <v>2015</v>
      </c>
      <c r="CW883" s="366" t="s">
        <v>56</v>
      </c>
      <c r="CX883" s="307">
        <v>-0.19343618400000001</v>
      </c>
      <c r="CY883" s="307">
        <v>-0.19343618400000001</v>
      </c>
      <c r="CZ883" s="307">
        <v>-0.19343618400000001</v>
      </c>
    </row>
    <row r="884" spans="97:104">
      <c r="CS884" s="332"/>
      <c r="CT884" s="366" t="s">
        <v>4245</v>
      </c>
      <c r="CU884" s="307" t="s">
        <v>208</v>
      </c>
      <c r="CV884" s="307" t="s">
        <v>2015</v>
      </c>
      <c r="CW884" s="366" t="s">
        <v>1069</v>
      </c>
      <c r="CX884" s="307">
        <v>100.255</v>
      </c>
      <c r="CY884" s="307">
        <v>100.26</v>
      </c>
      <c r="CZ884" s="307">
        <v>100.25749999999999</v>
      </c>
    </row>
    <row r="885" spans="97:104">
      <c r="CS885" s="332"/>
      <c r="CT885" s="366" t="s">
        <v>4246</v>
      </c>
      <c r="CU885" s="307" t="s">
        <v>208</v>
      </c>
      <c r="CV885" s="307" t="s">
        <v>2015</v>
      </c>
      <c r="CW885" s="366" t="s">
        <v>3865</v>
      </c>
      <c r="CX885" s="307">
        <v>100.24</v>
      </c>
      <c r="CY885" s="307">
        <v>100.245</v>
      </c>
      <c r="CZ885" s="307">
        <v>100.24250000000001</v>
      </c>
    </row>
    <row r="886" spans="97:104">
      <c r="CS886" s="332"/>
      <c r="CT886" s="366" t="s">
        <v>4247</v>
      </c>
      <c r="CU886" s="307" t="s">
        <v>208</v>
      </c>
      <c r="CV886" s="307" t="s">
        <v>2015</v>
      </c>
      <c r="CW886" s="366" t="s">
        <v>3866</v>
      </c>
      <c r="CX886" s="307">
        <v>100.215</v>
      </c>
      <c r="CY886" s="307">
        <v>100.22</v>
      </c>
      <c r="CZ886" s="307">
        <v>100.2175</v>
      </c>
    </row>
    <row r="887" spans="97:104">
      <c r="CS887" s="332"/>
      <c r="CT887" s="366" t="s">
        <v>5074</v>
      </c>
      <c r="CU887" s="307" t="s">
        <v>208</v>
      </c>
      <c r="CV887" s="307" t="s">
        <v>2015</v>
      </c>
      <c r="CW887" s="366" t="s">
        <v>3889</v>
      </c>
      <c r="CX887" s="307">
        <v>100.185</v>
      </c>
      <c r="CY887" s="307">
        <v>100.19</v>
      </c>
      <c r="CZ887" s="307">
        <v>100.1875</v>
      </c>
    </row>
    <row r="888" spans="97:104">
      <c r="CS888" s="332"/>
      <c r="CT888" s="366" t="s">
        <v>2031</v>
      </c>
      <c r="CU888" s="307" t="s">
        <v>208</v>
      </c>
      <c r="CV888" s="307" t="s">
        <v>2015</v>
      </c>
      <c r="CW888" s="366" t="s">
        <v>9</v>
      </c>
      <c r="CX888" s="307">
        <v>-0.13622922800000001</v>
      </c>
      <c r="CY888" s="307">
        <v>-0.13622922800000001</v>
      </c>
      <c r="CZ888" s="307">
        <v>-0.13622922800000001</v>
      </c>
    </row>
    <row r="889" spans="97:104">
      <c r="CS889" s="332"/>
      <c r="CT889" s="366" t="s">
        <v>5115</v>
      </c>
      <c r="CU889" s="307" t="s">
        <v>208</v>
      </c>
      <c r="CV889" s="307" t="s">
        <v>2015</v>
      </c>
      <c r="CW889" s="366" t="s">
        <v>3890</v>
      </c>
      <c r="CX889" s="307">
        <v>100.15</v>
      </c>
      <c r="CY889" s="307">
        <v>100.155</v>
      </c>
      <c r="CZ889" s="307">
        <v>100.1525</v>
      </c>
    </row>
    <row r="890" spans="97:104">
      <c r="CS890" s="332"/>
      <c r="CT890" s="366" t="s">
        <v>2032</v>
      </c>
      <c r="CU890" s="307" t="s">
        <v>208</v>
      </c>
      <c r="CV890" s="307" t="s">
        <v>2015</v>
      </c>
      <c r="CW890" s="366" t="s">
        <v>10</v>
      </c>
      <c r="CX890" s="307">
        <v>-6.0999999999999999E-2</v>
      </c>
      <c r="CY890" s="307">
        <v>-6.0999999999999999E-2</v>
      </c>
      <c r="CZ890" s="307">
        <v>-6.0999999999999999E-2</v>
      </c>
    </row>
    <row r="891" spans="97:104">
      <c r="CS891" s="332"/>
      <c r="CT891" s="366" t="s">
        <v>2033</v>
      </c>
      <c r="CU891" s="307" t="s">
        <v>208</v>
      </c>
      <c r="CV891" s="307" t="s">
        <v>2015</v>
      </c>
      <c r="CW891" s="366" t="s">
        <v>11</v>
      </c>
      <c r="CX891" s="307">
        <v>2.8000000000000001E-2</v>
      </c>
      <c r="CY891" s="307">
        <v>2.8000000000000001E-2</v>
      </c>
      <c r="CZ891" s="307">
        <v>2.8000000000000001E-2</v>
      </c>
    </row>
    <row r="892" spans="97:104">
      <c r="CS892" s="332"/>
      <c r="CT892" s="366" t="s">
        <v>2034</v>
      </c>
      <c r="CU892" s="307" t="s">
        <v>208</v>
      </c>
      <c r="CV892" s="307" t="s">
        <v>2015</v>
      </c>
      <c r="CW892" s="366" t="s">
        <v>12</v>
      </c>
      <c r="CX892" s="307">
        <v>0.13200000000000001</v>
      </c>
      <c r="CY892" s="307">
        <v>0.13200000000000001</v>
      </c>
      <c r="CZ892" s="307">
        <v>0.13200000000000001</v>
      </c>
    </row>
    <row r="893" spans="97:104">
      <c r="CS893" s="332"/>
      <c r="CT893" s="366" t="s">
        <v>2035</v>
      </c>
      <c r="CU893" s="307" t="s">
        <v>208</v>
      </c>
      <c r="CV893" s="307" t="s">
        <v>2015</v>
      </c>
      <c r="CW893" s="366" t="s">
        <v>13</v>
      </c>
      <c r="CX893" s="307">
        <v>0.24199999999999999</v>
      </c>
      <c r="CY893" s="307">
        <v>0.24199999999999999</v>
      </c>
      <c r="CZ893" s="307">
        <v>0.24199999999999999</v>
      </c>
    </row>
    <row r="894" spans="97:104">
      <c r="CS894" s="332"/>
      <c r="CT894" s="366" t="s">
        <v>2036</v>
      </c>
      <c r="CU894" s="307" t="s">
        <v>208</v>
      </c>
      <c r="CV894" s="307" t="s">
        <v>2015</v>
      </c>
      <c r="CW894" s="366" t="s">
        <v>14</v>
      </c>
      <c r="CX894" s="307">
        <v>0.35499999999999998</v>
      </c>
      <c r="CY894" s="307">
        <v>0.35499999999999998</v>
      </c>
      <c r="CZ894" s="307">
        <v>0.35499999999999998</v>
      </c>
    </row>
    <row r="895" spans="97:104">
      <c r="CS895" s="332"/>
      <c r="CT895" s="366" t="s">
        <v>2037</v>
      </c>
      <c r="CU895" s="307" t="s">
        <v>208</v>
      </c>
      <c r="CV895" s="307" t="s">
        <v>2015</v>
      </c>
      <c r="CW895" s="366" t="s">
        <v>15</v>
      </c>
      <c r="CX895" s="307">
        <v>0.46700000000000003</v>
      </c>
      <c r="CY895" s="307">
        <v>0.46700000000000003</v>
      </c>
      <c r="CZ895" s="307">
        <v>0.46700000000000003</v>
      </c>
    </row>
    <row r="896" spans="97:104">
      <c r="CS896" s="332"/>
      <c r="CT896" s="366" t="s">
        <v>2038</v>
      </c>
      <c r="CU896" s="307" t="s">
        <v>208</v>
      </c>
      <c r="CV896" s="307" t="s">
        <v>2015</v>
      </c>
      <c r="CW896" s="366" t="s">
        <v>16</v>
      </c>
      <c r="CX896" s="307">
        <v>0.57399999999999995</v>
      </c>
      <c r="CY896" s="307">
        <v>0.57399999999999995</v>
      </c>
      <c r="CZ896" s="307">
        <v>0.57399999999999995</v>
      </c>
    </row>
    <row r="897" spans="97:104">
      <c r="CS897" s="332"/>
      <c r="CT897" s="366" t="s">
        <v>2039</v>
      </c>
      <c r="CU897" s="307" t="s">
        <v>208</v>
      </c>
      <c r="CV897" s="307" t="s">
        <v>2015</v>
      </c>
      <c r="CW897" s="366" t="s">
        <v>17</v>
      </c>
      <c r="CX897" s="307">
        <v>0.67100000000000004</v>
      </c>
      <c r="CY897" s="307">
        <v>0.67100000000000004</v>
      </c>
      <c r="CZ897" s="307">
        <v>0.67100000000000004</v>
      </c>
    </row>
    <row r="898" spans="97:104">
      <c r="CS898" s="332"/>
      <c r="CT898" s="366" t="s">
        <v>2040</v>
      </c>
      <c r="CU898" s="307" t="s">
        <v>208</v>
      </c>
      <c r="CV898" s="307" t="s">
        <v>2015</v>
      </c>
      <c r="CW898" s="366" t="s">
        <v>31</v>
      </c>
      <c r="CX898" s="307">
        <v>0.75775925600000005</v>
      </c>
      <c r="CY898" s="307">
        <v>0.75775925600000005</v>
      </c>
      <c r="CZ898" s="307">
        <v>0.75775925600000005</v>
      </c>
    </row>
    <row r="899" spans="97:104">
      <c r="CS899" s="332"/>
      <c r="CT899" s="366" t="s">
        <v>2041</v>
      </c>
      <c r="CU899" s="307" t="s">
        <v>208</v>
      </c>
      <c r="CV899" s="307" t="s">
        <v>2015</v>
      </c>
      <c r="CW899" s="366" t="s">
        <v>18</v>
      </c>
      <c r="CX899" s="307">
        <v>0.83499999999999996</v>
      </c>
      <c r="CY899" s="307">
        <v>0.83499999999999996</v>
      </c>
      <c r="CZ899" s="307">
        <v>0.83499999999999996</v>
      </c>
    </row>
    <row r="900" spans="97:104">
      <c r="CS900" s="332"/>
      <c r="CT900" s="366" t="s">
        <v>2042</v>
      </c>
      <c r="CU900" s="307" t="s">
        <v>208</v>
      </c>
      <c r="CV900" s="307" t="s">
        <v>2015</v>
      </c>
      <c r="CW900" s="366" t="s">
        <v>32</v>
      </c>
      <c r="CX900" s="307">
        <v>0.901469878</v>
      </c>
      <c r="CY900" s="307">
        <v>0.901469878</v>
      </c>
      <c r="CZ900" s="307">
        <v>0.901469878</v>
      </c>
    </row>
    <row r="901" spans="97:104">
      <c r="CS901" s="332"/>
      <c r="CT901" s="366" t="s">
        <v>2043</v>
      </c>
      <c r="CU901" s="307" t="s">
        <v>208</v>
      </c>
      <c r="CV901" s="307" t="s">
        <v>2015</v>
      </c>
      <c r="CW901" s="366" t="s">
        <v>33</v>
      </c>
      <c r="CX901" s="307">
        <v>0.95791295300000001</v>
      </c>
      <c r="CY901" s="307">
        <v>0.95791295300000001</v>
      </c>
      <c r="CZ901" s="307">
        <v>0.95791295300000001</v>
      </c>
    </row>
    <row r="902" spans="97:104">
      <c r="CS902" s="332"/>
      <c r="CT902" s="366" t="s">
        <v>2044</v>
      </c>
      <c r="CU902" s="307" t="s">
        <v>208</v>
      </c>
      <c r="CV902" s="307" t="s">
        <v>2015</v>
      </c>
      <c r="CW902" s="366" t="s">
        <v>19</v>
      </c>
      <c r="CX902" s="307">
        <v>1.0049999999999999</v>
      </c>
      <c r="CY902" s="307">
        <v>1.0049999999999999</v>
      </c>
      <c r="CZ902" s="307">
        <v>1.0049999999999999</v>
      </c>
    </row>
    <row r="903" spans="97:104">
      <c r="CS903" s="332"/>
      <c r="CT903" s="366" t="s">
        <v>2045</v>
      </c>
      <c r="CU903" s="307" t="s">
        <v>208</v>
      </c>
      <c r="CV903" s="307" t="s">
        <v>2015</v>
      </c>
      <c r="CW903" s="366" t="s">
        <v>34</v>
      </c>
      <c r="CX903" s="307">
        <v>1.0438079309999999</v>
      </c>
      <c r="CY903" s="307">
        <v>1.0438079309999999</v>
      </c>
      <c r="CZ903" s="307">
        <v>1.0438079309999999</v>
      </c>
    </row>
    <row r="904" spans="97:104">
      <c r="CS904" s="332"/>
      <c r="CT904" s="366" t="s">
        <v>2046</v>
      </c>
      <c r="CU904" s="307" t="s">
        <v>208</v>
      </c>
      <c r="CV904" s="307" t="s">
        <v>2015</v>
      </c>
      <c r="CW904" s="366" t="s">
        <v>35</v>
      </c>
      <c r="CX904" s="307">
        <v>1.0748230969999999</v>
      </c>
      <c r="CY904" s="307">
        <v>1.0748230969999999</v>
      </c>
      <c r="CZ904" s="307">
        <v>1.0748230969999999</v>
      </c>
    </row>
    <row r="905" spans="97:104">
      <c r="CS905" s="332"/>
      <c r="CT905" s="366" t="s">
        <v>2047</v>
      </c>
      <c r="CU905" s="307" t="s">
        <v>208</v>
      </c>
      <c r="CV905" s="307" t="s">
        <v>2015</v>
      </c>
      <c r="CW905" s="366" t="s">
        <v>36</v>
      </c>
      <c r="CX905" s="307">
        <v>1.099791722</v>
      </c>
      <c r="CY905" s="307">
        <v>1.099791722</v>
      </c>
      <c r="CZ905" s="307">
        <v>1.099791722</v>
      </c>
    </row>
    <row r="906" spans="97:104">
      <c r="CS906" s="332"/>
      <c r="CT906" s="366" t="s">
        <v>2048</v>
      </c>
      <c r="CU906" s="307" t="s">
        <v>208</v>
      </c>
      <c r="CV906" s="307" t="s">
        <v>2015</v>
      </c>
      <c r="CW906" s="366" t="s">
        <v>37</v>
      </c>
      <c r="CX906" s="307">
        <v>1.1195473650000001</v>
      </c>
      <c r="CY906" s="307">
        <v>1.1195473650000001</v>
      </c>
      <c r="CZ906" s="307">
        <v>1.1195473650000001</v>
      </c>
    </row>
    <row r="907" spans="97:104">
      <c r="CS907" s="332"/>
      <c r="CT907" s="366" t="s">
        <v>2049</v>
      </c>
      <c r="CU907" s="307" t="s">
        <v>208</v>
      </c>
      <c r="CV907" s="307" t="s">
        <v>2015</v>
      </c>
      <c r="CW907" s="366" t="s">
        <v>20</v>
      </c>
      <c r="CX907" s="307">
        <v>1.135</v>
      </c>
      <c r="CY907" s="307">
        <v>1.135</v>
      </c>
      <c r="CZ907" s="307">
        <v>1.135</v>
      </c>
    </row>
    <row r="908" spans="97:104">
      <c r="CS908" s="332"/>
      <c r="CT908" s="366" t="s">
        <v>2050</v>
      </c>
      <c r="CU908" s="307" t="s">
        <v>208</v>
      </c>
      <c r="CV908" s="307" t="s">
        <v>2015</v>
      </c>
      <c r="CW908" s="366" t="s">
        <v>38</v>
      </c>
      <c r="CX908" s="307">
        <v>1.1465149459999999</v>
      </c>
      <c r="CY908" s="307">
        <v>1.1465149459999999</v>
      </c>
      <c r="CZ908" s="307">
        <v>1.1465149459999999</v>
      </c>
    </row>
    <row r="909" spans="97:104">
      <c r="CS909" s="332"/>
      <c r="CT909" s="366" t="s">
        <v>2051</v>
      </c>
      <c r="CU909" s="307" t="s">
        <v>208</v>
      </c>
      <c r="CV909" s="307" t="s">
        <v>2015</v>
      </c>
      <c r="CW909" s="366" t="s">
        <v>39</v>
      </c>
      <c r="CX909" s="307">
        <v>1.1549966599999999</v>
      </c>
      <c r="CY909" s="307">
        <v>1.1549966599999999</v>
      </c>
      <c r="CZ909" s="307">
        <v>1.1549966599999999</v>
      </c>
    </row>
    <row r="910" spans="97:104">
      <c r="CS910" s="332"/>
      <c r="CT910" s="366" t="s">
        <v>2052</v>
      </c>
      <c r="CU910" s="307" t="s">
        <v>208</v>
      </c>
      <c r="CV910" s="307" t="s">
        <v>2015</v>
      </c>
      <c r="CW910" s="366" t="s">
        <v>40</v>
      </c>
      <c r="CX910" s="307">
        <v>1.161313571</v>
      </c>
      <c r="CY910" s="307">
        <v>1.161313571</v>
      </c>
      <c r="CZ910" s="307">
        <v>1.161313571</v>
      </c>
    </row>
    <row r="911" spans="97:104">
      <c r="CS911" s="332"/>
      <c r="CT911" s="366" t="s">
        <v>2053</v>
      </c>
      <c r="CU911" s="307" t="s">
        <v>208</v>
      </c>
      <c r="CV911" s="307" t="s">
        <v>2015</v>
      </c>
      <c r="CW911" s="366" t="s">
        <v>41</v>
      </c>
      <c r="CX911" s="307">
        <v>1.166230731</v>
      </c>
      <c r="CY911" s="307">
        <v>1.166230731</v>
      </c>
      <c r="CZ911" s="307">
        <v>1.166230731</v>
      </c>
    </row>
    <row r="912" spans="97:104">
      <c r="CS912" s="332"/>
      <c r="CT912" s="366" t="s">
        <v>2054</v>
      </c>
      <c r="CU912" s="307" t="s">
        <v>208</v>
      </c>
      <c r="CV912" s="307" t="s">
        <v>2015</v>
      </c>
      <c r="CW912" s="366" t="s">
        <v>21</v>
      </c>
      <c r="CX912" s="307">
        <v>1.17</v>
      </c>
      <c r="CY912" s="307">
        <v>1.17</v>
      </c>
      <c r="CZ912" s="307">
        <v>1.17</v>
      </c>
    </row>
    <row r="913" spans="97:104">
      <c r="CS913" s="332"/>
      <c r="CT913" s="366" t="s">
        <v>2055</v>
      </c>
      <c r="CU913" s="307" t="s">
        <v>208</v>
      </c>
      <c r="CV913" s="307" t="s">
        <v>2015</v>
      </c>
      <c r="CW913" s="366" t="s">
        <v>42</v>
      </c>
      <c r="CX913" s="307">
        <v>1.173130225</v>
      </c>
      <c r="CY913" s="307">
        <v>1.173130225</v>
      </c>
      <c r="CZ913" s="307">
        <v>1.173130225</v>
      </c>
    </row>
    <row r="914" spans="97:104">
      <c r="CS914" s="332"/>
      <c r="CT914" s="366" t="s">
        <v>2056</v>
      </c>
      <c r="CU914" s="307" t="s">
        <v>208</v>
      </c>
      <c r="CV914" s="307" t="s">
        <v>2015</v>
      </c>
      <c r="CW914" s="366" t="s">
        <v>43</v>
      </c>
      <c r="CX914" s="307">
        <v>1.175699206</v>
      </c>
      <c r="CY914" s="307">
        <v>1.175699206</v>
      </c>
      <c r="CZ914" s="307">
        <v>1.175699206</v>
      </c>
    </row>
    <row r="915" spans="97:104">
      <c r="CS915" s="332"/>
      <c r="CT915" s="366" t="s">
        <v>2057</v>
      </c>
      <c r="CU915" s="307" t="s">
        <v>208</v>
      </c>
      <c r="CV915" s="307" t="s">
        <v>2015</v>
      </c>
      <c r="CW915" s="366" t="s">
        <v>44</v>
      </c>
      <c r="CX915" s="307">
        <v>1.177772373</v>
      </c>
      <c r="CY915" s="307">
        <v>1.177772373</v>
      </c>
      <c r="CZ915" s="307">
        <v>1.177772373</v>
      </c>
    </row>
    <row r="916" spans="97:104">
      <c r="CS916" s="332"/>
      <c r="CT916" s="366" t="s">
        <v>2058</v>
      </c>
      <c r="CU916" s="307" t="s">
        <v>208</v>
      </c>
      <c r="CV916" s="307" t="s">
        <v>2015</v>
      </c>
      <c r="CW916" s="366" t="s">
        <v>45</v>
      </c>
      <c r="CX916" s="307">
        <v>1.1791747800000001</v>
      </c>
      <c r="CY916" s="307">
        <v>1.1791747800000001</v>
      </c>
      <c r="CZ916" s="307">
        <v>1.1791747800000001</v>
      </c>
    </row>
    <row r="917" spans="97:104">
      <c r="CS917" s="332"/>
      <c r="CT917" s="366" t="s">
        <v>2059</v>
      </c>
      <c r="CU917" s="307" t="s">
        <v>208</v>
      </c>
      <c r="CV917" s="307" t="s">
        <v>2015</v>
      </c>
      <c r="CW917" s="366" t="s">
        <v>22</v>
      </c>
      <c r="CX917" s="307">
        <v>1.18</v>
      </c>
      <c r="CY917" s="307">
        <v>1.18</v>
      </c>
      <c r="CZ917" s="307">
        <v>1.18</v>
      </c>
    </row>
    <row r="918" spans="97:104">
      <c r="CS918" s="332"/>
      <c r="CT918" s="366" t="s">
        <v>2060</v>
      </c>
      <c r="CU918" s="307" t="s">
        <v>208</v>
      </c>
      <c r="CV918" s="307" t="s">
        <v>2015</v>
      </c>
      <c r="CW918" s="366" t="s">
        <v>163</v>
      </c>
      <c r="CX918" s="307">
        <v>1.180261161</v>
      </c>
      <c r="CY918" s="307">
        <v>1.180261161</v>
      </c>
      <c r="CZ918" s="307">
        <v>1.180261161</v>
      </c>
    </row>
    <row r="919" spans="97:104">
      <c r="CS919" s="332"/>
      <c r="CT919" s="366" t="s">
        <v>2061</v>
      </c>
      <c r="CU919" s="307" t="s">
        <v>208</v>
      </c>
      <c r="CV919" s="307" t="s">
        <v>2015</v>
      </c>
      <c r="CW919" s="366" t="s">
        <v>164</v>
      </c>
      <c r="CX919" s="307">
        <v>1.1800983540000001</v>
      </c>
      <c r="CY919" s="307">
        <v>1.1800983540000001</v>
      </c>
      <c r="CZ919" s="307">
        <v>1.1800983540000001</v>
      </c>
    </row>
    <row r="920" spans="97:104">
      <c r="CS920" s="332"/>
      <c r="CT920" s="366" t="s">
        <v>2062</v>
      </c>
      <c r="CU920" s="307" t="s">
        <v>208</v>
      </c>
      <c r="CV920" s="307" t="s">
        <v>2015</v>
      </c>
      <c r="CW920" s="366" t="s">
        <v>165</v>
      </c>
      <c r="CX920" s="307">
        <v>1.179422191</v>
      </c>
      <c r="CY920" s="307">
        <v>1.179422191</v>
      </c>
      <c r="CZ920" s="307">
        <v>1.179422191</v>
      </c>
    </row>
    <row r="921" spans="97:104">
      <c r="CS921" s="332"/>
      <c r="CT921" s="366" t="s">
        <v>2063</v>
      </c>
      <c r="CU921" s="307" t="s">
        <v>208</v>
      </c>
      <c r="CV921" s="307" t="s">
        <v>2015</v>
      </c>
      <c r="CW921" s="366" t="s">
        <v>166</v>
      </c>
      <c r="CX921" s="307">
        <v>1.178373801</v>
      </c>
      <c r="CY921" s="307">
        <v>1.178373801</v>
      </c>
      <c r="CZ921" s="307">
        <v>1.178373801</v>
      </c>
    </row>
    <row r="922" spans="97:104">
      <c r="CS922" s="332"/>
      <c r="CT922" s="366" t="s">
        <v>2064</v>
      </c>
      <c r="CU922" s="307" t="s">
        <v>208</v>
      </c>
      <c r="CV922" s="307" t="s">
        <v>2015</v>
      </c>
      <c r="CW922" s="366" t="s">
        <v>167</v>
      </c>
      <c r="CX922" s="307">
        <v>1.177</v>
      </c>
      <c r="CY922" s="307">
        <v>1.177</v>
      </c>
      <c r="CZ922" s="307">
        <v>1.177</v>
      </c>
    </row>
    <row r="923" spans="97:104">
      <c r="CS923" s="332"/>
      <c r="CT923" s="366" t="s">
        <v>2065</v>
      </c>
      <c r="CU923" s="307" t="s">
        <v>208</v>
      </c>
      <c r="CV923" s="307" t="s">
        <v>2015</v>
      </c>
      <c r="CW923" s="366" t="s">
        <v>168</v>
      </c>
      <c r="CX923" s="307">
        <v>1.175399624</v>
      </c>
      <c r="CY923" s="307">
        <v>1.175399624</v>
      </c>
      <c r="CZ923" s="307">
        <v>1.175399624</v>
      </c>
    </row>
    <row r="924" spans="97:104">
      <c r="CS924" s="332"/>
      <c r="CT924" s="366" t="s">
        <v>2066</v>
      </c>
      <c r="CU924" s="307" t="s">
        <v>208</v>
      </c>
      <c r="CV924" s="307" t="s">
        <v>2015</v>
      </c>
      <c r="CW924" s="366" t="s">
        <v>169</v>
      </c>
      <c r="CX924" s="307">
        <v>1.1733993579999999</v>
      </c>
      <c r="CY924" s="307">
        <v>1.1733993579999999</v>
      </c>
      <c r="CZ924" s="307">
        <v>1.1733993579999999</v>
      </c>
    </row>
    <row r="925" spans="97:104">
      <c r="CS925" s="332"/>
      <c r="CT925" s="366" t="s">
        <v>2067</v>
      </c>
      <c r="CU925" s="307" t="s">
        <v>208</v>
      </c>
      <c r="CV925" s="307" t="s">
        <v>2015</v>
      </c>
      <c r="CW925" s="366" t="s">
        <v>170</v>
      </c>
      <c r="CX925" s="307">
        <v>1.1710036749999999</v>
      </c>
      <c r="CY925" s="307">
        <v>1.1710036749999999</v>
      </c>
      <c r="CZ925" s="307">
        <v>1.1710036749999999</v>
      </c>
    </row>
    <row r="926" spans="97:104">
      <c r="CS926" s="332"/>
      <c r="CT926" s="366" t="s">
        <v>2068</v>
      </c>
      <c r="CU926" s="307" t="s">
        <v>208</v>
      </c>
      <c r="CV926" s="307" t="s">
        <v>2015</v>
      </c>
      <c r="CW926" s="366" t="s">
        <v>171</v>
      </c>
      <c r="CX926" s="307">
        <v>1.168205844</v>
      </c>
      <c r="CY926" s="307">
        <v>1.168205844</v>
      </c>
      <c r="CZ926" s="307">
        <v>1.168205844</v>
      </c>
    </row>
    <row r="927" spans="97:104">
      <c r="CS927" s="332"/>
      <c r="CT927" s="366" t="s">
        <v>2069</v>
      </c>
      <c r="CU927" s="307" t="s">
        <v>208</v>
      </c>
      <c r="CV927" s="307" t="s">
        <v>2015</v>
      </c>
      <c r="CW927" s="366" t="s">
        <v>46</v>
      </c>
      <c r="CX927" s="307">
        <v>1.165</v>
      </c>
      <c r="CY927" s="307">
        <v>1.165</v>
      </c>
      <c r="CZ927" s="307">
        <v>1.165</v>
      </c>
    </row>
    <row r="928" spans="97:104">
      <c r="CS928" s="332"/>
      <c r="CT928" s="366" t="s">
        <v>2070</v>
      </c>
      <c r="CU928" s="307" t="s">
        <v>208</v>
      </c>
      <c r="CV928" s="307" t="s">
        <v>2015</v>
      </c>
      <c r="CW928" s="366" t="s">
        <v>47</v>
      </c>
      <c r="CX928" s="307">
        <v>1.111</v>
      </c>
      <c r="CY928" s="307">
        <v>1.111</v>
      </c>
      <c r="CZ928" s="307">
        <v>1.111</v>
      </c>
    </row>
    <row r="929" spans="97:104">
      <c r="CS929" s="332"/>
      <c r="CT929" s="366" t="s">
        <v>2071</v>
      </c>
      <c r="CU929" s="307" t="s">
        <v>208</v>
      </c>
      <c r="CV929" s="307" t="s">
        <v>2015</v>
      </c>
      <c r="CW929" s="366" t="s">
        <v>48</v>
      </c>
      <c r="CX929" s="307">
        <v>1.0760000000000001</v>
      </c>
      <c r="CY929" s="307">
        <v>1.0760000000000001</v>
      </c>
      <c r="CZ929" s="307">
        <v>1.0760000000000001</v>
      </c>
    </row>
    <row r="930" spans="97:104">
      <c r="CS930" s="332"/>
      <c r="CT930" s="366" t="s">
        <v>2072</v>
      </c>
      <c r="CU930" s="307" t="s">
        <v>208</v>
      </c>
      <c r="CV930" s="307" t="s">
        <v>2073</v>
      </c>
      <c r="CW930" s="366" t="s">
        <v>3</v>
      </c>
      <c r="CX930" s="307">
        <v>-0.36999989999999999</v>
      </c>
      <c r="CY930" s="307">
        <v>-0.36999989999999999</v>
      </c>
      <c r="CZ930" s="307">
        <v>-0.36999989999999999</v>
      </c>
    </row>
    <row r="931" spans="97:104">
      <c r="CS931" s="332"/>
      <c r="CT931" s="366" t="s">
        <v>2074</v>
      </c>
      <c r="CU931" s="307" t="s">
        <v>208</v>
      </c>
      <c r="CV931" s="307" t="s">
        <v>2073</v>
      </c>
      <c r="CW931" s="366" t="s">
        <v>4</v>
      </c>
      <c r="CX931" s="307">
        <v>-0.37</v>
      </c>
      <c r="CY931" s="307">
        <v>-0.37</v>
      </c>
      <c r="CZ931" s="307">
        <v>-0.37</v>
      </c>
    </row>
    <row r="932" spans="97:104">
      <c r="CS932" s="332"/>
      <c r="CT932" s="366" t="s">
        <v>2075</v>
      </c>
      <c r="CU932" s="307" t="s">
        <v>208</v>
      </c>
      <c r="CV932" s="307" t="s">
        <v>2073</v>
      </c>
      <c r="CW932" s="366" t="s">
        <v>23</v>
      </c>
      <c r="CX932" s="307">
        <v>-0.37</v>
      </c>
      <c r="CY932" s="307">
        <v>-0.37</v>
      </c>
      <c r="CZ932" s="307">
        <v>-0.37</v>
      </c>
    </row>
    <row r="933" spans="97:104">
      <c r="CS933" s="332"/>
      <c r="CT933" s="366" t="s">
        <v>2076</v>
      </c>
      <c r="CU933" s="307" t="s">
        <v>208</v>
      </c>
      <c r="CV933" s="307" t="s">
        <v>2073</v>
      </c>
      <c r="CW933" s="366" t="s">
        <v>5</v>
      </c>
      <c r="CX933" s="307">
        <v>-0.34899999999999998</v>
      </c>
      <c r="CY933" s="307">
        <v>-0.34899999999999998</v>
      </c>
      <c r="CZ933" s="307">
        <v>-0.34899999999999998</v>
      </c>
    </row>
    <row r="934" spans="97:104">
      <c r="CS934" s="332"/>
      <c r="CT934" s="366" t="s">
        <v>2077</v>
      </c>
      <c r="CU934" s="307" t="s">
        <v>208</v>
      </c>
      <c r="CV934" s="307" t="s">
        <v>2073</v>
      </c>
      <c r="CW934" s="366" t="s">
        <v>6</v>
      </c>
      <c r="CX934" s="307">
        <v>-0.34699999999999998</v>
      </c>
      <c r="CY934" s="307">
        <v>-0.34699999999999998</v>
      </c>
      <c r="CZ934" s="307">
        <v>-0.34699999999999998</v>
      </c>
    </row>
    <row r="935" spans="97:104">
      <c r="CS935" s="332"/>
      <c r="CT935" s="366" t="s">
        <v>2078</v>
      </c>
      <c r="CU935" s="307" t="s">
        <v>208</v>
      </c>
      <c r="CV935" s="307" t="s">
        <v>2073</v>
      </c>
      <c r="CW935" s="366" t="s">
        <v>24</v>
      </c>
      <c r="CX935" s="307">
        <v>-0.34799999999999998</v>
      </c>
      <c r="CY935" s="307">
        <v>-0.34799999999999998</v>
      </c>
      <c r="CZ935" s="307">
        <v>-0.34799999999999998</v>
      </c>
    </row>
    <row r="936" spans="97:104">
      <c r="CS936" s="332"/>
      <c r="CT936" s="366" t="s">
        <v>2079</v>
      </c>
      <c r="CU936" s="307" t="s">
        <v>208</v>
      </c>
      <c r="CV936" s="307" t="s">
        <v>2073</v>
      </c>
      <c r="CW936" s="366" t="s">
        <v>7</v>
      </c>
      <c r="CX936" s="307">
        <v>-0.34899999999999998</v>
      </c>
      <c r="CY936" s="307">
        <v>-0.34899999999999998</v>
      </c>
      <c r="CZ936" s="307">
        <v>-0.34899999999999998</v>
      </c>
    </row>
    <row r="937" spans="97:104">
      <c r="CS937" s="332"/>
      <c r="CT937" s="366" t="s">
        <v>2080</v>
      </c>
      <c r="CU937" s="307" t="s">
        <v>208</v>
      </c>
      <c r="CV937" s="307" t="s">
        <v>2073</v>
      </c>
      <c r="CW937" s="366" t="s">
        <v>8</v>
      </c>
      <c r="CX937" s="307">
        <v>-0.34699999999999998</v>
      </c>
      <c r="CY937" s="307">
        <v>-0.34699999999999998</v>
      </c>
      <c r="CZ937" s="307">
        <v>-0.34699999999999998</v>
      </c>
    </row>
    <row r="938" spans="97:104">
      <c r="CS938" s="332"/>
      <c r="CT938" s="366" t="s">
        <v>2081</v>
      </c>
      <c r="CU938" s="307" t="s">
        <v>208</v>
      </c>
      <c r="CV938" s="307" t="s">
        <v>2073</v>
      </c>
      <c r="CW938" s="366" t="s">
        <v>25</v>
      </c>
      <c r="CX938" s="307">
        <v>-0.34799999999999998</v>
      </c>
      <c r="CY938" s="307">
        <v>-0.34799999999999998</v>
      </c>
      <c r="CZ938" s="307">
        <v>-0.34799999999999998</v>
      </c>
    </row>
    <row r="939" spans="97:104">
      <c r="CS939" s="332"/>
      <c r="CT939" s="366" t="s">
        <v>2082</v>
      </c>
      <c r="CU939" s="307" t="s">
        <v>208</v>
      </c>
      <c r="CV939" s="307" t="s">
        <v>2073</v>
      </c>
      <c r="CW939" s="366" t="s">
        <v>26</v>
      </c>
      <c r="CX939" s="307">
        <v>-0.34899999999999998</v>
      </c>
      <c r="CY939" s="307">
        <v>-0.34899999999999998</v>
      </c>
      <c r="CZ939" s="307">
        <v>-0.34899999999999998</v>
      </c>
    </row>
    <row r="940" spans="97:104">
      <c r="CS940" s="332"/>
      <c r="CT940" s="366" t="s">
        <v>2083</v>
      </c>
      <c r="CU940" s="307" t="s">
        <v>208</v>
      </c>
      <c r="CV940" s="307" t="s">
        <v>2073</v>
      </c>
      <c r="CW940" s="366" t="s">
        <v>27</v>
      </c>
      <c r="CX940" s="307">
        <v>-0.35099999999999998</v>
      </c>
      <c r="CY940" s="307">
        <v>-0.35099999999999998</v>
      </c>
      <c r="CZ940" s="307">
        <v>-0.35099999999999998</v>
      </c>
    </row>
    <row r="941" spans="97:104">
      <c r="CS941" s="332"/>
      <c r="CT941" s="366" t="s">
        <v>2084</v>
      </c>
      <c r="CU941" s="307" t="s">
        <v>208</v>
      </c>
      <c r="CV941" s="307" t="s">
        <v>2073</v>
      </c>
      <c r="CW941" s="366" t="s">
        <v>28</v>
      </c>
      <c r="CX941" s="307">
        <v>-0.35199999999999998</v>
      </c>
      <c r="CY941" s="307">
        <v>-0.35199999999999998</v>
      </c>
      <c r="CZ941" s="307">
        <v>-0.35199999999999998</v>
      </c>
    </row>
    <row r="942" spans="97:104">
      <c r="CS942" s="332"/>
      <c r="CT942" s="366" t="s">
        <v>2085</v>
      </c>
      <c r="CU942" s="307" t="s">
        <v>208</v>
      </c>
      <c r="CV942" s="307" t="s">
        <v>2073</v>
      </c>
      <c r="CW942" s="366" t="s">
        <v>29</v>
      </c>
      <c r="CX942" s="307">
        <v>-0.35299999999999998</v>
      </c>
      <c r="CY942" s="307">
        <v>-0.35299999999999998</v>
      </c>
      <c r="CZ942" s="307">
        <v>-0.35299999999999998</v>
      </c>
    </row>
    <row r="943" spans="97:104">
      <c r="CS943" s="332"/>
      <c r="CT943" s="366" t="s">
        <v>2086</v>
      </c>
      <c r="CU943" s="307" t="s">
        <v>208</v>
      </c>
      <c r="CV943" s="307" t="s">
        <v>2073</v>
      </c>
      <c r="CW943" s="366" t="s">
        <v>30</v>
      </c>
      <c r="CX943" s="307">
        <v>-0.35299999999999998</v>
      </c>
      <c r="CY943" s="307">
        <v>-0.35299999999999998</v>
      </c>
      <c r="CZ943" s="307">
        <v>-0.35299999999999998</v>
      </c>
    </row>
    <row r="944" spans="97:104">
      <c r="CS944" s="332"/>
      <c r="CT944" s="366" t="s">
        <v>2087</v>
      </c>
      <c r="CU944" s="307" t="s">
        <v>208</v>
      </c>
      <c r="CV944" s="307" t="s">
        <v>2073</v>
      </c>
      <c r="CW944" s="366" t="s">
        <v>49</v>
      </c>
      <c r="CX944" s="307">
        <v>-0.35399999999999998</v>
      </c>
      <c r="CY944" s="307">
        <v>-0.35399999999999998</v>
      </c>
      <c r="CZ944" s="307">
        <v>-0.35399999999999998</v>
      </c>
    </row>
    <row r="945" spans="97:104">
      <c r="CS945" s="332"/>
      <c r="CT945" s="366" t="s">
        <v>2088</v>
      </c>
      <c r="CU945" s="307" t="s">
        <v>208</v>
      </c>
      <c r="CV945" s="307" t="s">
        <v>2073</v>
      </c>
      <c r="CW945" s="366" t="s">
        <v>50</v>
      </c>
      <c r="CX945" s="307">
        <v>-0.35399999999999998</v>
      </c>
      <c r="CY945" s="307">
        <v>-0.35399999999999998</v>
      </c>
      <c r="CZ945" s="307">
        <v>-0.35399999999999998</v>
      </c>
    </row>
    <row r="946" spans="97:104">
      <c r="CS946" s="332"/>
      <c r="CT946" s="366" t="s">
        <v>2089</v>
      </c>
      <c r="CU946" s="307" t="s">
        <v>208</v>
      </c>
      <c r="CV946" s="307" t="s">
        <v>2073</v>
      </c>
      <c r="CW946" s="366" t="s">
        <v>51</v>
      </c>
      <c r="CX946" s="307">
        <v>-0.35299999999999998</v>
      </c>
      <c r="CY946" s="307">
        <v>-0.35299999999999998</v>
      </c>
      <c r="CZ946" s="307">
        <v>-0.35299999999999998</v>
      </c>
    </row>
    <row r="947" spans="97:104">
      <c r="CS947" s="332"/>
      <c r="CT947" s="366" t="s">
        <v>2090</v>
      </c>
      <c r="CU947" s="307" t="s">
        <v>208</v>
      </c>
      <c r="CV947" s="307" t="s">
        <v>2073</v>
      </c>
      <c r="CW947" s="366" t="s">
        <v>56</v>
      </c>
      <c r="CX947" s="307">
        <v>-0.35299999999999998</v>
      </c>
      <c r="CY947" s="307">
        <v>-0.35299999999999998</v>
      </c>
      <c r="CZ947" s="307">
        <v>-0.35299999999999998</v>
      </c>
    </row>
    <row r="948" spans="97:104">
      <c r="CS948" s="332"/>
      <c r="CT948" s="366" t="s">
        <v>2091</v>
      </c>
      <c r="CU948" s="307" t="s">
        <v>208</v>
      </c>
      <c r="CV948" s="307" t="s">
        <v>2073</v>
      </c>
      <c r="CW948" s="366" t="s">
        <v>57</v>
      </c>
      <c r="CX948" s="307">
        <v>-0.35299999999999998</v>
      </c>
      <c r="CY948" s="307">
        <v>-0.35299999999999998</v>
      </c>
      <c r="CZ948" s="307">
        <v>-0.35299999999999998</v>
      </c>
    </row>
    <row r="949" spans="97:104">
      <c r="CS949" s="332"/>
      <c r="CT949" s="366" t="s">
        <v>2092</v>
      </c>
      <c r="CU949" s="307" t="s">
        <v>208</v>
      </c>
      <c r="CV949" s="307" t="s">
        <v>2073</v>
      </c>
      <c r="CW949" s="366" t="s">
        <v>58</v>
      </c>
      <c r="CX949" s="307">
        <v>-0.35199999999999998</v>
      </c>
      <c r="CY949" s="307">
        <v>-0.35199999999999998</v>
      </c>
      <c r="CZ949" s="307">
        <v>-0.35199999999999998</v>
      </c>
    </row>
    <row r="950" spans="97:104">
      <c r="CS950" s="332"/>
      <c r="CT950" s="366" t="s">
        <v>2093</v>
      </c>
      <c r="CU950" s="307" t="s">
        <v>208</v>
      </c>
      <c r="CV950" s="307" t="s">
        <v>2073</v>
      </c>
      <c r="CW950" s="366" t="s">
        <v>53</v>
      </c>
      <c r="CX950" s="307">
        <v>-0.35199999999999998</v>
      </c>
      <c r="CY950" s="307">
        <v>-0.35199999999999998</v>
      </c>
      <c r="CZ950" s="307">
        <v>-0.35199999999999998</v>
      </c>
    </row>
    <row r="951" spans="97:104">
      <c r="CS951" s="332"/>
      <c r="CT951" s="366" t="s">
        <v>2094</v>
      </c>
      <c r="CU951" s="307" t="s">
        <v>208</v>
      </c>
      <c r="CV951" s="307" t="s">
        <v>2073</v>
      </c>
      <c r="CW951" s="366" t="s">
        <v>59</v>
      </c>
      <c r="CX951" s="307">
        <v>-0.35099999999999998</v>
      </c>
      <c r="CY951" s="307">
        <v>-0.35099999999999998</v>
      </c>
      <c r="CZ951" s="307">
        <v>-0.35099999999999998</v>
      </c>
    </row>
    <row r="952" spans="97:104">
      <c r="CS952" s="332"/>
      <c r="CT952" s="366" t="s">
        <v>2095</v>
      </c>
      <c r="CU952" s="307" t="s">
        <v>208</v>
      </c>
      <c r="CV952" s="307" t="s">
        <v>2073</v>
      </c>
      <c r="CW952" s="366" t="s">
        <v>60</v>
      </c>
      <c r="CX952" s="307">
        <v>-0.35</v>
      </c>
      <c r="CY952" s="307">
        <v>-0.35</v>
      </c>
      <c r="CZ952" s="307">
        <v>-0.35</v>
      </c>
    </row>
    <row r="953" spans="97:104">
      <c r="CS953" s="332"/>
      <c r="CT953" s="366" t="s">
        <v>2096</v>
      </c>
      <c r="CU953" s="307" t="s">
        <v>208</v>
      </c>
      <c r="CV953" s="307" t="s">
        <v>2073</v>
      </c>
      <c r="CW953" s="366" t="s">
        <v>54</v>
      </c>
      <c r="CX953" s="307">
        <v>-0.34899999999999998</v>
      </c>
      <c r="CY953" s="307">
        <v>-0.34899999999999998</v>
      </c>
      <c r="CZ953" s="307">
        <v>-0.34899999999999998</v>
      </c>
    </row>
    <row r="954" spans="97:104">
      <c r="CS954" s="332"/>
      <c r="CT954" s="366" t="s">
        <v>2097</v>
      </c>
      <c r="CU954" s="307" t="s">
        <v>208</v>
      </c>
      <c r="CV954" s="307" t="s">
        <v>2073</v>
      </c>
      <c r="CW954" s="366" t="s">
        <v>61</v>
      </c>
      <c r="CX954" s="307">
        <v>-0.34799999999999998</v>
      </c>
      <c r="CY954" s="307">
        <v>-0.34799999999999998</v>
      </c>
      <c r="CZ954" s="307">
        <v>-0.34799999999999998</v>
      </c>
    </row>
    <row r="955" spans="97:104">
      <c r="CS955" s="332"/>
      <c r="CT955" s="366" t="s">
        <v>2098</v>
      </c>
      <c r="CU955" s="307" t="s">
        <v>208</v>
      </c>
      <c r="CV955" s="307" t="s">
        <v>2073</v>
      </c>
      <c r="CW955" s="366" t="s">
        <v>62</v>
      </c>
      <c r="CX955" s="307">
        <v>-0.34599999999999997</v>
      </c>
      <c r="CY955" s="307">
        <v>-0.34599999999999997</v>
      </c>
      <c r="CZ955" s="307">
        <v>-0.34599999999999997</v>
      </c>
    </row>
    <row r="956" spans="97:104">
      <c r="CS956" s="332"/>
      <c r="CT956" s="366" t="s">
        <v>2099</v>
      </c>
      <c r="CU956" s="307" t="s">
        <v>208</v>
      </c>
      <c r="CV956" s="307" t="s">
        <v>2073</v>
      </c>
      <c r="CW956" s="366" t="s">
        <v>55</v>
      </c>
      <c r="CX956" s="307">
        <v>-0.34399999999999997</v>
      </c>
      <c r="CY956" s="307">
        <v>-0.34399999999999997</v>
      </c>
      <c r="CZ956" s="307">
        <v>-0.34399999999999997</v>
      </c>
    </row>
    <row r="957" spans="97:104">
      <c r="CS957" s="332"/>
      <c r="CT957" s="366" t="s">
        <v>2100</v>
      </c>
      <c r="CU957" s="307" t="s">
        <v>208</v>
      </c>
      <c r="CV957" s="307" t="s">
        <v>2073</v>
      </c>
      <c r="CW957" s="366" t="s">
        <v>63</v>
      </c>
      <c r="CX957" s="307">
        <v>-0.34200000000000003</v>
      </c>
      <c r="CY957" s="307">
        <v>-0.34200000000000003</v>
      </c>
      <c r="CZ957" s="307">
        <v>-0.34200000000000003</v>
      </c>
    </row>
    <row r="958" spans="97:104">
      <c r="CS958" s="332"/>
      <c r="CT958" s="366" t="s">
        <v>2101</v>
      </c>
      <c r="CU958" s="307" t="s">
        <v>208</v>
      </c>
      <c r="CV958" s="307" t="s">
        <v>2073</v>
      </c>
      <c r="CW958" s="366" t="s">
        <v>64</v>
      </c>
      <c r="CX958" s="307">
        <v>-0.33900000000000002</v>
      </c>
      <c r="CY958" s="307">
        <v>-0.33900000000000002</v>
      </c>
      <c r="CZ958" s="307">
        <v>-0.33900000000000002</v>
      </c>
    </row>
    <row r="959" spans="97:104">
      <c r="CS959" s="332"/>
      <c r="CT959" s="366" t="s">
        <v>2102</v>
      </c>
      <c r="CU959" s="307" t="s">
        <v>208</v>
      </c>
      <c r="CV959" s="307" t="s">
        <v>2073</v>
      </c>
      <c r="CW959" s="366" t="s">
        <v>9</v>
      </c>
      <c r="CX959" s="307">
        <v>-0.33600000000000002</v>
      </c>
      <c r="CY959" s="307">
        <v>-0.33600000000000002</v>
      </c>
      <c r="CZ959" s="307">
        <v>-0.33600000000000002</v>
      </c>
    </row>
    <row r="960" spans="97:104">
      <c r="CS960" s="332"/>
      <c r="CT960" s="366" t="s">
        <v>2103</v>
      </c>
      <c r="CU960" s="307" t="s">
        <v>208</v>
      </c>
      <c r="CV960" s="307" t="s">
        <v>2073</v>
      </c>
      <c r="CW960" s="366" t="s">
        <v>10</v>
      </c>
      <c r="CX960" s="307">
        <v>-0.28199999999999997</v>
      </c>
      <c r="CY960" s="307">
        <v>-0.28199999999999997</v>
      </c>
      <c r="CZ960" s="307">
        <v>-0.28199999999999997</v>
      </c>
    </row>
    <row r="961" spans="97:104">
      <c r="CS961" s="332"/>
      <c r="CT961" s="366" t="s">
        <v>2104</v>
      </c>
      <c r="CU961" s="307" t="s">
        <v>208</v>
      </c>
      <c r="CV961" s="307" t="s">
        <v>2073</v>
      </c>
      <c r="CW961" s="366" t="s">
        <v>11</v>
      </c>
      <c r="CX961" s="307">
        <v>-0.20799999999999999</v>
      </c>
      <c r="CY961" s="307">
        <v>-0.20799999999999999</v>
      </c>
      <c r="CZ961" s="307">
        <v>-0.20799999999999999</v>
      </c>
    </row>
    <row r="962" spans="97:104">
      <c r="CS962" s="332"/>
      <c r="CT962" s="366" t="s">
        <v>2105</v>
      </c>
      <c r="CU962" s="307" t="s">
        <v>208</v>
      </c>
      <c r="CV962" s="307" t="s">
        <v>2073</v>
      </c>
      <c r="CW962" s="366" t="s">
        <v>12</v>
      </c>
      <c r="CX962" s="307">
        <v>-0.113</v>
      </c>
      <c r="CY962" s="307">
        <v>-0.113</v>
      </c>
      <c r="CZ962" s="307">
        <v>-0.113</v>
      </c>
    </row>
    <row r="963" spans="97:104">
      <c r="CS963" s="332"/>
      <c r="CT963" s="366" t="s">
        <v>2106</v>
      </c>
      <c r="CU963" s="307" t="s">
        <v>208</v>
      </c>
      <c r="CV963" s="307" t="s">
        <v>2073</v>
      </c>
      <c r="CW963" s="366" t="s">
        <v>13</v>
      </c>
      <c r="CX963" s="307">
        <v>-5.0000000000000001E-3</v>
      </c>
      <c r="CY963" s="307">
        <v>-5.0000000000000001E-3</v>
      </c>
      <c r="CZ963" s="307">
        <v>-5.0000000000000001E-3</v>
      </c>
    </row>
    <row r="964" spans="97:104">
      <c r="CS964" s="332"/>
      <c r="CT964" s="366" t="s">
        <v>2107</v>
      </c>
      <c r="CU964" s="307" t="s">
        <v>208</v>
      </c>
      <c r="CV964" s="307" t="s">
        <v>2073</v>
      </c>
      <c r="CW964" s="366" t="s">
        <v>14</v>
      </c>
      <c r="CX964" s="307">
        <v>0.109</v>
      </c>
      <c r="CY964" s="307">
        <v>0.109</v>
      </c>
      <c r="CZ964" s="307">
        <v>0.109</v>
      </c>
    </row>
    <row r="965" spans="97:104">
      <c r="CS965" s="332"/>
      <c r="CT965" s="366" t="s">
        <v>2108</v>
      </c>
      <c r="CU965" s="307" t="s">
        <v>208</v>
      </c>
      <c r="CV965" s="307" t="s">
        <v>2073</v>
      </c>
      <c r="CW965" s="366" t="s">
        <v>15</v>
      </c>
      <c r="CX965" s="307">
        <v>0.22600000000000001</v>
      </c>
      <c r="CY965" s="307">
        <v>0.22600000000000001</v>
      </c>
      <c r="CZ965" s="307">
        <v>0.22600000000000001</v>
      </c>
    </row>
    <row r="966" spans="97:104">
      <c r="CS966" s="332"/>
      <c r="CT966" s="366" t="s">
        <v>2109</v>
      </c>
      <c r="CU966" s="307" t="s">
        <v>208</v>
      </c>
      <c r="CV966" s="307" t="s">
        <v>2073</v>
      </c>
      <c r="CW966" s="366" t="s">
        <v>16</v>
      </c>
      <c r="CX966" s="307">
        <v>0.33800000000000002</v>
      </c>
      <c r="CY966" s="307">
        <v>0.33800000000000002</v>
      </c>
      <c r="CZ966" s="307">
        <v>0.33800000000000002</v>
      </c>
    </row>
    <row r="967" spans="97:104">
      <c r="CS967" s="332"/>
      <c r="CT967" s="366" t="s">
        <v>2110</v>
      </c>
      <c r="CU967" s="307" t="s">
        <v>208</v>
      </c>
      <c r="CV967" s="307" t="s">
        <v>2073</v>
      </c>
      <c r="CW967" s="366" t="s">
        <v>17</v>
      </c>
      <c r="CX967" s="307">
        <v>0.441</v>
      </c>
      <c r="CY967" s="307">
        <v>0.441</v>
      </c>
      <c r="CZ967" s="307">
        <v>0.441</v>
      </c>
    </row>
    <row r="968" spans="97:104">
      <c r="CS968" s="332"/>
      <c r="CT968" s="366" t="s">
        <v>2111</v>
      </c>
      <c r="CU968" s="307" t="s">
        <v>208</v>
      </c>
      <c r="CV968" s="307" t="s">
        <v>2073</v>
      </c>
      <c r="CW968" s="366" t="s">
        <v>31</v>
      </c>
      <c r="CX968" s="307">
        <v>0.53500000000000003</v>
      </c>
      <c r="CY968" s="307">
        <v>0.53500000000000003</v>
      </c>
      <c r="CZ968" s="307">
        <v>0.53500000000000003</v>
      </c>
    </row>
    <row r="969" spans="97:104">
      <c r="CS969" s="332"/>
      <c r="CT969" s="366" t="s">
        <v>2112</v>
      </c>
      <c r="CU969" s="307" t="s">
        <v>208</v>
      </c>
      <c r="CV969" s="307" t="s">
        <v>2073</v>
      </c>
      <c r="CW969" s="366" t="s">
        <v>18</v>
      </c>
      <c r="CX969" s="307">
        <v>0.61899999999999999</v>
      </c>
      <c r="CY969" s="307">
        <v>0.61899999999999999</v>
      </c>
      <c r="CZ969" s="307">
        <v>0.61899999999999999</v>
      </c>
    </row>
    <row r="970" spans="97:104">
      <c r="CS970" s="332"/>
      <c r="CT970" s="366" t="s">
        <v>2113</v>
      </c>
      <c r="CU970" s="307" t="s">
        <v>208</v>
      </c>
      <c r="CV970" s="307" t="s">
        <v>2073</v>
      </c>
      <c r="CW970" s="366" t="s">
        <v>32</v>
      </c>
      <c r="CX970" s="307">
        <v>0.69199999999999995</v>
      </c>
      <c r="CY970" s="307">
        <v>0.69199999999999995</v>
      </c>
      <c r="CZ970" s="307">
        <v>0.69199999999999995</v>
      </c>
    </row>
    <row r="971" spans="97:104">
      <c r="CS971" s="332"/>
      <c r="CT971" s="366" t="s">
        <v>2114</v>
      </c>
      <c r="CU971" s="307" t="s">
        <v>208</v>
      </c>
      <c r="CV971" s="307" t="s">
        <v>2073</v>
      </c>
      <c r="CW971" s="366" t="s">
        <v>33</v>
      </c>
      <c r="CX971" s="307">
        <v>0.755</v>
      </c>
      <c r="CY971" s="307">
        <v>0.755</v>
      </c>
      <c r="CZ971" s="307">
        <v>0.755</v>
      </c>
    </row>
    <row r="972" spans="97:104">
      <c r="CS972" s="332"/>
      <c r="CT972" s="366" t="s">
        <v>2115</v>
      </c>
      <c r="CU972" s="307" t="s">
        <v>208</v>
      </c>
      <c r="CV972" s="307" t="s">
        <v>2073</v>
      </c>
      <c r="CW972" s="366" t="s">
        <v>19</v>
      </c>
      <c r="CX972" s="307">
        <v>0.80900000000000005</v>
      </c>
      <c r="CY972" s="307">
        <v>0.80900000000000005</v>
      </c>
      <c r="CZ972" s="307">
        <v>0.80900000000000005</v>
      </c>
    </row>
    <row r="973" spans="97:104">
      <c r="CS973" s="332"/>
      <c r="CT973" s="366" t="s">
        <v>2116</v>
      </c>
      <c r="CU973" s="307" t="s">
        <v>208</v>
      </c>
      <c r="CV973" s="307" t="s">
        <v>2073</v>
      </c>
      <c r="CW973" s="366" t="s">
        <v>34</v>
      </c>
      <c r="CX973" s="307">
        <v>0.85399999999999998</v>
      </c>
      <c r="CY973" s="307">
        <v>0.85399999999999998</v>
      </c>
      <c r="CZ973" s="307">
        <v>0.85399999999999998</v>
      </c>
    </row>
    <row r="974" spans="97:104">
      <c r="CS974" s="332"/>
      <c r="CT974" s="366" t="s">
        <v>2117</v>
      </c>
      <c r="CU974" s="307" t="s">
        <v>208</v>
      </c>
      <c r="CV974" s="307" t="s">
        <v>2073</v>
      </c>
      <c r="CW974" s="366" t="s">
        <v>35</v>
      </c>
      <c r="CX974" s="307">
        <v>0.89200000000000002</v>
      </c>
      <c r="CY974" s="307">
        <v>0.89200000000000002</v>
      </c>
      <c r="CZ974" s="307">
        <v>0.89200000000000002</v>
      </c>
    </row>
    <row r="975" spans="97:104">
      <c r="CS975" s="332"/>
      <c r="CT975" s="366" t="s">
        <v>2118</v>
      </c>
      <c r="CU975" s="307" t="s">
        <v>208</v>
      </c>
      <c r="CV975" s="307" t="s">
        <v>2073</v>
      </c>
      <c r="CW975" s="366" t="s">
        <v>36</v>
      </c>
      <c r="CX975" s="307">
        <v>0.92400000000000004</v>
      </c>
      <c r="CY975" s="307">
        <v>0.92400000000000004</v>
      </c>
      <c r="CZ975" s="307">
        <v>0.92400000000000004</v>
      </c>
    </row>
    <row r="976" spans="97:104">
      <c r="CS976" s="332"/>
      <c r="CT976" s="366" t="s">
        <v>2119</v>
      </c>
      <c r="CU976" s="307" t="s">
        <v>208</v>
      </c>
      <c r="CV976" s="307" t="s">
        <v>2073</v>
      </c>
      <c r="CW976" s="366" t="s">
        <v>37</v>
      </c>
      <c r="CX976" s="307">
        <v>0.94899999999999995</v>
      </c>
      <c r="CY976" s="307">
        <v>0.94899999999999995</v>
      </c>
      <c r="CZ976" s="307">
        <v>0.94899999999999995</v>
      </c>
    </row>
    <row r="977" spans="97:104">
      <c r="CS977" s="332"/>
      <c r="CT977" s="366" t="s">
        <v>2120</v>
      </c>
      <c r="CU977" s="307" t="s">
        <v>208</v>
      </c>
      <c r="CV977" s="307" t="s">
        <v>2073</v>
      </c>
      <c r="CW977" s="366" t="s">
        <v>20</v>
      </c>
      <c r="CX977" s="307">
        <v>0.97</v>
      </c>
      <c r="CY977" s="307">
        <v>0.97</v>
      </c>
      <c r="CZ977" s="307">
        <v>0.97</v>
      </c>
    </row>
    <row r="978" spans="97:104">
      <c r="CS978" s="332"/>
      <c r="CT978" s="366" t="s">
        <v>2121</v>
      </c>
      <c r="CU978" s="307" t="s">
        <v>208</v>
      </c>
      <c r="CV978" s="307" t="s">
        <v>2073</v>
      </c>
      <c r="CW978" s="366" t="s">
        <v>38</v>
      </c>
      <c r="CX978" s="307">
        <v>0.98699999999999999</v>
      </c>
      <c r="CY978" s="307">
        <v>0.98699999999999999</v>
      </c>
      <c r="CZ978" s="307">
        <v>0.98699999999999999</v>
      </c>
    </row>
    <row r="979" spans="97:104">
      <c r="CS979" s="332"/>
      <c r="CT979" s="366" t="s">
        <v>2122</v>
      </c>
      <c r="CU979" s="307" t="s">
        <v>208</v>
      </c>
      <c r="CV979" s="307" t="s">
        <v>2073</v>
      </c>
      <c r="CW979" s="366" t="s">
        <v>39</v>
      </c>
      <c r="CX979" s="307">
        <v>1</v>
      </c>
      <c r="CY979" s="307">
        <v>1</v>
      </c>
      <c r="CZ979" s="307">
        <v>1</v>
      </c>
    </row>
    <row r="980" spans="97:104">
      <c r="CS980" s="332"/>
      <c r="CT980" s="366" t="s">
        <v>2123</v>
      </c>
      <c r="CU980" s="307" t="s">
        <v>208</v>
      </c>
      <c r="CV980" s="307" t="s">
        <v>2073</v>
      </c>
      <c r="CW980" s="366" t="s">
        <v>40</v>
      </c>
      <c r="CX980" s="307">
        <v>1.0109999999999999</v>
      </c>
      <c r="CY980" s="307">
        <v>1.0109999999999999</v>
      </c>
      <c r="CZ980" s="307">
        <v>1.0109999999999999</v>
      </c>
    </row>
    <row r="981" spans="97:104">
      <c r="CS981" s="332"/>
      <c r="CT981" s="366" t="s">
        <v>2124</v>
      </c>
      <c r="CU981" s="307" t="s">
        <v>208</v>
      </c>
      <c r="CV981" s="307" t="s">
        <v>2073</v>
      </c>
      <c r="CW981" s="366" t="s">
        <v>41</v>
      </c>
      <c r="CX981" s="307">
        <v>1.02</v>
      </c>
      <c r="CY981" s="307">
        <v>1.02</v>
      </c>
      <c r="CZ981" s="307">
        <v>1.02</v>
      </c>
    </row>
    <row r="982" spans="97:104">
      <c r="CS982" s="332"/>
      <c r="CT982" s="366" t="s">
        <v>2125</v>
      </c>
      <c r="CU982" s="307" t="s">
        <v>208</v>
      </c>
      <c r="CV982" s="307" t="s">
        <v>2073</v>
      </c>
      <c r="CW982" s="366" t="s">
        <v>21</v>
      </c>
      <c r="CX982" s="307">
        <v>1.0269999999999999</v>
      </c>
      <c r="CY982" s="307">
        <v>1.0269999999999999</v>
      </c>
      <c r="CZ982" s="307">
        <v>1.0269999999999999</v>
      </c>
    </row>
    <row r="983" spans="97:104">
      <c r="CS983" s="332"/>
      <c r="CT983" s="366" t="s">
        <v>2126</v>
      </c>
      <c r="CU983" s="307" t="s">
        <v>208</v>
      </c>
      <c r="CV983" s="307" t="s">
        <v>2073</v>
      </c>
      <c r="CW983" s="366" t="s">
        <v>42</v>
      </c>
      <c r="CX983" s="307">
        <v>1.0329999999999999</v>
      </c>
      <c r="CY983" s="307">
        <v>1.0329999999999999</v>
      </c>
      <c r="CZ983" s="307">
        <v>1.0329999999999999</v>
      </c>
    </row>
    <row r="984" spans="97:104">
      <c r="CS984" s="332"/>
      <c r="CT984" s="366" t="s">
        <v>2127</v>
      </c>
      <c r="CU984" s="307" t="s">
        <v>208</v>
      </c>
      <c r="CV984" s="307" t="s">
        <v>2073</v>
      </c>
      <c r="CW984" s="366" t="s">
        <v>43</v>
      </c>
      <c r="CX984" s="307">
        <v>1.0389999999999999</v>
      </c>
      <c r="CY984" s="307">
        <v>1.0389999999999999</v>
      </c>
      <c r="CZ984" s="307">
        <v>1.0389999999999999</v>
      </c>
    </row>
    <row r="985" spans="97:104">
      <c r="CS985" s="332"/>
      <c r="CT985" s="366" t="s">
        <v>2128</v>
      </c>
      <c r="CU985" s="307" t="s">
        <v>208</v>
      </c>
      <c r="CV985" s="307" t="s">
        <v>2073</v>
      </c>
      <c r="CW985" s="366" t="s">
        <v>44</v>
      </c>
      <c r="CX985" s="307">
        <v>1.044</v>
      </c>
      <c r="CY985" s="307">
        <v>1.044</v>
      </c>
      <c r="CZ985" s="307">
        <v>1.044</v>
      </c>
    </row>
    <row r="986" spans="97:104">
      <c r="CS986" s="332"/>
      <c r="CT986" s="366" t="s">
        <v>2129</v>
      </c>
      <c r="CU986" s="307" t="s">
        <v>208</v>
      </c>
      <c r="CV986" s="307" t="s">
        <v>2073</v>
      </c>
      <c r="CW986" s="366" t="s">
        <v>45</v>
      </c>
      <c r="CX986" s="307">
        <v>1.048</v>
      </c>
      <c r="CY986" s="307">
        <v>1.048</v>
      </c>
      <c r="CZ986" s="307">
        <v>1.048</v>
      </c>
    </row>
    <row r="987" spans="97:104">
      <c r="CS987" s="332"/>
      <c r="CT987" s="366" t="s">
        <v>2130</v>
      </c>
      <c r="CU987" s="307" t="s">
        <v>208</v>
      </c>
      <c r="CV987" s="307" t="s">
        <v>2073</v>
      </c>
      <c r="CW987" s="366" t="s">
        <v>22</v>
      </c>
      <c r="CX987" s="307">
        <v>1.052</v>
      </c>
      <c r="CY987" s="307">
        <v>1.052</v>
      </c>
      <c r="CZ987" s="307">
        <v>1.052</v>
      </c>
    </row>
    <row r="988" spans="97:104">
      <c r="CS988" s="332"/>
      <c r="CT988" s="366" t="s">
        <v>2131</v>
      </c>
      <c r="CU988" s="307" t="s">
        <v>208</v>
      </c>
      <c r="CV988" s="307" t="s">
        <v>2073</v>
      </c>
      <c r="CW988" s="366" t="s">
        <v>167</v>
      </c>
      <c r="CX988" s="307">
        <v>1.0629999999999999</v>
      </c>
      <c r="CY988" s="307">
        <v>1.0629999999999999</v>
      </c>
      <c r="CZ988" s="307">
        <v>1.0629999999999999</v>
      </c>
    </row>
    <row r="989" spans="97:104">
      <c r="CS989" s="332"/>
      <c r="CT989" s="366" t="s">
        <v>2132</v>
      </c>
      <c r="CU989" s="307" t="s">
        <v>208</v>
      </c>
      <c r="CV989" s="307" t="s">
        <v>2073</v>
      </c>
      <c r="CW989" s="366" t="s">
        <v>46</v>
      </c>
      <c r="CX989" s="307">
        <v>1.06</v>
      </c>
      <c r="CY989" s="307">
        <v>1.06</v>
      </c>
      <c r="CZ989" s="307">
        <v>1.06</v>
      </c>
    </row>
    <row r="990" spans="97:104">
      <c r="CS990" s="332"/>
      <c r="CT990" s="366" t="s">
        <v>2133</v>
      </c>
      <c r="CU990" s="307" t="s">
        <v>208</v>
      </c>
      <c r="CV990" s="307" t="s">
        <v>2073</v>
      </c>
      <c r="CW990" s="366" t="s">
        <v>47</v>
      </c>
      <c r="CX990" s="307">
        <v>1.02</v>
      </c>
      <c r="CY990" s="307">
        <v>1.02</v>
      </c>
      <c r="CZ990" s="307">
        <v>1.02</v>
      </c>
    </row>
    <row r="991" spans="97:104">
      <c r="CS991" s="332"/>
      <c r="CT991" s="366" t="s">
        <v>2134</v>
      </c>
      <c r="CU991" s="307" t="s">
        <v>208</v>
      </c>
      <c r="CV991" s="307" t="s">
        <v>2073</v>
      </c>
      <c r="CW991" s="366" t="s">
        <v>48</v>
      </c>
      <c r="CX991" s="307">
        <v>0.995</v>
      </c>
      <c r="CY991" s="307">
        <v>0.995</v>
      </c>
      <c r="CZ991" s="307">
        <v>0.995</v>
      </c>
    </row>
    <row r="992" spans="97:104">
      <c r="CS992" s="332"/>
      <c r="CT992" s="366" t="s">
        <v>2135</v>
      </c>
      <c r="CU992" s="307" t="s">
        <v>208</v>
      </c>
      <c r="CV992" s="307" t="s">
        <v>2136</v>
      </c>
      <c r="CW992" s="366" t="s">
        <v>3</v>
      </c>
      <c r="CX992" s="307">
        <v>0.56899999999999995</v>
      </c>
      <c r="CY992" s="307">
        <v>0.56899999999999995</v>
      </c>
      <c r="CZ992" s="307">
        <v>0.56899999999999995</v>
      </c>
    </row>
    <row r="993" spans="97:104">
      <c r="CS993" s="332"/>
      <c r="CT993" s="366" t="s">
        <v>2137</v>
      </c>
      <c r="CU993" s="307" t="s">
        <v>208</v>
      </c>
      <c r="CV993" s="307" t="s">
        <v>2136</v>
      </c>
      <c r="CW993" s="366" t="s">
        <v>4</v>
      </c>
      <c r="CX993" s="307">
        <v>-0.37</v>
      </c>
      <c r="CY993" s="307">
        <v>-0.37</v>
      </c>
      <c r="CZ993" s="307">
        <v>-0.37</v>
      </c>
    </row>
    <row r="994" spans="97:104">
      <c r="CS994" s="332"/>
      <c r="CT994" s="366" t="s">
        <v>2138</v>
      </c>
      <c r="CU994" s="307" t="s">
        <v>208</v>
      </c>
      <c r="CV994" s="307" t="s">
        <v>2136</v>
      </c>
      <c r="CW994" s="366" t="s">
        <v>23</v>
      </c>
      <c r="CX994" s="307">
        <v>-0.37</v>
      </c>
      <c r="CY994" s="307">
        <v>-0.37</v>
      </c>
      <c r="CZ994" s="307">
        <v>-0.37</v>
      </c>
    </row>
    <row r="995" spans="97:104">
      <c r="CS995" s="332"/>
      <c r="CT995" s="366" t="s">
        <v>2139</v>
      </c>
      <c r="CU995" s="307" t="s">
        <v>208</v>
      </c>
      <c r="CV995" s="307" t="s">
        <v>2136</v>
      </c>
      <c r="CW995" s="366" t="s">
        <v>25</v>
      </c>
      <c r="CX995" s="307">
        <v>-0.3</v>
      </c>
      <c r="CY995" s="307">
        <v>-0.3</v>
      </c>
      <c r="CZ995" s="307">
        <v>-0.3</v>
      </c>
    </row>
    <row r="996" spans="97:104">
      <c r="CS996" s="332"/>
      <c r="CT996" s="366" t="s">
        <v>2140</v>
      </c>
      <c r="CU996" s="307" t="s">
        <v>208</v>
      </c>
      <c r="CV996" s="307" t="s">
        <v>2136</v>
      </c>
      <c r="CW996" s="366" t="s">
        <v>1350</v>
      </c>
      <c r="CX996" s="307">
        <v>-0.33</v>
      </c>
      <c r="CY996" s="307">
        <v>-0.28000000000000003</v>
      </c>
      <c r="CZ996" s="307">
        <v>-0.30500000000000005</v>
      </c>
    </row>
    <row r="997" spans="97:104">
      <c r="CS997" s="332"/>
      <c r="CT997" s="366" t="s">
        <v>2141</v>
      </c>
      <c r="CU997" s="307" t="s">
        <v>208</v>
      </c>
      <c r="CV997" s="307" t="s">
        <v>2136</v>
      </c>
      <c r="CW997" s="366" t="s">
        <v>1351</v>
      </c>
      <c r="CX997" s="307">
        <v>-0.32500000000000001</v>
      </c>
      <c r="CY997" s="307">
        <v>-0.27500000000000002</v>
      </c>
      <c r="CZ997" s="307">
        <v>-0.30000000000000004</v>
      </c>
    </row>
    <row r="998" spans="97:104">
      <c r="CS998" s="332"/>
      <c r="CT998" s="366" t="s">
        <v>2142</v>
      </c>
      <c r="CU998" s="307" t="s">
        <v>208</v>
      </c>
      <c r="CV998" s="307" t="s">
        <v>2136</v>
      </c>
      <c r="CW998" s="366" t="s">
        <v>10</v>
      </c>
      <c r="CX998" s="307">
        <v>-6.0999999999999999E-2</v>
      </c>
      <c r="CY998" s="307">
        <v>-6.0999999999999999E-2</v>
      </c>
      <c r="CZ998" s="307">
        <v>-6.0999999999999999E-2</v>
      </c>
    </row>
    <row r="999" spans="97:104">
      <c r="CS999" s="332"/>
      <c r="CT999" s="366" t="s">
        <v>2143</v>
      </c>
      <c r="CU999" s="307" t="s">
        <v>208</v>
      </c>
      <c r="CV999" s="307" t="s">
        <v>2136</v>
      </c>
      <c r="CW999" s="366" t="s">
        <v>11</v>
      </c>
      <c r="CX999" s="307">
        <v>2.8000000000000001E-2</v>
      </c>
      <c r="CY999" s="307">
        <v>2.8000000000000001E-2</v>
      </c>
      <c r="CZ999" s="307">
        <v>2.8000000000000001E-2</v>
      </c>
    </row>
    <row r="1000" spans="97:104">
      <c r="CS1000" s="332"/>
      <c r="CT1000" s="366" t="s">
        <v>2144</v>
      </c>
      <c r="CU1000" s="307" t="s">
        <v>208</v>
      </c>
      <c r="CV1000" s="307" t="s">
        <v>2136</v>
      </c>
      <c r="CW1000" s="366" t="s">
        <v>12</v>
      </c>
      <c r="CX1000" s="307">
        <v>0.13200000000000001</v>
      </c>
      <c r="CY1000" s="307">
        <v>0.13200000000000001</v>
      </c>
      <c r="CZ1000" s="307">
        <v>0.13200000000000001</v>
      </c>
    </row>
    <row r="1001" spans="97:104">
      <c r="CS1001" s="332"/>
      <c r="CT1001" s="366" t="s">
        <v>2145</v>
      </c>
      <c r="CU1001" s="307" t="s">
        <v>208</v>
      </c>
      <c r="CV1001" s="307" t="s">
        <v>2136</v>
      </c>
      <c r="CW1001" s="366" t="s">
        <v>13</v>
      </c>
      <c r="CX1001" s="307">
        <v>0.24199999999999999</v>
      </c>
      <c r="CY1001" s="307">
        <v>0.24199999999999999</v>
      </c>
      <c r="CZ1001" s="307">
        <v>0.24199999999999999</v>
      </c>
    </row>
    <row r="1002" spans="97:104">
      <c r="CS1002" s="332"/>
      <c r="CT1002" s="366" t="s">
        <v>2146</v>
      </c>
      <c r="CU1002" s="307" t="s">
        <v>208</v>
      </c>
      <c r="CV1002" s="307" t="s">
        <v>2136</v>
      </c>
      <c r="CW1002" s="366" t="s">
        <v>14</v>
      </c>
      <c r="CX1002" s="307">
        <v>0.35499999999999998</v>
      </c>
      <c r="CY1002" s="307">
        <v>0.35499999999999998</v>
      </c>
      <c r="CZ1002" s="307">
        <v>0.35499999999999998</v>
      </c>
    </row>
    <row r="1003" spans="97:104">
      <c r="CS1003" s="332"/>
      <c r="CT1003" s="366" t="s">
        <v>2147</v>
      </c>
      <c r="CU1003" s="307" t="s">
        <v>208</v>
      </c>
      <c r="CV1003" s="307" t="s">
        <v>2136</v>
      </c>
      <c r="CW1003" s="366" t="s">
        <v>15</v>
      </c>
      <c r="CX1003" s="307">
        <v>0.46700000000000003</v>
      </c>
      <c r="CY1003" s="307">
        <v>0.46700000000000003</v>
      </c>
      <c r="CZ1003" s="307">
        <v>0.46700000000000003</v>
      </c>
    </row>
    <row r="1004" spans="97:104">
      <c r="CS1004" s="332"/>
      <c r="CT1004" s="366" t="s">
        <v>2148</v>
      </c>
      <c r="CU1004" s="307" t="s">
        <v>208</v>
      </c>
      <c r="CV1004" s="307" t="s">
        <v>2136</v>
      </c>
      <c r="CW1004" s="366" t="s">
        <v>16</v>
      </c>
      <c r="CX1004" s="307">
        <v>0.57399999999999995</v>
      </c>
      <c r="CY1004" s="307">
        <v>0.57399999999999995</v>
      </c>
      <c r="CZ1004" s="307">
        <v>0.57399999999999995</v>
      </c>
    </row>
    <row r="1005" spans="97:104">
      <c r="CS1005" s="332"/>
      <c r="CT1005" s="366" t="s">
        <v>2149</v>
      </c>
      <c r="CU1005" s="307" t="s">
        <v>208</v>
      </c>
      <c r="CV1005" s="307" t="s">
        <v>2136</v>
      </c>
      <c r="CW1005" s="366" t="s">
        <v>17</v>
      </c>
      <c r="CX1005" s="307">
        <v>0.67100000000000004</v>
      </c>
      <c r="CY1005" s="307">
        <v>0.67100000000000004</v>
      </c>
      <c r="CZ1005" s="307">
        <v>0.67100000000000004</v>
      </c>
    </row>
    <row r="1006" spans="97:104">
      <c r="CS1006" s="332"/>
      <c r="CT1006" s="366" t="s">
        <v>2150</v>
      </c>
      <c r="CU1006" s="307" t="s">
        <v>208</v>
      </c>
      <c r="CV1006" s="307" t="s">
        <v>2136</v>
      </c>
      <c r="CW1006" s="366" t="s">
        <v>31</v>
      </c>
      <c r="CX1006" s="307">
        <v>0.75775925600000005</v>
      </c>
      <c r="CY1006" s="307">
        <v>0.75775925600000005</v>
      </c>
      <c r="CZ1006" s="307">
        <v>0.75775925600000005</v>
      </c>
    </row>
    <row r="1007" spans="97:104">
      <c r="CS1007" s="332"/>
      <c r="CT1007" s="366" t="s">
        <v>2151</v>
      </c>
      <c r="CU1007" s="307" t="s">
        <v>208</v>
      </c>
      <c r="CV1007" s="307" t="s">
        <v>2136</v>
      </c>
      <c r="CW1007" s="366" t="s">
        <v>18</v>
      </c>
      <c r="CX1007" s="307">
        <v>0.83499999999999996</v>
      </c>
      <c r="CY1007" s="307">
        <v>0.83499999999999996</v>
      </c>
      <c r="CZ1007" s="307">
        <v>0.83499999999999996</v>
      </c>
    </row>
    <row r="1008" spans="97:104">
      <c r="CS1008" s="332"/>
      <c r="CT1008" s="366" t="s">
        <v>2152</v>
      </c>
      <c r="CU1008" s="307" t="s">
        <v>208</v>
      </c>
      <c r="CV1008" s="307" t="s">
        <v>2136</v>
      </c>
      <c r="CW1008" s="366" t="s">
        <v>32</v>
      </c>
      <c r="CX1008" s="307">
        <v>0.901469878</v>
      </c>
      <c r="CY1008" s="307">
        <v>0.901469878</v>
      </c>
      <c r="CZ1008" s="307">
        <v>0.901469878</v>
      </c>
    </row>
    <row r="1009" spans="97:104">
      <c r="CS1009" s="332"/>
      <c r="CT1009" s="366" t="s">
        <v>2153</v>
      </c>
      <c r="CU1009" s="307" t="s">
        <v>208</v>
      </c>
      <c r="CV1009" s="307" t="s">
        <v>2136</v>
      </c>
      <c r="CW1009" s="366" t="s">
        <v>33</v>
      </c>
      <c r="CX1009" s="307">
        <v>0.95791295300000001</v>
      </c>
      <c r="CY1009" s="307">
        <v>0.95791295300000001</v>
      </c>
      <c r="CZ1009" s="307">
        <v>0.95791295300000001</v>
      </c>
    </row>
    <row r="1010" spans="97:104">
      <c r="CS1010" s="332"/>
      <c r="CT1010" s="366" t="s">
        <v>2154</v>
      </c>
      <c r="CU1010" s="307" t="s">
        <v>208</v>
      </c>
      <c r="CV1010" s="307" t="s">
        <v>2136</v>
      </c>
      <c r="CW1010" s="366" t="s">
        <v>19</v>
      </c>
      <c r="CX1010" s="307">
        <v>1.0049999999999999</v>
      </c>
      <c r="CY1010" s="307">
        <v>1.0049999999999999</v>
      </c>
      <c r="CZ1010" s="307">
        <v>1.0049999999999999</v>
      </c>
    </row>
    <row r="1011" spans="97:104">
      <c r="CS1011" s="332"/>
      <c r="CT1011" s="366" t="s">
        <v>2155</v>
      </c>
      <c r="CU1011" s="307" t="s">
        <v>208</v>
      </c>
      <c r="CV1011" s="307" t="s">
        <v>2136</v>
      </c>
      <c r="CW1011" s="366" t="s">
        <v>34</v>
      </c>
      <c r="CX1011" s="307">
        <v>1.0438079309999999</v>
      </c>
      <c r="CY1011" s="307">
        <v>1.0438079309999999</v>
      </c>
      <c r="CZ1011" s="307">
        <v>1.0438079309999999</v>
      </c>
    </row>
    <row r="1012" spans="97:104">
      <c r="CS1012" s="332"/>
      <c r="CT1012" s="366" t="s">
        <v>2156</v>
      </c>
      <c r="CU1012" s="307" t="s">
        <v>208</v>
      </c>
      <c r="CV1012" s="307" t="s">
        <v>2136</v>
      </c>
      <c r="CW1012" s="366" t="s">
        <v>35</v>
      </c>
      <c r="CX1012" s="307">
        <v>1.0748230969999999</v>
      </c>
      <c r="CY1012" s="307">
        <v>1.0748230969999999</v>
      </c>
      <c r="CZ1012" s="307">
        <v>1.0748230969999999</v>
      </c>
    </row>
    <row r="1013" spans="97:104">
      <c r="CS1013" s="332"/>
      <c r="CT1013" s="366" t="s">
        <v>2157</v>
      </c>
      <c r="CU1013" s="307" t="s">
        <v>208</v>
      </c>
      <c r="CV1013" s="307" t="s">
        <v>2136</v>
      </c>
      <c r="CW1013" s="366" t="s">
        <v>36</v>
      </c>
      <c r="CX1013" s="307">
        <v>1.099791722</v>
      </c>
      <c r="CY1013" s="307">
        <v>1.099791722</v>
      </c>
      <c r="CZ1013" s="307">
        <v>1.099791722</v>
      </c>
    </row>
    <row r="1014" spans="97:104">
      <c r="CS1014" s="332"/>
      <c r="CT1014" s="366" t="s">
        <v>2158</v>
      </c>
      <c r="CU1014" s="307" t="s">
        <v>208</v>
      </c>
      <c r="CV1014" s="307" t="s">
        <v>2136</v>
      </c>
      <c r="CW1014" s="366" t="s">
        <v>37</v>
      </c>
      <c r="CX1014" s="307">
        <v>1.1195473650000001</v>
      </c>
      <c r="CY1014" s="307">
        <v>1.1195473650000001</v>
      </c>
      <c r="CZ1014" s="307">
        <v>1.1195473650000001</v>
      </c>
    </row>
    <row r="1015" spans="97:104">
      <c r="CS1015" s="332"/>
      <c r="CT1015" s="366" t="s">
        <v>2159</v>
      </c>
      <c r="CU1015" s="307" t="s">
        <v>208</v>
      </c>
      <c r="CV1015" s="307" t="s">
        <v>2136</v>
      </c>
      <c r="CW1015" s="366" t="s">
        <v>20</v>
      </c>
      <c r="CX1015" s="307">
        <v>1.135</v>
      </c>
      <c r="CY1015" s="307">
        <v>1.135</v>
      </c>
      <c r="CZ1015" s="307">
        <v>1.135</v>
      </c>
    </row>
    <row r="1016" spans="97:104">
      <c r="CS1016" s="332"/>
      <c r="CT1016" s="366" t="s">
        <v>2160</v>
      </c>
      <c r="CU1016" s="307" t="s">
        <v>208</v>
      </c>
      <c r="CV1016" s="307" t="s">
        <v>2136</v>
      </c>
      <c r="CW1016" s="366" t="s">
        <v>38</v>
      </c>
      <c r="CX1016" s="307">
        <v>1.1465149459999999</v>
      </c>
      <c r="CY1016" s="307">
        <v>1.1465149459999999</v>
      </c>
      <c r="CZ1016" s="307">
        <v>1.1465149459999999</v>
      </c>
    </row>
    <row r="1017" spans="97:104">
      <c r="CS1017" s="332"/>
      <c r="CT1017" s="366" t="s">
        <v>2161</v>
      </c>
      <c r="CU1017" s="307" t="s">
        <v>208</v>
      </c>
      <c r="CV1017" s="307" t="s">
        <v>2136</v>
      </c>
      <c r="CW1017" s="366" t="s">
        <v>39</v>
      </c>
      <c r="CX1017" s="307">
        <v>1.1549966599999999</v>
      </c>
      <c r="CY1017" s="307">
        <v>1.1549966599999999</v>
      </c>
      <c r="CZ1017" s="307">
        <v>1.1549966599999999</v>
      </c>
    </row>
    <row r="1018" spans="97:104">
      <c r="CS1018" s="332"/>
      <c r="CT1018" s="366" t="s">
        <v>2162</v>
      </c>
      <c r="CU1018" s="307" t="s">
        <v>208</v>
      </c>
      <c r="CV1018" s="307" t="s">
        <v>2136</v>
      </c>
      <c r="CW1018" s="366" t="s">
        <v>40</v>
      </c>
      <c r="CX1018" s="307">
        <v>1.161313571</v>
      </c>
      <c r="CY1018" s="307">
        <v>1.161313571</v>
      </c>
      <c r="CZ1018" s="307">
        <v>1.161313571</v>
      </c>
    </row>
    <row r="1019" spans="97:104">
      <c r="CS1019" s="332"/>
      <c r="CT1019" s="366" t="s">
        <v>2163</v>
      </c>
      <c r="CU1019" s="307" t="s">
        <v>208</v>
      </c>
      <c r="CV1019" s="307" t="s">
        <v>2136</v>
      </c>
      <c r="CW1019" s="366" t="s">
        <v>41</v>
      </c>
      <c r="CX1019" s="307">
        <v>1.166230731</v>
      </c>
      <c r="CY1019" s="307">
        <v>1.166230731</v>
      </c>
      <c r="CZ1019" s="307">
        <v>1.166230731</v>
      </c>
    </row>
    <row r="1020" spans="97:104">
      <c r="CS1020" s="332"/>
      <c r="CT1020" s="366" t="s">
        <v>2164</v>
      </c>
      <c r="CU1020" s="307" t="s">
        <v>208</v>
      </c>
      <c r="CV1020" s="307" t="s">
        <v>2136</v>
      </c>
      <c r="CW1020" s="366" t="s">
        <v>21</v>
      </c>
      <c r="CX1020" s="307">
        <v>1.17</v>
      </c>
      <c r="CY1020" s="307">
        <v>1.17</v>
      </c>
      <c r="CZ1020" s="307">
        <v>1.17</v>
      </c>
    </row>
    <row r="1021" spans="97:104">
      <c r="CS1021" s="332"/>
      <c r="CT1021" s="366" t="s">
        <v>2165</v>
      </c>
      <c r="CU1021" s="307" t="s">
        <v>208</v>
      </c>
      <c r="CV1021" s="307" t="s">
        <v>2136</v>
      </c>
      <c r="CW1021" s="366" t="s">
        <v>42</v>
      </c>
      <c r="CX1021" s="307">
        <v>1.173130225</v>
      </c>
      <c r="CY1021" s="307">
        <v>1.173130225</v>
      </c>
      <c r="CZ1021" s="307">
        <v>1.173130225</v>
      </c>
    </row>
    <row r="1022" spans="97:104">
      <c r="CS1022" s="332"/>
      <c r="CT1022" s="366" t="s">
        <v>2166</v>
      </c>
      <c r="CU1022" s="307" t="s">
        <v>208</v>
      </c>
      <c r="CV1022" s="307" t="s">
        <v>2136</v>
      </c>
      <c r="CW1022" s="366" t="s">
        <v>43</v>
      </c>
      <c r="CX1022" s="307">
        <v>1.175699206</v>
      </c>
      <c r="CY1022" s="307">
        <v>1.175699206</v>
      </c>
      <c r="CZ1022" s="307">
        <v>1.175699206</v>
      </c>
    </row>
    <row r="1023" spans="97:104">
      <c r="CS1023" s="332"/>
      <c r="CT1023" s="366" t="s">
        <v>2167</v>
      </c>
      <c r="CU1023" s="307" t="s">
        <v>208</v>
      </c>
      <c r="CV1023" s="307" t="s">
        <v>2136</v>
      </c>
      <c r="CW1023" s="366" t="s">
        <v>44</v>
      </c>
      <c r="CX1023" s="307">
        <v>1.177772373</v>
      </c>
      <c r="CY1023" s="307">
        <v>1.177772373</v>
      </c>
      <c r="CZ1023" s="307">
        <v>1.177772373</v>
      </c>
    </row>
    <row r="1024" spans="97:104">
      <c r="CS1024" s="332"/>
      <c r="CT1024" s="366" t="s">
        <v>2168</v>
      </c>
      <c r="CU1024" s="307" t="s">
        <v>208</v>
      </c>
      <c r="CV1024" s="307" t="s">
        <v>2136</v>
      </c>
      <c r="CW1024" s="366" t="s">
        <v>45</v>
      </c>
      <c r="CX1024" s="307">
        <v>1.1791747800000001</v>
      </c>
      <c r="CY1024" s="307">
        <v>1.1791747800000001</v>
      </c>
      <c r="CZ1024" s="307">
        <v>1.1791747800000001</v>
      </c>
    </row>
    <row r="1025" spans="97:104">
      <c r="CS1025" s="332"/>
      <c r="CT1025" s="366" t="s">
        <v>2169</v>
      </c>
      <c r="CU1025" s="307" t="s">
        <v>208</v>
      </c>
      <c r="CV1025" s="307" t="s">
        <v>2136</v>
      </c>
      <c r="CW1025" s="366" t="s">
        <v>22</v>
      </c>
      <c r="CX1025" s="307">
        <v>1.18</v>
      </c>
      <c r="CY1025" s="307">
        <v>1.18</v>
      </c>
      <c r="CZ1025" s="307">
        <v>1.18</v>
      </c>
    </row>
    <row r="1026" spans="97:104">
      <c r="CS1026" s="332"/>
      <c r="CT1026" s="366" t="s">
        <v>2170</v>
      </c>
      <c r="CU1026" s="307" t="s">
        <v>208</v>
      </c>
      <c r="CV1026" s="307" t="s">
        <v>2136</v>
      </c>
      <c r="CW1026" s="366" t="s">
        <v>46</v>
      </c>
      <c r="CX1026" s="307">
        <v>1.165</v>
      </c>
      <c r="CY1026" s="307">
        <v>1.165</v>
      </c>
      <c r="CZ1026" s="307">
        <v>1.165</v>
      </c>
    </row>
    <row r="1027" spans="97:104">
      <c r="CS1027" s="332"/>
      <c r="CT1027" s="366" t="s">
        <v>2171</v>
      </c>
      <c r="CU1027" s="307" t="s">
        <v>208</v>
      </c>
      <c r="CV1027" s="307" t="s">
        <v>2136</v>
      </c>
      <c r="CW1027" s="366" t="s">
        <v>47</v>
      </c>
      <c r="CX1027" s="307">
        <v>1.111</v>
      </c>
      <c r="CY1027" s="307">
        <v>1.111</v>
      </c>
      <c r="CZ1027" s="307">
        <v>1.111</v>
      </c>
    </row>
    <row r="1028" spans="97:104">
      <c r="CS1028" s="332"/>
      <c r="CT1028" s="366" t="s">
        <v>2172</v>
      </c>
      <c r="CU1028" s="307" t="s">
        <v>208</v>
      </c>
      <c r="CV1028" s="307" t="s">
        <v>2136</v>
      </c>
      <c r="CW1028" s="366" t="s">
        <v>48</v>
      </c>
      <c r="CX1028" s="307">
        <v>1.0760000000000001</v>
      </c>
      <c r="CY1028" s="307">
        <v>1.0760000000000001</v>
      </c>
      <c r="CZ1028" s="307">
        <v>1.0760000000000001</v>
      </c>
    </row>
    <row r="1029" spans="97:104">
      <c r="CS1029" s="332"/>
      <c r="CT1029" s="366" t="s">
        <v>3777</v>
      </c>
      <c r="CU1029" s="307" t="s">
        <v>208</v>
      </c>
      <c r="CV1029" s="307" t="s">
        <v>2174</v>
      </c>
      <c r="CW1029" s="366" t="s">
        <v>3778</v>
      </c>
      <c r="CX1029" s="307">
        <v>-0.33</v>
      </c>
      <c r="CY1029" s="307">
        <v>-0.28000000000000003</v>
      </c>
      <c r="CZ1029" s="307">
        <v>-0.30500000000000005</v>
      </c>
    </row>
    <row r="1030" spans="97:104">
      <c r="CS1030" s="332"/>
      <c r="CT1030" s="366" t="s">
        <v>3779</v>
      </c>
      <c r="CU1030" s="307" t="s">
        <v>208</v>
      </c>
      <c r="CV1030" s="307" t="s">
        <v>2174</v>
      </c>
      <c r="CW1030" s="366" t="s">
        <v>3780</v>
      </c>
      <c r="CX1030" s="307">
        <v>-0.32500000000000001</v>
      </c>
      <c r="CY1030" s="307">
        <v>-0.27500000000000002</v>
      </c>
      <c r="CZ1030" s="307">
        <v>-0.30000000000000004</v>
      </c>
    </row>
    <row r="1031" spans="97:104">
      <c r="CS1031" s="332"/>
      <c r="CT1031" s="366" t="s">
        <v>2173</v>
      </c>
      <c r="CU1031" s="307" t="s">
        <v>208</v>
      </c>
      <c r="CV1031" s="307" t="s">
        <v>2174</v>
      </c>
      <c r="CW1031" s="366" t="s">
        <v>25</v>
      </c>
      <c r="CX1031" s="307">
        <v>-0.32119999999999999</v>
      </c>
      <c r="CY1031" s="307">
        <v>-0.2712</v>
      </c>
      <c r="CZ1031" s="307">
        <v>-0.29620000000000002</v>
      </c>
    </row>
    <row r="1032" spans="97:104">
      <c r="CS1032" s="332"/>
      <c r="CT1032" s="366" t="s">
        <v>3781</v>
      </c>
      <c r="CU1032" s="307" t="s">
        <v>208</v>
      </c>
      <c r="CV1032" s="307" t="s">
        <v>2174</v>
      </c>
      <c r="CW1032" s="366" t="s">
        <v>3782</v>
      </c>
      <c r="CX1032" s="307">
        <v>-0.316</v>
      </c>
      <c r="CY1032" s="307">
        <v>-0.26600000000000001</v>
      </c>
      <c r="CZ1032" s="307">
        <v>-0.29100000000000004</v>
      </c>
    </row>
    <row r="1033" spans="97:104">
      <c r="CS1033" s="332"/>
      <c r="CT1033" s="366" t="s">
        <v>3783</v>
      </c>
      <c r="CU1033" s="307" t="s">
        <v>208</v>
      </c>
      <c r="CV1033" s="307" t="s">
        <v>2174</v>
      </c>
      <c r="CW1033" s="366" t="s">
        <v>3784</v>
      </c>
      <c r="CX1033" s="307">
        <v>-0.311</v>
      </c>
      <c r="CY1033" s="307">
        <v>-0.26100000000000001</v>
      </c>
      <c r="CZ1033" s="307">
        <v>-0.28600000000000003</v>
      </c>
    </row>
    <row r="1034" spans="97:104">
      <c r="CS1034" s="332"/>
      <c r="CT1034" s="366" t="s">
        <v>2175</v>
      </c>
      <c r="CU1034" s="307" t="s">
        <v>208</v>
      </c>
      <c r="CV1034" s="307" t="s">
        <v>2174</v>
      </c>
      <c r="CW1034" s="366" t="s">
        <v>1213</v>
      </c>
      <c r="CX1034" s="307">
        <v>-0.32100000000000001</v>
      </c>
      <c r="CY1034" s="307">
        <v>-0.27100000000000002</v>
      </c>
      <c r="CZ1034" s="307">
        <v>-0.29600000000000004</v>
      </c>
    </row>
    <row r="1035" spans="97:104">
      <c r="CS1035" s="332"/>
      <c r="CT1035" s="366" t="s">
        <v>3785</v>
      </c>
      <c r="CU1035" s="307" t="s">
        <v>208</v>
      </c>
      <c r="CV1035" s="307" t="s">
        <v>2174</v>
      </c>
      <c r="CW1035" s="366" t="s">
        <v>3786</v>
      </c>
      <c r="CX1035" s="307">
        <v>-0.30199999999999999</v>
      </c>
      <c r="CY1035" s="307">
        <v>-0.252</v>
      </c>
      <c r="CZ1035" s="307">
        <v>-0.27700000000000002</v>
      </c>
    </row>
    <row r="1036" spans="97:104">
      <c r="CS1036" s="332"/>
      <c r="CT1036" s="366" t="s">
        <v>3787</v>
      </c>
      <c r="CU1036" s="307" t="s">
        <v>208</v>
      </c>
      <c r="CV1036" s="307" t="s">
        <v>2174</v>
      </c>
      <c r="CW1036" s="366" t="s">
        <v>3788</v>
      </c>
      <c r="CX1036" s="307">
        <v>-0.29599999999999999</v>
      </c>
      <c r="CY1036" s="307">
        <v>-0.246</v>
      </c>
      <c r="CZ1036" s="307">
        <v>-0.27100000000000002</v>
      </c>
    </row>
    <row r="1037" spans="97:104">
      <c r="CS1037" s="332"/>
      <c r="CT1037" s="366" t="s">
        <v>2176</v>
      </c>
      <c r="CU1037" s="307" t="s">
        <v>208</v>
      </c>
      <c r="CV1037" s="307" t="s">
        <v>2174</v>
      </c>
      <c r="CW1037" s="366" t="s">
        <v>1214</v>
      </c>
      <c r="CX1037" s="307">
        <v>-0.307</v>
      </c>
      <c r="CY1037" s="307">
        <v>-0.25700000000000001</v>
      </c>
      <c r="CZ1037" s="307">
        <v>-0.28200000000000003</v>
      </c>
    </row>
    <row r="1038" spans="97:104">
      <c r="CS1038" s="332"/>
      <c r="CT1038" s="366" t="s">
        <v>3789</v>
      </c>
      <c r="CU1038" s="307" t="s">
        <v>208</v>
      </c>
      <c r="CV1038" s="307" t="s">
        <v>2174</v>
      </c>
      <c r="CW1038" s="366" t="s">
        <v>3790</v>
      </c>
      <c r="CX1038" s="307">
        <v>-0.28499999999999998</v>
      </c>
      <c r="CY1038" s="307">
        <v>-0.23499999999999999</v>
      </c>
      <c r="CZ1038" s="307">
        <v>-0.26</v>
      </c>
    </row>
    <row r="1039" spans="97:104">
      <c r="CS1039" s="332"/>
      <c r="CT1039" s="366" t="s">
        <v>3791</v>
      </c>
      <c r="CU1039" s="307" t="s">
        <v>208</v>
      </c>
      <c r="CV1039" s="307" t="s">
        <v>2174</v>
      </c>
      <c r="CW1039" s="366" t="s">
        <v>3792</v>
      </c>
      <c r="CX1039" s="307">
        <v>-0.27700000000000002</v>
      </c>
      <c r="CY1039" s="307">
        <v>-0.22700000000000001</v>
      </c>
      <c r="CZ1039" s="307">
        <v>-0.252</v>
      </c>
    </row>
    <row r="1040" spans="97:104">
      <c r="CS1040" s="332"/>
      <c r="CT1040" s="366" t="s">
        <v>2177</v>
      </c>
      <c r="CU1040" s="307" t="s">
        <v>208</v>
      </c>
      <c r="CV1040" s="307" t="s">
        <v>2174</v>
      </c>
      <c r="CW1040" s="366" t="s">
        <v>1215</v>
      </c>
      <c r="CX1040" s="307">
        <v>-0.29099999999999998</v>
      </c>
      <c r="CY1040" s="307">
        <v>-0.24099999999999999</v>
      </c>
      <c r="CZ1040" s="307">
        <v>-0.26600000000000001</v>
      </c>
    </row>
    <row r="1041" spans="97:104">
      <c r="CS1041" s="332"/>
      <c r="CT1041" s="366" t="s">
        <v>2178</v>
      </c>
      <c r="CU1041" s="307" t="s">
        <v>208</v>
      </c>
      <c r="CV1041" s="307" t="s">
        <v>2174</v>
      </c>
      <c r="CW1041" s="366" t="s">
        <v>2179</v>
      </c>
      <c r="CX1041" s="307">
        <v>-0.27100000000000002</v>
      </c>
      <c r="CY1041" s="307">
        <v>-0.221</v>
      </c>
      <c r="CZ1041" s="307">
        <v>-0.246</v>
      </c>
    </row>
    <row r="1042" spans="97:104">
      <c r="CS1042" s="332"/>
      <c r="CT1042" s="366" t="s">
        <v>2180</v>
      </c>
      <c r="CU1042" s="307" t="s">
        <v>208</v>
      </c>
      <c r="CV1042" s="307" t="s">
        <v>2174</v>
      </c>
      <c r="CW1042" s="366" t="s">
        <v>54</v>
      </c>
      <c r="CX1042" s="307">
        <v>-0.29899999999999999</v>
      </c>
      <c r="CY1042" s="307">
        <v>-0.249</v>
      </c>
      <c r="CZ1042" s="307">
        <v>-0.27400000000000002</v>
      </c>
    </row>
    <row r="1043" spans="97:104">
      <c r="CS1043" s="332"/>
      <c r="CT1043" s="366" t="s">
        <v>2181</v>
      </c>
      <c r="CU1043" s="307" t="s">
        <v>208</v>
      </c>
      <c r="CV1043" s="307" t="s">
        <v>2174</v>
      </c>
      <c r="CW1043" s="366" t="s">
        <v>55</v>
      </c>
      <c r="CX1043" s="307">
        <v>-0.28799999999999998</v>
      </c>
      <c r="CY1043" s="307">
        <v>-0.23799999999999999</v>
      </c>
      <c r="CZ1043" s="307">
        <v>-0.26300000000000001</v>
      </c>
    </row>
    <row r="1044" spans="97:104">
      <c r="CS1044" s="332"/>
      <c r="CT1044" s="366" t="s">
        <v>2182</v>
      </c>
      <c r="CU1044" s="307" t="s">
        <v>208</v>
      </c>
      <c r="CV1044" s="307" t="s">
        <v>2174</v>
      </c>
      <c r="CW1044" s="366" t="s">
        <v>9</v>
      </c>
      <c r="CX1044" s="307">
        <v>-0.25204313699999997</v>
      </c>
      <c r="CY1044" s="307">
        <v>-0.25204313699999997</v>
      </c>
      <c r="CZ1044" s="307">
        <v>-0.25204313699999997</v>
      </c>
    </row>
    <row r="1045" spans="97:104">
      <c r="CS1045" s="332"/>
      <c r="CT1045" s="366" t="s">
        <v>2183</v>
      </c>
      <c r="CU1045" s="307" t="s">
        <v>208</v>
      </c>
      <c r="CV1045" s="307" t="s">
        <v>2174</v>
      </c>
      <c r="CW1045" s="366" t="s">
        <v>10</v>
      </c>
      <c r="CX1045" s="307">
        <v>-0.186</v>
      </c>
      <c r="CY1045" s="307">
        <v>-0.186</v>
      </c>
      <c r="CZ1045" s="307">
        <v>-0.186</v>
      </c>
    </row>
    <row r="1046" spans="97:104">
      <c r="CS1046" s="332"/>
      <c r="CT1046" s="366" t="s">
        <v>2184</v>
      </c>
      <c r="CU1046" s="307" t="s">
        <v>208</v>
      </c>
      <c r="CV1046" s="307" t="s">
        <v>2174</v>
      </c>
      <c r="CW1046" s="366" t="s">
        <v>11</v>
      </c>
      <c r="CX1046" s="307">
        <v>-0.105</v>
      </c>
      <c r="CY1046" s="307">
        <v>-0.105</v>
      </c>
      <c r="CZ1046" s="307">
        <v>-0.105</v>
      </c>
    </row>
    <row r="1047" spans="97:104">
      <c r="CS1047" s="332"/>
      <c r="CT1047" s="366" t="s">
        <v>2185</v>
      </c>
      <c r="CU1047" s="307" t="s">
        <v>208</v>
      </c>
      <c r="CV1047" s="307" t="s">
        <v>2174</v>
      </c>
      <c r="CW1047" s="366" t="s">
        <v>12</v>
      </c>
      <c r="CX1047" s="307">
        <v>-6.0000000000000001E-3</v>
      </c>
      <c r="CY1047" s="307">
        <v>-6.0000000000000001E-3</v>
      </c>
      <c r="CZ1047" s="307">
        <v>-6.0000000000000001E-3</v>
      </c>
    </row>
    <row r="1048" spans="97:104">
      <c r="CS1048" s="332"/>
      <c r="CT1048" s="366" t="s">
        <v>2186</v>
      </c>
      <c r="CU1048" s="307" t="s">
        <v>208</v>
      </c>
      <c r="CV1048" s="307" t="s">
        <v>2174</v>
      </c>
      <c r="CW1048" s="366" t="s">
        <v>13</v>
      </c>
      <c r="CX1048" s="307">
        <v>0.10299999999999999</v>
      </c>
      <c r="CY1048" s="307">
        <v>0.10299999999999999</v>
      </c>
      <c r="CZ1048" s="307">
        <v>0.10299999999999999</v>
      </c>
    </row>
    <row r="1049" spans="97:104">
      <c r="CS1049" s="332"/>
      <c r="CT1049" s="366" t="s">
        <v>2187</v>
      </c>
      <c r="CU1049" s="307" t="s">
        <v>208</v>
      </c>
      <c r="CV1049" s="307" t="s">
        <v>2174</v>
      </c>
      <c r="CW1049" s="366" t="s">
        <v>14</v>
      </c>
      <c r="CX1049" s="307">
        <v>0.218</v>
      </c>
      <c r="CY1049" s="307">
        <v>0.218</v>
      </c>
      <c r="CZ1049" s="307">
        <v>0.218</v>
      </c>
    </row>
    <row r="1050" spans="97:104">
      <c r="CS1050" s="332"/>
      <c r="CT1050" s="366" t="s">
        <v>2188</v>
      </c>
      <c r="CU1050" s="307" t="s">
        <v>208</v>
      </c>
      <c r="CV1050" s="307" t="s">
        <v>2174</v>
      </c>
      <c r="CW1050" s="366" t="s">
        <v>15</v>
      </c>
      <c r="CX1050" s="307">
        <v>0.33400000000000002</v>
      </c>
      <c r="CY1050" s="307">
        <v>0.33400000000000002</v>
      </c>
      <c r="CZ1050" s="307">
        <v>0.33400000000000002</v>
      </c>
    </row>
    <row r="1051" spans="97:104">
      <c r="CS1051" s="332"/>
      <c r="CT1051" s="366" t="s">
        <v>2189</v>
      </c>
      <c r="CU1051" s="307" t="s">
        <v>208</v>
      </c>
      <c r="CV1051" s="307" t="s">
        <v>2174</v>
      </c>
      <c r="CW1051" s="366" t="s">
        <v>16</v>
      </c>
      <c r="CX1051" s="307">
        <v>0.44600000000000001</v>
      </c>
      <c r="CY1051" s="307">
        <v>0.44600000000000001</v>
      </c>
      <c r="CZ1051" s="307">
        <v>0.44600000000000001</v>
      </c>
    </row>
    <row r="1052" spans="97:104">
      <c r="CS1052" s="332"/>
      <c r="CT1052" s="366" t="s">
        <v>2190</v>
      </c>
      <c r="CU1052" s="307" t="s">
        <v>208</v>
      </c>
      <c r="CV1052" s="307" t="s">
        <v>2174</v>
      </c>
      <c r="CW1052" s="366" t="s">
        <v>17</v>
      </c>
      <c r="CX1052" s="307">
        <v>0.55000000000000004</v>
      </c>
      <c r="CY1052" s="307">
        <v>0.55000000000000004</v>
      </c>
      <c r="CZ1052" s="307">
        <v>0.55000000000000004</v>
      </c>
    </row>
    <row r="1053" spans="97:104">
      <c r="CS1053" s="332"/>
      <c r="CT1053" s="366" t="s">
        <v>2191</v>
      </c>
      <c r="CU1053" s="307" t="s">
        <v>208</v>
      </c>
      <c r="CV1053" s="307" t="s">
        <v>2174</v>
      </c>
      <c r="CW1053" s="366" t="s">
        <v>31</v>
      </c>
      <c r="CX1053" s="307">
        <v>0.643502405</v>
      </c>
      <c r="CY1053" s="307">
        <v>0.643502405</v>
      </c>
      <c r="CZ1053" s="307">
        <v>0.643502405</v>
      </c>
    </row>
    <row r="1054" spans="97:104">
      <c r="CS1054" s="332"/>
      <c r="CT1054" s="366" t="s">
        <v>2192</v>
      </c>
      <c r="CU1054" s="307" t="s">
        <v>208</v>
      </c>
      <c r="CV1054" s="307" t="s">
        <v>2174</v>
      </c>
      <c r="CW1054" s="366" t="s">
        <v>18</v>
      </c>
      <c r="CX1054" s="307">
        <v>0.72699999999999998</v>
      </c>
      <c r="CY1054" s="307">
        <v>0.72699999999999998</v>
      </c>
      <c r="CZ1054" s="307">
        <v>0.72699999999999998</v>
      </c>
    </row>
    <row r="1055" spans="97:104">
      <c r="CS1055" s="332"/>
      <c r="CT1055" s="366" t="s">
        <v>2193</v>
      </c>
      <c r="CU1055" s="307" t="s">
        <v>208</v>
      </c>
      <c r="CV1055" s="307" t="s">
        <v>2174</v>
      </c>
      <c r="CW1055" s="366" t="s">
        <v>32</v>
      </c>
      <c r="CX1055" s="307">
        <v>0.79949402999999997</v>
      </c>
      <c r="CY1055" s="307">
        <v>0.79949402999999997</v>
      </c>
      <c r="CZ1055" s="307">
        <v>0.79949402999999997</v>
      </c>
    </row>
    <row r="1056" spans="97:104">
      <c r="CS1056" s="332"/>
      <c r="CT1056" s="366" t="s">
        <v>2194</v>
      </c>
      <c r="CU1056" s="307" t="s">
        <v>208</v>
      </c>
      <c r="CV1056" s="307" t="s">
        <v>2174</v>
      </c>
      <c r="CW1056" s="366" t="s">
        <v>33</v>
      </c>
      <c r="CX1056" s="307">
        <v>0.861635971</v>
      </c>
      <c r="CY1056" s="307">
        <v>0.861635971</v>
      </c>
      <c r="CZ1056" s="307">
        <v>0.861635971</v>
      </c>
    </row>
    <row r="1057" spans="97:104">
      <c r="CS1057" s="332"/>
      <c r="CT1057" s="366" t="s">
        <v>2195</v>
      </c>
      <c r="CU1057" s="307" t="s">
        <v>208</v>
      </c>
      <c r="CV1057" s="307" t="s">
        <v>2174</v>
      </c>
      <c r="CW1057" s="366" t="s">
        <v>19</v>
      </c>
      <c r="CX1057" s="307">
        <v>0.91400000000000003</v>
      </c>
      <c r="CY1057" s="307">
        <v>0.91400000000000003</v>
      </c>
      <c r="CZ1057" s="307">
        <v>0.91400000000000003</v>
      </c>
    </row>
    <row r="1058" spans="97:104">
      <c r="CS1058" s="332"/>
      <c r="CT1058" s="366" t="s">
        <v>2196</v>
      </c>
      <c r="CU1058" s="307" t="s">
        <v>208</v>
      </c>
      <c r="CV1058" s="307" t="s">
        <v>2174</v>
      </c>
      <c r="CW1058" s="366" t="s">
        <v>34</v>
      </c>
      <c r="CX1058" s="307">
        <v>0.95762430300000001</v>
      </c>
      <c r="CY1058" s="307">
        <v>0.95762430300000001</v>
      </c>
      <c r="CZ1058" s="307">
        <v>0.95762430300000001</v>
      </c>
    </row>
    <row r="1059" spans="97:104">
      <c r="CS1059" s="332"/>
      <c r="CT1059" s="366" t="s">
        <v>2197</v>
      </c>
      <c r="CU1059" s="307" t="s">
        <v>208</v>
      </c>
      <c r="CV1059" s="307" t="s">
        <v>2174</v>
      </c>
      <c r="CW1059" s="366" t="s">
        <v>35</v>
      </c>
      <c r="CX1059" s="307">
        <v>0.99299166500000002</v>
      </c>
      <c r="CY1059" s="307">
        <v>0.99299166500000002</v>
      </c>
      <c r="CZ1059" s="307">
        <v>0.99299166500000002</v>
      </c>
    </row>
    <row r="1060" spans="97:104">
      <c r="CS1060" s="332"/>
      <c r="CT1060" s="366" t="s">
        <v>2198</v>
      </c>
      <c r="CU1060" s="307" t="s">
        <v>208</v>
      </c>
      <c r="CV1060" s="307" t="s">
        <v>2174</v>
      </c>
      <c r="CW1060" s="366" t="s">
        <v>36</v>
      </c>
      <c r="CX1060" s="307">
        <v>1.021926723</v>
      </c>
      <c r="CY1060" s="307">
        <v>1.021926723</v>
      </c>
      <c r="CZ1060" s="307">
        <v>1.021926723</v>
      </c>
    </row>
    <row r="1061" spans="97:104">
      <c r="CS1061" s="332"/>
      <c r="CT1061" s="366" t="s">
        <v>2199</v>
      </c>
      <c r="CU1061" s="307" t="s">
        <v>208</v>
      </c>
      <c r="CV1061" s="307" t="s">
        <v>2174</v>
      </c>
      <c r="CW1061" s="366" t="s">
        <v>37</v>
      </c>
      <c r="CX1061" s="307">
        <v>1.0452838390000001</v>
      </c>
      <c r="CY1061" s="307">
        <v>1.0452838390000001</v>
      </c>
      <c r="CZ1061" s="307">
        <v>1.0452838390000001</v>
      </c>
    </row>
    <row r="1062" spans="97:104">
      <c r="CS1062" s="332"/>
      <c r="CT1062" s="366" t="s">
        <v>2200</v>
      </c>
      <c r="CU1062" s="307" t="s">
        <v>208</v>
      </c>
      <c r="CV1062" s="307" t="s">
        <v>2174</v>
      </c>
      <c r="CW1062" s="366" t="s">
        <v>20</v>
      </c>
      <c r="CX1062" s="307">
        <v>1.0640000000000001</v>
      </c>
      <c r="CY1062" s="307">
        <v>1.0640000000000001</v>
      </c>
      <c r="CZ1062" s="307">
        <v>1.0640000000000001</v>
      </c>
    </row>
    <row r="1063" spans="97:104">
      <c r="CS1063" s="332"/>
      <c r="CT1063" s="366" t="s">
        <v>2201</v>
      </c>
      <c r="CU1063" s="307" t="s">
        <v>208</v>
      </c>
      <c r="CV1063" s="307" t="s">
        <v>2174</v>
      </c>
      <c r="CW1063" s="366" t="s">
        <v>38</v>
      </c>
      <c r="CX1063" s="307">
        <v>1.0784790829999999</v>
      </c>
      <c r="CY1063" s="307">
        <v>1.0784790829999999</v>
      </c>
      <c r="CZ1063" s="307">
        <v>1.0784790829999999</v>
      </c>
    </row>
    <row r="1064" spans="97:104">
      <c r="CS1064" s="332"/>
      <c r="CT1064" s="366" t="s">
        <v>2202</v>
      </c>
      <c r="CU1064" s="307" t="s">
        <v>208</v>
      </c>
      <c r="CV1064" s="307" t="s">
        <v>2174</v>
      </c>
      <c r="CW1064" s="366" t="s">
        <v>39</v>
      </c>
      <c r="CX1064" s="307">
        <v>1.0896088500000001</v>
      </c>
      <c r="CY1064" s="307">
        <v>1.0896088500000001</v>
      </c>
      <c r="CZ1064" s="307">
        <v>1.0896088500000001</v>
      </c>
    </row>
    <row r="1065" spans="97:104">
      <c r="CS1065" s="332"/>
      <c r="CT1065" s="366" t="s">
        <v>2203</v>
      </c>
      <c r="CU1065" s="307" t="s">
        <v>208</v>
      </c>
      <c r="CV1065" s="307" t="s">
        <v>2174</v>
      </c>
      <c r="CW1065" s="366" t="s">
        <v>40</v>
      </c>
      <c r="CX1065" s="307">
        <v>1.0983026760000001</v>
      </c>
      <c r="CY1065" s="307">
        <v>1.0983026760000001</v>
      </c>
      <c r="CZ1065" s="307">
        <v>1.0983026760000001</v>
      </c>
    </row>
    <row r="1066" spans="97:104">
      <c r="CS1066" s="332"/>
      <c r="CT1066" s="366" t="s">
        <v>2204</v>
      </c>
      <c r="CU1066" s="307" t="s">
        <v>208</v>
      </c>
      <c r="CV1066" s="307" t="s">
        <v>2174</v>
      </c>
      <c r="CW1066" s="366" t="s">
        <v>41</v>
      </c>
      <c r="CX1066" s="307">
        <v>1.1053466919999999</v>
      </c>
      <c r="CY1066" s="307">
        <v>1.1053466919999999</v>
      </c>
      <c r="CZ1066" s="307">
        <v>1.1053466919999999</v>
      </c>
    </row>
    <row r="1067" spans="97:104">
      <c r="CS1067" s="332"/>
      <c r="CT1067" s="366" t="s">
        <v>2205</v>
      </c>
      <c r="CU1067" s="307" t="s">
        <v>208</v>
      </c>
      <c r="CV1067" s="307" t="s">
        <v>2174</v>
      </c>
      <c r="CW1067" s="366" t="s">
        <v>21</v>
      </c>
      <c r="CX1067" s="307">
        <v>1.111</v>
      </c>
      <c r="CY1067" s="307">
        <v>1.111</v>
      </c>
      <c r="CZ1067" s="307">
        <v>1.111</v>
      </c>
    </row>
    <row r="1068" spans="97:104">
      <c r="CS1068" s="332"/>
      <c r="CT1068" s="366" t="s">
        <v>2206</v>
      </c>
      <c r="CU1068" s="307" t="s">
        <v>208</v>
      </c>
      <c r="CV1068" s="307" t="s">
        <v>2174</v>
      </c>
      <c r="CW1068" s="366" t="s">
        <v>42</v>
      </c>
      <c r="CX1068" s="307">
        <v>1.115800203</v>
      </c>
      <c r="CY1068" s="307">
        <v>1.115800203</v>
      </c>
      <c r="CZ1068" s="307">
        <v>1.115800203</v>
      </c>
    </row>
    <row r="1069" spans="97:104">
      <c r="CS1069" s="332"/>
      <c r="CT1069" s="366" t="s">
        <v>2207</v>
      </c>
      <c r="CU1069" s="307" t="s">
        <v>208</v>
      </c>
      <c r="CV1069" s="307" t="s">
        <v>2174</v>
      </c>
      <c r="CW1069" s="366" t="s">
        <v>43</v>
      </c>
      <c r="CX1069" s="307">
        <v>1.1199252070000001</v>
      </c>
      <c r="CY1069" s="307">
        <v>1.1199252070000001</v>
      </c>
      <c r="CZ1069" s="307">
        <v>1.1199252070000001</v>
      </c>
    </row>
    <row r="1070" spans="97:104">
      <c r="CS1070" s="332"/>
      <c r="CT1070" s="366" t="s">
        <v>2208</v>
      </c>
      <c r="CU1070" s="307" t="s">
        <v>208</v>
      </c>
      <c r="CV1070" s="307" t="s">
        <v>2174</v>
      </c>
      <c r="CW1070" s="366" t="s">
        <v>44</v>
      </c>
      <c r="CX1070" s="307">
        <v>1.1235090000000001</v>
      </c>
      <c r="CY1070" s="307">
        <v>1.1235090000000001</v>
      </c>
      <c r="CZ1070" s="307">
        <v>1.1235090000000001</v>
      </c>
    </row>
    <row r="1071" spans="97:104">
      <c r="CS1071" s="332"/>
      <c r="CT1071" s="366" t="s">
        <v>2209</v>
      </c>
      <c r="CU1071" s="307" t="s">
        <v>208</v>
      </c>
      <c r="CV1071" s="307" t="s">
        <v>2174</v>
      </c>
      <c r="CW1071" s="366" t="s">
        <v>45</v>
      </c>
      <c r="CX1071" s="307">
        <v>1.1264828730000001</v>
      </c>
      <c r="CY1071" s="307">
        <v>1.1264828730000001</v>
      </c>
      <c r="CZ1071" s="307">
        <v>1.1264828730000001</v>
      </c>
    </row>
    <row r="1072" spans="97:104">
      <c r="CS1072" s="332"/>
      <c r="CT1072" s="366" t="s">
        <v>2210</v>
      </c>
      <c r="CU1072" s="307" t="s">
        <v>208</v>
      </c>
      <c r="CV1072" s="307" t="s">
        <v>2174</v>
      </c>
      <c r="CW1072" s="366" t="s">
        <v>22</v>
      </c>
      <c r="CX1072" s="307">
        <v>1.129</v>
      </c>
      <c r="CY1072" s="307">
        <v>1.129</v>
      </c>
      <c r="CZ1072" s="307">
        <v>1.129</v>
      </c>
    </row>
    <row r="1073" spans="97:104">
      <c r="CS1073" s="332"/>
      <c r="CT1073" s="366" t="s">
        <v>2211</v>
      </c>
      <c r="CU1073" s="307" t="s">
        <v>208</v>
      </c>
      <c r="CV1073" s="307" t="s">
        <v>2174</v>
      </c>
      <c r="CW1073" s="366" t="s">
        <v>163</v>
      </c>
      <c r="CX1073" s="307">
        <v>1.1311017670000001</v>
      </c>
      <c r="CY1073" s="307">
        <v>1.1311017670000001</v>
      </c>
      <c r="CZ1073" s="307">
        <v>1.1311017670000001</v>
      </c>
    </row>
    <row r="1074" spans="97:104">
      <c r="CS1074" s="332"/>
      <c r="CT1074" s="366" t="s">
        <v>2212</v>
      </c>
      <c r="CU1074" s="307" t="s">
        <v>208</v>
      </c>
      <c r="CV1074" s="307" t="s">
        <v>2174</v>
      </c>
      <c r="CW1074" s="366" t="s">
        <v>164</v>
      </c>
      <c r="CX1074" s="307">
        <v>1.1328466909999999</v>
      </c>
      <c r="CY1074" s="307">
        <v>1.1328466909999999</v>
      </c>
      <c r="CZ1074" s="307">
        <v>1.1328466909999999</v>
      </c>
    </row>
    <row r="1075" spans="97:104">
      <c r="CS1075" s="332"/>
      <c r="CT1075" s="366" t="s">
        <v>2213</v>
      </c>
      <c r="CU1075" s="307" t="s">
        <v>208</v>
      </c>
      <c r="CV1075" s="307" t="s">
        <v>2174</v>
      </c>
      <c r="CW1075" s="366" t="s">
        <v>165</v>
      </c>
      <c r="CX1075" s="307">
        <v>1.1340052469999999</v>
      </c>
      <c r="CY1075" s="307">
        <v>1.1340052469999999</v>
      </c>
      <c r="CZ1075" s="307">
        <v>1.1340052469999999</v>
      </c>
    </row>
    <row r="1076" spans="97:104">
      <c r="CS1076" s="332"/>
      <c r="CT1076" s="366" t="s">
        <v>2214</v>
      </c>
      <c r="CU1076" s="307" t="s">
        <v>208</v>
      </c>
      <c r="CV1076" s="307" t="s">
        <v>2174</v>
      </c>
      <c r="CW1076" s="366" t="s">
        <v>166</v>
      </c>
      <c r="CX1076" s="307">
        <v>1.134640791</v>
      </c>
      <c r="CY1076" s="307">
        <v>1.134640791</v>
      </c>
      <c r="CZ1076" s="307">
        <v>1.134640791</v>
      </c>
    </row>
    <row r="1077" spans="97:104">
      <c r="CS1077" s="332"/>
      <c r="CT1077" s="366" t="s">
        <v>2215</v>
      </c>
      <c r="CU1077" s="307" t="s">
        <v>208</v>
      </c>
      <c r="CV1077" s="307" t="s">
        <v>2174</v>
      </c>
      <c r="CW1077" s="366" t="s">
        <v>167</v>
      </c>
      <c r="CX1077" s="307">
        <v>1.1347206299999999</v>
      </c>
      <c r="CY1077" s="307">
        <v>1.1347206299999999</v>
      </c>
      <c r="CZ1077" s="307">
        <v>1.1347206299999999</v>
      </c>
    </row>
    <row r="1078" spans="97:104">
      <c r="CS1078" s="332"/>
      <c r="CT1078" s="366" t="s">
        <v>2216</v>
      </c>
      <c r="CU1078" s="307" t="s">
        <v>208</v>
      </c>
      <c r="CV1078" s="307" t="s">
        <v>2174</v>
      </c>
      <c r="CW1078" s="366" t="s">
        <v>168</v>
      </c>
      <c r="CX1078" s="307">
        <v>1.1342818990000001</v>
      </c>
      <c r="CY1078" s="307">
        <v>1.1342818990000001</v>
      </c>
      <c r="CZ1078" s="307">
        <v>1.1342818990000001</v>
      </c>
    </row>
    <row r="1079" spans="97:104">
      <c r="CS1079" s="332"/>
      <c r="CT1079" s="366" t="s">
        <v>2217</v>
      </c>
      <c r="CU1079" s="307" t="s">
        <v>208</v>
      </c>
      <c r="CV1079" s="307" t="s">
        <v>2174</v>
      </c>
      <c r="CW1079" s="366" t="s">
        <v>169</v>
      </c>
      <c r="CX1079" s="307">
        <v>1.133163739</v>
      </c>
      <c r="CY1079" s="307">
        <v>1.133163739</v>
      </c>
      <c r="CZ1079" s="307">
        <v>1.133163739</v>
      </c>
    </row>
    <row r="1080" spans="97:104">
      <c r="CS1080" s="332"/>
      <c r="CT1080" s="366" t="s">
        <v>2218</v>
      </c>
      <c r="CU1080" s="307" t="s">
        <v>208</v>
      </c>
      <c r="CV1080" s="307" t="s">
        <v>2174</v>
      </c>
      <c r="CW1080" s="366" t="s">
        <v>170</v>
      </c>
      <c r="CX1080" s="307">
        <v>1.131402155</v>
      </c>
      <c r="CY1080" s="307">
        <v>1.131402155</v>
      </c>
      <c r="CZ1080" s="307">
        <v>1.131402155</v>
      </c>
    </row>
    <row r="1081" spans="97:104">
      <c r="CS1081" s="332"/>
      <c r="CT1081" s="366" t="s">
        <v>2219</v>
      </c>
      <c r="CU1081" s="307" t="s">
        <v>208</v>
      </c>
      <c r="CV1081" s="307" t="s">
        <v>2174</v>
      </c>
      <c r="CW1081" s="366" t="s">
        <v>171</v>
      </c>
      <c r="CX1081" s="307">
        <v>1.129007426</v>
      </c>
      <c r="CY1081" s="307">
        <v>1.129007426</v>
      </c>
      <c r="CZ1081" s="307">
        <v>1.129007426</v>
      </c>
    </row>
    <row r="1082" spans="97:104">
      <c r="CS1082" s="332"/>
      <c r="CT1082" s="366" t="s">
        <v>2220</v>
      </c>
      <c r="CU1082" s="307" t="s">
        <v>208</v>
      </c>
      <c r="CV1082" s="307" t="s">
        <v>2174</v>
      </c>
      <c r="CW1082" s="366" t="s">
        <v>46</v>
      </c>
      <c r="CX1082" s="307">
        <v>1.1259999999999999</v>
      </c>
      <c r="CY1082" s="307">
        <v>1.1259999999999999</v>
      </c>
      <c r="CZ1082" s="307">
        <v>1.1259999999999999</v>
      </c>
    </row>
    <row r="1083" spans="97:104">
      <c r="CS1083" s="332"/>
      <c r="CT1083" s="366" t="s">
        <v>2221</v>
      </c>
      <c r="CU1083" s="307" t="s">
        <v>208</v>
      </c>
      <c r="CV1083" s="307" t="s">
        <v>2174</v>
      </c>
      <c r="CW1083" s="366" t="s">
        <v>47</v>
      </c>
      <c r="CX1083" s="307">
        <v>1.079</v>
      </c>
      <c r="CY1083" s="307">
        <v>1.079</v>
      </c>
      <c r="CZ1083" s="307">
        <v>1.079</v>
      </c>
    </row>
    <row r="1084" spans="97:104">
      <c r="CS1084" s="332"/>
      <c r="CT1084" s="366" t="s">
        <v>2222</v>
      </c>
      <c r="CU1084" s="307" t="s">
        <v>208</v>
      </c>
      <c r="CV1084" s="307" t="s">
        <v>2174</v>
      </c>
      <c r="CW1084" s="366" t="s">
        <v>48</v>
      </c>
      <c r="CX1084" s="307">
        <v>1.048</v>
      </c>
      <c r="CY1084" s="307">
        <v>1.048</v>
      </c>
      <c r="CZ1084" s="307">
        <v>1.048</v>
      </c>
    </row>
    <row r="1085" spans="97:104">
      <c r="CS1085" s="332"/>
      <c r="CT1085" s="366" t="s">
        <v>2223</v>
      </c>
      <c r="CU1085" s="307" t="s">
        <v>208</v>
      </c>
      <c r="CV1085" s="307" t="s">
        <v>2224</v>
      </c>
      <c r="CW1085" s="366" t="s">
        <v>3</v>
      </c>
      <c r="CX1085" s="307">
        <v>-0.36999989999999999</v>
      </c>
      <c r="CY1085" s="307">
        <v>-0.36999989999999999</v>
      </c>
      <c r="CZ1085" s="307">
        <v>-0.36999989999999999</v>
      </c>
    </row>
    <row r="1086" spans="97:104">
      <c r="CS1086" s="332"/>
      <c r="CT1086" s="366" t="s">
        <v>2225</v>
      </c>
      <c r="CU1086" s="307" t="s">
        <v>208</v>
      </c>
      <c r="CV1086" s="307" t="s">
        <v>2224</v>
      </c>
      <c r="CW1086" s="366" t="s">
        <v>4</v>
      </c>
      <c r="CX1086" s="307">
        <v>-0.37</v>
      </c>
      <c r="CY1086" s="307">
        <v>-0.37</v>
      </c>
      <c r="CZ1086" s="307">
        <v>-0.37</v>
      </c>
    </row>
    <row r="1087" spans="97:104">
      <c r="CS1087" s="332"/>
      <c r="CT1087" s="366" t="s">
        <v>2226</v>
      </c>
      <c r="CU1087" s="307" t="s">
        <v>208</v>
      </c>
      <c r="CV1087" s="307" t="s">
        <v>2224</v>
      </c>
      <c r="CW1087" s="366" t="s">
        <v>23</v>
      </c>
      <c r="CX1087" s="307">
        <v>-0.37</v>
      </c>
      <c r="CY1087" s="307">
        <v>-0.37</v>
      </c>
      <c r="CZ1087" s="307">
        <v>-0.37</v>
      </c>
    </row>
    <row r="1088" spans="97:104">
      <c r="CS1088" s="332"/>
      <c r="CT1088" s="366" t="s">
        <v>2227</v>
      </c>
      <c r="CU1088" s="307" t="s">
        <v>208</v>
      </c>
      <c r="CV1088" s="307" t="s">
        <v>2224</v>
      </c>
      <c r="CW1088" s="366" t="s">
        <v>5</v>
      </c>
      <c r="CX1088" s="307">
        <v>-0.37</v>
      </c>
      <c r="CY1088" s="307">
        <v>-0.37</v>
      </c>
      <c r="CZ1088" s="307">
        <v>-0.37</v>
      </c>
    </row>
    <row r="1089" spans="97:104">
      <c r="CS1089" s="332"/>
      <c r="CT1089" s="366" t="s">
        <v>2228</v>
      </c>
      <c r="CU1089" s="307" t="s">
        <v>208</v>
      </c>
      <c r="CV1089" s="307" t="s">
        <v>2224</v>
      </c>
      <c r="CW1089" s="366" t="s">
        <v>6</v>
      </c>
      <c r="CX1089" s="307">
        <v>-0.37</v>
      </c>
      <c r="CY1089" s="307">
        <v>-0.37</v>
      </c>
      <c r="CZ1089" s="307">
        <v>-0.37</v>
      </c>
    </row>
    <row r="1090" spans="97:104">
      <c r="CS1090" s="332"/>
      <c r="CT1090" s="366" t="s">
        <v>2229</v>
      </c>
      <c r="CU1090" s="307" t="s">
        <v>208</v>
      </c>
      <c r="CV1090" s="307" t="s">
        <v>2224</v>
      </c>
      <c r="CW1090" s="366" t="s">
        <v>24</v>
      </c>
      <c r="CX1090" s="307">
        <v>-0.37</v>
      </c>
      <c r="CY1090" s="307">
        <v>-0.37</v>
      </c>
      <c r="CZ1090" s="307">
        <v>-0.37</v>
      </c>
    </row>
    <row r="1091" spans="97:104">
      <c r="CS1091" s="332"/>
      <c r="CT1091" s="366" t="s">
        <v>2230</v>
      </c>
      <c r="CU1091" s="307" t="s">
        <v>208</v>
      </c>
      <c r="CV1091" s="307" t="s">
        <v>2224</v>
      </c>
      <c r="CW1091" s="366" t="s">
        <v>7</v>
      </c>
      <c r="CX1091" s="307">
        <v>-0.37</v>
      </c>
      <c r="CY1091" s="307">
        <v>-0.37</v>
      </c>
      <c r="CZ1091" s="307">
        <v>-0.37</v>
      </c>
    </row>
    <row r="1092" spans="97:104">
      <c r="CS1092" s="332"/>
      <c r="CT1092" s="366" t="s">
        <v>2231</v>
      </c>
      <c r="CU1092" s="307" t="s">
        <v>208</v>
      </c>
      <c r="CV1092" s="307" t="s">
        <v>2224</v>
      </c>
      <c r="CW1092" s="366" t="s">
        <v>8</v>
      </c>
      <c r="CX1092" s="307">
        <v>-0.33</v>
      </c>
      <c r="CY1092" s="307">
        <v>-0.33</v>
      </c>
      <c r="CZ1092" s="307">
        <v>-0.33</v>
      </c>
    </row>
    <row r="1093" spans="97:104">
      <c r="CS1093" s="332"/>
      <c r="CT1093" s="366" t="s">
        <v>2232</v>
      </c>
      <c r="CU1093" s="307" t="s">
        <v>208</v>
      </c>
      <c r="CV1093" s="307" t="s">
        <v>2224</v>
      </c>
      <c r="CW1093" s="366" t="s">
        <v>25</v>
      </c>
      <c r="CX1093" s="307">
        <v>-0.3</v>
      </c>
      <c r="CY1093" s="307">
        <v>-0.3</v>
      </c>
      <c r="CZ1093" s="307">
        <v>-0.3</v>
      </c>
    </row>
    <row r="1094" spans="97:104">
      <c r="CS1094" s="332"/>
      <c r="CT1094" s="366" t="s">
        <v>2233</v>
      </c>
      <c r="CU1094" s="307" t="s">
        <v>208</v>
      </c>
      <c r="CV1094" s="307" t="s">
        <v>2224</v>
      </c>
      <c r="CW1094" s="366" t="s">
        <v>10</v>
      </c>
      <c r="CX1094" s="307">
        <v>-6.0999999999999999E-2</v>
      </c>
      <c r="CY1094" s="307">
        <v>-6.0999999999999999E-2</v>
      </c>
      <c r="CZ1094" s="307">
        <v>-6.0999999999999999E-2</v>
      </c>
    </row>
    <row r="1095" spans="97:104">
      <c r="CS1095" s="332"/>
      <c r="CT1095" s="366" t="s">
        <v>2234</v>
      </c>
      <c r="CU1095" s="307" t="s">
        <v>208</v>
      </c>
      <c r="CV1095" s="307" t="s">
        <v>2224</v>
      </c>
      <c r="CW1095" s="366" t="s">
        <v>11</v>
      </c>
      <c r="CX1095" s="307">
        <v>2.8000000000000001E-2</v>
      </c>
      <c r="CY1095" s="307">
        <v>2.8000000000000001E-2</v>
      </c>
      <c r="CZ1095" s="307">
        <v>2.8000000000000001E-2</v>
      </c>
    </row>
    <row r="1096" spans="97:104">
      <c r="CS1096" s="332"/>
      <c r="CT1096" s="366" t="s">
        <v>2235</v>
      </c>
      <c r="CU1096" s="307" t="s">
        <v>208</v>
      </c>
      <c r="CV1096" s="307" t="s">
        <v>2224</v>
      </c>
      <c r="CW1096" s="366" t="s">
        <v>12</v>
      </c>
      <c r="CX1096" s="307">
        <v>0.13200000000000001</v>
      </c>
      <c r="CY1096" s="307">
        <v>0.13200000000000001</v>
      </c>
      <c r="CZ1096" s="307">
        <v>0.13200000000000001</v>
      </c>
    </row>
    <row r="1097" spans="97:104">
      <c r="CS1097" s="332"/>
      <c r="CT1097" s="366" t="s">
        <v>2236</v>
      </c>
      <c r="CU1097" s="307" t="s">
        <v>208</v>
      </c>
      <c r="CV1097" s="307" t="s">
        <v>2224</v>
      </c>
      <c r="CW1097" s="366" t="s">
        <v>13</v>
      </c>
      <c r="CX1097" s="307">
        <v>0.24199999999999999</v>
      </c>
      <c r="CY1097" s="307">
        <v>0.24199999999999999</v>
      </c>
      <c r="CZ1097" s="307">
        <v>0.24199999999999999</v>
      </c>
    </row>
    <row r="1098" spans="97:104">
      <c r="CS1098" s="332"/>
      <c r="CT1098" s="366" t="s">
        <v>2237</v>
      </c>
      <c r="CU1098" s="307" t="s">
        <v>208</v>
      </c>
      <c r="CV1098" s="307" t="s">
        <v>2224</v>
      </c>
      <c r="CW1098" s="366" t="s">
        <v>14</v>
      </c>
      <c r="CX1098" s="307">
        <v>0.35499999999999998</v>
      </c>
      <c r="CY1098" s="307">
        <v>0.35499999999999998</v>
      </c>
      <c r="CZ1098" s="307">
        <v>0.35499999999999998</v>
      </c>
    </row>
    <row r="1099" spans="97:104">
      <c r="CS1099" s="332"/>
      <c r="CT1099" s="366" t="s">
        <v>2238</v>
      </c>
      <c r="CU1099" s="307" t="s">
        <v>208</v>
      </c>
      <c r="CV1099" s="307" t="s">
        <v>2224</v>
      </c>
      <c r="CW1099" s="366" t="s">
        <v>15</v>
      </c>
      <c r="CX1099" s="307">
        <v>0.46700000000000003</v>
      </c>
      <c r="CY1099" s="307">
        <v>0.46700000000000003</v>
      </c>
      <c r="CZ1099" s="307">
        <v>0.46700000000000003</v>
      </c>
    </row>
    <row r="1100" spans="97:104">
      <c r="CS1100" s="332"/>
      <c r="CT1100" s="366" t="s">
        <v>2239</v>
      </c>
      <c r="CU1100" s="307" t="s">
        <v>208</v>
      </c>
      <c r="CV1100" s="307" t="s">
        <v>2224</v>
      </c>
      <c r="CW1100" s="366" t="s">
        <v>16</v>
      </c>
      <c r="CX1100" s="307">
        <v>0.57399999999999995</v>
      </c>
      <c r="CY1100" s="307">
        <v>0.57399999999999995</v>
      </c>
      <c r="CZ1100" s="307">
        <v>0.57399999999999995</v>
      </c>
    </row>
    <row r="1101" spans="97:104">
      <c r="CS1101" s="332"/>
      <c r="CT1101" s="366" t="s">
        <v>2240</v>
      </c>
      <c r="CU1101" s="307" t="s">
        <v>208</v>
      </c>
      <c r="CV1101" s="307" t="s">
        <v>2224</v>
      </c>
      <c r="CW1101" s="366" t="s">
        <v>17</v>
      </c>
      <c r="CX1101" s="307">
        <v>0.67100000000000004</v>
      </c>
      <c r="CY1101" s="307">
        <v>0.67100000000000004</v>
      </c>
      <c r="CZ1101" s="307">
        <v>0.67100000000000004</v>
      </c>
    </row>
    <row r="1102" spans="97:104">
      <c r="CS1102" s="332"/>
      <c r="CT1102" s="366" t="s">
        <v>2241</v>
      </c>
      <c r="CU1102" s="307" t="s">
        <v>208</v>
      </c>
      <c r="CV1102" s="307" t="s">
        <v>2224</v>
      </c>
      <c r="CW1102" s="366" t="s">
        <v>31</v>
      </c>
      <c r="CX1102" s="307">
        <v>0.75775925600000005</v>
      </c>
      <c r="CY1102" s="307">
        <v>0.75775925600000005</v>
      </c>
      <c r="CZ1102" s="307">
        <v>0.75775925600000005</v>
      </c>
    </row>
    <row r="1103" spans="97:104">
      <c r="CS1103" s="332"/>
      <c r="CT1103" s="366" t="s">
        <v>2242</v>
      </c>
      <c r="CU1103" s="307" t="s">
        <v>208</v>
      </c>
      <c r="CV1103" s="307" t="s">
        <v>2224</v>
      </c>
      <c r="CW1103" s="366" t="s">
        <v>18</v>
      </c>
      <c r="CX1103" s="307">
        <v>0.83499999999999996</v>
      </c>
      <c r="CY1103" s="307">
        <v>0.83499999999999996</v>
      </c>
      <c r="CZ1103" s="307">
        <v>0.83499999999999996</v>
      </c>
    </row>
    <row r="1104" spans="97:104">
      <c r="CS1104" s="332"/>
      <c r="CT1104" s="366" t="s">
        <v>2243</v>
      </c>
      <c r="CU1104" s="307" t="s">
        <v>208</v>
      </c>
      <c r="CV1104" s="307" t="s">
        <v>2224</v>
      </c>
      <c r="CW1104" s="366" t="s">
        <v>32</v>
      </c>
      <c r="CX1104" s="307">
        <v>0.901469878</v>
      </c>
      <c r="CY1104" s="307">
        <v>0.901469878</v>
      </c>
      <c r="CZ1104" s="307">
        <v>0.901469878</v>
      </c>
    </row>
    <row r="1105" spans="97:104">
      <c r="CS1105" s="332"/>
      <c r="CT1105" s="366" t="s">
        <v>2244</v>
      </c>
      <c r="CU1105" s="307" t="s">
        <v>208</v>
      </c>
      <c r="CV1105" s="307" t="s">
        <v>2224</v>
      </c>
      <c r="CW1105" s="366" t="s">
        <v>33</v>
      </c>
      <c r="CX1105" s="307">
        <v>0.95791295300000001</v>
      </c>
      <c r="CY1105" s="307">
        <v>0.95791295300000001</v>
      </c>
      <c r="CZ1105" s="307">
        <v>0.95791295300000001</v>
      </c>
    </row>
    <row r="1106" spans="97:104">
      <c r="CS1106" s="332"/>
      <c r="CT1106" s="366" t="s">
        <v>2245</v>
      </c>
      <c r="CU1106" s="307" t="s">
        <v>208</v>
      </c>
      <c r="CV1106" s="307" t="s">
        <v>2224</v>
      </c>
      <c r="CW1106" s="366" t="s">
        <v>19</v>
      </c>
      <c r="CX1106" s="307">
        <v>1.0049999999999999</v>
      </c>
      <c r="CY1106" s="307">
        <v>1.0049999999999999</v>
      </c>
      <c r="CZ1106" s="307">
        <v>1.0049999999999999</v>
      </c>
    </row>
    <row r="1107" spans="97:104">
      <c r="CS1107" s="332"/>
      <c r="CT1107" s="366" t="s">
        <v>2246</v>
      </c>
      <c r="CU1107" s="307" t="s">
        <v>208</v>
      </c>
      <c r="CV1107" s="307" t="s">
        <v>2224</v>
      </c>
      <c r="CW1107" s="366" t="s">
        <v>34</v>
      </c>
      <c r="CX1107" s="307">
        <v>1.0438079309999999</v>
      </c>
      <c r="CY1107" s="307">
        <v>1.0438079309999999</v>
      </c>
      <c r="CZ1107" s="307">
        <v>1.0438079309999999</v>
      </c>
    </row>
    <row r="1108" spans="97:104">
      <c r="CS1108" s="332"/>
      <c r="CT1108" s="366" t="s">
        <v>2247</v>
      </c>
      <c r="CU1108" s="307" t="s">
        <v>208</v>
      </c>
      <c r="CV1108" s="307" t="s">
        <v>2224</v>
      </c>
      <c r="CW1108" s="366" t="s">
        <v>35</v>
      </c>
      <c r="CX1108" s="307">
        <v>1.0748230969999999</v>
      </c>
      <c r="CY1108" s="307">
        <v>1.0748230969999999</v>
      </c>
      <c r="CZ1108" s="307">
        <v>1.0748230969999999</v>
      </c>
    </row>
    <row r="1109" spans="97:104">
      <c r="CS1109" s="332"/>
      <c r="CT1109" s="366" t="s">
        <v>2248</v>
      </c>
      <c r="CU1109" s="307" t="s">
        <v>208</v>
      </c>
      <c r="CV1109" s="307" t="s">
        <v>2224</v>
      </c>
      <c r="CW1109" s="366" t="s">
        <v>36</v>
      </c>
      <c r="CX1109" s="307">
        <v>1.099791722</v>
      </c>
      <c r="CY1109" s="307">
        <v>1.099791722</v>
      </c>
      <c r="CZ1109" s="307">
        <v>1.099791722</v>
      </c>
    </row>
    <row r="1110" spans="97:104">
      <c r="CS1110" s="332"/>
      <c r="CT1110" s="366" t="s">
        <v>2249</v>
      </c>
      <c r="CU1110" s="307" t="s">
        <v>208</v>
      </c>
      <c r="CV1110" s="307" t="s">
        <v>2224</v>
      </c>
      <c r="CW1110" s="366" t="s">
        <v>37</v>
      </c>
      <c r="CX1110" s="307">
        <v>1.1195473650000001</v>
      </c>
      <c r="CY1110" s="307">
        <v>1.1195473650000001</v>
      </c>
      <c r="CZ1110" s="307">
        <v>1.1195473650000001</v>
      </c>
    </row>
    <row r="1111" spans="97:104">
      <c r="CS1111" s="332"/>
      <c r="CT1111" s="366" t="s">
        <v>2250</v>
      </c>
      <c r="CU1111" s="307" t="s">
        <v>208</v>
      </c>
      <c r="CV1111" s="307" t="s">
        <v>2224</v>
      </c>
      <c r="CW1111" s="366" t="s">
        <v>20</v>
      </c>
      <c r="CX1111" s="307">
        <v>1.135</v>
      </c>
      <c r="CY1111" s="307">
        <v>1.135</v>
      </c>
      <c r="CZ1111" s="307">
        <v>1.135</v>
      </c>
    </row>
    <row r="1112" spans="97:104">
      <c r="CS1112" s="332"/>
      <c r="CT1112" s="366" t="s">
        <v>2251</v>
      </c>
      <c r="CU1112" s="307" t="s">
        <v>208</v>
      </c>
      <c r="CV1112" s="307" t="s">
        <v>2224</v>
      </c>
      <c r="CW1112" s="366" t="s">
        <v>38</v>
      </c>
      <c r="CX1112" s="307">
        <v>1.1465149459999999</v>
      </c>
      <c r="CY1112" s="307">
        <v>1.1465149459999999</v>
      </c>
      <c r="CZ1112" s="307">
        <v>1.1465149459999999</v>
      </c>
    </row>
    <row r="1113" spans="97:104">
      <c r="CS1113" s="332"/>
      <c r="CT1113" s="366" t="s">
        <v>2252</v>
      </c>
      <c r="CU1113" s="307" t="s">
        <v>208</v>
      </c>
      <c r="CV1113" s="307" t="s">
        <v>2224</v>
      </c>
      <c r="CW1113" s="366" t="s">
        <v>39</v>
      </c>
      <c r="CX1113" s="307">
        <v>1.1549966599999999</v>
      </c>
      <c r="CY1113" s="307">
        <v>1.1549966599999999</v>
      </c>
      <c r="CZ1113" s="307">
        <v>1.1549966599999999</v>
      </c>
    </row>
    <row r="1114" spans="97:104">
      <c r="CS1114" s="332"/>
      <c r="CT1114" s="366" t="s">
        <v>2253</v>
      </c>
      <c r="CU1114" s="307" t="s">
        <v>208</v>
      </c>
      <c r="CV1114" s="307" t="s">
        <v>2224</v>
      </c>
      <c r="CW1114" s="366" t="s">
        <v>40</v>
      </c>
      <c r="CX1114" s="307">
        <v>1.161313571</v>
      </c>
      <c r="CY1114" s="307">
        <v>1.161313571</v>
      </c>
      <c r="CZ1114" s="307">
        <v>1.161313571</v>
      </c>
    </row>
    <row r="1115" spans="97:104">
      <c r="CS1115" s="332"/>
      <c r="CT1115" s="366" t="s">
        <v>2254</v>
      </c>
      <c r="CU1115" s="307" t="s">
        <v>208</v>
      </c>
      <c r="CV1115" s="307" t="s">
        <v>2224</v>
      </c>
      <c r="CW1115" s="366" t="s">
        <v>41</v>
      </c>
      <c r="CX1115" s="307">
        <v>1.166230731</v>
      </c>
      <c r="CY1115" s="307">
        <v>1.166230731</v>
      </c>
      <c r="CZ1115" s="307">
        <v>1.166230731</v>
      </c>
    </row>
    <row r="1116" spans="97:104">
      <c r="CS1116" s="332"/>
      <c r="CT1116" s="366" t="s">
        <v>2255</v>
      </c>
      <c r="CU1116" s="307" t="s">
        <v>208</v>
      </c>
      <c r="CV1116" s="307" t="s">
        <v>2224</v>
      </c>
      <c r="CW1116" s="366" t="s">
        <v>21</v>
      </c>
      <c r="CX1116" s="307">
        <v>1.17</v>
      </c>
      <c r="CY1116" s="307">
        <v>1.17</v>
      </c>
      <c r="CZ1116" s="307">
        <v>1.17</v>
      </c>
    </row>
    <row r="1117" spans="97:104">
      <c r="CS1117" s="332"/>
      <c r="CT1117" s="366" t="s">
        <v>2256</v>
      </c>
      <c r="CU1117" s="307" t="s">
        <v>208</v>
      </c>
      <c r="CV1117" s="307" t="s">
        <v>2224</v>
      </c>
      <c r="CW1117" s="366" t="s">
        <v>42</v>
      </c>
      <c r="CX1117" s="307">
        <v>1.173130225</v>
      </c>
      <c r="CY1117" s="307">
        <v>1.173130225</v>
      </c>
      <c r="CZ1117" s="307">
        <v>1.173130225</v>
      </c>
    </row>
    <row r="1118" spans="97:104">
      <c r="CS1118" s="332"/>
      <c r="CT1118" s="366" t="s">
        <v>2257</v>
      </c>
      <c r="CU1118" s="307" t="s">
        <v>208</v>
      </c>
      <c r="CV1118" s="307" t="s">
        <v>2224</v>
      </c>
      <c r="CW1118" s="366" t="s">
        <v>43</v>
      </c>
      <c r="CX1118" s="307">
        <v>1.175699206</v>
      </c>
      <c r="CY1118" s="307">
        <v>1.175699206</v>
      </c>
      <c r="CZ1118" s="307">
        <v>1.175699206</v>
      </c>
    </row>
    <row r="1119" spans="97:104">
      <c r="CS1119" s="332"/>
      <c r="CT1119" s="366" t="s">
        <v>2258</v>
      </c>
      <c r="CU1119" s="307" t="s">
        <v>208</v>
      </c>
      <c r="CV1119" s="307" t="s">
        <v>2224</v>
      </c>
      <c r="CW1119" s="366" t="s">
        <v>44</v>
      </c>
      <c r="CX1119" s="307">
        <v>1.177772373</v>
      </c>
      <c r="CY1119" s="307">
        <v>1.177772373</v>
      </c>
      <c r="CZ1119" s="307">
        <v>1.177772373</v>
      </c>
    </row>
    <row r="1120" spans="97:104">
      <c r="CS1120" s="332"/>
      <c r="CT1120" s="366" t="s">
        <v>2259</v>
      </c>
      <c r="CU1120" s="307" t="s">
        <v>208</v>
      </c>
      <c r="CV1120" s="307" t="s">
        <v>2224</v>
      </c>
      <c r="CW1120" s="366" t="s">
        <v>45</v>
      </c>
      <c r="CX1120" s="307">
        <v>1.1791747800000001</v>
      </c>
      <c r="CY1120" s="307">
        <v>1.1791747800000001</v>
      </c>
      <c r="CZ1120" s="307">
        <v>1.1791747800000001</v>
      </c>
    </row>
    <row r="1121" spans="97:104">
      <c r="CS1121" s="332"/>
      <c r="CT1121" s="366" t="s">
        <v>2260</v>
      </c>
      <c r="CU1121" s="307" t="s">
        <v>208</v>
      </c>
      <c r="CV1121" s="307" t="s">
        <v>2224</v>
      </c>
      <c r="CW1121" s="366" t="s">
        <v>46</v>
      </c>
      <c r="CX1121" s="307">
        <v>1.165</v>
      </c>
      <c r="CY1121" s="307">
        <v>1.165</v>
      </c>
      <c r="CZ1121" s="307">
        <v>1.165</v>
      </c>
    </row>
    <row r="1122" spans="97:104">
      <c r="CS1122" s="332"/>
      <c r="CT1122" s="366" t="s">
        <v>2261</v>
      </c>
      <c r="CU1122" s="307" t="s">
        <v>208</v>
      </c>
      <c r="CV1122" s="307" t="s">
        <v>2224</v>
      </c>
      <c r="CW1122" s="366" t="s">
        <v>47</v>
      </c>
      <c r="CX1122" s="307">
        <v>1.111</v>
      </c>
      <c r="CY1122" s="307">
        <v>1.111</v>
      </c>
      <c r="CZ1122" s="307">
        <v>1.111</v>
      </c>
    </row>
    <row r="1123" spans="97:104">
      <c r="CS1123" s="332"/>
      <c r="CT1123" s="366" t="s">
        <v>2262</v>
      </c>
      <c r="CU1123" s="307" t="s">
        <v>208</v>
      </c>
      <c r="CV1123" s="307" t="s">
        <v>2224</v>
      </c>
      <c r="CW1123" s="366" t="s">
        <v>48</v>
      </c>
      <c r="CX1123" s="307">
        <v>1.0760000000000001</v>
      </c>
      <c r="CY1123" s="307">
        <v>1.0760000000000001</v>
      </c>
      <c r="CZ1123" s="307">
        <v>1.0760000000000001</v>
      </c>
    </row>
    <row r="1124" spans="97:104">
      <c r="CS1124" s="332"/>
      <c r="CT1124" s="366" t="s">
        <v>3793</v>
      </c>
      <c r="CU1124" s="307" t="s">
        <v>208</v>
      </c>
      <c r="CV1124" s="307" t="s">
        <v>2264</v>
      </c>
      <c r="CW1124" s="366" t="s">
        <v>3794</v>
      </c>
      <c r="CX1124" s="307">
        <v>-0.23100000000000001</v>
      </c>
      <c r="CY1124" s="307">
        <v>-0.18099999999999999</v>
      </c>
      <c r="CZ1124" s="307">
        <v>-0.20600000000000002</v>
      </c>
    </row>
    <row r="1125" spans="97:104">
      <c r="CS1125" s="332"/>
      <c r="CT1125" s="366" t="s">
        <v>3795</v>
      </c>
      <c r="CU1125" s="307" t="s">
        <v>208</v>
      </c>
      <c r="CV1125" s="307" t="s">
        <v>2264</v>
      </c>
      <c r="CW1125" s="366" t="s">
        <v>3796</v>
      </c>
      <c r="CX1125" s="307">
        <v>-0.223</v>
      </c>
      <c r="CY1125" s="307">
        <v>-0.17299999999999999</v>
      </c>
      <c r="CZ1125" s="307">
        <v>-0.19800000000000001</v>
      </c>
    </row>
    <row r="1126" spans="97:104">
      <c r="CS1126" s="332"/>
      <c r="CT1126" s="366" t="s">
        <v>3797</v>
      </c>
      <c r="CU1126" s="307" t="s">
        <v>208</v>
      </c>
      <c r="CV1126" s="307" t="s">
        <v>2264</v>
      </c>
      <c r="CW1126" s="366" t="s">
        <v>3798</v>
      </c>
      <c r="CX1126" s="307">
        <v>-0.216</v>
      </c>
      <c r="CY1126" s="307">
        <v>-0.16600000000000001</v>
      </c>
      <c r="CZ1126" s="307">
        <v>-0.191</v>
      </c>
    </row>
    <row r="1127" spans="97:104">
      <c r="CS1127" s="332"/>
      <c r="CT1127" s="366" t="s">
        <v>3799</v>
      </c>
      <c r="CU1127" s="307" t="s">
        <v>208</v>
      </c>
      <c r="CV1127" s="307" t="s">
        <v>2264</v>
      </c>
      <c r="CW1127" s="366" t="s">
        <v>3800</v>
      </c>
      <c r="CX1127" s="307">
        <v>-0.20799999999999999</v>
      </c>
      <c r="CY1127" s="307">
        <v>-0.158</v>
      </c>
      <c r="CZ1127" s="307">
        <v>-0.183</v>
      </c>
    </row>
    <row r="1128" spans="97:104">
      <c r="CS1128" s="332"/>
      <c r="CT1128" s="366" t="s">
        <v>3801</v>
      </c>
      <c r="CU1128" s="307" t="s">
        <v>208</v>
      </c>
      <c r="CV1128" s="307" t="s">
        <v>2264</v>
      </c>
      <c r="CW1128" s="366" t="s">
        <v>3802</v>
      </c>
      <c r="CX1128" s="307">
        <v>-0.2</v>
      </c>
      <c r="CY1128" s="307">
        <v>-0.15</v>
      </c>
      <c r="CZ1128" s="307">
        <v>-0.17499999999999999</v>
      </c>
    </row>
    <row r="1129" spans="97:104">
      <c r="CS1129" s="332"/>
      <c r="CT1129" s="366" t="s">
        <v>2263</v>
      </c>
      <c r="CU1129" s="307" t="s">
        <v>208</v>
      </c>
      <c r="CV1129" s="307" t="s">
        <v>2264</v>
      </c>
      <c r="CW1129" s="366" t="s">
        <v>28</v>
      </c>
      <c r="CX1129" s="307">
        <v>-0.20349999999999999</v>
      </c>
      <c r="CY1129" s="307">
        <v>-0.1535</v>
      </c>
      <c r="CZ1129" s="307">
        <v>-0.17849999999999999</v>
      </c>
    </row>
    <row r="1130" spans="97:104">
      <c r="CS1130" s="332"/>
      <c r="CT1130" s="366" t="s">
        <v>3803</v>
      </c>
      <c r="CU1130" s="307" t="s">
        <v>208</v>
      </c>
      <c r="CV1130" s="307" t="s">
        <v>2264</v>
      </c>
      <c r="CW1130" s="366" t="s">
        <v>3804</v>
      </c>
      <c r="CX1130" s="307">
        <v>-0.185</v>
      </c>
      <c r="CY1130" s="307">
        <v>-0.13500000000000001</v>
      </c>
      <c r="CZ1130" s="307">
        <v>-0.16</v>
      </c>
    </row>
    <row r="1131" spans="97:104">
      <c r="CS1131" s="332"/>
      <c r="CT1131" s="366" t="s">
        <v>3805</v>
      </c>
      <c r="CU1131" s="307" t="s">
        <v>208</v>
      </c>
      <c r="CV1131" s="307" t="s">
        <v>2264</v>
      </c>
      <c r="CW1131" s="366" t="s">
        <v>3806</v>
      </c>
      <c r="CX1131" s="307">
        <v>-0.17499999999999999</v>
      </c>
      <c r="CY1131" s="307">
        <v>-0.125</v>
      </c>
      <c r="CZ1131" s="307">
        <v>-0.15</v>
      </c>
    </row>
    <row r="1132" spans="97:104">
      <c r="CS1132" s="332"/>
      <c r="CT1132" s="366" t="s">
        <v>3807</v>
      </c>
      <c r="CU1132" s="307" t="s">
        <v>208</v>
      </c>
      <c r="CV1132" s="307" t="s">
        <v>2264</v>
      </c>
      <c r="CW1132" s="366" t="s">
        <v>3808</v>
      </c>
      <c r="CX1132" s="307">
        <v>-0.16700000000000001</v>
      </c>
      <c r="CY1132" s="307">
        <v>-0.11700000000000001</v>
      </c>
      <c r="CZ1132" s="307">
        <v>-0.14200000000000002</v>
      </c>
    </row>
    <row r="1133" spans="97:104">
      <c r="CS1133" s="332"/>
      <c r="CT1133" s="366" t="s">
        <v>3809</v>
      </c>
      <c r="CU1133" s="307" t="s">
        <v>208</v>
      </c>
      <c r="CV1133" s="307" t="s">
        <v>2264</v>
      </c>
      <c r="CW1133" s="366" t="s">
        <v>3810</v>
      </c>
      <c r="CX1133" s="307">
        <v>-0.159</v>
      </c>
      <c r="CY1133" s="307">
        <v>-0.109</v>
      </c>
      <c r="CZ1133" s="307">
        <v>-0.13400000000000001</v>
      </c>
    </row>
    <row r="1134" spans="97:104">
      <c r="CS1134" s="332"/>
      <c r="CT1134" s="366" t="s">
        <v>3811</v>
      </c>
      <c r="CU1134" s="307" t="s">
        <v>208</v>
      </c>
      <c r="CV1134" s="307" t="s">
        <v>2264</v>
      </c>
      <c r="CW1134" s="366" t="s">
        <v>3812</v>
      </c>
      <c r="CX1134" s="307">
        <v>-0.14799999999999999</v>
      </c>
      <c r="CY1134" s="307">
        <v>-9.8000000000000004E-2</v>
      </c>
      <c r="CZ1134" s="307">
        <v>-0.123</v>
      </c>
    </row>
    <row r="1135" spans="97:104">
      <c r="CS1135" s="332"/>
      <c r="CT1135" s="366" t="s">
        <v>2265</v>
      </c>
      <c r="CU1135" s="307" t="s">
        <v>208</v>
      </c>
      <c r="CV1135" s="307" t="s">
        <v>2264</v>
      </c>
      <c r="CW1135" s="366" t="s">
        <v>1194</v>
      </c>
      <c r="CX1135" s="307">
        <v>-0.192</v>
      </c>
      <c r="CY1135" s="307">
        <v>-0.14199999999999999</v>
      </c>
      <c r="CZ1135" s="307">
        <v>-0.16699999999999998</v>
      </c>
    </row>
    <row r="1136" spans="97:104">
      <c r="CS1136" s="332"/>
      <c r="CT1136" s="366" t="s">
        <v>3813</v>
      </c>
      <c r="CU1136" s="307" t="s">
        <v>208</v>
      </c>
      <c r="CV1136" s="307" t="s">
        <v>2264</v>
      </c>
      <c r="CW1136" s="366" t="s">
        <v>3814</v>
      </c>
      <c r="CX1136" s="307">
        <v>-0.129</v>
      </c>
      <c r="CY1136" s="307">
        <v>-7.9000000000000001E-2</v>
      </c>
      <c r="CZ1136" s="307">
        <v>-0.10400000000000001</v>
      </c>
    </row>
    <row r="1137" spans="97:104">
      <c r="CS1137" s="332"/>
      <c r="CT1137" s="366" t="s">
        <v>3815</v>
      </c>
      <c r="CU1137" s="307" t="s">
        <v>208</v>
      </c>
      <c r="CV1137" s="307" t="s">
        <v>2264</v>
      </c>
      <c r="CW1137" s="366" t="s">
        <v>3816</v>
      </c>
      <c r="CX1137" s="307">
        <v>-0.11700000000000001</v>
      </c>
      <c r="CY1137" s="307">
        <v>-6.7000000000000004E-2</v>
      </c>
      <c r="CZ1137" s="307">
        <v>-9.1999999999999998E-2</v>
      </c>
    </row>
    <row r="1138" spans="97:104">
      <c r="CS1138" s="332"/>
      <c r="CT1138" s="366" t="s">
        <v>3817</v>
      </c>
      <c r="CU1138" s="307" t="s">
        <v>208</v>
      </c>
      <c r="CV1138" s="307" t="s">
        <v>2264</v>
      </c>
      <c r="CW1138" s="366" t="s">
        <v>3818</v>
      </c>
      <c r="CX1138" s="307">
        <v>-0.106</v>
      </c>
      <c r="CY1138" s="307">
        <v>-5.6000000000000001E-2</v>
      </c>
      <c r="CZ1138" s="307">
        <v>-8.1000000000000003E-2</v>
      </c>
    </row>
    <row r="1139" spans="97:104">
      <c r="CS1139" s="332"/>
      <c r="CT1139" s="366" t="s">
        <v>3819</v>
      </c>
      <c r="CU1139" s="307" t="s">
        <v>208</v>
      </c>
      <c r="CV1139" s="307" t="s">
        <v>2264</v>
      </c>
      <c r="CW1139" s="366" t="s">
        <v>3820</v>
      </c>
      <c r="CX1139" s="307">
        <v>-9.5000000000000001E-2</v>
      </c>
      <c r="CY1139" s="307">
        <v>-4.4999999999999998E-2</v>
      </c>
      <c r="CZ1139" s="307">
        <v>-7.0000000000000007E-2</v>
      </c>
    </row>
    <row r="1140" spans="97:104">
      <c r="CS1140" s="332"/>
      <c r="CT1140" s="366" t="s">
        <v>3821</v>
      </c>
      <c r="CU1140" s="307" t="s">
        <v>208</v>
      </c>
      <c r="CV1140" s="307" t="s">
        <v>2264</v>
      </c>
      <c r="CW1140" s="366" t="s">
        <v>3822</v>
      </c>
      <c r="CX1140" s="307">
        <v>-8.1000000000000003E-2</v>
      </c>
      <c r="CY1140" s="307">
        <v>-3.1E-2</v>
      </c>
      <c r="CZ1140" s="307">
        <v>-5.6000000000000001E-2</v>
      </c>
    </row>
    <row r="1141" spans="97:104">
      <c r="CS1141" s="332"/>
      <c r="CT1141" s="366" t="s">
        <v>2266</v>
      </c>
      <c r="CU1141" s="307" t="s">
        <v>208</v>
      </c>
      <c r="CV1141" s="307" t="s">
        <v>2264</v>
      </c>
      <c r="CW1141" s="366" t="s">
        <v>1196</v>
      </c>
      <c r="CX1141" s="307">
        <v>-0.13900000000000001</v>
      </c>
      <c r="CY1141" s="307">
        <v>-8.8999999999999996E-2</v>
      </c>
      <c r="CZ1141" s="307">
        <v>-0.114</v>
      </c>
    </row>
    <row r="1142" spans="97:104">
      <c r="CS1142" s="332"/>
      <c r="CT1142" s="366" t="s">
        <v>2267</v>
      </c>
      <c r="CU1142" s="307" t="s">
        <v>208</v>
      </c>
      <c r="CV1142" s="307" t="s">
        <v>2264</v>
      </c>
      <c r="CW1142" s="366" t="s">
        <v>1235</v>
      </c>
      <c r="CX1142" s="307">
        <v>-6.8000000000000005E-2</v>
      </c>
      <c r="CY1142" s="307">
        <v>-1.7999999999999999E-2</v>
      </c>
      <c r="CZ1142" s="307">
        <v>-4.3000000000000003E-2</v>
      </c>
    </row>
    <row r="1143" spans="97:104">
      <c r="CS1143" s="332"/>
      <c r="CT1143" s="366" t="s">
        <v>2268</v>
      </c>
      <c r="CU1143" s="307" t="s">
        <v>208</v>
      </c>
      <c r="CV1143" s="307" t="s">
        <v>2264</v>
      </c>
      <c r="CW1143" s="366" t="s">
        <v>10</v>
      </c>
      <c r="CX1143" s="307">
        <v>-6.0999999999999999E-2</v>
      </c>
      <c r="CY1143" s="307">
        <v>-6.0999999999999999E-2</v>
      </c>
      <c r="CZ1143" s="307">
        <v>-6.0999999999999999E-2</v>
      </c>
    </row>
    <row r="1144" spans="97:104">
      <c r="CS1144" s="332"/>
      <c r="CT1144" s="366" t="s">
        <v>2269</v>
      </c>
      <c r="CU1144" s="307" t="s">
        <v>208</v>
      </c>
      <c r="CV1144" s="307" t="s">
        <v>2264</v>
      </c>
      <c r="CW1144" s="366" t="s">
        <v>11</v>
      </c>
      <c r="CX1144" s="307">
        <v>2.8000000000000001E-2</v>
      </c>
      <c r="CY1144" s="307">
        <v>2.8000000000000001E-2</v>
      </c>
      <c r="CZ1144" s="307">
        <v>2.8000000000000001E-2</v>
      </c>
    </row>
    <row r="1145" spans="97:104">
      <c r="CS1145" s="332"/>
      <c r="CT1145" s="366" t="s">
        <v>2270</v>
      </c>
      <c r="CU1145" s="307" t="s">
        <v>208</v>
      </c>
      <c r="CV1145" s="307" t="s">
        <v>2264</v>
      </c>
      <c r="CW1145" s="366" t="s">
        <v>12</v>
      </c>
      <c r="CX1145" s="307">
        <v>0.13200000000000001</v>
      </c>
      <c r="CY1145" s="307">
        <v>0.13200000000000001</v>
      </c>
      <c r="CZ1145" s="307">
        <v>0.13200000000000001</v>
      </c>
    </row>
    <row r="1146" spans="97:104">
      <c r="CS1146" s="332"/>
      <c r="CT1146" s="366" t="s">
        <v>2271</v>
      </c>
      <c r="CU1146" s="307" t="s">
        <v>208</v>
      </c>
      <c r="CV1146" s="307" t="s">
        <v>2264</v>
      </c>
      <c r="CW1146" s="366" t="s">
        <v>13</v>
      </c>
      <c r="CX1146" s="307">
        <v>0.24199999999999999</v>
      </c>
      <c r="CY1146" s="307">
        <v>0.24199999999999999</v>
      </c>
      <c r="CZ1146" s="307">
        <v>0.24199999999999999</v>
      </c>
    </row>
    <row r="1147" spans="97:104">
      <c r="CS1147" s="332"/>
      <c r="CT1147" s="366" t="s">
        <v>2272</v>
      </c>
      <c r="CU1147" s="307" t="s">
        <v>208</v>
      </c>
      <c r="CV1147" s="307" t="s">
        <v>2264</v>
      </c>
      <c r="CW1147" s="366" t="s">
        <v>14</v>
      </c>
      <c r="CX1147" s="307">
        <v>0.35499999999999998</v>
      </c>
      <c r="CY1147" s="307">
        <v>0.35499999999999998</v>
      </c>
      <c r="CZ1147" s="307">
        <v>0.35499999999999998</v>
      </c>
    </row>
    <row r="1148" spans="97:104">
      <c r="CS1148" s="332"/>
      <c r="CT1148" s="366" t="s">
        <v>2273</v>
      </c>
      <c r="CU1148" s="307" t="s">
        <v>208</v>
      </c>
      <c r="CV1148" s="307" t="s">
        <v>2264</v>
      </c>
      <c r="CW1148" s="366" t="s">
        <v>15</v>
      </c>
      <c r="CX1148" s="307">
        <v>0.46700000000000003</v>
      </c>
      <c r="CY1148" s="307">
        <v>0.46700000000000003</v>
      </c>
      <c r="CZ1148" s="307">
        <v>0.46700000000000003</v>
      </c>
    </row>
    <row r="1149" spans="97:104">
      <c r="CS1149" s="332"/>
      <c r="CT1149" s="366" t="s">
        <v>2274</v>
      </c>
      <c r="CU1149" s="307" t="s">
        <v>208</v>
      </c>
      <c r="CV1149" s="307" t="s">
        <v>2264</v>
      </c>
      <c r="CW1149" s="366" t="s">
        <v>16</v>
      </c>
      <c r="CX1149" s="307">
        <v>0.57399999999999995</v>
      </c>
      <c r="CY1149" s="307">
        <v>0.57399999999999995</v>
      </c>
      <c r="CZ1149" s="307">
        <v>0.57399999999999995</v>
      </c>
    </row>
    <row r="1150" spans="97:104">
      <c r="CS1150" s="332"/>
      <c r="CT1150" s="366" t="s">
        <v>2275</v>
      </c>
      <c r="CU1150" s="307" t="s">
        <v>208</v>
      </c>
      <c r="CV1150" s="307" t="s">
        <v>2264</v>
      </c>
      <c r="CW1150" s="366" t="s">
        <v>17</v>
      </c>
      <c r="CX1150" s="307">
        <v>0.67100000000000004</v>
      </c>
      <c r="CY1150" s="307">
        <v>0.67100000000000004</v>
      </c>
      <c r="CZ1150" s="307">
        <v>0.67100000000000004</v>
      </c>
    </row>
    <row r="1151" spans="97:104">
      <c r="CS1151" s="332"/>
      <c r="CT1151" s="366" t="s">
        <v>2276</v>
      </c>
      <c r="CU1151" s="307" t="s">
        <v>208</v>
      </c>
      <c r="CV1151" s="307" t="s">
        <v>2264</v>
      </c>
      <c r="CW1151" s="366" t="s">
        <v>31</v>
      </c>
      <c r="CX1151" s="307">
        <v>0.75775925600000005</v>
      </c>
      <c r="CY1151" s="307">
        <v>0.75775925600000005</v>
      </c>
      <c r="CZ1151" s="307">
        <v>0.75775925600000005</v>
      </c>
    </row>
    <row r="1152" spans="97:104">
      <c r="CS1152" s="332"/>
      <c r="CT1152" s="366" t="s">
        <v>2277</v>
      </c>
      <c r="CU1152" s="307" t="s">
        <v>208</v>
      </c>
      <c r="CV1152" s="307" t="s">
        <v>2264</v>
      </c>
      <c r="CW1152" s="366" t="s">
        <v>18</v>
      </c>
      <c r="CX1152" s="307">
        <v>0.83499999999999996</v>
      </c>
      <c r="CY1152" s="307">
        <v>0.83499999999999996</v>
      </c>
      <c r="CZ1152" s="307">
        <v>0.83499999999999996</v>
      </c>
    </row>
    <row r="1153" spans="97:104">
      <c r="CS1153" s="332"/>
      <c r="CT1153" s="366" t="s">
        <v>2278</v>
      </c>
      <c r="CU1153" s="307" t="s">
        <v>208</v>
      </c>
      <c r="CV1153" s="307" t="s">
        <v>2264</v>
      </c>
      <c r="CW1153" s="366" t="s">
        <v>32</v>
      </c>
      <c r="CX1153" s="307">
        <v>0.901469878</v>
      </c>
      <c r="CY1153" s="307">
        <v>0.901469878</v>
      </c>
      <c r="CZ1153" s="307">
        <v>0.901469878</v>
      </c>
    </row>
    <row r="1154" spans="97:104">
      <c r="CS1154" s="332"/>
      <c r="CT1154" s="366" t="s">
        <v>2279</v>
      </c>
      <c r="CU1154" s="307" t="s">
        <v>208</v>
      </c>
      <c r="CV1154" s="307" t="s">
        <v>2264</v>
      </c>
      <c r="CW1154" s="366" t="s">
        <v>33</v>
      </c>
      <c r="CX1154" s="307">
        <v>0.95791295300000001</v>
      </c>
      <c r="CY1154" s="307">
        <v>0.95791295300000001</v>
      </c>
      <c r="CZ1154" s="307">
        <v>0.95791295300000001</v>
      </c>
    </row>
    <row r="1155" spans="97:104">
      <c r="CS1155" s="332"/>
      <c r="CT1155" s="366" t="s">
        <v>2280</v>
      </c>
      <c r="CU1155" s="307" t="s">
        <v>208</v>
      </c>
      <c r="CV1155" s="307" t="s">
        <v>2264</v>
      </c>
      <c r="CW1155" s="366" t="s">
        <v>19</v>
      </c>
      <c r="CX1155" s="307">
        <v>1.0049999999999999</v>
      </c>
      <c r="CY1155" s="307">
        <v>1.0049999999999999</v>
      </c>
      <c r="CZ1155" s="307">
        <v>1.0049999999999999</v>
      </c>
    </row>
    <row r="1156" spans="97:104">
      <c r="CS1156" s="332"/>
      <c r="CT1156" s="366" t="s">
        <v>2281</v>
      </c>
      <c r="CU1156" s="307" t="s">
        <v>208</v>
      </c>
      <c r="CV1156" s="307" t="s">
        <v>2264</v>
      </c>
      <c r="CW1156" s="366" t="s">
        <v>34</v>
      </c>
      <c r="CX1156" s="307">
        <v>1.0438079309999999</v>
      </c>
      <c r="CY1156" s="307">
        <v>1.0438079309999999</v>
      </c>
      <c r="CZ1156" s="307">
        <v>1.0438079309999999</v>
      </c>
    </row>
    <row r="1157" spans="97:104">
      <c r="CS1157" s="332"/>
      <c r="CT1157" s="366" t="s">
        <v>2282</v>
      </c>
      <c r="CU1157" s="307" t="s">
        <v>208</v>
      </c>
      <c r="CV1157" s="307" t="s">
        <v>2264</v>
      </c>
      <c r="CW1157" s="366" t="s">
        <v>35</v>
      </c>
      <c r="CX1157" s="307">
        <v>1.0748230969999999</v>
      </c>
      <c r="CY1157" s="307">
        <v>1.0748230969999999</v>
      </c>
      <c r="CZ1157" s="307">
        <v>1.0748230969999999</v>
      </c>
    </row>
    <row r="1158" spans="97:104">
      <c r="CS1158" s="332"/>
      <c r="CT1158" s="366" t="s">
        <v>2283</v>
      </c>
      <c r="CU1158" s="307" t="s">
        <v>208</v>
      </c>
      <c r="CV1158" s="307" t="s">
        <v>2264</v>
      </c>
      <c r="CW1158" s="366" t="s">
        <v>36</v>
      </c>
      <c r="CX1158" s="307">
        <v>1.099791722</v>
      </c>
      <c r="CY1158" s="307">
        <v>1.099791722</v>
      </c>
      <c r="CZ1158" s="307">
        <v>1.099791722</v>
      </c>
    </row>
    <row r="1159" spans="97:104">
      <c r="CS1159" s="332"/>
      <c r="CT1159" s="366" t="s">
        <v>2284</v>
      </c>
      <c r="CU1159" s="307" t="s">
        <v>208</v>
      </c>
      <c r="CV1159" s="307" t="s">
        <v>2264</v>
      </c>
      <c r="CW1159" s="366" t="s">
        <v>37</v>
      </c>
      <c r="CX1159" s="307">
        <v>1.1195473650000001</v>
      </c>
      <c r="CY1159" s="307">
        <v>1.1195473650000001</v>
      </c>
      <c r="CZ1159" s="307">
        <v>1.1195473650000001</v>
      </c>
    </row>
    <row r="1160" spans="97:104">
      <c r="CS1160" s="332"/>
      <c r="CT1160" s="366" t="s">
        <v>2285</v>
      </c>
      <c r="CU1160" s="307" t="s">
        <v>208</v>
      </c>
      <c r="CV1160" s="307" t="s">
        <v>2264</v>
      </c>
      <c r="CW1160" s="366" t="s">
        <v>20</v>
      </c>
      <c r="CX1160" s="307">
        <v>1.135</v>
      </c>
      <c r="CY1160" s="307">
        <v>1.135</v>
      </c>
      <c r="CZ1160" s="307">
        <v>1.135</v>
      </c>
    </row>
    <row r="1161" spans="97:104">
      <c r="CS1161" s="332"/>
      <c r="CT1161" s="366" t="s">
        <v>2286</v>
      </c>
      <c r="CU1161" s="307" t="s">
        <v>208</v>
      </c>
      <c r="CV1161" s="307" t="s">
        <v>2264</v>
      </c>
      <c r="CW1161" s="366" t="s">
        <v>38</v>
      </c>
      <c r="CX1161" s="307">
        <v>1.1465149459999999</v>
      </c>
      <c r="CY1161" s="307">
        <v>1.1465149459999999</v>
      </c>
      <c r="CZ1161" s="307">
        <v>1.1465149459999999</v>
      </c>
    </row>
    <row r="1162" spans="97:104">
      <c r="CS1162" s="332"/>
      <c r="CT1162" s="366" t="s">
        <v>2287</v>
      </c>
      <c r="CU1162" s="307" t="s">
        <v>208</v>
      </c>
      <c r="CV1162" s="307" t="s">
        <v>2264</v>
      </c>
      <c r="CW1162" s="366" t="s">
        <v>39</v>
      </c>
      <c r="CX1162" s="307">
        <v>1.1549966599999999</v>
      </c>
      <c r="CY1162" s="307">
        <v>1.1549966599999999</v>
      </c>
      <c r="CZ1162" s="307">
        <v>1.1549966599999999</v>
      </c>
    </row>
    <row r="1163" spans="97:104">
      <c r="CS1163" s="332"/>
      <c r="CT1163" s="366" t="s">
        <v>2288</v>
      </c>
      <c r="CU1163" s="307" t="s">
        <v>208</v>
      </c>
      <c r="CV1163" s="307" t="s">
        <v>2264</v>
      </c>
      <c r="CW1163" s="366" t="s">
        <v>40</v>
      </c>
      <c r="CX1163" s="307">
        <v>1.161313571</v>
      </c>
      <c r="CY1163" s="307">
        <v>1.161313571</v>
      </c>
      <c r="CZ1163" s="307">
        <v>1.161313571</v>
      </c>
    </row>
    <row r="1164" spans="97:104">
      <c r="CS1164" s="332"/>
      <c r="CT1164" s="366" t="s">
        <v>2289</v>
      </c>
      <c r="CU1164" s="307" t="s">
        <v>208</v>
      </c>
      <c r="CV1164" s="307" t="s">
        <v>2264</v>
      </c>
      <c r="CW1164" s="366" t="s">
        <v>41</v>
      </c>
      <c r="CX1164" s="307">
        <v>1.166230731</v>
      </c>
      <c r="CY1164" s="307">
        <v>1.166230731</v>
      </c>
      <c r="CZ1164" s="307">
        <v>1.166230731</v>
      </c>
    </row>
    <row r="1165" spans="97:104">
      <c r="CS1165" s="332"/>
      <c r="CT1165" s="366" t="s">
        <v>2290</v>
      </c>
      <c r="CU1165" s="307" t="s">
        <v>208</v>
      </c>
      <c r="CV1165" s="307" t="s">
        <v>2264</v>
      </c>
      <c r="CW1165" s="366" t="s">
        <v>21</v>
      </c>
      <c r="CX1165" s="307">
        <v>1.17</v>
      </c>
      <c r="CY1165" s="307">
        <v>1.17</v>
      </c>
      <c r="CZ1165" s="307">
        <v>1.17</v>
      </c>
    </row>
    <row r="1166" spans="97:104">
      <c r="CS1166" s="332"/>
      <c r="CT1166" s="366" t="s">
        <v>2291</v>
      </c>
      <c r="CU1166" s="307" t="s">
        <v>208</v>
      </c>
      <c r="CV1166" s="307" t="s">
        <v>2264</v>
      </c>
      <c r="CW1166" s="366" t="s">
        <v>43</v>
      </c>
      <c r="CX1166" s="307">
        <v>1.175699206</v>
      </c>
      <c r="CY1166" s="307">
        <v>1.175699206</v>
      </c>
      <c r="CZ1166" s="307">
        <v>1.175699206</v>
      </c>
    </row>
    <row r="1167" spans="97:104">
      <c r="CS1167" s="332"/>
      <c r="CT1167" s="366" t="s">
        <v>2292</v>
      </c>
      <c r="CU1167" s="307" t="s">
        <v>208</v>
      </c>
      <c r="CV1167" s="307" t="s">
        <v>2264</v>
      </c>
      <c r="CW1167" s="366" t="s">
        <v>44</v>
      </c>
      <c r="CX1167" s="307">
        <v>1.177772373</v>
      </c>
      <c r="CY1167" s="307">
        <v>1.177772373</v>
      </c>
      <c r="CZ1167" s="307">
        <v>1.177772373</v>
      </c>
    </row>
    <row r="1168" spans="97:104">
      <c r="CS1168" s="332"/>
      <c r="CT1168" s="366" t="s">
        <v>2293</v>
      </c>
      <c r="CU1168" s="307" t="s">
        <v>208</v>
      </c>
      <c r="CV1168" s="307" t="s">
        <v>2264</v>
      </c>
      <c r="CW1168" s="366" t="s">
        <v>45</v>
      </c>
      <c r="CX1168" s="307">
        <v>1.1791747800000001</v>
      </c>
      <c r="CY1168" s="307">
        <v>1.1791747800000001</v>
      </c>
      <c r="CZ1168" s="307">
        <v>1.1791747800000001</v>
      </c>
    </row>
    <row r="1169" spans="97:104">
      <c r="CS1169" s="332"/>
      <c r="CT1169" s="366" t="s">
        <v>2294</v>
      </c>
      <c r="CU1169" s="307" t="s">
        <v>208</v>
      </c>
      <c r="CV1169" s="307" t="s">
        <v>2264</v>
      </c>
      <c r="CW1169" s="366" t="s">
        <v>22</v>
      </c>
      <c r="CX1169" s="307">
        <v>1.18</v>
      </c>
      <c r="CY1169" s="307">
        <v>1.18</v>
      </c>
      <c r="CZ1169" s="307">
        <v>1.18</v>
      </c>
    </row>
    <row r="1170" spans="97:104">
      <c r="CS1170" s="332"/>
      <c r="CT1170" s="366" t="s">
        <v>2295</v>
      </c>
      <c r="CU1170" s="307" t="s">
        <v>208</v>
      </c>
      <c r="CV1170" s="307" t="s">
        <v>2264</v>
      </c>
      <c r="CW1170" s="366" t="s">
        <v>163</v>
      </c>
      <c r="CX1170" s="307">
        <v>1.180261161</v>
      </c>
      <c r="CY1170" s="307">
        <v>1.180261161</v>
      </c>
      <c r="CZ1170" s="307">
        <v>1.180261161</v>
      </c>
    </row>
    <row r="1171" spans="97:104">
      <c r="CS1171" s="332"/>
      <c r="CT1171" s="366" t="s">
        <v>2296</v>
      </c>
      <c r="CU1171" s="307" t="s">
        <v>208</v>
      </c>
      <c r="CV1171" s="307" t="s">
        <v>2264</v>
      </c>
      <c r="CW1171" s="366" t="s">
        <v>164</v>
      </c>
      <c r="CX1171" s="307">
        <v>1.1800983540000001</v>
      </c>
      <c r="CY1171" s="307">
        <v>1.1800983540000001</v>
      </c>
      <c r="CZ1171" s="307">
        <v>1.1800983540000001</v>
      </c>
    </row>
    <row r="1172" spans="97:104">
      <c r="CS1172" s="332"/>
      <c r="CT1172" s="366" t="s">
        <v>2297</v>
      </c>
      <c r="CU1172" s="307" t="s">
        <v>208</v>
      </c>
      <c r="CV1172" s="307" t="s">
        <v>2264</v>
      </c>
      <c r="CW1172" s="366" t="s">
        <v>165</v>
      </c>
      <c r="CX1172" s="307">
        <v>1.179422191</v>
      </c>
      <c r="CY1172" s="307">
        <v>1.179422191</v>
      </c>
      <c r="CZ1172" s="307">
        <v>1.179422191</v>
      </c>
    </row>
    <row r="1173" spans="97:104">
      <c r="CS1173" s="332"/>
      <c r="CT1173" s="366" t="s">
        <v>2298</v>
      </c>
      <c r="CU1173" s="307" t="s">
        <v>208</v>
      </c>
      <c r="CV1173" s="307" t="s">
        <v>2264</v>
      </c>
      <c r="CW1173" s="366" t="s">
        <v>166</v>
      </c>
      <c r="CX1173" s="307">
        <v>1.178373801</v>
      </c>
      <c r="CY1173" s="307">
        <v>1.178373801</v>
      </c>
      <c r="CZ1173" s="307">
        <v>1.178373801</v>
      </c>
    </row>
    <row r="1174" spans="97:104">
      <c r="CS1174" s="332"/>
      <c r="CT1174" s="366" t="s">
        <v>2299</v>
      </c>
      <c r="CU1174" s="307" t="s">
        <v>208</v>
      </c>
      <c r="CV1174" s="307" t="s">
        <v>2264</v>
      </c>
      <c r="CW1174" s="366" t="s">
        <v>167</v>
      </c>
      <c r="CX1174" s="307">
        <v>1.177</v>
      </c>
      <c r="CY1174" s="307">
        <v>1.177</v>
      </c>
      <c r="CZ1174" s="307">
        <v>1.177</v>
      </c>
    </row>
    <row r="1175" spans="97:104">
      <c r="CS1175" s="332"/>
      <c r="CT1175" s="366" t="s">
        <v>2300</v>
      </c>
      <c r="CU1175" s="307" t="s">
        <v>208</v>
      </c>
      <c r="CV1175" s="307" t="s">
        <v>2264</v>
      </c>
      <c r="CW1175" s="366" t="s">
        <v>168</v>
      </c>
      <c r="CX1175" s="307">
        <v>1.175399624</v>
      </c>
      <c r="CY1175" s="307">
        <v>1.175399624</v>
      </c>
      <c r="CZ1175" s="307">
        <v>1.175399624</v>
      </c>
    </row>
    <row r="1176" spans="97:104">
      <c r="CS1176" s="332"/>
      <c r="CT1176" s="366" t="s">
        <v>2301</v>
      </c>
      <c r="CU1176" s="307" t="s">
        <v>208</v>
      </c>
      <c r="CV1176" s="307" t="s">
        <v>2264</v>
      </c>
      <c r="CW1176" s="366" t="s">
        <v>169</v>
      </c>
      <c r="CX1176" s="307">
        <v>1.1733993579999999</v>
      </c>
      <c r="CY1176" s="307">
        <v>1.1733993579999999</v>
      </c>
      <c r="CZ1176" s="307">
        <v>1.1733993579999999</v>
      </c>
    </row>
    <row r="1177" spans="97:104">
      <c r="CS1177" s="332"/>
      <c r="CT1177" s="366" t="s">
        <v>2302</v>
      </c>
      <c r="CU1177" s="307" t="s">
        <v>208</v>
      </c>
      <c r="CV1177" s="307" t="s">
        <v>2264</v>
      </c>
      <c r="CW1177" s="366" t="s">
        <v>170</v>
      </c>
      <c r="CX1177" s="307">
        <v>1.1710036749999999</v>
      </c>
      <c r="CY1177" s="307">
        <v>1.1710036749999999</v>
      </c>
      <c r="CZ1177" s="307">
        <v>1.1710036749999999</v>
      </c>
    </row>
    <row r="1178" spans="97:104">
      <c r="CS1178" s="332"/>
      <c r="CT1178" s="366" t="s">
        <v>2303</v>
      </c>
      <c r="CU1178" s="307" t="s">
        <v>208</v>
      </c>
      <c r="CV1178" s="307" t="s">
        <v>2264</v>
      </c>
      <c r="CW1178" s="366" t="s">
        <v>171</v>
      </c>
      <c r="CX1178" s="307">
        <v>1.168205844</v>
      </c>
      <c r="CY1178" s="307">
        <v>1.168205844</v>
      </c>
      <c r="CZ1178" s="307">
        <v>1.168205844</v>
      </c>
    </row>
    <row r="1179" spans="97:104">
      <c r="CS1179" s="332"/>
      <c r="CT1179" s="366" t="s">
        <v>2304</v>
      </c>
      <c r="CU1179" s="307" t="s">
        <v>208</v>
      </c>
      <c r="CV1179" s="307" t="s">
        <v>2264</v>
      </c>
      <c r="CW1179" s="366" t="s">
        <v>46</v>
      </c>
      <c r="CX1179" s="307">
        <v>1.165</v>
      </c>
      <c r="CY1179" s="307">
        <v>1.165</v>
      </c>
      <c r="CZ1179" s="307">
        <v>1.165</v>
      </c>
    </row>
    <row r="1180" spans="97:104">
      <c r="CS1180" s="332"/>
      <c r="CT1180" s="366" t="s">
        <v>2305</v>
      </c>
      <c r="CU1180" s="307" t="s">
        <v>208</v>
      </c>
      <c r="CV1180" s="307" t="s">
        <v>2264</v>
      </c>
      <c r="CW1180" s="366" t="s">
        <v>47</v>
      </c>
      <c r="CX1180" s="307">
        <v>1.111</v>
      </c>
      <c r="CY1180" s="307">
        <v>1.111</v>
      </c>
      <c r="CZ1180" s="307">
        <v>1.111</v>
      </c>
    </row>
    <row r="1181" spans="97:104">
      <c r="CS1181" s="332"/>
      <c r="CT1181" s="366" t="s">
        <v>2306</v>
      </c>
      <c r="CU1181" s="307" t="s">
        <v>208</v>
      </c>
      <c r="CV1181" s="307" t="s">
        <v>2264</v>
      </c>
      <c r="CW1181" s="366" t="s">
        <v>48</v>
      </c>
      <c r="CX1181" s="307">
        <v>1.0760000000000001</v>
      </c>
      <c r="CY1181" s="307">
        <v>1.0760000000000001</v>
      </c>
      <c r="CZ1181" s="307">
        <v>1.0760000000000001</v>
      </c>
    </row>
    <row r="1182" spans="97:104">
      <c r="CS1182" s="332"/>
      <c r="CT1182" s="366" t="s">
        <v>2307</v>
      </c>
      <c r="CU1182" s="307" t="s">
        <v>208</v>
      </c>
      <c r="CV1182" s="307" t="s">
        <v>2308</v>
      </c>
      <c r="CW1182" s="366" t="s">
        <v>3</v>
      </c>
      <c r="CX1182" s="307">
        <v>1</v>
      </c>
      <c r="CY1182" s="307">
        <v>1</v>
      </c>
      <c r="CZ1182" s="307">
        <v>1</v>
      </c>
    </row>
    <row r="1183" spans="97:104">
      <c r="CS1183" s="332"/>
      <c r="CT1183" s="366" t="s">
        <v>2309</v>
      </c>
      <c r="CU1183" s="307" t="s">
        <v>208</v>
      </c>
      <c r="CV1183" s="307" t="s">
        <v>2308</v>
      </c>
      <c r="CW1183" s="366" t="s">
        <v>4</v>
      </c>
      <c r="CX1183" s="307">
        <v>1</v>
      </c>
      <c r="CY1183" s="307">
        <v>1</v>
      </c>
      <c r="CZ1183" s="307">
        <v>1</v>
      </c>
    </row>
    <row r="1184" spans="97:104">
      <c r="CS1184" s="332"/>
      <c r="CT1184" s="366" t="s">
        <v>2310</v>
      </c>
      <c r="CU1184" s="307" t="s">
        <v>208</v>
      </c>
      <c r="CV1184" s="307" t="s">
        <v>2308</v>
      </c>
      <c r="CW1184" s="366" t="s">
        <v>23</v>
      </c>
      <c r="CX1184" s="307">
        <v>1</v>
      </c>
      <c r="CY1184" s="307">
        <v>1</v>
      </c>
      <c r="CZ1184" s="307">
        <v>1</v>
      </c>
    </row>
    <row r="1185" spans="97:104">
      <c r="CS1185" s="332"/>
      <c r="CT1185" s="366" t="s">
        <v>2311</v>
      </c>
      <c r="CU1185" s="307" t="s">
        <v>208</v>
      </c>
      <c r="CV1185" s="307" t="s">
        <v>2308</v>
      </c>
      <c r="CW1185" s="366" t="s">
        <v>5</v>
      </c>
      <c r="CX1185" s="307">
        <v>1</v>
      </c>
      <c r="CY1185" s="307">
        <v>1</v>
      </c>
      <c r="CZ1185" s="307">
        <v>1</v>
      </c>
    </row>
    <row r="1186" spans="97:104">
      <c r="CS1186" s="332"/>
      <c r="CT1186" s="366" t="s">
        <v>2312</v>
      </c>
      <c r="CU1186" s="307" t="s">
        <v>208</v>
      </c>
      <c r="CV1186" s="307" t="s">
        <v>2308</v>
      </c>
      <c r="CW1186" s="366" t="s">
        <v>6</v>
      </c>
      <c r="CX1186" s="307">
        <v>1</v>
      </c>
      <c r="CY1186" s="307">
        <v>1</v>
      </c>
      <c r="CZ1186" s="307">
        <v>1</v>
      </c>
    </row>
    <row r="1187" spans="97:104">
      <c r="CS1187" s="332"/>
      <c r="CT1187" s="366" t="s">
        <v>2313</v>
      </c>
      <c r="CU1187" s="307" t="s">
        <v>208</v>
      </c>
      <c r="CV1187" s="307" t="s">
        <v>2308</v>
      </c>
      <c r="CW1187" s="366" t="s">
        <v>24</v>
      </c>
      <c r="CX1187" s="307">
        <v>1</v>
      </c>
      <c r="CY1187" s="307">
        <v>1</v>
      </c>
      <c r="CZ1187" s="307">
        <v>1</v>
      </c>
    </row>
    <row r="1188" spans="97:104">
      <c r="CS1188" s="332"/>
      <c r="CT1188" s="366" t="s">
        <v>2314</v>
      </c>
      <c r="CU1188" s="307" t="s">
        <v>208</v>
      </c>
      <c r="CV1188" s="307" t="s">
        <v>2308</v>
      </c>
      <c r="CW1188" s="366" t="s">
        <v>7</v>
      </c>
      <c r="CX1188" s="307">
        <v>1</v>
      </c>
      <c r="CY1188" s="307">
        <v>1</v>
      </c>
      <c r="CZ1188" s="307">
        <v>1</v>
      </c>
    </row>
    <row r="1189" spans="97:104">
      <c r="CS1189" s="332"/>
      <c r="CT1189" s="366" t="s">
        <v>2315</v>
      </c>
      <c r="CU1189" s="307" t="s">
        <v>208</v>
      </c>
      <c r="CV1189" s="307" t="s">
        <v>2308</v>
      </c>
      <c r="CW1189" s="366" t="s">
        <v>8</v>
      </c>
      <c r="CX1189" s="307">
        <v>1</v>
      </c>
      <c r="CY1189" s="307">
        <v>1</v>
      </c>
      <c r="CZ1189" s="307">
        <v>1</v>
      </c>
    </row>
    <row r="1190" spans="97:104">
      <c r="CS1190" s="332"/>
      <c r="CT1190" s="366" t="s">
        <v>2316</v>
      </c>
      <c r="CU1190" s="307" t="s">
        <v>208</v>
      </c>
      <c r="CV1190" s="307" t="s">
        <v>2308</v>
      </c>
      <c r="CW1190" s="366" t="s">
        <v>25</v>
      </c>
      <c r="CX1190" s="307">
        <v>1</v>
      </c>
      <c r="CY1190" s="307">
        <v>1</v>
      </c>
      <c r="CZ1190" s="307">
        <v>1</v>
      </c>
    </row>
    <row r="1191" spans="97:104">
      <c r="CS1191" s="332"/>
      <c r="CT1191" s="366" t="s">
        <v>2317</v>
      </c>
      <c r="CU1191" s="307" t="s">
        <v>208</v>
      </c>
      <c r="CV1191" s="307" t="s">
        <v>2308</v>
      </c>
      <c r="CW1191" s="366" t="s">
        <v>26</v>
      </c>
      <c r="CX1191" s="307">
        <v>1</v>
      </c>
      <c r="CY1191" s="307">
        <v>1</v>
      </c>
      <c r="CZ1191" s="307">
        <v>1</v>
      </c>
    </row>
    <row r="1192" spans="97:104">
      <c r="CS1192" s="332"/>
      <c r="CT1192" s="366" t="s">
        <v>2318</v>
      </c>
      <c r="CU1192" s="307" t="s">
        <v>208</v>
      </c>
      <c r="CV1192" s="307" t="s">
        <v>2308</v>
      </c>
      <c r="CW1192" s="366" t="s">
        <v>27</v>
      </c>
      <c r="CX1192" s="307">
        <v>1</v>
      </c>
      <c r="CY1192" s="307">
        <v>1</v>
      </c>
      <c r="CZ1192" s="307">
        <v>1</v>
      </c>
    </row>
    <row r="1193" spans="97:104">
      <c r="CS1193" s="332"/>
      <c r="CT1193" s="366" t="s">
        <v>2319</v>
      </c>
      <c r="CU1193" s="307" t="s">
        <v>208</v>
      </c>
      <c r="CV1193" s="307" t="s">
        <v>2308</v>
      </c>
      <c r="CW1193" s="366" t="s">
        <v>28</v>
      </c>
      <c r="CX1193" s="307">
        <v>1</v>
      </c>
      <c r="CY1193" s="307">
        <v>1</v>
      </c>
      <c r="CZ1193" s="307">
        <v>1</v>
      </c>
    </row>
    <row r="1194" spans="97:104">
      <c r="CS1194" s="332"/>
      <c r="CT1194" s="366" t="s">
        <v>2320</v>
      </c>
      <c r="CU1194" s="307" t="s">
        <v>208</v>
      </c>
      <c r="CV1194" s="307" t="s">
        <v>2308</v>
      </c>
      <c r="CW1194" s="366" t="s">
        <v>29</v>
      </c>
      <c r="CX1194" s="307">
        <v>1</v>
      </c>
      <c r="CY1194" s="307">
        <v>1</v>
      </c>
      <c r="CZ1194" s="307">
        <v>1</v>
      </c>
    </row>
    <row r="1195" spans="97:104">
      <c r="CS1195" s="332"/>
      <c r="CT1195" s="366" t="s">
        <v>2321</v>
      </c>
      <c r="CU1195" s="307" t="s">
        <v>208</v>
      </c>
      <c r="CV1195" s="307" t="s">
        <v>2308</v>
      </c>
      <c r="CW1195" s="366" t="s">
        <v>30</v>
      </c>
      <c r="CX1195" s="307">
        <v>1</v>
      </c>
      <c r="CY1195" s="307">
        <v>1</v>
      </c>
      <c r="CZ1195" s="307">
        <v>1</v>
      </c>
    </row>
    <row r="1196" spans="97:104">
      <c r="CS1196" s="332"/>
      <c r="CT1196" s="366" t="s">
        <v>2322</v>
      </c>
      <c r="CU1196" s="307" t="s">
        <v>208</v>
      </c>
      <c r="CV1196" s="307" t="s">
        <v>2308</v>
      </c>
      <c r="CW1196" s="366" t="s">
        <v>49</v>
      </c>
      <c r="CX1196" s="307">
        <v>1</v>
      </c>
      <c r="CY1196" s="307">
        <v>1</v>
      </c>
      <c r="CZ1196" s="307">
        <v>1</v>
      </c>
    </row>
    <row r="1197" spans="97:104">
      <c r="CS1197" s="332"/>
      <c r="CT1197" s="366" t="s">
        <v>2323</v>
      </c>
      <c r="CU1197" s="307" t="s">
        <v>208</v>
      </c>
      <c r="CV1197" s="307" t="s">
        <v>2308</v>
      </c>
      <c r="CW1197" s="366" t="s">
        <v>50</v>
      </c>
      <c r="CX1197" s="307">
        <v>1</v>
      </c>
      <c r="CY1197" s="307">
        <v>1</v>
      </c>
      <c r="CZ1197" s="307">
        <v>1</v>
      </c>
    </row>
    <row r="1198" spans="97:104">
      <c r="CS1198" s="332"/>
      <c r="CT1198" s="366" t="s">
        <v>2324</v>
      </c>
      <c r="CU1198" s="307" t="s">
        <v>208</v>
      </c>
      <c r="CV1198" s="307" t="s">
        <v>2308</v>
      </c>
      <c r="CW1198" s="366" t="s">
        <v>51</v>
      </c>
      <c r="CX1198" s="307">
        <v>1</v>
      </c>
      <c r="CY1198" s="307">
        <v>1</v>
      </c>
      <c r="CZ1198" s="307">
        <v>1</v>
      </c>
    </row>
    <row r="1199" spans="97:104">
      <c r="CS1199" s="332"/>
      <c r="CT1199" s="366" t="s">
        <v>2325</v>
      </c>
      <c r="CU1199" s="307" t="s">
        <v>208</v>
      </c>
      <c r="CV1199" s="307" t="s">
        <v>2308</v>
      </c>
      <c r="CW1199" s="366" t="s">
        <v>56</v>
      </c>
      <c r="CX1199" s="307">
        <v>1</v>
      </c>
      <c r="CY1199" s="307">
        <v>1</v>
      </c>
      <c r="CZ1199" s="307">
        <v>1</v>
      </c>
    </row>
    <row r="1200" spans="97:104">
      <c r="CS1200" s="332"/>
      <c r="CT1200" s="366" t="s">
        <v>2326</v>
      </c>
      <c r="CU1200" s="307" t="s">
        <v>208</v>
      </c>
      <c r="CV1200" s="307" t="s">
        <v>2308</v>
      </c>
      <c r="CW1200" s="366" t="s">
        <v>9</v>
      </c>
      <c r="CX1200" s="307">
        <v>0.50688299999999997</v>
      </c>
      <c r="CY1200" s="307">
        <v>0.50688299999999997</v>
      </c>
      <c r="CZ1200" s="307">
        <v>0.50688299999999997</v>
      </c>
    </row>
    <row r="1201" spans="97:104">
      <c r="CS1201" s="332"/>
      <c r="CT1201" s="366" t="s">
        <v>2327</v>
      </c>
      <c r="CU1201" s="307" t="s">
        <v>208</v>
      </c>
      <c r="CV1201" s="307" t="s">
        <v>2308</v>
      </c>
      <c r="CW1201" s="366" t="s">
        <v>10</v>
      </c>
      <c r="CX1201" s="307">
        <v>0.64700000000000002</v>
      </c>
      <c r="CY1201" s="307">
        <v>0.64700000000000002</v>
      </c>
      <c r="CZ1201" s="307">
        <v>0.64700000000000002</v>
      </c>
    </row>
    <row r="1202" spans="97:104">
      <c r="CS1202" s="332"/>
      <c r="CT1202" s="366" t="s">
        <v>2328</v>
      </c>
      <c r="CU1202" s="307" t="s">
        <v>208</v>
      </c>
      <c r="CV1202" s="307" t="s">
        <v>2308</v>
      </c>
      <c r="CW1202" s="366" t="s">
        <v>11</v>
      </c>
      <c r="CX1202" s="307">
        <v>0.84099999999999997</v>
      </c>
      <c r="CY1202" s="307">
        <v>0.84099999999999997</v>
      </c>
      <c r="CZ1202" s="307">
        <v>0.84099999999999997</v>
      </c>
    </row>
    <row r="1203" spans="97:104">
      <c r="CS1203" s="332"/>
      <c r="CT1203" s="366" t="s">
        <v>2329</v>
      </c>
      <c r="CU1203" s="307" t="s">
        <v>208</v>
      </c>
      <c r="CV1203" s="307" t="s">
        <v>2308</v>
      </c>
      <c r="CW1203" s="366" t="s">
        <v>12</v>
      </c>
      <c r="CX1203" s="307">
        <v>1.05</v>
      </c>
      <c r="CY1203" s="307">
        <v>1.05</v>
      </c>
      <c r="CZ1203" s="307">
        <v>1.05</v>
      </c>
    </row>
    <row r="1204" spans="97:104">
      <c r="CS1204" s="332"/>
      <c r="CT1204" s="366" t="s">
        <v>2330</v>
      </c>
      <c r="CU1204" s="307" t="s">
        <v>208</v>
      </c>
      <c r="CV1204" s="307" t="s">
        <v>2308</v>
      </c>
      <c r="CW1204" s="366" t="s">
        <v>14</v>
      </c>
      <c r="CX1204" s="307">
        <v>1.4159999999999999</v>
      </c>
      <c r="CY1204" s="307">
        <v>1.4159999999999999</v>
      </c>
      <c r="CZ1204" s="307">
        <v>1.4159999999999999</v>
      </c>
    </row>
    <row r="1205" spans="97:104">
      <c r="CS1205" s="332"/>
      <c r="CT1205" s="366" t="s">
        <v>2331</v>
      </c>
      <c r="CU1205" s="307" t="s">
        <v>208</v>
      </c>
      <c r="CV1205" s="307" t="s">
        <v>2308</v>
      </c>
      <c r="CW1205" s="366" t="s">
        <v>15</v>
      </c>
      <c r="CX1205" s="307">
        <v>1.5740000000000001</v>
      </c>
      <c r="CY1205" s="307">
        <v>1.5740000000000001</v>
      </c>
      <c r="CZ1205" s="307">
        <v>1.5740000000000001</v>
      </c>
    </row>
    <row r="1206" spans="97:104">
      <c r="CS1206" s="332"/>
      <c r="CT1206" s="366" t="s">
        <v>2332</v>
      </c>
      <c r="CU1206" s="307" t="s">
        <v>208</v>
      </c>
      <c r="CV1206" s="307" t="s">
        <v>2308</v>
      </c>
      <c r="CW1206" s="366" t="s">
        <v>16</v>
      </c>
      <c r="CX1206" s="307">
        <v>1.7190000000000001</v>
      </c>
      <c r="CY1206" s="307">
        <v>1.7190000000000001</v>
      </c>
      <c r="CZ1206" s="307">
        <v>1.7190000000000001</v>
      </c>
    </row>
    <row r="1207" spans="97:104">
      <c r="CS1207" s="332"/>
      <c r="CT1207" s="366" t="s">
        <v>2333</v>
      </c>
      <c r="CU1207" s="307" t="s">
        <v>208</v>
      </c>
      <c r="CV1207" s="307" t="s">
        <v>2308</v>
      </c>
      <c r="CW1207" s="366" t="s">
        <v>17</v>
      </c>
      <c r="CX1207" s="307">
        <v>1.849</v>
      </c>
      <c r="CY1207" s="307">
        <v>1.849</v>
      </c>
      <c r="CZ1207" s="307">
        <v>1.849</v>
      </c>
    </row>
    <row r="1208" spans="97:104">
      <c r="CS1208" s="332"/>
      <c r="CT1208" s="366" t="s">
        <v>2334</v>
      </c>
      <c r="CU1208" s="307" t="s">
        <v>208</v>
      </c>
      <c r="CV1208" s="307" t="s">
        <v>2308</v>
      </c>
      <c r="CW1208" s="366" t="s">
        <v>31</v>
      </c>
      <c r="CX1208" s="307">
        <v>1</v>
      </c>
      <c r="CY1208" s="307">
        <v>1</v>
      </c>
      <c r="CZ1208" s="307">
        <v>1</v>
      </c>
    </row>
    <row r="1209" spans="97:104">
      <c r="CS1209" s="332"/>
      <c r="CT1209" s="366" t="s">
        <v>2335</v>
      </c>
      <c r="CU1209" s="307" t="s">
        <v>208</v>
      </c>
      <c r="CV1209" s="307" t="s">
        <v>2308</v>
      </c>
      <c r="CW1209" s="366" t="s">
        <v>18</v>
      </c>
      <c r="CX1209" s="307">
        <v>1</v>
      </c>
      <c r="CY1209" s="307">
        <v>1</v>
      </c>
      <c r="CZ1209" s="307">
        <v>1</v>
      </c>
    </row>
    <row r="1210" spans="97:104">
      <c r="CS1210" s="332"/>
      <c r="CT1210" s="366" t="s">
        <v>2336</v>
      </c>
      <c r="CU1210" s="307" t="s">
        <v>208</v>
      </c>
      <c r="CV1210" s="307" t="s">
        <v>2308</v>
      </c>
      <c r="CW1210" s="366" t="s">
        <v>32</v>
      </c>
      <c r="CX1210" s="307">
        <v>1</v>
      </c>
      <c r="CY1210" s="307">
        <v>1</v>
      </c>
      <c r="CZ1210" s="307">
        <v>1</v>
      </c>
    </row>
    <row r="1211" spans="97:104">
      <c r="CS1211" s="332"/>
      <c r="CT1211" s="366" t="s">
        <v>2337</v>
      </c>
      <c r="CU1211" s="307" t="s">
        <v>208</v>
      </c>
      <c r="CV1211" s="307" t="s">
        <v>2308</v>
      </c>
      <c r="CW1211" s="366" t="s">
        <v>33</v>
      </c>
      <c r="CX1211" s="307">
        <v>1</v>
      </c>
      <c r="CY1211" s="307">
        <v>1</v>
      </c>
      <c r="CZ1211" s="307">
        <v>1</v>
      </c>
    </row>
    <row r="1212" spans="97:104">
      <c r="CS1212" s="332"/>
      <c r="CT1212" s="366" t="s">
        <v>2338</v>
      </c>
      <c r="CU1212" s="307" t="s">
        <v>208</v>
      </c>
      <c r="CV1212" s="307" t="s">
        <v>2308</v>
      </c>
      <c r="CW1212" s="366" t="s">
        <v>19</v>
      </c>
      <c r="CX1212" s="307">
        <v>2.1798639999999998</v>
      </c>
      <c r="CY1212" s="307">
        <v>2.1798639999999998</v>
      </c>
      <c r="CZ1212" s="307">
        <v>2.1798639999999998</v>
      </c>
    </row>
    <row r="1213" spans="97:104">
      <c r="CS1213" s="332"/>
      <c r="CT1213" s="366" t="s">
        <v>2339</v>
      </c>
      <c r="CU1213" s="307" t="s">
        <v>208</v>
      </c>
      <c r="CV1213" s="307" t="s">
        <v>2308</v>
      </c>
      <c r="CW1213" s="366" t="s">
        <v>20</v>
      </c>
      <c r="CX1213" s="307">
        <v>2.4049999999999998</v>
      </c>
      <c r="CY1213" s="307">
        <v>2.4049999999999998</v>
      </c>
      <c r="CZ1213" s="307">
        <v>2.4049999999999998</v>
      </c>
    </row>
    <row r="1214" spans="97:104">
      <c r="CS1214" s="332"/>
      <c r="CT1214" s="366" t="s">
        <v>2340</v>
      </c>
      <c r="CU1214" s="307" t="s">
        <v>208</v>
      </c>
      <c r="CV1214" s="307" t="s">
        <v>2308</v>
      </c>
      <c r="CW1214" s="366" t="s">
        <v>21</v>
      </c>
      <c r="CX1214" s="307">
        <v>1</v>
      </c>
      <c r="CY1214" s="307">
        <v>1</v>
      </c>
      <c r="CZ1214" s="307">
        <v>1</v>
      </c>
    </row>
    <row r="1215" spans="97:104">
      <c r="CS1215" s="332"/>
      <c r="CT1215" s="366" t="s">
        <v>2341</v>
      </c>
      <c r="CU1215" s="307" t="s">
        <v>208</v>
      </c>
      <c r="CV1215" s="307" t="s">
        <v>2308</v>
      </c>
      <c r="CW1215" s="366" t="s">
        <v>22</v>
      </c>
      <c r="CX1215" s="307">
        <v>1</v>
      </c>
      <c r="CY1215" s="307">
        <v>1</v>
      </c>
      <c r="CZ1215" s="307">
        <v>1</v>
      </c>
    </row>
    <row r="1216" spans="97:104">
      <c r="CS1216" s="332"/>
      <c r="CT1216" s="366" t="s">
        <v>2342</v>
      </c>
      <c r="CU1216" s="307" t="s">
        <v>208</v>
      </c>
      <c r="CV1216" s="307" t="s">
        <v>2343</v>
      </c>
      <c r="CW1216" s="366" t="s">
        <v>3</v>
      </c>
      <c r="CX1216" s="307">
        <v>-0.36999989999999999</v>
      </c>
      <c r="CY1216" s="307">
        <v>-0.36999989999999999</v>
      </c>
      <c r="CZ1216" s="307">
        <v>-0.36999989999999999</v>
      </c>
    </row>
    <row r="1217" spans="97:104">
      <c r="CS1217" s="332"/>
      <c r="CT1217" s="366" t="s">
        <v>2344</v>
      </c>
      <c r="CU1217" s="307" t="s">
        <v>208</v>
      </c>
      <c r="CV1217" s="307" t="s">
        <v>2343</v>
      </c>
      <c r="CW1217" s="366" t="s">
        <v>5</v>
      </c>
      <c r="CX1217" s="307">
        <v>-0.39900000000000002</v>
      </c>
      <c r="CY1217" s="307">
        <v>-0.29899999999999999</v>
      </c>
      <c r="CZ1217" s="307">
        <v>-0.34899999999999998</v>
      </c>
    </row>
    <row r="1218" spans="97:104">
      <c r="CS1218" s="332"/>
      <c r="CT1218" s="366" t="s">
        <v>2345</v>
      </c>
      <c r="CU1218" s="307" t="s">
        <v>208</v>
      </c>
      <c r="CV1218" s="307" t="s">
        <v>2343</v>
      </c>
      <c r="CW1218" s="366" t="s">
        <v>6</v>
      </c>
      <c r="CX1218" s="307">
        <v>-0.39700000000000002</v>
      </c>
      <c r="CY1218" s="307">
        <v>-0.29699999999999999</v>
      </c>
      <c r="CZ1218" s="307">
        <v>-0.34699999999999998</v>
      </c>
    </row>
    <row r="1219" spans="97:104">
      <c r="CS1219" s="332"/>
      <c r="CT1219" s="366" t="s">
        <v>2346</v>
      </c>
      <c r="CU1219" s="307" t="s">
        <v>208</v>
      </c>
      <c r="CV1219" s="307" t="s">
        <v>2343</v>
      </c>
      <c r="CW1219" s="366" t="s">
        <v>24</v>
      </c>
      <c r="CX1219" s="307">
        <v>-0.39800000000000002</v>
      </c>
      <c r="CY1219" s="307">
        <v>-0.29799999999999999</v>
      </c>
      <c r="CZ1219" s="307">
        <v>-0.34799999999999998</v>
      </c>
    </row>
    <row r="1220" spans="97:104">
      <c r="CS1220" s="332"/>
      <c r="CT1220" s="366" t="s">
        <v>2347</v>
      </c>
      <c r="CU1220" s="307" t="s">
        <v>208</v>
      </c>
      <c r="CV1220" s="307" t="s">
        <v>2343</v>
      </c>
      <c r="CW1220" s="366" t="s">
        <v>7</v>
      </c>
      <c r="CX1220" s="307">
        <v>-0.374</v>
      </c>
      <c r="CY1220" s="307">
        <v>-0.32400000000000001</v>
      </c>
      <c r="CZ1220" s="307">
        <v>-0.34899999999999998</v>
      </c>
    </row>
    <row r="1221" spans="97:104">
      <c r="CS1221" s="332"/>
      <c r="CT1221" s="366" t="s">
        <v>2348</v>
      </c>
      <c r="CU1221" s="307" t="s">
        <v>208</v>
      </c>
      <c r="CV1221" s="307" t="s">
        <v>2343</v>
      </c>
      <c r="CW1221" s="366" t="s">
        <v>8</v>
      </c>
      <c r="CX1221" s="307">
        <v>-0.372</v>
      </c>
      <c r="CY1221" s="307">
        <v>-0.32200000000000001</v>
      </c>
      <c r="CZ1221" s="307">
        <v>-0.34699999999999998</v>
      </c>
    </row>
    <row r="1222" spans="97:104">
      <c r="CS1222" s="332"/>
      <c r="CT1222" s="366" t="s">
        <v>2349</v>
      </c>
      <c r="CU1222" s="307" t="s">
        <v>208</v>
      </c>
      <c r="CV1222" s="307" t="s">
        <v>2343</v>
      </c>
      <c r="CW1222" s="366" t="s">
        <v>25</v>
      </c>
      <c r="CX1222" s="307">
        <v>-0.373</v>
      </c>
      <c r="CY1222" s="307">
        <v>-0.32300000000000001</v>
      </c>
      <c r="CZ1222" s="307">
        <v>-0.34799999999999998</v>
      </c>
    </row>
    <row r="1223" spans="97:104">
      <c r="CS1223" s="332"/>
      <c r="CT1223" s="366" t="s">
        <v>2350</v>
      </c>
      <c r="CU1223" s="307" t="s">
        <v>208</v>
      </c>
      <c r="CV1223" s="307" t="s">
        <v>2343</v>
      </c>
      <c r="CW1223" s="366" t="s">
        <v>26</v>
      </c>
      <c r="CX1223" s="307">
        <v>-0.374</v>
      </c>
      <c r="CY1223" s="307">
        <v>-0.32400000000000001</v>
      </c>
      <c r="CZ1223" s="307">
        <v>-0.34899999999999998</v>
      </c>
    </row>
    <row r="1224" spans="97:104">
      <c r="CS1224" s="332"/>
      <c r="CT1224" s="366" t="s">
        <v>2351</v>
      </c>
      <c r="CU1224" s="307" t="s">
        <v>208</v>
      </c>
      <c r="CV1224" s="307" t="s">
        <v>2343</v>
      </c>
      <c r="CW1224" s="366" t="s">
        <v>27</v>
      </c>
      <c r="CX1224" s="307">
        <v>-0.376</v>
      </c>
      <c r="CY1224" s="307">
        <v>-0.32600000000000001</v>
      </c>
      <c r="CZ1224" s="307">
        <v>-0.35099999999999998</v>
      </c>
    </row>
    <row r="1225" spans="97:104">
      <c r="CS1225" s="332"/>
      <c r="CT1225" s="366" t="s">
        <v>2352</v>
      </c>
      <c r="CU1225" s="307" t="s">
        <v>208</v>
      </c>
      <c r="CV1225" s="307" t="s">
        <v>2343</v>
      </c>
      <c r="CW1225" s="366" t="s">
        <v>28</v>
      </c>
      <c r="CX1225" s="307">
        <v>-0.377</v>
      </c>
      <c r="CY1225" s="307">
        <v>-0.32700000000000001</v>
      </c>
      <c r="CZ1225" s="307">
        <v>-0.35199999999999998</v>
      </c>
    </row>
    <row r="1226" spans="97:104">
      <c r="CS1226" s="332"/>
      <c r="CT1226" s="366" t="s">
        <v>2353</v>
      </c>
      <c r="CU1226" s="307" t="s">
        <v>208</v>
      </c>
      <c r="CV1226" s="307" t="s">
        <v>2343</v>
      </c>
      <c r="CW1226" s="366" t="s">
        <v>29</v>
      </c>
      <c r="CX1226" s="307">
        <v>-0.378</v>
      </c>
      <c r="CY1226" s="307">
        <v>-0.32800000000000001</v>
      </c>
      <c r="CZ1226" s="307">
        <v>-0.35299999999999998</v>
      </c>
    </row>
    <row r="1227" spans="97:104">
      <c r="CS1227" s="332"/>
      <c r="CT1227" s="366" t="s">
        <v>2354</v>
      </c>
      <c r="CU1227" s="307" t="s">
        <v>208</v>
      </c>
      <c r="CV1227" s="307" t="s">
        <v>2343</v>
      </c>
      <c r="CW1227" s="366" t="s">
        <v>30</v>
      </c>
      <c r="CX1227" s="307">
        <v>-0.378</v>
      </c>
      <c r="CY1227" s="307">
        <v>-0.32800000000000001</v>
      </c>
      <c r="CZ1227" s="307">
        <v>-0.35299999999999998</v>
      </c>
    </row>
    <row r="1228" spans="97:104">
      <c r="CS1228" s="332"/>
      <c r="CT1228" s="366" t="s">
        <v>2355</v>
      </c>
      <c r="CU1228" s="307" t="s">
        <v>208</v>
      </c>
      <c r="CV1228" s="307" t="s">
        <v>2343</v>
      </c>
      <c r="CW1228" s="366" t="s">
        <v>49</v>
      </c>
      <c r="CX1228" s="307">
        <v>-0.379</v>
      </c>
      <c r="CY1228" s="307">
        <v>-0.32900000000000001</v>
      </c>
      <c r="CZ1228" s="307">
        <v>-0.35399999999999998</v>
      </c>
    </row>
    <row r="1229" spans="97:104">
      <c r="CS1229" s="332"/>
      <c r="CT1229" s="366" t="s">
        <v>2356</v>
      </c>
      <c r="CU1229" s="307" t="s">
        <v>208</v>
      </c>
      <c r="CV1229" s="307" t="s">
        <v>2343</v>
      </c>
      <c r="CW1229" s="366" t="s">
        <v>50</v>
      </c>
      <c r="CX1229" s="307">
        <v>-0.379</v>
      </c>
      <c r="CY1229" s="307">
        <v>-0.32900000000000001</v>
      </c>
      <c r="CZ1229" s="307">
        <v>-0.35399999999999998</v>
      </c>
    </row>
    <row r="1230" spans="97:104">
      <c r="CS1230" s="332"/>
      <c r="CT1230" s="366" t="s">
        <v>2357</v>
      </c>
      <c r="CU1230" s="307" t="s">
        <v>208</v>
      </c>
      <c r="CV1230" s="307" t="s">
        <v>2343</v>
      </c>
      <c r="CW1230" s="366" t="s">
        <v>51</v>
      </c>
      <c r="CX1230" s="307">
        <v>-0.378</v>
      </c>
      <c r="CY1230" s="307">
        <v>-0.32800000000000001</v>
      </c>
      <c r="CZ1230" s="307">
        <v>-0.35299999999999998</v>
      </c>
    </row>
    <row r="1231" spans="97:104">
      <c r="CS1231" s="332"/>
      <c r="CT1231" s="366" t="s">
        <v>2358</v>
      </c>
      <c r="CU1231" s="307" t="s">
        <v>208</v>
      </c>
      <c r="CV1231" s="307" t="s">
        <v>2343</v>
      </c>
      <c r="CW1231" s="366" t="s">
        <v>56</v>
      </c>
      <c r="CX1231" s="307">
        <v>-0.38800000000000001</v>
      </c>
      <c r="CY1231" s="307">
        <v>-0.318</v>
      </c>
      <c r="CZ1231" s="307">
        <v>-0.35299999999999998</v>
      </c>
    </row>
    <row r="1232" spans="97:104">
      <c r="CS1232" s="332"/>
      <c r="CT1232" s="366" t="s">
        <v>2359</v>
      </c>
      <c r="CU1232" s="307" t="s">
        <v>208</v>
      </c>
      <c r="CV1232" s="307" t="s">
        <v>2343</v>
      </c>
      <c r="CW1232" s="366" t="s">
        <v>2360</v>
      </c>
      <c r="CX1232" s="307">
        <v>15</v>
      </c>
      <c r="CY1232" s="307">
        <v>20.75</v>
      </c>
      <c r="CZ1232" s="307">
        <v>17.875</v>
      </c>
    </row>
    <row r="1233" spans="97:104">
      <c r="CS1233" s="332"/>
      <c r="CT1233" s="366" t="s">
        <v>2361</v>
      </c>
      <c r="CU1233" s="307" t="s">
        <v>208</v>
      </c>
      <c r="CV1233" s="307" t="s">
        <v>2343</v>
      </c>
      <c r="CW1233" s="366" t="s">
        <v>2362</v>
      </c>
      <c r="CX1233" s="307">
        <v>17.5</v>
      </c>
      <c r="CY1233" s="307">
        <v>22.5</v>
      </c>
      <c r="CZ1233" s="307">
        <v>20</v>
      </c>
    </row>
    <row r="1234" spans="97:104">
      <c r="CS1234" s="332"/>
      <c r="CT1234" s="366" t="s">
        <v>2363</v>
      </c>
      <c r="CU1234" s="307" t="s">
        <v>208</v>
      </c>
      <c r="CV1234" s="307" t="s">
        <v>2343</v>
      </c>
      <c r="CW1234" s="366" t="s">
        <v>2364</v>
      </c>
      <c r="CX1234" s="307">
        <v>15</v>
      </c>
      <c r="CY1234" s="307">
        <v>20.75</v>
      </c>
      <c r="CZ1234" s="307">
        <v>17.875</v>
      </c>
    </row>
    <row r="1235" spans="97:104">
      <c r="CS1235" s="332"/>
      <c r="CT1235" s="366" t="s">
        <v>4248</v>
      </c>
      <c r="CU1235" s="307" t="s">
        <v>208</v>
      </c>
      <c r="CV1235" s="307" t="s">
        <v>4249</v>
      </c>
      <c r="CW1235" s="366" t="s">
        <v>7</v>
      </c>
      <c r="CX1235" s="307">
        <v>0.107</v>
      </c>
      <c r="CY1235" s="307">
        <v>0.107</v>
      </c>
      <c r="CZ1235" s="307">
        <v>0.107</v>
      </c>
    </row>
    <row r="1236" spans="97:104">
      <c r="CS1236" s="332"/>
      <c r="CT1236" s="366" t="s">
        <v>4250</v>
      </c>
      <c r="CU1236" s="307" t="s">
        <v>208</v>
      </c>
      <c r="CV1236" s="307" t="s">
        <v>4249</v>
      </c>
      <c r="CW1236" s="366" t="s">
        <v>8</v>
      </c>
      <c r="CX1236" s="307">
        <v>0.14299999999999999</v>
      </c>
      <c r="CY1236" s="307">
        <v>0.14299999999999999</v>
      </c>
      <c r="CZ1236" s="307">
        <v>0.14299999999999999</v>
      </c>
    </row>
    <row r="1237" spans="97:104">
      <c r="CS1237" s="332"/>
      <c r="CT1237" s="366" t="s">
        <v>4251</v>
      </c>
      <c r="CU1237" s="307" t="s">
        <v>208</v>
      </c>
      <c r="CV1237" s="307" t="s">
        <v>4249</v>
      </c>
      <c r="CW1237" s="366" t="s">
        <v>25</v>
      </c>
      <c r="CX1237" s="307">
        <v>0.189</v>
      </c>
      <c r="CY1237" s="307">
        <v>0.189</v>
      </c>
      <c r="CZ1237" s="307">
        <v>0.189</v>
      </c>
    </row>
    <row r="1238" spans="97:104">
      <c r="CS1238" s="332"/>
      <c r="CT1238" s="366" t="s">
        <v>4252</v>
      </c>
      <c r="CU1238" s="307" t="s">
        <v>208</v>
      </c>
      <c r="CV1238" s="307" t="s">
        <v>4249</v>
      </c>
      <c r="CW1238" s="366" t="s">
        <v>28</v>
      </c>
      <c r="CX1238" s="307">
        <v>0.34899999999999998</v>
      </c>
      <c r="CY1238" s="307">
        <v>0.34899999999999998</v>
      </c>
      <c r="CZ1238" s="307">
        <v>0.34899999999999998</v>
      </c>
    </row>
    <row r="1239" spans="97:104">
      <c r="CS1239" s="332"/>
      <c r="CT1239" s="366" t="s">
        <v>4253</v>
      </c>
      <c r="CU1239" s="307" t="s">
        <v>208</v>
      </c>
      <c r="CV1239" s="307" t="s">
        <v>4249</v>
      </c>
      <c r="CW1239" s="366" t="s">
        <v>49</v>
      </c>
      <c r="CX1239" s="307">
        <v>0.46100000000000002</v>
      </c>
      <c r="CY1239" s="307">
        <v>0.46100000000000002</v>
      </c>
      <c r="CZ1239" s="307">
        <v>0.46100000000000002</v>
      </c>
    </row>
    <row r="1240" spans="97:104">
      <c r="CS1240" s="332"/>
      <c r="CT1240" s="366" t="s">
        <v>4254</v>
      </c>
      <c r="CU1240" s="307" t="s">
        <v>208</v>
      </c>
      <c r="CV1240" s="307" t="s">
        <v>4249</v>
      </c>
      <c r="CW1240" s="366" t="s">
        <v>56</v>
      </c>
      <c r="CX1240" s="307">
        <v>0.57999999999999996</v>
      </c>
      <c r="CY1240" s="307">
        <v>0.57999999999999996</v>
      </c>
      <c r="CZ1240" s="307">
        <v>0.57999999999999996</v>
      </c>
    </row>
    <row r="1241" spans="97:104">
      <c r="CS1241" s="332"/>
      <c r="CT1241" s="366" t="s">
        <v>4255</v>
      </c>
      <c r="CU1241" s="307" t="s">
        <v>208</v>
      </c>
      <c r="CV1241" s="307" t="s">
        <v>4249</v>
      </c>
      <c r="CW1241" s="366" t="s">
        <v>9</v>
      </c>
      <c r="CX1241" s="307">
        <v>0.42699999999999999</v>
      </c>
      <c r="CY1241" s="307">
        <v>0.42699999999999999</v>
      </c>
      <c r="CZ1241" s="307">
        <v>0.42699999999999999</v>
      </c>
    </row>
    <row r="1242" spans="97:104">
      <c r="CS1242" s="332"/>
      <c r="CT1242" s="366" t="s">
        <v>4256</v>
      </c>
      <c r="CU1242" s="307" t="s">
        <v>208</v>
      </c>
      <c r="CV1242" s="307" t="s">
        <v>4249</v>
      </c>
      <c r="CW1242" s="366" t="s">
        <v>10</v>
      </c>
      <c r="CX1242" s="307">
        <v>0.54300000000000004</v>
      </c>
      <c r="CY1242" s="307">
        <v>0.54300000000000004</v>
      </c>
      <c r="CZ1242" s="307">
        <v>0.54300000000000004</v>
      </c>
    </row>
    <row r="1243" spans="97:104">
      <c r="CS1243" s="332"/>
      <c r="CT1243" s="366" t="s">
        <v>4257</v>
      </c>
      <c r="CU1243" s="307" t="s">
        <v>208</v>
      </c>
      <c r="CV1243" s="307" t="s">
        <v>4249</v>
      </c>
      <c r="CW1243" s="366" t="s">
        <v>11</v>
      </c>
      <c r="CX1243" s="307">
        <v>0.70799999999999996</v>
      </c>
      <c r="CY1243" s="307">
        <v>0.70799999999999996</v>
      </c>
      <c r="CZ1243" s="307">
        <v>0.70799999999999996</v>
      </c>
    </row>
    <row r="1244" spans="97:104">
      <c r="CS1244" s="332"/>
      <c r="CT1244" s="366" t="s">
        <v>4258</v>
      </c>
      <c r="CU1244" s="307" t="s">
        <v>208</v>
      </c>
      <c r="CV1244" s="307" t="s">
        <v>4249</v>
      </c>
      <c r="CW1244" s="366" t="s">
        <v>12</v>
      </c>
      <c r="CX1244" s="307">
        <v>0.90300000000000002</v>
      </c>
      <c r="CY1244" s="307">
        <v>0.90300000000000002</v>
      </c>
      <c r="CZ1244" s="307">
        <v>0.90300000000000002</v>
      </c>
    </row>
    <row r="1245" spans="97:104">
      <c r="CS1245" s="332"/>
      <c r="CT1245" s="366" t="s">
        <v>4259</v>
      </c>
      <c r="CU1245" s="307" t="s">
        <v>208</v>
      </c>
      <c r="CV1245" s="307" t="s">
        <v>4249</v>
      </c>
      <c r="CW1245" s="366" t="s">
        <v>13</v>
      </c>
      <c r="CX1245" s="307">
        <v>1.1020000000000001</v>
      </c>
      <c r="CY1245" s="307">
        <v>1.1020000000000001</v>
      </c>
      <c r="CZ1245" s="307">
        <v>1.1020000000000001</v>
      </c>
    </row>
    <row r="1246" spans="97:104">
      <c r="CS1246" s="332"/>
      <c r="CT1246" s="366" t="s">
        <v>4260</v>
      </c>
      <c r="CU1246" s="307" t="s">
        <v>208</v>
      </c>
      <c r="CV1246" s="307" t="s">
        <v>4249</v>
      </c>
      <c r="CW1246" s="366" t="s">
        <v>14</v>
      </c>
      <c r="CX1246" s="307">
        <v>1.288</v>
      </c>
      <c r="CY1246" s="307">
        <v>1.288</v>
      </c>
      <c r="CZ1246" s="307">
        <v>1.288</v>
      </c>
    </row>
    <row r="1247" spans="97:104">
      <c r="CS1247" s="332"/>
      <c r="CT1247" s="366" t="s">
        <v>4261</v>
      </c>
      <c r="CU1247" s="307" t="s">
        <v>208</v>
      </c>
      <c r="CV1247" s="307" t="s">
        <v>4249</v>
      </c>
      <c r="CW1247" s="366" t="s">
        <v>15</v>
      </c>
      <c r="CX1247" s="307">
        <v>1.4550000000000001</v>
      </c>
      <c r="CY1247" s="307">
        <v>1.4550000000000001</v>
      </c>
      <c r="CZ1247" s="307">
        <v>1.4550000000000001</v>
      </c>
    </row>
    <row r="1248" spans="97:104">
      <c r="CS1248" s="332"/>
      <c r="CT1248" s="366" t="s">
        <v>4262</v>
      </c>
      <c r="CU1248" s="307" t="s">
        <v>208</v>
      </c>
      <c r="CV1248" s="307" t="s">
        <v>4249</v>
      </c>
      <c r="CW1248" s="366" t="s">
        <v>16</v>
      </c>
      <c r="CX1248" s="307">
        <v>1.6020000000000001</v>
      </c>
      <c r="CY1248" s="307">
        <v>1.6020000000000001</v>
      </c>
      <c r="CZ1248" s="307">
        <v>1.6020000000000001</v>
      </c>
    </row>
    <row r="1249" spans="97:104">
      <c r="CS1249" s="332"/>
      <c r="CT1249" s="366" t="s">
        <v>4263</v>
      </c>
      <c r="CU1249" s="307" t="s">
        <v>208</v>
      </c>
      <c r="CV1249" s="307" t="s">
        <v>4249</v>
      </c>
      <c r="CW1249" s="366" t="s">
        <v>17</v>
      </c>
      <c r="CX1249" s="307">
        <v>1.7310000000000001</v>
      </c>
      <c r="CY1249" s="307">
        <v>1.7310000000000001</v>
      </c>
      <c r="CZ1249" s="307">
        <v>1.7310000000000001</v>
      </c>
    </row>
    <row r="1250" spans="97:104">
      <c r="CS1250" s="332"/>
      <c r="CT1250" s="366" t="s">
        <v>4264</v>
      </c>
      <c r="CU1250" s="307" t="s">
        <v>208</v>
      </c>
      <c r="CV1250" s="307" t="s">
        <v>4249</v>
      </c>
      <c r="CW1250" s="366" t="s">
        <v>18</v>
      </c>
      <c r="CX1250" s="307">
        <v>1.95</v>
      </c>
      <c r="CY1250" s="307">
        <v>1.95</v>
      </c>
      <c r="CZ1250" s="307">
        <v>1.95</v>
      </c>
    </row>
    <row r="1251" spans="97:104">
      <c r="CS1251" s="332"/>
      <c r="CT1251" s="366" t="s">
        <v>4265</v>
      </c>
      <c r="CU1251" s="307" t="s">
        <v>208</v>
      </c>
      <c r="CV1251" s="307" t="s">
        <v>4249</v>
      </c>
      <c r="CW1251" s="366" t="s">
        <v>19</v>
      </c>
      <c r="CX1251" s="307">
        <v>2.1709999999999998</v>
      </c>
      <c r="CY1251" s="307">
        <v>2.1709999999999998</v>
      </c>
      <c r="CZ1251" s="307">
        <v>2.1709999999999998</v>
      </c>
    </row>
    <row r="1252" spans="97:104">
      <c r="CS1252" s="332"/>
      <c r="CT1252" s="366" t="s">
        <v>4266</v>
      </c>
      <c r="CU1252" s="307" t="s">
        <v>208</v>
      </c>
      <c r="CV1252" s="307" t="s">
        <v>4249</v>
      </c>
      <c r="CW1252" s="366" t="s">
        <v>20</v>
      </c>
      <c r="CX1252" s="307">
        <v>2.3029999999999999</v>
      </c>
      <c r="CY1252" s="307">
        <v>2.3029999999999999</v>
      </c>
      <c r="CZ1252" s="307">
        <v>2.3029999999999999</v>
      </c>
    </row>
    <row r="1253" spans="97:104">
      <c r="CS1253" s="332"/>
      <c r="CT1253" s="366" t="s">
        <v>4267</v>
      </c>
      <c r="CU1253" s="307" t="s">
        <v>208</v>
      </c>
      <c r="CV1253" s="307" t="s">
        <v>4249</v>
      </c>
      <c r="CW1253" s="366" t="s">
        <v>22</v>
      </c>
      <c r="CX1253" s="307">
        <v>2.3490000000000002</v>
      </c>
      <c r="CY1253" s="307">
        <v>2.3490000000000002</v>
      </c>
      <c r="CZ1253" s="307">
        <v>2.3490000000000002</v>
      </c>
    </row>
    <row r="1254" spans="97:104">
      <c r="CS1254" s="332"/>
      <c r="CT1254" s="366" t="s">
        <v>2365</v>
      </c>
      <c r="CU1254" s="307" t="s">
        <v>208</v>
      </c>
      <c r="CV1254" s="307" t="s">
        <v>2366</v>
      </c>
      <c r="CW1254" s="366" t="s">
        <v>3</v>
      </c>
      <c r="CX1254" s="307">
        <v>-0.36999989999999999</v>
      </c>
      <c r="CY1254" s="307">
        <v>-0.36999989999999999</v>
      </c>
      <c r="CZ1254" s="307">
        <v>-0.36999989999999999</v>
      </c>
    </row>
    <row r="1255" spans="97:104">
      <c r="CS1255" s="332"/>
      <c r="CT1255" s="366" t="s">
        <v>2367</v>
      </c>
      <c r="CU1255" s="307" t="s">
        <v>208</v>
      </c>
      <c r="CV1255" s="307" t="s">
        <v>2366</v>
      </c>
      <c r="CW1255" s="366" t="s">
        <v>5</v>
      </c>
      <c r="CX1255" s="307">
        <v>-0.37</v>
      </c>
      <c r="CY1255" s="307">
        <v>-0.37</v>
      </c>
      <c r="CZ1255" s="307">
        <v>-0.37</v>
      </c>
    </row>
    <row r="1256" spans="97:104">
      <c r="CS1256" s="332"/>
      <c r="CT1256" s="366" t="s">
        <v>2368</v>
      </c>
      <c r="CU1256" s="307" t="s">
        <v>208</v>
      </c>
      <c r="CV1256" s="307" t="s">
        <v>2366</v>
      </c>
      <c r="CW1256" s="366" t="s">
        <v>7</v>
      </c>
      <c r="CX1256" s="307">
        <v>-0.37</v>
      </c>
      <c r="CY1256" s="307">
        <v>-0.37</v>
      </c>
      <c r="CZ1256" s="307">
        <v>-0.37</v>
      </c>
    </row>
    <row r="1257" spans="97:104">
      <c r="CS1257" s="332"/>
      <c r="CT1257" s="366" t="s">
        <v>2369</v>
      </c>
      <c r="CU1257" s="307" t="s">
        <v>208</v>
      </c>
      <c r="CV1257" s="307" t="s">
        <v>2366</v>
      </c>
      <c r="CW1257" s="366" t="s">
        <v>8</v>
      </c>
      <c r="CX1257" s="307">
        <v>-0.33</v>
      </c>
      <c r="CY1257" s="307">
        <v>-0.33</v>
      </c>
      <c r="CZ1257" s="307">
        <v>-0.33</v>
      </c>
    </row>
    <row r="1258" spans="97:104">
      <c r="CS1258" s="332"/>
      <c r="CT1258" s="366" t="s">
        <v>2370</v>
      </c>
      <c r="CU1258" s="307" t="s">
        <v>208</v>
      </c>
      <c r="CV1258" s="307" t="s">
        <v>2366</v>
      </c>
      <c r="CW1258" s="366" t="s">
        <v>25</v>
      </c>
      <c r="CX1258" s="307">
        <v>-0.3</v>
      </c>
      <c r="CY1258" s="307">
        <v>-0.3</v>
      </c>
      <c r="CZ1258" s="307">
        <v>-0.3</v>
      </c>
    </row>
    <row r="1259" spans="97:104">
      <c r="CS1259" s="332"/>
      <c r="CT1259" s="366" t="s">
        <v>2371</v>
      </c>
      <c r="CU1259" s="307" t="s">
        <v>208</v>
      </c>
      <c r="CV1259" s="307" t="s">
        <v>2366</v>
      </c>
      <c r="CW1259" s="366" t="s">
        <v>28</v>
      </c>
      <c r="CX1259" s="307">
        <v>-0.21</v>
      </c>
      <c r="CY1259" s="307">
        <v>-0.21</v>
      </c>
      <c r="CZ1259" s="307">
        <v>-0.21</v>
      </c>
    </row>
    <row r="1260" spans="97:104">
      <c r="CS1260" s="332"/>
      <c r="CT1260" s="366" t="s">
        <v>2372</v>
      </c>
      <c r="CU1260" s="307" t="s">
        <v>208</v>
      </c>
      <c r="CV1260" s="307" t="s">
        <v>2366</v>
      </c>
      <c r="CW1260" s="366" t="s">
        <v>49</v>
      </c>
      <c r="CX1260" s="307">
        <v>-0.13</v>
      </c>
      <c r="CY1260" s="307">
        <v>-0.13</v>
      </c>
      <c r="CZ1260" s="307">
        <v>-0.13</v>
      </c>
    </row>
    <row r="1261" spans="97:104">
      <c r="CS1261" s="332"/>
      <c r="CT1261" s="366" t="s">
        <v>2373</v>
      </c>
      <c r="CU1261" s="307" t="s">
        <v>208</v>
      </c>
      <c r="CV1261" s="307" t="s">
        <v>2366</v>
      </c>
      <c r="CW1261" s="366" t="s">
        <v>56</v>
      </c>
      <c r="CX1261" s="307">
        <v>-7.0000000000000007E-2</v>
      </c>
      <c r="CY1261" s="307">
        <v>-7.0000000000000007E-2</v>
      </c>
      <c r="CZ1261" s="307">
        <v>-7.0000000000000007E-2</v>
      </c>
    </row>
    <row r="1262" spans="97:104">
      <c r="CS1262" s="332"/>
      <c r="CT1262" s="366" t="s">
        <v>2374</v>
      </c>
      <c r="CU1262" s="307" t="s">
        <v>208</v>
      </c>
      <c r="CV1262" s="307" t="s">
        <v>2366</v>
      </c>
      <c r="CW1262" s="366" t="s">
        <v>9</v>
      </c>
      <c r="CX1262" s="307">
        <v>-0.13622922800000001</v>
      </c>
      <c r="CY1262" s="307">
        <v>-0.13622922800000001</v>
      </c>
      <c r="CZ1262" s="307">
        <v>-0.13622922800000001</v>
      </c>
    </row>
    <row r="1263" spans="97:104">
      <c r="CS1263" s="332"/>
      <c r="CT1263" s="366" t="s">
        <v>2375</v>
      </c>
      <c r="CU1263" s="307" t="s">
        <v>208</v>
      </c>
      <c r="CV1263" s="307" t="s">
        <v>2366</v>
      </c>
      <c r="CW1263" s="366" t="s">
        <v>10</v>
      </c>
      <c r="CX1263" s="307">
        <v>-6.0999999999999999E-2</v>
      </c>
      <c r="CY1263" s="307">
        <v>-6.0999999999999999E-2</v>
      </c>
      <c r="CZ1263" s="307">
        <v>-6.0999999999999999E-2</v>
      </c>
    </row>
    <row r="1264" spans="97:104">
      <c r="CS1264" s="332"/>
      <c r="CT1264" s="366" t="s">
        <v>2376</v>
      </c>
      <c r="CU1264" s="307" t="s">
        <v>208</v>
      </c>
      <c r="CV1264" s="307" t="s">
        <v>2366</v>
      </c>
      <c r="CW1264" s="366" t="s">
        <v>11</v>
      </c>
      <c r="CX1264" s="307">
        <v>2.8000000000000001E-2</v>
      </c>
      <c r="CY1264" s="307">
        <v>2.8000000000000001E-2</v>
      </c>
      <c r="CZ1264" s="307">
        <v>2.8000000000000001E-2</v>
      </c>
    </row>
    <row r="1265" spans="97:104">
      <c r="CS1265" s="332"/>
      <c r="CT1265" s="366" t="s">
        <v>2377</v>
      </c>
      <c r="CU1265" s="307" t="s">
        <v>208</v>
      </c>
      <c r="CV1265" s="307" t="s">
        <v>2366</v>
      </c>
      <c r="CW1265" s="366" t="s">
        <v>12</v>
      </c>
      <c r="CX1265" s="307">
        <v>0.13200000000000001</v>
      </c>
      <c r="CY1265" s="307">
        <v>0.13200000000000001</v>
      </c>
      <c r="CZ1265" s="307">
        <v>0.13200000000000001</v>
      </c>
    </row>
    <row r="1266" spans="97:104">
      <c r="CS1266" s="332"/>
      <c r="CT1266" s="366" t="s">
        <v>2378</v>
      </c>
      <c r="CU1266" s="307" t="s">
        <v>208</v>
      </c>
      <c r="CV1266" s="307" t="s">
        <v>2366</v>
      </c>
      <c r="CW1266" s="366" t="s">
        <v>13</v>
      </c>
      <c r="CX1266" s="307">
        <v>0.24199999999999999</v>
      </c>
      <c r="CY1266" s="307">
        <v>0.24199999999999999</v>
      </c>
      <c r="CZ1266" s="307">
        <v>0.24199999999999999</v>
      </c>
    </row>
    <row r="1267" spans="97:104">
      <c r="CS1267" s="332"/>
      <c r="CT1267" s="366" t="s">
        <v>2379</v>
      </c>
      <c r="CU1267" s="307" t="s">
        <v>208</v>
      </c>
      <c r="CV1267" s="307" t="s">
        <v>2366</v>
      </c>
      <c r="CW1267" s="366" t="s">
        <v>14</v>
      </c>
      <c r="CX1267" s="307">
        <v>0.35499999999999998</v>
      </c>
      <c r="CY1267" s="307">
        <v>0.35499999999999998</v>
      </c>
      <c r="CZ1267" s="307">
        <v>0.35499999999999998</v>
      </c>
    </row>
    <row r="1268" spans="97:104">
      <c r="CS1268" s="332"/>
      <c r="CT1268" s="366" t="s">
        <v>2380</v>
      </c>
      <c r="CU1268" s="307" t="s">
        <v>208</v>
      </c>
      <c r="CV1268" s="307" t="s">
        <v>2366</v>
      </c>
      <c r="CW1268" s="366" t="s">
        <v>15</v>
      </c>
      <c r="CX1268" s="307">
        <v>0.46700000000000003</v>
      </c>
      <c r="CY1268" s="307">
        <v>0.46700000000000003</v>
      </c>
      <c r="CZ1268" s="307">
        <v>0.46700000000000003</v>
      </c>
    </row>
    <row r="1269" spans="97:104">
      <c r="CS1269" s="332"/>
      <c r="CT1269" s="366" t="s">
        <v>2381</v>
      </c>
      <c r="CU1269" s="307" t="s">
        <v>208</v>
      </c>
      <c r="CV1269" s="307" t="s">
        <v>2366</v>
      </c>
      <c r="CW1269" s="366" t="s">
        <v>16</v>
      </c>
      <c r="CX1269" s="307">
        <v>0.57399999999999995</v>
      </c>
      <c r="CY1269" s="307">
        <v>0.57399999999999995</v>
      </c>
      <c r="CZ1269" s="307">
        <v>0.57399999999999995</v>
      </c>
    </row>
    <row r="1270" spans="97:104">
      <c r="CS1270" s="332"/>
      <c r="CT1270" s="366" t="s">
        <v>2382</v>
      </c>
      <c r="CU1270" s="307" t="s">
        <v>208</v>
      </c>
      <c r="CV1270" s="307" t="s">
        <v>2366</v>
      </c>
      <c r="CW1270" s="366" t="s">
        <v>17</v>
      </c>
      <c r="CX1270" s="307">
        <v>0.67100000000000004</v>
      </c>
      <c r="CY1270" s="307">
        <v>0.67100000000000004</v>
      </c>
      <c r="CZ1270" s="307">
        <v>0.67100000000000004</v>
      </c>
    </row>
    <row r="1271" spans="97:104">
      <c r="CS1271" s="332"/>
      <c r="CT1271" s="366" t="s">
        <v>2383</v>
      </c>
      <c r="CU1271" s="307" t="s">
        <v>208</v>
      </c>
      <c r="CV1271" s="307" t="s">
        <v>2366</v>
      </c>
      <c r="CW1271" s="366" t="s">
        <v>18</v>
      </c>
      <c r="CX1271" s="307">
        <v>0.83499999999999996</v>
      </c>
      <c r="CY1271" s="307">
        <v>0.83499999999999996</v>
      </c>
      <c r="CZ1271" s="307">
        <v>0.83499999999999996</v>
      </c>
    </row>
    <row r="1272" spans="97:104">
      <c r="CS1272" s="332"/>
      <c r="CT1272" s="366" t="s">
        <v>2384</v>
      </c>
      <c r="CU1272" s="307" t="s">
        <v>208</v>
      </c>
      <c r="CV1272" s="307" t="s">
        <v>2366</v>
      </c>
      <c r="CW1272" s="366" t="s">
        <v>19</v>
      </c>
      <c r="CX1272" s="307">
        <v>1.0049999999999999</v>
      </c>
      <c r="CY1272" s="307">
        <v>1.0049999999999999</v>
      </c>
      <c r="CZ1272" s="307">
        <v>1.0049999999999999</v>
      </c>
    </row>
    <row r="1273" spans="97:104">
      <c r="CS1273" s="332"/>
      <c r="CT1273" s="366" t="s">
        <v>2385</v>
      </c>
      <c r="CU1273" s="307" t="s">
        <v>208</v>
      </c>
      <c r="CV1273" s="307" t="s">
        <v>2366</v>
      </c>
      <c r="CW1273" s="366" t="s">
        <v>20</v>
      </c>
      <c r="CX1273" s="307">
        <v>1.135</v>
      </c>
      <c r="CY1273" s="307">
        <v>1.135</v>
      </c>
      <c r="CZ1273" s="307">
        <v>1.135</v>
      </c>
    </row>
    <row r="1274" spans="97:104">
      <c r="CS1274" s="332"/>
      <c r="CT1274" s="366" t="s">
        <v>2386</v>
      </c>
      <c r="CU1274" s="307" t="s">
        <v>208</v>
      </c>
      <c r="CV1274" s="307" t="s">
        <v>2366</v>
      </c>
      <c r="CW1274" s="366" t="s">
        <v>21</v>
      </c>
      <c r="CX1274" s="307">
        <v>1.17</v>
      </c>
      <c r="CY1274" s="307">
        <v>1.17</v>
      </c>
      <c r="CZ1274" s="307">
        <v>1.17</v>
      </c>
    </row>
    <row r="1275" spans="97:104">
      <c r="CS1275" s="332"/>
      <c r="CT1275" s="366" t="s">
        <v>2387</v>
      </c>
      <c r="CU1275" s="307" t="s">
        <v>208</v>
      </c>
      <c r="CV1275" s="307" t="s">
        <v>2366</v>
      </c>
      <c r="CW1275" s="366" t="s">
        <v>22</v>
      </c>
      <c r="CX1275" s="307">
        <v>1.18</v>
      </c>
      <c r="CY1275" s="307">
        <v>1.18</v>
      </c>
      <c r="CZ1275" s="307">
        <v>1.18</v>
      </c>
    </row>
    <row r="1276" spans="97:104">
      <c r="CS1276" s="332"/>
      <c r="CT1276" s="366" t="s">
        <v>2388</v>
      </c>
      <c r="CU1276" s="307" t="s">
        <v>208</v>
      </c>
      <c r="CV1276" s="307" t="s">
        <v>2366</v>
      </c>
      <c r="CW1276" s="366" t="s">
        <v>46</v>
      </c>
      <c r="CX1276" s="307">
        <v>1.165</v>
      </c>
      <c r="CY1276" s="307">
        <v>1.165</v>
      </c>
      <c r="CZ1276" s="307">
        <v>1.165</v>
      </c>
    </row>
    <row r="1277" spans="97:104">
      <c r="CS1277" s="332"/>
      <c r="CT1277" s="366" t="s">
        <v>2389</v>
      </c>
      <c r="CU1277" s="307" t="s">
        <v>208</v>
      </c>
      <c r="CV1277" s="307" t="s">
        <v>2366</v>
      </c>
      <c r="CW1277" s="366" t="s">
        <v>47</v>
      </c>
      <c r="CX1277" s="307">
        <v>1.111</v>
      </c>
      <c r="CY1277" s="307">
        <v>1.111</v>
      </c>
      <c r="CZ1277" s="307">
        <v>1.111</v>
      </c>
    </row>
    <row r="1278" spans="97:104">
      <c r="CS1278" s="332"/>
      <c r="CT1278" s="366" t="s">
        <v>2390</v>
      </c>
      <c r="CU1278" s="307" t="s">
        <v>208</v>
      </c>
      <c r="CV1278" s="307" t="s">
        <v>2366</v>
      </c>
      <c r="CW1278" s="366" t="s">
        <v>48</v>
      </c>
      <c r="CX1278" s="307">
        <v>1.0760000000000001</v>
      </c>
      <c r="CY1278" s="307">
        <v>1.0760000000000001</v>
      </c>
      <c r="CZ1278" s="307">
        <v>1.0760000000000001</v>
      </c>
    </row>
    <row r="1279" spans="97:104">
      <c r="CS1279" s="332"/>
      <c r="CT1279" s="366" t="s">
        <v>2391</v>
      </c>
      <c r="CU1279" s="307" t="s">
        <v>208</v>
      </c>
      <c r="CV1279" s="307" t="s">
        <v>2392</v>
      </c>
      <c r="CW1279" s="366" t="s">
        <v>3</v>
      </c>
      <c r="CX1279" s="307">
        <v>0.56899999999999995</v>
      </c>
      <c r="CY1279" s="307">
        <v>0.56899999999999995</v>
      </c>
      <c r="CZ1279" s="307">
        <v>0.56899999999999995</v>
      </c>
    </row>
    <row r="1280" spans="97:104">
      <c r="CS1280" s="332"/>
      <c r="CT1280" s="366" t="s">
        <v>2393</v>
      </c>
      <c r="CU1280" s="307" t="s">
        <v>208</v>
      </c>
      <c r="CV1280" s="307" t="s">
        <v>2392</v>
      </c>
      <c r="CW1280" s="366" t="s">
        <v>5</v>
      </c>
      <c r="CX1280" s="307">
        <v>-0.37</v>
      </c>
      <c r="CY1280" s="307">
        <v>-0.37</v>
      </c>
      <c r="CZ1280" s="307">
        <v>-0.37</v>
      </c>
    </row>
    <row r="1281" spans="97:104">
      <c r="CS1281" s="332"/>
      <c r="CT1281" s="366" t="s">
        <v>2394</v>
      </c>
      <c r="CU1281" s="307" t="s">
        <v>208</v>
      </c>
      <c r="CV1281" s="307" t="s">
        <v>2392</v>
      </c>
      <c r="CW1281" s="366" t="s">
        <v>7</v>
      </c>
      <c r="CX1281" s="307">
        <v>-0.37</v>
      </c>
      <c r="CY1281" s="307">
        <v>-0.37</v>
      </c>
      <c r="CZ1281" s="307">
        <v>-0.37</v>
      </c>
    </row>
    <row r="1282" spans="97:104">
      <c r="CS1282" s="332"/>
      <c r="CT1282" s="366" t="s">
        <v>2395</v>
      </c>
      <c r="CU1282" s="307" t="s">
        <v>208</v>
      </c>
      <c r="CV1282" s="307" t="s">
        <v>2392</v>
      </c>
      <c r="CW1282" s="366" t="s">
        <v>8</v>
      </c>
      <c r="CX1282" s="307">
        <v>-0.33</v>
      </c>
      <c r="CY1282" s="307">
        <v>-0.33</v>
      </c>
      <c r="CZ1282" s="307">
        <v>-0.33</v>
      </c>
    </row>
    <row r="1283" spans="97:104">
      <c r="CS1283" s="332"/>
      <c r="CT1283" s="366" t="s">
        <v>2396</v>
      </c>
      <c r="CU1283" s="307" t="s">
        <v>208</v>
      </c>
      <c r="CV1283" s="307" t="s">
        <v>2392</v>
      </c>
      <c r="CW1283" s="366" t="s">
        <v>25</v>
      </c>
      <c r="CX1283" s="307">
        <v>-0.3</v>
      </c>
      <c r="CY1283" s="307">
        <v>-0.3</v>
      </c>
      <c r="CZ1283" s="307">
        <v>-0.3</v>
      </c>
    </row>
    <row r="1284" spans="97:104">
      <c r="CS1284" s="332"/>
      <c r="CT1284" s="366" t="s">
        <v>2397</v>
      </c>
      <c r="CU1284" s="307" t="s">
        <v>208</v>
      </c>
      <c r="CV1284" s="307" t="s">
        <v>2392</v>
      </c>
      <c r="CW1284" s="366" t="s">
        <v>28</v>
      </c>
      <c r="CX1284" s="307">
        <v>-0.21</v>
      </c>
      <c r="CY1284" s="307">
        <v>-0.21</v>
      </c>
      <c r="CZ1284" s="307">
        <v>-0.21</v>
      </c>
    </row>
    <row r="1285" spans="97:104">
      <c r="CS1285" s="332"/>
      <c r="CT1285" s="366" t="s">
        <v>2398</v>
      </c>
      <c r="CU1285" s="307" t="s">
        <v>208</v>
      </c>
      <c r="CV1285" s="307" t="s">
        <v>2392</v>
      </c>
      <c r="CW1285" s="366" t="s">
        <v>49</v>
      </c>
      <c r="CX1285" s="307">
        <v>-0.13</v>
      </c>
      <c r="CY1285" s="307">
        <v>-0.13</v>
      </c>
      <c r="CZ1285" s="307">
        <v>-0.13</v>
      </c>
    </row>
    <row r="1286" spans="97:104">
      <c r="CS1286" s="332"/>
      <c r="CT1286" s="366" t="s">
        <v>2399</v>
      </c>
      <c r="CU1286" s="307" t="s">
        <v>208</v>
      </c>
      <c r="CV1286" s="307" t="s">
        <v>2392</v>
      </c>
      <c r="CW1286" s="366" t="s">
        <v>56</v>
      </c>
      <c r="CX1286" s="307">
        <v>-7.0000000000000007E-2</v>
      </c>
      <c r="CY1286" s="307">
        <v>-7.0000000000000007E-2</v>
      </c>
      <c r="CZ1286" s="307">
        <v>-7.0000000000000007E-2</v>
      </c>
    </row>
    <row r="1287" spans="97:104">
      <c r="CS1287" s="332"/>
      <c r="CT1287" s="366" t="s">
        <v>2400</v>
      </c>
      <c r="CU1287" s="307" t="s">
        <v>208</v>
      </c>
      <c r="CV1287" s="307" t="s">
        <v>2392</v>
      </c>
      <c r="CW1287" s="366" t="s">
        <v>9</v>
      </c>
      <c r="CX1287" s="307">
        <v>-0.13622922800000001</v>
      </c>
      <c r="CY1287" s="307">
        <v>-0.13622922800000001</v>
      </c>
      <c r="CZ1287" s="307">
        <v>-0.13622922800000001</v>
      </c>
    </row>
    <row r="1288" spans="97:104">
      <c r="CS1288" s="332"/>
      <c r="CT1288" s="366" t="s">
        <v>2401</v>
      </c>
      <c r="CU1288" s="307" t="s">
        <v>208</v>
      </c>
      <c r="CV1288" s="307" t="s">
        <v>2392</v>
      </c>
      <c r="CW1288" s="366" t="s">
        <v>10</v>
      </c>
      <c r="CX1288" s="307">
        <v>-6.0999999999999999E-2</v>
      </c>
      <c r="CY1288" s="307">
        <v>-6.0999999999999999E-2</v>
      </c>
      <c r="CZ1288" s="307">
        <v>-6.0999999999999999E-2</v>
      </c>
    </row>
    <row r="1289" spans="97:104">
      <c r="CS1289" s="332"/>
      <c r="CT1289" s="366" t="s">
        <v>2402</v>
      </c>
      <c r="CU1289" s="307" t="s">
        <v>208</v>
      </c>
      <c r="CV1289" s="307" t="s">
        <v>2392</v>
      </c>
      <c r="CW1289" s="366" t="s">
        <v>11</v>
      </c>
      <c r="CX1289" s="307">
        <v>2.8000000000000001E-2</v>
      </c>
      <c r="CY1289" s="307">
        <v>2.8000000000000001E-2</v>
      </c>
      <c r="CZ1289" s="307">
        <v>2.8000000000000001E-2</v>
      </c>
    </row>
    <row r="1290" spans="97:104">
      <c r="CS1290" s="332"/>
      <c r="CT1290" s="366" t="s">
        <v>2403</v>
      </c>
      <c r="CU1290" s="307" t="s">
        <v>208</v>
      </c>
      <c r="CV1290" s="307" t="s">
        <v>2392</v>
      </c>
      <c r="CW1290" s="366" t="s">
        <v>12</v>
      </c>
      <c r="CX1290" s="307">
        <v>0.13200000000000001</v>
      </c>
      <c r="CY1290" s="307">
        <v>0.13200000000000001</v>
      </c>
      <c r="CZ1290" s="307">
        <v>0.13200000000000001</v>
      </c>
    </row>
    <row r="1291" spans="97:104">
      <c r="CS1291" s="332"/>
      <c r="CT1291" s="366" t="s">
        <v>2404</v>
      </c>
      <c r="CU1291" s="307" t="s">
        <v>208</v>
      </c>
      <c r="CV1291" s="307" t="s">
        <v>2392</v>
      </c>
      <c r="CW1291" s="366" t="s">
        <v>13</v>
      </c>
      <c r="CX1291" s="307">
        <v>0.24199999999999999</v>
      </c>
      <c r="CY1291" s="307">
        <v>0.24199999999999999</v>
      </c>
      <c r="CZ1291" s="307">
        <v>0.24199999999999999</v>
      </c>
    </row>
    <row r="1292" spans="97:104">
      <c r="CS1292" s="332"/>
      <c r="CT1292" s="366" t="s">
        <v>2405</v>
      </c>
      <c r="CU1292" s="307" t="s">
        <v>208</v>
      </c>
      <c r="CV1292" s="307" t="s">
        <v>2392</v>
      </c>
      <c r="CW1292" s="366" t="s">
        <v>14</v>
      </c>
      <c r="CX1292" s="307">
        <v>0.35499999999999998</v>
      </c>
      <c r="CY1292" s="307">
        <v>0.35499999999999998</v>
      </c>
      <c r="CZ1292" s="307">
        <v>0.35499999999999998</v>
      </c>
    </row>
    <row r="1293" spans="97:104">
      <c r="CS1293" s="332"/>
      <c r="CT1293" s="366" t="s">
        <v>2406</v>
      </c>
      <c r="CU1293" s="307" t="s">
        <v>208</v>
      </c>
      <c r="CV1293" s="307" t="s">
        <v>2392</v>
      </c>
      <c r="CW1293" s="366" t="s">
        <v>15</v>
      </c>
      <c r="CX1293" s="307">
        <v>0.46700000000000003</v>
      </c>
      <c r="CY1293" s="307">
        <v>0.46700000000000003</v>
      </c>
      <c r="CZ1293" s="307">
        <v>0.46700000000000003</v>
      </c>
    </row>
    <row r="1294" spans="97:104">
      <c r="CS1294" s="332"/>
      <c r="CT1294" s="366" t="s">
        <v>2407</v>
      </c>
      <c r="CU1294" s="307" t="s">
        <v>208</v>
      </c>
      <c r="CV1294" s="307" t="s">
        <v>2392</v>
      </c>
      <c r="CW1294" s="366" t="s">
        <v>16</v>
      </c>
      <c r="CX1294" s="307">
        <v>0.57399999999999995</v>
      </c>
      <c r="CY1294" s="307">
        <v>0.57399999999999995</v>
      </c>
      <c r="CZ1294" s="307">
        <v>0.57399999999999995</v>
      </c>
    </row>
    <row r="1295" spans="97:104">
      <c r="CS1295" s="332"/>
      <c r="CT1295" s="366" t="s">
        <v>2408</v>
      </c>
      <c r="CU1295" s="307" t="s">
        <v>208</v>
      </c>
      <c r="CV1295" s="307" t="s">
        <v>2392</v>
      </c>
      <c r="CW1295" s="366" t="s">
        <v>17</v>
      </c>
      <c r="CX1295" s="307">
        <v>0.67100000000000004</v>
      </c>
      <c r="CY1295" s="307">
        <v>0.67100000000000004</v>
      </c>
      <c r="CZ1295" s="307">
        <v>0.67100000000000004</v>
      </c>
    </row>
    <row r="1296" spans="97:104">
      <c r="CS1296" s="332"/>
      <c r="CT1296" s="366" t="s">
        <v>2409</v>
      </c>
      <c r="CU1296" s="307" t="s">
        <v>208</v>
      </c>
      <c r="CV1296" s="307" t="s">
        <v>2392</v>
      </c>
      <c r="CW1296" s="366" t="s">
        <v>31</v>
      </c>
      <c r="CX1296" s="307">
        <v>0.75775925600000005</v>
      </c>
      <c r="CY1296" s="307">
        <v>0.75775925600000005</v>
      </c>
      <c r="CZ1296" s="307">
        <v>0.75775925600000005</v>
      </c>
    </row>
    <row r="1297" spans="97:104">
      <c r="CS1297" s="332"/>
      <c r="CT1297" s="366" t="s">
        <v>2410</v>
      </c>
      <c r="CU1297" s="307" t="s">
        <v>208</v>
      </c>
      <c r="CV1297" s="307" t="s">
        <v>2392</v>
      </c>
      <c r="CW1297" s="366" t="s">
        <v>18</v>
      </c>
      <c r="CX1297" s="307">
        <v>0.83499999999999996</v>
      </c>
      <c r="CY1297" s="307">
        <v>0.83499999999999996</v>
      </c>
      <c r="CZ1297" s="307">
        <v>0.83499999999999996</v>
      </c>
    </row>
    <row r="1298" spans="97:104">
      <c r="CS1298" s="332"/>
      <c r="CT1298" s="366" t="s">
        <v>2411</v>
      </c>
      <c r="CU1298" s="307" t="s">
        <v>208</v>
      </c>
      <c r="CV1298" s="307" t="s">
        <v>2392</v>
      </c>
      <c r="CW1298" s="366" t="s">
        <v>32</v>
      </c>
      <c r="CX1298" s="307">
        <v>0.901469878</v>
      </c>
      <c r="CY1298" s="307">
        <v>0.901469878</v>
      </c>
      <c r="CZ1298" s="307">
        <v>0.901469878</v>
      </c>
    </row>
    <row r="1299" spans="97:104">
      <c r="CS1299" s="332"/>
      <c r="CT1299" s="366" t="s">
        <v>2412</v>
      </c>
      <c r="CU1299" s="307" t="s">
        <v>208</v>
      </c>
      <c r="CV1299" s="307" t="s">
        <v>2392</v>
      </c>
      <c r="CW1299" s="366" t="s">
        <v>33</v>
      </c>
      <c r="CX1299" s="307">
        <v>0.95791295300000001</v>
      </c>
      <c r="CY1299" s="307">
        <v>0.95791295300000001</v>
      </c>
      <c r="CZ1299" s="307">
        <v>0.95791295300000001</v>
      </c>
    </row>
    <row r="1300" spans="97:104">
      <c r="CS1300" s="332"/>
      <c r="CT1300" s="366" t="s">
        <v>2413</v>
      </c>
      <c r="CU1300" s="307" t="s">
        <v>208</v>
      </c>
      <c r="CV1300" s="307" t="s">
        <v>2392</v>
      </c>
      <c r="CW1300" s="366" t="s">
        <v>19</v>
      </c>
      <c r="CX1300" s="307">
        <v>1.0049999999999999</v>
      </c>
      <c r="CY1300" s="307">
        <v>1.0049999999999999</v>
      </c>
      <c r="CZ1300" s="307">
        <v>1.0049999999999999</v>
      </c>
    </row>
    <row r="1301" spans="97:104">
      <c r="CS1301" s="332"/>
      <c r="CT1301" s="366" t="s">
        <v>2414</v>
      </c>
      <c r="CU1301" s="307" t="s">
        <v>208</v>
      </c>
      <c r="CV1301" s="307" t="s">
        <v>2392</v>
      </c>
      <c r="CW1301" s="366" t="s">
        <v>34</v>
      </c>
      <c r="CX1301" s="307">
        <v>1.0438079309999999</v>
      </c>
      <c r="CY1301" s="307">
        <v>1.0438079309999999</v>
      </c>
      <c r="CZ1301" s="307">
        <v>1.0438079309999999</v>
      </c>
    </row>
    <row r="1302" spans="97:104">
      <c r="CS1302" s="332"/>
      <c r="CT1302" s="366" t="s">
        <v>2415</v>
      </c>
      <c r="CU1302" s="307" t="s">
        <v>208</v>
      </c>
      <c r="CV1302" s="307" t="s">
        <v>2392</v>
      </c>
      <c r="CW1302" s="366" t="s">
        <v>35</v>
      </c>
      <c r="CX1302" s="307">
        <v>1.0748230969999999</v>
      </c>
      <c r="CY1302" s="307">
        <v>1.0748230969999999</v>
      </c>
      <c r="CZ1302" s="307">
        <v>1.0748230969999999</v>
      </c>
    </row>
    <row r="1303" spans="97:104">
      <c r="CS1303" s="332"/>
      <c r="CT1303" s="366" t="s">
        <v>2416</v>
      </c>
      <c r="CU1303" s="307" t="s">
        <v>208</v>
      </c>
      <c r="CV1303" s="307" t="s">
        <v>2392</v>
      </c>
      <c r="CW1303" s="366" t="s">
        <v>36</v>
      </c>
      <c r="CX1303" s="307">
        <v>1.099791722</v>
      </c>
      <c r="CY1303" s="307">
        <v>1.099791722</v>
      </c>
      <c r="CZ1303" s="307">
        <v>1.099791722</v>
      </c>
    </row>
    <row r="1304" spans="97:104">
      <c r="CS1304" s="332"/>
      <c r="CT1304" s="366" t="s">
        <v>2417</v>
      </c>
      <c r="CU1304" s="307" t="s">
        <v>208</v>
      </c>
      <c r="CV1304" s="307" t="s">
        <v>2392</v>
      </c>
      <c r="CW1304" s="366" t="s">
        <v>37</v>
      </c>
      <c r="CX1304" s="307">
        <v>1.1195473650000001</v>
      </c>
      <c r="CY1304" s="307">
        <v>1.1195473650000001</v>
      </c>
      <c r="CZ1304" s="307">
        <v>1.1195473650000001</v>
      </c>
    </row>
    <row r="1305" spans="97:104">
      <c r="CS1305" s="332"/>
      <c r="CT1305" s="366" t="s">
        <v>2418</v>
      </c>
      <c r="CU1305" s="307" t="s">
        <v>208</v>
      </c>
      <c r="CV1305" s="307" t="s">
        <v>2392</v>
      </c>
      <c r="CW1305" s="366" t="s">
        <v>20</v>
      </c>
      <c r="CX1305" s="307">
        <v>1.135</v>
      </c>
      <c r="CY1305" s="307">
        <v>1.135</v>
      </c>
      <c r="CZ1305" s="307">
        <v>1.135</v>
      </c>
    </row>
    <row r="1306" spans="97:104">
      <c r="CS1306" s="332"/>
      <c r="CT1306" s="366" t="s">
        <v>2419</v>
      </c>
      <c r="CU1306" s="307" t="s">
        <v>208</v>
      </c>
      <c r="CV1306" s="307" t="s">
        <v>2392</v>
      </c>
      <c r="CW1306" s="366" t="s">
        <v>38</v>
      </c>
      <c r="CX1306" s="307">
        <v>1.1465149459999999</v>
      </c>
      <c r="CY1306" s="307">
        <v>1.1465149459999999</v>
      </c>
      <c r="CZ1306" s="307">
        <v>1.1465149459999999</v>
      </c>
    </row>
    <row r="1307" spans="97:104">
      <c r="CS1307" s="332"/>
      <c r="CT1307" s="366" t="s">
        <v>2420</v>
      </c>
      <c r="CU1307" s="307" t="s">
        <v>208</v>
      </c>
      <c r="CV1307" s="307" t="s">
        <v>2392</v>
      </c>
      <c r="CW1307" s="366" t="s">
        <v>39</v>
      </c>
      <c r="CX1307" s="307">
        <v>1.1549966599999999</v>
      </c>
      <c r="CY1307" s="307">
        <v>1.1549966599999999</v>
      </c>
      <c r="CZ1307" s="307">
        <v>1.1549966599999999</v>
      </c>
    </row>
    <row r="1308" spans="97:104">
      <c r="CS1308" s="332"/>
      <c r="CT1308" s="366" t="s">
        <v>2421</v>
      </c>
      <c r="CU1308" s="307" t="s">
        <v>208</v>
      </c>
      <c r="CV1308" s="307" t="s">
        <v>2392</v>
      </c>
      <c r="CW1308" s="366" t="s">
        <v>40</v>
      </c>
      <c r="CX1308" s="307">
        <v>1.161313571</v>
      </c>
      <c r="CY1308" s="307">
        <v>1.161313571</v>
      </c>
      <c r="CZ1308" s="307">
        <v>1.161313571</v>
      </c>
    </row>
    <row r="1309" spans="97:104">
      <c r="CS1309" s="332"/>
      <c r="CT1309" s="366" t="s">
        <v>2422</v>
      </c>
      <c r="CU1309" s="307" t="s">
        <v>208</v>
      </c>
      <c r="CV1309" s="307" t="s">
        <v>2392</v>
      </c>
      <c r="CW1309" s="366" t="s">
        <v>41</v>
      </c>
      <c r="CX1309" s="307">
        <v>1.166230731</v>
      </c>
      <c r="CY1309" s="307">
        <v>1.166230731</v>
      </c>
      <c r="CZ1309" s="307">
        <v>1.166230731</v>
      </c>
    </row>
    <row r="1310" spans="97:104">
      <c r="CS1310" s="332"/>
      <c r="CT1310" s="366" t="s">
        <v>2423</v>
      </c>
      <c r="CU1310" s="307" t="s">
        <v>208</v>
      </c>
      <c r="CV1310" s="307" t="s">
        <v>2392</v>
      </c>
      <c r="CW1310" s="366" t="s">
        <v>21</v>
      </c>
      <c r="CX1310" s="307">
        <v>1.17</v>
      </c>
      <c r="CY1310" s="307">
        <v>1.17</v>
      </c>
      <c r="CZ1310" s="307">
        <v>1.17</v>
      </c>
    </row>
    <row r="1311" spans="97:104">
      <c r="CS1311" s="332"/>
      <c r="CT1311" s="366" t="s">
        <v>2424</v>
      </c>
      <c r="CU1311" s="307" t="s">
        <v>208</v>
      </c>
      <c r="CV1311" s="307" t="s">
        <v>2392</v>
      </c>
      <c r="CW1311" s="366" t="s">
        <v>42</v>
      </c>
      <c r="CX1311" s="307">
        <v>1.173130225</v>
      </c>
      <c r="CY1311" s="307">
        <v>1.173130225</v>
      </c>
      <c r="CZ1311" s="307">
        <v>1.173130225</v>
      </c>
    </row>
    <row r="1312" spans="97:104">
      <c r="CS1312" s="332"/>
      <c r="CT1312" s="366" t="s">
        <v>2425</v>
      </c>
      <c r="CU1312" s="307" t="s">
        <v>208</v>
      </c>
      <c r="CV1312" s="307" t="s">
        <v>2392</v>
      </c>
      <c r="CW1312" s="366" t="s">
        <v>43</v>
      </c>
      <c r="CX1312" s="307">
        <v>1.175699206</v>
      </c>
      <c r="CY1312" s="307">
        <v>1.175699206</v>
      </c>
      <c r="CZ1312" s="307">
        <v>1.175699206</v>
      </c>
    </row>
    <row r="1313" spans="97:104">
      <c r="CS1313" s="332"/>
      <c r="CT1313" s="366" t="s">
        <v>2426</v>
      </c>
      <c r="CU1313" s="307" t="s">
        <v>208</v>
      </c>
      <c r="CV1313" s="307" t="s">
        <v>2392</v>
      </c>
      <c r="CW1313" s="366" t="s">
        <v>44</v>
      </c>
      <c r="CX1313" s="307">
        <v>1.177772373</v>
      </c>
      <c r="CY1313" s="307">
        <v>1.177772373</v>
      </c>
      <c r="CZ1313" s="307">
        <v>1.177772373</v>
      </c>
    </row>
    <row r="1314" spans="97:104">
      <c r="CS1314" s="332"/>
      <c r="CT1314" s="366" t="s">
        <v>2427</v>
      </c>
      <c r="CU1314" s="307" t="s">
        <v>208</v>
      </c>
      <c r="CV1314" s="307" t="s">
        <v>2392</v>
      </c>
      <c r="CW1314" s="366" t="s">
        <v>45</v>
      </c>
      <c r="CX1314" s="307">
        <v>1.1791747800000001</v>
      </c>
      <c r="CY1314" s="307">
        <v>1.1791747800000001</v>
      </c>
      <c r="CZ1314" s="307">
        <v>1.1791747800000001</v>
      </c>
    </row>
    <row r="1315" spans="97:104">
      <c r="CS1315" s="332"/>
      <c r="CT1315" s="366" t="s">
        <v>2428</v>
      </c>
      <c r="CU1315" s="307" t="s">
        <v>208</v>
      </c>
      <c r="CV1315" s="307" t="s">
        <v>2392</v>
      </c>
      <c r="CW1315" s="366" t="s">
        <v>22</v>
      </c>
      <c r="CX1315" s="307">
        <v>1.18</v>
      </c>
      <c r="CY1315" s="307">
        <v>1.18</v>
      </c>
      <c r="CZ1315" s="307">
        <v>1.18</v>
      </c>
    </row>
    <row r="1316" spans="97:104">
      <c r="CS1316" s="332"/>
      <c r="CT1316" s="366" t="s">
        <v>2429</v>
      </c>
      <c r="CU1316" s="307" t="s">
        <v>208</v>
      </c>
      <c r="CV1316" s="307" t="s">
        <v>2392</v>
      </c>
      <c r="CW1316" s="366" t="s">
        <v>46</v>
      </c>
      <c r="CX1316" s="307">
        <v>1.165</v>
      </c>
      <c r="CY1316" s="307">
        <v>1.165</v>
      </c>
      <c r="CZ1316" s="307">
        <v>1.165</v>
      </c>
    </row>
    <row r="1317" spans="97:104">
      <c r="CS1317" s="332"/>
      <c r="CT1317" s="366" t="s">
        <v>2430</v>
      </c>
      <c r="CU1317" s="307" t="s">
        <v>208</v>
      </c>
      <c r="CV1317" s="307" t="s">
        <v>2392</v>
      </c>
      <c r="CW1317" s="366" t="s">
        <v>47</v>
      </c>
      <c r="CX1317" s="307">
        <v>1.111</v>
      </c>
      <c r="CY1317" s="307">
        <v>1.111</v>
      </c>
      <c r="CZ1317" s="307">
        <v>1.111</v>
      </c>
    </row>
    <row r="1318" spans="97:104">
      <c r="CS1318" s="332"/>
      <c r="CT1318" s="366" t="s">
        <v>2431</v>
      </c>
      <c r="CU1318" s="307" t="s">
        <v>208</v>
      </c>
      <c r="CV1318" s="307" t="s">
        <v>2392</v>
      </c>
      <c r="CW1318" s="366" t="s">
        <v>48</v>
      </c>
      <c r="CX1318" s="307">
        <v>1.0760000000000001</v>
      </c>
      <c r="CY1318" s="307">
        <v>1.0760000000000001</v>
      </c>
      <c r="CZ1318" s="307">
        <v>1.0760000000000001</v>
      </c>
    </row>
    <row r="1319" spans="97:104">
      <c r="CS1319" s="332"/>
      <c r="CT1319" s="366" t="s">
        <v>2432</v>
      </c>
      <c r="CU1319" s="307" t="s">
        <v>208</v>
      </c>
      <c r="CV1319" s="307" t="s">
        <v>2433</v>
      </c>
      <c r="CW1319" s="366" t="s">
        <v>3</v>
      </c>
      <c r="CX1319" s="307">
        <v>0.56899999999999995</v>
      </c>
      <c r="CY1319" s="307">
        <v>0.56899999999999995</v>
      </c>
      <c r="CZ1319" s="307">
        <v>0.56899999999999995</v>
      </c>
    </row>
    <row r="1320" spans="97:104">
      <c r="CS1320" s="332"/>
      <c r="CT1320" s="366" t="s">
        <v>2434</v>
      </c>
      <c r="CU1320" s="307" t="s">
        <v>208</v>
      </c>
      <c r="CV1320" s="307" t="s">
        <v>2433</v>
      </c>
      <c r="CW1320" s="366" t="s">
        <v>4</v>
      </c>
      <c r="CX1320" s="307">
        <v>-0.37</v>
      </c>
      <c r="CY1320" s="307">
        <v>-0.37</v>
      </c>
      <c r="CZ1320" s="307">
        <v>-0.37</v>
      </c>
    </row>
    <row r="1321" spans="97:104">
      <c r="CS1321" s="332"/>
      <c r="CT1321" s="366" t="s">
        <v>2435</v>
      </c>
      <c r="CU1321" s="307" t="s">
        <v>208</v>
      </c>
      <c r="CV1321" s="307" t="s">
        <v>2433</v>
      </c>
      <c r="CW1321" s="366" t="s">
        <v>23</v>
      </c>
      <c r="CX1321" s="307">
        <v>-0.37</v>
      </c>
      <c r="CY1321" s="307">
        <v>-0.37</v>
      </c>
      <c r="CZ1321" s="307">
        <v>-0.37</v>
      </c>
    </row>
    <row r="1322" spans="97:104">
      <c r="CS1322" s="332"/>
      <c r="CT1322" s="366" t="s">
        <v>2436</v>
      </c>
      <c r="CU1322" s="307" t="s">
        <v>208</v>
      </c>
      <c r="CV1322" s="307" t="s">
        <v>2433</v>
      </c>
      <c r="CW1322" s="366" t="s">
        <v>5</v>
      </c>
      <c r="CX1322" s="307">
        <v>-0.37</v>
      </c>
      <c r="CY1322" s="307">
        <v>-0.37</v>
      </c>
      <c r="CZ1322" s="307">
        <v>-0.37</v>
      </c>
    </row>
    <row r="1323" spans="97:104">
      <c r="CS1323" s="332"/>
      <c r="CT1323" s="366" t="s">
        <v>2437</v>
      </c>
      <c r="CU1323" s="307" t="s">
        <v>208</v>
      </c>
      <c r="CV1323" s="307" t="s">
        <v>2433</v>
      </c>
      <c r="CW1323" s="366" t="s">
        <v>6</v>
      </c>
      <c r="CX1323" s="307">
        <v>-0.37</v>
      </c>
      <c r="CY1323" s="307">
        <v>-0.37</v>
      </c>
      <c r="CZ1323" s="307">
        <v>-0.37</v>
      </c>
    </row>
    <row r="1324" spans="97:104">
      <c r="CS1324" s="332"/>
      <c r="CT1324" s="366" t="s">
        <v>2438</v>
      </c>
      <c r="CU1324" s="307" t="s">
        <v>208</v>
      </c>
      <c r="CV1324" s="307" t="s">
        <v>2433</v>
      </c>
      <c r="CW1324" s="366" t="s">
        <v>24</v>
      </c>
      <c r="CX1324" s="307">
        <v>-0.37</v>
      </c>
      <c r="CY1324" s="307">
        <v>-0.37</v>
      </c>
      <c r="CZ1324" s="307">
        <v>-0.37</v>
      </c>
    </row>
    <row r="1325" spans="97:104">
      <c r="CS1325" s="332"/>
      <c r="CT1325" s="366" t="s">
        <v>2439</v>
      </c>
      <c r="CU1325" s="307" t="s">
        <v>208</v>
      </c>
      <c r="CV1325" s="307" t="s">
        <v>2433</v>
      </c>
      <c r="CW1325" s="366" t="s">
        <v>7</v>
      </c>
      <c r="CX1325" s="307">
        <v>-0.37</v>
      </c>
      <c r="CY1325" s="307">
        <v>-0.37</v>
      </c>
      <c r="CZ1325" s="307">
        <v>-0.37</v>
      </c>
    </row>
    <row r="1326" spans="97:104">
      <c r="CS1326" s="332"/>
      <c r="CT1326" s="366" t="s">
        <v>2440</v>
      </c>
      <c r="CU1326" s="307" t="s">
        <v>208</v>
      </c>
      <c r="CV1326" s="307" t="s">
        <v>2433</v>
      </c>
      <c r="CW1326" s="366" t="s">
        <v>8</v>
      </c>
      <c r="CX1326" s="307">
        <v>-0.33</v>
      </c>
      <c r="CY1326" s="307">
        <v>-0.33</v>
      </c>
      <c r="CZ1326" s="307">
        <v>-0.33</v>
      </c>
    </row>
    <row r="1327" spans="97:104">
      <c r="CS1327" s="332"/>
      <c r="CT1327" s="366" t="s">
        <v>2441</v>
      </c>
      <c r="CU1327" s="307" t="s">
        <v>208</v>
      </c>
      <c r="CV1327" s="307" t="s">
        <v>2433</v>
      </c>
      <c r="CW1327" s="366" t="s">
        <v>25</v>
      </c>
      <c r="CX1327" s="307">
        <v>-0.3</v>
      </c>
      <c r="CY1327" s="307">
        <v>-0.3</v>
      </c>
      <c r="CZ1327" s="307">
        <v>-0.3</v>
      </c>
    </row>
    <row r="1328" spans="97:104">
      <c r="CS1328" s="332"/>
      <c r="CT1328" s="366" t="s">
        <v>2442</v>
      </c>
      <c r="CU1328" s="307" t="s">
        <v>208</v>
      </c>
      <c r="CV1328" s="307" t="s">
        <v>2433</v>
      </c>
      <c r="CW1328" s="366" t="s">
        <v>26</v>
      </c>
      <c r="CX1328" s="307">
        <v>-0.27</v>
      </c>
      <c r="CY1328" s="307">
        <v>-0.27</v>
      </c>
      <c r="CZ1328" s="307">
        <v>-0.27</v>
      </c>
    </row>
    <row r="1329" spans="97:104">
      <c r="CS1329" s="332"/>
      <c r="CT1329" s="366" t="s">
        <v>2443</v>
      </c>
      <c r="CU1329" s="307" t="s">
        <v>208</v>
      </c>
      <c r="CV1329" s="307" t="s">
        <v>2433</v>
      </c>
      <c r="CW1329" s="366" t="s">
        <v>27</v>
      </c>
      <c r="CX1329" s="307">
        <v>-0.24</v>
      </c>
      <c r="CY1329" s="307">
        <v>-0.24</v>
      </c>
      <c r="CZ1329" s="307">
        <v>-0.24</v>
      </c>
    </row>
    <row r="1330" spans="97:104">
      <c r="CS1330" s="332"/>
      <c r="CT1330" s="366" t="s">
        <v>2444</v>
      </c>
      <c r="CU1330" s="307" t="s">
        <v>208</v>
      </c>
      <c r="CV1330" s="307" t="s">
        <v>2433</v>
      </c>
      <c r="CW1330" s="366" t="s">
        <v>28</v>
      </c>
      <c r="CX1330" s="307">
        <v>-0.21</v>
      </c>
      <c r="CY1330" s="307">
        <v>-0.21</v>
      </c>
      <c r="CZ1330" s="307">
        <v>-0.21</v>
      </c>
    </row>
    <row r="1331" spans="97:104">
      <c r="CS1331" s="332"/>
      <c r="CT1331" s="366" t="s">
        <v>2445</v>
      </c>
      <c r="CU1331" s="307" t="s">
        <v>208</v>
      </c>
      <c r="CV1331" s="307" t="s">
        <v>2433</v>
      </c>
      <c r="CW1331" s="366" t="s">
        <v>29</v>
      </c>
      <c r="CX1331" s="307">
        <v>-0.18</v>
      </c>
      <c r="CY1331" s="307">
        <v>-0.18</v>
      </c>
      <c r="CZ1331" s="307">
        <v>-0.18</v>
      </c>
    </row>
    <row r="1332" spans="97:104">
      <c r="CS1332" s="332"/>
      <c r="CT1332" s="366" t="s">
        <v>2446</v>
      </c>
      <c r="CU1332" s="307" t="s">
        <v>208</v>
      </c>
      <c r="CV1332" s="307" t="s">
        <v>2433</v>
      </c>
      <c r="CW1332" s="366" t="s">
        <v>30</v>
      </c>
      <c r="CX1332" s="307">
        <v>-0.15</v>
      </c>
      <c r="CY1332" s="307">
        <v>-0.15</v>
      </c>
      <c r="CZ1332" s="307">
        <v>-0.15</v>
      </c>
    </row>
    <row r="1333" spans="97:104">
      <c r="CS1333" s="332"/>
      <c r="CT1333" s="366" t="s">
        <v>2447</v>
      </c>
      <c r="CU1333" s="307" t="s">
        <v>208</v>
      </c>
      <c r="CV1333" s="307" t="s">
        <v>2433</v>
      </c>
      <c r="CW1333" s="366" t="s">
        <v>49</v>
      </c>
      <c r="CX1333" s="307">
        <v>-0.13</v>
      </c>
      <c r="CY1333" s="307">
        <v>-0.13</v>
      </c>
      <c r="CZ1333" s="307">
        <v>-0.13</v>
      </c>
    </row>
    <row r="1334" spans="97:104">
      <c r="CS1334" s="332"/>
      <c r="CT1334" s="366" t="s">
        <v>2448</v>
      </c>
      <c r="CU1334" s="307" t="s">
        <v>208</v>
      </c>
      <c r="CV1334" s="307" t="s">
        <v>2433</v>
      </c>
      <c r="CW1334" s="366" t="s">
        <v>10</v>
      </c>
      <c r="CX1334" s="307">
        <v>-6.0999999999999999E-2</v>
      </c>
      <c r="CY1334" s="307">
        <v>-6.0999999999999999E-2</v>
      </c>
      <c r="CZ1334" s="307">
        <v>-6.0999999999999999E-2</v>
      </c>
    </row>
    <row r="1335" spans="97:104">
      <c r="CS1335" s="332"/>
      <c r="CT1335" s="366" t="s">
        <v>2449</v>
      </c>
      <c r="CU1335" s="307" t="s">
        <v>208</v>
      </c>
      <c r="CV1335" s="307" t="s">
        <v>2433</v>
      </c>
      <c r="CW1335" s="366" t="s">
        <v>11</v>
      </c>
      <c r="CX1335" s="307">
        <v>2.8000000000000001E-2</v>
      </c>
      <c r="CY1335" s="307">
        <v>2.8000000000000001E-2</v>
      </c>
      <c r="CZ1335" s="307">
        <v>2.8000000000000001E-2</v>
      </c>
    </row>
    <row r="1336" spans="97:104">
      <c r="CS1336" s="332"/>
      <c r="CT1336" s="366" t="s">
        <v>2450</v>
      </c>
      <c r="CU1336" s="307" t="s">
        <v>208</v>
      </c>
      <c r="CV1336" s="307" t="s">
        <v>2433</v>
      </c>
      <c r="CW1336" s="366" t="s">
        <v>12</v>
      </c>
      <c r="CX1336" s="307">
        <v>0.13200000000000001</v>
      </c>
      <c r="CY1336" s="307">
        <v>0.13200000000000001</v>
      </c>
      <c r="CZ1336" s="307">
        <v>0.13200000000000001</v>
      </c>
    </row>
    <row r="1337" spans="97:104">
      <c r="CS1337" s="332"/>
      <c r="CT1337" s="366" t="s">
        <v>2451</v>
      </c>
      <c r="CU1337" s="307" t="s">
        <v>208</v>
      </c>
      <c r="CV1337" s="307" t="s">
        <v>2433</v>
      </c>
      <c r="CW1337" s="366" t="s">
        <v>13</v>
      </c>
      <c r="CX1337" s="307">
        <v>0.24199999999999999</v>
      </c>
      <c r="CY1337" s="307">
        <v>0.24199999999999999</v>
      </c>
      <c r="CZ1337" s="307">
        <v>0.24199999999999999</v>
      </c>
    </row>
    <row r="1338" spans="97:104">
      <c r="CS1338" s="332"/>
      <c r="CT1338" s="366" t="s">
        <v>2452</v>
      </c>
      <c r="CU1338" s="307" t="s">
        <v>208</v>
      </c>
      <c r="CV1338" s="307" t="s">
        <v>2433</v>
      </c>
      <c r="CW1338" s="366" t="s">
        <v>14</v>
      </c>
      <c r="CX1338" s="307">
        <v>0.35499999999999998</v>
      </c>
      <c r="CY1338" s="307">
        <v>0.35499999999999998</v>
      </c>
      <c r="CZ1338" s="307">
        <v>0.35499999999999998</v>
      </c>
    </row>
    <row r="1339" spans="97:104">
      <c r="CS1339" s="332"/>
      <c r="CT1339" s="366" t="s">
        <v>2453</v>
      </c>
      <c r="CU1339" s="307" t="s">
        <v>208</v>
      </c>
      <c r="CV1339" s="307" t="s">
        <v>2433</v>
      </c>
      <c r="CW1339" s="366" t="s">
        <v>15</v>
      </c>
      <c r="CX1339" s="307">
        <v>0.46700000000000003</v>
      </c>
      <c r="CY1339" s="307">
        <v>0.46700000000000003</v>
      </c>
      <c r="CZ1339" s="307">
        <v>0.46700000000000003</v>
      </c>
    </row>
    <row r="1340" spans="97:104">
      <c r="CS1340" s="332"/>
      <c r="CT1340" s="366" t="s">
        <v>2454</v>
      </c>
      <c r="CU1340" s="307" t="s">
        <v>208</v>
      </c>
      <c r="CV1340" s="307" t="s">
        <v>2433</v>
      </c>
      <c r="CW1340" s="366" t="s">
        <v>16</v>
      </c>
      <c r="CX1340" s="307">
        <v>0.57399999999999995</v>
      </c>
      <c r="CY1340" s="307">
        <v>0.57399999999999995</v>
      </c>
      <c r="CZ1340" s="307">
        <v>0.57399999999999995</v>
      </c>
    </row>
    <row r="1341" spans="97:104">
      <c r="CS1341" s="332"/>
      <c r="CT1341" s="366" t="s">
        <v>2455</v>
      </c>
      <c r="CU1341" s="307" t="s">
        <v>208</v>
      </c>
      <c r="CV1341" s="307" t="s">
        <v>2433</v>
      </c>
      <c r="CW1341" s="366" t="s">
        <v>17</v>
      </c>
      <c r="CX1341" s="307">
        <v>0.67100000000000004</v>
      </c>
      <c r="CY1341" s="307">
        <v>0.67100000000000004</v>
      </c>
      <c r="CZ1341" s="307">
        <v>0.67100000000000004</v>
      </c>
    </row>
    <row r="1342" spans="97:104">
      <c r="CS1342" s="332"/>
      <c r="CT1342" s="366" t="s">
        <v>2456</v>
      </c>
      <c r="CU1342" s="307" t="s">
        <v>208</v>
      </c>
      <c r="CV1342" s="307" t="s">
        <v>2433</v>
      </c>
      <c r="CW1342" s="366" t="s">
        <v>31</v>
      </c>
      <c r="CX1342" s="307">
        <v>0.75775925600000005</v>
      </c>
      <c r="CY1342" s="307">
        <v>0.75775925600000005</v>
      </c>
      <c r="CZ1342" s="307">
        <v>0.75775925600000005</v>
      </c>
    </row>
    <row r="1343" spans="97:104">
      <c r="CS1343" s="332"/>
      <c r="CT1343" s="366" t="s">
        <v>2457</v>
      </c>
      <c r="CU1343" s="307" t="s">
        <v>208</v>
      </c>
      <c r="CV1343" s="307" t="s">
        <v>2433</v>
      </c>
      <c r="CW1343" s="366" t="s">
        <v>18</v>
      </c>
      <c r="CX1343" s="307">
        <v>0.83499999999999996</v>
      </c>
      <c r="CY1343" s="307">
        <v>0.83499999999999996</v>
      </c>
      <c r="CZ1343" s="307">
        <v>0.83499999999999996</v>
      </c>
    </row>
    <row r="1344" spans="97:104">
      <c r="CS1344" s="332"/>
      <c r="CT1344" s="366" t="s">
        <v>2458</v>
      </c>
      <c r="CU1344" s="307" t="s">
        <v>208</v>
      </c>
      <c r="CV1344" s="307" t="s">
        <v>2433</v>
      </c>
      <c r="CW1344" s="366" t="s">
        <v>32</v>
      </c>
      <c r="CX1344" s="307">
        <v>0.901469878</v>
      </c>
      <c r="CY1344" s="307">
        <v>0.901469878</v>
      </c>
      <c r="CZ1344" s="307">
        <v>0.901469878</v>
      </c>
    </row>
    <row r="1345" spans="97:104">
      <c r="CS1345" s="332"/>
      <c r="CT1345" s="366" t="s">
        <v>2459</v>
      </c>
      <c r="CU1345" s="307" t="s">
        <v>208</v>
      </c>
      <c r="CV1345" s="307" t="s">
        <v>2433</v>
      </c>
      <c r="CW1345" s="366" t="s">
        <v>33</v>
      </c>
      <c r="CX1345" s="307">
        <v>0.95791295300000001</v>
      </c>
      <c r="CY1345" s="307">
        <v>0.95791295300000001</v>
      </c>
      <c r="CZ1345" s="307">
        <v>0.95791295300000001</v>
      </c>
    </row>
    <row r="1346" spans="97:104">
      <c r="CS1346" s="332"/>
      <c r="CT1346" s="366" t="s">
        <v>2460</v>
      </c>
      <c r="CU1346" s="307" t="s">
        <v>208</v>
      </c>
      <c r="CV1346" s="307" t="s">
        <v>2433</v>
      </c>
      <c r="CW1346" s="366" t="s">
        <v>19</v>
      </c>
      <c r="CX1346" s="307">
        <v>1.0049999999999999</v>
      </c>
      <c r="CY1346" s="307">
        <v>1.0049999999999999</v>
      </c>
      <c r="CZ1346" s="307">
        <v>1.0049999999999999</v>
      </c>
    </row>
    <row r="1347" spans="97:104">
      <c r="CS1347" s="332"/>
      <c r="CT1347" s="366" t="s">
        <v>2461</v>
      </c>
      <c r="CU1347" s="307" t="s">
        <v>208</v>
      </c>
      <c r="CV1347" s="307" t="s">
        <v>2433</v>
      </c>
      <c r="CW1347" s="366" t="s">
        <v>34</v>
      </c>
      <c r="CX1347" s="307">
        <v>1.0438079309999999</v>
      </c>
      <c r="CY1347" s="307">
        <v>1.0438079309999999</v>
      </c>
      <c r="CZ1347" s="307">
        <v>1.0438079309999999</v>
      </c>
    </row>
    <row r="1348" spans="97:104">
      <c r="CS1348" s="332"/>
      <c r="CT1348" s="366" t="s">
        <v>2462</v>
      </c>
      <c r="CU1348" s="307" t="s">
        <v>208</v>
      </c>
      <c r="CV1348" s="307" t="s">
        <v>2433</v>
      </c>
      <c r="CW1348" s="366" t="s">
        <v>35</v>
      </c>
      <c r="CX1348" s="307">
        <v>1.0748230969999999</v>
      </c>
      <c r="CY1348" s="307">
        <v>1.0748230969999999</v>
      </c>
      <c r="CZ1348" s="307">
        <v>1.0748230969999999</v>
      </c>
    </row>
    <row r="1349" spans="97:104">
      <c r="CS1349" s="332"/>
      <c r="CT1349" s="366" t="s">
        <v>2463</v>
      </c>
      <c r="CU1349" s="307" t="s">
        <v>208</v>
      </c>
      <c r="CV1349" s="307" t="s">
        <v>2433</v>
      </c>
      <c r="CW1349" s="366" t="s">
        <v>36</v>
      </c>
      <c r="CX1349" s="307">
        <v>1.099791722</v>
      </c>
      <c r="CY1349" s="307">
        <v>1.099791722</v>
      </c>
      <c r="CZ1349" s="307">
        <v>1.099791722</v>
      </c>
    </row>
    <row r="1350" spans="97:104">
      <c r="CS1350" s="332"/>
      <c r="CT1350" s="366" t="s">
        <v>2464</v>
      </c>
      <c r="CU1350" s="307" t="s">
        <v>208</v>
      </c>
      <c r="CV1350" s="307" t="s">
        <v>2433</v>
      </c>
      <c r="CW1350" s="366" t="s">
        <v>37</v>
      </c>
      <c r="CX1350" s="307">
        <v>1.1195473650000001</v>
      </c>
      <c r="CY1350" s="307">
        <v>1.1195473650000001</v>
      </c>
      <c r="CZ1350" s="307">
        <v>1.1195473650000001</v>
      </c>
    </row>
    <row r="1351" spans="97:104">
      <c r="CS1351" s="332"/>
      <c r="CT1351" s="366" t="s">
        <v>2465</v>
      </c>
      <c r="CU1351" s="307" t="s">
        <v>208</v>
      </c>
      <c r="CV1351" s="307" t="s">
        <v>2433</v>
      </c>
      <c r="CW1351" s="366" t="s">
        <v>20</v>
      </c>
      <c r="CX1351" s="307">
        <v>1.135</v>
      </c>
      <c r="CY1351" s="307">
        <v>1.135</v>
      </c>
      <c r="CZ1351" s="307">
        <v>1.135</v>
      </c>
    </row>
    <row r="1352" spans="97:104">
      <c r="CS1352" s="332"/>
      <c r="CT1352" s="366" t="s">
        <v>2466</v>
      </c>
      <c r="CU1352" s="307" t="s">
        <v>208</v>
      </c>
      <c r="CV1352" s="307" t="s">
        <v>2433</v>
      </c>
      <c r="CW1352" s="366" t="s">
        <v>38</v>
      </c>
      <c r="CX1352" s="307">
        <v>1.1465149459999999</v>
      </c>
      <c r="CY1352" s="307">
        <v>1.1465149459999999</v>
      </c>
      <c r="CZ1352" s="307">
        <v>1.1465149459999999</v>
      </c>
    </row>
    <row r="1353" spans="97:104">
      <c r="CS1353" s="332"/>
      <c r="CT1353" s="366" t="s">
        <v>2467</v>
      </c>
      <c r="CU1353" s="307" t="s">
        <v>208</v>
      </c>
      <c r="CV1353" s="307" t="s">
        <v>2433</v>
      </c>
      <c r="CW1353" s="366" t="s">
        <v>39</v>
      </c>
      <c r="CX1353" s="307">
        <v>1.1549966599999999</v>
      </c>
      <c r="CY1353" s="307">
        <v>1.1549966599999999</v>
      </c>
      <c r="CZ1353" s="307">
        <v>1.1549966599999999</v>
      </c>
    </row>
    <row r="1354" spans="97:104">
      <c r="CS1354" s="332"/>
      <c r="CT1354" s="366" t="s">
        <v>2468</v>
      </c>
      <c r="CU1354" s="307" t="s">
        <v>208</v>
      </c>
      <c r="CV1354" s="307" t="s">
        <v>2433</v>
      </c>
      <c r="CW1354" s="366" t="s">
        <v>40</v>
      </c>
      <c r="CX1354" s="307">
        <v>1.161313571</v>
      </c>
      <c r="CY1354" s="307">
        <v>1.161313571</v>
      </c>
      <c r="CZ1354" s="307">
        <v>1.161313571</v>
      </c>
    </row>
    <row r="1355" spans="97:104">
      <c r="CS1355" s="332"/>
      <c r="CT1355" s="366" t="s">
        <v>2469</v>
      </c>
      <c r="CU1355" s="307" t="s">
        <v>208</v>
      </c>
      <c r="CV1355" s="307" t="s">
        <v>2433</v>
      </c>
      <c r="CW1355" s="366" t="s">
        <v>41</v>
      </c>
      <c r="CX1355" s="307">
        <v>1.166230731</v>
      </c>
      <c r="CY1355" s="307">
        <v>1.166230731</v>
      </c>
      <c r="CZ1355" s="307">
        <v>1.166230731</v>
      </c>
    </row>
    <row r="1356" spans="97:104">
      <c r="CS1356" s="332"/>
      <c r="CT1356" s="366" t="s">
        <v>2470</v>
      </c>
      <c r="CU1356" s="307" t="s">
        <v>208</v>
      </c>
      <c r="CV1356" s="307" t="s">
        <v>2433</v>
      </c>
      <c r="CW1356" s="366" t="s">
        <v>21</v>
      </c>
      <c r="CX1356" s="307">
        <v>1.17</v>
      </c>
      <c r="CY1356" s="307">
        <v>1.17</v>
      </c>
      <c r="CZ1356" s="307">
        <v>1.17</v>
      </c>
    </row>
    <row r="1357" spans="97:104">
      <c r="CS1357" s="332"/>
      <c r="CT1357" s="366" t="s">
        <v>2471</v>
      </c>
      <c r="CU1357" s="307" t="s">
        <v>208</v>
      </c>
      <c r="CV1357" s="307" t="s">
        <v>2433</v>
      </c>
      <c r="CW1357" s="366" t="s">
        <v>42</v>
      </c>
      <c r="CX1357" s="307">
        <v>1.173130225</v>
      </c>
      <c r="CY1357" s="307">
        <v>1.173130225</v>
      </c>
      <c r="CZ1357" s="307">
        <v>1.173130225</v>
      </c>
    </row>
    <row r="1358" spans="97:104">
      <c r="CS1358" s="332"/>
      <c r="CT1358" s="366" t="s">
        <v>2472</v>
      </c>
      <c r="CU1358" s="307" t="s">
        <v>208</v>
      </c>
      <c r="CV1358" s="307" t="s">
        <v>2433</v>
      </c>
      <c r="CW1358" s="366" t="s">
        <v>43</v>
      </c>
      <c r="CX1358" s="307">
        <v>1.175699206</v>
      </c>
      <c r="CY1358" s="307">
        <v>1.175699206</v>
      </c>
      <c r="CZ1358" s="307">
        <v>1.175699206</v>
      </c>
    </row>
    <row r="1359" spans="97:104">
      <c r="CS1359" s="332"/>
      <c r="CT1359" s="366" t="s">
        <v>2473</v>
      </c>
      <c r="CU1359" s="307" t="s">
        <v>208</v>
      </c>
      <c r="CV1359" s="307" t="s">
        <v>2433</v>
      </c>
      <c r="CW1359" s="366" t="s">
        <v>44</v>
      </c>
      <c r="CX1359" s="307">
        <v>1.177772373</v>
      </c>
      <c r="CY1359" s="307">
        <v>1.177772373</v>
      </c>
      <c r="CZ1359" s="307">
        <v>1.177772373</v>
      </c>
    </row>
    <row r="1360" spans="97:104">
      <c r="CS1360" s="332"/>
      <c r="CT1360" s="366" t="s">
        <v>2474</v>
      </c>
      <c r="CU1360" s="307" t="s">
        <v>208</v>
      </c>
      <c r="CV1360" s="307" t="s">
        <v>2433</v>
      </c>
      <c r="CW1360" s="366" t="s">
        <v>45</v>
      </c>
      <c r="CX1360" s="307">
        <v>1.1791747800000001</v>
      </c>
      <c r="CY1360" s="307">
        <v>1.1791747800000001</v>
      </c>
      <c r="CZ1360" s="307">
        <v>1.1791747800000001</v>
      </c>
    </row>
    <row r="1361" spans="97:104">
      <c r="CS1361" s="332"/>
      <c r="CT1361" s="366" t="s">
        <v>2475</v>
      </c>
      <c r="CU1361" s="307" t="s">
        <v>208</v>
      </c>
      <c r="CV1361" s="307" t="s">
        <v>2433</v>
      </c>
      <c r="CW1361" s="366" t="s">
        <v>22</v>
      </c>
      <c r="CX1361" s="307">
        <v>1.18</v>
      </c>
      <c r="CY1361" s="307">
        <v>1.18</v>
      </c>
      <c r="CZ1361" s="307">
        <v>1.18</v>
      </c>
    </row>
    <row r="1362" spans="97:104">
      <c r="CS1362" s="332"/>
      <c r="CT1362" s="366" t="s">
        <v>2476</v>
      </c>
      <c r="CU1362" s="307" t="s">
        <v>208</v>
      </c>
      <c r="CV1362" s="307" t="s">
        <v>2433</v>
      </c>
      <c r="CW1362" s="366" t="s">
        <v>46</v>
      </c>
      <c r="CX1362" s="307">
        <v>1.165</v>
      </c>
      <c r="CY1362" s="307">
        <v>1.165</v>
      </c>
      <c r="CZ1362" s="307">
        <v>1.165</v>
      </c>
    </row>
    <row r="1363" spans="97:104">
      <c r="CS1363" s="332"/>
      <c r="CT1363" s="366" t="s">
        <v>2477</v>
      </c>
      <c r="CU1363" s="307" t="s">
        <v>208</v>
      </c>
      <c r="CV1363" s="307" t="s">
        <v>2433</v>
      </c>
      <c r="CW1363" s="366" t="s">
        <v>47</v>
      </c>
      <c r="CX1363" s="307">
        <v>1.111</v>
      </c>
      <c r="CY1363" s="307">
        <v>1.111</v>
      </c>
      <c r="CZ1363" s="307">
        <v>1.111</v>
      </c>
    </row>
    <row r="1364" spans="97:104">
      <c r="CS1364" s="332"/>
      <c r="CT1364" s="366" t="s">
        <v>2478</v>
      </c>
      <c r="CU1364" s="307" t="s">
        <v>208</v>
      </c>
      <c r="CV1364" s="307" t="s">
        <v>2433</v>
      </c>
      <c r="CW1364" s="366" t="s">
        <v>48</v>
      </c>
      <c r="CX1364" s="307">
        <v>1.0760000000000001</v>
      </c>
      <c r="CY1364" s="307">
        <v>1.0760000000000001</v>
      </c>
      <c r="CZ1364" s="307">
        <v>1.0760000000000001</v>
      </c>
    </row>
    <row r="1365" spans="97:104">
      <c r="CS1365" s="332"/>
      <c r="CT1365" s="366" t="s">
        <v>2479</v>
      </c>
      <c r="CU1365" s="307" t="s">
        <v>208</v>
      </c>
      <c r="CV1365" s="307" t="s">
        <v>2480</v>
      </c>
      <c r="CW1365" s="366" t="s">
        <v>4</v>
      </c>
      <c r="CX1365" s="307">
        <v>-0.37</v>
      </c>
      <c r="CY1365" s="307">
        <v>-0.37</v>
      </c>
      <c r="CZ1365" s="307">
        <v>-0.37</v>
      </c>
    </row>
    <row r="1366" spans="97:104">
      <c r="CS1366" s="332"/>
      <c r="CT1366" s="366" t="s">
        <v>2481</v>
      </c>
      <c r="CU1366" s="307" t="s">
        <v>208</v>
      </c>
      <c r="CV1366" s="307" t="s">
        <v>2480</v>
      </c>
      <c r="CW1366" s="366" t="s">
        <v>23</v>
      </c>
      <c r="CX1366" s="307">
        <v>-0.37</v>
      </c>
      <c r="CY1366" s="307">
        <v>-0.37</v>
      </c>
      <c r="CZ1366" s="307">
        <v>-0.37</v>
      </c>
    </row>
    <row r="1367" spans="97:104">
      <c r="CS1367" s="332"/>
      <c r="CT1367" s="366" t="s">
        <v>2482</v>
      </c>
      <c r="CU1367" s="307" t="s">
        <v>208</v>
      </c>
      <c r="CV1367" s="307" t="s">
        <v>2480</v>
      </c>
      <c r="CW1367" s="366" t="s">
        <v>5</v>
      </c>
      <c r="CX1367" s="307">
        <v>-0.37</v>
      </c>
      <c r="CY1367" s="307">
        <v>-0.37</v>
      </c>
      <c r="CZ1367" s="307">
        <v>-0.37</v>
      </c>
    </row>
    <row r="1368" spans="97:104">
      <c r="CS1368" s="332"/>
      <c r="CT1368" s="366" t="s">
        <v>2483</v>
      </c>
      <c r="CU1368" s="307" t="s">
        <v>208</v>
      </c>
      <c r="CV1368" s="307" t="s">
        <v>2480</v>
      </c>
      <c r="CW1368" s="366" t="s">
        <v>7</v>
      </c>
      <c r="CX1368" s="307">
        <v>-0.37</v>
      </c>
      <c r="CY1368" s="307">
        <v>-0.37</v>
      </c>
      <c r="CZ1368" s="307">
        <v>-0.37</v>
      </c>
    </row>
    <row r="1369" spans="97:104">
      <c r="CS1369" s="332"/>
      <c r="CT1369" s="366" t="s">
        <v>2484</v>
      </c>
      <c r="CU1369" s="307" t="s">
        <v>208</v>
      </c>
      <c r="CV1369" s="307" t="s">
        <v>2480</v>
      </c>
      <c r="CW1369" s="366" t="s">
        <v>8</v>
      </c>
      <c r="CX1369" s="307">
        <v>-0.33</v>
      </c>
      <c r="CY1369" s="307">
        <v>-0.33</v>
      </c>
      <c r="CZ1369" s="307">
        <v>-0.33</v>
      </c>
    </row>
    <row r="1370" spans="97:104">
      <c r="CS1370" s="332"/>
      <c r="CT1370" s="366" t="s">
        <v>2485</v>
      </c>
      <c r="CU1370" s="307" t="s">
        <v>208</v>
      </c>
      <c r="CV1370" s="307" t="s">
        <v>2480</v>
      </c>
      <c r="CW1370" s="366" t="s">
        <v>25</v>
      </c>
      <c r="CX1370" s="307">
        <v>-0.3</v>
      </c>
      <c r="CY1370" s="307">
        <v>-0.3</v>
      </c>
      <c r="CZ1370" s="307">
        <v>-0.3</v>
      </c>
    </row>
    <row r="1371" spans="97:104">
      <c r="CS1371" s="332"/>
      <c r="CT1371" s="366" t="s">
        <v>2486</v>
      </c>
      <c r="CU1371" s="307" t="s">
        <v>208</v>
      </c>
      <c r="CV1371" s="307" t="s">
        <v>2480</v>
      </c>
      <c r="CW1371" s="366" t="s">
        <v>2487</v>
      </c>
      <c r="CX1371" s="307">
        <v>103.795</v>
      </c>
      <c r="CY1371" s="307">
        <v>103.83199999999999</v>
      </c>
      <c r="CZ1371" s="307">
        <v>103.8135</v>
      </c>
    </row>
    <row r="1372" spans="97:104">
      <c r="CS1372" s="332"/>
      <c r="CT1372" s="366" t="s">
        <v>2488</v>
      </c>
      <c r="CU1372" s="307" t="s">
        <v>208</v>
      </c>
      <c r="CV1372" s="307" t="s">
        <v>2480</v>
      </c>
      <c r="CW1372" s="366" t="s">
        <v>2489</v>
      </c>
      <c r="CX1372" s="307">
        <v>108.63</v>
      </c>
      <c r="CY1372" s="307">
        <v>108.66</v>
      </c>
      <c r="CZ1372" s="307">
        <v>108.645</v>
      </c>
    </row>
    <row r="1373" spans="97:104">
      <c r="CS1373" s="332"/>
      <c r="CT1373" s="366" t="s">
        <v>2490</v>
      </c>
      <c r="CU1373" s="307" t="s">
        <v>208</v>
      </c>
      <c r="CV1373" s="307" t="s">
        <v>2480</v>
      </c>
      <c r="CW1373" s="366" t="s">
        <v>2491</v>
      </c>
      <c r="CX1373" s="307">
        <v>112.66</v>
      </c>
      <c r="CY1373" s="307">
        <v>112.71</v>
      </c>
      <c r="CZ1373" s="307">
        <v>112.685</v>
      </c>
    </row>
    <row r="1374" spans="97:104">
      <c r="CS1374" s="332"/>
      <c r="CT1374" s="366" t="s">
        <v>2492</v>
      </c>
      <c r="CU1374" s="307" t="s">
        <v>208</v>
      </c>
      <c r="CV1374" s="307" t="s">
        <v>2480</v>
      </c>
      <c r="CW1374" s="366" t="s">
        <v>2493</v>
      </c>
      <c r="CX1374" s="307">
        <v>149.24</v>
      </c>
      <c r="CY1374" s="307">
        <v>149.35</v>
      </c>
      <c r="CZ1374" s="307">
        <v>149.29500000000002</v>
      </c>
    </row>
    <row r="1375" spans="97:104">
      <c r="CS1375" s="332"/>
      <c r="CT1375" s="366" t="s">
        <v>2494</v>
      </c>
      <c r="CU1375" s="307" t="s">
        <v>208</v>
      </c>
      <c r="CV1375" s="307" t="s">
        <v>2480</v>
      </c>
      <c r="CW1375" s="366" t="s">
        <v>2495</v>
      </c>
      <c r="CX1375" s="307">
        <v>132.55000000000001</v>
      </c>
      <c r="CY1375" s="307">
        <v>132.9</v>
      </c>
      <c r="CZ1375" s="307">
        <v>132.72500000000002</v>
      </c>
    </row>
    <row r="1376" spans="97:104">
      <c r="CS1376" s="332"/>
      <c r="CT1376" s="366" t="s">
        <v>2496</v>
      </c>
      <c r="CU1376" s="307" t="s">
        <v>208</v>
      </c>
      <c r="CV1376" s="307" t="s">
        <v>2480</v>
      </c>
      <c r="CW1376" s="366" t="s">
        <v>2497</v>
      </c>
      <c r="CX1376" s="307">
        <v>141.44</v>
      </c>
      <c r="CY1376" s="307">
        <v>141.9</v>
      </c>
      <c r="CZ1376" s="307">
        <v>141.67000000000002</v>
      </c>
    </row>
    <row r="1377" spans="97:104">
      <c r="CS1377" s="332"/>
      <c r="CT1377" s="366" t="s">
        <v>2498</v>
      </c>
      <c r="CU1377" s="307" t="s">
        <v>208</v>
      </c>
      <c r="CV1377" s="307" t="s">
        <v>2480</v>
      </c>
      <c r="CW1377" s="366" t="s">
        <v>2499</v>
      </c>
      <c r="CX1377" s="307">
        <v>132.44999999999999</v>
      </c>
      <c r="CY1377" s="307">
        <v>132.83000000000001</v>
      </c>
      <c r="CZ1377" s="307">
        <v>132.63999999999999</v>
      </c>
    </row>
    <row r="1378" spans="97:104">
      <c r="CS1378" s="332"/>
      <c r="CT1378" s="366" t="s">
        <v>2500</v>
      </c>
      <c r="CU1378" s="307" t="s">
        <v>208</v>
      </c>
      <c r="CV1378" s="307" t="s">
        <v>2501</v>
      </c>
      <c r="CW1378" s="366" t="s">
        <v>56</v>
      </c>
      <c r="CX1378" s="307">
        <v>0.32590000000000002</v>
      </c>
      <c r="CY1378" s="307">
        <v>0.32590000000000002</v>
      </c>
      <c r="CZ1378" s="307">
        <v>0.32590000000000002</v>
      </c>
    </row>
    <row r="1379" spans="97:104">
      <c r="CS1379" s="332"/>
      <c r="CT1379" s="366" t="s">
        <v>2502</v>
      </c>
      <c r="CU1379" s="307" t="s">
        <v>208</v>
      </c>
      <c r="CV1379" s="307" t="s">
        <v>2503</v>
      </c>
      <c r="CW1379" s="366" t="s">
        <v>3</v>
      </c>
      <c r="CX1379" s="307">
        <v>-0.36999989999999999</v>
      </c>
      <c r="CY1379" s="307">
        <v>-0.36999989999999999</v>
      </c>
      <c r="CZ1379" s="307">
        <v>-0.36999989999999999</v>
      </c>
    </row>
    <row r="1380" spans="97:104">
      <c r="CS1380" s="332"/>
      <c r="CT1380" s="366" t="s">
        <v>2504</v>
      </c>
      <c r="CU1380" s="307" t="s">
        <v>208</v>
      </c>
      <c r="CV1380" s="307" t="s">
        <v>2503</v>
      </c>
      <c r="CW1380" s="366" t="s">
        <v>4</v>
      </c>
      <c r="CX1380" s="307">
        <v>-0.37</v>
      </c>
      <c r="CY1380" s="307">
        <v>-0.37</v>
      </c>
      <c r="CZ1380" s="307">
        <v>-0.37</v>
      </c>
    </row>
    <row r="1381" spans="97:104">
      <c r="CS1381" s="332"/>
      <c r="CT1381" s="366" t="s">
        <v>2505</v>
      </c>
      <c r="CU1381" s="307" t="s">
        <v>208</v>
      </c>
      <c r="CV1381" s="307" t="s">
        <v>2503</v>
      </c>
      <c r="CW1381" s="366" t="s">
        <v>23</v>
      </c>
      <c r="CX1381" s="307">
        <v>-0.37</v>
      </c>
      <c r="CY1381" s="307">
        <v>-0.37</v>
      </c>
      <c r="CZ1381" s="307">
        <v>-0.37</v>
      </c>
    </row>
    <row r="1382" spans="97:104">
      <c r="CS1382" s="332"/>
      <c r="CT1382" s="366" t="s">
        <v>2506</v>
      </c>
      <c r="CU1382" s="307" t="s">
        <v>208</v>
      </c>
      <c r="CV1382" s="307" t="s">
        <v>2503</v>
      </c>
      <c r="CW1382" s="366" t="s">
        <v>5</v>
      </c>
      <c r="CX1382" s="307">
        <v>-0.39900000000000002</v>
      </c>
      <c r="CY1382" s="307">
        <v>-0.29899999999999999</v>
      </c>
      <c r="CZ1382" s="307">
        <v>-0.34899999999999998</v>
      </c>
    </row>
    <row r="1383" spans="97:104">
      <c r="CS1383" s="332"/>
      <c r="CT1383" s="366" t="s">
        <v>2507</v>
      </c>
      <c r="CU1383" s="307" t="s">
        <v>208</v>
      </c>
      <c r="CV1383" s="307" t="s">
        <v>2503</v>
      </c>
      <c r="CW1383" s="366" t="s">
        <v>6</v>
      </c>
      <c r="CX1383" s="307">
        <v>-0.39700000000000002</v>
      </c>
      <c r="CY1383" s="307">
        <v>-0.29699999999999999</v>
      </c>
      <c r="CZ1383" s="307">
        <v>-0.34699999999999998</v>
      </c>
    </row>
    <row r="1384" spans="97:104">
      <c r="CS1384" s="332"/>
      <c r="CT1384" s="366" t="s">
        <v>2508</v>
      </c>
      <c r="CU1384" s="307" t="s">
        <v>208</v>
      </c>
      <c r="CV1384" s="307" t="s">
        <v>2503</v>
      </c>
      <c r="CW1384" s="366" t="s">
        <v>24</v>
      </c>
      <c r="CX1384" s="307">
        <v>-0.39800000000000002</v>
      </c>
      <c r="CY1384" s="307">
        <v>-0.29799999999999999</v>
      </c>
      <c r="CZ1384" s="307">
        <v>-0.34799999999999998</v>
      </c>
    </row>
    <row r="1385" spans="97:104">
      <c r="CS1385" s="332"/>
      <c r="CT1385" s="366" t="s">
        <v>2509</v>
      </c>
      <c r="CU1385" s="307" t="s">
        <v>208</v>
      </c>
      <c r="CV1385" s="307" t="s">
        <v>2503</v>
      </c>
      <c r="CW1385" s="366" t="s">
        <v>7</v>
      </c>
      <c r="CX1385" s="307">
        <v>-0.374</v>
      </c>
      <c r="CY1385" s="307">
        <v>-0.32400000000000001</v>
      </c>
      <c r="CZ1385" s="307">
        <v>-0.34899999999999998</v>
      </c>
    </row>
    <row r="1386" spans="97:104">
      <c r="CS1386" s="332"/>
      <c r="CT1386" s="366" t="s">
        <v>2510</v>
      </c>
      <c r="CU1386" s="307" t="s">
        <v>208</v>
      </c>
      <c r="CV1386" s="307" t="s">
        <v>2503</v>
      </c>
      <c r="CW1386" s="366" t="s">
        <v>8</v>
      </c>
      <c r="CX1386" s="307">
        <v>-0.372</v>
      </c>
      <c r="CY1386" s="307">
        <v>-0.32200000000000001</v>
      </c>
      <c r="CZ1386" s="307">
        <v>-0.34699999999999998</v>
      </c>
    </row>
    <row r="1387" spans="97:104">
      <c r="CS1387" s="332"/>
      <c r="CT1387" s="366" t="s">
        <v>2521</v>
      </c>
      <c r="CU1387" s="307" t="s">
        <v>208</v>
      </c>
      <c r="CV1387" s="307" t="s">
        <v>2503</v>
      </c>
      <c r="CW1387" s="366" t="s">
        <v>2522</v>
      </c>
      <c r="CX1387" s="307">
        <v>100.83499999999999</v>
      </c>
      <c r="CY1387" s="307">
        <v>100.845</v>
      </c>
      <c r="CZ1387" s="307">
        <v>100.84</v>
      </c>
    </row>
    <row r="1388" spans="97:104">
      <c r="CS1388" s="332"/>
      <c r="CT1388" s="366" t="s">
        <v>2511</v>
      </c>
      <c r="CU1388" s="307" t="s">
        <v>208</v>
      </c>
      <c r="CV1388" s="307" t="s">
        <v>2503</v>
      </c>
      <c r="CW1388" s="366" t="s">
        <v>25</v>
      </c>
      <c r="CX1388" s="307">
        <v>-0.373</v>
      </c>
      <c r="CY1388" s="307">
        <v>-0.32300000000000001</v>
      </c>
      <c r="CZ1388" s="307">
        <v>-0.34799999999999998</v>
      </c>
    </row>
    <row r="1389" spans="97:104">
      <c r="CS1389" s="332"/>
      <c r="CT1389" s="366" t="s">
        <v>2512</v>
      </c>
      <c r="CU1389" s="307" t="s">
        <v>208</v>
      </c>
      <c r="CV1389" s="307" t="s">
        <v>2503</v>
      </c>
      <c r="CW1389" s="366" t="s">
        <v>26</v>
      </c>
      <c r="CX1389" s="307">
        <v>-0.374</v>
      </c>
      <c r="CY1389" s="307">
        <v>-0.32400000000000001</v>
      </c>
      <c r="CZ1389" s="307">
        <v>-0.34899999999999998</v>
      </c>
    </row>
    <row r="1390" spans="97:104">
      <c r="CS1390" s="332"/>
      <c r="CT1390" s="366" t="s">
        <v>2513</v>
      </c>
      <c r="CU1390" s="307" t="s">
        <v>208</v>
      </c>
      <c r="CV1390" s="307" t="s">
        <v>2503</v>
      </c>
      <c r="CW1390" s="366" t="s">
        <v>27</v>
      </c>
      <c r="CX1390" s="307">
        <v>-0.376</v>
      </c>
      <c r="CY1390" s="307">
        <v>-0.32600000000000001</v>
      </c>
      <c r="CZ1390" s="307">
        <v>-0.35099999999999998</v>
      </c>
    </row>
    <row r="1391" spans="97:104">
      <c r="CS1391" s="332"/>
      <c r="CT1391" s="366" t="s">
        <v>2514</v>
      </c>
      <c r="CU1391" s="307" t="s">
        <v>208</v>
      </c>
      <c r="CV1391" s="307" t="s">
        <v>2503</v>
      </c>
      <c r="CW1391" s="366" t="s">
        <v>28</v>
      </c>
      <c r="CX1391" s="307">
        <v>-0.377</v>
      </c>
      <c r="CY1391" s="307">
        <v>-0.32700000000000001</v>
      </c>
      <c r="CZ1391" s="307">
        <v>-0.35199999999999998</v>
      </c>
    </row>
    <row r="1392" spans="97:104">
      <c r="CS1392" s="332"/>
      <c r="CT1392" s="366" t="s">
        <v>2515</v>
      </c>
      <c r="CU1392" s="307" t="s">
        <v>208</v>
      </c>
      <c r="CV1392" s="307" t="s">
        <v>2503</v>
      </c>
      <c r="CW1392" s="366" t="s">
        <v>29</v>
      </c>
      <c r="CX1392" s="307">
        <v>-0.378</v>
      </c>
      <c r="CY1392" s="307">
        <v>-0.32800000000000001</v>
      </c>
      <c r="CZ1392" s="307">
        <v>-0.35299999999999998</v>
      </c>
    </row>
    <row r="1393" spans="97:104">
      <c r="CS1393" s="332"/>
      <c r="CT1393" s="366" t="s">
        <v>2516</v>
      </c>
      <c r="CU1393" s="307" t="s">
        <v>208</v>
      </c>
      <c r="CV1393" s="307" t="s">
        <v>2503</v>
      </c>
      <c r="CW1393" s="366" t="s">
        <v>30</v>
      </c>
      <c r="CX1393" s="307">
        <v>-0.378</v>
      </c>
      <c r="CY1393" s="307">
        <v>-0.32800000000000001</v>
      </c>
      <c r="CZ1393" s="307">
        <v>-0.35299999999999998</v>
      </c>
    </row>
    <row r="1394" spans="97:104">
      <c r="CS1394" s="332"/>
      <c r="CT1394" s="366" t="s">
        <v>2523</v>
      </c>
      <c r="CU1394" s="307" t="s">
        <v>208</v>
      </c>
      <c r="CV1394" s="307" t="s">
        <v>2503</v>
      </c>
      <c r="CW1394" s="366" t="s">
        <v>2487</v>
      </c>
      <c r="CX1394" s="307">
        <v>103.795</v>
      </c>
      <c r="CY1394" s="307">
        <v>103.83199999999999</v>
      </c>
      <c r="CZ1394" s="307">
        <v>103.8135</v>
      </c>
    </row>
    <row r="1395" spans="97:104">
      <c r="CS1395" s="332"/>
      <c r="CT1395" s="366" t="s">
        <v>2517</v>
      </c>
      <c r="CU1395" s="307" t="s">
        <v>208</v>
      </c>
      <c r="CV1395" s="307" t="s">
        <v>2503</v>
      </c>
      <c r="CW1395" s="366" t="s">
        <v>49</v>
      </c>
      <c r="CX1395" s="307">
        <v>-0.379</v>
      </c>
      <c r="CY1395" s="307">
        <v>-0.32900000000000001</v>
      </c>
      <c r="CZ1395" s="307">
        <v>-0.35399999999999998</v>
      </c>
    </row>
    <row r="1396" spans="97:104">
      <c r="CS1396" s="332"/>
      <c r="CT1396" s="366" t="s">
        <v>2518</v>
      </c>
      <c r="CU1396" s="307" t="s">
        <v>208</v>
      </c>
      <c r="CV1396" s="307" t="s">
        <v>2503</v>
      </c>
      <c r="CW1396" s="366" t="s">
        <v>50</v>
      </c>
      <c r="CX1396" s="307">
        <v>-0.379</v>
      </c>
      <c r="CY1396" s="307">
        <v>-0.32900000000000001</v>
      </c>
      <c r="CZ1396" s="307">
        <v>-0.35399999999999998</v>
      </c>
    </row>
    <row r="1397" spans="97:104">
      <c r="CS1397" s="332"/>
      <c r="CT1397" s="366" t="s">
        <v>2519</v>
      </c>
      <c r="CU1397" s="307" t="s">
        <v>208</v>
      </c>
      <c r="CV1397" s="307" t="s">
        <v>2503</v>
      </c>
      <c r="CW1397" s="366" t="s">
        <v>51</v>
      </c>
      <c r="CX1397" s="307">
        <v>-0.378</v>
      </c>
      <c r="CY1397" s="307">
        <v>-0.32800000000000001</v>
      </c>
      <c r="CZ1397" s="307">
        <v>-0.35299999999999998</v>
      </c>
    </row>
    <row r="1398" spans="97:104">
      <c r="CS1398" s="332"/>
      <c r="CT1398" s="366" t="s">
        <v>2520</v>
      </c>
      <c r="CU1398" s="307" t="s">
        <v>208</v>
      </c>
      <c r="CV1398" s="307" t="s">
        <v>2503</v>
      </c>
      <c r="CW1398" s="366" t="s">
        <v>56</v>
      </c>
      <c r="CX1398" s="307">
        <v>-0.38800000000000001</v>
      </c>
      <c r="CY1398" s="307">
        <v>-0.318</v>
      </c>
      <c r="CZ1398" s="307">
        <v>-0.35299999999999998</v>
      </c>
    </row>
    <row r="1399" spans="97:104">
      <c r="CS1399" s="332"/>
      <c r="CT1399" s="366" t="s">
        <v>2524</v>
      </c>
      <c r="CU1399" s="307" t="s">
        <v>208</v>
      </c>
      <c r="CV1399" s="307" t="s">
        <v>2503</v>
      </c>
      <c r="CW1399" s="366" t="s">
        <v>2525</v>
      </c>
      <c r="CX1399" s="307">
        <v>105.414</v>
      </c>
      <c r="CY1399" s="307">
        <v>105.428</v>
      </c>
      <c r="CZ1399" s="307">
        <v>105.42099999999999</v>
      </c>
    </row>
    <row r="1400" spans="97:104">
      <c r="CS1400" s="332"/>
      <c r="CT1400" s="366" t="s">
        <v>2526</v>
      </c>
      <c r="CU1400" s="307" t="s">
        <v>208</v>
      </c>
      <c r="CV1400" s="307" t="s">
        <v>2503</v>
      </c>
      <c r="CW1400" s="366" t="s">
        <v>2527</v>
      </c>
      <c r="CX1400" s="307">
        <v>107.41</v>
      </c>
      <c r="CY1400" s="307">
        <v>107.43</v>
      </c>
      <c r="CZ1400" s="307">
        <v>107.42</v>
      </c>
    </row>
    <row r="1401" spans="97:104">
      <c r="CS1401" s="332"/>
      <c r="CT1401" s="366" t="s">
        <v>2528</v>
      </c>
      <c r="CU1401" s="307" t="s">
        <v>208</v>
      </c>
      <c r="CV1401" s="307" t="s">
        <v>2503</v>
      </c>
      <c r="CW1401" s="366" t="s">
        <v>2489</v>
      </c>
      <c r="CX1401" s="307">
        <v>108.63</v>
      </c>
      <c r="CY1401" s="307">
        <v>108.66</v>
      </c>
      <c r="CZ1401" s="307">
        <v>108.645</v>
      </c>
    </row>
    <row r="1402" spans="97:104">
      <c r="CS1402" s="332"/>
      <c r="CT1402" s="366" t="s">
        <v>2529</v>
      </c>
      <c r="CU1402" s="307" t="s">
        <v>208</v>
      </c>
      <c r="CV1402" s="307" t="s">
        <v>2503</v>
      </c>
      <c r="CW1402" s="366" t="s">
        <v>2530</v>
      </c>
      <c r="CX1402" s="307">
        <v>109.52</v>
      </c>
      <c r="CY1402" s="307">
        <v>109.55</v>
      </c>
      <c r="CZ1402" s="307">
        <v>109.535</v>
      </c>
    </row>
    <row r="1403" spans="97:104">
      <c r="CS1403" s="332"/>
      <c r="CT1403" s="366" t="s">
        <v>2531</v>
      </c>
      <c r="CU1403" s="307" t="s">
        <v>208</v>
      </c>
      <c r="CV1403" s="307" t="s">
        <v>2503</v>
      </c>
      <c r="CW1403" s="366" t="s">
        <v>2532</v>
      </c>
      <c r="CX1403" s="307">
        <v>110.67</v>
      </c>
      <c r="CY1403" s="307">
        <v>110.7</v>
      </c>
      <c r="CZ1403" s="307">
        <v>110.685</v>
      </c>
    </row>
    <row r="1404" spans="97:104">
      <c r="CS1404" s="332"/>
      <c r="CT1404" s="366" t="s">
        <v>2533</v>
      </c>
      <c r="CU1404" s="307" t="s">
        <v>208</v>
      </c>
      <c r="CV1404" s="307" t="s">
        <v>2503</v>
      </c>
      <c r="CW1404" s="366" t="s">
        <v>2491</v>
      </c>
      <c r="CX1404" s="307">
        <v>112.66</v>
      </c>
      <c r="CY1404" s="307">
        <v>112.71</v>
      </c>
      <c r="CZ1404" s="307">
        <v>112.685</v>
      </c>
    </row>
    <row r="1405" spans="97:104">
      <c r="CS1405" s="332"/>
      <c r="CT1405" s="366" t="s">
        <v>2534</v>
      </c>
      <c r="CU1405" s="307" t="s">
        <v>208</v>
      </c>
      <c r="CV1405" s="307" t="s">
        <v>2503</v>
      </c>
      <c r="CW1405" s="366" t="s">
        <v>2535</v>
      </c>
      <c r="CX1405" s="307">
        <v>112.13</v>
      </c>
      <c r="CY1405" s="307">
        <v>112.18</v>
      </c>
      <c r="CZ1405" s="307">
        <v>112.155</v>
      </c>
    </row>
    <row r="1406" spans="97:104">
      <c r="CS1406" s="332"/>
      <c r="CT1406" s="366" t="s">
        <v>2536</v>
      </c>
      <c r="CU1406" s="307" t="s">
        <v>208</v>
      </c>
      <c r="CV1406" s="307" t="s">
        <v>2503</v>
      </c>
      <c r="CW1406" s="366" t="s">
        <v>2537</v>
      </c>
      <c r="CX1406" s="307">
        <v>112.68</v>
      </c>
      <c r="CY1406" s="307">
        <v>112.73</v>
      </c>
      <c r="CZ1406" s="307">
        <v>112.70500000000001</v>
      </c>
    </row>
    <row r="1407" spans="97:104">
      <c r="CS1407" s="332"/>
      <c r="CT1407" s="366" t="s">
        <v>2538</v>
      </c>
      <c r="CU1407" s="307" t="s">
        <v>208</v>
      </c>
      <c r="CV1407" s="307" t="s">
        <v>2503</v>
      </c>
      <c r="CW1407" s="366" t="s">
        <v>2539</v>
      </c>
      <c r="CX1407" s="307">
        <v>113.27</v>
      </c>
      <c r="CY1407" s="307">
        <v>113.34</v>
      </c>
      <c r="CZ1407" s="307">
        <v>113.30500000000001</v>
      </c>
    </row>
    <row r="1408" spans="97:104">
      <c r="CS1408" s="332"/>
      <c r="CT1408" s="366" t="s">
        <v>2540</v>
      </c>
      <c r="CU1408" s="307" t="s">
        <v>208</v>
      </c>
      <c r="CV1408" s="307" t="s">
        <v>2503</v>
      </c>
      <c r="CW1408" s="366" t="s">
        <v>2541</v>
      </c>
      <c r="CX1408" s="307">
        <v>121.31</v>
      </c>
      <c r="CY1408" s="307">
        <v>121.4</v>
      </c>
      <c r="CZ1408" s="307">
        <v>121.355</v>
      </c>
    </row>
    <row r="1409" spans="97:104">
      <c r="CS1409" s="332"/>
      <c r="CT1409" s="366" t="s">
        <v>2542</v>
      </c>
      <c r="CU1409" s="307" t="s">
        <v>208</v>
      </c>
      <c r="CV1409" s="307" t="s">
        <v>2503</v>
      </c>
      <c r="CW1409" s="366" t="s">
        <v>2493</v>
      </c>
      <c r="CX1409" s="307">
        <v>149.24</v>
      </c>
      <c r="CY1409" s="307">
        <v>149.35</v>
      </c>
      <c r="CZ1409" s="307">
        <v>149.29500000000002</v>
      </c>
    </row>
    <row r="1410" spans="97:104">
      <c r="CS1410" s="332"/>
      <c r="CT1410" s="366" t="s">
        <v>2543</v>
      </c>
      <c r="CU1410" s="307" t="s">
        <v>208</v>
      </c>
      <c r="CV1410" s="307" t="s">
        <v>2503</v>
      </c>
      <c r="CW1410" s="366" t="s">
        <v>2544</v>
      </c>
      <c r="CX1410" s="307">
        <v>124.28</v>
      </c>
      <c r="CY1410" s="307">
        <v>124.39</v>
      </c>
      <c r="CZ1410" s="307">
        <v>124.33500000000001</v>
      </c>
    </row>
    <row r="1411" spans="97:104">
      <c r="CS1411" s="332"/>
      <c r="CT1411" s="366" t="s">
        <v>2545</v>
      </c>
      <c r="CU1411" s="307" t="s">
        <v>208</v>
      </c>
      <c r="CV1411" s="307" t="s">
        <v>2503</v>
      </c>
      <c r="CW1411" s="366" t="s">
        <v>2546</v>
      </c>
      <c r="CX1411" s="307">
        <v>146.66999999999999</v>
      </c>
      <c r="CY1411" s="307">
        <v>146.84</v>
      </c>
      <c r="CZ1411" s="307">
        <v>146.755</v>
      </c>
    </row>
    <row r="1412" spans="97:104">
      <c r="CS1412" s="332"/>
      <c r="CT1412" s="366" t="s">
        <v>2547</v>
      </c>
      <c r="CU1412" s="307" t="s">
        <v>208</v>
      </c>
      <c r="CV1412" s="307" t="s">
        <v>2503</v>
      </c>
      <c r="CW1412" s="366" t="s">
        <v>2548</v>
      </c>
      <c r="CX1412" s="307">
        <v>141.88999999999999</v>
      </c>
      <c r="CY1412" s="307">
        <v>142.12</v>
      </c>
      <c r="CZ1412" s="307">
        <v>142.005</v>
      </c>
    </row>
    <row r="1413" spans="97:104">
      <c r="CS1413" s="332"/>
      <c r="CT1413" s="366" t="s">
        <v>2549</v>
      </c>
      <c r="CU1413" s="307" t="s">
        <v>208</v>
      </c>
      <c r="CV1413" s="307" t="s">
        <v>2503</v>
      </c>
      <c r="CW1413" s="366" t="s">
        <v>2495</v>
      </c>
      <c r="CX1413" s="307">
        <v>132.55000000000001</v>
      </c>
      <c r="CY1413" s="307">
        <v>132.9</v>
      </c>
      <c r="CZ1413" s="307">
        <v>132.72500000000002</v>
      </c>
    </row>
    <row r="1414" spans="97:104">
      <c r="CS1414" s="332"/>
      <c r="CT1414" s="366" t="s">
        <v>2550</v>
      </c>
      <c r="CU1414" s="307" t="s">
        <v>208</v>
      </c>
      <c r="CV1414" s="307" t="s">
        <v>2503</v>
      </c>
      <c r="CW1414" s="366" t="s">
        <v>2551</v>
      </c>
      <c r="CX1414" s="307">
        <v>143</v>
      </c>
      <c r="CY1414" s="307">
        <v>143.34</v>
      </c>
      <c r="CZ1414" s="307">
        <v>143.17000000000002</v>
      </c>
    </row>
    <row r="1415" spans="97:104">
      <c r="CS1415" s="332"/>
      <c r="CT1415" s="366" t="s">
        <v>2552</v>
      </c>
      <c r="CU1415" s="307" t="s">
        <v>208</v>
      </c>
      <c r="CV1415" s="307" t="s">
        <v>2503</v>
      </c>
      <c r="CW1415" s="366" t="s">
        <v>2497</v>
      </c>
      <c r="CX1415" s="307">
        <v>141.44</v>
      </c>
      <c r="CY1415" s="307">
        <v>141.9</v>
      </c>
      <c r="CZ1415" s="307">
        <v>141.67000000000002</v>
      </c>
    </row>
    <row r="1416" spans="97:104">
      <c r="CS1416" s="332"/>
      <c r="CT1416" s="366" t="s">
        <v>2553</v>
      </c>
      <c r="CU1416" s="307" t="s">
        <v>208</v>
      </c>
      <c r="CV1416" s="307" t="s">
        <v>2503</v>
      </c>
      <c r="CW1416" s="366" t="s">
        <v>2499</v>
      </c>
      <c r="CX1416" s="307">
        <v>132.44999999999999</v>
      </c>
      <c r="CY1416" s="307">
        <v>132.83000000000001</v>
      </c>
      <c r="CZ1416" s="307">
        <v>132.63999999999999</v>
      </c>
    </row>
    <row r="1417" spans="97:104">
      <c r="CS1417" s="332"/>
      <c r="CT1417" s="366" t="s">
        <v>2554</v>
      </c>
      <c r="CU1417" s="307" t="s">
        <v>208</v>
      </c>
      <c r="CV1417" s="307" t="s">
        <v>2503</v>
      </c>
      <c r="CW1417" s="366" t="s">
        <v>2555</v>
      </c>
      <c r="CX1417" s="307">
        <v>117.68</v>
      </c>
      <c r="CY1417" s="307">
        <v>118.36</v>
      </c>
      <c r="CZ1417" s="307">
        <v>118.02000000000001</v>
      </c>
    </row>
    <row r="1418" spans="97:104">
      <c r="CS1418" s="332"/>
      <c r="CT1418" s="366" t="s">
        <v>2556</v>
      </c>
      <c r="CU1418" s="307" t="s">
        <v>208</v>
      </c>
      <c r="CV1418" s="307" t="s">
        <v>2503</v>
      </c>
      <c r="CW1418" s="366" t="s">
        <v>2557</v>
      </c>
      <c r="CX1418" s="307">
        <v>132.56</v>
      </c>
      <c r="CY1418" s="307">
        <v>133.04</v>
      </c>
      <c r="CZ1418" s="307">
        <v>132.80000000000001</v>
      </c>
    </row>
    <row r="1419" spans="97:104">
      <c r="CS1419" s="332"/>
      <c r="CT1419" s="366" t="s">
        <v>2558</v>
      </c>
      <c r="CU1419" s="307" t="s">
        <v>208</v>
      </c>
      <c r="CV1419" s="307" t="s">
        <v>2503</v>
      </c>
      <c r="CW1419" s="366" t="s">
        <v>2559</v>
      </c>
      <c r="CX1419" s="307">
        <v>131.97</v>
      </c>
      <c r="CY1419" s="307">
        <v>132.49</v>
      </c>
      <c r="CZ1419" s="307">
        <v>132.23000000000002</v>
      </c>
    </row>
    <row r="1420" spans="97:104">
      <c r="CS1420" s="332"/>
      <c r="CT1420" s="366" t="s">
        <v>2561</v>
      </c>
      <c r="CU1420" s="307" t="s">
        <v>208</v>
      </c>
      <c r="CV1420" s="307" t="s">
        <v>2560</v>
      </c>
      <c r="CW1420" s="366" t="s">
        <v>2562</v>
      </c>
      <c r="CX1420" s="307">
        <v>111.605</v>
      </c>
      <c r="CY1420" s="307">
        <v>111.645</v>
      </c>
      <c r="CZ1420" s="307">
        <v>111.625</v>
      </c>
    </row>
    <row r="1421" spans="97:104">
      <c r="CS1421" s="332"/>
      <c r="CT1421" s="366" t="s">
        <v>2563</v>
      </c>
      <c r="CU1421" s="307" t="s">
        <v>208</v>
      </c>
      <c r="CV1421" s="307" t="s">
        <v>2560</v>
      </c>
      <c r="CW1421" s="366" t="s">
        <v>2564</v>
      </c>
      <c r="CX1421" s="307">
        <v>148.05099999999999</v>
      </c>
      <c r="CY1421" s="307">
        <v>148.251</v>
      </c>
      <c r="CZ1421" s="307">
        <v>148.15100000000001</v>
      </c>
    </row>
    <row r="1422" spans="97:104">
      <c r="CS1422" s="332"/>
      <c r="CT1422" s="366" t="s">
        <v>2565</v>
      </c>
      <c r="CU1422" s="307" t="s">
        <v>208</v>
      </c>
      <c r="CV1422" s="307" t="s">
        <v>2560</v>
      </c>
      <c r="CW1422" s="366" t="s">
        <v>2566</v>
      </c>
      <c r="CX1422" s="307">
        <v>159.14099999999999</v>
      </c>
      <c r="CY1422" s="307">
        <v>159.441</v>
      </c>
      <c r="CZ1422" s="307">
        <v>159.291</v>
      </c>
    </row>
    <row r="1423" spans="97:104">
      <c r="CS1423" s="332"/>
      <c r="CT1423" s="366" t="s">
        <v>2567</v>
      </c>
      <c r="CU1423" s="307" t="s">
        <v>208</v>
      </c>
      <c r="CV1423" s="307" t="s">
        <v>2560</v>
      </c>
      <c r="CW1423" s="366" t="s">
        <v>2568</v>
      </c>
      <c r="CX1423" s="307">
        <v>168.11099999999999</v>
      </c>
      <c r="CY1423" s="307">
        <v>168.739</v>
      </c>
      <c r="CZ1423" s="307">
        <v>168.42500000000001</v>
      </c>
    </row>
    <row r="1424" spans="97:104">
      <c r="CS1424" s="332"/>
      <c r="CT1424" s="366" t="s">
        <v>2569</v>
      </c>
      <c r="CU1424" s="307" t="s">
        <v>208</v>
      </c>
      <c r="CV1424" s="307" t="s">
        <v>2570</v>
      </c>
      <c r="CW1424" s="366" t="s">
        <v>3</v>
      </c>
      <c r="CX1424" s="307">
        <v>0.56899999999999995</v>
      </c>
      <c r="CY1424" s="307">
        <v>0.56899999999999995</v>
      </c>
      <c r="CZ1424" s="307">
        <v>0.56899999999999995</v>
      </c>
    </row>
    <row r="1425" spans="97:104">
      <c r="CS1425" s="332"/>
      <c r="CT1425" s="366" t="s">
        <v>2571</v>
      </c>
      <c r="CU1425" s="307" t="s">
        <v>208</v>
      </c>
      <c r="CV1425" s="307" t="s">
        <v>2570</v>
      </c>
      <c r="CW1425" s="366" t="s">
        <v>4</v>
      </c>
      <c r="CX1425" s="307">
        <v>-0.37</v>
      </c>
      <c r="CY1425" s="307">
        <v>-0.37</v>
      </c>
      <c r="CZ1425" s="307">
        <v>-0.37</v>
      </c>
    </row>
    <row r="1426" spans="97:104">
      <c r="CS1426" s="332"/>
      <c r="CT1426" s="366" t="s">
        <v>2572</v>
      </c>
      <c r="CU1426" s="307" t="s">
        <v>208</v>
      </c>
      <c r="CV1426" s="307" t="s">
        <v>2570</v>
      </c>
      <c r="CW1426" s="366" t="s">
        <v>23</v>
      </c>
      <c r="CX1426" s="307">
        <v>-0.37</v>
      </c>
      <c r="CY1426" s="307">
        <v>-0.37</v>
      </c>
      <c r="CZ1426" s="307">
        <v>-0.37</v>
      </c>
    </row>
    <row r="1427" spans="97:104">
      <c r="CS1427" s="332"/>
      <c r="CT1427" s="366" t="s">
        <v>2573</v>
      </c>
      <c r="CU1427" s="307" t="s">
        <v>208</v>
      </c>
      <c r="CV1427" s="307" t="s">
        <v>2570</v>
      </c>
      <c r="CW1427" s="366" t="s">
        <v>5</v>
      </c>
      <c r="CX1427" s="307">
        <v>-0.39900000000000002</v>
      </c>
      <c r="CY1427" s="307">
        <v>-0.29899999999999999</v>
      </c>
      <c r="CZ1427" s="307">
        <v>-0.34899999999999998</v>
      </c>
    </row>
    <row r="1428" spans="97:104">
      <c r="CS1428" s="332"/>
      <c r="CT1428" s="366" t="s">
        <v>2574</v>
      </c>
      <c r="CU1428" s="307" t="s">
        <v>208</v>
      </c>
      <c r="CV1428" s="307" t="s">
        <v>2570</v>
      </c>
      <c r="CW1428" s="366" t="s">
        <v>6</v>
      </c>
      <c r="CX1428" s="307">
        <v>-0.39700000000000002</v>
      </c>
      <c r="CY1428" s="307">
        <v>-0.29699999999999999</v>
      </c>
      <c r="CZ1428" s="307">
        <v>-0.34699999999999998</v>
      </c>
    </row>
    <row r="1429" spans="97:104">
      <c r="CS1429" s="332"/>
      <c r="CT1429" s="366" t="s">
        <v>2575</v>
      </c>
      <c r="CU1429" s="307" t="s">
        <v>208</v>
      </c>
      <c r="CV1429" s="307" t="s">
        <v>2570</v>
      </c>
      <c r="CW1429" s="366" t="s">
        <v>24</v>
      </c>
      <c r="CX1429" s="307">
        <v>-0.39800000000000002</v>
      </c>
      <c r="CY1429" s="307">
        <v>-0.29799999999999999</v>
      </c>
      <c r="CZ1429" s="307">
        <v>-0.34799999999999998</v>
      </c>
    </row>
    <row r="1430" spans="97:104">
      <c r="CS1430" s="332"/>
      <c r="CT1430" s="366" t="s">
        <v>2576</v>
      </c>
      <c r="CU1430" s="307" t="s">
        <v>208</v>
      </c>
      <c r="CV1430" s="307" t="s">
        <v>2570</v>
      </c>
      <c r="CW1430" s="366" t="s">
        <v>7</v>
      </c>
      <c r="CX1430" s="307">
        <v>-0.374</v>
      </c>
      <c r="CY1430" s="307">
        <v>-0.32400000000000001</v>
      </c>
      <c r="CZ1430" s="307">
        <v>-0.34899999999999998</v>
      </c>
    </row>
    <row r="1431" spans="97:104">
      <c r="CS1431" s="332"/>
      <c r="CT1431" s="366" t="s">
        <v>2577</v>
      </c>
      <c r="CU1431" s="307" t="s">
        <v>208</v>
      </c>
      <c r="CV1431" s="307" t="s">
        <v>2570</v>
      </c>
      <c r="CW1431" s="366" t="s">
        <v>8</v>
      </c>
      <c r="CX1431" s="307">
        <v>-0.372</v>
      </c>
      <c r="CY1431" s="307">
        <v>-0.32200000000000001</v>
      </c>
      <c r="CZ1431" s="307">
        <v>-0.34699999999999998</v>
      </c>
    </row>
    <row r="1432" spans="97:104">
      <c r="CS1432" s="332"/>
      <c r="CT1432" s="366" t="s">
        <v>2578</v>
      </c>
      <c r="CU1432" s="307" t="s">
        <v>208</v>
      </c>
      <c r="CV1432" s="307" t="s">
        <v>2570</v>
      </c>
      <c r="CW1432" s="366" t="s">
        <v>25</v>
      </c>
      <c r="CX1432" s="307">
        <v>-0.373</v>
      </c>
      <c r="CY1432" s="307">
        <v>-0.32300000000000001</v>
      </c>
      <c r="CZ1432" s="307">
        <v>-0.34799999999999998</v>
      </c>
    </row>
    <row r="1433" spans="97:104">
      <c r="CS1433" s="332"/>
      <c r="CT1433" s="366" t="s">
        <v>2579</v>
      </c>
      <c r="CU1433" s="307" t="s">
        <v>208</v>
      </c>
      <c r="CV1433" s="307" t="s">
        <v>2570</v>
      </c>
      <c r="CW1433" s="366" t="s">
        <v>26</v>
      </c>
      <c r="CX1433" s="307">
        <v>-0.374</v>
      </c>
      <c r="CY1433" s="307">
        <v>-0.32400000000000001</v>
      </c>
      <c r="CZ1433" s="307">
        <v>-0.34899999999999998</v>
      </c>
    </row>
    <row r="1434" spans="97:104">
      <c r="CS1434" s="332"/>
      <c r="CT1434" s="366" t="s">
        <v>2580</v>
      </c>
      <c r="CU1434" s="307" t="s">
        <v>208</v>
      </c>
      <c r="CV1434" s="307" t="s">
        <v>2570</v>
      </c>
      <c r="CW1434" s="366" t="s">
        <v>27</v>
      </c>
      <c r="CX1434" s="307">
        <v>-0.376</v>
      </c>
      <c r="CY1434" s="307">
        <v>-0.32600000000000001</v>
      </c>
      <c r="CZ1434" s="307">
        <v>-0.35099999999999998</v>
      </c>
    </row>
    <row r="1435" spans="97:104">
      <c r="CS1435" s="332"/>
      <c r="CT1435" s="366" t="s">
        <v>2581</v>
      </c>
      <c r="CU1435" s="307" t="s">
        <v>208</v>
      </c>
      <c r="CV1435" s="307" t="s">
        <v>2570</v>
      </c>
      <c r="CW1435" s="366" t="s">
        <v>28</v>
      </c>
      <c r="CX1435" s="307">
        <v>-0.377</v>
      </c>
      <c r="CY1435" s="307">
        <v>-0.32700000000000001</v>
      </c>
      <c r="CZ1435" s="307">
        <v>-0.35199999999999998</v>
      </c>
    </row>
    <row r="1436" spans="97:104">
      <c r="CS1436" s="332"/>
      <c r="CT1436" s="366" t="s">
        <v>2582</v>
      </c>
      <c r="CU1436" s="307" t="s">
        <v>208</v>
      </c>
      <c r="CV1436" s="307" t="s">
        <v>2570</v>
      </c>
      <c r="CW1436" s="366" t="s">
        <v>29</v>
      </c>
      <c r="CX1436" s="307">
        <v>-0.378</v>
      </c>
      <c r="CY1436" s="307">
        <v>-0.32800000000000001</v>
      </c>
      <c r="CZ1436" s="307">
        <v>-0.35299999999999998</v>
      </c>
    </row>
    <row r="1437" spans="97:104">
      <c r="CS1437" s="332"/>
      <c r="CT1437" s="366" t="s">
        <v>2583</v>
      </c>
      <c r="CU1437" s="307" t="s">
        <v>208</v>
      </c>
      <c r="CV1437" s="307" t="s">
        <v>2570</v>
      </c>
      <c r="CW1437" s="366" t="s">
        <v>30</v>
      </c>
      <c r="CX1437" s="307">
        <v>-0.378</v>
      </c>
      <c r="CY1437" s="307">
        <v>-0.32800000000000001</v>
      </c>
      <c r="CZ1437" s="307">
        <v>-0.35299999999999998</v>
      </c>
    </row>
    <row r="1438" spans="97:104">
      <c r="CS1438" s="332"/>
      <c r="CT1438" s="366" t="s">
        <v>2584</v>
      </c>
      <c r="CU1438" s="307" t="s">
        <v>208</v>
      </c>
      <c r="CV1438" s="307" t="s">
        <v>2570</v>
      </c>
      <c r="CW1438" s="366" t="s">
        <v>49</v>
      </c>
      <c r="CX1438" s="307">
        <v>-0.379</v>
      </c>
      <c r="CY1438" s="307">
        <v>-0.32900000000000001</v>
      </c>
      <c r="CZ1438" s="307">
        <v>-0.35399999999999998</v>
      </c>
    </row>
    <row r="1439" spans="97:104">
      <c r="CS1439" s="332"/>
      <c r="CT1439" s="366" t="s">
        <v>2585</v>
      </c>
      <c r="CU1439" s="307" t="s">
        <v>208</v>
      </c>
      <c r="CV1439" s="307" t="s">
        <v>2570</v>
      </c>
      <c r="CW1439" s="366" t="s">
        <v>10</v>
      </c>
      <c r="CX1439" s="307">
        <v>-6.0999999999999999E-2</v>
      </c>
      <c r="CY1439" s="307">
        <v>-6.0999999999999999E-2</v>
      </c>
      <c r="CZ1439" s="307">
        <v>-6.0999999999999999E-2</v>
      </c>
    </row>
    <row r="1440" spans="97:104">
      <c r="CS1440" s="332"/>
      <c r="CT1440" s="366" t="s">
        <v>2586</v>
      </c>
      <c r="CU1440" s="307" t="s">
        <v>208</v>
      </c>
      <c r="CV1440" s="307" t="s">
        <v>2570</v>
      </c>
      <c r="CW1440" s="366" t="s">
        <v>11</v>
      </c>
      <c r="CX1440" s="307">
        <v>2.8000000000000001E-2</v>
      </c>
      <c r="CY1440" s="307">
        <v>2.8000000000000001E-2</v>
      </c>
      <c r="CZ1440" s="307">
        <v>2.8000000000000001E-2</v>
      </c>
    </row>
    <row r="1441" spans="97:104">
      <c r="CS1441" s="332"/>
      <c r="CT1441" s="366" t="s">
        <v>2587</v>
      </c>
      <c r="CU1441" s="307" t="s">
        <v>208</v>
      </c>
      <c r="CV1441" s="307" t="s">
        <v>2570</v>
      </c>
      <c r="CW1441" s="366" t="s">
        <v>12</v>
      </c>
      <c r="CX1441" s="307">
        <v>0.13200000000000001</v>
      </c>
      <c r="CY1441" s="307">
        <v>0.13200000000000001</v>
      </c>
      <c r="CZ1441" s="307">
        <v>0.13200000000000001</v>
      </c>
    </row>
    <row r="1442" spans="97:104">
      <c r="CS1442" s="332"/>
      <c r="CT1442" s="366" t="s">
        <v>2588</v>
      </c>
      <c r="CU1442" s="307" t="s">
        <v>208</v>
      </c>
      <c r="CV1442" s="307" t="s">
        <v>2570</v>
      </c>
      <c r="CW1442" s="366" t="s">
        <v>13</v>
      </c>
      <c r="CX1442" s="307">
        <v>0.24199999999999999</v>
      </c>
      <c r="CY1442" s="307">
        <v>0.24199999999999999</v>
      </c>
      <c r="CZ1442" s="307">
        <v>0.24199999999999999</v>
      </c>
    </row>
    <row r="1443" spans="97:104">
      <c r="CS1443" s="332"/>
      <c r="CT1443" s="366" t="s">
        <v>2589</v>
      </c>
      <c r="CU1443" s="307" t="s">
        <v>208</v>
      </c>
      <c r="CV1443" s="307" t="s">
        <v>2570</v>
      </c>
      <c r="CW1443" s="366" t="s">
        <v>14</v>
      </c>
      <c r="CX1443" s="307">
        <v>0.35499999999999998</v>
      </c>
      <c r="CY1443" s="307">
        <v>0.35499999999999998</v>
      </c>
      <c r="CZ1443" s="307">
        <v>0.35499999999999998</v>
      </c>
    </row>
    <row r="1444" spans="97:104">
      <c r="CS1444" s="332"/>
      <c r="CT1444" s="366" t="s">
        <v>2590</v>
      </c>
      <c r="CU1444" s="307" t="s">
        <v>208</v>
      </c>
      <c r="CV1444" s="307" t="s">
        <v>2570</v>
      </c>
      <c r="CW1444" s="366" t="s">
        <v>15</v>
      </c>
      <c r="CX1444" s="307">
        <v>0.46700000000000003</v>
      </c>
      <c r="CY1444" s="307">
        <v>0.46700000000000003</v>
      </c>
      <c r="CZ1444" s="307">
        <v>0.46700000000000003</v>
      </c>
    </row>
    <row r="1445" spans="97:104">
      <c r="CS1445" s="332"/>
      <c r="CT1445" s="366" t="s">
        <v>2591</v>
      </c>
      <c r="CU1445" s="307" t="s">
        <v>208</v>
      </c>
      <c r="CV1445" s="307" t="s">
        <v>2570</v>
      </c>
      <c r="CW1445" s="366" t="s">
        <v>16</v>
      </c>
      <c r="CX1445" s="307">
        <v>0.57399999999999995</v>
      </c>
      <c r="CY1445" s="307">
        <v>0.57399999999999995</v>
      </c>
      <c r="CZ1445" s="307">
        <v>0.57399999999999995</v>
      </c>
    </row>
    <row r="1446" spans="97:104">
      <c r="CS1446" s="332"/>
      <c r="CT1446" s="366" t="s">
        <v>2592</v>
      </c>
      <c r="CU1446" s="307" t="s">
        <v>208</v>
      </c>
      <c r="CV1446" s="307" t="s">
        <v>2570</v>
      </c>
      <c r="CW1446" s="366" t="s">
        <v>17</v>
      </c>
      <c r="CX1446" s="307">
        <v>0.67100000000000004</v>
      </c>
      <c r="CY1446" s="307">
        <v>0.67100000000000004</v>
      </c>
      <c r="CZ1446" s="307">
        <v>0.67100000000000004</v>
      </c>
    </row>
    <row r="1447" spans="97:104">
      <c r="CS1447" s="332"/>
      <c r="CT1447" s="366" t="s">
        <v>2593</v>
      </c>
      <c r="CU1447" s="307" t="s">
        <v>208</v>
      </c>
      <c r="CV1447" s="307" t="s">
        <v>2570</v>
      </c>
      <c r="CW1447" s="366" t="s">
        <v>31</v>
      </c>
      <c r="CX1447" s="307">
        <v>0.75775925600000005</v>
      </c>
      <c r="CY1447" s="307">
        <v>0.75775925600000005</v>
      </c>
      <c r="CZ1447" s="307">
        <v>0.75775925600000005</v>
      </c>
    </row>
    <row r="1448" spans="97:104">
      <c r="CS1448" s="332"/>
      <c r="CT1448" s="366" t="s">
        <v>2594</v>
      </c>
      <c r="CU1448" s="307" t="s">
        <v>208</v>
      </c>
      <c r="CV1448" s="307" t="s">
        <v>2570</v>
      </c>
      <c r="CW1448" s="366" t="s">
        <v>18</v>
      </c>
      <c r="CX1448" s="307">
        <v>0.83499999999999996</v>
      </c>
      <c r="CY1448" s="307">
        <v>0.83499999999999996</v>
      </c>
      <c r="CZ1448" s="307">
        <v>0.83499999999999996</v>
      </c>
    </row>
    <row r="1449" spans="97:104">
      <c r="CS1449" s="332"/>
      <c r="CT1449" s="366" t="s">
        <v>2595</v>
      </c>
      <c r="CU1449" s="307" t="s">
        <v>208</v>
      </c>
      <c r="CV1449" s="307" t="s">
        <v>2570</v>
      </c>
      <c r="CW1449" s="366" t="s">
        <v>32</v>
      </c>
      <c r="CX1449" s="307">
        <v>0.901469878</v>
      </c>
      <c r="CY1449" s="307">
        <v>0.901469878</v>
      </c>
      <c r="CZ1449" s="307">
        <v>0.901469878</v>
      </c>
    </row>
    <row r="1450" spans="97:104">
      <c r="CS1450" s="332"/>
      <c r="CT1450" s="366" t="s">
        <v>2596</v>
      </c>
      <c r="CU1450" s="307" t="s">
        <v>208</v>
      </c>
      <c r="CV1450" s="307" t="s">
        <v>2570</v>
      </c>
      <c r="CW1450" s="366" t="s">
        <v>33</v>
      </c>
      <c r="CX1450" s="307">
        <v>0.95791295300000001</v>
      </c>
      <c r="CY1450" s="307">
        <v>0.95791295300000001</v>
      </c>
      <c r="CZ1450" s="307">
        <v>0.95791295300000001</v>
      </c>
    </row>
    <row r="1451" spans="97:104">
      <c r="CS1451" s="332"/>
      <c r="CT1451" s="366" t="s">
        <v>2597</v>
      </c>
      <c r="CU1451" s="307" t="s">
        <v>208</v>
      </c>
      <c r="CV1451" s="307" t="s">
        <v>2570</v>
      </c>
      <c r="CW1451" s="366" t="s">
        <v>19</v>
      </c>
      <c r="CX1451" s="307">
        <v>1.0049999999999999</v>
      </c>
      <c r="CY1451" s="307">
        <v>1.0049999999999999</v>
      </c>
      <c r="CZ1451" s="307">
        <v>1.0049999999999999</v>
      </c>
    </row>
    <row r="1452" spans="97:104">
      <c r="CS1452" s="332"/>
      <c r="CT1452" s="366" t="s">
        <v>2598</v>
      </c>
      <c r="CU1452" s="307" t="s">
        <v>208</v>
      </c>
      <c r="CV1452" s="307" t="s">
        <v>2570</v>
      </c>
      <c r="CW1452" s="366" t="s">
        <v>34</v>
      </c>
      <c r="CX1452" s="307">
        <v>1.0438079309999999</v>
      </c>
      <c r="CY1452" s="307">
        <v>1.0438079309999999</v>
      </c>
      <c r="CZ1452" s="307">
        <v>1.0438079309999999</v>
      </c>
    </row>
    <row r="1453" spans="97:104">
      <c r="CS1453" s="332"/>
      <c r="CT1453" s="366" t="s">
        <v>2599</v>
      </c>
      <c r="CU1453" s="307" t="s">
        <v>208</v>
      </c>
      <c r="CV1453" s="307" t="s">
        <v>2570</v>
      </c>
      <c r="CW1453" s="366" t="s">
        <v>35</v>
      </c>
      <c r="CX1453" s="307">
        <v>1.0748230969999999</v>
      </c>
      <c r="CY1453" s="307">
        <v>1.0748230969999999</v>
      </c>
      <c r="CZ1453" s="307">
        <v>1.0748230969999999</v>
      </c>
    </row>
    <row r="1454" spans="97:104">
      <c r="CS1454" s="332"/>
      <c r="CT1454" s="366" t="s">
        <v>2600</v>
      </c>
      <c r="CU1454" s="307" t="s">
        <v>208</v>
      </c>
      <c r="CV1454" s="307" t="s">
        <v>2570</v>
      </c>
      <c r="CW1454" s="366" t="s">
        <v>36</v>
      </c>
      <c r="CX1454" s="307">
        <v>1.099791722</v>
      </c>
      <c r="CY1454" s="307">
        <v>1.099791722</v>
      </c>
      <c r="CZ1454" s="307">
        <v>1.099791722</v>
      </c>
    </row>
    <row r="1455" spans="97:104">
      <c r="CS1455" s="332"/>
      <c r="CT1455" s="366" t="s">
        <v>2601</v>
      </c>
      <c r="CU1455" s="307" t="s">
        <v>208</v>
      </c>
      <c r="CV1455" s="307" t="s">
        <v>2570</v>
      </c>
      <c r="CW1455" s="366" t="s">
        <v>37</v>
      </c>
      <c r="CX1455" s="307">
        <v>1.1195473650000001</v>
      </c>
      <c r="CY1455" s="307">
        <v>1.1195473650000001</v>
      </c>
      <c r="CZ1455" s="307">
        <v>1.1195473650000001</v>
      </c>
    </row>
    <row r="1456" spans="97:104">
      <c r="CS1456" s="332"/>
      <c r="CT1456" s="366" t="s">
        <v>2602</v>
      </c>
      <c r="CU1456" s="307" t="s">
        <v>208</v>
      </c>
      <c r="CV1456" s="307" t="s">
        <v>2570</v>
      </c>
      <c r="CW1456" s="366" t="s">
        <v>20</v>
      </c>
      <c r="CX1456" s="307">
        <v>1.135</v>
      </c>
      <c r="CY1456" s="307">
        <v>1.135</v>
      </c>
      <c r="CZ1456" s="307">
        <v>1.135</v>
      </c>
    </row>
    <row r="1457" spans="97:104">
      <c r="CS1457" s="332"/>
      <c r="CT1457" s="366" t="s">
        <v>2603</v>
      </c>
      <c r="CU1457" s="307" t="s">
        <v>208</v>
      </c>
      <c r="CV1457" s="307" t="s">
        <v>2570</v>
      </c>
      <c r="CW1457" s="366" t="s">
        <v>38</v>
      </c>
      <c r="CX1457" s="307">
        <v>1.1465149459999999</v>
      </c>
      <c r="CY1457" s="307">
        <v>1.1465149459999999</v>
      </c>
      <c r="CZ1457" s="307">
        <v>1.1465149459999999</v>
      </c>
    </row>
    <row r="1458" spans="97:104">
      <c r="CS1458" s="332"/>
      <c r="CT1458" s="366" t="s">
        <v>2604</v>
      </c>
      <c r="CU1458" s="307" t="s">
        <v>208</v>
      </c>
      <c r="CV1458" s="307" t="s">
        <v>2570</v>
      </c>
      <c r="CW1458" s="366" t="s">
        <v>39</v>
      </c>
      <c r="CX1458" s="307">
        <v>1.1549966599999999</v>
      </c>
      <c r="CY1458" s="307">
        <v>1.1549966599999999</v>
      </c>
      <c r="CZ1458" s="307">
        <v>1.1549966599999999</v>
      </c>
    </row>
    <row r="1459" spans="97:104">
      <c r="CS1459" s="332"/>
      <c r="CT1459" s="366" t="s">
        <v>2605</v>
      </c>
      <c r="CU1459" s="307" t="s">
        <v>208</v>
      </c>
      <c r="CV1459" s="307" t="s">
        <v>2570</v>
      </c>
      <c r="CW1459" s="366" t="s">
        <v>40</v>
      </c>
      <c r="CX1459" s="307">
        <v>1.161313571</v>
      </c>
      <c r="CY1459" s="307">
        <v>1.161313571</v>
      </c>
      <c r="CZ1459" s="307">
        <v>1.161313571</v>
      </c>
    </row>
    <row r="1460" spans="97:104">
      <c r="CS1460" s="332"/>
      <c r="CT1460" s="366" t="s">
        <v>2606</v>
      </c>
      <c r="CU1460" s="307" t="s">
        <v>208</v>
      </c>
      <c r="CV1460" s="307" t="s">
        <v>2570</v>
      </c>
      <c r="CW1460" s="366" t="s">
        <v>41</v>
      </c>
      <c r="CX1460" s="307">
        <v>1.166230731</v>
      </c>
      <c r="CY1460" s="307">
        <v>1.166230731</v>
      </c>
      <c r="CZ1460" s="307">
        <v>1.166230731</v>
      </c>
    </row>
    <row r="1461" spans="97:104">
      <c r="CS1461" s="332"/>
      <c r="CT1461" s="366" t="s">
        <v>2607</v>
      </c>
      <c r="CU1461" s="307" t="s">
        <v>208</v>
      </c>
      <c r="CV1461" s="307" t="s">
        <v>2570</v>
      </c>
      <c r="CW1461" s="366" t="s">
        <v>21</v>
      </c>
      <c r="CX1461" s="307">
        <v>1.17</v>
      </c>
      <c r="CY1461" s="307">
        <v>1.17</v>
      </c>
      <c r="CZ1461" s="307">
        <v>1.17</v>
      </c>
    </row>
    <row r="1462" spans="97:104">
      <c r="CS1462" s="332"/>
      <c r="CT1462" s="366" t="s">
        <v>2608</v>
      </c>
      <c r="CU1462" s="307" t="s">
        <v>208</v>
      </c>
      <c r="CV1462" s="307" t="s">
        <v>2570</v>
      </c>
      <c r="CW1462" s="366" t="s">
        <v>42</v>
      </c>
      <c r="CX1462" s="307">
        <v>1.173130225</v>
      </c>
      <c r="CY1462" s="307">
        <v>1.173130225</v>
      </c>
      <c r="CZ1462" s="307">
        <v>1.173130225</v>
      </c>
    </row>
    <row r="1463" spans="97:104">
      <c r="CS1463" s="332"/>
      <c r="CT1463" s="366" t="s">
        <v>2609</v>
      </c>
      <c r="CU1463" s="307" t="s">
        <v>208</v>
      </c>
      <c r="CV1463" s="307" t="s">
        <v>2570</v>
      </c>
      <c r="CW1463" s="366" t="s">
        <v>43</v>
      </c>
      <c r="CX1463" s="307">
        <v>1.175699206</v>
      </c>
      <c r="CY1463" s="307">
        <v>1.175699206</v>
      </c>
      <c r="CZ1463" s="307">
        <v>1.175699206</v>
      </c>
    </row>
    <row r="1464" spans="97:104">
      <c r="CS1464" s="332"/>
      <c r="CT1464" s="366" t="s">
        <v>2610</v>
      </c>
      <c r="CU1464" s="307" t="s">
        <v>208</v>
      </c>
      <c r="CV1464" s="307" t="s">
        <v>2570</v>
      </c>
      <c r="CW1464" s="366" t="s">
        <v>44</v>
      </c>
      <c r="CX1464" s="307">
        <v>1.177772373</v>
      </c>
      <c r="CY1464" s="307">
        <v>1.177772373</v>
      </c>
      <c r="CZ1464" s="307">
        <v>1.177772373</v>
      </c>
    </row>
    <row r="1465" spans="97:104">
      <c r="CS1465" s="332"/>
      <c r="CT1465" s="366" t="s">
        <v>2611</v>
      </c>
      <c r="CU1465" s="307" t="s">
        <v>208</v>
      </c>
      <c r="CV1465" s="307" t="s">
        <v>2570</v>
      </c>
      <c r="CW1465" s="366" t="s">
        <v>45</v>
      </c>
      <c r="CX1465" s="307">
        <v>1.1791747800000001</v>
      </c>
      <c r="CY1465" s="307">
        <v>1.1791747800000001</v>
      </c>
      <c r="CZ1465" s="307">
        <v>1.1791747800000001</v>
      </c>
    </row>
    <row r="1466" spans="97:104">
      <c r="CS1466" s="332"/>
      <c r="CT1466" s="366" t="s">
        <v>2612</v>
      </c>
      <c r="CU1466" s="307" t="s">
        <v>208</v>
      </c>
      <c r="CV1466" s="307" t="s">
        <v>2570</v>
      </c>
      <c r="CW1466" s="366" t="s">
        <v>22</v>
      </c>
      <c r="CX1466" s="307">
        <v>1.18</v>
      </c>
      <c r="CY1466" s="307">
        <v>1.18</v>
      </c>
      <c r="CZ1466" s="307">
        <v>1.18</v>
      </c>
    </row>
    <row r="1467" spans="97:104">
      <c r="CS1467" s="332"/>
      <c r="CT1467" s="366" t="s">
        <v>4268</v>
      </c>
      <c r="CU1467" s="307" t="s">
        <v>208</v>
      </c>
      <c r="CV1467" s="307" t="s">
        <v>4269</v>
      </c>
      <c r="CW1467" s="366" t="s">
        <v>5</v>
      </c>
      <c r="CX1467" s="307">
        <v>2.2200000000000001E-2</v>
      </c>
      <c r="CY1467" s="307">
        <v>2.47E-2</v>
      </c>
      <c r="CZ1467" s="307">
        <v>2.3449999999999999E-2</v>
      </c>
    </row>
    <row r="1468" spans="97:104">
      <c r="CS1468" s="332"/>
      <c r="CT1468" s="366" t="s">
        <v>4270</v>
      </c>
      <c r="CU1468" s="307" t="s">
        <v>208</v>
      </c>
      <c r="CV1468" s="307" t="s">
        <v>4269</v>
      </c>
      <c r="CW1468" s="366" t="s">
        <v>6</v>
      </c>
      <c r="CX1468" s="307">
        <v>4.99E-2</v>
      </c>
      <c r="CY1468" s="307">
        <v>5.0799999999999998E-2</v>
      </c>
      <c r="CZ1468" s="307">
        <v>5.0349999999999999E-2</v>
      </c>
    </row>
    <row r="1469" spans="97:104">
      <c r="CS1469" s="332"/>
      <c r="CT1469" s="366" t="s">
        <v>4271</v>
      </c>
      <c r="CU1469" s="307" t="s">
        <v>208</v>
      </c>
      <c r="CV1469" s="307" t="s">
        <v>4269</v>
      </c>
      <c r="CW1469" s="366" t="s">
        <v>24</v>
      </c>
      <c r="CX1469" s="307">
        <v>7.4899999999999994E-2</v>
      </c>
      <c r="CY1469" s="307">
        <v>7.5800000000000006E-2</v>
      </c>
      <c r="CZ1469" s="307">
        <v>7.535E-2</v>
      </c>
    </row>
    <row r="1470" spans="97:104">
      <c r="CS1470" s="332"/>
      <c r="CT1470" s="366" t="s">
        <v>4272</v>
      </c>
      <c r="CU1470" s="307" t="s">
        <v>208</v>
      </c>
      <c r="CV1470" s="307" t="s">
        <v>4269</v>
      </c>
      <c r="CW1470" s="366" t="s">
        <v>7</v>
      </c>
      <c r="CX1470" s="307">
        <v>0.11310000000000001</v>
      </c>
      <c r="CY1470" s="307">
        <v>0.1142</v>
      </c>
      <c r="CZ1470" s="307">
        <v>0.11365</v>
      </c>
    </row>
    <row r="1471" spans="97:104">
      <c r="CS1471" s="332"/>
      <c r="CT1471" s="366" t="s">
        <v>4273</v>
      </c>
      <c r="CU1471" s="307" t="s">
        <v>208</v>
      </c>
      <c r="CV1471" s="307" t="s">
        <v>4269</v>
      </c>
      <c r="CW1471" s="366" t="s">
        <v>8</v>
      </c>
      <c r="CX1471" s="307">
        <v>0.32950000000000002</v>
      </c>
      <c r="CY1471" s="307">
        <v>0.33400000000000002</v>
      </c>
      <c r="CZ1471" s="307">
        <v>0.33174999999999999</v>
      </c>
    </row>
    <row r="1472" spans="97:104">
      <c r="CS1472" s="332"/>
      <c r="CT1472" s="366" t="s">
        <v>4274</v>
      </c>
      <c r="CU1472" s="307" t="s">
        <v>208</v>
      </c>
      <c r="CV1472" s="307" t="s">
        <v>4269</v>
      </c>
      <c r="CW1472" s="366" t="s">
        <v>25</v>
      </c>
      <c r="CX1472" s="307">
        <v>0.4698</v>
      </c>
      <c r="CY1472" s="307">
        <v>0.47189999999999999</v>
      </c>
      <c r="CZ1472" s="307">
        <v>0.47084999999999999</v>
      </c>
    </row>
    <row r="1473" spans="97:104">
      <c r="CS1473" s="332"/>
      <c r="CT1473" s="366" t="s">
        <v>4275</v>
      </c>
      <c r="CU1473" s="307" t="s">
        <v>208</v>
      </c>
      <c r="CV1473" s="307" t="s">
        <v>4269</v>
      </c>
      <c r="CW1473" s="366" t="s">
        <v>26</v>
      </c>
      <c r="CX1473" s="307">
        <v>0.60219999999999996</v>
      </c>
      <c r="CY1473" s="307">
        <v>0.60970000000000002</v>
      </c>
      <c r="CZ1473" s="307">
        <v>0.60594999999999999</v>
      </c>
    </row>
    <row r="1474" spans="97:104">
      <c r="CS1474" s="332"/>
      <c r="CT1474" s="366" t="s">
        <v>4276</v>
      </c>
      <c r="CU1474" s="307" t="s">
        <v>208</v>
      </c>
      <c r="CV1474" s="307" t="s">
        <v>4269</v>
      </c>
      <c r="CW1474" s="366" t="s">
        <v>27</v>
      </c>
      <c r="CX1474" s="307">
        <v>0.77549999999999997</v>
      </c>
      <c r="CY1474" s="307">
        <v>0.78600000000000003</v>
      </c>
      <c r="CZ1474" s="307">
        <v>0.78075000000000006</v>
      </c>
    </row>
    <row r="1475" spans="97:104">
      <c r="CS1475" s="332"/>
      <c r="CT1475" s="366" t="s">
        <v>4277</v>
      </c>
      <c r="CU1475" s="307" t="s">
        <v>208</v>
      </c>
      <c r="CV1475" s="307" t="s">
        <v>4269</v>
      </c>
      <c r="CW1475" s="366" t="s">
        <v>28</v>
      </c>
      <c r="CX1475" s="307">
        <v>-0.51</v>
      </c>
      <c r="CY1475" s="307">
        <v>-0.41</v>
      </c>
      <c r="CZ1475" s="307">
        <v>-0.45999999999999996</v>
      </c>
    </row>
    <row r="1476" spans="97:104">
      <c r="CS1476" s="332"/>
      <c r="CT1476" s="366" t="s">
        <v>4278</v>
      </c>
      <c r="CU1476" s="307" t="s">
        <v>208</v>
      </c>
      <c r="CV1476" s="307" t="s">
        <v>4269</v>
      </c>
      <c r="CW1476" s="366" t="s">
        <v>49</v>
      </c>
      <c r="CX1476" s="307">
        <v>-0.495</v>
      </c>
      <c r="CY1476" s="307">
        <v>-0.39500000000000002</v>
      </c>
      <c r="CZ1476" s="307">
        <v>-0.44500000000000001</v>
      </c>
    </row>
    <row r="1477" spans="97:104">
      <c r="CS1477" s="332"/>
      <c r="CT1477" s="366" t="s">
        <v>4279</v>
      </c>
      <c r="CU1477" s="307" t="s">
        <v>208</v>
      </c>
      <c r="CV1477" s="307" t="s">
        <v>4269</v>
      </c>
      <c r="CW1477" s="366" t="s">
        <v>56</v>
      </c>
      <c r="CX1477" s="307">
        <v>-0.46625</v>
      </c>
      <c r="CY1477" s="307">
        <v>-0.41625000000000001</v>
      </c>
      <c r="CZ1477" s="307">
        <v>-0.44125000000000003</v>
      </c>
    </row>
    <row r="1478" spans="97:104">
      <c r="CS1478" s="332"/>
      <c r="CT1478" s="366" t="s">
        <v>4280</v>
      </c>
      <c r="CU1478" s="307" t="s">
        <v>208</v>
      </c>
      <c r="CV1478" s="307" t="s">
        <v>4269</v>
      </c>
      <c r="CW1478" s="366" t="s">
        <v>54</v>
      </c>
      <c r="CX1478" s="307">
        <v>-0.46500000000000002</v>
      </c>
      <c r="CY1478" s="307">
        <v>-0.41499999999999998</v>
      </c>
      <c r="CZ1478" s="307">
        <v>-0.44</v>
      </c>
    </row>
    <row r="1479" spans="97:104">
      <c r="CS1479" s="332"/>
      <c r="CT1479" s="366" t="s">
        <v>4281</v>
      </c>
      <c r="CU1479" s="307" t="s">
        <v>208</v>
      </c>
      <c r="CV1479" s="307" t="s">
        <v>4269</v>
      </c>
      <c r="CW1479" s="366" t="s">
        <v>9</v>
      </c>
      <c r="CX1479" s="307">
        <v>-0.45124999999999998</v>
      </c>
      <c r="CY1479" s="307">
        <v>-0.40125</v>
      </c>
      <c r="CZ1479" s="307">
        <v>-0.42625000000000002</v>
      </c>
    </row>
    <row r="1480" spans="97:104">
      <c r="CS1480" s="332"/>
      <c r="CT1480" s="366" t="s">
        <v>4282</v>
      </c>
      <c r="CU1480" s="307" t="s">
        <v>208</v>
      </c>
      <c r="CV1480" s="307" t="s">
        <v>4269</v>
      </c>
      <c r="CW1480" s="366" t="s">
        <v>10</v>
      </c>
      <c r="CX1480" s="307">
        <v>-0.4425</v>
      </c>
      <c r="CY1480" s="307">
        <v>-0.39250000000000002</v>
      </c>
      <c r="CZ1480" s="307">
        <v>-0.41749999999999998</v>
      </c>
    </row>
    <row r="1481" spans="97:104">
      <c r="CS1481" s="332"/>
      <c r="CT1481" s="366" t="s">
        <v>4283</v>
      </c>
      <c r="CU1481" s="307" t="s">
        <v>208</v>
      </c>
      <c r="CV1481" s="307" t="s">
        <v>4269</v>
      </c>
      <c r="CW1481" s="366" t="s">
        <v>11</v>
      </c>
      <c r="CX1481" s="307">
        <v>-0.4425</v>
      </c>
      <c r="CY1481" s="307">
        <v>-0.39250000000000002</v>
      </c>
      <c r="CZ1481" s="307">
        <v>-0.41749999999999998</v>
      </c>
    </row>
    <row r="1482" spans="97:104">
      <c r="CS1482" s="332"/>
      <c r="CT1482" s="366" t="s">
        <v>4284</v>
      </c>
      <c r="CU1482" s="307" t="s">
        <v>208</v>
      </c>
      <c r="CV1482" s="307" t="s">
        <v>4269</v>
      </c>
      <c r="CW1482" s="366" t="s">
        <v>12</v>
      </c>
      <c r="CX1482" s="307">
        <v>-0.44874999999999998</v>
      </c>
      <c r="CY1482" s="307">
        <v>-0.39874999999999999</v>
      </c>
      <c r="CZ1482" s="307">
        <v>-0.42374999999999996</v>
      </c>
    </row>
    <row r="1483" spans="97:104">
      <c r="CS1483" s="332"/>
      <c r="CT1483" s="366" t="s">
        <v>4285</v>
      </c>
      <c r="CU1483" s="307" t="s">
        <v>208</v>
      </c>
      <c r="CV1483" s="307" t="s">
        <v>4269</v>
      </c>
      <c r="CW1483" s="366" t="s">
        <v>13</v>
      </c>
      <c r="CX1483" s="307">
        <v>-0.45374999999999999</v>
      </c>
      <c r="CY1483" s="307">
        <v>-0.40375</v>
      </c>
      <c r="CZ1483" s="307">
        <v>-0.42874999999999996</v>
      </c>
    </row>
    <row r="1484" spans="97:104">
      <c r="CS1484" s="332"/>
      <c r="CT1484" s="366" t="s">
        <v>4286</v>
      </c>
      <c r="CU1484" s="307" t="s">
        <v>208</v>
      </c>
      <c r="CV1484" s="307" t="s">
        <v>4269</v>
      </c>
      <c r="CW1484" s="366" t="s">
        <v>14</v>
      </c>
      <c r="CX1484" s="307">
        <v>-0.45500000000000002</v>
      </c>
      <c r="CY1484" s="307">
        <v>-0.40500000000000003</v>
      </c>
      <c r="CZ1484" s="307">
        <v>-0.43000000000000005</v>
      </c>
    </row>
    <row r="1485" spans="97:104">
      <c r="CS1485" s="332"/>
      <c r="CT1485" s="366" t="s">
        <v>4287</v>
      </c>
      <c r="CU1485" s="307" t="s">
        <v>208</v>
      </c>
      <c r="CV1485" s="307" t="s">
        <v>4269</v>
      </c>
      <c r="CW1485" s="366" t="s">
        <v>15</v>
      </c>
      <c r="CX1485" s="307">
        <v>-0.45250000000000001</v>
      </c>
      <c r="CY1485" s="307">
        <v>-0.40250000000000002</v>
      </c>
      <c r="CZ1485" s="307">
        <v>-0.42749999999999999</v>
      </c>
    </row>
    <row r="1486" spans="97:104">
      <c r="CS1486" s="332"/>
      <c r="CT1486" s="366" t="s">
        <v>4288</v>
      </c>
      <c r="CU1486" s="307" t="s">
        <v>208</v>
      </c>
      <c r="CV1486" s="307" t="s">
        <v>4269</v>
      </c>
      <c r="CW1486" s="366" t="s">
        <v>16</v>
      </c>
      <c r="CX1486" s="307">
        <v>-0.45</v>
      </c>
      <c r="CY1486" s="307">
        <v>-0.4</v>
      </c>
      <c r="CZ1486" s="307">
        <v>-0.42500000000000004</v>
      </c>
    </row>
    <row r="1487" spans="97:104">
      <c r="CS1487" s="332"/>
      <c r="CT1487" s="366" t="s">
        <v>4289</v>
      </c>
      <c r="CU1487" s="307" t="s">
        <v>208</v>
      </c>
      <c r="CV1487" s="307" t="s">
        <v>4269</v>
      </c>
      <c r="CW1487" s="366" t="s">
        <v>17</v>
      </c>
      <c r="CX1487" s="307">
        <v>-0.44624999999999998</v>
      </c>
      <c r="CY1487" s="307">
        <v>-0.39624999999999999</v>
      </c>
      <c r="CZ1487" s="307">
        <v>-0.42125000000000001</v>
      </c>
    </row>
    <row r="1488" spans="97:104">
      <c r="CS1488" s="332"/>
      <c r="CT1488" s="366" t="s">
        <v>4290</v>
      </c>
      <c r="CU1488" s="307" t="s">
        <v>208</v>
      </c>
      <c r="CV1488" s="307" t="s">
        <v>4269</v>
      </c>
      <c r="CW1488" s="366" t="s">
        <v>18</v>
      </c>
      <c r="CX1488" s="307">
        <v>-0.4325</v>
      </c>
      <c r="CY1488" s="307">
        <v>-0.38250000000000001</v>
      </c>
      <c r="CZ1488" s="307">
        <v>-0.40749999999999997</v>
      </c>
    </row>
    <row r="1489" spans="97:104">
      <c r="CS1489" s="332"/>
      <c r="CT1489" s="366" t="s">
        <v>4291</v>
      </c>
      <c r="CU1489" s="307" t="s">
        <v>208</v>
      </c>
      <c r="CV1489" s="307" t="s">
        <v>4269</v>
      </c>
      <c r="CW1489" s="366" t="s">
        <v>19</v>
      </c>
      <c r="CX1489" s="307">
        <v>-0.38874999999999998</v>
      </c>
      <c r="CY1489" s="307">
        <v>-0.33875</v>
      </c>
      <c r="CZ1489" s="307">
        <v>-0.36375000000000002</v>
      </c>
    </row>
    <row r="1490" spans="97:104">
      <c r="CS1490" s="332"/>
      <c r="CT1490" s="366" t="s">
        <v>4292</v>
      </c>
      <c r="CU1490" s="307" t="s">
        <v>208</v>
      </c>
      <c r="CV1490" s="307" t="s">
        <v>4269</v>
      </c>
      <c r="CW1490" s="366" t="s">
        <v>20</v>
      </c>
      <c r="CX1490" s="307">
        <v>-0.32124999999999998</v>
      </c>
      <c r="CY1490" s="307">
        <v>-0.27124999999999999</v>
      </c>
      <c r="CZ1490" s="307">
        <v>-0.29625000000000001</v>
      </c>
    </row>
    <row r="1491" spans="97:104">
      <c r="CS1491" s="332"/>
      <c r="CT1491" s="366" t="s">
        <v>4293</v>
      </c>
      <c r="CU1491" s="307" t="s">
        <v>208</v>
      </c>
      <c r="CV1491" s="307" t="s">
        <v>4269</v>
      </c>
      <c r="CW1491" s="366" t="s">
        <v>21</v>
      </c>
      <c r="CX1491" s="307">
        <v>-0.27124999999999999</v>
      </c>
      <c r="CY1491" s="307">
        <v>-0.22125</v>
      </c>
      <c r="CZ1491" s="307">
        <v>-0.24625</v>
      </c>
    </row>
    <row r="1492" spans="97:104">
      <c r="CS1492" s="332"/>
      <c r="CT1492" s="366" t="s">
        <v>4294</v>
      </c>
      <c r="CU1492" s="307" t="s">
        <v>208</v>
      </c>
      <c r="CV1492" s="307" t="s">
        <v>4269</v>
      </c>
      <c r="CW1492" s="366" t="s">
        <v>22</v>
      </c>
      <c r="CX1492" s="307">
        <v>-0.24374999999999999</v>
      </c>
      <c r="CY1492" s="307">
        <v>-0.19375000000000001</v>
      </c>
      <c r="CZ1492" s="307">
        <v>-0.21875</v>
      </c>
    </row>
    <row r="1493" spans="97:104">
      <c r="CS1493" s="332"/>
      <c r="CT1493" s="366" t="s">
        <v>4295</v>
      </c>
      <c r="CU1493" s="307" t="s">
        <v>208</v>
      </c>
      <c r="CV1493" s="307" t="s">
        <v>4269</v>
      </c>
      <c r="CW1493" s="366" t="s">
        <v>46</v>
      </c>
      <c r="CX1493" s="307">
        <v>-0.25624999999999998</v>
      </c>
      <c r="CY1493" s="307">
        <v>-0.20624999999999999</v>
      </c>
      <c r="CZ1493" s="307">
        <v>-0.23124999999999998</v>
      </c>
    </row>
    <row r="1494" spans="97:104">
      <c r="CS1494" s="332"/>
      <c r="CT1494" s="366" t="s">
        <v>4296</v>
      </c>
      <c r="CU1494" s="307" t="s">
        <v>208</v>
      </c>
      <c r="CV1494" s="307" t="s">
        <v>4269</v>
      </c>
      <c r="CW1494" s="366" t="s">
        <v>47</v>
      </c>
      <c r="CX1494" s="307">
        <v>-0.28375</v>
      </c>
      <c r="CY1494" s="307">
        <v>-0.23375000000000001</v>
      </c>
      <c r="CZ1494" s="307">
        <v>-0.25875000000000004</v>
      </c>
    </row>
    <row r="1495" spans="97:104">
      <c r="CS1495" s="332"/>
      <c r="CT1495" s="366" t="s">
        <v>5000</v>
      </c>
      <c r="CU1495" s="307" t="s">
        <v>208</v>
      </c>
      <c r="CV1495" s="307" t="s">
        <v>5001</v>
      </c>
      <c r="CW1495" s="366" t="s">
        <v>5</v>
      </c>
      <c r="CX1495" s="307">
        <v>2.2200000000000001E-2</v>
      </c>
      <c r="CY1495" s="307">
        <v>2.47E-2</v>
      </c>
      <c r="CZ1495" s="307">
        <v>2.3449999999999999E-2</v>
      </c>
    </row>
    <row r="1496" spans="97:104">
      <c r="CS1496" s="332"/>
      <c r="CT1496" s="366" t="s">
        <v>5002</v>
      </c>
      <c r="CU1496" s="307" t="s">
        <v>208</v>
      </c>
      <c r="CV1496" s="307" t="s">
        <v>5001</v>
      </c>
      <c r="CW1496" s="366" t="s">
        <v>6</v>
      </c>
      <c r="CX1496" s="307">
        <v>4.99E-2</v>
      </c>
      <c r="CY1496" s="307">
        <v>5.0799999999999998E-2</v>
      </c>
      <c r="CZ1496" s="307">
        <v>5.0349999999999999E-2</v>
      </c>
    </row>
    <row r="1497" spans="97:104">
      <c r="CS1497" s="332"/>
      <c r="CT1497" s="366" t="s">
        <v>5003</v>
      </c>
      <c r="CU1497" s="307" t="s">
        <v>208</v>
      </c>
      <c r="CV1497" s="307" t="s">
        <v>5001</v>
      </c>
      <c r="CW1497" s="366" t="s">
        <v>24</v>
      </c>
      <c r="CX1497" s="307">
        <v>7.4899999999999994E-2</v>
      </c>
      <c r="CY1497" s="307">
        <v>7.5800000000000006E-2</v>
      </c>
      <c r="CZ1497" s="307">
        <v>7.535E-2</v>
      </c>
    </row>
    <row r="1498" spans="97:104">
      <c r="CS1498" s="332"/>
      <c r="CT1498" s="366" t="s">
        <v>5004</v>
      </c>
      <c r="CU1498" s="307" t="s">
        <v>208</v>
      </c>
      <c r="CV1498" s="307" t="s">
        <v>5001</v>
      </c>
      <c r="CW1498" s="366" t="s">
        <v>7</v>
      </c>
      <c r="CX1498" s="307">
        <v>0.11310000000000001</v>
      </c>
      <c r="CY1498" s="307">
        <v>0.1142</v>
      </c>
      <c r="CZ1498" s="307">
        <v>0.11365</v>
      </c>
    </row>
    <row r="1499" spans="97:104">
      <c r="CS1499" s="332"/>
      <c r="CT1499" s="366" t="s">
        <v>5005</v>
      </c>
      <c r="CU1499" s="307" t="s">
        <v>208</v>
      </c>
      <c r="CV1499" s="307" t="s">
        <v>5001</v>
      </c>
      <c r="CW1499" s="366" t="s">
        <v>8</v>
      </c>
      <c r="CX1499" s="307">
        <v>0.32950000000000002</v>
      </c>
      <c r="CY1499" s="307">
        <v>0.33400000000000002</v>
      </c>
      <c r="CZ1499" s="307">
        <v>0.33174999999999999</v>
      </c>
    </row>
    <row r="1500" spans="97:104">
      <c r="CS1500" s="332"/>
      <c r="CT1500" s="366" t="s">
        <v>5006</v>
      </c>
      <c r="CU1500" s="307" t="s">
        <v>208</v>
      </c>
      <c r="CV1500" s="307" t="s">
        <v>5001</v>
      </c>
      <c r="CW1500" s="366" t="s">
        <v>25</v>
      </c>
      <c r="CX1500" s="307">
        <v>0.4698</v>
      </c>
      <c r="CY1500" s="307">
        <v>0.47189999999999999</v>
      </c>
      <c r="CZ1500" s="307">
        <v>0.47084999999999999</v>
      </c>
    </row>
    <row r="1501" spans="97:104">
      <c r="CS1501" s="332"/>
      <c r="CT1501" s="366" t="s">
        <v>5007</v>
      </c>
      <c r="CU1501" s="307" t="s">
        <v>208</v>
      </c>
      <c r="CV1501" s="307" t="s">
        <v>5001</v>
      </c>
      <c r="CW1501" s="366" t="s">
        <v>26</v>
      </c>
      <c r="CX1501" s="307">
        <v>0.60219999999999996</v>
      </c>
      <c r="CY1501" s="307">
        <v>0.60970000000000002</v>
      </c>
      <c r="CZ1501" s="307">
        <v>0.60594999999999999</v>
      </c>
    </row>
    <row r="1502" spans="97:104">
      <c r="CS1502" s="332"/>
      <c r="CT1502" s="366" t="s">
        <v>5008</v>
      </c>
      <c r="CU1502" s="307" t="s">
        <v>208</v>
      </c>
      <c r="CV1502" s="307" t="s">
        <v>5001</v>
      </c>
      <c r="CW1502" s="366" t="s">
        <v>27</v>
      </c>
      <c r="CX1502" s="307">
        <v>0.77549999999999997</v>
      </c>
      <c r="CY1502" s="307">
        <v>0.78600000000000003</v>
      </c>
      <c r="CZ1502" s="307">
        <v>0.78075000000000006</v>
      </c>
    </row>
    <row r="1503" spans="97:104">
      <c r="CS1503" s="332"/>
      <c r="CT1503" s="366" t="s">
        <v>5009</v>
      </c>
      <c r="CU1503" s="307" t="s">
        <v>208</v>
      </c>
      <c r="CV1503" s="307" t="s">
        <v>5001</v>
      </c>
      <c r="CW1503" s="366" t="s">
        <v>28</v>
      </c>
      <c r="CX1503" s="307">
        <v>-0.51</v>
      </c>
      <c r="CY1503" s="307">
        <v>-0.41</v>
      </c>
      <c r="CZ1503" s="307">
        <v>-0.45999999999999996</v>
      </c>
    </row>
    <row r="1504" spans="97:104">
      <c r="CS1504" s="332"/>
      <c r="CT1504" s="366" t="s">
        <v>5010</v>
      </c>
      <c r="CU1504" s="307" t="s">
        <v>208</v>
      </c>
      <c r="CV1504" s="307" t="s">
        <v>5001</v>
      </c>
      <c r="CW1504" s="366" t="s">
        <v>49</v>
      </c>
      <c r="CX1504" s="307">
        <v>-0.495</v>
      </c>
      <c r="CY1504" s="307">
        <v>-0.39500000000000002</v>
      </c>
      <c r="CZ1504" s="307">
        <v>-0.44500000000000001</v>
      </c>
    </row>
    <row r="1505" spans="97:104">
      <c r="CS1505" s="332"/>
      <c r="CT1505" s="366" t="s">
        <v>5011</v>
      </c>
      <c r="CU1505" s="307" t="s">
        <v>208</v>
      </c>
      <c r="CV1505" s="307" t="s">
        <v>5001</v>
      </c>
      <c r="CW1505" s="366" t="s">
        <v>56</v>
      </c>
      <c r="CX1505" s="307">
        <v>-0.46625</v>
      </c>
      <c r="CY1505" s="307">
        <v>-0.41625000000000001</v>
      </c>
      <c r="CZ1505" s="307">
        <v>-0.44125000000000003</v>
      </c>
    </row>
    <row r="1506" spans="97:104">
      <c r="CS1506" s="332"/>
      <c r="CT1506" s="366" t="s">
        <v>5012</v>
      </c>
      <c r="CU1506" s="307" t="s">
        <v>208</v>
      </c>
      <c r="CV1506" s="307" t="s">
        <v>5001</v>
      </c>
      <c r="CW1506" s="366" t="s">
        <v>54</v>
      </c>
      <c r="CX1506" s="307">
        <v>-0.46500000000000002</v>
      </c>
      <c r="CY1506" s="307">
        <v>-0.41499999999999998</v>
      </c>
      <c r="CZ1506" s="307">
        <v>-0.44</v>
      </c>
    </row>
    <row r="1507" spans="97:104">
      <c r="CS1507" s="332"/>
      <c r="CT1507" s="366" t="s">
        <v>5013</v>
      </c>
      <c r="CU1507" s="307" t="s">
        <v>208</v>
      </c>
      <c r="CV1507" s="307" t="s">
        <v>5001</v>
      </c>
      <c r="CW1507" s="366" t="s">
        <v>9</v>
      </c>
      <c r="CX1507" s="307">
        <v>-0.45124999999999998</v>
      </c>
      <c r="CY1507" s="307">
        <v>-0.40125</v>
      </c>
      <c r="CZ1507" s="307">
        <v>-0.42625000000000002</v>
      </c>
    </row>
    <row r="1508" spans="97:104">
      <c r="CS1508" s="332"/>
      <c r="CT1508" s="366" t="s">
        <v>5014</v>
      </c>
      <c r="CU1508" s="307" t="s">
        <v>208</v>
      </c>
      <c r="CV1508" s="307" t="s">
        <v>5001</v>
      </c>
      <c r="CW1508" s="366" t="s">
        <v>10</v>
      </c>
      <c r="CX1508" s="307">
        <v>-0.4425</v>
      </c>
      <c r="CY1508" s="307">
        <v>-0.39250000000000002</v>
      </c>
      <c r="CZ1508" s="307">
        <v>-0.41749999999999998</v>
      </c>
    </row>
    <row r="1509" spans="97:104">
      <c r="CS1509" s="332"/>
      <c r="CT1509" s="366" t="s">
        <v>5015</v>
      </c>
      <c r="CU1509" s="307" t="s">
        <v>208</v>
      </c>
      <c r="CV1509" s="307" t="s">
        <v>5001</v>
      </c>
      <c r="CW1509" s="366" t="s">
        <v>11</v>
      </c>
      <c r="CX1509" s="307">
        <v>-0.4425</v>
      </c>
      <c r="CY1509" s="307">
        <v>-0.39250000000000002</v>
      </c>
      <c r="CZ1509" s="307">
        <v>-0.41749999999999998</v>
      </c>
    </row>
    <row r="1510" spans="97:104">
      <c r="CS1510" s="332"/>
      <c r="CT1510" s="366" t="s">
        <v>5016</v>
      </c>
      <c r="CU1510" s="307" t="s">
        <v>208</v>
      </c>
      <c r="CV1510" s="307" t="s">
        <v>5001</v>
      </c>
      <c r="CW1510" s="366" t="s">
        <v>12</v>
      </c>
      <c r="CX1510" s="307">
        <v>-0.44874999999999998</v>
      </c>
      <c r="CY1510" s="307">
        <v>-0.39874999999999999</v>
      </c>
      <c r="CZ1510" s="307">
        <v>-0.42374999999999996</v>
      </c>
    </row>
    <row r="1511" spans="97:104">
      <c r="CS1511" s="332"/>
      <c r="CT1511" s="366" t="s">
        <v>5017</v>
      </c>
      <c r="CU1511" s="307" t="s">
        <v>208</v>
      </c>
      <c r="CV1511" s="307" t="s">
        <v>5001</v>
      </c>
      <c r="CW1511" s="366" t="s">
        <v>13</v>
      </c>
      <c r="CX1511" s="307">
        <v>-0.45374999999999999</v>
      </c>
      <c r="CY1511" s="307">
        <v>-0.40375</v>
      </c>
      <c r="CZ1511" s="307">
        <v>-0.42874999999999996</v>
      </c>
    </row>
    <row r="1512" spans="97:104">
      <c r="CS1512" s="332"/>
      <c r="CT1512" s="366" t="s">
        <v>5018</v>
      </c>
      <c r="CU1512" s="307" t="s">
        <v>208</v>
      </c>
      <c r="CV1512" s="307" t="s">
        <v>5001</v>
      </c>
      <c r="CW1512" s="366" t="s">
        <v>14</v>
      </c>
      <c r="CX1512" s="307">
        <v>-0.45500000000000002</v>
      </c>
      <c r="CY1512" s="307">
        <v>-0.40500000000000003</v>
      </c>
      <c r="CZ1512" s="307">
        <v>-0.43000000000000005</v>
      </c>
    </row>
    <row r="1513" spans="97:104">
      <c r="CS1513" s="332"/>
      <c r="CT1513" s="366" t="s">
        <v>5019</v>
      </c>
      <c r="CU1513" s="307" t="s">
        <v>208</v>
      </c>
      <c r="CV1513" s="307" t="s">
        <v>5001</v>
      </c>
      <c r="CW1513" s="366" t="s">
        <v>15</v>
      </c>
      <c r="CX1513" s="307">
        <v>-0.45250000000000001</v>
      </c>
      <c r="CY1513" s="307">
        <v>-0.40250000000000002</v>
      </c>
      <c r="CZ1513" s="307">
        <v>-0.42749999999999999</v>
      </c>
    </row>
    <row r="1514" spans="97:104">
      <c r="CS1514" s="332"/>
      <c r="CT1514" s="366" t="s">
        <v>5020</v>
      </c>
      <c r="CU1514" s="307" t="s">
        <v>208</v>
      </c>
      <c r="CV1514" s="307" t="s">
        <v>5001</v>
      </c>
      <c r="CW1514" s="366" t="s">
        <v>16</v>
      </c>
      <c r="CX1514" s="307">
        <v>-0.45</v>
      </c>
      <c r="CY1514" s="307">
        <v>-0.4</v>
      </c>
      <c r="CZ1514" s="307">
        <v>-0.42500000000000004</v>
      </c>
    </row>
    <row r="1515" spans="97:104">
      <c r="CS1515" s="332"/>
      <c r="CT1515" s="366" t="s">
        <v>5021</v>
      </c>
      <c r="CU1515" s="307" t="s">
        <v>208</v>
      </c>
      <c r="CV1515" s="307" t="s">
        <v>5001</v>
      </c>
      <c r="CW1515" s="366" t="s">
        <v>17</v>
      </c>
      <c r="CX1515" s="307">
        <v>-0.44624999999999998</v>
      </c>
      <c r="CY1515" s="307">
        <v>-0.39624999999999999</v>
      </c>
      <c r="CZ1515" s="307">
        <v>-0.42125000000000001</v>
      </c>
    </row>
    <row r="1516" spans="97:104">
      <c r="CS1516" s="332"/>
      <c r="CT1516" s="366" t="s">
        <v>5022</v>
      </c>
      <c r="CU1516" s="307" t="s">
        <v>208</v>
      </c>
      <c r="CV1516" s="307" t="s">
        <v>5001</v>
      </c>
      <c r="CW1516" s="366" t="s">
        <v>18</v>
      </c>
      <c r="CX1516" s="307">
        <v>-0.4325</v>
      </c>
      <c r="CY1516" s="307">
        <v>-0.38250000000000001</v>
      </c>
      <c r="CZ1516" s="307">
        <v>-0.40749999999999997</v>
      </c>
    </row>
    <row r="1517" spans="97:104">
      <c r="CS1517" s="332"/>
      <c r="CT1517" s="366" t="s">
        <v>5023</v>
      </c>
      <c r="CU1517" s="307" t="s">
        <v>208</v>
      </c>
      <c r="CV1517" s="307" t="s">
        <v>5001</v>
      </c>
      <c r="CW1517" s="366" t="s">
        <v>19</v>
      </c>
      <c r="CX1517" s="307">
        <v>-0.38874999999999998</v>
      </c>
      <c r="CY1517" s="307">
        <v>-0.33875</v>
      </c>
      <c r="CZ1517" s="307">
        <v>-0.36375000000000002</v>
      </c>
    </row>
    <row r="1518" spans="97:104">
      <c r="CS1518" s="332"/>
      <c r="CT1518" s="366" t="s">
        <v>5024</v>
      </c>
      <c r="CU1518" s="307" t="s">
        <v>208</v>
      </c>
      <c r="CV1518" s="307" t="s">
        <v>5001</v>
      </c>
      <c r="CW1518" s="366" t="s">
        <v>20</v>
      </c>
      <c r="CX1518" s="307">
        <v>-0.32124999999999998</v>
      </c>
      <c r="CY1518" s="307">
        <v>-0.27124999999999999</v>
      </c>
      <c r="CZ1518" s="307">
        <v>-0.29625000000000001</v>
      </c>
    </row>
    <row r="1519" spans="97:104">
      <c r="CS1519" s="332"/>
      <c r="CT1519" s="366" t="s">
        <v>5025</v>
      </c>
      <c r="CU1519" s="307" t="s">
        <v>208</v>
      </c>
      <c r="CV1519" s="307" t="s">
        <v>5001</v>
      </c>
      <c r="CW1519" s="366" t="s">
        <v>21</v>
      </c>
      <c r="CX1519" s="307">
        <v>-0.27124999999999999</v>
      </c>
      <c r="CY1519" s="307">
        <v>-0.22125</v>
      </c>
      <c r="CZ1519" s="307">
        <v>-0.24625</v>
      </c>
    </row>
    <row r="1520" spans="97:104">
      <c r="CS1520" s="332"/>
      <c r="CT1520" s="366" t="s">
        <v>5026</v>
      </c>
      <c r="CU1520" s="307" t="s">
        <v>208</v>
      </c>
      <c r="CV1520" s="307" t="s">
        <v>5001</v>
      </c>
      <c r="CW1520" s="366" t="s">
        <v>22</v>
      </c>
      <c r="CX1520" s="307">
        <v>-0.24374999999999999</v>
      </c>
      <c r="CY1520" s="307">
        <v>-0.19375000000000001</v>
      </c>
      <c r="CZ1520" s="307">
        <v>-0.21875</v>
      </c>
    </row>
    <row r="1521" spans="97:104">
      <c r="CS1521" s="332"/>
      <c r="CT1521" s="366" t="s">
        <v>5027</v>
      </c>
      <c r="CU1521" s="307" t="s">
        <v>208</v>
      </c>
      <c r="CV1521" s="307" t="s">
        <v>5001</v>
      </c>
      <c r="CW1521" s="366" t="s">
        <v>46</v>
      </c>
      <c r="CX1521" s="307">
        <v>-0.25624999999999998</v>
      </c>
      <c r="CY1521" s="307">
        <v>-0.20624999999999999</v>
      </c>
      <c r="CZ1521" s="307">
        <v>-0.23124999999999998</v>
      </c>
    </row>
    <row r="1522" spans="97:104">
      <c r="CS1522" s="332"/>
      <c r="CT1522" s="366" t="s">
        <v>5028</v>
      </c>
      <c r="CU1522" s="307" t="s">
        <v>208</v>
      </c>
      <c r="CV1522" s="307" t="s">
        <v>5001</v>
      </c>
      <c r="CW1522" s="366" t="s">
        <v>47</v>
      </c>
      <c r="CX1522" s="307">
        <v>-0.28375</v>
      </c>
      <c r="CY1522" s="307">
        <v>-0.23375000000000001</v>
      </c>
      <c r="CZ1522" s="307">
        <v>-0.25875000000000004</v>
      </c>
    </row>
    <row r="1523" spans="97:104">
      <c r="CS1523" s="332"/>
      <c r="CT1523" s="366" t="s">
        <v>2613</v>
      </c>
      <c r="CU1523" s="307" t="s">
        <v>208</v>
      </c>
      <c r="CV1523" s="307" t="s">
        <v>2614</v>
      </c>
      <c r="CW1523" s="366" t="s">
        <v>9</v>
      </c>
      <c r="CX1523" s="307">
        <v>-0.45124999999999998</v>
      </c>
      <c r="CY1523" s="307">
        <v>-0.40125</v>
      </c>
      <c r="CZ1523" s="307">
        <v>-0.42625000000000002</v>
      </c>
    </row>
    <row r="1524" spans="97:104">
      <c r="CS1524" s="332"/>
      <c r="CT1524" s="366" t="s">
        <v>2615</v>
      </c>
      <c r="CU1524" s="307" t="s">
        <v>208</v>
      </c>
      <c r="CV1524" s="307" t="s">
        <v>2614</v>
      </c>
      <c r="CW1524" s="366" t="s">
        <v>10</v>
      </c>
      <c r="CX1524" s="307">
        <v>-0.4425</v>
      </c>
      <c r="CY1524" s="307">
        <v>-0.39250000000000002</v>
      </c>
      <c r="CZ1524" s="307">
        <v>-0.41749999999999998</v>
      </c>
    </row>
    <row r="1525" spans="97:104">
      <c r="CS1525" s="332"/>
      <c r="CT1525" s="366" t="s">
        <v>2616</v>
      </c>
      <c r="CU1525" s="307" t="s">
        <v>208</v>
      </c>
      <c r="CV1525" s="307" t="s">
        <v>2614</v>
      </c>
      <c r="CW1525" s="366" t="s">
        <v>11</v>
      </c>
      <c r="CX1525" s="307">
        <v>-0.4425</v>
      </c>
      <c r="CY1525" s="307">
        <v>-0.39250000000000002</v>
      </c>
      <c r="CZ1525" s="307">
        <v>-0.41749999999999998</v>
      </c>
    </row>
    <row r="1526" spans="97:104">
      <c r="CS1526" s="332"/>
      <c r="CT1526" s="366" t="s">
        <v>2617</v>
      </c>
      <c r="CU1526" s="307" t="s">
        <v>208</v>
      </c>
      <c r="CV1526" s="307" t="s">
        <v>2614</v>
      </c>
      <c r="CW1526" s="366" t="s">
        <v>12</v>
      </c>
      <c r="CX1526" s="307">
        <v>-0.44874999999999998</v>
      </c>
      <c r="CY1526" s="307">
        <v>-0.39874999999999999</v>
      </c>
      <c r="CZ1526" s="307">
        <v>-0.42374999999999996</v>
      </c>
    </row>
    <row r="1527" spans="97:104">
      <c r="CS1527" s="332"/>
      <c r="CT1527" s="366" t="s">
        <v>4297</v>
      </c>
      <c r="CU1527" s="307" t="s">
        <v>208</v>
      </c>
      <c r="CV1527" s="307" t="s">
        <v>2614</v>
      </c>
      <c r="CW1527" s="366" t="s">
        <v>13</v>
      </c>
      <c r="CX1527" s="307">
        <v>-0.45374999999999999</v>
      </c>
      <c r="CY1527" s="307">
        <v>-0.40375</v>
      </c>
      <c r="CZ1527" s="307">
        <v>-0.42874999999999996</v>
      </c>
    </row>
    <row r="1528" spans="97:104">
      <c r="CS1528" s="332"/>
      <c r="CT1528" s="366" t="s">
        <v>2618</v>
      </c>
      <c r="CU1528" s="307" t="s">
        <v>208</v>
      </c>
      <c r="CV1528" s="307" t="s">
        <v>2614</v>
      </c>
      <c r="CW1528" s="366" t="s">
        <v>14</v>
      </c>
      <c r="CX1528" s="307">
        <v>-0.45500000000000002</v>
      </c>
      <c r="CY1528" s="307">
        <v>-0.40500000000000003</v>
      </c>
      <c r="CZ1528" s="307">
        <v>-0.43000000000000005</v>
      </c>
    </row>
    <row r="1529" spans="97:104">
      <c r="CS1529" s="332"/>
      <c r="CT1529" s="366" t="s">
        <v>4298</v>
      </c>
      <c r="CU1529" s="307" t="s">
        <v>208</v>
      </c>
      <c r="CV1529" s="307" t="s">
        <v>2614</v>
      </c>
      <c r="CW1529" s="366" t="s">
        <v>15</v>
      </c>
      <c r="CX1529" s="307">
        <v>-0.45250000000000001</v>
      </c>
      <c r="CY1529" s="307">
        <v>-0.40250000000000002</v>
      </c>
      <c r="CZ1529" s="307">
        <v>-0.42749999999999999</v>
      </c>
    </row>
    <row r="1530" spans="97:104">
      <c r="CS1530" s="332"/>
      <c r="CT1530" s="366" t="s">
        <v>4299</v>
      </c>
      <c r="CU1530" s="307" t="s">
        <v>208</v>
      </c>
      <c r="CV1530" s="307" t="s">
        <v>2614</v>
      </c>
      <c r="CW1530" s="366" t="s">
        <v>16</v>
      </c>
      <c r="CX1530" s="307">
        <v>-0.45</v>
      </c>
      <c r="CY1530" s="307">
        <v>-0.4</v>
      </c>
      <c r="CZ1530" s="307">
        <v>-0.42500000000000004</v>
      </c>
    </row>
    <row r="1531" spans="97:104">
      <c r="CS1531" s="332"/>
      <c r="CT1531" s="366" t="s">
        <v>2619</v>
      </c>
      <c r="CU1531" s="307" t="s">
        <v>208</v>
      </c>
      <c r="CV1531" s="307" t="s">
        <v>2614</v>
      </c>
      <c r="CW1531" s="366" t="s">
        <v>17</v>
      </c>
      <c r="CX1531" s="307">
        <v>-0.44624999999999998</v>
      </c>
      <c r="CY1531" s="307">
        <v>-0.39624999999999999</v>
      </c>
      <c r="CZ1531" s="307">
        <v>-0.42125000000000001</v>
      </c>
    </row>
    <row r="1532" spans="97:104">
      <c r="CS1532" s="332"/>
      <c r="CT1532" s="366" t="s">
        <v>4300</v>
      </c>
      <c r="CU1532" s="307" t="s">
        <v>208</v>
      </c>
      <c r="CV1532" s="307" t="s">
        <v>2614</v>
      </c>
      <c r="CW1532" s="366" t="s">
        <v>18</v>
      </c>
      <c r="CX1532" s="307">
        <v>-0.4325</v>
      </c>
      <c r="CY1532" s="307">
        <v>-0.38250000000000001</v>
      </c>
      <c r="CZ1532" s="307">
        <v>-0.40749999999999997</v>
      </c>
    </row>
    <row r="1533" spans="97:104">
      <c r="CS1533" s="332"/>
      <c r="CT1533" s="366" t="s">
        <v>2620</v>
      </c>
      <c r="CU1533" s="307" t="s">
        <v>208</v>
      </c>
      <c r="CV1533" s="307" t="s">
        <v>2614</v>
      </c>
      <c r="CW1533" s="366" t="s">
        <v>19</v>
      </c>
      <c r="CX1533" s="307">
        <v>-0.38874999999999998</v>
      </c>
      <c r="CY1533" s="307">
        <v>-0.33875</v>
      </c>
      <c r="CZ1533" s="307">
        <v>-0.36375000000000002</v>
      </c>
    </row>
    <row r="1534" spans="97:104">
      <c r="CS1534" s="332"/>
      <c r="CT1534" s="366" t="s">
        <v>2621</v>
      </c>
      <c r="CU1534" s="307" t="s">
        <v>208</v>
      </c>
      <c r="CV1534" s="307" t="s">
        <v>2614</v>
      </c>
      <c r="CW1534" s="366" t="s">
        <v>20</v>
      </c>
      <c r="CX1534" s="307">
        <v>-0.32124999999999998</v>
      </c>
      <c r="CY1534" s="307">
        <v>-0.27124999999999999</v>
      </c>
      <c r="CZ1534" s="307">
        <v>-0.29625000000000001</v>
      </c>
    </row>
    <row r="1535" spans="97:104">
      <c r="CS1535" s="332"/>
      <c r="CT1535" s="366" t="s">
        <v>4301</v>
      </c>
      <c r="CU1535" s="307" t="s">
        <v>208</v>
      </c>
      <c r="CV1535" s="307" t="s">
        <v>2614</v>
      </c>
      <c r="CW1535" s="366" t="s">
        <v>21</v>
      </c>
      <c r="CX1535" s="307">
        <v>-0.27124999999999999</v>
      </c>
      <c r="CY1535" s="307">
        <v>-0.22125</v>
      </c>
      <c r="CZ1535" s="307">
        <v>-0.24625</v>
      </c>
    </row>
    <row r="1536" spans="97:104">
      <c r="CS1536" s="332"/>
      <c r="CT1536" s="366" t="s">
        <v>2622</v>
      </c>
      <c r="CU1536" s="307" t="s">
        <v>208</v>
      </c>
      <c r="CV1536" s="307" t="s">
        <v>2614</v>
      </c>
      <c r="CW1536" s="366" t="s">
        <v>22</v>
      </c>
      <c r="CX1536" s="307">
        <v>-0.24374999999999999</v>
      </c>
      <c r="CY1536" s="307">
        <v>-0.19375000000000001</v>
      </c>
      <c r="CZ1536" s="307">
        <v>-0.21875</v>
      </c>
    </row>
    <row r="1537" spans="97:104">
      <c r="CS1537" s="332"/>
      <c r="CT1537" s="366" t="s">
        <v>4302</v>
      </c>
      <c r="CU1537" s="307" t="s">
        <v>208</v>
      </c>
      <c r="CV1537" s="307" t="s">
        <v>2614</v>
      </c>
      <c r="CW1537" s="366" t="s">
        <v>46</v>
      </c>
      <c r="CX1537" s="307">
        <v>-0.25624999999999998</v>
      </c>
      <c r="CY1537" s="307">
        <v>-0.20624999999999999</v>
      </c>
      <c r="CZ1537" s="307">
        <v>-0.23124999999999998</v>
      </c>
    </row>
    <row r="1538" spans="97:104">
      <c r="CS1538" s="332"/>
      <c r="CT1538" s="366" t="s">
        <v>4303</v>
      </c>
      <c r="CU1538" s="307" t="s">
        <v>208</v>
      </c>
      <c r="CV1538" s="307" t="s">
        <v>2614</v>
      </c>
      <c r="CW1538" s="366" t="s">
        <v>47</v>
      </c>
      <c r="CX1538" s="307">
        <v>-0.28375</v>
      </c>
      <c r="CY1538" s="307">
        <v>-0.23375000000000001</v>
      </c>
      <c r="CZ1538" s="307">
        <v>-0.25875000000000004</v>
      </c>
    </row>
    <row r="1539" spans="97:104">
      <c r="CS1539" s="332"/>
      <c r="CT1539" s="366" t="s">
        <v>2623</v>
      </c>
      <c r="CU1539" s="307" t="s">
        <v>208</v>
      </c>
      <c r="CV1539" s="307" t="s">
        <v>173</v>
      </c>
      <c r="CW1539" s="366" t="s">
        <v>3</v>
      </c>
      <c r="CX1539" s="307">
        <v>-0.37</v>
      </c>
      <c r="CY1539" s="307">
        <v>-0.37</v>
      </c>
      <c r="CZ1539" s="307">
        <v>-0.37</v>
      </c>
    </row>
    <row r="1540" spans="97:104">
      <c r="CS1540" s="332"/>
      <c r="CT1540" s="366" t="s">
        <v>2624</v>
      </c>
      <c r="CU1540" s="307" t="s">
        <v>208</v>
      </c>
      <c r="CV1540" s="307" t="s">
        <v>173</v>
      </c>
      <c r="CW1540" s="366" t="s">
        <v>4</v>
      </c>
      <c r="CX1540" s="307">
        <v>-0.37</v>
      </c>
      <c r="CY1540" s="307">
        <v>-0.37</v>
      </c>
      <c r="CZ1540" s="307">
        <v>-0.37</v>
      </c>
    </row>
    <row r="1541" spans="97:104">
      <c r="CS1541" s="332"/>
      <c r="CT1541" s="366" t="s">
        <v>2625</v>
      </c>
      <c r="CU1541" s="307" t="s">
        <v>208</v>
      </c>
      <c r="CV1541" s="307" t="s">
        <v>173</v>
      </c>
      <c r="CW1541" s="366" t="s">
        <v>23</v>
      </c>
      <c r="CX1541" s="307">
        <v>-0.36020857299999998</v>
      </c>
      <c r="CY1541" s="307">
        <v>-0.36020857299999998</v>
      </c>
      <c r="CZ1541" s="307">
        <v>-0.36020857299999998</v>
      </c>
    </row>
    <row r="1542" spans="97:104">
      <c r="CS1542" s="332"/>
      <c r="CT1542" s="366" t="s">
        <v>2626</v>
      </c>
      <c r="CU1542" s="307" t="s">
        <v>208</v>
      </c>
      <c r="CV1542" s="307" t="s">
        <v>173</v>
      </c>
      <c r="CW1542" s="366" t="s">
        <v>5</v>
      </c>
      <c r="CX1542" s="307">
        <v>-0.34899999999999998</v>
      </c>
      <c r="CY1542" s="307">
        <v>-0.34899999999999998</v>
      </c>
      <c r="CZ1542" s="307">
        <v>-0.34899999999999998</v>
      </c>
    </row>
    <row r="1543" spans="97:104">
      <c r="CS1543" s="332"/>
      <c r="CT1543" s="366" t="s">
        <v>2627</v>
      </c>
      <c r="CU1543" s="307" t="s">
        <v>208</v>
      </c>
      <c r="CV1543" s="307" t="s">
        <v>173</v>
      </c>
      <c r="CW1543" s="366" t="s">
        <v>6</v>
      </c>
      <c r="CX1543" s="307">
        <v>-0.34699999999999998</v>
      </c>
      <c r="CY1543" s="307">
        <v>-0.34699999999999998</v>
      </c>
      <c r="CZ1543" s="307">
        <v>-0.34699999999999998</v>
      </c>
    </row>
    <row r="1544" spans="97:104">
      <c r="CS1544" s="332"/>
      <c r="CT1544" s="366" t="s">
        <v>2628</v>
      </c>
      <c r="CU1544" s="307" t="s">
        <v>208</v>
      </c>
      <c r="CV1544" s="307" t="s">
        <v>173</v>
      </c>
      <c r="CW1544" s="366" t="s">
        <v>24</v>
      </c>
      <c r="CX1544" s="307">
        <v>-0.34799999999999998</v>
      </c>
      <c r="CY1544" s="307">
        <v>-0.34799999999999998</v>
      </c>
      <c r="CZ1544" s="307">
        <v>-0.34799999999999998</v>
      </c>
    </row>
    <row r="1545" spans="97:104">
      <c r="CS1545" s="332"/>
      <c r="CT1545" s="366" t="s">
        <v>2629</v>
      </c>
      <c r="CU1545" s="307" t="s">
        <v>208</v>
      </c>
      <c r="CV1545" s="307" t="s">
        <v>173</v>
      </c>
      <c r="CW1545" s="366" t="s">
        <v>7</v>
      </c>
      <c r="CX1545" s="307">
        <v>-0.34899999999999998</v>
      </c>
      <c r="CY1545" s="307">
        <v>-0.34899999999999998</v>
      </c>
      <c r="CZ1545" s="307">
        <v>-0.34899999999999998</v>
      </c>
    </row>
    <row r="1546" spans="97:104">
      <c r="CS1546" s="332"/>
      <c r="CT1546" s="366" t="s">
        <v>2630</v>
      </c>
      <c r="CU1546" s="307" t="s">
        <v>208</v>
      </c>
      <c r="CV1546" s="307" t="s">
        <v>173</v>
      </c>
      <c r="CW1546" s="366" t="s">
        <v>8</v>
      </c>
      <c r="CX1546" s="307">
        <v>-0.34699999999999998</v>
      </c>
      <c r="CY1546" s="307">
        <v>-0.34699999999999998</v>
      </c>
      <c r="CZ1546" s="307">
        <v>-0.34699999999999998</v>
      </c>
    </row>
    <row r="1547" spans="97:104">
      <c r="CS1547" s="332"/>
      <c r="CT1547" s="366" t="s">
        <v>2631</v>
      </c>
      <c r="CU1547" s="307" t="s">
        <v>208</v>
      </c>
      <c r="CV1547" s="307" t="s">
        <v>173</v>
      </c>
      <c r="CW1547" s="366" t="s">
        <v>25</v>
      </c>
      <c r="CX1547" s="307">
        <v>-0.348606745</v>
      </c>
      <c r="CY1547" s="307">
        <v>-0.348606745</v>
      </c>
      <c r="CZ1547" s="307">
        <v>-0.348606745</v>
      </c>
    </row>
    <row r="1548" spans="97:104">
      <c r="CS1548" s="332"/>
      <c r="CT1548" s="366" t="s">
        <v>2632</v>
      </c>
      <c r="CU1548" s="307" t="s">
        <v>208</v>
      </c>
      <c r="CV1548" s="307" t="s">
        <v>173</v>
      </c>
      <c r="CW1548" s="366" t="s">
        <v>26</v>
      </c>
      <c r="CX1548" s="307">
        <v>-0.34899672599999998</v>
      </c>
      <c r="CY1548" s="307">
        <v>-0.34899672599999998</v>
      </c>
      <c r="CZ1548" s="307">
        <v>-0.34899672599999998</v>
      </c>
    </row>
    <row r="1549" spans="97:104">
      <c r="CS1549" s="332"/>
      <c r="CT1549" s="366" t="s">
        <v>2633</v>
      </c>
      <c r="CU1549" s="307" t="s">
        <v>208</v>
      </c>
      <c r="CV1549" s="307" t="s">
        <v>173</v>
      </c>
      <c r="CW1549" s="366" t="s">
        <v>27</v>
      </c>
      <c r="CX1549" s="307">
        <v>-0.35012420399999999</v>
      </c>
      <c r="CY1549" s="307">
        <v>-0.35012420399999999</v>
      </c>
      <c r="CZ1549" s="307">
        <v>-0.35012420399999999</v>
      </c>
    </row>
    <row r="1550" spans="97:104">
      <c r="CS1550" s="332"/>
      <c r="CT1550" s="366" t="s">
        <v>2634</v>
      </c>
      <c r="CU1550" s="307" t="s">
        <v>208</v>
      </c>
      <c r="CV1550" s="307" t="s">
        <v>173</v>
      </c>
      <c r="CW1550" s="366" t="s">
        <v>28</v>
      </c>
      <c r="CX1550" s="307">
        <v>-0.35158722199999998</v>
      </c>
      <c r="CY1550" s="307">
        <v>-0.35158722199999998</v>
      </c>
      <c r="CZ1550" s="307">
        <v>-0.35158722199999998</v>
      </c>
    </row>
    <row r="1551" spans="97:104">
      <c r="CS1551" s="332"/>
      <c r="CT1551" s="366" t="s">
        <v>2635</v>
      </c>
      <c r="CU1551" s="307" t="s">
        <v>208</v>
      </c>
      <c r="CV1551" s="307" t="s">
        <v>173</v>
      </c>
      <c r="CW1551" s="366" t="s">
        <v>29</v>
      </c>
      <c r="CX1551" s="307">
        <v>-0.35273638600000001</v>
      </c>
      <c r="CY1551" s="307">
        <v>-0.35273638600000001</v>
      </c>
      <c r="CZ1551" s="307">
        <v>-0.35273638600000001</v>
      </c>
    </row>
    <row r="1552" spans="97:104">
      <c r="CS1552" s="332"/>
      <c r="CT1552" s="366" t="s">
        <v>2636</v>
      </c>
      <c r="CU1552" s="307" t="s">
        <v>208</v>
      </c>
      <c r="CV1552" s="307" t="s">
        <v>173</v>
      </c>
      <c r="CW1552" s="366" t="s">
        <v>30</v>
      </c>
      <c r="CX1552" s="307">
        <v>-0.35327398300000001</v>
      </c>
      <c r="CY1552" s="307">
        <v>-0.35327398300000001</v>
      </c>
      <c r="CZ1552" s="307">
        <v>-0.35327398300000001</v>
      </c>
    </row>
    <row r="1553" spans="97:104">
      <c r="CS1553" s="332"/>
      <c r="CT1553" s="366" t="s">
        <v>2637</v>
      </c>
      <c r="CU1553" s="307" t="s">
        <v>208</v>
      </c>
      <c r="CV1553" s="307" t="s">
        <v>173</v>
      </c>
      <c r="CW1553" s="366" t="s">
        <v>49</v>
      </c>
      <c r="CX1553" s="307">
        <v>-0.35368229699999998</v>
      </c>
      <c r="CY1553" s="307">
        <v>-0.35368229699999998</v>
      </c>
      <c r="CZ1553" s="307">
        <v>-0.35368229699999998</v>
      </c>
    </row>
    <row r="1554" spans="97:104">
      <c r="CS1554" s="332"/>
      <c r="CT1554" s="366" t="s">
        <v>2638</v>
      </c>
      <c r="CU1554" s="307" t="s">
        <v>208</v>
      </c>
      <c r="CV1554" s="307" t="s">
        <v>173</v>
      </c>
      <c r="CW1554" s="366" t="s">
        <v>50</v>
      </c>
      <c r="CX1554" s="307">
        <v>-0.35382338499999999</v>
      </c>
      <c r="CY1554" s="307">
        <v>-0.35382338499999999</v>
      </c>
      <c r="CZ1554" s="307">
        <v>-0.35382338499999999</v>
      </c>
    </row>
    <row r="1555" spans="97:104">
      <c r="CS1555" s="332"/>
      <c r="CT1555" s="366" t="s">
        <v>2639</v>
      </c>
      <c r="CU1555" s="307" t="s">
        <v>208</v>
      </c>
      <c r="CV1555" s="307" t="s">
        <v>173</v>
      </c>
      <c r="CW1555" s="366" t="s">
        <v>51</v>
      </c>
      <c r="CX1555" s="307">
        <v>-0.35356841999999999</v>
      </c>
      <c r="CY1555" s="307">
        <v>-0.35356841999999999</v>
      </c>
      <c r="CZ1555" s="307">
        <v>-0.35356841999999999</v>
      </c>
    </row>
    <row r="1556" spans="97:104">
      <c r="CS1556" s="332"/>
      <c r="CT1556" s="366" t="s">
        <v>2640</v>
      </c>
      <c r="CU1556" s="307" t="s">
        <v>208</v>
      </c>
      <c r="CV1556" s="307" t="s">
        <v>173</v>
      </c>
      <c r="CW1556" s="366" t="s">
        <v>56</v>
      </c>
      <c r="CX1556" s="307">
        <v>-0.35331505000000002</v>
      </c>
      <c r="CY1556" s="307">
        <v>-0.35331505000000002</v>
      </c>
      <c r="CZ1556" s="307">
        <v>-0.35331505000000002</v>
      </c>
    </row>
    <row r="1557" spans="97:104">
      <c r="CS1557" s="332"/>
      <c r="CT1557" s="366" t="s">
        <v>2641</v>
      </c>
      <c r="CU1557" s="307" t="s">
        <v>208</v>
      </c>
      <c r="CV1557" s="307" t="s">
        <v>173</v>
      </c>
      <c r="CW1557" s="366" t="s">
        <v>57</v>
      </c>
      <c r="CX1557" s="307">
        <v>-0.353226492</v>
      </c>
      <c r="CY1557" s="307">
        <v>-0.353226492</v>
      </c>
      <c r="CZ1557" s="307">
        <v>-0.353226492</v>
      </c>
    </row>
    <row r="1558" spans="97:104">
      <c r="CS1558" s="332"/>
      <c r="CT1558" s="366" t="s">
        <v>2642</v>
      </c>
      <c r="CU1558" s="307" t="s">
        <v>208</v>
      </c>
      <c r="CV1558" s="307" t="s">
        <v>173</v>
      </c>
      <c r="CW1558" s="366" t="s">
        <v>58</v>
      </c>
      <c r="CX1558" s="307">
        <v>-0.35277767900000001</v>
      </c>
      <c r="CY1558" s="307">
        <v>-0.35277767900000001</v>
      </c>
      <c r="CZ1558" s="307">
        <v>-0.35277767900000001</v>
      </c>
    </row>
    <row r="1559" spans="97:104">
      <c r="CS1559" s="332"/>
      <c r="CT1559" s="366" t="s">
        <v>2643</v>
      </c>
      <c r="CU1559" s="307" t="s">
        <v>208</v>
      </c>
      <c r="CV1559" s="307" t="s">
        <v>173</v>
      </c>
      <c r="CW1559" s="366" t="s">
        <v>53</v>
      </c>
      <c r="CX1559" s="307">
        <v>-0.35199999999999998</v>
      </c>
      <c r="CY1559" s="307">
        <v>-0.35199999999999998</v>
      </c>
      <c r="CZ1559" s="307">
        <v>-0.35199999999999998</v>
      </c>
    </row>
    <row r="1560" spans="97:104">
      <c r="CS1560" s="332"/>
      <c r="CT1560" s="366" t="s">
        <v>2644</v>
      </c>
      <c r="CU1560" s="307" t="s">
        <v>208</v>
      </c>
      <c r="CV1560" s="307" t="s">
        <v>173</v>
      </c>
      <c r="CW1560" s="366" t="s">
        <v>59</v>
      </c>
      <c r="CX1560" s="307">
        <v>-0.351173034</v>
      </c>
      <c r="CY1560" s="307">
        <v>-0.351173034</v>
      </c>
      <c r="CZ1560" s="307">
        <v>-0.351173034</v>
      </c>
    </row>
    <row r="1561" spans="97:104">
      <c r="CS1561" s="332"/>
      <c r="CT1561" s="366" t="s">
        <v>2645</v>
      </c>
      <c r="CU1561" s="307" t="s">
        <v>208</v>
      </c>
      <c r="CV1561" s="307" t="s">
        <v>173</v>
      </c>
      <c r="CW1561" s="366" t="s">
        <v>60</v>
      </c>
      <c r="CX1561" s="307">
        <v>-0.35015672799999997</v>
      </c>
      <c r="CY1561" s="307">
        <v>-0.35015672799999997</v>
      </c>
      <c r="CZ1561" s="307">
        <v>-0.35015672799999997</v>
      </c>
    </row>
    <row r="1562" spans="97:104">
      <c r="CS1562" s="332"/>
      <c r="CT1562" s="366" t="s">
        <v>2646</v>
      </c>
      <c r="CU1562" s="307" t="s">
        <v>208</v>
      </c>
      <c r="CV1562" s="307" t="s">
        <v>173</v>
      </c>
      <c r="CW1562" s="366" t="s">
        <v>54</v>
      </c>
      <c r="CX1562" s="307">
        <v>-0.34899999999999998</v>
      </c>
      <c r="CY1562" s="307">
        <v>-0.34899999999999998</v>
      </c>
      <c r="CZ1562" s="307">
        <v>-0.34899999999999998</v>
      </c>
    </row>
    <row r="1563" spans="97:104">
      <c r="CS1563" s="332"/>
      <c r="CT1563" s="366" t="s">
        <v>2647</v>
      </c>
      <c r="CU1563" s="307" t="s">
        <v>208</v>
      </c>
      <c r="CV1563" s="307" t="s">
        <v>173</v>
      </c>
      <c r="CW1563" s="366" t="s">
        <v>61</v>
      </c>
      <c r="CX1563" s="307">
        <v>-0.34763409099999998</v>
      </c>
      <c r="CY1563" s="307">
        <v>-0.34763409099999998</v>
      </c>
      <c r="CZ1563" s="307">
        <v>-0.34763409099999998</v>
      </c>
    </row>
    <row r="1564" spans="97:104">
      <c r="CS1564" s="332"/>
      <c r="CT1564" s="366" t="s">
        <v>2648</v>
      </c>
      <c r="CU1564" s="307" t="s">
        <v>208</v>
      </c>
      <c r="CV1564" s="307" t="s">
        <v>173</v>
      </c>
      <c r="CW1564" s="366" t="s">
        <v>62</v>
      </c>
      <c r="CX1564" s="307">
        <v>-0.34607578900000002</v>
      </c>
      <c r="CY1564" s="307">
        <v>-0.34607578900000002</v>
      </c>
      <c r="CZ1564" s="307">
        <v>-0.34607578900000002</v>
      </c>
    </row>
    <row r="1565" spans="97:104">
      <c r="CS1565" s="332"/>
      <c r="CT1565" s="366" t="s">
        <v>2649</v>
      </c>
      <c r="CU1565" s="307" t="s">
        <v>208</v>
      </c>
      <c r="CV1565" s="307" t="s">
        <v>173</v>
      </c>
      <c r="CW1565" s="366" t="s">
        <v>55</v>
      </c>
      <c r="CX1565" s="307">
        <v>-0.34399999999999997</v>
      </c>
      <c r="CY1565" s="307">
        <v>-0.34399999999999997</v>
      </c>
      <c r="CZ1565" s="307">
        <v>-0.34399999999999997</v>
      </c>
    </row>
    <row r="1566" spans="97:104">
      <c r="CS1566" s="332"/>
      <c r="CT1566" s="366" t="s">
        <v>2650</v>
      </c>
      <c r="CU1566" s="307" t="s">
        <v>208</v>
      </c>
      <c r="CV1566" s="307" t="s">
        <v>173</v>
      </c>
      <c r="CW1566" s="366" t="s">
        <v>63</v>
      </c>
      <c r="CX1566" s="307">
        <v>-0.34180125</v>
      </c>
      <c r="CY1566" s="307">
        <v>-0.34180125</v>
      </c>
      <c r="CZ1566" s="307">
        <v>-0.34180125</v>
      </c>
    </row>
    <row r="1567" spans="97:104">
      <c r="CS1567" s="332"/>
      <c r="CT1567" s="366" t="s">
        <v>2651</v>
      </c>
      <c r="CU1567" s="307" t="s">
        <v>208</v>
      </c>
      <c r="CV1567" s="307" t="s">
        <v>173</v>
      </c>
      <c r="CW1567" s="366" t="s">
        <v>64</v>
      </c>
      <c r="CX1567" s="307">
        <v>-0.33916923700000001</v>
      </c>
      <c r="CY1567" s="307">
        <v>-0.33916923700000001</v>
      </c>
      <c r="CZ1567" s="307">
        <v>-0.33916923700000001</v>
      </c>
    </row>
    <row r="1568" spans="97:104">
      <c r="CS1568" s="332"/>
      <c r="CT1568" s="366" t="s">
        <v>2652</v>
      </c>
      <c r="CU1568" s="307" t="s">
        <v>208</v>
      </c>
      <c r="CV1568" s="307" t="s">
        <v>173</v>
      </c>
      <c r="CW1568" s="366" t="s">
        <v>9</v>
      </c>
      <c r="CX1568" s="307">
        <v>-0.33600000000000002</v>
      </c>
      <c r="CY1568" s="307">
        <v>-0.33600000000000002</v>
      </c>
      <c r="CZ1568" s="307">
        <v>-0.33600000000000002</v>
      </c>
    </row>
    <row r="1569" spans="97:104">
      <c r="CS1569" s="332"/>
      <c r="CT1569" s="366" t="s">
        <v>2653</v>
      </c>
      <c r="CU1569" s="307" t="s">
        <v>208</v>
      </c>
      <c r="CV1569" s="307" t="s">
        <v>173</v>
      </c>
      <c r="CW1569" s="366" t="s">
        <v>10</v>
      </c>
      <c r="CX1569" s="307">
        <v>-0.28199999999999997</v>
      </c>
      <c r="CY1569" s="307">
        <v>-0.28199999999999997</v>
      </c>
      <c r="CZ1569" s="307">
        <v>-0.28199999999999997</v>
      </c>
    </row>
    <row r="1570" spans="97:104">
      <c r="CS1570" s="332"/>
      <c r="CT1570" s="366" t="s">
        <v>2654</v>
      </c>
      <c r="CU1570" s="307" t="s">
        <v>208</v>
      </c>
      <c r="CV1570" s="307" t="s">
        <v>173</v>
      </c>
      <c r="CW1570" s="366" t="s">
        <v>11</v>
      </c>
      <c r="CX1570" s="307">
        <v>-0.20799999999999999</v>
      </c>
      <c r="CY1570" s="307">
        <v>-0.20799999999999999</v>
      </c>
      <c r="CZ1570" s="307">
        <v>-0.20799999999999999</v>
      </c>
    </row>
    <row r="1571" spans="97:104">
      <c r="CS1571" s="332"/>
      <c r="CT1571" s="366" t="s">
        <v>2655</v>
      </c>
      <c r="CU1571" s="307" t="s">
        <v>208</v>
      </c>
      <c r="CV1571" s="307" t="s">
        <v>173</v>
      </c>
      <c r="CW1571" s="366" t="s">
        <v>12</v>
      </c>
      <c r="CX1571" s="307">
        <v>-0.113</v>
      </c>
      <c r="CY1571" s="307">
        <v>-0.113</v>
      </c>
      <c r="CZ1571" s="307">
        <v>-0.113</v>
      </c>
    </row>
    <row r="1572" spans="97:104">
      <c r="CS1572" s="332"/>
      <c r="CT1572" s="366" t="s">
        <v>2656</v>
      </c>
      <c r="CU1572" s="307" t="s">
        <v>208</v>
      </c>
      <c r="CV1572" s="307" t="s">
        <v>173</v>
      </c>
      <c r="CW1572" s="366" t="s">
        <v>13</v>
      </c>
      <c r="CX1572" s="307">
        <v>-5.0000000000000001E-3</v>
      </c>
      <c r="CY1572" s="307">
        <v>-5.0000000000000001E-3</v>
      </c>
      <c r="CZ1572" s="307">
        <v>-5.0000000000000001E-3</v>
      </c>
    </row>
    <row r="1573" spans="97:104">
      <c r="CS1573" s="332"/>
      <c r="CT1573" s="366" t="s">
        <v>2657</v>
      </c>
      <c r="CU1573" s="307" t="s">
        <v>208</v>
      </c>
      <c r="CV1573" s="307" t="s">
        <v>173</v>
      </c>
      <c r="CW1573" s="366" t="s">
        <v>14</v>
      </c>
      <c r="CX1573" s="307">
        <v>0.109</v>
      </c>
      <c r="CY1573" s="307">
        <v>0.109</v>
      </c>
      <c r="CZ1573" s="307">
        <v>0.109</v>
      </c>
    </row>
    <row r="1574" spans="97:104">
      <c r="CS1574" s="332"/>
      <c r="CT1574" s="366" t="s">
        <v>2658</v>
      </c>
      <c r="CU1574" s="307" t="s">
        <v>208</v>
      </c>
      <c r="CV1574" s="307" t="s">
        <v>173</v>
      </c>
      <c r="CW1574" s="366" t="s">
        <v>15</v>
      </c>
      <c r="CX1574" s="307">
        <v>0.22600000000000001</v>
      </c>
      <c r="CY1574" s="307">
        <v>0.22600000000000001</v>
      </c>
      <c r="CZ1574" s="307">
        <v>0.22600000000000001</v>
      </c>
    </row>
    <row r="1575" spans="97:104">
      <c r="CS1575" s="332"/>
      <c r="CT1575" s="366" t="s">
        <v>2659</v>
      </c>
      <c r="CU1575" s="307" t="s">
        <v>208</v>
      </c>
      <c r="CV1575" s="307" t="s">
        <v>173</v>
      </c>
      <c r="CW1575" s="366" t="s">
        <v>16</v>
      </c>
      <c r="CX1575" s="307">
        <v>0.33800000000000002</v>
      </c>
      <c r="CY1575" s="307">
        <v>0.33800000000000002</v>
      </c>
      <c r="CZ1575" s="307">
        <v>0.33800000000000002</v>
      </c>
    </row>
    <row r="1576" spans="97:104">
      <c r="CS1576" s="332"/>
      <c r="CT1576" s="366" t="s">
        <v>2660</v>
      </c>
      <c r="CU1576" s="307" t="s">
        <v>208</v>
      </c>
      <c r="CV1576" s="307" t="s">
        <v>173</v>
      </c>
      <c r="CW1576" s="366" t="s">
        <v>17</v>
      </c>
      <c r="CX1576" s="307">
        <v>0.441</v>
      </c>
      <c r="CY1576" s="307">
        <v>0.441</v>
      </c>
      <c r="CZ1576" s="307">
        <v>0.441</v>
      </c>
    </row>
    <row r="1577" spans="97:104">
      <c r="CS1577" s="332"/>
      <c r="CT1577" s="366" t="s">
        <v>2661</v>
      </c>
      <c r="CU1577" s="307" t="s">
        <v>208</v>
      </c>
      <c r="CV1577" s="307" t="s">
        <v>173</v>
      </c>
      <c r="CW1577" s="366" t="s">
        <v>31</v>
      </c>
      <c r="CX1577" s="307">
        <v>0.53500000000000003</v>
      </c>
      <c r="CY1577" s="307">
        <v>0.53500000000000003</v>
      </c>
      <c r="CZ1577" s="307">
        <v>0.53500000000000003</v>
      </c>
    </row>
    <row r="1578" spans="97:104">
      <c r="CS1578" s="332"/>
      <c r="CT1578" s="366" t="s">
        <v>2662</v>
      </c>
      <c r="CU1578" s="307" t="s">
        <v>208</v>
      </c>
      <c r="CV1578" s="307" t="s">
        <v>173</v>
      </c>
      <c r="CW1578" s="366" t="s">
        <v>18</v>
      </c>
      <c r="CX1578" s="307">
        <v>0.61899999999999999</v>
      </c>
      <c r="CY1578" s="307">
        <v>0.61899999999999999</v>
      </c>
      <c r="CZ1578" s="307">
        <v>0.61899999999999999</v>
      </c>
    </row>
    <row r="1579" spans="97:104">
      <c r="CS1579" s="332"/>
      <c r="CT1579" s="366" t="s">
        <v>2663</v>
      </c>
      <c r="CU1579" s="307" t="s">
        <v>208</v>
      </c>
      <c r="CV1579" s="307" t="s">
        <v>173</v>
      </c>
      <c r="CW1579" s="366" t="s">
        <v>32</v>
      </c>
      <c r="CX1579" s="307">
        <v>0.69175642699999995</v>
      </c>
      <c r="CY1579" s="307">
        <v>0.69175642699999995</v>
      </c>
      <c r="CZ1579" s="307">
        <v>0.69175642699999995</v>
      </c>
    </row>
    <row r="1580" spans="97:104">
      <c r="CS1580" s="332"/>
      <c r="CT1580" s="366" t="s">
        <v>2664</v>
      </c>
      <c r="CU1580" s="307" t="s">
        <v>208</v>
      </c>
      <c r="CV1580" s="307" t="s">
        <v>173</v>
      </c>
      <c r="CW1580" s="366" t="s">
        <v>33</v>
      </c>
      <c r="CX1580" s="307">
        <v>0.75486929700000005</v>
      </c>
      <c r="CY1580" s="307">
        <v>0.75486929700000005</v>
      </c>
      <c r="CZ1580" s="307">
        <v>0.75486929700000005</v>
      </c>
    </row>
    <row r="1581" spans="97:104">
      <c r="CS1581" s="332"/>
      <c r="CT1581" s="366" t="s">
        <v>2665</v>
      </c>
      <c r="CU1581" s="307" t="s">
        <v>208</v>
      </c>
      <c r="CV1581" s="307" t="s">
        <v>173</v>
      </c>
      <c r="CW1581" s="366" t="s">
        <v>19</v>
      </c>
      <c r="CX1581" s="307">
        <v>0.80900000000000005</v>
      </c>
      <c r="CY1581" s="307">
        <v>0.80900000000000005</v>
      </c>
      <c r="CZ1581" s="307">
        <v>0.80900000000000005</v>
      </c>
    </row>
    <row r="1582" spans="97:104">
      <c r="CS1582" s="332"/>
      <c r="CT1582" s="366" t="s">
        <v>2666</v>
      </c>
      <c r="CU1582" s="307" t="s">
        <v>208</v>
      </c>
      <c r="CV1582" s="307" t="s">
        <v>173</v>
      </c>
      <c r="CW1582" s="366" t="s">
        <v>34</v>
      </c>
      <c r="CX1582" s="307">
        <v>0.85467638099999999</v>
      </c>
      <c r="CY1582" s="307">
        <v>0.85467638099999999</v>
      </c>
      <c r="CZ1582" s="307">
        <v>0.85467638099999999</v>
      </c>
    </row>
    <row r="1583" spans="97:104">
      <c r="CS1583" s="332"/>
      <c r="CT1583" s="366" t="s">
        <v>2667</v>
      </c>
      <c r="CU1583" s="307" t="s">
        <v>208</v>
      </c>
      <c r="CV1583" s="307" t="s">
        <v>173</v>
      </c>
      <c r="CW1583" s="366" t="s">
        <v>35</v>
      </c>
      <c r="CX1583" s="307">
        <v>0.89256761900000003</v>
      </c>
      <c r="CY1583" s="307">
        <v>0.89256761900000003</v>
      </c>
      <c r="CZ1583" s="307">
        <v>0.89256761900000003</v>
      </c>
    </row>
    <row r="1584" spans="97:104">
      <c r="CS1584" s="332"/>
      <c r="CT1584" s="366" t="s">
        <v>2668</v>
      </c>
      <c r="CU1584" s="307" t="s">
        <v>208</v>
      </c>
      <c r="CV1584" s="307" t="s">
        <v>173</v>
      </c>
      <c r="CW1584" s="366" t="s">
        <v>36</v>
      </c>
      <c r="CX1584" s="307">
        <v>0.92394087899999999</v>
      </c>
      <c r="CY1584" s="307">
        <v>0.92394087899999999</v>
      </c>
      <c r="CZ1584" s="307">
        <v>0.92394087899999999</v>
      </c>
    </row>
    <row r="1585" spans="97:104">
      <c r="CS1585" s="332"/>
      <c r="CT1585" s="366" t="s">
        <v>2669</v>
      </c>
      <c r="CU1585" s="307" t="s">
        <v>208</v>
      </c>
      <c r="CV1585" s="307" t="s">
        <v>173</v>
      </c>
      <c r="CW1585" s="366" t="s">
        <v>37</v>
      </c>
      <c r="CX1585" s="307">
        <v>0.94933569799999995</v>
      </c>
      <c r="CY1585" s="307">
        <v>0.94933569799999995</v>
      </c>
      <c r="CZ1585" s="307">
        <v>0.94933569799999995</v>
      </c>
    </row>
    <row r="1586" spans="97:104">
      <c r="CS1586" s="332"/>
      <c r="CT1586" s="366" t="s">
        <v>2670</v>
      </c>
      <c r="CU1586" s="307" t="s">
        <v>208</v>
      </c>
      <c r="CV1586" s="307" t="s">
        <v>173</v>
      </c>
      <c r="CW1586" s="366" t="s">
        <v>20</v>
      </c>
      <c r="CX1586" s="307">
        <v>0.97</v>
      </c>
      <c r="CY1586" s="307">
        <v>0.97</v>
      </c>
      <c r="CZ1586" s="307">
        <v>0.97</v>
      </c>
    </row>
    <row r="1587" spans="97:104">
      <c r="CS1587" s="332"/>
      <c r="CT1587" s="366" t="s">
        <v>2671</v>
      </c>
      <c r="CU1587" s="307" t="s">
        <v>208</v>
      </c>
      <c r="CV1587" s="307" t="s">
        <v>173</v>
      </c>
      <c r="CW1587" s="366" t="s">
        <v>38</v>
      </c>
      <c r="CX1587" s="307">
        <v>0.98671107999999996</v>
      </c>
      <c r="CY1587" s="307">
        <v>0.98671107999999996</v>
      </c>
      <c r="CZ1587" s="307">
        <v>0.98671107999999996</v>
      </c>
    </row>
    <row r="1588" spans="97:104">
      <c r="CS1588" s="332"/>
      <c r="CT1588" s="366" t="s">
        <v>2672</v>
      </c>
      <c r="CU1588" s="307" t="s">
        <v>208</v>
      </c>
      <c r="CV1588" s="307" t="s">
        <v>173</v>
      </c>
      <c r="CW1588" s="366" t="s">
        <v>39</v>
      </c>
      <c r="CX1588" s="307">
        <v>1.001146603</v>
      </c>
      <c r="CY1588" s="307">
        <v>1.001146603</v>
      </c>
      <c r="CZ1588" s="307">
        <v>1.001146603</v>
      </c>
    </row>
    <row r="1589" spans="97:104">
      <c r="CS1589" s="332"/>
      <c r="CT1589" s="366" t="s">
        <v>2673</v>
      </c>
      <c r="CU1589" s="307" t="s">
        <v>208</v>
      </c>
      <c r="CV1589" s="307" t="s">
        <v>173</v>
      </c>
      <c r="CW1589" s="366" t="s">
        <v>40</v>
      </c>
      <c r="CX1589" s="307">
        <v>1.011930515</v>
      </c>
      <c r="CY1589" s="307">
        <v>1.011930515</v>
      </c>
      <c r="CZ1589" s="307">
        <v>1.011930515</v>
      </c>
    </row>
    <row r="1590" spans="97:104">
      <c r="CS1590" s="332"/>
      <c r="CT1590" s="366" t="s">
        <v>2674</v>
      </c>
      <c r="CU1590" s="307" t="s">
        <v>208</v>
      </c>
      <c r="CV1590" s="307" t="s">
        <v>173</v>
      </c>
      <c r="CW1590" s="366" t="s">
        <v>41</v>
      </c>
      <c r="CX1590" s="307">
        <v>1.0197194190000001</v>
      </c>
      <c r="CY1590" s="307">
        <v>1.0197194190000001</v>
      </c>
      <c r="CZ1590" s="307">
        <v>1.0197194190000001</v>
      </c>
    </row>
    <row r="1591" spans="97:104">
      <c r="CS1591" s="332"/>
      <c r="CT1591" s="366" t="s">
        <v>2675</v>
      </c>
      <c r="CU1591" s="307" t="s">
        <v>208</v>
      </c>
      <c r="CV1591" s="307" t="s">
        <v>173</v>
      </c>
      <c r="CW1591" s="366" t="s">
        <v>21</v>
      </c>
      <c r="CX1591" s="307">
        <v>1.0269999999999999</v>
      </c>
      <c r="CY1591" s="307">
        <v>1.0269999999999999</v>
      </c>
      <c r="CZ1591" s="307">
        <v>1.0269999999999999</v>
      </c>
    </row>
    <row r="1592" spans="97:104">
      <c r="CS1592" s="332"/>
      <c r="CT1592" s="366" t="s">
        <v>2676</v>
      </c>
      <c r="CU1592" s="307" t="s">
        <v>208</v>
      </c>
      <c r="CV1592" s="307" t="s">
        <v>173</v>
      </c>
      <c r="CW1592" s="366" t="s">
        <v>42</v>
      </c>
      <c r="CX1592" s="307">
        <v>1.0333738050000001</v>
      </c>
      <c r="CY1592" s="307">
        <v>1.0333738050000001</v>
      </c>
      <c r="CZ1592" s="307">
        <v>1.0333738050000001</v>
      </c>
    </row>
    <row r="1593" spans="97:104">
      <c r="CS1593" s="332"/>
      <c r="CT1593" s="366" t="s">
        <v>2677</v>
      </c>
      <c r="CU1593" s="307" t="s">
        <v>208</v>
      </c>
      <c r="CV1593" s="307" t="s">
        <v>173</v>
      </c>
      <c r="CW1593" s="366" t="s">
        <v>43</v>
      </c>
      <c r="CX1593" s="307">
        <v>1.0389821749999999</v>
      </c>
      <c r="CY1593" s="307">
        <v>1.0389821749999999</v>
      </c>
      <c r="CZ1593" s="307">
        <v>1.0389821749999999</v>
      </c>
    </row>
    <row r="1594" spans="97:104">
      <c r="CS1594" s="332"/>
      <c r="CT1594" s="366" t="s">
        <v>2678</v>
      </c>
      <c r="CU1594" s="307" t="s">
        <v>208</v>
      </c>
      <c r="CV1594" s="307" t="s">
        <v>173</v>
      </c>
      <c r="CW1594" s="366" t="s">
        <v>44</v>
      </c>
      <c r="CX1594" s="307">
        <v>1.043915505</v>
      </c>
      <c r="CY1594" s="307">
        <v>1.043915505</v>
      </c>
      <c r="CZ1594" s="307">
        <v>1.043915505</v>
      </c>
    </row>
    <row r="1595" spans="97:104">
      <c r="CS1595" s="332"/>
      <c r="CT1595" s="366" t="s">
        <v>2679</v>
      </c>
      <c r="CU1595" s="307" t="s">
        <v>208</v>
      </c>
      <c r="CV1595" s="307" t="s">
        <v>173</v>
      </c>
      <c r="CW1595" s="366" t="s">
        <v>45</v>
      </c>
      <c r="CX1595" s="307">
        <v>1.048244714</v>
      </c>
      <c r="CY1595" s="307">
        <v>1.048244714</v>
      </c>
      <c r="CZ1595" s="307">
        <v>1.048244714</v>
      </c>
    </row>
    <row r="1596" spans="97:104">
      <c r="CS1596" s="332"/>
      <c r="CT1596" s="366" t="s">
        <v>2680</v>
      </c>
      <c r="CU1596" s="307" t="s">
        <v>208</v>
      </c>
      <c r="CV1596" s="307" t="s">
        <v>173</v>
      </c>
      <c r="CW1596" s="366" t="s">
        <v>22</v>
      </c>
      <c r="CX1596" s="307">
        <v>1.052</v>
      </c>
      <c r="CY1596" s="307">
        <v>1.052</v>
      </c>
      <c r="CZ1596" s="307">
        <v>1.052</v>
      </c>
    </row>
    <row r="1597" spans="97:104">
      <c r="CS1597" s="332"/>
      <c r="CT1597" s="366" t="s">
        <v>2681</v>
      </c>
      <c r="CU1597" s="307" t="s">
        <v>208</v>
      </c>
      <c r="CV1597" s="307" t="s">
        <v>173</v>
      </c>
      <c r="CW1597" s="366" t="s">
        <v>167</v>
      </c>
      <c r="CX1597" s="307">
        <v>1.063314597</v>
      </c>
      <c r="CY1597" s="307">
        <v>1.063314597</v>
      </c>
      <c r="CZ1597" s="307">
        <v>1.063314597</v>
      </c>
    </row>
    <row r="1598" spans="97:104">
      <c r="CS1598" s="332"/>
      <c r="CT1598" s="366" t="s">
        <v>2682</v>
      </c>
      <c r="CU1598" s="307" t="s">
        <v>208</v>
      </c>
      <c r="CV1598" s="307" t="s">
        <v>173</v>
      </c>
      <c r="CW1598" s="366" t="s">
        <v>46</v>
      </c>
      <c r="CX1598" s="307">
        <v>1.06</v>
      </c>
      <c r="CY1598" s="307">
        <v>1.06</v>
      </c>
      <c r="CZ1598" s="307">
        <v>1.06</v>
      </c>
    </row>
    <row r="1599" spans="97:104">
      <c r="CS1599" s="332"/>
      <c r="CT1599" s="366" t="s">
        <v>2683</v>
      </c>
      <c r="CU1599" s="307" t="s">
        <v>208</v>
      </c>
      <c r="CV1599" s="307" t="s">
        <v>173</v>
      </c>
      <c r="CW1599" s="366" t="s">
        <v>47</v>
      </c>
      <c r="CX1599" s="307">
        <v>1.02</v>
      </c>
      <c r="CY1599" s="307">
        <v>1.02</v>
      </c>
      <c r="CZ1599" s="307">
        <v>1.02</v>
      </c>
    </row>
    <row r="1600" spans="97:104">
      <c r="CS1600" s="332"/>
      <c r="CT1600" s="366" t="s">
        <v>2684</v>
      </c>
      <c r="CU1600" s="307" t="s">
        <v>208</v>
      </c>
      <c r="CV1600" s="307" t="s">
        <v>173</v>
      </c>
      <c r="CW1600" s="366" t="s">
        <v>48</v>
      </c>
      <c r="CX1600" s="307">
        <v>0.995</v>
      </c>
      <c r="CY1600" s="307">
        <v>0.995</v>
      </c>
      <c r="CZ1600" s="307">
        <v>0.995</v>
      </c>
    </row>
    <row r="1601" spans="97:104">
      <c r="CS1601" s="332"/>
      <c r="CT1601" s="366" t="s">
        <v>2685</v>
      </c>
      <c r="CU1601" s="307" t="s">
        <v>208</v>
      </c>
      <c r="CV1601" s="307" t="s">
        <v>172</v>
      </c>
      <c r="CW1601" s="366" t="s">
        <v>3</v>
      </c>
      <c r="CX1601" s="307">
        <v>-0.37</v>
      </c>
      <c r="CY1601" s="307">
        <v>-0.37</v>
      </c>
      <c r="CZ1601" s="307">
        <v>-0.37</v>
      </c>
    </row>
    <row r="1602" spans="97:104">
      <c r="CS1602" s="332"/>
      <c r="CT1602" s="366" t="s">
        <v>2686</v>
      </c>
      <c r="CU1602" s="307" t="s">
        <v>208</v>
      </c>
      <c r="CV1602" s="307" t="s">
        <v>172</v>
      </c>
      <c r="CW1602" s="366" t="s">
        <v>4</v>
      </c>
      <c r="CX1602" s="307">
        <v>-0.37</v>
      </c>
      <c r="CY1602" s="307">
        <v>-0.37</v>
      </c>
      <c r="CZ1602" s="307">
        <v>-0.37</v>
      </c>
    </row>
    <row r="1603" spans="97:104">
      <c r="CS1603" s="332"/>
      <c r="CT1603" s="366" t="s">
        <v>2687</v>
      </c>
      <c r="CU1603" s="307" t="s">
        <v>208</v>
      </c>
      <c r="CV1603" s="307" t="s">
        <v>172</v>
      </c>
      <c r="CW1603" s="366" t="s">
        <v>23</v>
      </c>
      <c r="CX1603" s="307">
        <v>-0.36020857299999998</v>
      </c>
      <c r="CY1603" s="307">
        <v>-0.36020857299999998</v>
      </c>
      <c r="CZ1603" s="307">
        <v>-0.36020857299999998</v>
      </c>
    </row>
    <row r="1604" spans="97:104">
      <c r="CS1604" s="332"/>
      <c r="CT1604" s="366" t="s">
        <v>2688</v>
      </c>
      <c r="CU1604" s="307" t="s">
        <v>208</v>
      </c>
      <c r="CV1604" s="307" t="s">
        <v>172</v>
      </c>
      <c r="CW1604" s="366" t="s">
        <v>5</v>
      </c>
      <c r="CX1604" s="307">
        <v>-0.34899999999999998</v>
      </c>
      <c r="CY1604" s="307">
        <v>-0.34899999999999998</v>
      </c>
      <c r="CZ1604" s="307">
        <v>-0.34899999999999998</v>
      </c>
    </row>
    <row r="1605" spans="97:104">
      <c r="CS1605" s="332"/>
      <c r="CT1605" s="366" t="s">
        <v>2689</v>
      </c>
      <c r="CU1605" s="307" t="s">
        <v>208</v>
      </c>
      <c r="CV1605" s="307" t="s">
        <v>172</v>
      </c>
      <c r="CW1605" s="366" t="s">
        <v>6</v>
      </c>
      <c r="CX1605" s="307">
        <v>-0.34699999999999998</v>
      </c>
      <c r="CY1605" s="307">
        <v>-0.34699999999999998</v>
      </c>
      <c r="CZ1605" s="307">
        <v>-0.34699999999999998</v>
      </c>
    </row>
    <row r="1606" spans="97:104">
      <c r="CS1606" s="332"/>
      <c r="CT1606" s="366" t="s">
        <v>2690</v>
      </c>
      <c r="CU1606" s="307" t="s">
        <v>208</v>
      </c>
      <c r="CV1606" s="307" t="s">
        <v>172</v>
      </c>
      <c r="CW1606" s="366" t="s">
        <v>24</v>
      </c>
      <c r="CX1606" s="307">
        <v>-0.34799999999999998</v>
      </c>
      <c r="CY1606" s="307">
        <v>-0.34799999999999998</v>
      </c>
      <c r="CZ1606" s="307">
        <v>-0.34799999999999998</v>
      </c>
    </row>
    <row r="1607" spans="97:104">
      <c r="CS1607" s="332"/>
      <c r="CT1607" s="366" t="s">
        <v>2691</v>
      </c>
      <c r="CU1607" s="307" t="s">
        <v>208</v>
      </c>
      <c r="CV1607" s="307" t="s">
        <v>172</v>
      </c>
      <c r="CW1607" s="366" t="s">
        <v>7</v>
      </c>
      <c r="CX1607" s="307">
        <v>-0.34899999999999998</v>
      </c>
      <c r="CY1607" s="307">
        <v>-0.34899999999999998</v>
      </c>
      <c r="CZ1607" s="307">
        <v>-0.34899999999999998</v>
      </c>
    </row>
    <row r="1608" spans="97:104">
      <c r="CS1608" s="332"/>
      <c r="CT1608" s="366" t="s">
        <v>2692</v>
      </c>
      <c r="CU1608" s="307" t="s">
        <v>208</v>
      </c>
      <c r="CV1608" s="307" t="s">
        <v>172</v>
      </c>
      <c r="CW1608" s="366" t="s">
        <v>8</v>
      </c>
      <c r="CX1608" s="307">
        <v>-0.34699999999999998</v>
      </c>
      <c r="CY1608" s="307">
        <v>-0.34699999999999998</v>
      </c>
      <c r="CZ1608" s="307">
        <v>-0.34699999999999998</v>
      </c>
    </row>
    <row r="1609" spans="97:104">
      <c r="CS1609" s="332"/>
      <c r="CT1609" s="366" t="s">
        <v>2693</v>
      </c>
      <c r="CU1609" s="307" t="s">
        <v>208</v>
      </c>
      <c r="CV1609" s="307" t="s">
        <v>172</v>
      </c>
      <c r="CW1609" s="366" t="s">
        <v>25</v>
      </c>
      <c r="CX1609" s="307">
        <v>-0.348606745</v>
      </c>
      <c r="CY1609" s="307">
        <v>-0.348606745</v>
      </c>
      <c r="CZ1609" s="307">
        <v>-0.348606745</v>
      </c>
    </row>
    <row r="1610" spans="97:104">
      <c r="CS1610" s="332"/>
      <c r="CT1610" s="366" t="s">
        <v>2694</v>
      </c>
      <c r="CU1610" s="307" t="s">
        <v>208</v>
      </c>
      <c r="CV1610" s="307" t="s">
        <v>172</v>
      </c>
      <c r="CW1610" s="366" t="s">
        <v>26</v>
      </c>
      <c r="CX1610" s="307">
        <v>-0.34899672599999998</v>
      </c>
      <c r="CY1610" s="307">
        <v>-0.34899672599999998</v>
      </c>
      <c r="CZ1610" s="307">
        <v>-0.34899672599999998</v>
      </c>
    </row>
    <row r="1611" spans="97:104">
      <c r="CS1611" s="332"/>
      <c r="CT1611" s="366" t="s">
        <v>2695</v>
      </c>
      <c r="CU1611" s="307" t="s">
        <v>208</v>
      </c>
      <c r="CV1611" s="307" t="s">
        <v>172</v>
      </c>
      <c r="CW1611" s="366" t="s">
        <v>27</v>
      </c>
      <c r="CX1611" s="307">
        <v>-0.35012420399999999</v>
      </c>
      <c r="CY1611" s="307">
        <v>-0.35012420399999999</v>
      </c>
      <c r="CZ1611" s="307">
        <v>-0.35012420399999999</v>
      </c>
    </row>
    <row r="1612" spans="97:104">
      <c r="CS1612" s="332"/>
      <c r="CT1612" s="366" t="s">
        <v>2696</v>
      </c>
      <c r="CU1612" s="307" t="s">
        <v>208</v>
      </c>
      <c r="CV1612" s="307" t="s">
        <v>172</v>
      </c>
      <c r="CW1612" s="366" t="s">
        <v>28</v>
      </c>
      <c r="CX1612" s="307">
        <v>-0.35158722199999998</v>
      </c>
      <c r="CY1612" s="307">
        <v>-0.35158722199999998</v>
      </c>
      <c r="CZ1612" s="307">
        <v>-0.35158722199999998</v>
      </c>
    </row>
    <row r="1613" spans="97:104">
      <c r="CS1613" s="332"/>
      <c r="CT1613" s="366" t="s">
        <v>2697</v>
      </c>
      <c r="CU1613" s="307" t="s">
        <v>208</v>
      </c>
      <c r="CV1613" s="307" t="s">
        <v>172</v>
      </c>
      <c r="CW1613" s="366" t="s">
        <v>29</v>
      </c>
      <c r="CX1613" s="307">
        <v>-0.35273638600000001</v>
      </c>
      <c r="CY1613" s="307">
        <v>-0.35273638600000001</v>
      </c>
      <c r="CZ1613" s="307">
        <v>-0.35273638600000001</v>
      </c>
    </row>
    <row r="1614" spans="97:104">
      <c r="CS1614" s="332"/>
      <c r="CT1614" s="366" t="s">
        <v>2698</v>
      </c>
      <c r="CU1614" s="307" t="s">
        <v>208</v>
      </c>
      <c r="CV1614" s="307" t="s">
        <v>172</v>
      </c>
      <c r="CW1614" s="366" t="s">
        <v>30</v>
      </c>
      <c r="CX1614" s="307">
        <v>-0.35327398300000001</v>
      </c>
      <c r="CY1614" s="307">
        <v>-0.35327398300000001</v>
      </c>
      <c r="CZ1614" s="307">
        <v>-0.35327398300000001</v>
      </c>
    </row>
    <row r="1615" spans="97:104">
      <c r="CS1615" s="332"/>
      <c r="CT1615" s="366" t="s">
        <v>2699</v>
      </c>
      <c r="CU1615" s="307" t="s">
        <v>208</v>
      </c>
      <c r="CV1615" s="307" t="s">
        <v>172</v>
      </c>
      <c r="CW1615" s="366" t="s">
        <v>49</v>
      </c>
      <c r="CX1615" s="307">
        <v>-0.35368229699999998</v>
      </c>
      <c r="CY1615" s="307">
        <v>-0.35368229699999998</v>
      </c>
      <c r="CZ1615" s="307">
        <v>-0.35368229699999998</v>
      </c>
    </row>
    <row r="1616" spans="97:104">
      <c r="CS1616" s="332"/>
      <c r="CT1616" s="366" t="s">
        <v>2700</v>
      </c>
      <c r="CU1616" s="307" t="s">
        <v>208</v>
      </c>
      <c r="CV1616" s="307" t="s">
        <v>172</v>
      </c>
      <c r="CW1616" s="366" t="s">
        <v>50</v>
      </c>
      <c r="CX1616" s="307">
        <v>-0.35382338499999999</v>
      </c>
      <c r="CY1616" s="307">
        <v>-0.35382338499999999</v>
      </c>
      <c r="CZ1616" s="307">
        <v>-0.35382338499999999</v>
      </c>
    </row>
    <row r="1617" spans="97:104">
      <c r="CS1617" s="332"/>
      <c r="CT1617" s="366" t="s">
        <v>2701</v>
      </c>
      <c r="CU1617" s="307" t="s">
        <v>208</v>
      </c>
      <c r="CV1617" s="307" t="s">
        <v>172</v>
      </c>
      <c r="CW1617" s="366" t="s">
        <v>51</v>
      </c>
      <c r="CX1617" s="307">
        <v>-0.35356841999999999</v>
      </c>
      <c r="CY1617" s="307">
        <v>-0.35356841999999999</v>
      </c>
      <c r="CZ1617" s="307">
        <v>-0.35356841999999999</v>
      </c>
    </row>
    <row r="1618" spans="97:104">
      <c r="CS1618" s="332"/>
      <c r="CT1618" s="366" t="s">
        <v>2702</v>
      </c>
      <c r="CU1618" s="307" t="s">
        <v>208</v>
      </c>
      <c r="CV1618" s="307" t="s">
        <v>172</v>
      </c>
      <c r="CW1618" s="366" t="s">
        <v>56</v>
      </c>
      <c r="CX1618" s="307">
        <v>-0.35331505000000002</v>
      </c>
      <c r="CY1618" s="307">
        <v>-0.35331505000000002</v>
      </c>
      <c r="CZ1618" s="307">
        <v>-0.35331505000000002</v>
      </c>
    </row>
    <row r="1619" spans="97:104">
      <c r="CS1619" s="332"/>
      <c r="CT1619" s="366" t="s">
        <v>2703</v>
      </c>
      <c r="CU1619" s="307" t="s">
        <v>208</v>
      </c>
      <c r="CV1619" s="307" t="s">
        <v>172</v>
      </c>
      <c r="CW1619" s="366" t="s">
        <v>57</v>
      </c>
      <c r="CX1619" s="307">
        <v>-0.353226492</v>
      </c>
      <c r="CY1619" s="307">
        <v>-0.353226492</v>
      </c>
      <c r="CZ1619" s="307">
        <v>-0.353226492</v>
      </c>
    </row>
    <row r="1620" spans="97:104">
      <c r="CS1620" s="332"/>
      <c r="CT1620" s="366" t="s">
        <v>2704</v>
      </c>
      <c r="CU1620" s="307" t="s">
        <v>208</v>
      </c>
      <c r="CV1620" s="307" t="s">
        <v>172</v>
      </c>
      <c r="CW1620" s="366" t="s">
        <v>58</v>
      </c>
      <c r="CX1620" s="307">
        <v>-0.35277767900000001</v>
      </c>
      <c r="CY1620" s="307">
        <v>-0.35277767900000001</v>
      </c>
      <c r="CZ1620" s="307">
        <v>-0.35277767900000001</v>
      </c>
    </row>
    <row r="1621" spans="97:104">
      <c r="CS1621" s="332"/>
      <c r="CT1621" s="366" t="s">
        <v>2705</v>
      </c>
      <c r="CU1621" s="307" t="s">
        <v>208</v>
      </c>
      <c r="CV1621" s="307" t="s">
        <v>172</v>
      </c>
      <c r="CW1621" s="366" t="s">
        <v>53</v>
      </c>
      <c r="CX1621" s="307">
        <v>-0.35199999999999998</v>
      </c>
      <c r="CY1621" s="307">
        <v>-0.35199999999999998</v>
      </c>
      <c r="CZ1621" s="307">
        <v>-0.35199999999999998</v>
      </c>
    </row>
    <row r="1622" spans="97:104">
      <c r="CS1622" s="332"/>
      <c r="CT1622" s="366" t="s">
        <v>2706</v>
      </c>
      <c r="CU1622" s="307" t="s">
        <v>208</v>
      </c>
      <c r="CV1622" s="307" t="s">
        <v>172</v>
      </c>
      <c r="CW1622" s="366" t="s">
        <v>59</v>
      </c>
      <c r="CX1622" s="307">
        <v>-0.351173034</v>
      </c>
      <c r="CY1622" s="307">
        <v>-0.351173034</v>
      </c>
      <c r="CZ1622" s="307">
        <v>-0.351173034</v>
      </c>
    </row>
    <row r="1623" spans="97:104">
      <c r="CS1623" s="332"/>
      <c r="CT1623" s="366" t="s">
        <v>2707</v>
      </c>
      <c r="CU1623" s="307" t="s">
        <v>208</v>
      </c>
      <c r="CV1623" s="307" t="s">
        <v>172</v>
      </c>
      <c r="CW1623" s="366" t="s">
        <v>60</v>
      </c>
      <c r="CX1623" s="307">
        <v>-0.35015672799999997</v>
      </c>
      <c r="CY1623" s="307">
        <v>-0.35015672799999997</v>
      </c>
      <c r="CZ1623" s="307">
        <v>-0.35015672799999997</v>
      </c>
    </row>
    <row r="1624" spans="97:104">
      <c r="CS1624" s="332"/>
      <c r="CT1624" s="366" t="s">
        <v>2708</v>
      </c>
      <c r="CU1624" s="307" t="s">
        <v>208</v>
      </c>
      <c r="CV1624" s="307" t="s">
        <v>172</v>
      </c>
      <c r="CW1624" s="366" t="s">
        <v>54</v>
      </c>
      <c r="CX1624" s="307">
        <v>-0.34899999999999998</v>
      </c>
      <c r="CY1624" s="307">
        <v>-0.34899999999999998</v>
      </c>
      <c r="CZ1624" s="307">
        <v>-0.34899999999999998</v>
      </c>
    </row>
    <row r="1625" spans="97:104">
      <c r="CS1625" s="332"/>
      <c r="CT1625" s="366" t="s">
        <v>2709</v>
      </c>
      <c r="CU1625" s="307" t="s">
        <v>208</v>
      </c>
      <c r="CV1625" s="307" t="s">
        <v>172</v>
      </c>
      <c r="CW1625" s="366" t="s">
        <v>61</v>
      </c>
      <c r="CX1625" s="307">
        <v>-0.34763409099999998</v>
      </c>
      <c r="CY1625" s="307">
        <v>-0.34763409099999998</v>
      </c>
      <c r="CZ1625" s="307">
        <v>-0.34763409099999998</v>
      </c>
    </row>
    <row r="1626" spans="97:104">
      <c r="CS1626" s="332"/>
      <c r="CT1626" s="366" t="s">
        <v>2710</v>
      </c>
      <c r="CU1626" s="307" t="s">
        <v>208</v>
      </c>
      <c r="CV1626" s="307" t="s">
        <v>172</v>
      </c>
      <c r="CW1626" s="366" t="s">
        <v>62</v>
      </c>
      <c r="CX1626" s="307">
        <v>-0.34607578900000002</v>
      </c>
      <c r="CY1626" s="307">
        <v>-0.34607578900000002</v>
      </c>
      <c r="CZ1626" s="307">
        <v>-0.34607578900000002</v>
      </c>
    </row>
    <row r="1627" spans="97:104">
      <c r="CS1627" s="332"/>
      <c r="CT1627" s="366" t="s">
        <v>2711</v>
      </c>
      <c r="CU1627" s="307" t="s">
        <v>208</v>
      </c>
      <c r="CV1627" s="307" t="s">
        <v>172</v>
      </c>
      <c r="CW1627" s="366" t="s">
        <v>55</v>
      </c>
      <c r="CX1627" s="307">
        <v>-0.34399999999999997</v>
      </c>
      <c r="CY1627" s="307">
        <v>-0.34399999999999997</v>
      </c>
      <c r="CZ1627" s="307">
        <v>-0.34399999999999997</v>
      </c>
    </row>
    <row r="1628" spans="97:104">
      <c r="CS1628" s="332"/>
      <c r="CT1628" s="366" t="s">
        <v>2712</v>
      </c>
      <c r="CU1628" s="307" t="s">
        <v>208</v>
      </c>
      <c r="CV1628" s="307" t="s">
        <v>172</v>
      </c>
      <c r="CW1628" s="366" t="s">
        <v>63</v>
      </c>
      <c r="CX1628" s="307">
        <v>-0.34180125</v>
      </c>
      <c r="CY1628" s="307">
        <v>-0.34180125</v>
      </c>
      <c r="CZ1628" s="307">
        <v>-0.34180125</v>
      </c>
    </row>
    <row r="1629" spans="97:104">
      <c r="CS1629" s="332"/>
      <c r="CT1629" s="366" t="s">
        <v>2713</v>
      </c>
      <c r="CU1629" s="307" t="s">
        <v>208</v>
      </c>
      <c r="CV1629" s="307" t="s">
        <v>172</v>
      </c>
      <c r="CW1629" s="366" t="s">
        <v>64</v>
      </c>
      <c r="CX1629" s="307">
        <v>-0.33916923700000001</v>
      </c>
      <c r="CY1629" s="307">
        <v>-0.33916923700000001</v>
      </c>
      <c r="CZ1629" s="307">
        <v>-0.33916923700000001</v>
      </c>
    </row>
    <row r="1630" spans="97:104">
      <c r="CS1630" s="332"/>
      <c r="CT1630" s="366" t="s">
        <v>2714</v>
      </c>
      <c r="CU1630" s="307" t="s">
        <v>208</v>
      </c>
      <c r="CV1630" s="307" t="s">
        <v>172</v>
      </c>
      <c r="CW1630" s="366" t="s">
        <v>9</v>
      </c>
      <c r="CX1630" s="307">
        <v>-0.33600000000000002</v>
      </c>
      <c r="CY1630" s="307">
        <v>-0.33600000000000002</v>
      </c>
      <c r="CZ1630" s="307">
        <v>-0.33600000000000002</v>
      </c>
    </row>
    <row r="1631" spans="97:104">
      <c r="CS1631" s="332"/>
      <c r="CT1631" s="366" t="s">
        <v>2715</v>
      </c>
      <c r="CU1631" s="307" t="s">
        <v>208</v>
      </c>
      <c r="CV1631" s="307" t="s">
        <v>172</v>
      </c>
      <c r="CW1631" s="366" t="s">
        <v>10</v>
      </c>
      <c r="CX1631" s="307">
        <v>-0.28199999999999997</v>
      </c>
      <c r="CY1631" s="307">
        <v>-0.28199999999999997</v>
      </c>
      <c r="CZ1631" s="307">
        <v>-0.28199999999999997</v>
      </c>
    </row>
    <row r="1632" spans="97:104">
      <c r="CS1632" s="332"/>
      <c r="CT1632" s="366" t="s">
        <v>2716</v>
      </c>
      <c r="CU1632" s="307" t="s">
        <v>208</v>
      </c>
      <c r="CV1632" s="307" t="s">
        <v>172</v>
      </c>
      <c r="CW1632" s="366" t="s">
        <v>11</v>
      </c>
      <c r="CX1632" s="307">
        <v>-0.20799999999999999</v>
      </c>
      <c r="CY1632" s="307">
        <v>-0.20799999999999999</v>
      </c>
      <c r="CZ1632" s="307">
        <v>-0.20799999999999999</v>
      </c>
    </row>
    <row r="1633" spans="97:104">
      <c r="CS1633" s="332"/>
      <c r="CT1633" s="366" t="s">
        <v>2717</v>
      </c>
      <c r="CU1633" s="307" t="s">
        <v>208</v>
      </c>
      <c r="CV1633" s="307" t="s">
        <v>172</v>
      </c>
      <c r="CW1633" s="366" t="s">
        <v>12</v>
      </c>
      <c r="CX1633" s="307">
        <v>-0.113</v>
      </c>
      <c r="CY1633" s="307">
        <v>-0.113</v>
      </c>
      <c r="CZ1633" s="307">
        <v>-0.113</v>
      </c>
    </row>
    <row r="1634" spans="97:104">
      <c r="CS1634" s="332"/>
      <c r="CT1634" s="366" t="s">
        <v>2718</v>
      </c>
      <c r="CU1634" s="307" t="s">
        <v>208</v>
      </c>
      <c r="CV1634" s="307" t="s">
        <v>172</v>
      </c>
      <c r="CW1634" s="366" t="s">
        <v>13</v>
      </c>
      <c r="CX1634" s="307">
        <v>-5.0000000000000001E-3</v>
      </c>
      <c r="CY1634" s="307">
        <v>-5.0000000000000001E-3</v>
      </c>
      <c r="CZ1634" s="307">
        <v>-5.0000000000000001E-3</v>
      </c>
    </row>
    <row r="1635" spans="97:104">
      <c r="CS1635" s="332"/>
      <c r="CT1635" s="366" t="s">
        <v>2719</v>
      </c>
      <c r="CU1635" s="307" t="s">
        <v>208</v>
      </c>
      <c r="CV1635" s="307" t="s">
        <v>172</v>
      </c>
      <c r="CW1635" s="366" t="s">
        <v>14</v>
      </c>
      <c r="CX1635" s="307">
        <v>0.109</v>
      </c>
      <c r="CY1635" s="307">
        <v>0.109</v>
      </c>
      <c r="CZ1635" s="307">
        <v>0.109</v>
      </c>
    </row>
    <row r="1636" spans="97:104">
      <c r="CS1636" s="332"/>
      <c r="CT1636" s="366" t="s">
        <v>2720</v>
      </c>
      <c r="CU1636" s="307" t="s">
        <v>208</v>
      </c>
      <c r="CV1636" s="307" t="s">
        <v>172</v>
      </c>
      <c r="CW1636" s="366" t="s">
        <v>15</v>
      </c>
      <c r="CX1636" s="307">
        <v>0.22600000000000001</v>
      </c>
      <c r="CY1636" s="307">
        <v>0.22600000000000001</v>
      </c>
      <c r="CZ1636" s="307">
        <v>0.22600000000000001</v>
      </c>
    </row>
    <row r="1637" spans="97:104">
      <c r="CS1637" s="332"/>
      <c r="CT1637" s="366" t="s">
        <v>2721</v>
      </c>
      <c r="CU1637" s="307" t="s">
        <v>208</v>
      </c>
      <c r="CV1637" s="307" t="s">
        <v>172</v>
      </c>
      <c r="CW1637" s="366" t="s">
        <v>16</v>
      </c>
      <c r="CX1637" s="307">
        <v>0.33800000000000002</v>
      </c>
      <c r="CY1637" s="307">
        <v>0.33800000000000002</v>
      </c>
      <c r="CZ1637" s="307">
        <v>0.33800000000000002</v>
      </c>
    </row>
    <row r="1638" spans="97:104">
      <c r="CS1638" s="332"/>
      <c r="CT1638" s="366" t="s">
        <v>2722</v>
      </c>
      <c r="CU1638" s="307" t="s">
        <v>208</v>
      </c>
      <c r="CV1638" s="307" t="s">
        <v>172</v>
      </c>
      <c r="CW1638" s="366" t="s">
        <v>17</v>
      </c>
      <c r="CX1638" s="307">
        <v>0.441</v>
      </c>
      <c r="CY1638" s="307">
        <v>0.441</v>
      </c>
      <c r="CZ1638" s="307">
        <v>0.441</v>
      </c>
    </row>
    <row r="1639" spans="97:104">
      <c r="CS1639" s="332"/>
      <c r="CT1639" s="366" t="s">
        <v>2723</v>
      </c>
      <c r="CU1639" s="307" t="s">
        <v>208</v>
      </c>
      <c r="CV1639" s="307" t="s">
        <v>172</v>
      </c>
      <c r="CW1639" s="366" t="s">
        <v>31</v>
      </c>
      <c r="CX1639" s="307">
        <v>0.53500000000000003</v>
      </c>
      <c r="CY1639" s="307">
        <v>0.53500000000000003</v>
      </c>
      <c r="CZ1639" s="307">
        <v>0.53500000000000003</v>
      </c>
    </row>
    <row r="1640" spans="97:104">
      <c r="CS1640" s="332"/>
      <c r="CT1640" s="366" t="s">
        <v>2724</v>
      </c>
      <c r="CU1640" s="307" t="s">
        <v>208</v>
      </c>
      <c r="CV1640" s="307" t="s">
        <v>172</v>
      </c>
      <c r="CW1640" s="366" t="s">
        <v>18</v>
      </c>
      <c r="CX1640" s="307">
        <v>0.61899999999999999</v>
      </c>
      <c r="CY1640" s="307">
        <v>0.61899999999999999</v>
      </c>
      <c r="CZ1640" s="307">
        <v>0.61899999999999999</v>
      </c>
    </row>
    <row r="1641" spans="97:104">
      <c r="CS1641" s="332"/>
      <c r="CT1641" s="366" t="s">
        <v>2725</v>
      </c>
      <c r="CU1641" s="307" t="s">
        <v>208</v>
      </c>
      <c r="CV1641" s="307" t="s">
        <v>172</v>
      </c>
      <c r="CW1641" s="366" t="s">
        <v>32</v>
      </c>
      <c r="CX1641" s="307">
        <v>0.69175642699999995</v>
      </c>
      <c r="CY1641" s="307">
        <v>0.69175642699999995</v>
      </c>
      <c r="CZ1641" s="307">
        <v>0.69175642699999995</v>
      </c>
    </row>
    <row r="1642" spans="97:104">
      <c r="CS1642" s="332"/>
      <c r="CT1642" s="366" t="s">
        <v>2726</v>
      </c>
      <c r="CU1642" s="307" t="s">
        <v>208</v>
      </c>
      <c r="CV1642" s="307" t="s">
        <v>172</v>
      </c>
      <c r="CW1642" s="366" t="s">
        <v>33</v>
      </c>
      <c r="CX1642" s="307">
        <v>0.75486929700000005</v>
      </c>
      <c r="CY1642" s="307">
        <v>0.75486929700000005</v>
      </c>
      <c r="CZ1642" s="307">
        <v>0.75486929700000005</v>
      </c>
    </row>
    <row r="1643" spans="97:104">
      <c r="CS1643" s="332"/>
      <c r="CT1643" s="366" t="s">
        <v>2727</v>
      </c>
      <c r="CU1643" s="307" t="s">
        <v>208</v>
      </c>
      <c r="CV1643" s="307" t="s">
        <v>172</v>
      </c>
      <c r="CW1643" s="366" t="s">
        <v>19</v>
      </c>
      <c r="CX1643" s="307">
        <v>0.80900000000000005</v>
      </c>
      <c r="CY1643" s="307">
        <v>0.80900000000000005</v>
      </c>
      <c r="CZ1643" s="307">
        <v>0.80900000000000005</v>
      </c>
    </row>
    <row r="1644" spans="97:104">
      <c r="CS1644" s="332"/>
      <c r="CT1644" s="366" t="s">
        <v>2728</v>
      </c>
      <c r="CU1644" s="307" t="s">
        <v>208</v>
      </c>
      <c r="CV1644" s="307" t="s">
        <v>172</v>
      </c>
      <c r="CW1644" s="366" t="s">
        <v>34</v>
      </c>
      <c r="CX1644" s="307">
        <v>0.85467638099999999</v>
      </c>
      <c r="CY1644" s="307">
        <v>0.85467638099999999</v>
      </c>
      <c r="CZ1644" s="307">
        <v>0.85467638099999999</v>
      </c>
    </row>
    <row r="1645" spans="97:104">
      <c r="CS1645" s="332"/>
      <c r="CT1645" s="366" t="s">
        <v>2729</v>
      </c>
      <c r="CU1645" s="307" t="s">
        <v>208</v>
      </c>
      <c r="CV1645" s="307" t="s">
        <v>172</v>
      </c>
      <c r="CW1645" s="366" t="s">
        <v>35</v>
      </c>
      <c r="CX1645" s="307">
        <v>0.89256761900000003</v>
      </c>
      <c r="CY1645" s="307">
        <v>0.89256761900000003</v>
      </c>
      <c r="CZ1645" s="307">
        <v>0.89256761900000003</v>
      </c>
    </row>
    <row r="1646" spans="97:104">
      <c r="CS1646" s="332"/>
      <c r="CT1646" s="366" t="s">
        <v>2730</v>
      </c>
      <c r="CU1646" s="307" t="s">
        <v>208</v>
      </c>
      <c r="CV1646" s="307" t="s">
        <v>172</v>
      </c>
      <c r="CW1646" s="366" t="s">
        <v>36</v>
      </c>
      <c r="CX1646" s="307">
        <v>0.92394087899999999</v>
      </c>
      <c r="CY1646" s="307">
        <v>0.92394087899999999</v>
      </c>
      <c r="CZ1646" s="307">
        <v>0.92394087899999999</v>
      </c>
    </row>
    <row r="1647" spans="97:104">
      <c r="CS1647" s="332"/>
      <c r="CT1647" s="366" t="s">
        <v>2731</v>
      </c>
      <c r="CU1647" s="307" t="s">
        <v>208</v>
      </c>
      <c r="CV1647" s="307" t="s">
        <v>172</v>
      </c>
      <c r="CW1647" s="366" t="s">
        <v>37</v>
      </c>
      <c r="CX1647" s="307">
        <v>0.94933569799999995</v>
      </c>
      <c r="CY1647" s="307">
        <v>0.94933569799999995</v>
      </c>
      <c r="CZ1647" s="307">
        <v>0.94933569799999995</v>
      </c>
    </row>
    <row r="1648" spans="97:104">
      <c r="CS1648" s="332"/>
      <c r="CT1648" s="366" t="s">
        <v>2732</v>
      </c>
      <c r="CU1648" s="307" t="s">
        <v>208</v>
      </c>
      <c r="CV1648" s="307" t="s">
        <v>172</v>
      </c>
      <c r="CW1648" s="366" t="s">
        <v>20</v>
      </c>
      <c r="CX1648" s="307">
        <v>0.97</v>
      </c>
      <c r="CY1648" s="307">
        <v>0.97</v>
      </c>
      <c r="CZ1648" s="307">
        <v>0.97</v>
      </c>
    </row>
    <row r="1649" spans="97:104">
      <c r="CS1649" s="332"/>
      <c r="CT1649" s="366" t="s">
        <v>2733</v>
      </c>
      <c r="CU1649" s="307" t="s">
        <v>208</v>
      </c>
      <c r="CV1649" s="307" t="s">
        <v>172</v>
      </c>
      <c r="CW1649" s="366" t="s">
        <v>38</v>
      </c>
      <c r="CX1649" s="307">
        <v>0.98671107999999996</v>
      </c>
      <c r="CY1649" s="307">
        <v>0.98671107999999996</v>
      </c>
      <c r="CZ1649" s="307">
        <v>0.98671107999999996</v>
      </c>
    </row>
    <row r="1650" spans="97:104">
      <c r="CS1650" s="332"/>
      <c r="CT1650" s="366" t="s">
        <v>2734</v>
      </c>
      <c r="CU1650" s="307" t="s">
        <v>208</v>
      </c>
      <c r="CV1650" s="307" t="s">
        <v>172</v>
      </c>
      <c r="CW1650" s="366" t="s">
        <v>39</v>
      </c>
      <c r="CX1650" s="307">
        <v>1.001146603</v>
      </c>
      <c r="CY1650" s="307">
        <v>1.001146603</v>
      </c>
      <c r="CZ1650" s="307">
        <v>1.001146603</v>
      </c>
    </row>
    <row r="1651" spans="97:104">
      <c r="CS1651" s="332"/>
      <c r="CT1651" s="366" t="s">
        <v>2735</v>
      </c>
      <c r="CU1651" s="307" t="s">
        <v>208</v>
      </c>
      <c r="CV1651" s="307" t="s">
        <v>172</v>
      </c>
      <c r="CW1651" s="366" t="s">
        <v>40</v>
      </c>
      <c r="CX1651" s="307">
        <v>1.011930515</v>
      </c>
      <c r="CY1651" s="307">
        <v>1.011930515</v>
      </c>
      <c r="CZ1651" s="307">
        <v>1.011930515</v>
      </c>
    </row>
    <row r="1652" spans="97:104">
      <c r="CT1652" s="366" t="s">
        <v>2736</v>
      </c>
      <c r="CU1652" s="307" t="s">
        <v>208</v>
      </c>
      <c r="CV1652" s="307" t="s">
        <v>172</v>
      </c>
      <c r="CW1652" s="366" t="s">
        <v>41</v>
      </c>
      <c r="CX1652" s="307">
        <v>1.0197194190000001</v>
      </c>
      <c r="CY1652" s="307">
        <v>1.0197194190000001</v>
      </c>
      <c r="CZ1652" s="307">
        <v>1.0197194190000001</v>
      </c>
    </row>
    <row r="1653" spans="97:104">
      <c r="CT1653" s="366" t="s">
        <v>2737</v>
      </c>
      <c r="CU1653" s="307" t="s">
        <v>208</v>
      </c>
      <c r="CV1653" s="307" t="s">
        <v>172</v>
      </c>
      <c r="CW1653" s="366" t="s">
        <v>21</v>
      </c>
      <c r="CX1653" s="307">
        <v>1.0269999999999999</v>
      </c>
      <c r="CY1653" s="307">
        <v>1.0269999999999999</v>
      </c>
      <c r="CZ1653" s="307">
        <v>1.0269999999999999</v>
      </c>
    </row>
    <row r="1654" spans="97:104">
      <c r="CT1654" s="366" t="s">
        <v>2738</v>
      </c>
      <c r="CU1654" s="307" t="s">
        <v>208</v>
      </c>
      <c r="CV1654" s="307" t="s">
        <v>172</v>
      </c>
      <c r="CW1654" s="366" t="s">
        <v>42</v>
      </c>
      <c r="CX1654" s="307">
        <v>1.0333738050000001</v>
      </c>
      <c r="CY1654" s="307">
        <v>1.0333738050000001</v>
      </c>
      <c r="CZ1654" s="307">
        <v>1.0333738050000001</v>
      </c>
    </row>
    <row r="1655" spans="97:104">
      <c r="CT1655" s="366" t="s">
        <v>2739</v>
      </c>
      <c r="CU1655" s="307" t="s">
        <v>208</v>
      </c>
      <c r="CV1655" s="307" t="s">
        <v>172</v>
      </c>
      <c r="CW1655" s="366" t="s">
        <v>43</v>
      </c>
      <c r="CX1655" s="307">
        <v>1.0389821749999999</v>
      </c>
      <c r="CY1655" s="307">
        <v>1.0389821749999999</v>
      </c>
      <c r="CZ1655" s="307">
        <v>1.0389821749999999</v>
      </c>
    </row>
    <row r="1656" spans="97:104">
      <c r="CT1656" s="366" t="s">
        <v>2740</v>
      </c>
      <c r="CU1656" s="307" t="s">
        <v>208</v>
      </c>
      <c r="CV1656" s="307" t="s">
        <v>172</v>
      </c>
      <c r="CW1656" s="366" t="s">
        <v>44</v>
      </c>
      <c r="CX1656" s="307">
        <v>1.043915505</v>
      </c>
      <c r="CY1656" s="307">
        <v>1.043915505</v>
      </c>
      <c r="CZ1656" s="307">
        <v>1.043915505</v>
      </c>
    </row>
    <row r="1657" spans="97:104">
      <c r="CT1657" s="366" t="s">
        <v>2741</v>
      </c>
      <c r="CU1657" s="307" t="s">
        <v>208</v>
      </c>
      <c r="CV1657" s="307" t="s">
        <v>172</v>
      </c>
      <c r="CW1657" s="366" t="s">
        <v>45</v>
      </c>
      <c r="CX1657" s="307">
        <v>1.048244714</v>
      </c>
      <c r="CY1657" s="307">
        <v>1.048244714</v>
      </c>
      <c r="CZ1657" s="307">
        <v>1.048244714</v>
      </c>
    </row>
    <row r="1658" spans="97:104">
      <c r="CT1658" s="366" t="s">
        <v>2742</v>
      </c>
      <c r="CU1658" s="307" t="s">
        <v>208</v>
      </c>
      <c r="CV1658" s="307" t="s">
        <v>172</v>
      </c>
      <c r="CW1658" s="366" t="s">
        <v>22</v>
      </c>
      <c r="CX1658" s="307">
        <v>1.052</v>
      </c>
      <c r="CY1658" s="307">
        <v>1.052</v>
      </c>
      <c r="CZ1658" s="307">
        <v>1.052</v>
      </c>
    </row>
    <row r="1659" spans="97:104">
      <c r="CT1659" s="366" t="s">
        <v>2743</v>
      </c>
      <c r="CU1659" s="307" t="s">
        <v>208</v>
      </c>
      <c r="CV1659" s="307" t="s">
        <v>172</v>
      </c>
      <c r="CW1659" s="366" t="s">
        <v>167</v>
      </c>
      <c r="CX1659" s="307">
        <v>1.063314597</v>
      </c>
      <c r="CY1659" s="307">
        <v>1.063314597</v>
      </c>
      <c r="CZ1659" s="307">
        <v>1.063314597</v>
      </c>
    </row>
    <row r="1660" spans="97:104">
      <c r="CT1660" s="366" t="s">
        <v>2744</v>
      </c>
      <c r="CU1660" s="307" t="s">
        <v>208</v>
      </c>
      <c r="CV1660" s="307" t="s">
        <v>172</v>
      </c>
      <c r="CW1660" s="366" t="s">
        <v>46</v>
      </c>
      <c r="CX1660" s="307">
        <v>1.06</v>
      </c>
      <c r="CY1660" s="307">
        <v>1.06</v>
      </c>
      <c r="CZ1660" s="307">
        <v>1.06</v>
      </c>
    </row>
    <row r="1661" spans="97:104">
      <c r="CT1661" s="366" t="s">
        <v>2745</v>
      </c>
      <c r="CU1661" s="307" t="s">
        <v>208</v>
      </c>
      <c r="CV1661" s="307" t="s">
        <v>172</v>
      </c>
      <c r="CW1661" s="366" t="s">
        <v>47</v>
      </c>
      <c r="CX1661" s="307">
        <v>1.02</v>
      </c>
      <c r="CY1661" s="307">
        <v>1.02</v>
      </c>
      <c r="CZ1661" s="307">
        <v>1.02</v>
      </c>
    </row>
    <row r="1662" spans="97:104">
      <c r="CT1662" s="366" t="s">
        <v>2746</v>
      </c>
      <c r="CU1662" s="307" t="s">
        <v>208</v>
      </c>
      <c r="CV1662" s="307" t="s">
        <v>172</v>
      </c>
      <c r="CW1662" s="366" t="s">
        <v>48</v>
      </c>
      <c r="CX1662" s="307">
        <v>0.995</v>
      </c>
      <c r="CY1662" s="307">
        <v>0.995</v>
      </c>
      <c r="CZ1662" s="307">
        <v>0.995</v>
      </c>
    </row>
    <row r="1663" spans="97:104">
      <c r="CT1663" s="366" t="s">
        <v>4304</v>
      </c>
      <c r="CU1663" s="307" t="s">
        <v>208</v>
      </c>
      <c r="CV1663" s="307" t="s">
        <v>4305</v>
      </c>
      <c r="CW1663" s="366" t="s">
        <v>3</v>
      </c>
      <c r="CX1663" s="307">
        <v>-0.36999989999999999</v>
      </c>
      <c r="CY1663" s="307">
        <v>-0.36999989999999999</v>
      </c>
      <c r="CZ1663" s="307">
        <v>-0.36999989999999999</v>
      </c>
    </row>
    <row r="1664" spans="97:104">
      <c r="CT1664" s="366" t="s">
        <v>4306</v>
      </c>
      <c r="CU1664" s="307" t="s">
        <v>208</v>
      </c>
      <c r="CV1664" s="307" t="s">
        <v>4305</v>
      </c>
      <c r="CW1664" s="366" t="s">
        <v>4</v>
      </c>
      <c r="CX1664" s="307">
        <v>-0.37</v>
      </c>
      <c r="CY1664" s="307">
        <v>-0.37</v>
      </c>
      <c r="CZ1664" s="307">
        <v>-0.37</v>
      </c>
    </row>
    <row r="1665" spans="98:104">
      <c r="CT1665" s="366" t="s">
        <v>4307</v>
      </c>
      <c r="CU1665" s="307" t="s">
        <v>208</v>
      </c>
      <c r="CV1665" s="307" t="s">
        <v>4305</v>
      </c>
      <c r="CW1665" s="366" t="s">
        <v>23</v>
      </c>
      <c r="CX1665" s="307">
        <v>-0.37</v>
      </c>
      <c r="CY1665" s="307">
        <v>-0.37</v>
      </c>
      <c r="CZ1665" s="307">
        <v>-0.37</v>
      </c>
    </row>
    <row r="1666" spans="98:104">
      <c r="CT1666" s="366" t="s">
        <v>4308</v>
      </c>
      <c r="CU1666" s="307" t="s">
        <v>208</v>
      </c>
      <c r="CV1666" s="307" t="s">
        <v>4305</v>
      </c>
      <c r="CW1666" s="366" t="s">
        <v>5</v>
      </c>
      <c r="CX1666" s="307">
        <v>-0.34899999999999998</v>
      </c>
      <c r="CY1666" s="307">
        <v>-0.34899999999999998</v>
      </c>
      <c r="CZ1666" s="307">
        <v>-0.34899999999999998</v>
      </c>
    </row>
    <row r="1667" spans="98:104">
      <c r="CT1667" s="366" t="s">
        <v>4309</v>
      </c>
      <c r="CU1667" s="307" t="s">
        <v>208</v>
      </c>
      <c r="CV1667" s="307" t="s">
        <v>4305</v>
      </c>
      <c r="CW1667" s="366" t="s">
        <v>6</v>
      </c>
      <c r="CX1667" s="307">
        <v>-0.34699999999999998</v>
      </c>
      <c r="CY1667" s="307">
        <v>-0.34699999999999998</v>
      </c>
      <c r="CZ1667" s="307">
        <v>-0.34699999999999998</v>
      </c>
    </row>
    <row r="1668" spans="98:104">
      <c r="CT1668" s="366" t="s">
        <v>4310</v>
      </c>
      <c r="CU1668" s="307" t="s">
        <v>208</v>
      </c>
      <c r="CV1668" s="307" t="s">
        <v>4305</v>
      </c>
      <c r="CW1668" s="366" t="s">
        <v>24</v>
      </c>
      <c r="CX1668" s="307">
        <v>-0.34799999999999998</v>
      </c>
      <c r="CY1668" s="307">
        <v>-0.34799999999999998</v>
      </c>
      <c r="CZ1668" s="307">
        <v>-0.34799999999999998</v>
      </c>
    </row>
    <row r="1669" spans="98:104">
      <c r="CT1669" s="366" t="s">
        <v>4311</v>
      </c>
      <c r="CU1669" s="307" t="s">
        <v>208</v>
      </c>
      <c r="CV1669" s="307" t="s">
        <v>4305</v>
      </c>
      <c r="CW1669" s="366" t="s">
        <v>7</v>
      </c>
      <c r="CX1669" s="307">
        <v>-0.34899999999999998</v>
      </c>
      <c r="CY1669" s="307">
        <v>-0.34899999999999998</v>
      </c>
      <c r="CZ1669" s="307">
        <v>-0.34899999999999998</v>
      </c>
    </row>
    <row r="1670" spans="98:104">
      <c r="CT1670" s="366" t="s">
        <v>4312</v>
      </c>
      <c r="CU1670" s="307" t="s">
        <v>208</v>
      </c>
      <c r="CV1670" s="307" t="s">
        <v>4305</v>
      </c>
      <c r="CW1670" s="366" t="s">
        <v>8</v>
      </c>
      <c r="CX1670" s="307">
        <v>-0.34699999999999998</v>
      </c>
      <c r="CY1670" s="307">
        <v>-0.34699999999999998</v>
      </c>
      <c r="CZ1670" s="307">
        <v>-0.34699999999999998</v>
      </c>
    </row>
    <row r="1671" spans="98:104">
      <c r="CT1671" s="366" t="s">
        <v>4313</v>
      </c>
      <c r="CU1671" s="307" t="s">
        <v>208</v>
      </c>
      <c r="CV1671" s="307" t="s">
        <v>4305</v>
      </c>
      <c r="CW1671" s="366" t="s">
        <v>25</v>
      </c>
      <c r="CX1671" s="307">
        <v>-0.34799999999999998</v>
      </c>
      <c r="CY1671" s="307">
        <v>-0.34799999999999998</v>
      </c>
      <c r="CZ1671" s="307">
        <v>-0.34799999999999998</v>
      </c>
    </row>
    <row r="1672" spans="98:104">
      <c r="CT1672" s="366" t="s">
        <v>4314</v>
      </c>
      <c r="CU1672" s="307" t="s">
        <v>208</v>
      </c>
      <c r="CV1672" s="307" t="s">
        <v>4305</v>
      </c>
      <c r="CW1672" s="366" t="s">
        <v>26</v>
      </c>
      <c r="CX1672" s="307">
        <v>-0.34899999999999998</v>
      </c>
      <c r="CY1672" s="307">
        <v>-0.34899999999999998</v>
      </c>
      <c r="CZ1672" s="307">
        <v>-0.34899999999999998</v>
      </c>
    </row>
    <row r="1673" spans="98:104">
      <c r="CT1673" s="366" t="s">
        <v>4315</v>
      </c>
      <c r="CU1673" s="307" t="s">
        <v>208</v>
      </c>
      <c r="CV1673" s="307" t="s">
        <v>4305</v>
      </c>
      <c r="CW1673" s="366" t="s">
        <v>27</v>
      </c>
      <c r="CX1673" s="307">
        <v>-0.35099999999999998</v>
      </c>
      <c r="CY1673" s="307">
        <v>-0.35099999999999998</v>
      </c>
      <c r="CZ1673" s="307">
        <v>-0.35099999999999998</v>
      </c>
    </row>
    <row r="1674" spans="98:104">
      <c r="CT1674" s="366" t="s">
        <v>4316</v>
      </c>
      <c r="CU1674" s="307" t="s">
        <v>208</v>
      </c>
      <c r="CV1674" s="307" t="s">
        <v>4305</v>
      </c>
      <c r="CW1674" s="366" t="s">
        <v>28</v>
      </c>
      <c r="CX1674" s="307">
        <v>-0.35199999999999998</v>
      </c>
      <c r="CY1674" s="307">
        <v>-0.35199999999999998</v>
      </c>
      <c r="CZ1674" s="307">
        <v>-0.35199999999999998</v>
      </c>
    </row>
    <row r="1675" spans="98:104">
      <c r="CT1675" s="366" t="s">
        <v>4317</v>
      </c>
      <c r="CU1675" s="307" t="s">
        <v>208</v>
      </c>
      <c r="CV1675" s="307" t="s">
        <v>4305</v>
      </c>
      <c r="CW1675" s="366" t="s">
        <v>29</v>
      </c>
      <c r="CX1675" s="307">
        <v>-0.35299999999999998</v>
      </c>
      <c r="CY1675" s="307">
        <v>-0.35299999999999998</v>
      </c>
      <c r="CZ1675" s="307">
        <v>-0.35299999999999998</v>
      </c>
    </row>
    <row r="1676" spans="98:104">
      <c r="CT1676" s="366" t="s">
        <v>4318</v>
      </c>
      <c r="CU1676" s="307" t="s">
        <v>208</v>
      </c>
      <c r="CV1676" s="307" t="s">
        <v>4305</v>
      </c>
      <c r="CW1676" s="366" t="s">
        <v>30</v>
      </c>
      <c r="CX1676" s="307">
        <v>-0.35299999999999998</v>
      </c>
      <c r="CY1676" s="307">
        <v>-0.35299999999999998</v>
      </c>
      <c r="CZ1676" s="307">
        <v>-0.35299999999999998</v>
      </c>
    </row>
    <row r="1677" spans="98:104">
      <c r="CT1677" s="366" t="s">
        <v>4319</v>
      </c>
      <c r="CU1677" s="307" t="s">
        <v>208</v>
      </c>
      <c r="CV1677" s="307" t="s">
        <v>4305</v>
      </c>
      <c r="CW1677" s="366" t="s">
        <v>49</v>
      </c>
      <c r="CX1677" s="307">
        <v>-0.35399999999999998</v>
      </c>
      <c r="CY1677" s="307">
        <v>-0.35399999999999998</v>
      </c>
      <c r="CZ1677" s="307">
        <v>-0.35399999999999998</v>
      </c>
    </row>
    <row r="1678" spans="98:104">
      <c r="CT1678" s="366" t="s">
        <v>4320</v>
      </c>
      <c r="CU1678" s="307" t="s">
        <v>208</v>
      </c>
      <c r="CV1678" s="307" t="s">
        <v>4305</v>
      </c>
      <c r="CW1678" s="366" t="s">
        <v>50</v>
      </c>
      <c r="CX1678" s="307">
        <v>-0.35399999999999998</v>
      </c>
      <c r="CY1678" s="307">
        <v>-0.35399999999999998</v>
      </c>
      <c r="CZ1678" s="307">
        <v>-0.35399999999999998</v>
      </c>
    </row>
    <row r="1679" spans="98:104">
      <c r="CT1679" s="366" t="s">
        <v>4321</v>
      </c>
      <c r="CU1679" s="307" t="s">
        <v>208</v>
      </c>
      <c r="CV1679" s="307" t="s">
        <v>4305</v>
      </c>
      <c r="CW1679" s="366" t="s">
        <v>51</v>
      </c>
      <c r="CX1679" s="307">
        <v>-0.35299999999999998</v>
      </c>
      <c r="CY1679" s="307">
        <v>-0.35299999999999998</v>
      </c>
      <c r="CZ1679" s="307">
        <v>-0.35299999999999998</v>
      </c>
    </row>
    <row r="1680" spans="98:104">
      <c r="CT1680" s="366" t="s">
        <v>4322</v>
      </c>
      <c r="CU1680" s="307" t="s">
        <v>208</v>
      </c>
      <c r="CV1680" s="307" t="s">
        <v>4305</v>
      </c>
      <c r="CW1680" s="366" t="s">
        <v>56</v>
      </c>
      <c r="CX1680" s="307">
        <v>-0.35299999999999998</v>
      </c>
      <c r="CY1680" s="307">
        <v>-0.35299999999999998</v>
      </c>
      <c r="CZ1680" s="307">
        <v>-0.35299999999999998</v>
      </c>
    </row>
    <row r="1681" spans="98:104">
      <c r="CT1681" s="366" t="s">
        <v>4323</v>
      </c>
      <c r="CU1681" s="307" t="s">
        <v>208</v>
      </c>
      <c r="CV1681" s="307" t="s">
        <v>4305</v>
      </c>
      <c r="CW1681" s="366" t="s">
        <v>57</v>
      </c>
      <c r="CX1681" s="307">
        <v>-0.35299999999999998</v>
      </c>
      <c r="CY1681" s="307">
        <v>-0.35299999999999998</v>
      </c>
      <c r="CZ1681" s="307">
        <v>-0.35299999999999998</v>
      </c>
    </row>
    <row r="1682" spans="98:104">
      <c r="CT1682" s="366" t="s">
        <v>4324</v>
      </c>
      <c r="CU1682" s="307" t="s">
        <v>208</v>
      </c>
      <c r="CV1682" s="307" t="s">
        <v>4305</v>
      </c>
      <c r="CW1682" s="366" t="s">
        <v>58</v>
      </c>
      <c r="CX1682" s="307">
        <v>-0.35199999999999998</v>
      </c>
      <c r="CY1682" s="307">
        <v>-0.35199999999999998</v>
      </c>
      <c r="CZ1682" s="307">
        <v>-0.35199999999999998</v>
      </c>
    </row>
    <row r="1683" spans="98:104">
      <c r="CT1683" s="366" t="s">
        <v>4325</v>
      </c>
      <c r="CU1683" s="307" t="s">
        <v>208</v>
      </c>
      <c r="CV1683" s="307" t="s">
        <v>4305</v>
      </c>
      <c r="CW1683" s="366" t="s">
        <v>53</v>
      </c>
      <c r="CX1683" s="307">
        <v>-0.35199999999999998</v>
      </c>
      <c r="CY1683" s="307">
        <v>-0.35199999999999998</v>
      </c>
      <c r="CZ1683" s="307">
        <v>-0.35199999999999998</v>
      </c>
    </row>
    <row r="1684" spans="98:104">
      <c r="CT1684" s="366" t="s">
        <v>4326</v>
      </c>
      <c r="CU1684" s="307" t="s">
        <v>208</v>
      </c>
      <c r="CV1684" s="307" t="s">
        <v>4305</v>
      </c>
      <c r="CW1684" s="366" t="s">
        <v>59</v>
      </c>
      <c r="CX1684" s="307">
        <v>-0.35099999999999998</v>
      </c>
      <c r="CY1684" s="307">
        <v>-0.35099999999999998</v>
      </c>
      <c r="CZ1684" s="307">
        <v>-0.35099999999999998</v>
      </c>
    </row>
    <row r="1685" spans="98:104">
      <c r="CT1685" s="366" t="s">
        <v>4327</v>
      </c>
      <c r="CU1685" s="307" t="s">
        <v>208</v>
      </c>
      <c r="CV1685" s="307" t="s">
        <v>4305</v>
      </c>
      <c r="CW1685" s="366" t="s">
        <v>60</v>
      </c>
      <c r="CX1685" s="307">
        <v>-0.35</v>
      </c>
      <c r="CY1685" s="307">
        <v>-0.35</v>
      </c>
      <c r="CZ1685" s="307">
        <v>-0.35</v>
      </c>
    </row>
    <row r="1686" spans="98:104">
      <c r="CT1686" s="366" t="s">
        <v>4328</v>
      </c>
      <c r="CU1686" s="307" t="s">
        <v>208</v>
      </c>
      <c r="CV1686" s="307" t="s">
        <v>4305</v>
      </c>
      <c r="CW1686" s="366" t="s">
        <v>54</v>
      </c>
      <c r="CX1686" s="307">
        <v>-0.34899999999999998</v>
      </c>
      <c r="CY1686" s="307">
        <v>-0.34899999999999998</v>
      </c>
      <c r="CZ1686" s="307">
        <v>-0.34899999999999998</v>
      </c>
    </row>
    <row r="1687" spans="98:104">
      <c r="CT1687" s="366" t="s">
        <v>4329</v>
      </c>
      <c r="CU1687" s="307" t="s">
        <v>208</v>
      </c>
      <c r="CV1687" s="307" t="s">
        <v>4305</v>
      </c>
      <c r="CW1687" s="366" t="s">
        <v>61</v>
      </c>
      <c r="CX1687" s="307">
        <v>-0.34799999999999998</v>
      </c>
      <c r="CY1687" s="307">
        <v>-0.34799999999999998</v>
      </c>
      <c r="CZ1687" s="307">
        <v>-0.34799999999999998</v>
      </c>
    </row>
    <row r="1688" spans="98:104">
      <c r="CT1688" s="366" t="s">
        <v>4330</v>
      </c>
      <c r="CU1688" s="307" t="s">
        <v>208</v>
      </c>
      <c r="CV1688" s="307" t="s">
        <v>4305</v>
      </c>
      <c r="CW1688" s="366" t="s">
        <v>62</v>
      </c>
      <c r="CX1688" s="307">
        <v>-0.34599999999999997</v>
      </c>
      <c r="CY1688" s="307">
        <v>-0.34599999999999997</v>
      </c>
      <c r="CZ1688" s="307">
        <v>-0.34599999999999997</v>
      </c>
    </row>
    <row r="1689" spans="98:104">
      <c r="CT1689" s="366" t="s">
        <v>4331</v>
      </c>
      <c r="CU1689" s="307" t="s">
        <v>208</v>
      </c>
      <c r="CV1689" s="307" t="s">
        <v>4305</v>
      </c>
      <c r="CW1689" s="366" t="s">
        <v>55</v>
      </c>
      <c r="CX1689" s="307">
        <v>-0.34399999999999997</v>
      </c>
      <c r="CY1689" s="307">
        <v>-0.34399999999999997</v>
      </c>
      <c r="CZ1689" s="307">
        <v>-0.34399999999999997</v>
      </c>
    </row>
    <row r="1690" spans="98:104">
      <c r="CT1690" s="366" t="s">
        <v>4332</v>
      </c>
      <c r="CU1690" s="307" t="s">
        <v>208</v>
      </c>
      <c r="CV1690" s="307" t="s">
        <v>4305</v>
      </c>
      <c r="CW1690" s="366" t="s">
        <v>63</v>
      </c>
      <c r="CX1690" s="307">
        <v>-0.34200000000000003</v>
      </c>
      <c r="CY1690" s="307">
        <v>-0.34200000000000003</v>
      </c>
      <c r="CZ1690" s="307">
        <v>-0.34200000000000003</v>
      </c>
    </row>
    <row r="1691" spans="98:104">
      <c r="CT1691" s="366" t="s">
        <v>4333</v>
      </c>
      <c r="CU1691" s="307" t="s">
        <v>208</v>
      </c>
      <c r="CV1691" s="307" t="s">
        <v>4305</v>
      </c>
      <c r="CW1691" s="366" t="s">
        <v>64</v>
      </c>
      <c r="CX1691" s="307">
        <v>-0.33900000000000002</v>
      </c>
      <c r="CY1691" s="307">
        <v>-0.33900000000000002</v>
      </c>
      <c r="CZ1691" s="307">
        <v>-0.33900000000000002</v>
      </c>
    </row>
    <row r="1692" spans="98:104">
      <c r="CT1692" s="366" t="s">
        <v>4334</v>
      </c>
      <c r="CU1692" s="307" t="s">
        <v>208</v>
      </c>
      <c r="CV1692" s="307" t="s">
        <v>4305</v>
      </c>
      <c r="CW1692" s="366" t="s">
        <v>9</v>
      </c>
      <c r="CX1692" s="307">
        <v>-0.33600000000000002</v>
      </c>
      <c r="CY1692" s="307">
        <v>-0.33600000000000002</v>
      </c>
      <c r="CZ1692" s="307">
        <v>-0.33600000000000002</v>
      </c>
    </row>
    <row r="1693" spans="98:104">
      <c r="CT1693" s="366" t="s">
        <v>4335</v>
      </c>
      <c r="CU1693" s="307" t="s">
        <v>208</v>
      </c>
      <c r="CV1693" s="307" t="s">
        <v>4305</v>
      </c>
      <c r="CW1693" s="366" t="s">
        <v>10</v>
      </c>
      <c r="CX1693" s="307">
        <v>-0.28199999999999997</v>
      </c>
      <c r="CY1693" s="307">
        <v>-0.28199999999999997</v>
      </c>
      <c r="CZ1693" s="307">
        <v>-0.28199999999999997</v>
      </c>
    </row>
    <row r="1694" spans="98:104">
      <c r="CT1694" s="366" t="s">
        <v>4336</v>
      </c>
      <c r="CU1694" s="307" t="s">
        <v>208</v>
      </c>
      <c r="CV1694" s="307" t="s">
        <v>4305</v>
      </c>
      <c r="CW1694" s="366" t="s">
        <v>11</v>
      </c>
      <c r="CX1694" s="307">
        <v>-0.20799999999999999</v>
      </c>
      <c r="CY1694" s="307">
        <v>-0.20799999999999999</v>
      </c>
      <c r="CZ1694" s="307">
        <v>-0.20799999999999999</v>
      </c>
    </row>
    <row r="1695" spans="98:104">
      <c r="CT1695" s="366" t="s">
        <v>4337</v>
      </c>
      <c r="CU1695" s="307" t="s">
        <v>208</v>
      </c>
      <c r="CV1695" s="307" t="s">
        <v>4305</v>
      </c>
      <c r="CW1695" s="366" t="s">
        <v>12</v>
      </c>
      <c r="CX1695" s="307">
        <v>-0.113</v>
      </c>
      <c r="CY1695" s="307">
        <v>-0.113</v>
      </c>
      <c r="CZ1695" s="307">
        <v>-0.113</v>
      </c>
    </row>
    <row r="1696" spans="98:104">
      <c r="CT1696" s="366" t="s">
        <v>4338</v>
      </c>
      <c r="CU1696" s="307" t="s">
        <v>208</v>
      </c>
      <c r="CV1696" s="307" t="s">
        <v>4305</v>
      </c>
      <c r="CW1696" s="366" t="s">
        <v>13</v>
      </c>
      <c r="CX1696" s="307">
        <v>-5.0000000000000001E-3</v>
      </c>
      <c r="CY1696" s="307">
        <v>-5.0000000000000001E-3</v>
      </c>
      <c r="CZ1696" s="307">
        <v>-5.0000000000000001E-3</v>
      </c>
    </row>
    <row r="1697" spans="98:104">
      <c r="CT1697" s="366" t="s">
        <v>4339</v>
      </c>
      <c r="CU1697" s="307" t="s">
        <v>208</v>
      </c>
      <c r="CV1697" s="307" t="s">
        <v>4305</v>
      </c>
      <c r="CW1697" s="366" t="s">
        <v>14</v>
      </c>
      <c r="CX1697" s="307">
        <v>0.109</v>
      </c>
      <c r="CY1697" s="307">
        <v>0.109</v>
      </c>
      <c r="CZ1697" s="307">
        <v>0.109</v>
      </c>
    </row>
    <row r="1698" spans="98:104">
      <c r="CT1698" s="366" t="s">
        <v>4340</v>
      </c>
      <c r="CU1698" s="307" t="s">
        <v>208</v>
      </c>
      <c r="CV1698" s="307" t="s">
        <v>4305</v>
      </c>
      <c r="CW1698" s="366" t="s">
        <v>15</v>
      </c>
      <c r="CX1698" s="307">
        <v>0.22600000000000001</v>
      </c>
      <c r="CY1698" s="307">
        <v>0.22600000000000001</v>
      </c>
      <c r="CZ1698" s="307">
        <v>0.22600000000000001</v>
      </c>
    </row>
    <row r="1699" spans="98:104">
      <c r="CT1699" s="366" t="s">
        <v>4341</v>
      </c>
      <c r="CU1699" s="307" t="s">
        <v>208</v>
      </c>
      <c r="CV1699" s="307" t="s">
        <v>4305</v>
      </c>
      <c r="CW1699" s="366" t="s">
        <v>16</v>
      </c>
      <c r="CX1699" s="307">
        <v>0.33800000000000002</v>
      </c>
      <c r="CY1699" s="307">
        <v>0.33800000000000002</v>
      </c>
      <c r="CZ1699" s="307">
        <v>0.33800000000000002</v>
      </c>
    </row>
    <row r="1700" spans="98:104">
      <c r="CT1700" s="366" t="s">
        <v>4342</v>
      </c>
      <c r="CU1700" s="307" t="s">
        <v>208</v>
      </c>
      <c r="CV1700" s="307" t="s">
        <v>4305</v>
      </c>
      <c r="CW1700" s="366" t="s">
        <v>17</v>
      </c>
      <c r="CX1700" s="307">
        <v>0.441</v>
      </c>
      <c r="CY1700" s="307">
        <v>0.441</v>
      </c>
      <c r="CZ1700" s="307">
        <v>0.441</v>
      </c>
    </row>
    <row r="1701" spans="98:104">
      <c r="CT1701" s="366" t="s">
        <v>4343</v>
      </c>
      <c r="CU1701" s="307" t="s">
        <v>208</v>
      </c>
      <c r="CV1701" s="307" t="s">
        <v>4305</v>
      </c>
      <c r="CW1701" s="366" t="s">
        <v>31</v>
      </c>
      <c r="CX1701" s="307">
        <v>0.53500000000000003</v>
      </c>
      <c r="CY1701" s="307">
        <v>0.53500000000000003</v>
      </c>
      <c r="CZ1701" s="307">
        <v>0.53500000000000003</v>
      </c>
    </row>
    <row r="1702" spans="98:104">
      <c r="CT1702" s="366" t="s">
        <v>4344</v>
      </c>
      <c r="CU1702" s="307" t="s">
        <v>208</v>
      </c>
      <c r="CV1702" s="307" t="s">
        <v>4305</v>
      </c>
      <c r="CW1702" s="366" t="s">
        <v>18</v>
      </c>
      <c r="CX1702" s="307">
        <v>0.61899999999999999</v>
      </c>
      <c r="CY1702" s="307">
        <v>0.61899999999999999</v>
      </c>
      <c r="CZ1702" s="307">
        <v>0.61899999999999999</v>
      </c>
    </row>
    <row r="1703" spans="98:104">
      <c r="CT1703" s="366" t="s">
        <v>4345</v>
      </c>
      <c r="CU1703" s="307" t="s">
        <v>208</v>
      </c>
      <c r="CV1703" s="307" t="s">
        <v>4305</v>
      </c>
      <c r="CW1703" s="366" t="s">
        <v>32</v>
      </c>
      <c r="CX1703" s="307">
        <v>0.69199999999999995</v>
      </c>
      <c r="CY1703" s="307">
        <v>0.69199999999999995</v>
      </c>
      <c r="CZ1703" s="307">
        <v>0.69199999999999995</v>
      </c>
    </row>
    <row r="1704" spans="98:104">
      <c r="CT1704" s="366" t="s">
        <v>4346</v>
      </c>
      <c r="CU1704" s="307" t="s">
        <v>208</v>
      </c>
      <c r="CV1704" s="307" t="s">
        <v>4305</v>
      </c>
      <c r="CW1704" s="366" t="s">
        <v>33</v>
      </c>
      <c r="CX1704" s="307">
        <v>0.755</v>
      </c>
      <c r="CY1704" s="307">
        <v>0.755</v>
      </c>
      <c r="CZ1704" s="307">
        <v>0.755</v>
      </c>
    </row>
    <row r="1705" spans="98:104">
      <c r="CT1705" s="366" t="s">
        <v>4347</v>
      </c>
      <c r="CU1705" s="307" t="s">
        <v>208</v>
      </c>
      <c r="CV1705" s="307" t="s">
        <v>4305</v>
      </c>
      <c r="CW1705" s="366" t="s">
        <v>19</v>
      </c>
      <c r="CX1705" s="307">
        <v>0.80900000000000005</v>
      </c>
      <c r="CY1705" s="307">
        <v>0.80900000000000005</v>
      </c>
      <c r="CZ1705" s="307">
        <v>0.80900000000000005</v>
      </c>
    </row>
    <row r="1706" spans="98:104">
      <c r="CT1706" s="366" t="s">
        <v>4348</v>
      </c>
      <c r="CU1706" s="307" t="s">
        <v>208</v>
      </c>
      <c r="CV1706" s="307" t="s">
        <v>4305</v>
      </c>
      <c r="CW1706" s="366" t="s">
        <v>34</v>
      </c>
      <c r="CX1706" s="307">
        <v>0.85399999999999998</v>
      </c>
      <c r="CY1706" s="307">
        <v>0.85399999999999998</v>
      </c>
      <c r="CZ1706" s="307">
        <v>0.85399999999999998</v>
      </c>
    </row>
    <row r="1707" spans="98:104">
      <c r="CT1707" s="366" t="s">
        <v>4349</v>
      </c>
      <c r="CU1707" s="307" t="s">
        <v>208</v>
      </c>
      <c r="CV1707" s="307" t="s">
        <v>4305</v>
      </c>
      <c r="CW1707" s="366" t="s">
        <v>35</v>
      </c>
      <c r="CX1707" s="307">
        <v>0.89200000000000002</v>
      </c>
      <c r="CY1707" s="307">
        <v>0.89200000000000002</v>
      </c>
      <c r="CZ1707" s="307">
        <v>0.89200000000000002</v>
      </c>
    </row>
    <row r="1708" spans="98:104">
      <c r="CT1708" s="366" t="s">
        <v>4350</v>
      </c>
      <c r="CU1708" s="307" t="s">
        <v>208</v>
      </c>
      <c r="CV1708" s="307" t="s">
        <v>4305</v>
      </c>
      <c r="CW1708" s="366" t="s">
        <v>36</v>
      </c>
      <c r="CX1708" s="307">
        <v>0.92400000000000004</v>
      </c>
      <c r="CY1708" s="307">
        <v>0.92400000000000004</v>
      </c>
      <c r="CZ1708" s="307">
        <v>0.92400000000000004</v>
      </c>
    </row>
    <row r="1709" spans="98:104">
      <c r="CT1709" s="366" t="s">
        <v>4351</v>
      </c>
      <c r="CU1709" s="307" t="s">
        <v>208</v>
      </c>
      <c r="CV1709" s="307" t="s">
        <v>4305</v>
      </c>
      <c r="CW1709" s="366" t="s">
        <v>37</v>
      </c>
      <c r="CX1709" s="307">
        <v>0.94899999999999995</v>
      </c>
      <c r="CY1709" s="307">
        <v>0.94899999999999995</v>
      </c>
      <c r="CZ1709" s="307">
        <v>0.94899999999999995</v>
      </c>
    </row>
    <row r="1710" spans="98:104">
      <c r="CT1710" s="366" t="s">
        <v>4352</v>
      </c>
      <c r="CU1710" s="307" t="s">
        <v>208</v>
      </c>
      <c r="CV1710" s="307" t="s">
        <v>4305</v>
      </c>
      <c r="CW1710" s="366" t="s">
        <v>20</v>
      </c>
      <c r="CX1710" s="307">
        <v>0.97</v>
      </c>
      <c r="CY1710" s="307">
        <v>0.97</v>
      </c>
      <c r="CZ1710" s="307">
        <v>0.97</v>
      </c>
    </row>
    <row r="1711" spans="98:104">
      <c r="CT1711" s="366" t="s">
        <v>4353</v>
      </c>
      <c r="CU1711" s="307" t="s">
        <v>208</v>
      </c>
      <c r="CV1711" s="307" t="s">
        <v>4305</v>
      </c>
      <c r="CW1711" s="366" t="s">
        <v>38</v>
      </c>
      <c r="CX1711" s="307">
        <v>0.98699999999999999</v>
      </c>
      <c r="CY1711" s="307">
        <v>0.98699999999999999</v>
      </c>
      <c r="CZ1711" s="307">
        <v>0.98699999999999999</v>
      </c>
    </row>
    <row r="1712" spans="98:104">
      <c r="CT1712" s="366" t="s">
        <v>4354</v>
      </c>
      <c r="CU1712" s="307" t="s">
        <v>208</v>
      </c>
      <c r="CV1712" s="307" t="s">
        <v>4305</v>
      </c>
      <c r="CW1712" s="366" t="s">
        <v>39</v>
      </c>
      <c r="CX1712" s="307">
        <v>1</v>
      </c>
      <c r="CY1712" s="307">
        <v>1</v>
      </c>
      <c r="CZ1712" s="307">
        <v>1</v>
      </c>
    </row>
    <row r="1713" spans="98:104">
      <c r="CT1713" s="366" t="s">
        <v>4355</v>
      </c>
      <c r="CU1713" s="307" t="s">
        <v>208</v>
      </c>
      <c r="CV1713" s="307" t="s">
        <v>4305</v>
      </c>
      <c r="CW1713" s="366" t="s">
        <v>40</v>
      </c>
      <c r="CX1713" s="307">
        <v>1.0109999999999999</v>
      </c>
      <c r="CY1713" s="307">
        <v>1.0109999999999999</v>
      </c>
      <c r="CZ1713" s="307">
        <v>1.0109999999999999</v>
      </c>
    </row>
    <row r="1714" spans="98:104">
      <c r="CT1714" s="366" t="s">
        <v>4356</v>
      </c>
      <c r="CU1714" s="307" t="s">
        <v>208</v>
      </c>
      <c r="CV1714" s="307" t="s">
        <v>4305</v>
      </c>
      <c r="CW1714" s="366" t="s">
        <v>41</v>
      </c>
      <c r="CX1714" s="307">
        <v>1.02</v>
      </c>
      <c r="CY1714" s="307">
        <v>1.02</v>
      </c>
      <c r="CZ1714" s="307">
        <v>1.02</v>
      </c>
    </row>
    <row r="1715" spans="98:104">
      <c r="CT1715" s="366" t="s">
        <v>4357</v>
      </c>
      <c r="CU1715" s="307" t="s">
        <v>208</v>
      </c>
      <c r="CV1715" s="307" t="s">
        <v>4305</v>
      </c>
      <c r="CW1715" s="366" t="s">
        <v>21</v>
      </c>
      <c r="CX1715" s="307">
        <v>1.0269999999999999</v>
      </c>
      <c r="CY1715" s="307">
        <v>1.0269999999999999</v>
      </c>
      <c r="CZ1715" s="307">
        <v>1.0269999999999999</v>
      </c>
    </row>
    <row r="1716" spans="98:104">
      <c r="CT1716" s="366" t="s">
        <v>4358</v>
      </c>
      <c r="CU1716" s="307" t="s">
        <v>208</v>
      </c>
      <c r="CV1716" s="307" t="s">
        <v>4305</v>
      </c>
      <c r="CW1716" s="366" t="s">
        <v>42</v>
      </c>
      <c r="CX1716" s="307">
        <v>1.0329999999999999</v>
      </c>
      <c r="CY1716" s="307">
        <v>1.0329999999999999</v>
      </c>
      <c r="CZ1716" s="307">
        <v>1.0329999999999999</v>
      </c>
    </row>
    <row r="1717" spans="98:104">
      <c r="CT1717" s="366" t="s">
        <v>4359</v>
      </c>
      <c r="CU1717" s="307" t="s">
        <v>208</v>
      </c>
      <c r="CV1717" s="307" t="s">
        <v>4305</v>
      </c>
      <c r="CW1717" s="366" t="s">
        <v>43</v>
      </c>
      <c r="CX1717" s="307">
        <v>1.0389999999999999</v>
      </c>
      <c r="CY1717" s="307">
        <v>1.0389999999999999</v>
      </c>
      <c r="CZ1717" s="307">
        <v>1.0389999999999999</v>
      </c>
    </row>
    <row r="1718" spans="98:104">
      <c r="CT1718" s="366" t="s">
        <v>4360</v>
      </c>
      <c r="CU1718" s="307" t="s">
        <v>208</v>
      </c>
      <c r="CV1718" s="307" t="s">
        <v>4305</v>
      </c>
      <c r="CW1718" s="366" t="s">
        <v>44</v>
      </c>
      <c r="CX1718" s="307">
        <v>1.044</v>
      </c>
      <c r="CY1718" s="307">
        <v>1.044</v>
      </c>
      <c r="CZ1718" s="307">
        <v>1.044</v>
      </c>
    </row>
    <row r="1719" spans="98:104">
      <c r="CT1719" s="366" t="s">
        <v>4361</v>
      </c>
      <c r="CU1719" s="307" t="s">
        <v>208</v>
      </c>
      <c r="CV1719" s="307" t="s">
        <v>4305</v>
      </c>
      <c r="CW1719" s="366" t="s">
        <v>45</v>
      </c>
      <c r="CX1719" s="307">
        <v>1.048</v>
      </c>
      <c r="CY1719" s="307">
        <v>1.048</v>
      </c>
      <c r="CZ1719" s="307">
        <v>1.048</v>
      </c>
    </row>
    <row r="1720" spans="98:104">
      <c r="CT1720" s="366" t="s">
        <v>4362</v>
      </c>
      <c r="CU1720" s="307" t="s">
        <v>208</v>
      </c>
      <c r="CV1720" s="307" t="s">
        <v>4305</v>
      </c>
      <c r="CW1720" s="366" t="s">
        <v>22</v>
      </c>
      <c r="CX1720" s="307">
        <v>1.052</v>
      </c>
      <c r="CY1720" s="307">
        <v>1.052</v>
      </c>
      <c r="CZ1720" s="307">
        <v>1.052</v>
      </c>
    </row>
    <row r="1721" spans="98:104">
      <c r="CT1721" s="366" t="s">
        <v>4363</v>
      </c>
      <c r="CU1721" s="307" t="s">
        <v>208</v>
      </c>
      <c r="CV1721" s="307" t="s">
        <v>4305</v>
      </c>
      <c r="CW1721" s="366" t="s">
        <v>167</v>
      </c>
      <c r="CX1721" s="307">
        <v>1.0629999999999999</v>
      </c>
      <c r="CY1721" s="307">
        <v>1.0629999999999999</v>
      </c>
      <c r="CZ1721" s="307">
        <v>1.0629999999999999</v>
      </c>
    </row>
    <row r="1722" spans="98:104">
      <c r="CT1722" s="366" t="s">
        <v>4364</v>
      </c>
      <c r="CU1722" s="307" t="s">
        <v>208</v>
      </c>
      <c r="CV1722" s="307" t="s">
        <v>4305</v>
      </c>
      <c r="CW1722" s="366" t="s">
        <v>46</v>
      </c>
      <c r="CX1722" s="307">
        <v>1.06</v>
      </c>
      <c r="CY1722" s="307">
        <v>1.06</v>
      </c>
      <c r="CZ1722" s="307">
        <v>1.06</v>
      </c>
    </row>
    <row r="1723" spans="98:104">
      <c r="CT1723" s="366" t="s">
        <v>4365</v>
      </c>
      <c r="CU1723" s="307" t="s">
        <v>208</v>
      </c>
      <c r="CV1723" s="307" t="s">
        <v>4305</v>
      </c>
      <c r="CW1723" s="366" t="s">
        <v>47</v>
      </c>
      <c r="CX1723" s="307">
        <v>1.02</v>
      </c>
      <c r="CY1723" s="307">
        <v>1.02</v>
      </c>
      <c r="CZ1723" s="307">
        <v>1.02</v>
      </c>
    </row>
    <row r="1724" spans="98:104">
      <c r="CT1724" s="366" t="s">
        <v>4366</v>
      </c>
      <c r="CU1724" s="307" t="s">
        <v>208</v>
      </c>
      <c r="CV1724" s="307" t="s">
        <v>4305</v>
      </c>
      <c r="CW1724" s="366" t="s">
        <v>48</v>
      </c>
      <c r="CX1724" s="307">
        <v>0.995</v>
      </c>
      <c r="CY1724" s="307">
        <v>0.995</v>
      </c>
      <c r="CZ1724" s="307">
        <v>0.995</v>
      </c>
    </row>
    <row r="1725" spans="98:104">
      <c r="CT1725" s="366" t="s">
        <v>4367</v>
      </c>
      <c r="CU1725" s="307" t="s">
        <v>208</v>
      </c>
      <c r="CV1725" s="307" t="s">
        <v>4368</v>
      </c>
      <c r="CW1725" s="366" t="s">
        <v>3</v>
      </c>
      <c r="CX1725" s="307">
        <v>-0.36999989999999999</v>
      </c>
      <c r="CY1725" s="307">
        <v>-0.36999989999999999</v>
      </c>
      <c r="CZ1725" s="307">
        <v>-0.36999989999999999</v>
      </c>
    </row>
    <row r="1726" spans="98:104">
      <c r="CT1726" s="366" t="s">
        <v>4369</v>
      </c>
      <c r="CU1726" s="307" t="s">
        <v>208</v>
      </c>
      <c r="CV1726" s="307" t="s">
        <v>4368</v>
      </c>
      <c r="CW1726" s="366" t="s">
        <v>4</v>
      </c>
      <c r="CX1726" s="307">
        <v>-0.37</v>
      </c>
      <c r="CY1726" s="307">
        <v>-0.37</v>
      </c>
      <c r="CZ1726" s="307">
        <v>-0.37</v>
      </c>
    </row>
    <row r="1727" spans="98:104">
      <c r="CT1727" s="366" t="s">
        <v>4370</v>
      </c>
      <c r="CU1727" s="307" t="s">
        <v>208</v>
      </c>
      <c r="CV1727" s="307" t="s">
        <v>4368</v>
      </c>
      <c r="CW1727" s="366" t="s">
        <v>23</v>
      </c>
      <c r="CX1727" s="307">
        <v>-0.37</v>
      </c>
      <c r="CY1727" s="307">
        <v>-0.37</v>
      </c>
      <c r="CZ1727" s="307">
        <v>-0.37</v>
      </c>
    </row>
    <row r="1728" spans="98:104">
      <c r="CT1728" s="366" t="s">
        <v>4371</v>
      </c>
      <c r="CU1728" s="307" t="s">
        <v>208</v>
      </c>
      <c r="CV1728" s="307" t="s">
        <v>4368</v>
      </c>
      <c r="CW1728" s="366" t="s">
        <v>5</v>
      </c>
      <c r="CX1728" s="307">
        <v>-0.34899999999999998</v>
      </c>
      <c r="CY1728" s="307">
        <v>-0.34899999999999998</v>
      </c>
      <c r="CZ1728" s="307">
        <v>-0.34899999999999998</v>
      </c>
    </row>
    <row r="1729" spans="98:104">
      <c r="CT1729" s="366" t="s">
        <v>4372</v>
      </c>
      <c r="CU1729" s="307" t="s">
        <v>208</v>
      </c>
      <c r="CV1729" s="307" t="s">
        <v>4368</v>
      </c>
      <c r="CW1729" s="366" t="s">
        <v>6</v>
      </c>
      <c r="CX1729" s="307">
        <v>-0.34699999999999998</v>
      </c>
      <c r="CY1729" s="307">
        <v>-0.34699999999999998</v>
      </c>
      <c r="CZ1729" s="307">
        <v>-0.34699999999999998</v>
      </c>
    </row>
    <row r="1730" spans="98:104">
      <c r="CT1730" s="366" t="s">
        <v>4373</v>
      </c>
      <c r="CU1730" s="307" t="s">
        <v>208</v>
      </c>
      <c r="CV1730" s="307" t="s">
        <v>4368</v>
      </c>
      <c r="CW1730" s="366" t="s">
        <v>24</v>
      </c>
      <c r="CX1730" s="307">
        <v>-0.34799999999999998</v>
      </c>
      <c r="CY1730" s="307">
        <v>-0.34799999999999998</v>
      </c>
      <c r="CZ1730" s="307">
        <v>-0.34799999999999998</v>
      </c>
    </row>
    <row r="1731" spans="98:104">
      <c r="CT1731" s="366" t="s">
        <v>4374</v>
      </c>
      <c r="CU1731" s="307" t="s">
        <v>208</v>
      </c>
      <c r="CV1731" s="307" t="s">
        <v>4368</v>
      </c>
      <c r="CW1731" s="366" t="s">
        <v>7</v>
      </c>
      <c r="CX1731" s="307">
        <v>-0.34899999999999998</v>
      </c>
      <c r="CY1731" s="307">
        <v>-0.34899999999999998</v>
      </c>
      <c r="CZ1731" s="307">
        <v>-0.34899999999999998</v>
      </c>
    </row>
    <row r="1732" spans="98:104">
      <c r="CT1732" s="366" t="s">
        <v>4375</v>
      </c>
      <c r="CU1732" s="307" t="s">
        <v>208</v>
      </c>
      <c r="CV1732" s="307" t="s">
        <v>4368</v>
      </c>
      <c r="CW1732" s="366" t="s">
        <v>8</v>
      </c>
      <c r="CX1732" s="307">
        <v>-0.34699999999999998</v>
      </c>
      <c r="CY1732" s="307">
        <v>-0.34699999999999998</v>
      </c>
      <c r="CZ1732" s="307">
        <v>-0.34699999999999998</v>
      </c>
    </row>
    <row r="1733" spans="98:104">
      <c r="CT1733" s="366" t="s">
        <v>4376</v>
      </c>
      <c r="CU1733" s="307" t="s">
        <v>208</v>
      </c>
      <c r="CV1733" s="307" t="s">
        <v>4368</v>
      </c>
      <c r="CW1733" s="366" t="s">
        <v>25</v>
      </c>
      <c r="CX1733" s="307">
        <v>-0.34799999999999998</v>
      </c>
      <c r="CY1733" s="307">
        <v>-0.34799999999999998</v>
      </c>
      <c r="CZ1733" s="307">
        <v>-0.34799999999999998</v>
      </c>
    </row>
    <row r="1734" spans="98:104">
      <c r="CT1734" s="366" t="s">
        <v>4377</v>
      </c>
      <c r="CU1734" s="307" t="s">
        <v>208</v>
      </c>
      <c r="CV1734" s="307" t="s">
        <v>4368</v>
      </c>
      <c r="CW1734" s="366" t="s">
        <v>26</v>
      </c>
      <c r="CX1734" s="307">
        <v>-0.34899999999999998</v>
      </c>
      <c r="CY1734" s="307">
        <v>-0.34899999999999998</v>
      </c>
      <c r="CZ1734" s="307">
        <v>-0.34899999999999998</v>
      </c>
    </row>
    <row r="1735" spans="98:104">
      <c r="CT1735" s="366" t="s">
        <v>4378</v>
      </c>
      <c r="CU1735" s="307" t="s">
        <v>208</v>
      </c>
      <c r="CV1735" s="307" t="s">
        <v>4368</v>
      </c>
      <c r="CW1735" s="366" t="s">
        <v>27</v>
      </c>
      <c r="CX1735" s="307">
        <v>-0.35099999999999998</v>
      </c>
      <c r="CY1735" s="307">
        <v>-0.35099999999999998</v>
      </c>
      <c r="CZ1735" s="307">
        <v>-0.35099999999999998</v>
      </c>
    </row>
    <row r="1736" spans="98:104">
      <c r="CT1736" s="366" t="s">
        <v>4379</v>
      </c>
      <c r="CU1736" s="307" t="s">
        <v>208</v>
      </c>
      <c r="CV1736" s="307" t="s">
        <v>4368</v>
      </c>
      <c r="CW1736" s="366" t="s">
        <v>28</v>
      </c>
      <c r="CX1736" s="307">
        <v>-0.35199999999999998</v>
      </c>
      <c r="CY1736" s="307">
        <v>-0.35199999999999998</v>
      </c>
      <c r="CZ1736" s="307">
        <v>-0.35199999999999998</v>
      </c>
    </row>
    <row r="1737" spans="98:104">
      <c r="CT1737" s="366" t="s">
        <v>4380</v>
      </c>
      <c r="CU1737" s="307" t="s">
        <v>208</v>
      </c>
      <c r="CV1737" s="307" t="s">
        <v>4368</v>
      </c>
      <c r="CW1737" s="366" t="s">
        <v>29</v>
      </c>
      <c r="CX1737" s="307">
        <v>-0.35299999999999998</v>
      </c>
      <c r="CY1737" s="307">
        <v>-0.35299999999999998</v>
      </c>
      <c r="CZ1737" s="307">
        <v>-0.35299999999999998</v>
      </c>
    </row>
    <row r="1738" spans="98:104">
      <c r="CT1738" s="366" t="s">
        <v>4381</v>
      </c>
      <c r="CU1738" s="307" t="s">
        <v>208</v>
      </c>
      <c r="CV1738" s="307" t="s">
        <v>4368</v>
      </c>
      <c r="CW1738" s="366" t="s">
        <v>30</v>
      </c>
      <c r="CX1738" s="307">
        <v>-0.35299999999999998</v>
      </c>
      <c r="CY1738" s="307">
        <v>-0.35299999999999998</v>
      </c>
      <c r="CZ1738" s="307">
        <v>-0.35299999999999998</v>
      </c>
    </row>
    <row r="1739" spans="98:104">
      <c r="CT1739" s="366" t="s">
        <v>4382</v>
      </c>
      <c r="CU1739" s="307" t="s">
        <v>208</v>
      </c>
      <c r="CV1739" s="307" t="s">
        <v>4368</v>
      </c>
      <c r="CW1739" s="366" t="s">
        <v>49</v>
      </c>
      <c r="CX1739" s="307">
        <v>-0.35399999999999998</v>
      </c>
      <c r="CY1739" s="307">
        <v>-0.35399999999999998</v>
      </c>
      <c r="CZ1739" s="307">
        <v>-0.35399999999999998</v>
      </c>
    </row>
    <row r="1740" spans="98:104">
      <c r="CT1740" s="366" t="s">
        <v>4383</v>
      </c>
      <c r="CU1740" s="307" t="s">
        <v>208</v>
      </c>
      <c r="CV1740" s="307" t="s">
        <v>4368</v>
      </c>
      <c r="CW1740" s="366" t="s">
        <v>50</v>
      </c>
      <c r="CX1740" s="307">
        <v>-0.35399999999999998</v>
      </c>
      <c r="CY1740" s="307">
        <v>-0.35399999999999998</v>
      </c>
      <c r="CZ1740" s="307">
        <v>-0.35399999999999998</v>
      </c>
    </row>
    <row r="1741" spans="98:104">
      <c r="CT1741" s="366" t="s">
        <v>4384</v>
      </c>
      <c r="CU1741" s="307" t="s">
        <v>208</v>
      </c>
      <c r="CV1741" s="307" t="s">
        <v>4368</v>
      </c>
      <c r="CW1741" s="366" t="s">
        <v>51</v>
      </c>
      <c r="CX1741" s="307">
        <v>-0.35299999999999998</v>
      </c>
      <c r="CY1741" s="307">
        <v>-0.35299999999999998</v>
      </c>
      <c r="CZ1741" s="307">
        <v>-0.35299999999999998</v>
      </c>
    </row>
    <row r="1742" spans="98:104">
      <c r="CT1742" s="366" t="s">
        <v>4385</v>
      </c>
      <c r="CU1742" s="307" t="s">
        <v>208</v>
      </c>
      <c r="CV1742" s="307" t="s">
        <v>4368</v>
      </c>
      <c r="CW1742" s="366" t="s">
        <v>56</v>
      </c>
      <c r="CX1742" s="307">
        <v>-0.35299999999999998</v>
      </c>
      <c r="CY1742" s="307">
        <v>-0.35299999999999998</v>
      </c>
      <c r="CZ1742" s="307">
        <v>-0.35299999999999998</v>
      </c>
    </row>
    <row r="1743" spans="98:104">
      <c r="CT1743" s="366" t="s">
        <v>4386</v>
      </c>
      <c r="CU1743" s="307" t="s">
        <v>208</v>
      </c>
      <c r="CV1743" s="307" t="s">
        <v>4368</v>
      </c>
      <c r="CW1743" s="366" t="s">
        <v>57</v>
      </c>
      <c r="CX1743" s="307">
        <v>-0.35299999999999998</v>
      </c>
      <c r="CY1743" s="307">
        <v>-0.35299999999999998</v>
      </c>
      <c r="CZ1743" s="307">
        <v>-0.35299999999999998</v>
      </c>
    </row>
    <row r="1744" spans="98:104">
      <c r="CT1744" s="366" t="s">
        <v>4387</v>
      </c>
      <c r="CU1744" s="307" t="s">
        <v>208</v>
      </c>
      <c r="CV1744" s="307" t="s">
        <v>4368</v>
      </c>
      <c r="CW1744" s="366" t="s">
        <v>58</v>
      </c>
      <c r="CX1744" s="307">
        <v>-0.35199999999999998</v>
      </c>
      <c r="CY1744" s="307">
        <v>-0.35199999999999998</v>
      </c>
      <c r="CZ1744" s="307">
        <v>-0.35199999999999998</v>
      </c>
    </row>
    <row r="1745" spans="98:104">
      <c r="CT1745" s="366" t="s">
        <v>4388</v>
      </c>
      <c r="CU1745" s="307" t="s">
        <v>208</v>
      </c>
      <c r="CV1745" s="307" t="s">
        <v>4368</v>
      </c>
      <c r="CW1745" s="366" t="s">
        <v>53</v>
      </c>
      <c r="CX1745" s="307">
        <v>-0.35199999999999998</v>
      </c>
      <c r="CY1745" s="307">
        <v>-0.35199999999999998</v>
      </c>
      <c r="CZ1745" s="307">
        <v>-0.35199999999999998</v>
      </c>
    </row>
    <row r="1746" spans="98:104">
      <c r="CT1746" s="366" t="s">
        <v>4389</v>
      </c>
      <c r="CU1746" s="307" t="s">
        <v>208</v>
      </c>
      <c r="CV1746" s="307" t="s">
        <v>4368</v>
      </c>
      <c r="CW1746" s="366" t="s">
        <v>59</v>
      </c>
      <c r="CX1746" s="307">
        <v>-0.35099999999999998</v>
      </c>
      <c r="CY1746" s="307">
        <v>-0.35099999999999998</v>
      </c>
      <c r="CZ1746" s="307">
        <v>-0.35099999999999998</v>
      </c>
    </row>
    <row r="1747" spans="98:104">
      <c r="CT1747" s="366" t="s">
        <v>4390</v>
      </c>
      <c r="CU1747" s="307" t="s">
        <v>208</v>
      </c>
      <c r="CV1747" s="307" t="s">
        <v>4368</v>
      </c>
      <c r="CW1747" s="366" t="s">
        <v>60</v>
      </c>
      <c r="CX1747" s="307">
        <v>-0.35</v>
      </c>
      <c r="CY1747" s="307">
        <v>-0.35</v>
      </c>
      <c r="CZ1747" s="307">
        <v>-0.35</v>
      </c>
    </row>
    <row r="1748" spans="98:104">
      <c r="CT1748" s="366" t="s">
        <v>4391</v>
      </c>
      <c r="CU1748" s="307" t="s">
        <v>208</v>
      </c>
      <c r="CV1748" s="307" t="s">
        <v>4368</v>
      </c>
      <c r="CW1748" s="366" t="s">
        <v>54</v>
      </c>
      <c r="CX1748" s="307">
        <v>-0.34899999999999998</v>
      </c>
      <c r="CY1748" s="307">
        <v>-0.34899999999999998</v>
      </c>
      <c r="CZ1748" s="307">
        <v>-0.34899999999999998</v>
      </c>
    </row>
    <row r="1749" spans="98:104">
      <c r="CT1749" s="366" t="s">
        <v>4392</v>
      </c>
      <c r="CU1749" s="307" t="s">
        <v>208</v>
      </c>
      <c r="CV1749" s="307" t="s">
        <v>4368</v>
      </c>
      <c r="CW1749" s="366" t="s">
        <v>61</v>
      </c>
      <c r="CX1749" s="307">
        <v>-0.34799999999999998</v>
      </c>
      <c r="CY1749" s="307">
        <v>-0.34799999999999998</v>
      </c>
      <c r="CZ1749" s="307">
        <v>-0.34799999999999998</v>
      </c>
    </row>
    <row r="1750" spans="98:104">
      <c r="CT1750" s="366" t="s">
        <v>4393</v>
      </c>
      <c r="CU1750" s="307" t="s">
        <v>208</v>
      </c>
      <c r="CV1750" s="307" t="s">
        <v>4368</v>
      </c>
      <c r="CW1750" s="366" t="s">
        <v>62</v>
      </c>
      <c r="CX1750" s="307">
        <v>-0.34599999999999997</v>
      </c>
      <c r="CY1750" s="307">
        <v>-0.34599999999999997</v>
      </c>
      <c r="CZ1750" s="307">
        <v>-0.34599999999999997</v>
      </c>
    </row>
    <row r="1751" spans="98:104">
      <c r="CT1751" s="366" t="s">
        <v>4394</v>
      </c>
      <c r="CU1751" s="307" t="s">
        <v>208</v>
      </c>
      <c r="CV1751" s="307" t="s">
        <v>4368</v>
      </c>
      <c r="CW1751" s="366" t="s">
        <v>55</v>
      </c>
      <c r="CX1751" s="307">
        <v>-0.34399999999999997</v>
      </c>
      <c r="CY1751" s="307">
        <v>-0.34399999999999997</v>
      </c>
      <c r="CZ1751" s="307">
        <v>-0.34399999999999997</v>
      </c>
    </row>
    <row r="1752" spans="98:104">
      <c r="CT1752" s="366" t="s">
        <v>4395</v>
      </c>
      <c r="CU1752" s="307" t="s">
        <v>208</v>
      </c>
      <c r="CV1752" s="307" t="s">
        <v>4368</v>
      </c>
      <c r="CW1752" s="366" t="s">
        <v>63</v>
      </c>
      <c r="CX1752" s="307">
        <v>-0.34200000000000003</v>
      </c>
      <c r="CY1752" s="307">
        <v>-0.34200000000000003</v>
      </c>
      <c r="CZ1752" s="307">
        <v>-0.34200000000000003</v>
      </c>
    </row>
    <row r="1753" spans="98:104">
      <c r="CT1753" s="366" t="s">
        <v>4396</v>
      </c>
      <c r="CU1753" s="307" t="s">
        <v>208</v>
      </c>
      <c r="CV1753" s="307" t="s">
        <v>4368</v>
      </c>
      <c r="CW1753" s="366" t="s">
        <v>64</v>
      </c>
      <c r="CX1753" s="307">
        <v>-0.33900000000000002</v>
      </c>
      <c r="CY1753" s="307">
        <v>-0.33900000000000002</v>
      </c>
      <c r="CZ1753" s="307">
        <v>-0.33900000000000002</v>
      </c>
    </row>
    <row r="1754" spans="98:104">
      <c r="CT1754" s="366" t="s">
        <v>4397</v>
      </c>
      <c r="CU1754" s="307" t="s">
        <v>208</v>
      </c>
      <c r="CV1754" s="307" t="s">
        <v>4368</v>
      </c>
      <c r="CW1754" s="366" t="s">
        <v>9</v>
      </c>
      <c r="CX1754" s="307">
        <v>-0.33600000000000002</v>
      </c>
      <c r="CY1754" s="307">
        <v>-0.33600000000000002</v>
      </c>
      <c r="CZ1754" s="307">
        <v>-0.33600000000000002</v>
      </c>
    </row>
    <row r="1755" spans="98:104">
      <c r="CT1755" s="366" t="s">
        <v>4398</v>
      </c>
      <c r="CU1755" s="307" t="s">
        <v>208</v>
      </c>
      <c r="CV1755" s="307" t="s">
        <v>4368</v>
      </c>
      <c r="CW1755" s="366" t="s">
        <v>10</v>
      </c>
      <c r="CX1755" s="307">
        <v>-0.28199999999999997</v>
      </c>
      <c r="CY1755" s="307">
        <v>-0.28199999999999997</v>
      </c>
      <c r="CZ1755" s="307">
        <v>-0.28199999999999997</v>
      </c>
    </row>
    <row r="1756" spans="98:104">
      <c r="CT1756" s="366" t="s">
        <v>4399</v>
      </c>
      <c r="CU1756" s="307" t="s">
        <v>208</v>
      </c>
      <c r="CV1756" s="307" t="s">
        <v>4368</v>
      </c>
      <c r="CW1756" s="366" t="s">
        <v>11</v>
      </c>
      <c r="CX1756" s="307">
        <v>-0.20799999999999999</v>
      </c>
      <c r="CY1756" s="307">
        <v>-0.20799999999999999</v>
      </c>
      <c r="CZ1756" s="307">
        <v>-0.20799999999999999</v>
      </c>
    </row>
    <row r="1757" spans="98:104">
      <c r="CT1757" s="366" t="s">
        <v>4400</v>
      </c>
      <c r="CU1757" s="307" t="s">
        <v>208</v>
      </c>
      <c r="CV1757" s="307" t="s">
        <v>4368</v>
      </c>
      <c r="CW1757" s="366" t="s">
        <v>12</v>
      </c>
      <c r="CX1757" s="307">
        <v>-0.113</v>
      </c>
      <c r="CY1757" s="307">
        <v>-0.113</v>
      </c>
      <c r="CZ1757" s="307">
        <v>-0.113</v>
      </c>
    </row>
    <row r="1758" spans="98:104">
      <c r="CT1758" s="366" t="s">
        <v>4401</v>
      </c>
      <c r="CU1758" s="307" t="s">
        <v>208</v>
      </c>
      <c r="CV1758" s="307" t="s">
        <v>4368</v>
      </c>
      <c r="CW1758" s="366" t="s">
        <v>13</v>
      </c>
      <c r="CX1758" s="307">
        <v>-5.0000000000000001E-3</v>
      </c>
      <c r="CY1758" s="307">
        <v>-5.0000000000000001E-3</v>
      </c>
      <c r="CZ1758" s="307">
        <v>-5.0000000000000001E-3</v>
      </c>
    </row>
    <row r="1759" spans="98:104">
      <c r="CT1759" s="366" t="s">
        <v>4402</v>
      </c>
      <c r="CU1759" s="307" t="s">
        <v>208</v>
      </c>
      <c r="CV1759" s="307" t="s">
        <v>4368</v>
      </c>
      <c r="CW1759" s="366" t="s">
        <v>14</v>
      </c>
      <c r="CX1759" s="307">
        <v>0.109</v>
      </c>
      <c r="CY1759" s="307">
        <v>0.109</v>
      </c>
      <c r="CZ1759" s="307">
        <v>0.109</v>
      </c>
    </row>
    <row r="1760" spans="98:104">
      <c r="CT1760" s="366" t="s">
        <v>4403</v>
      </c>
      <c r="CU1760" s="307" t="s">
        <v>208</v>
      </c>
      <c r="CV1760" s="307" t="s">
        <v>4368</v>
      </c>
      <c r="CW1760" s="366" t="s">
        <v>15</v>
      </c>
      <c r="CX1760" s="307">
        <v>0.22600000000000001</v>
      </c>
      <c r="CY1760" s="307">
        <v>0.22600000000000001</v>
      </c>
      <c r="CZ1760" s="307">
        <v>0.22600000000000001</v>
      </c>
    </row>
    <row r="1761" spans="98:104">
      <c r="CT1761" s="366" t="s">
        <v>4404</v>
      </c>
      <c r="CU1761" s="307" t="s">
        <v>208</v>
      </c>
      <c r="CV1761" s="307" t="s">
        <v>4368</v>
      </c>
      <c r="CW1761" s="366" t="s">
        <v>16</v>
      </c>
      <c r="CX1761" s="307">
        <v>0.33800000000000002</v>
      </c>
      <c r="CY1761" s="307">
        <v>0.33800000000000002</v>
      </c>
      <c r="CZ1761" s="307">
        <v>0.33800000000000002</v>
      </c>
    </row>
    <row r="1762" spans="98:104">
      <c r="CT1762" s="366" t="s">
        <v>4405</v>
      </c>
      <c r="CU1762" s="307" t="s">
        <v>208</v>
      </c>
      <c r="CV1762" s="307" t="s">
        <v>4368</v>
      </c>
      <c r="CW1762" s="366" t="s">
        <v>17</v>
      </c>
      <c r="CX1762" s="307">
        <v>0.441</v>
      </c>
      <c r="CY1762" s="307">
        <v>0.441</v>
      </c>
      <c r="CZ1762" s="307">
        <v>0.441</v>
      </c>
    </row>
    <row r="1763" spans="98:104">
      <c r="CT1763" s="366" t="s">
        <v>4406</v>
      </c>
      <c r="CU1763" s="307" t="s">
        <v>208</v>
      </c>
      <c r="CV1763" s="307" t="s">
        <v>4368</v>
      </c>
      <c r="CW1763" s="366" t="s">
        <v>31</v>
      </c>
      <c r="CX1763" s="307">
        <v>0.53500000000000003</v>
      </c>
      <c r="CY1763" s="307">
        <v>0.53500000000000003</v>
      </c>
      <c r="CZ1763" s="307">
        <v>0.53500000000000003</v>
      </c>
    </row>
    <row r="1764" spans="98:104">
      <c r="CT1764" s="366" t="s">
        <v>4407</v>
      </c>
      <c r="CU1764" s="307" t="s">
        <v>208</v>
      </c>
      <c r="CV1764" s="307" t="s">
        <v>4368</v>
      </c>
      <c r="CW1764" s="366" t="s">
        <v>18</v>
      </c>
      <c r="CX1764" s="307">
        <v>0.61899999999999999</v>
      </c>
      <c r="CY1764" s="307">
        <v>0.61899999999999999</v>
      </c>
      <c r="CZ1764" s="307">
        <v>0.61899999999999999</v>
      </c>
    </row>
    <row r="1765" spans="98:104">
      <c r="CT1765" s="366" t="s">
        <v>4408</v>
      </c>
      <c r="CU1765" s="307" t="s">
        <v>208</v>
      </c>
      <c r="CV1765" s="307" t="s">
        <v>4368</v>
      </c>
      <c r="CW1765" s="366" t="s">
        <v>32</v>
      </c>
      <c r="CX1765" s="307">
        <v>0.69199999999999995</v>
      </c>
      <c r="CY1765" s="307">
        <v>0.69199999999999995</v>
      </c>
      <c r="CZ1765" s="307">
        <v>0.69199999999999995</v>
      </c>
    </row>
    <row r="1766" spans="98:104">
      <c r="CT1766" s="366" t="s">
        <v>4409</v>
      </c>
      <c r="CU1766" s="307" t="s">
        <v>208</v>
      </c>
      <c r="CV1766" s="307" t="s">
        <v>4368</v>
      </c>
      <c r="CW1766" s="366" t="s">
        <v>33</v>
      </c>
      <c r="CX1766" s="307">
        <v>0.755</v>
      </c>
      <c r="CY1766" s="307">
        <v>0.755</v>
      </c>
      <c r="CZ1766" s="307">
        <v>0.755</v>
      </c>
    </row>
    <row r="1767" spans="98:104">
      <c r="CT1767" s="366" t="s">
        <v>4410</v>
      </c>
      <c r="CU1767" s="307" t="s">
        <v>208</v>
      </c>
      <c r="CV1767" s="307" t="s">
        <v>4368</v>
      </c>
      <c r="CW1767" s="366" t="s">
        <v>19</v>
      </c>
      <c r="CX1767" s="307">
        <v>0.80900000000000005</v>
      </c>
      <c r="CY1767" s="307">
        <v>0.80900000000000005</v>
      </c>
      <c r="CZ1767" s="307">
        <v>0.80900000000000005</v>
      </c>
    </row>
    <row r="1768" spans="98:104">
      <c r="CT1768" s="366" t="s">
        <v>4411</v>
      </c>
      <c r="CU1768" s="307" t="s">
        <v>208</v>
      </c>
      <c r="CV1768" s="307" t="s">
        <v>4368</v>
      </c>
      <c r="CW1768" s="366" t="s">
        <v>34</v>
      </c>
      <c r="CX1768" s="307">
        <v>0.85399999999999998</v>
      </c>
      <c r="CY1768" s="307">
        <v>0.85399999999999998</v>
      </c>
      <c r="CZ1768" s="307">
        <v>0.85399999999999998</v>
      </c>
    </row>
    <row r="1769" spans="98:104">
      <c r="CT1769" s="366" t="s">
        <v>4412</v>
      </c>
      <c r="CU1769" s="307" t="s">
        <v>208</v>
      </c>
      <c r="CV1769" s="307" t="s">
        <v>4368</v>
      </c>
      <c r="CW1769" s="366" t="s">
        <v>35</v>
      </c>
      <c r="CX1769" s="307">
        <v>0.89200000000000002</v>
      </c>
      <c r="CY1769" s="307">
        <v>0.89200000000000002</v>
      </c>
      <c r="CZ1769" s="307">
        <v>0.89200000000000002</v>
      </c>
    </row>
    <row r="1770" spans="98:104">
      <c r="CT1770" s="366" t="s">
        <v>4413</v>
      </c>
      <c r="CU1770" s="307" t="s">
        <v>208</v>
      </c>
      <c r="CV1770" s="307" t="s">
        <v>4368</v>
      </c>
      <c r="CW1770" s="366" t="s">
        <v>36</v>
      </c>
      <c r="CX1770" s="307">
        <v>0.92400000000000004</v>
      </c>
      <c r="CY1770" s="307">
        <v>0.92400000000000004</v>
      </c>
      <c r="CZ1770" s="307">
        <v>0.92400000000000004</v>
      </c>
    </row>
    <row r="1771" spans="98:104">
      <c r="CT1771" s="366" t="s">
        <v>4414</v>
      </c>
      <c r="CU1771" s="307" t="s">
        <v>208</v>
      </c>
      <c r="CV1771" s="307" t="s">
        <v>4368</v>
      </c>
      <c r="CW1771" s="366" t="s">
        <v>37</v>
      </c>
      <c r="CX1771" s="307">
        <v>0.94899999999999995</v>
      </c>
      <c r="CY1771" s="307">
        <v>0.94899999999999995</v>
      </c>
      <c r="CZ1771" s="307">
        <v>0.94899999999999995</v>
      </c>
    </row>
    <row r="1772" spans="98:104">
      <c r="CT1772" s="366" t="s">
        <v>4415</v>
      </c>
      <c r="CU1772" s="307" t="s">
        <v>208</v>
      </c>
      <c r="CV1772" s="307" t="s">
        <v>4368</v>
      </c>
      <c r="CW1772" s="366" t="s">
        <v>20</v>
      </c>
      <c r="CX1772" s="307">
        <v>0.97</v>
      </c>
      <c r="CY1772" s="307">
        <v>0.97</v>
      </c>
      <c r="CZ1772" s="307">
        <v>0.97</v>
      </c>
    </row>
    <row r="1773" spans="98:104">
      <c r="CT1773" s="366" t="s">
        <v>4416</v>
      </c>
      <c r="CU1773" s="307" t="s">
        <v>208</v>
      </c>
      <c r="CV1773" s="307" t="s">
        <v>4368</v>
      </c>
      <c r="CW1773" s="366" t="s">
        <v>38</v>
      </c>
      <c r="CX1773" s="307">
        <v>0.98699999999999999</v>
      </c>
      <c r="CY1773" s="307">
        <v>0.98699999999999999</v>
      </c>
      <c r="CZ1773" s="307">
        <v>0.98699999999999999</v>
      </c>
    </row>
    <row r="1774" spans="98:104">
      <c r="CT1774" s="366" t="s">
        <v>4417</v>
      </c>
      <c r="CU1774" s="307" t="s">
        <v>208</v>
      </c>
      <c r="CV1774" s="307" t="s">
        <v>4368</v>
      </c>
      <c r="CW1774" s="366" t="s">
        <v>39</v>
      </c>
      <c r="CX1774" s="307">
        <v>1</v>
      </c>
      <c r="CY1774" s="307">
        <v>1</v>
      </c>
      <c r="CZ1774" s="307">
        <v>1</v>
      </c>
    </row>
    <row r="1775" spans="98:104">
      <c r="CT1775" s="366" t="s">
        <v>4418</v>
      </c>
      <c r="CU1775" s="307" t="s">
        <v>208</v>
      </c>
      <c r="CV1775" s="307" t="s">
        <v>4368</v>
      </c>
      <c r="CW1775" s="366" t="s">
        <v>40</v>
      </c>
      <c r="CX1775" s="307">
        <v>1.0109999999999999</v>
      </c>
      <c r="CY1775" s="307">
        <v>1.0109999999999999</v>
      </c>
      <c r="CZ1775" s="307">
        <v>1.0109999999999999</v>
      </c>
    </row>
    <row r="1776" spans="98:104">
      <c r="CT1776" s="366" t="s">
        <v>4419</v>
      </c>
      <c r="CU1776" s="307" t="s">
        <v>208</v>
      </c>
      <c r="CV1776" s="307" t="s">
        <v>4368</v>
      </c>
      <c r="CW1776" s="366" t="s">
        <v>41</v>
      </c>
      <c r="CX1776" s="307">
        <v>1.02</v>
      </c>
      <c r="CY1776" s="307">
        <v>1.02</v>
      </c>
      <c r="CZ1776" s="307">
        <v>1.02</v>
      </c>
    </row>
    <row r="1777" spans="98:104">
      <c r="CT1777" s="366" t="s">
        <v>4420</v>
      </c>
      <c r="CU1777" s="307" t="s">
        <v>208</v>
      </c>
      <c r="CV1777" s="307" t="s">
        <v>4368</v>
      </c>
      <c r="CW1777" s="366" t="s">
        <v>21</v>
      </c>
      <c r="CX1777" s="307">
        <v>1.0269999999999999</v>
      </c>
      <c r="CY1777" s="307">
        <v>1.0269999999999999</v>
      </c>
      <c r="CZ1777" s="307">
        <v>1.0269999999999999</v>
      </c>
    </row>
    <row r="1778" spans="98:104">
      <c r="CT1778" s="366" t="s">
        <v>4421</v>
      </c>
      <c r="CU1778" s="307" t="s">
        <v>208</v>
      </c>
      <c r="CV1778" s="307" t="s">
        <v>4368</v>
      </c>
      <c r="CW1778" s="366" t="s">
        <v>42</v>
      </c>
      <c r="CX1778" s="307">
        <v>1.0329999999999999</v>
      </c>
      <c r="CY1778" s="307">
        <v>1.0329999999999999</v>
      </c>
      <c r="CZ1778" s="307">
        <v>1.0329999999999999</v>
      </c>
    </row>
    <row r="1779" spans="98:104">
      <c r="CT1779" s="366" t="s">
        <v>4422</v>
      </c>
      <c r="CU1779" s="307" t="s">
        <v>208</v>
      </c>
      <c r="CV1779" s="307" t="s">
        <v>4368</v>
      </c>
      <c r="CW1779" s="366" t="s">
        <v>43</v>
      </c>
      <c r="CX1779" s="307">
        <v>1.0389999999999999</v>
      </c>
      <c r="CY1779" s="307">
        <v>1.0389999999999999</v>
      </c>
      <c r="CZ1779" s="307">
        <v>1.0389999999999999</v>
      </c>
    </row>
    <row r="1780" spans="98:104">
      <c r="CT1780" s="366" t="s">
        <v>4423</v>
      </c>
      <c r="CU1780" s="307" t="s">
        <v>208</v>
      </c>
      <c r="CV1780" s="307" t="s">
        <v>4368</v>
      </c>
      <c r="CW1780" s="366" t="s">
        <v>44</v>
      </c>
      <c r="CX1780" s="307">
        <v>1.044</v>
      </c>
      <c r="CY1780" s="307">
        <v>1.044</v>
      </c>
      <c r="CZ1780" s="307">
        <v>1.044</v>
      </c>
    </row>
    <row r="1781" spans="98:104">
      <c r="CT1781" s="366" t="s">
        <v>4424</v>
      </c>
      <c r="CU1781" s="307" t="s">
        <v>208</v>
      </c>
      <c r="CV1781" s="307" t="s">
        <v>4368</v>
      </c>
      <c r="CW1781" s="366" t="s">
        <v>45</v>
      </c>
      <c r="CX1781" s="307">
        <v>1.048</v>
      </c>
      <c r="CY1781" s="307">
        <v>1.048</v>
      </c>
      <c r="CZ1781" s="307">
        <v>1.048</v>
      </c>
    </row>
    <row r="1782" spans="98:104">
      <c r="CT1782" s="366" t="s">
        <v>4425</v>
      </c>
      <c r="CU1782" s="307" t="s">
        <v>208</v>
      </c>
      <c r="CV1782" s="307" t="s">
        <v>4368</v>
      </c>
      <c r="CW1782" s="366" t="s">
        <v>22</v>
      </c>
      <c r="CX1782" s="307">
        <v>1.052</v>
      </c>
      <c r="CY1782" s="307">
        <v>1.052</v>
      </c>
      <c r="CZ1782" s="307">
        <v>1.052</v>
      </c>
    </row>
    <row r="1783" spans="98:104">
      <c r="CT1783" s="366" t="s">
        <v>4426</v>
      </c>
      <c r="CU1783" s="307" t="s">
        <v>208</v>
      </c>
      <c r="CV1783" s="307" t="s">
        <v>4368</v>
      </c>
      <c r="CW1783" s="366" t="s">
        <v>167</v>
      </c>
      <c r="CX1783" s="307">
        <v>1.0629999999999999</v>
      </c>
      <c r="CY1783" s="307">
        <v>1.0629999999999999</v>
      </c>
      <c r="CZ1783" s="307">
        <v>1.0629999999999999</v>
      </c>
    </row>
    <row r="1784" spans="98:104">
      <c r="CT1784" s="366" t="s">
        <v>4427</v>
      </c>
      <c r="CU1784" s="307" t="s">
        <v>208</v>
      </c>
      <c r="CV1784" s="307" t="s">
        <v>4368</v>
      </c>
      <c r="CW1784" s="366" t="s">
        <v>46</v>
      </c>
      <c r="CX1784" s="307">
        <v>1.06</v>
      </c>
      <c r="CY1784" s="307">
        <v>1.06</v>
      </c>
      <c r="CZ1784" s="307">
        <v>1.06</v>
      </c>
    </row>
    <row r="1785" spans="98:104">
      <c r="CT1785" s="366" t="s">
        <v>4428</v>
      </c>
      <c r="CU1785" s="307" t="s">
        <v>208</v>
      </c>
      <c r="CV1785" s="307" t="s">
        <v>4368</v>
      </c>
      <c r="CW1785" s="366" t="s">
        <v>47</v>
      </c>
      <c r="CX1785" s="307">
        <v>1.02</v>
      </c>
      <c r="CY1785" s="307">
        <v>1.02</v>
      </c>
      <c r="CZ1785" s="307">
        <v>1.02</v>
      </c>
    </row>
    <row r="1786" spans="98:104">
      <c r="CT1786" s="366" t="s">
        <v>4429</v>
      </c>
      <c r="CU1786" s="307" t="s">
        <v>208</v>
      </c>
      <c r="CV1786" s="307" t="s">
        <v>4368</v>
      </c>
      <c r="CW1786" s="366" t="s">
        <v>48</v>
      </c>
      <c r="CX1786" s="307">
        <v>0.995</v>
      </c>
      <c r="CY1786" s="307">
        <v>0.995</v>
      </c>
      <c r="CZ1786" s="307">
        <v>0.995</v>
      </c>
    </row>
    <row r="1787" spans="98:104">
      <c r="CT1787" s="366" t="s">
        <v>2747</v>
      </c>
      <c r="CU1787" s="307" t="s">
        <v>208</v>
      </c>
      <c r="CV1787" s="307" t="s">
        <v>2748</v>
      </c>
      <c r="CW1787" s="366" t="s">
        <v>3</v>
      </c>
      <c r="CX1787" s="307">
        <v>-0.36999989999999999</v>
      </c>
      <c r="CY1787" s="307">
        <v>-0.36999989999999999</v>
      </c>
      <c r="CZ1787" s="307">
        <v>-0.36999989999999999</v>
      </c>
    </row>
    <row r="1788" spans="98:104">
      <c r="CT1788" s="366" t="s">
        <v>2749</v>
      </c>
      <c r="CU1788" s="307" t="s">
        <v>208</v>
      </c>
      <c r="CV1788" s="307" t="s">
        <v>2748</v>
      </c>
      <c r="CW1788" s="366" t="s">
        <v>4</v>
      </c>
      <c r="CX1788" s="307">
        <v>-0.37</v>
      </c>
      <c r="CY1788" s="307">
        <v>-0.37</v>
      </c>
      <c r="CZ1788" s="307">
        <v>-0.37</v>
      </c>
    </row>
    <row r="1789" spans="98:104">
      <c r="CT1789" s="366" t="s">
        <v>2750</v>
      </c>
      <c r="CU1789" s="307" t="s">
        <v>208</v>
      </c>
      <c r="CV1789" s="307" t="s">
        <v>2748</v>
      </c>
      <c r="CW1789" s="366" t="s">
        <v>23</v>
      </c>
      <c r="CX1789" s="307">
        <v>-0.37</v>
      </c>
      <c r="CY1789" s="307">
        <v>-0.37</v>
      </c>
      <c r="CZ1789" s="307">
        <v>-0.37</v>
      </c>
    </row>
    <row r="1790" spans="98:104">
      <c r="CT1790" s="366" t="s">
        <v>2751</v>
      </c>
      <c r="CU1790" s="307" t="s">
        <v>208</v>
      </c>
      <c r="CV1790" s="307" t="s">
        <v>2748</v>
      </c>
      <c r="CW1790" s="366" t="s">
        <v>5</v>
      </c>
      <c r="CX1790" s="307">
        <v>-0.37</v>
      </c>
      <c r="CY1790" s="307">
        <v>-0.37</v>
      </c>
      <c r="CZ1790" s="307">
        <v>-0.37</v>
      </c>
    </row>
    <row r="1791" spans="98:104">
      <c r="CT1791" s="366" t="s">
        <v>2752</v>
      </c>
      <c r="CU1791" s="307" t="s">
        <v>208</v>
      </c>
      <c r="CV1791" s="307" t="s">
        <v>2748</v>
      </c>
      <c r="CW1791" s="366" t="s">
        <v>6</v>
      </c>
      <c r="CX1791" s="307">
        <v>-0.37</v>
      </c>
      <c r="CY1791" s="307">
        <v>-0.37</v>
      </c>
      <c r="CZ1791" s="307">
        <v>-0.37</v>
      </c>
    </row>
    <row r="1792" spans="98:104">
      <c r="CT1792" s="366" t="s">
        <v>2753</v>
      </c>
      <c r="CU1792" s="307" t="s">
        <v>208</v>
      </c>
      <c r="CV1792" s="307" t="s">
        <v>2748</v>
      </c>
      <c r="CW1792" s="366" t="s">
        <v>24</v>
      </c>
      <c r="CX1792" s="307">
        <v>-0.37</v>
      </c>
      <c r="CY1792" s="307">
        <v>-0.37</v>
      </c>
      <c r="CZ1792" s="307">
        <v>-0.37</v>
      </c>
    </row>
    <row r="1793" spans="98:104">
      <c r="CT1793" s="366" t="s">
        <v>2754</v>
      </c>
      <c r="CU1793" s="307" t="s">
        <v>208</v>
      </c>
      <c r="CV1793" s="307" t="s">
        <v>2748</v>
      </c>
      <c r="CW1793" s="366" t="s">
        <v>7</v>
      </c>
      <c r="CX1793" s="307">
        <v>-0.37</v>
      </c>
      <c r="CY1793" s="307">
        <v>-0.37</v>
      </c>
      <c r="CZ1793" s="307">
        <v>-0.37</v>
      </c>
    </row>
    <row r="1794" spans="98:104">
      <c r="CT1794" s="366" t="s">
        <v>2755</v>
      </c>
      <c r="CU1794" s="307" t="s">
        <v>208</v>
      </c>
      <c r="CV1794" s="307" t="s">
        <v>2748</v>
      </c>
      <c r="CW1794" s="366" t="s">
        <v>8</v>
      </c>
      <c r="CX1794" s="307">
        <v>-0.33</v>
      </c>
      <c r="CY1794" s="307">
        <v>-0.33</v>
      </c>
      <c r="CZ1794" s="307">
        <v>-0.33</v>
      </c>
    </row>
    <row r="1795" spans="98:104">
      <c r="CT1795" s="366" t="s">
        <v>2756</v>
      </c>
      <c r="CU1795" s="307" t="s">
        <v>208</v>
      </c>
      <c r="CV1795" s="307" t="s">
        <v>2748</v>
      </c>
      <c r="CW1795" s="366" t="s">
        <v>25</v>
      </c>
      <c r="CX1795" s="307">
        <v>-0.3</v>
      </c>
      <c r="CY1795" s="307">
        <v>-0.3</v>
      </c>
      <c r="CZ1795" s="307">
        <v>-0.3</v>
      </c>
    </row>
    <row r="1796" spans="98:104">
      <c r="CT1796" s="366" t="s">
        <v>2757</v>
      </c>
      <c r="CU1796" s="307" t="s">
        <v>208</v>
      </c>
      <c r="CV1796" s="307" t="s">
        <v>2748</v>
      </c>
      <c r="CW1796" s="366" t="s">
        <v>26</v>
      </c>
      <c r="CX1796" s="307">
        <v>-0.27</v>
      </c>
      <c r="CY1796" s="307">
        <v>-0.27</v>
      </c>
      <c r="CZ1796" s="307">
        <v>-0.27</v>
      </c>
    </row>
    <row r="1797" spans="98:104">
      <c r="CT1797" s="366" t="s">
        <v>2758</v>
      </c>
      <c r="CU1797" s="307" t="s">
        <v>208</v>
      </c>
      <c r="CV1797" s="307" t="s">
        <v>2748</v>
      </c>
      <c r="CW1797" s="366" t="s">
        <v>27</v>
      </c>
      <c r="CX1797" s="307">
        <v>-0.24</v>
      </c>
      <c r="CY1797" s="307">
        <v>-0.24</v>
      </c>
      <c r="CZ1797" s="307">
        <v>-0.24</v>
      </c>
    </row>
    <row r="1798" spans="98:104">
      <c r="CT1798" s="366" t="s">
        <v>2759</v>
      </c>
      <c r="CU1798" s="307" t="s">
        <v>208</v>
      </c>
      <c r="CV1798" s="307" t="s">
        <v>2748</v>
      </c>
      <c r="CW1798" s="366" t="s">
        <v>28</v>
      </c>
      <c r="CX1798" s="307">
        <v>-0.21</v>
      </c>
      <c r="CY1798" s="307">
        <v>-0.21</v>
      </c>
      <c r="CZ1798" s="307">
        <v>-0.21</v>
      </c>
    </row>
    <row r="1799" spans="98:104">
      <c r="CT1799" s="366" t="s">
        <v>2760</v>
      </c>
      <c r="CU1799" s="307" t="s">
        <v>208</v>
      </c>
      <c r="CV1799" s="307" t="s">
        <v>2748</v>
      </c>
      <c r="CW1799" s="366" t="s">
        <v>29</v>
      </c>
      <c r="CX1799" s="307">
        <v>-0.18</v>
      </c>
      <c r="CY1799" s="307">
        <v>-0.18</v>
      </c>
      <c r="CZ1799" s="307">
        <v>-0.18</v>
      </c>
    </row>
    <row r="1800" spans="98:104">
      <c r="CT1800" s="366" t="s">
        <v>5116</v>
      </c>
      <c r="CU1800" s="307" t="s">
        <v>208</v>
      </c>
      <c r="CV1800" s="307" t="s">
        <v>2748</v>
      </c>
      <c r="CW1800" s="366" t="s">
        <v>5101</v>
      </c>
      <c r="CX1800" s="307">
        <v>-0.19</v>
      </c>
      <c r="CY1800" s="307">
        <v>-0.17</v>
      </c>
      <c r="CZ1800" s="307">
        <v>-0.18</v>
      </c>
    </row>
    <row r="1801" spans="98:104">
      <c r="CT1801" s="366" t="s">
        <v>2761</v>
      </c>
      <c r="CU1801" s="307" t="s">
        <v>208</v>
      </c>
      <c r="CV1801" s="307" t="s">
        <v>2748</v>
      </c>
      <c r="CW1801" s="366" t="s">
        <v>30</v>
      </c>
      <c r="CX1801" s="307">
        <v>-0.15</v>
      </c>
      <c r="CY1801" s="307">
        <v>-0.15</v>
      </c>
      <c r="CZ1801" s="307">
        <v>-0.15</v>
      </c>
    </row>
    <row r="1802" spans="98:104">
      <c r="CT1802" s="366" t="s">
        <v>2762</v>
      </c>
      <c r="CU1802" s="307" t="s">
        <v>208</v>
      </c>
      <c r="CV1802" s="307" t="s">
        <v>2748</v>
      </c>
      <c r="CW1802" s="366" t="s">
        <v>49</v>
      </c>
      <c r="CX1802" s="307">
        <v>-0.13</v>
      </c>
      <c r="CY1802" s="307">
        <v>-0.13</v>
      </c>
      <c r="CZ1802" s="307">
        <v>-0.13</v>
      </c>
    </row>
    <row r="1803" spans="98:104">
      <c r="CT1803" s="366" t="s">
        <v>4430</v>
      </c>
      <c r="CU1803" s="307" t="s">
        <v>208</v>
      </c>
      <c r="CV1803" s="307" t="s">
        <v>2748</v>
      </c>
      <c r="CW1803" s="366" t="s">
        <v>1066</v>
      </c>
      <c r="CX1803" s="307">
        <v>100.27500000000001</v>
      </c>
      <c r="CY1803" s="307">
        <v>100.28</v>
      </c>
      <c r="CZ1803" s="307">
        <v>100.2775</v>
      </c>
    </row>
    <row r="1804" spans="98:104">
      <c r="CT1804" s="366" t="s">
        <v>2763</v>
      </c>
      <c r="CU1804" s="307" t="s">
        <v>208</v>
      </c>
      <c r="CV1804" s="307" t="s">
        <v>2748</v>
      </c>
      <c r="CW1804" s="366" t="s">
        <v>56</v>
      </c>
      <c r="CX1804" s="307">
        <v>-0.19343618400000001</v>
      </c>
      <c r="CY1804" s="307">
        <v>-0.19343618400000001</v>
      </c>
      <c r="CZ1804" s="307">
        <v>-0.19343618400000001</v>
      </c>
    </row>
    <row r="1805" spans="98:104">
      <c r="CT1805" s="366" t="s">
        <v>4431</v>
      </c>
      <c r="CU1805" s="307" t="s">
        <v>208</v>
      </c>
      <c r="CV1805" s="307" t="s">
        <v>2748</v>
      </c>
      <c r="CW1805" s="366" t="s">
        <v>1069</v>
      </c>
      <c r="CX1805" s="307">
        <v>100.255</v>
      </c>
      <c r="CY1805" s="307">
        <v>100.26</v>
      </c>
      <c r="CZ1805" s="307">
        <v>100.25749999999999</v>
      </c>
    </row>
    <row r="1806" spans="98:104">
      <c r="CT1806" s="366" t="s">
        <v>4432</v>
      </c>
      <c r="CU1806" s="307" t="s">
        <v>208</v>
      </c>
      <c r="CV1806" s="307" t="s">
        <v>2748</v>
      </c>
      <c r="CW1806" s="366" t="s">
        <v>3865</v>
      </c>
      <c r="CX1806" s="307">
        <v>100.24</v>
      </c>
      <c r="CY1806" s="307">
        <v>100.245</v>
      </c>
      <c r="CZ1806" s="307">
        <v>100.24250000000001</v>
      </c>
    </row>
    <row r="1807" spans="98:104">
      <c r="CT1807" s="366" t="s">
        <v>4433</v>
      </c>
      <c r="CU1807" s="307" t="s">
        <v>208</v>
      </c>
      <c r="CV1807" s="307" t="s">
        <v>2748</v>
      </c>
      <c r="CW1807" s="366" t="s">
        <v>3866</v>
      </c>
      <c r="CX1807" s="307">
        <v>100.215</v>
      </c>
      <c r="CY1807" s="307">
        <v>100.22</v>
      </c>
      <c r="CZ1807" s="307">
        <v>100.2175</v>
      </c>
    </row>
    <row r="1808" spans="98:104">
      <c r="CT1808" s="366" t="s">
        <v>5075</v>
      </c>
      <c r="CU1808" s="307" t="s">
        <v>208</v>
      </c>
      <c r="CV1808" s="307" t="s">
        <v>2748</v>
      </c>
      <c r="CW1808" s="366" t="s">
        <v>3889</v>
      </c>
      <c r="CX1808" s="307">
        <v>100.185</v>
      </c>
      <c r="CY1808" s="307">
        <v>100.19</v>
      </c>
      <c r="CZ1808" s="307">
        <v>100.1875</v>
      </c>
    </row>
    <row r="1809" spans="98:104">
      <c r="CT1809" s="366" t="s">
        <v>2764</v>
      </c>
      <c r="CU1809" s="307" t="s">
        <v>208</v>
      </c>
      <c r="CV1809" s="307" t="s">
        <v>2748</v>
      </c>
      <c r="CW1809" s="366" t="s">
        <v>9</v>
      </c>
      <c r="CX1809" s="307">
        <v>-0.13622922800000001</v>
      </c>
      <c r="CY1809" s="307">
        <v>-0.13622922800000001</v>
      </c>
      <c r="CZ1809" s="307">
        <v>-0.13622922800000001</v>
      </c>
    </row>
    <row r="1810" spans="98:104">
      <c r="CT1810" s="366" t="s">
        <v>5117</v>
      </c>
      <c r="CU1810" s="307" t="s">
        <v>208</v>
      </c>
      <c r="CV1810" s="307" t="s">
        <v>2748</v>
      </c>
      <c r="CW1810" s="366" t="s">
        <v>3890</v>
      </c>
      <c r="CX1810" s="307">
        <v>100.15</v>
      </c>
      <c r="CY1810" s="307">
        <v>100.155</v>
      </c>
      <c r="CZ1810" s="307">
        <v>100.1525</v>
      </c>
    </row>
    <row r="1811" spans="98:104">
      <c r="CT1811" s="366" t="s">
        <v>2765</v>
      </c>
      <c r="CU1811" s="307" t="s">
        <v>208</v>
      </c>
      <c r="CV1811" s="307" t="s">
        <v>2748</v>
      </c>
      <c r="CW1811" s="366" t="s">
        <v>10</v>
      </c>
      <c r="CX1811" s="307">
        <v>-6.0999999999999999E-2</v>
      </c>
      <c r="CY1811" s="307">
        <v>-6.0999999999999999E-2</v>
      </c>
      <c r="CZ1811" s="307">
        <v>-6.0999999999999999E-2</v>
      </c>
    </row>
    <row r="1812" spans="98:104">
      <c r="CT1812" s="366" t="s">
        <v>2766</v>
      </c>
      <c r="CU1812" s="307" t="s">
        <v>208</v>
      </c>
      <c r="CV1812" s="307" t="s">
        <v>2748</v>
      </c>
      <c r="CW1812" s="366" t="s">
        <v>11</v>
      </c>
      <c r="CX1812" s="307">
        <v>2.8000000000000001E-2</v>
      </c>
      <c r="CY1812" s="307">
        <v>2.8000000000000001E-2</v>
      </c>
      <c r="CZ1812" s="307">
        <v>2.8000000000000001E-2</v>
      </c>
    </row>
    <row r="1813" spans="98:104">
      <c r="CT1813" s="366" t="s">
        <v>2767</v>
      </c>
      <c r="CU1813" s="307" t="s">
        <v>208</v>
      </c>
      <c r="CV1813" s="307" t="s">
        <v>2748</v>
      </c>
      <c r="CW1813" s="366" t="s">
        <v>12</v>
      </c>
      <c r="CX1813" s="307">
        <v>0.13200000000000001</v>
      </c>
      <c r="CY1813" s="307">
        <v>0.13200000000000001</v>
      </c>
      <c r="CZ1813" s="307">
        <v>0.13200000000000001</v>
      </c>
    </row>
    <row r="1814" spans="98:104">
      <c r="CT1814" s="366" t="s">
        <v>2768</v>
      </c>
      <c r="CU1814" s="307" t="s">
        <v>208</v>
      </c>
      <c r="CV1814" s="307" t="s">
        <v>2748</v>
      </c>
      <c r="CW1814" s="366" t="s">
        <v>13</v>
      </c>
      <c r="CX1814" s="307">
        <v>0.24199999999999999</v>
      </c>
      <c r="CY1814" s="307">
        <v>0.24199999999999999</v>
      </c>
      <c r="CZ1814" s="307">
        <v>0.24199999999999999</v>
      </c>
    </row>
    <row r="1815" spans="98:104">
      <c r="CT1815" s="366" t="s">
        <v>2769</v>
      </c>
      <c r="CU1815" s="307" t="s">
        <v>208</v>
      </c>
      <c r="CV1815" s="307" t="s">
        <v>2748</v>
      </c>
      <c r="CW1815" s="366" t="s">
        <v>14</v>
      </c>
      <c r="CX1815" s="307">
        <v>0.35499999999999998</v>
      </c>
      <c r="CY1815" s="307">
        <v>0.35499999999999998</v>
      </c>
      <c r="CZ1815" s="307">
        <v>0.35499999999999998</v>
      </c>
    </row>
    <row r="1816" spans="98:104">
      <c r="CT1816" s="366" t="s">
        <v>2770</v>
      </c>
      <c r="CU1816" s="307" t="s">
        <v>208</v>
      </c>
      <c r="CV1816" s="307" t="s">
        <v>2748</v>
      </c>
      <c r="CW1816" s="366" t="s">
        <v>15</v>
      </c>
      <c r="CX1816" s="307">
        <v>0.46700000000000003</v>
      </c>
      <c r="CY1816" s="307">
        <v>0.46700000000000003</v>
      </c>
      <c r="CZ1816" s="307">
        <v>0.46700000000000003</v>
      </c>
    </row>
    <row r="1817" spans="98:104">
      <c r="CT1817" s="366" t="s">
        <v>2771</v>
      </c>
      <c r="CU1817" s="307" t="s">
        <v>208</v>
      </c>
      <c r="CV1817" s="307" t="s">
        <v>2748</v>
      </c>
      <c r="CW1817" s="366" t="s">
        <v>16</v>
      </c>
      <c r="CX1817" s="307">
        <v>0.57399999999999995</v>
      </c>
      <c r="CY1817" s="307">
        <v>0.57399999999999995</v>
      </c>
      <c r="CZ1817" s="307">
        <v>0.57399999999999995</v>
      </c>
    </row>
    <row r="1818" spans="98:104">
      <c r="CT1818" s="366" t="s">
        <v>2772</v>
      </c>
      <c r="CU1818" s="307" t="s">
        <v>208</v>
      </c>
      <c r="CV1818" s="307" t="s">
        <v>2748</v>
      </c>
      <c r="CW1818" s="366" t="s">
        <v>17</v>
      </c>
      <c r="CX1818" s="307">
        <v>0.67100000000000004</v>
      </c>
      <c r="CY1818" s="307">
        <v>0.67100000000000004</v>
      </c>
      <c r="CZ1818" s="307">
        <v>0.67100000000000004</v>
      </c>
    </row>
    <row r="1819" spans="98:104">
      <c r="CT1819" s="366" t="s">
        <v>2773</v>
      </c>
      <c r="CU1819" s="307" t="s">
        <v>208</v>
      </c>
      <c r="CV1819" s="307" t="s">
        <v>2748</v>
      </c>
      <c r="CW1819" s="366" t="s">
        <v>31</v>
      </c>
      <c r="CX1819" s="307">
        <v>0.75775925600000005</v>
      </c>
      <c r="CY1819" s="307">
        <v>0.75775925600000005</v>
      </c>
      <c r="CZ1819" s="307">
        <v>0.75775925600000005</v>
      </c>
    </row>
    <row r="1820" spans="98:104">
      <c r="CT1820" s="366" t="s">
        <v>2774</v>
      </c>
      <c r="CU1820" s="307" t="s">
        <v>208</v>
      </c>
      <c r="CV1820" s="307" t="s">
        <v>2748</v>
      </c>
      <c r="CW1820" s="366" t="s">
        <v>18</v>
      </c>
      <c r="CX1820" s="307">
        <v>0.83499999999999996</v>
      </c>
      <c r="CY1820" s="307">
        <v>0.83499999999999996</v>
      </c>
      <c r="CZ1820" s="307">
        <v>0.83499999999999996</v>
      </c>
    </row>
    <row r="1821" spans="98:104">
      <c r="CT1821" s="366" t="s">
        <v>2775</v>
      </c>
      <c r="CU1821" s="307" t="s">
        <v>208</v>
      </c>
      <c r="CV1821" s="307" t="s">
        <v>2748</v>
      </c>
      <c r="CW1821" s="366" t="s">
        <v>32</v>
      </c>
      <c r="CX1821" s="307">
        <v>0.901469878</v>
      </c>
      <c r="CY1821" s="307">
        <v>0.901469878</v>
      </c>
      <c r="CZ1821" s="307">
        <v>0.901469878</v>
      </c>
    </row>
    <row r="1822" spans="98:104">
      <c r="CT1822" s="366" t="s">
        <v>2776</v>
      </c>
      <c r="CU1822" s="307" t="s">
        <v>208</v>
      </c>
      <c r="CV1822" s="307" t="s">
        <v>2748</v>
      </c>
      <c r="CW1822" s="366" t="s">
        <v>33</v>
      </c>
      <c r="CX1822" s="307">
        <v>0.95791295300000001</v>
      </c>
      <c r="CY1822" s="307">
        <v>0.95791295300000001</v>
      </c>
      <c r="CZ1822" s="307">
        <v>0.95791295300000001</v>
      </c>
    </row>
    <row r="1823" spans="98:104">
      <c r="CT1823" s="366" t="s">
        <v>2777</v>
      </c>
      <c r="CU1823" s="307" t="s">
        <v>208</v>
      </c>
      <c r="CV1823" s="307" t="s">
        <v>2748</v>
      </c>
      <c r="CW1823" s="366" t="s">
        <v>19</v>
      </c>
      <c r="CX1823" s="307">
        <v>1.0049999999999999</v>
      </c>
      <c r="CY1823" s="307">
        <v>1.0049999999999999</v>
      </c>
      <c r="CZ1823" s="307">
        <v>1.0049999999999999</v>
      </c>
    </row>
    <row r="1824" spans="98:104">
      <c r="CT1824" s="366" t="s">
        <v>2778</v>
      </c>
      <c r="CU1824" s="307" t="s">
        <v>208</v>
      </c>
      <c r="CV1824" s="307" t="s">
        <v>2748</v>
      </c>
      <c r="CW1824" s="366" t="s">
        <v>34</v>
      </c>
      <c r="CX1824" s="307">
        <v>1.0438079309999999</v>
      </c>
      <c r="CY1824" s="307">
        <v>1.0438079309999999</v>
      </c>
      <c r="CZ1824" s="307">
        <v>1.0438079309999999</v>
      </c>
    </row>
    <row r="1825" spans="98:104">
      <c r="CT1825" s="366" t="s">
        <v>2779</v>
      </c>
      <c r="CU1825" s="307" t="s">
        <v>208</v>
      </c>
      <c r="CV1825" s="307" t="s">
        <v>2748</v>
      </c>
      <c r="CW1825" s="366" t="s">
        <v>35</v>
      </c>
      <c r="CX1825" s="307">
        <v>1.0748230969999999</v>
      </c>
      <c r="CY1825" s="307">
        <v>1.0748230969999999</v>
      </c>
      <c r="CZ1825" s="307">
        <v>1.0748230969999999</v>
      </c>
    </row>
    <row r="1826" spans="98:104">
      <c r="CT1826" s="366" t="s">
        <v>2780</v>
      </c>
      <c r="CU1826" s="307" t="s">
        <v>208</v>
      </c>
      <c r="CV1826" s="307" t="s">
        <v>2748</v>
      </c>
      <c r="CW1826" s="366" t="s">
        <v>36</v>
      </c>
      <c r="CX1826" s="307">
        <v>1.099791722</v>
      </c>
      <c r="CY1826" s="307">
        <v>1.099791722</v>
      </c>
      <c r="CZ1826" s="307">
        <v>1.099791722</v>
      </c>
    </row>
    <row r="1827" spans="98:104">
      <c r="CT1827" s="366" t="s">
        <v>2781</v>
      </c>
      <c r="CU1827" s="307" t="s">
        <v>208</v>
      </c>
      <c r="CV1827" s="307" t="s">
        <v>2748</v>
      </c>
      <c r="CW1827" s="366" t="s">
        <v>37</v>
      </c>
      <c r="CX1827" s="307">
        <v>1.1195473650000001</v>
      </c>
      <c r="CY1827" s="307">
        <v>1.1195473650000001</v>
      </c>
      <c r="CZ1827" s="307">
        <v>1.1195473650000001</v>
      </c>
    </row>
    <row r="1828" spans="98:104">
      <c r="CT1828" s="366" t="s">
        <v>2782</v>
      </c>
      <c r="CU1828" s="307" t="s">
        <v>208</v>
      </c>
      <c r="CV1828" s="307" t="s">
        <v>2748</v>
      </c>
      <c r="CW1828" s="366" t="s">
        <v>20</v>
      </c>
      <c r="CX1828" s="307">
        <v>1.135</v>
      </c>
      <c r="CY1828" s="307">
        <v>1.135</v>
      </c>
      <c r="CZ1828" s="307">
        <v>1.135</v>
      </c>
    </row>
    <row r="1829" spans="98:104">
      <c r="CT1829" s="366" t="s">
        <v>2783</v>
      </c>
      <c r="CU1829" s="307" t="s">
        <v>208</v>
      </c>
      <c r="CV1829" s="307" t="s">
        <v>2748</v>
      </c>
      <c r="CW1829" s="366" t="s">
        <v>38</v>
      </c>
      <c r="CX1829" s="307">
        <v>1.1465149459999999</v>
      </c>
      <c r="CY1829" s="307">
        <v>1.1465149459999999</v>
      </c>
      <c r="CZ1829" s="307">
        <v>1.1465149459999999</v>
      </c>
    </row>
    <row r="1830" spans="98:104">
      <c r="CT1830" s="366" t="s">
        <v>2784</v>
      </c>
      <c r="CU1830" s="307" t="s">
        <v>208</v>
      </c>
      <c r="CV1830" s="307" t="s">
        <v>2748</v>
      </c>
      <c r="CW1830" s="366" t="s">
        <v>39</v>
      </c>
      <c r="CX1830" s="307">
        <v>1.1549966599999999</v>
      </c>
      <c r="CY1830" s="307">
        <v>1.1549966599999999</v>
      </c>
      <c r="CZ1830" s="307">
        <v>1.1549966599999999</v>
      </c>
    </row>
    <row r="1831" spans="98:104">
      <c r="CT1831" s="366" t="s">
        <v>2785</v>
      </c>
      <c r="CU1831" s="307" t="s">
        <v>208</v>
      </c>
      <c r="CV1831" s="307" t="s">
        <v>2748</v>
      </c>
      <c r="CW1831" s="366" t="s">
        <v>40</v>
      </c>
      <c r="CX1831" s="307">
        <v>1.161313571</v>
      </c>
      <c r="CY1831" s="307">
        <v>1.161313571</v>
      </c>
      <c r="CZ1831" s="307">
        <v>1.161313571</v>
      </c>
    </row>
    <row r="1832" spans="98:104">
      <c r="CT1832" s="366" t="s">
        <v>2786</v>
      </c>
      <c r="CU1832" s="307" t="s">
        <v>208</v>
      </c>
      <c r="CV1832" s="307" t="s">
        <v>2748</v>
      </c>
      <c r="CW1832" s="366" t="s">
        <v>41</v>
      </c>
      <c r="CX1832" s="307">
        <v>1.166230731</v>
      </c>
      <c r="CY1832" s="307">
        <v>1.166230731</v>
      </c>
      <c r="CZ1832" s="307">
        <v>1.166230731</v>
      </c>
    </row>
    <row r="1833" spans="98:104">
      <c r="CT1833" s="366" t="s">
        <v>2787</v>
      </c>
      <c r="CU1833" s="307" t="s">
        <v>208</v>
      </c>
      <c r="CV1833" s="307" t="s">
        <v>2748</v>
      </c>
      <c r="CW1833" s="366" t="s">
        <v>21</v>
      </c>
      <c r="CX1833" s="307">
        <v>1.17</v>
      </c>
      <c r="CY1833" s="307">
        <v>1.17</v>
      </c>
      <c r="CZ1833" s="307">
        <v>1.17</v>
      </c>
    </row>
    <row r="1834" spans="98:104">
      <c r="CT1834" s="366" t="s">
        <v>2788</v>
      </c>
      <c r="CU1834" s="307" t="s">
        <v>208</v>
      </c>
      <c r="CV1834" s="307" t="s">
        <v>2748</v>
      </c>
      <c r="CW1834" s="366" t="s">
        <v>42</v>
      </c>
      <c r="CX1834" s="307">
        <v>1.173130225</v>
      </c>
      <c r="CY1834" s="307">
        <v>1.173130225</v>
      </c>
      <c r="CZ1834" s="307">
        <v>1.173130225</v>
      </c>
    </row>
    <row r="1835" spans="98:104">
      <c r="CT1835" s="366" t="s">
        <v>2789</v>
      </c>
      <c r="CU1835" s="307" t="s">
        <v>208</v>
      </c>
      <c r="CV1835" s="307" t="s">
        <v>2748</v>
      </c>
      <c r="CW1835" s="366" t="s">
        <v>43</v>
      </c>
      <c r="CX1835" s="307">
        <v>1.175699206</v>
      </c>
      <c r="CY1835" s="307">
        <v>1.175699206</v>
      </c>
      <c r="CZ1835" s="307">
        <v>1.175699206</v>
      </c>
    </row>
    <row r="1836" spans="98:104">
      <c r="CT1836" s="366" t="s">
        <v>2790</v>
      </c>
      <c r="CU1836" s="307" t="s">
        <v>208</v>
      </c>
      <c r="CV1836" s="307" t="s">
        <v>2748</v>
      </c>
      <c r="CW1836" s="366" t="s">
        <v>44</v>
      </c>
      <c r="CX1836" s="307">
        <v>1.177772373</v>
      </c>
      <c r="CY1836" s="307">
        <v>1.177772373</v>
      </c>
      <c r="CZ1836" s="307">
        <v>1.177772373</v>
      </c>
    </row>
    <row r="1837" spans="98:104">
      <c r="CT1837" s="366" t="s">
        <v>2791</v>
      </c>
      <c r="CU1837" s="307" t="s">
        <v>208</v>
      </c>
      <c r="CV1837" s="307" t="s">
        <v>2748</v>
      </c>
      <c r="CW1837" s="366" t="s">
        <v>45</v>
      </c>
      <c r="CX1837" s="307">
        <v>1.1791747800000001</v>
      </c>
      <c r="CY1837" s="307">
        <v>1.1791747800000001</v>
      </c>
      <c r="CZ1837" s="307">
        <v>1.1791747800000001</v>
      </c>
    </row>
    <row r="1838" spans="98:104">
      <c r="CT1838" s="366" t="s">
        <v>2792</v>
      </c>
      <c r="CU1838" s="307" t="s">
        <v>208</v>
      </c>
      <c r="CV1838" s="307" t="s">
        <v>2748</v>
      </c>
      <c r="CW1838" s="366" t="s">
        <v>22</v>
      </c>
      <c r="CX1838" s="307">
        <v>1.18</v>
      </c>
      <c r="CY1838" s="307">
        <v>1.18</v>
      </c>
      <c r="CZ1838" s="307">
        <v>1.18</v>
      </c>
    </row>
    <row r="1839" spans="98:104">
      <c r="CT1839" s="366" t="s">
        <v>2793</v>
      </c>
      <c r="CU1839" s="307" t="s">
        <v>208</v>
      </c>
      <c r="CV1839" s="307" t="s">
        <v>2748</v>
      </c>
      <c r="CW1839" s="366" t="s">
        <v>46</v>
      </c>
      <c r="CX1839" s="307">
        <v>1.165</v>
      </c>
      <c r="CY1839" s="307">
        <v>1.165</v>
      </c>
      <c r="CZ1839" s="307">
        <v>1.165</v>
      </c>
    </row>
    <row r="1840" spans="98:104">
      <c r="CT1840" s="366" t="s">
        <v>2794</v>
      </c>
      <c r="CU1840" s="307" t="s">
        <v>208</v>
      </c>
      <c r="CV1840" s="307" t="s">
        <v>2748</v>
      </c>
      <c r="CW1840" s="366" t="s">
        <v>47</v>
      </c>
      <c r="CX1840" s="307">
        <v>1.111</v>
      </c>
      <c r="CY1840" s="307">
        <v>1.111</v>
      </c>
      <c r="CZ1840" s="307">
        <v>1.111</v>
      </c>
    </row>
    <row r="1841" spans="98:104">
      <c r="CT1841" s="366" t="s">
        <v>2795</v>
      </c>
      <c r="CU1841" s="307" t="s">
        <v>208</v>
      </c>
      <c r="CV1841" s="307" t="s">
        <v>2748</v>
      </c>
      <c r="CW1841" s="366" t="s">
        <v>48</v>
      </c>
      <c r="CX1841" s="307">
        <v>1.0760000000000001</v>
      </c>
      <c r="CY1841" s="307">
        <v>1.0760000000000001</v>
      </c>
      <c r="CZ1841" s="307">
        <v>1.0760000000000001</v>
      </c>
    </row>
    <row r="1842" spans="98:104">
      <c r="CT1842" s="366" t="s">
        <v>4434</v>
      </c>
      <c r="CU1842" s="307" t="s">
        <v>208</v>
      </c>
      <c r="CV1842" s="307" t="s">
        <v>4435</v>
      </c>
      <c r="CW1842" s="366" t="s">
        <v>3</v>
      </c>
      <c r="CX1842" s="307">
        <v>-0.37084018800000002</v>
      </c>
      <c r="CY1842" s="307">
        <v>-0.37084018800000002</v>
      </c>
      <c r="CZ1842" s="307">
        <v>-0.37084018800000002</v>
      </c>
    </row>
    <row r="1843" spans="98:104">
      <c r="CT1843" s="366" t="s">
        <v>4436</v>
      </c>
      <c r="CU1843" s="307" t="s">
        <v>208</v>
      </c>
      <c r="CV1843" s="307" t="s">
        <v>4435</v>
      </c>
      <c r="CW1843" s="366" t="s">
        <v>4</v>
      </c>
      <c r="CX1843" s="307">
        <v>-0.37070032600000002</v>
      </c>
      <c r="CY1843" s="307">
        <v>-0.37070032600000002</v>
      </c>
      <c r="CZ1843" s="307">
        <v>-0.37070032600000002</v>
      </c>
    </row>
    <row r="1844" spans="98:104">
      <c r="CT1844" s="366" t="s">
        <v>4437</v>
      </c>
      <c r="CU1844" s="307" t="s">
        <v>208</v>
      </c>
      <c r="CV1844" s="307" t="s">
        <v>4435</v>
      </c>
      <c r="CW1844" s="366" t="s">
        <v>23</v>
      </c>
      <c r="CX1844" s="307">
        <v>-0.37056479599999997</v>
      </c>
      <c r="CY1844" s="307">
        <v>-0.37056479599999997</v>
      </c>
      <c r="CZ1844" s="307">
        <v>-0.37056479599999997</v>
      </c>
    </row>
    <row r="1845" spans="98:104">
      <c r="CT1845" s="366" t="s">
        <v>4438</v>
      </c>
      <c r="CU1845" s="307" t="s">
        <v>208</v>
      </c>
      <c r="CV1845" s="307" t="s">
        <v>4435</v>
      </c>
      <c r="CW1845" s="366" t="s">
        <v>5</v>
      </c>
      <c r="CX1845" s="307">
        <v>-0.36959999999999998</v>
      </c>
      <c r="CY1845" s="307">
        <v>-0.36959999999999998</v>
      </c>
      <c r="CZ1845" s="307">
        <v>-0.36959999999999998</v>
      </c>
    </row>
    <row r="1846" spans="98:104">
      <c r="CT1846" s="366" t="s">
        <v>4439</v>
      </c>
      <c r="CU1846" s="307" t="s">
        <v>208</v>
      </c>
      <c r="CV1846" s="307" t="s">
        <v>4435</v>
      </c>
      <c r="CW1846" s="366" t="s">
        <v>6</v>
      </c>
      <c r="CX1846" s="307">
        <v>-0.36849999999999999</v>
      </c>
      <c r="CY1846" s="307">
        <v>-0.36849999999999999</v>
      </c>
      <c r="CZ1846" s="307">
        <v>-0.36849999999999999</v>
      </c>
    </row>
    <row r="1847" spans="98:104">
      <c r="CT1847" s="366" t="s">
        <v>4440</v>
      </c>
      <c r="CU1847" s="307" t="s">
        <v>208</v>
      </c>
      <c r="CV1847" s="307" t="s">
        <v>4435</v>
      </c>
      <c r="CW1847" s="366" t="s">
        <v>24</v>
      </c>
      <c r="CX1847" s="307">
        <v>-0.37019999999999997</v>
      </c>
      <c r="CY1847" s="307">
        <v>-0.37019999999999997</v>
      </c>
      <c r="CZ1847" s="307">
        <v>-0.37019999999999997</v>
      </c>
    </row>
    <row r="1848" spans="98:104">
      <c r="CT1848" s="366" t="s">
        <v>4441</v>
      </c>
      <c r="CU1848" s="307" t="s">
        <v>208</v>
      </c>
      <c r="CV1848" s="307" t="s">
        <v>4435</v>
      </c>
      <c r="CW1848" s="366" t="s">
        <v>7</v>
      </c>
      <c r="CX1848" s="307">
        <v>-0.372</v>
      </c>
      <c r="CY1848" s="307">
        <v>-0.372</v>
      </c>
      <c r="CZ1848" s="307">
        <v>-0.372</v>
      </c>
    </row>
    <row r="1849" spans="98:104">
      <c r="CT1849" s="366" t="s">
        <v>4442</v>
      </c>
      <c r="CU1849" s="307" t="s">
        <v>208</v>
      </c>
      <c r="CV1849" s="307" t="s">
        <v>4435</v>
      </c>
      <c r="CW1849" s="366" t="s">
        <v>8</v>
      </c>
      <c r="CX1849" s="307">
        <v>-0.371995782</v>
      </c>
      <c r="CY1849" s="307">
        <v>-0.371995782</v>
      </c>
      <c r="CZ1849" s="307">
        <v>-0.371995782</v>
      </c>
    </row>
    <row r="1850" spans="98:104">
      <c r="CT1850" s="366" t="s">
        <v>4443</v>
      </c>
      <c r="CU1850" s="307" t="s">
        <v>208</v>
      </c>
      <c r="CV1850" s="307" t="s">
        <v>4435</v>
      </c>
      <c r="CW1850" s="366" t="s">
        <v>25</v>
      </c>
      <c r="CX1850" s="307">
        <v>-0.37199236600000002</v>
      </c>
      <c r="CY1850" s="307">
        <v>-0.37199236600000002</v>
      </c>
      <c r="CZ1850" s="307">
        <v>-0.37199236600000002</v>
      </c>
    </row>
    <row r="1851" spans="98:104">
      <c r="CT1851" s="366" t="s">
        <v>4444</v>
      </c>
      <c r="CU1851" s="307" t="s">
        <v>208</v>
      </c>
      <c r="CV1851" s="307" t="s">
        <v>4435</v>
      </c>
      <c r="CW1851" s="366" t="s">
        <v>26</v>
      </c>
      <c r="CX1851" s="307">
        <v>-0.37198994000000002</v>
      </c>
      <c r="CY1851" s="307">
        <v>-0.37198994000000002</v>
      </c>
      <c r="CZ1851" s="307">
        <v>-0.37198994000000002</v>
      </c>
    </row>
    <row r="1852" spans="98:104">
      <c r="CT1852" s="366" t="s">
        <v>4445</v>
      </c>
      <c r="CU1852" s="307" t="s">
        <v>208</v>
      </c>
      <c r="CV1852" s="307" t="s">
        <v>4435</v>
      </c>
      <c r="CW1852" s="366" t="s">
        <v>27</v>
      </c>
      <c r="CX1852" s="307">
        <v>-0.372986488</v>
      </c>
      <c r="CY1852" s="307">
        <v>-0.372986488</v>
      </c>
      <c r="CZ1852" s="307">
        <v>-0.372986488</v>
      </c>
    </row>
    <row r="1853" spans="98:104">
      <c r="CT1853" s="366" t="s">
        <v>4446</v>
      </c>
      <c r="CU1853" s="307" t="s">
        <v>208</v>
      </c>
      <c r="CV1853" s="307" t="s">
        <v>4435</v>
      </c>
      <c r="CW1853" s="366" t="s">
        <v>28</v>
      </c>
      <c r="CX1853" s="307">
        <v>-0.37298494199999999</v>
      </c>
      <c r="CY1853" s="307">
        <v>-0.37298494199999999</v>
      </c>
      <c r="CZ1853" s="307">
        <v>-0.37298494199999999</v>
      </c>
    </row>
    <row r="1854" spans="98:104">
      <c r="CT1854" s="366" t="s">
        <v>4447</v>
      </c>
      <c r="CU1854" s="307" t="s">
        <v>208</v>
      </c>
      <c r="CV1854" s="307" t="s">
        <v>4435</v>
      </c>
      <c r="CW1854" s="366" t="s">
        <v>29</v>
      </c>
      <c r="CX1854" s="307">
        <v>-0.37298340200000002</v>
      </c>
      <c r="CY1854" s="307">
        <v>-0.37298340200000002</v>
      </c>
      <c r="CZ1854" s="307">
        <v>-0.37298340200000002</v>
      </c>
    </row>
    <row r="1855" spans="98:104">
      <c r="CT1855" s="366" t="s">
        <v>4448</v>
      </c>
      <c r="CU1855" s="307" t="s">
        <v>208</v>
      </c>
      <c r="CV1855" s="307" t="s">
        <v>4435</v>
      </c>
      <c r="CW1855" s="366" t="s">
        <v>30</v>
      </c>
      <c r="CX1855" s="307">
        <v>-0.37198332000000001</v>
      </c>
      <c r="CY1855" s="307">
        <v>-0.37198332000000001</v>
      </c>
      <c r="CZ1855" s="307">
        <v>-0.37198332000000001</v>
      </c>
    </row>
    <row r="1856" spans="98:104">
      <c r="CT1856" s="366" t="s">
        <v>4449</v>
      </c>
      <c r="CU1856" s="307" t="s">
        <v>208</v>
      </c>
      <c r="CV1856" s="307" t="s">
        <v>4435</v>
      </c>
      <c r="CW1856" s="366" t="s">
        <v>49</v>
      </c>
      <c r="CX1856" s="307">
        <v>-0.37198094599999998</v>
      </c>
      <c r="CY1856" s="307">
        <v>-0.37198094599999998</v>
      </c>
      <c r="CZ1856" s="307">
        <v>-0.37198094599999998</v>
      </c>
    </row>
    <row r="1857" spans="98:104">
      <c r="CT1857" s="366" t="s">
        <v>4450</v>
      </c>
      <c r="CU1857" s="307" t="s">
        <v>208</v>
      </c>
      <c r="CV1857" s="307" t="s">
        <v>4435</v>
      </c>
      <c r="CW1857" s="366" t="s">
        <v>50</v>
      </c>
      <c r="CX1857" s="307">
        <v>-0.37098066899999999</v>
      </c>
      <c r="CY1857" s="307">
        <v>-0.37098066899999999</v>
      </c>
      <c r="CZ1857" s="307">
        <v>-0.37098066899999999</v>
      </c>
    </row>
    <row r="1858" spans="98:104">
      <c r="CT1858" s="366" t="s">
        <v>4451</v>
      </c>
      <c r="CU1858" s="307" t="s">
        <v>208</v>
      </c>
      <c r="CV1858" s="307" t="s">
        <v>4435</v>
      </c>
      <c r="CW1858" s="366" t="s">
        <v>51</v>
      </c>
      <c r="CX1858" s="307">
        <v>-0.36997957100000001</v>
      </c>
      <c r="CY1858" s="307">
        <v>-0.36997957100000001</v>
      </c>
      <c r="CZ1858" s="307">
        <v>-0.36997957100000001</v>
      </c>
    </row>
    <row r="1859" spans="98:104">
      <c r="CT1859" s="366" t="s">
        <v>4452</v>
      </c>
      <c r="CU1859" s="307" t="s">
        <v>208</v>
      </c>
      <c r="CV1859" s="307" t="s">
        <v>4435</v>
      </c>
      <c r="CW1859" s="366" t="s">
        <v>52</v>
      </c>
      <c r="CX1859" s="307">
        <v>-0.36897945799999998</v>
      </c>
      <c r="CY1859" s="307">
        <v>-0.36897945799999998</v>
      </c>
      <c r="CZ1859" s="307">
        <v>-0.36897945799999998</v>
      </c>
    </row>
    <row r="1860" spans="98:104">
      <c r="CT1860" s="366" t="s">
        <v>4453</v>
      </c>
      <c r="CU1860" s="307" t="s">
        <v>208</v>
      </c>
      <c r="CV1860" s="307" t="s">
        <v>4435</v>
      </c>
      <c r="CW1860" s="366" t="s">
        <v>94</v>
      </c>
      <c r="CX1860" s="307">
        <v>-0.37092825800000001</v>
      </c>
      <c r="CY1860" s="307">
        <v>-0.37092825800000001</v>
      </c>
      <c r="CZ1860" s="307">
        <v>-0.37092825800000001</v>
      </c>
    </row>
    <row r="1861" spans="98:104">
      <c r="CT1861" s="366" t="s">
        <v>4454</v>
      </c>
      <c r="CU1861" s="307" t="s">
        <v>208</v>
      </c>
      <c r="CV1861" s="307" t="s">
        <v>4435</v>
      </c>
      <c r="CW1861" s="366" t="s">
        <v>95</v>
      </c>
      <c r="CX1861" s="307">
        <v>-0.36390019000000001</v>
      </c>
      <c r="CY1861" s="307">
        <v>-0.36390019000000001</v>
      </c>
      <c r="CZ1861" s="307">
        <v>-0.36390019000000001</v>
      </c>
    </row>
    <row r="1862" spans="98:104">
      <c r="CT1862" s="366" t="s">
        <v>4455</v>
      </c>
      <c r="CU1862" s="307" t="s">
        <v>208</v>
      </c>
      <c r="CV1862" s="307" t="s">
        <v>4435</v>
      </c>
      <c r="CW1862" s="366" t="s">
        <v>96</v>
      </c>
      <c r="CX1862" s="307">
        <v>-0.35671276000000002</v>
      </c>
      <c r="CY1862" s="307">
        <v>-0.35671276000000002</v>
      </c>
      <c r="CZ1862" s="307">
        <v>-0.35671276000000002</v>
      </c>
    </row>
    <row r="1863" spans="98:104">
      <c r="CT1863" s="366" t="s">
        <v>4456</v>
      </c>
      <c r="CU1863" s="307" t="s">
        <v>208</v>
      </c>
      <c r="CV1863" s="307" t="s">
        <v>4435</v>
      </c>
      <c r="CW1863" s="366" t="s">
        <v>9</v>
      </c>
      <c r="CX1863" s="307">
        <v>-0.34699999999999998</v>
      </c>
      <c r="CY1863" s="307">
        <v>-0.34699999999999998</v>
      </c>
      <c r="CZ1863" s="307">
        <v>-0.34699999999999998</v>
      </c>
    </row>
    <row r="1864" spans="98:104">
      <c r="CT1864" s="366" t="s">
        <v>4457</v>
      </c>
      <c r="CU1864" s="307" t="s">
        <v>208</v>
      </c>
      <c r="CV1864" s="307" t="s">
        <v>4435</v>
      </c>
      <c r="CW1864" s="366" t="s">
        <v>97</v>
      </c>
      <c r="CX1864" s="307">
        <v>-0.33498267900000001</v>
      </c>
      <c r="CY1864" s="307">
        <v>-0.33498267900000001</v>
      </c>
      <c r="CZ1864" s="307">
        <v>-0.33498267900000001</v>
      </c>
    </row>
    <row r="1865" spans="98:104">
      <c r="CT1865" s="366" t="s">
        <v>4458</v>
      </c>
      <c r="CU1865" s="307" t="s">
        <v>208</v>
      </c>
      <c r="CV1865" s="307" t="s">
        <v>4435</v>
      </c>
      <c r="CW1865" s="366" t="s">
        <v>98</v>
      </c>
      <c r="CX1865" s="307">
        <v>-0.32048807800000001</v>
      </c>
      <c r="CY1865" s="307">
        <v>-0.32048807800000001</v>
      </c>
      <c r="CZ1865" s="307">
        <v>-0.32048807800000001</v>
      </c>
    </row>
    <row r="1866" spans="98:104">
      <c r="CT1866" s="366" t="s">
        <v>4459</v>
      </c>
      <c r="CU1866" s="307" t="s">
        <v>208</v>
      </c>
      <c r="CV1866" s="307" t="s">
        <v>4435</v>
      </c>
      <c r="CW1866" s="366" t="s">
        <v>99</v>
      </c>
      <c r="CX1866" s="307">
        <v>-0.30530907200000001</v>
      </c>
      <c r="CY1866" s="307">
        <v>-0.30530907200000001</v>
      </c>
      <c r="CZ1866" s="307">
        <v>-0.30530907200000001</v>
      </c>
    </row>
    <row r="1867" spans="98:104">
      <c r="CT1867" s="366" t="s">
        <v>4460</v>
      </c>
      <c r="CU1867" s="307" t="s">
        <v>208</v>
      </c>
      <c r="CV1867" s="307" t="s">
        <v>4435</v>
      </c>
      <c r="CW1867" s="366" t="s">
        <v>10</v>
      </c>
      <c r="CX1867" s="307">
        <v>-0.28899999999999998</v>
      </c>
      <c r="CY1867" s="307">
        <v>-0.28899999999999998</v>
      </c>
      <c r="CZ1867" s="307">
        <v>-0.28899999999999998</v>
      </c>
    </row>
    <row r="1868" spans="98:104">
      <c r="CT1868" s="366" t="s">
        <v>4461</v>
      </c>
      <c r="CU1868" s="307" t="s">
        <v>208</v>
      </c>
      <c r="CV1868" s="307" t="s">
        <v>4435</v>
      </c>
      <c r="CW1868" s="366" t="s">
        <v>11</v>
      </c>
      <c r="CX1868" s="307">
        <v>-0.21299999999999999</v>
      </c>
      <c r="CY1868" s="307">
        <v>-0.21299999999999999</v>
      </c>
      <c r="CZ1868" s="307">
        <v>-0.21299999999999999</v>
      </c>
    </row>
    <row r="1869" spans="98:104">
      <c r="CT1869" s="366" t="s">
        <v>4462</v>
      </c>
      <c r="CU1869" s="307" t="s">
        <v>208</v>
      </c>
      <c r="CV1869" s="307" t="s">
        <v>4435</v>
      </c>
      <c r="CW1869" s="366" t="s">
        <v>12</v>
      </c>
      <c r="CX1869" s="307">
        <v>-0.11899999999999999</v>
      </c>
      <c r="CY1869" s="307">
        <v>-0.11899999999999999</v>
      </c>
      <c r="CZ1869" s="307">
        <v>-0.11899999999999999</v>
      </c>
    </row>
    <row r="1870" spans="98:104">
      <c r="CT1870" s="366" t="s">
        <v>4463</v>
      </c>
      <c r="CU1870" s="307" t="s">
        <v>208</v>
      </c>
      <c r="CV1870" s="307" t="s">
        <v>4435</v>
      </c>
      <c r="CW1870" s="366" t="s">
        <v>13</v>
      </c>
      <c r="CX1870" s="307">
        <v>-1.0999999999999999E-2</v>
      </c>
      <c r="CY1870" s="307">
        <v>-1.0999999999999999E-2</v>
      </c>
      <c r="CZ1870" s="307">
        <v>-1.0999999999999999E-2</v>
      </c>
    </row>
    <row r="1871" spans="98:104">
      <c r="CT1871" s="366" t="s">
        <v>4464</v>
      </c>
      <c r="CU1871" s="307" t="s">
        <v>208</v>
      </c>
      <c r="CV1871" s="307" t="s">
        <v>4435</v>
      </c>
      <c r="CW1871" s="366" t="s">
        <v>14</v>
      </c>
      <c r="CX1871" s="307">
        <v>0.105</v>
      </c>
      <c r="CY1871" s="307">
        <v>0.105</v>
      </c>
      <c r="CZ1871" s="307">
        <v>0.105</v>
      </c>
    </row>
    <row r="1872" spans="98:104">
      <c r="CT1872" s="366" t="s">
        <v>4465</v>
      </c>
      <c r="CU1872" s="307" t="s">
        <v>208</v>
      </c>
      <c r="CV1872" s="307" t="s">
        <v>4435</v>
      </c>
      <c r="CW1872" s="366" t="s">
        <v>15</v>
      </c>
      <c r="CX1872" s="307">
        <v>0.222</v>
      </c>
      <c r="CY1872" s="307">
        <v>0.222</v>
      </c>
      <c r="CZ1872" s="307">
        <v>0.222</v>
      </c>
    </row>
    <row r="1873" spans="98:104">
      <c r="CT1873" s="366" t="s">
        <v>4466</v>
      </c>
      <c r="CU1873" s="307" t="s">
        <v>208</v>
      </c>
      <c r="CV1873" s="307" t="s">
        <v>4435</v>
      </c>
      <c r="CW1873" s="366" t="s">
        <v>16</v>
      </c>
      <c r="CX1873" s="307">
        <v>0.33600000000000002</v>
      </c>
      <c r="CY1873" s="307">
        <v>0.33600000000000002</v>
      </c>
      <c r="CZ1873" s="307">
        <v>0.33600000000000002</v>
      </c>
    </row>
    <row r="1874" spans="98:104">
      <c r="CT1874" s="366" t="s">
        <v>4467</v>
      </c>
      <c r="CU1874" s="307" t="s">
        <v>208</v>
      </c>
      <c r="CV1874" s="307" t="s">
        <v>4435</v>
      </c>
      <c r="CW1874" s="366" t="s">
        <v>17</v>
      </c>
      <c r="CX1874" s="307">
        <v>0.442</v>
      </c>
      <c r="CY1874" s="307">
        <v>0.442</v>
      </c>
      <c r="CZ1874" s="307">
        <v>0.442</v>
      </c>
    </row>
    <row r="1875" spans="98:104">
      <c r="CT1875" s="366" t="s">
        <v>4468</v>
      </c>
      <c r="CU1875" s="307" t="s">
        <v>208</v>
      </c>
      <c r="CV1875" s="307" t="s">
        <v>4435</v>
      </c>
      <c r="CW1875" s="366" t="s">
        <v>31</v>
      </c>
      <c r="CX1875" s="307">
        <v>0.53656648600000001</v>
      </c>
      <c r="CY1875" s="307">
        <v>0.53656648600000001</v>
      </c>
      <c r="CZ1875" s="307">
        <v>0.53656648600000001</v>
      </c>
    </row>
    <row r="1876" spans="98:104">
      <c r="CT1876" s="366" t="s">
        <v>4469</v>
      </c>
      <c r="CU1876" s="307" t="s">
        <v>208</v>
      </c>
      <c r="CV1876" s="307" t="s">
        <v>4435</v>
      </c>
      <c r="CW1876" s="366" t="s">
        <v>18</v>
      </c>
      <c r="CX1876" s="307">
        <v>0.621</v>
      </c>
      <c r="CY1876" s="307">
        <v>0.621</v>
      </c>
      <c r="CZ1876" s="307">
        <v>0.621</v>
      </c>
    </row>
    <row r="1877" spans="98:104">
      <c r="CT1877" s="366" t="s">
        <v>4470</v>
      </c>
      <c r="CU1877" s="307" t="s">
        <v>208</v>
      </c>
      <c r="CV1877" s="307" t="s">
        <v>4435</v>
      </c>
      <c r="CW1877" s="366" t="s">
        <v>32</v>
      </c>
      <c r="CX1877" s="307">
        <v>0.69506562500000002</v>
      </c>
      <c r="CY1877" s="307">
        <v>0.69506562500000002</v>
      </c>
      <c r="CZ1877" s="307">
        <v>0.69506562500000002</v>
      </c>
    </row>
    <row r="1878" spans="98:104">
      <c r="CT1878" s="366" t="s">
        <v>4471</v>
      </c>
      <c r="CU1878" s="307" t="s">
        <v>208</v>
      </c>
      <c r="CV1878" s="307" t="s">
        <v>4435</v>
      </c>
      <c r="CW1878" s="366" t="s">
        <v>33</v>
      </c>
      <c r="CX1878" s="307">
        <v>0.75928093500000005</v>
      </c>
      <c r="CY1878" s="307">
        <v>0.75928093500000005</v>
      </c>
      <c r="CZ1878" s="307">
        <v>0.75928093500000005</v>
      </c>
    </row>
    <row r="1879" spans="98:104">
      <c r="CT1879" s="366" t="s">
        <v>4472</v>
      </c>
      <c r="CU1879" s="307" t="s">
        <v>208</v>
      </c>
      <c r="CV1879" s="307" t="s">
        <v>4435</v>
      </c>
      <c r="CW1879" s="366" t="s">
        <v>19</v>
      </c>
      <c r="CX1879" s="307">
        <v>0.81399999999999995</v>
      </c>
      <c r="CY1879" s="307">
        <v>0.81399999999999995</v>
      </c>
      <c r="CZ1879" s="307">
        <v>0.81399999999999995</v>
      </c>
    </row>
    <row r="1880" spans="98:104">
      <c r="CT1880" s="366" t="s">
        <v>4473</v>
      </c>
      <c r="CU1880" s="307" t="s">
        <v>208</v>
      </c>
      <c r="CV1880" s="307" t="s">
        <v>4435</v>
      </c>
      <c r="CW1880" s="366" t="s">
        <v>34</v>
      </c>
      <c r="CX1880" s="307">
        <v>0.86010260699999996</v>
      </c>
      <c r="CY1880" s="307">
        <v>0.86010260699999996</v>
      </c>
      <c r="CZ1880" s="307">
        <v>0.86010260699999996</v>
      </c>
    </row>
    <row r="1881" spans="98:104">
      <c r="CT1881" s="366" t="s">
        <v>4474</v>
      </c>
      <c r="CU1881" s="307" t="s">
        <v>208</v>
      </c>
      <c r="CV1881" s="307" t="s">
        <v>4435</v>
      </c>
      <c r="CW1881" s="366" t="s">
        <v>35</v>
      </c>
      <c r="CX1881" s="307">
        <v>0.89796881100000003</v>
      </c>
      <c r="CY1881" s="307">
        <v>0.89796881100000003</v>
      </c>
      <c r="CZ1881" s="307">
        <v>0.89796881100000003</v>
      </c>
    </row>
    <row r="1882" spans="98:104">
      <c r="CT1882" s="366" t="s">
        <v>4475</v>
      </c>
      <c r="CU1882" s="307" t="s">
        <v>208</v>
      </c>
      <c r="CV1882" s="307" t="s">
        <v>4435</v>
      </c>
      <c r="CW1882" s="366" t="s">
        <v>36</v>
      </c>
      <c r="CX1882" s="307">
        <v>0.92936269000000005</v>
      </c>
      <c r="CY1882" s="307">
        <v>0.92936269000000005</v>
      </c>
      <c r="CZ1882" s="307">
        <v>0.92936269000000005</v>
      </c>
    </row>
    <row r="1883" spans="98:104">
      <c r="CT1883" s="366" t="s">
        <v>4476</v>
      </c>
      <c r="CU1883" s="307" t="s">
        <v>208</v>
      </c>
      <c r="CV1883" s="307" t="s">
        <v>4435</v>
      </c>
      <c r="CW1883" s="366" t="s">
        <v>37</v>
      </c>
      <c r="CX1883" s="307">
        <v>0.95507663099999995</v>
      </c>
      <c r="CY1883" s="307">
        <v>0.95507663099999995</v>
      </c>
      <c r="CZ1883" s="307">
        <v>0.95507663099999995</v>
      </c>
    </row>
    <row r="1884" spans="98:104">
      <c r="CT1884" s="366" t="s">
        <v>4477</v>
      </c>
      <c r="CU1884" s="307" t="s">
        <v>208</v>
      </c>
      <c r="CV1884" s="307" t="s">
        <v>4435</v>
      </c>
      <c r="CW1884" s="366" t="s">
        <v>20</v>
      </c>
      <c r="CX1884" s="307">
        <v>0.97599999999999998</v>
      </c>
      <c r="CY1884" s="307">
        <v>0.97599999999999998</v>
      </c>
      <c r="CZ1884" s="307">
        <v>0.97599999999999998</v>
      </c>
    </row>
    <row r="1885" spans="98:104">
      <c r="CT1885" s="366" t="s">
        <v>4478</v>
      </c>
      <c r="CU1885" s="307" t="s">
        <v>208</v>
      </c>
      <c r="CV1885" s="307" t="s">
        <v>4435</v>
      </c>
      <c r="CW1885" s="366" t="s">
        <v>38</v>
      </c>
      <c r="CX1885" s="307">
        <v>0.99253404499999998</v>
      </c>
      <c r="CY1885" s="307">
        <v>0.99253404499999998</v>
      </c>
      <c r="CZ1885" s="307">
        <v>0.99253404499999998</v>
      </c>
    </row>
    <row r="1886" spans="98:104">
      <c r="CT1886" s="366" t="s">
        <v>4479</v>
      </c>
      <c r="CU1886" s="307" t="s">
        <v>208</v>
      </c>
      <c r="CV1886" s="307" t="s">
        <v>4435</v>
      </c>
      <c r="CW1886" s="366" t="s">
        <v>39</v>
      </c>
      <c r="CX1886" s="307">
        <v>1.0055554310000001</v>
      </c>
      <c r="CY1886" s="307">
        <v>1.0055554310000001</v>
      </c>
      <c r="CZ1886" s="307">
        <v>1.0055554310000001</v>
      </c>
    </row>
    <row r="1887" spans="98:104">
      <c r="CT1887" s="366" t="s">
        <v>4480</v>
      </c>
      <c r="CU1887" s="307" t="s">
        <v>208</v>
      </c>
      <c r="CV1887" s="307" t="s">
        <v>4435</v>
      </c>
      <c r="CW1887" s="366" t="s">
        <v>40</v>
      </c>
      <c r="CX1887" s="307">
        <v>1.0160221920000001</v>
      </c>
      <c r="CY1887" s="307">
        <v>1.0160221920000001</v>
      </c>
      <c r="CZ1887" s="307">
        <v>1.0160221920000001</v>
      </c>
    </row>
    <row r="1888" spans="98:104">
      <c r="CT1888" s="366" t="s">
        <v>4481</v>
      </c>
      <c r="CU1888" s="307" t="s">
        <v>208</v>
      </c>
      <c r="CV1888" s="307" t="s">
        <v>4435</v>
      </c>
      <c r="CW1888" s="366" t="s">
        <v>41</v>
      </c>
      <c r="CX1888" s="307">
        <v>1.0247438440000001</v>
      </c>
      <c r="CY1888" s="307">
        <v>1.0247438440000001</v>
      </c>
      <c r="CZ1888" s="307">
        <v>1.0247438440000001</v>
      </c>
    </row>
    <row r="1889" spans="98:104">
      <c r="CT1889" s="366" t="s">
        <v>4482</v>
      </c>
      <c r="CU1889" s="307" t="s">
        <v>208</v>
      </c>
      <c r="CV1889" s="307" t="s">
        <v>4435</v>
      </c>
      <c r="CW1889" s="366" t="s">
        <v>21</v>
      </c>
      <c r="CX1889" s="307">
        <v>1.032</v>
      </c>
      <c r="CY1889" s="307">
        <v>1.032</v>
      </c>
      <c r="CZ1889" s="307">
        <v>1.032</v>
      </c>
    </row>
    <row r="1890" spans="98:104">
      <c r="CT1890" s="366" t="s">
        <v>4483</v>
      </c>
      <c r="CU1890" s="307" t="s">
        <v>208</v>
      </c>
      <c r="CV1890" s="307" t="s">
        <v>4435</v>
      </c>
      <c r="CW1890" s="366" t="s">
        <v>42</v>
      </c>
      <c r="CX1890" s="307">
        <v>1.038337369</v>
      </c>
      <c r="CY1890" s="307">
        <v>1.038337369</v>
      </c>
      <c r="CZ1890" s="307">
        <v>1.038337369</v>
      </c>
    </row>
    <row r="1891" spans="98:104">
      <c r="CT1891" s="366" t="s">
        <v>4484</v>
      </c>
      <c r="CU1891" s="307" t="s">
        <v>208</v>
      </c>
      <c r="CV1891" s="307" t="s">
        <v>4435</v>
      </c>
      <c r="CW1891" s="366" t="s">
        <v>43</v>
      </c>
      <c r="CX1891" s="307">
        <v>1.0439416399999999</v>
      </c>
      <c r="CY1891" s="307">
        <v>1.0439416399999999</v>
      </c>
      <c r="CZ1891" s="307">
        <v>1.0439416399999999</v>
      </c>
    </row>
    <row r="1892" spans="98:104">
      <c r="CT1892" s="366" t="s">
        <v>4485</v>
      </c>
      <c r="CU1892" s="307" t="s">
        <v>208</v>
      </c>
      <c r="CV1892" s="307" t="s">
        <v>4435</v>
      </c>
      <c r="CW1892" s="366" t="s">
        <v>44</v>
      </c>
      <c r="CX1892" s="307">
        <v>1.0489178210000001</v>
      </c>
      <c r="CY1892" s="307">
        <v>1.0489178210000001</v>
      </c>
      <c r="CZ1892" s="307">
        <v>1.0489178210000001</v>
      </c>
    </row>
    <row r="1893" spans="98:104">
      <c r="CT1893" s="366" t="s">
        <v>4486</v>
      </c>
      <c r="CU1893" s="307" t="s">
        <v>208</v>
      </c>
      <c r="CV1893" s="307" t="s">
        <v>4435</v>
      </c>
      <c r="CW1893" s="366" t="s">
        <v>45</v>
      </c>
      <c r="CX1893" s="307">
        <v>1.053223646</v>
      </c>
      <c r="CY1893" s="307">
        <v>1.053223646</v>
      </c>
      <c r="CZ1893" s="307">
        <v>1.053223646</v>
      </c>
    </row>
    <row r="1894" spans="98:104">
      <c r="CT1894" s="366" t="s">
        <v>4487</v>
      </c>
      <c r="CU1894" s="307" t="s">
        <v>208</v>
      </c>
      <c r="CV1894" s="307" t="s">
        <v>4435</v>
      </c>
      <c r="CW1894" s="366" t="s">
        <v>22</v>
      </c>
      <c r="CX1894" s="307">
        <v>1.0569999999999999</v>
      </c>
      <c r="CY1894" s="307">
        <v>1.0569999999999999</v>
      </c>
      <c r="CZ1894" s="307">
        <v>1.0569999999999999</v>
      </c>
    </row>
    <row r="1895" spans="98:104">
      <c r="CT1895" s="366" t="s">
        <v>4488</v>
      </c>
      <c r="CU1895" s="307" t="s">
        <v>208</v>
      </c>
      <c r="CV1895" s="307" t="s">
        <v>4435</v>
      </c>
      <c r="CW1895" s="366" t="s">
        <v>163</v>
      </c>
      <c r="CX1895" s="307">
        <v>1.0602875789999999</v>
      </c>
      <c r="CY1895" s="307">
        <v>1.0602875789999999</v>
      </c>
      <c r="CZ1895" s="307">
        <v>1.0602875789999999</v>
      </c>
    </row>
    <row r="1896" spans="98:104">
      <c r="CT1896" s="366" t="s">
        <v>4489</v>
      </c>
      <c r="CU1896" s="307" t="s">
        <v>208</v>
      </c>
      <c r="CV1896" s="307" t="s">
        <v>4435</v>
      </c>
      <c r="CW1896" s="366" t="s">
        <v>164</v>
      </c>
      <c r="CX1896" s="307">
        <v>1.063151679</v>
      </c>
      <c r="CY1896" s="307">
        <v>1.063151679</v>
      </c>
      <c r="CZ1896" s="307">
        <v>1.063151679</v>
      </c>
    </row>
    <row r="1897" spans="98:104">
      <c r="CT1897" s="366" t="s">
        <v>4490</v>
      </c>
      <c r="CU1897" s="307" t="s">
        <v>208</v>
      </c>
      <c r="CV1897" s="307" t="s">
        <v>4435</v>
      </c>
      <c r="CW1897" s="366" t="s">
        <v>165</v>
      </c>
      <c r="CX1897" s="307">
        <v>1.0653546549999999</v>
      </c>
      <c r="CY1897" s="307">
        <v>1.0653546549999999</v>
      </c>
      <c r="CZ1897" s="307">
        <v>1.0653546549999999</v>
      </c>
    </row>
    <row r="1898" spans="98:104">
      <c r="CT1898" s="366" t="s">
        <v>4491</v>
      </c>
      <c r="CU1898" s="307" t="s">
        <v>208</v>
      </c>
      <c r="CV1898" s="307" t="s">
        <v>4435</v>
      </c>
      <c r="CW1898" s="366" t="s">
        <v>166</v>
      </c>
      <c r="CX1898" s="307">
        <v>1.06697039</v>
      </c>
      <c r="CY1898" s="307">
        <v>1.06697039</v>
      </c>
      <c r="CZ1898" s="307">
        <v>1.06697039</v>
      </c>
    </row>
    <row r="1899" spans="98:104">
      <c r="CT1899" s="366" t="s">
        <v>4492</v>
      </c>
      <c r="CU1899" s="307" t="s">
        <v>208</v>
      </c>
      <c r="CV1899" s="307" t="s">
        <v>4435</v>
      </c>
      <c r="CW1899" s="366" t="s">
        <v>167</v>
      </c>
      <c r="CX1899" s="307">
        <v>1.0679712800000001</v>
      </c>
      <c r="CY1899" s="307">
        <v>1.0679712800000001</v>
      </c>
      <c r="CZ1899" s="307">
        <v>1.0679712800000001</v>
      </c>
    </row>
    <row r="1900" spans="98:104">
      <c r="CT1900" s="366" t="s">
        <v>4493</v>
      </c>
      <c r="CU1900" s="307" t="s">
        <v>208</v>
      </c>
      <c r="CV1900" s="307" t="s">
        <v>4435</v>
      </c>
      <c r="CW1900" s="366" t="s">
        <v>168</v>
      </c>
      <c r="CX1900" s="307">
        <v>1.068392325</v>
      </c>
      <c r="CY1900" s="307">
        <v>1.068392325</v>
      </c>
      <c r="CZ1900" s="307">
        <v>1.068392325</v>
      </c>
    </row>
    <row r="1901" spans="98:104">
      <c r="CT1901" s="366" t="s">
        <v>4494</v>
      </c>
      <c r="CU1901" s="307" t="s">
        <v>208</v>
      </c>
      <c r="CV1901" s="307" t="s">
        <v>4435</v>
      </c>
      <c r="CW1901" s="366" t="s">
        <v>169</v>
      </c>
      <c r="CX1901" s="307">
        <v>1.068078273</v>
      </c>
      <c r="CY1901" s="307">
        <v>1.068078273</v>
      </c>
      <c r="CZ1901" s="307">
        <v>1.068078273</v>
      </c>
    </row>
    <row r="1902" spans="98:104">
      <c r="CT1902" s="366" t="s">
        <v>4495</v>
      </c>
      <c r="CU1902" s="307" t="s">
        <v>208</v>
      </c>
      <c r="CV1902" s="307" t="s">
        <v>4435</v>
      </c>
      <c r="CW1902" s="366" t="s">
        <v>170</v>
      </c>
      <c r="CX1902" s="307">
        <v>1.067069432</v>
      </c>
      <c r="CY1902" s="307">
        <v>1.067069432</v>
      </c>
      <c r="CZ1902" s="307">
        <v>1.067069432</v>
      </c>
    </row>
    <row r="1903" spans="98:104">
      <c r="CT1903" s="366" t="s">
        <v>4496</v>
      </c>
      <c r="CU1903" s="307" t="s">
        <v>208</v>
      </c>
      <c r="CV1903" s="307" t="s">
        <v>4435</v>
      </c>
      <c r="CW1903" s="366" t="s">
        <v>171</v>
      </c>
      <c r="CX1903" s="307">
        <v>1.0653677159999999</v>
      </c>
      <c r="CY1903" s="307">
        <v>1.0653677159999999</v>
      </c>
      <c r="CZ1903" s="307">
        <v>1.0653677159999999</v>
      </c>
    </row>
    <row r="1904" spans="98:104">
      <c r="CT1904" s="366" t="s">
        <v>4497</v>
      </c>
      <c r="CU1904" s="307" t="s">
        <v>208</v>
      </c>
      <c r="CV1904" s="307" t="s">
        <v>4435</v>
      </c>
      <c r="CW1904" s="366" t="s">
        <v>46</v>
      </c>
      <c r="CX1904" s="307">
        <v>1.0629999999999999</v>
      </c>
      <c r="CY1904" s="307">
        <v>1.0629999999999999</v>
      </c>
      <c r="CZ1904" s="307">
        <v>1.0629999999999999</v>
      </c>
    </row>
    <row r="1905" spans="98:104">
      <c r="CT1905" s="366" t="s">
        <v>4498</v>
      </c>
      <c r="CU1905" s="307" t="s">
        <v>208</v>
      </c>
      <c r="CV1905" s="307" t="s">
        <v>4435</v>
      </c>
      <c r="CW1905" s="366" t="s">
        <v>47</v>
      </c>
      <c r="CX1905" s="307">
        <v>1.0209999999999999</v>
      </c>
      <c r="CY1905" s="307">
        <v>1.0209999999999999</v>
      </c>
      <c r="CZ1905" s="307">
        <v>1.0209999999999999</v>
      </c>
    </row>
    <row r="1906" spans="98:104">
      <c r="CT1906" s="366" t="s">
        <v>4499</v>
      </c>
      <c r="CU1906" s="307" t="s">
        <v>208</v>
      </c>
      <c r="CV1906" s="307" t="s">
        <v>4435</v>
      </c>
      <c r="CW1906" s="366" t="s">
        <v>48</v>
      </c>
      <c r="CX1906" s="307">
        <v>0.995</v>
      </c>
      <c r="CY1906" s="307">
        <v>0.995</v>
      </c>
      <c r="CZ1906" s="307">
        <v>0.995</v>
      </c>
    </row>
    <row r="1907" spans="98:104">
      <c r="CT1907" s="366" t="s">
        <v>4500</v>
      </c>
      <c r="CU1907" s="307" t="s">
        <v>208</v>
      </c>
      <c r="CV1907" s="307" t="s">
        <v>4501</v>
      </c>
      <c r="CW1907" s="366" t="s">
        <v>3</v>
      </c>
      <c r="CX1907" s="307">
        <v>-0.36999989999999999</v>
      </c>
      <c r="CY1907" s="307">
        <v>-0.36999989999999999</v>
      </c>
      <c r="CZ1907" s="307">
        <v>-0.36999989999999999</v>
      </c>
    </row>
    <row r="1908" spans="98:104">
      <c r="CT1908" s="366" t="s">
        <v>4502</v>
      </c>
      <c r="CU1908" s="307" t="s">
        <v>208</v>
      </c>
      <c r="CV1908" s="307" t="s">
        <v>4501</v>
      </c>
      <c r="CW1908" s="366" t="s">
        <v>4</v>
      </c>
      <c r="CX1908" s="307">
        <v>-0.37</v>
      </c>
      <c r="CY1908" s="307">
        <v>-0.37</v>
      </c>
      <c r="CZ1908" s="307">
        <v>-0.37</v>
      </c>
    </row>
    <row r="1909" spans="98:104">
      <c r="CT1909" s="366" t="s">
        <v>4503</v>
      </c>
      <c r="CU1909" s="307" t="s">
        <v>208</v>
      </c>
      <c r="CV1909" s="307" t="s">
        <v>4501</v>
      </c>
      <c r="CW1909" s="366" t="s">
        <v>23</v>
      </c>
      <c r="CX1909" s="307">
        <v>8.6699999999999999E-2</v>
      </c>
      <c r="CY1909" s="307">
        <v>8.6699999999999999E-2</v>
      </c>
      <c r="CZ1909" s="307">
        <v>8.6699999999999999E-2</v>
      </c>
    </row>
    <row r="1910" spans="98:104">
      <c r="CT1910" s="366" t="s">
        <v>4504</v>
      </c>
      <c r="CU1910" s="307" t="s">
        <v>208</v>
      </c>
      <c r="CV1910" s="307" t="s">
        <v>4501</v>
      </c>
      <c r="CW1910" s="366" t="s">
        <v>5</v>
      </c>
      <c r="CX1910" s="307">
        <v>4.1599999999999998E-2</v>
      </c>
      <c r="CY1910" s="307">
        <v>0.1416</v>
      </c>
      <c r="CZ1910" s="307">
        <v>9.1600000000000001E-2</v>
      </c>
    </row>
    <row r="1911" spans="98:104">
      <c r="CT1911" s="366" t="s">
        <v>4505</v>
      </c>
      <c r="CU1911" s="307" t="s">
        <v>208</v>
      </c>
      <c r="CV1911" s="307" t="s">
        <v>4501</v>
      </c>
      <c r="CW1911" s="366" t="s">
        <v>6</v>
      </c>
      <c r="CX1911" s="307">
        <v>2.47E-2</v>
      </c>
      <c r="CY1911" s="307">
        <v>0.12470000000000001</v>
      </c>
      <c r="CZ1911" s="307">
        <v>7.4700000000000003E-2</v>
      </c>
    </row>
    <row r="1912" spans="98:104">
      <c r="CT1912" s="366" t="s">
        <v>4506</v>
      </c>
      <c r="CU1912" s="307" t="s">
        <v>208</v>
      </c>
      <c r="CV1912" s="307" t="s">
        <v>4501</v>
      </c>
      <c r="CW1912" s="366" t="s">
        <v>24</v>
      </c>
      <c r="CX1912" s="307">
        <v>4.8999999999999998E-3</v>
      </c>
      <c r="CY1912" s="307">
        <v>0.10489999999999999</v>
      </c>
      <c r="CZ1912" s="307">
        <v>5.4899999999999997E-2</v>
      </c>
    </row>
    <row r="1913" spans="98:104">
      <c r="CT1913" s="366" t="s">
        <v>4507</v>
      </c>
      <c r="CU1913" s="307" t="s">
        <v>208</v>
      </c>
      <c r="CV1913" s="307" t="s">
        <v>4501</v>
      </c>
      <c r="CW1913" s="366" t="s">
        <v>7</v>
      </c>
      <c r="CX1913" s="307">
        <v>4.5999999999999999E-3</v>
      </c>
      <c r="CY1913" s="307">
        <v>5.4600000000000003E-2</v>
      </c>
      <c r="CZ1913" s="307">
        <v>2.9600000000000001E-2</v>
      </c>
    </row>
    <row r="1914" spans="98:104">
      <c r="CT1914" s="366" t="s">
        <v>4508</v>
      </c>
      <c r="CU1914" s="307" t="s">
        <v>208</v>
      </c>
      <c r="CV1914" s="307" t="s">
        <v>4501</v>
      </c>
      <c r="CW1914" s="366" t="s">
        <v>8</v>
      </c>
      <c r="CX1914" s="307">
        <v>-8.2299999999999998E-2</v>
      </c>
      <c r="CY1914" s="307">
        <v>-3.2300000000000002E-2</v>
      </c>
      <c r="CZ1914" s="307">
        <v>-5.7300000000000004E-2</v>
      </c>
    </row>
    <row r="1915" spans="98:104">
      <c r="CT1915" s="366" t="s">
        <v>4509</v>
      </c>
      <c r="CU1915" s="307" t="s">
        <v>208</v>
      </c>
      <c r="CV1915" s="307" t="s">
        <v>4501</v>
      </c>
      <c r="CW1915" s="366" t="s">
        <v>25</v>
      </c>
      <c r="CX1915" s="307">
        <v>-0.10489999999999999</v>
      </c>
      <c r="CY1915" s="307">
        <v>-5.4899999999999997E-2</v>
      </c>
      <c r="CZ1915" s="307">
        <v>-7.9899999999999999E-2</v>
      </c>
    </row>
    <row r="1916" spans="98:104">
      <c r="CT1916" s="366" t="s">
        <v>4510</v>
      </c>
      <c r="CU1916" s="307" t="s">
        <v>208</v>
      </c>
      <c r="CV1916" s="307" t="s">
        <v>4501</v>
      </c>
      <c r="CW1916" s="366" t="s">
        <v>26</v>
      </c>
      <c r="CX1916" s="307">
        <v>-0.1111</v>
      </c>
      <c r="CY1916" s="307">
        <v>-6.1100000000000002E-2</v>
      </c>
      <c r="CZ1916" s="307">
        <v>-8.610000000000001E-2</v>
      </c>
    </row>
    <row r="1917" spans="98:104">
      <c r="CT1917" s="366" t="s">
        <v>4511</v>
      </c>
      <c r="CU1917" s="307" t="s">
        <v>208</v>
      </c>
      <c r="CV1917" s="307" t="s">
        <v>4501</v>
      </c>
      <c r="CW1917" s="366" t="s">
        <v>27</v>
      </c>
      <c r="CX1917" s="307">
        <v>-0.1232</v>
      </c>
      <c r="CY1917" s="307">
        <v>-7.3200000000000001E-2</v>
      </c>
      <c r="CZ1917" s="307">
        <v>-9.820000000000001E-2</v>
      </c>
    </row>
    <row r="1918" spans="98:104">
      <c r="CT1918" s="366" t="s">
        <v>4512</v>
      </c>
      <c r="CU1918" s="307" t="s">
        <v>208</v>
      </c>
      <c r="CV1918" s="307" t="s">
        <v>4501</v>
      </c>
      <c r="CW1918" s="366" t="s">
        <v>28</v>
      </c>
      <c r="CX1918" s="307">
        <v>-0.13439999999999999</v>
      </c>
      <c r="CY1918" s="307">
        <v>-8.4400000000000003E-2</v>
      </c>
      <c r="CZ1918" s="307">
        <v>-0.1094</v>
      </c>
    </row>
    <row r="1919" spans="98:104">
      <c r="CT1919" s="366" t="s">
        <v>5118</v>
      </c>
      <c r="CU1919" s="307" t="s">
        <v>208</v>
      </c>
      <c r="CV1919" s="307" t="s">
        <v>4501</v>
      </c>
      <c r="CW1919" s="366" t="s">
        <v>5101</v>
      </c>
      <c r="CX1919" s="307">
        <v>-0.1202</v>
      </c>
      <c r="CY1919" s="307">
        <v>-0.1202</v>
      </c>
      <c r="CZ1919" s="307">
        <v>-0.1202</v>
      </c>
    </row>
    <row r="1920" spans="98:104">
      <c r="CT1920" s="366" t="s">
        <v>4513</v>
      </c>
      <c r="CU1920" s="307" t="s">
        <v>208</v>
      </c>
      <c r="CV1920" s="307" t="s">
        <v>4501</v>
      </c>
      <c r="CW1920" s="366" t="s">
        <v>29</v>
      </c>
      <c r="CX1920" s="307">
        <v>-0.1452</v>
      </c>
      <c r="CY1920" s="307">
        <v>-9.5200000000000007E-2</v>
      </c>
      <c r="CZ1920" s="307">
        <v>-0.1202</v>
      </c>
    </row>
    <row r="1921" spans="98:104">
      <c r="CT1921" s="366" t="s">
        <v>4514</v>
      </c>
      <c r="CU1921" s="307" t="s">
        <v>208</v>
      </c>
      <c r="CV1921" s="307" t="s">
        <v>4501</v>
      </c>
      <c r="CW1921" s="366" t="s">
        <v>30</v>
      </c>
      <c r="CX1921" s="307">
        <v>-0.155</v>
      </c>
      <c r="CY1921" s="307">
        <v>-0.105</v>
      </c>
      <c r="CZ1921" s="307">
        <v>-0.13</v>
      </c>
    </row>
    <row r="1922" spans="98:104">
      <c r="CT1922" s="366" t="s">
        <v>4515</v>
      </c>
      <c r="CU1922" s="307" t="s">
        <v>208</v>
      </c>
      <c r="CV1922" s="307" t="s">
        <v>4501</v>
      </c>
      <c r="CW1922" s="366" t="s">
        <v>49</v>
      </c>
      <c r="CX1922" s="307">
        <v>-0.16619999999999999</v>
      </c>
      <c r="CY1922" s="307">
        <v>-0.1162</v>
      </c>
      <c r="CZ1922" s="307">
        <v>-0.14119999999999999</v>
      </c>
    </row>
    <row r="1923" spans="98:104">
      <c r="CT1923" s="366" t="s">
        <v>4517</v>
      </c>
      <c r="CU1923" s="307" t="s">
        <v>208</v>
      </c>
      <c r="CV1923" s="307" t="s">
        <v>4501</v>
      </c>
      <c r="CW1923" s="366" t="s">
        <v>1066</v>
      </c>
      <c r="CX1923" s="307">
        <v>100.01430000000001</v>
      </c>
      <c r="CY1923" s="307">
        <v>100.0193</v>
      </c>
      <c r="CZ1923" s="307">
        <v>100.0168</v>
      </c>
    </row>
    <row r="1924" spans="98:104">
      <c r="CT1924" s="366" t="s">
        <v>4516</v>
      </c>
      <c r="CU1924" s="307" t="s">
        <v>208</v>
      </c>
      <c r="CV1924" s="307" t="s">
        <v>4501</v>
      </c>
      <c r="CW1924" s="366" t="s">
        <v>56</v>
      </c>
      <c r="CX1924" s="307">
        <v>-7.6041666999999993E-2</v>
      </c>
      <c r="CY1924" s="307">
        <v>-7.6041666999999993E-2</v>
      </c>
      <c r="CZ1924" s="307">
        <v>-7.6041666999999993E-2</v>
      </c>
    </row>
    <row r="1925" spans="98:104">
      <c r="CT1925" s="366" t="s">
        <v>4518</v>
      </c>
      <c r="CU1925" s="307" t="s">
        <v>208</v>
      </c>
      <c r="CV1925" s="307" t="s">
        <v>4501</v>
      </c>
      <c r="CW1925" s="366" t="s">
        <v>1069</v>
      </c>
      <c r="CX1925" s="307">
        <v>99.994299999999996</v>
      </c>
      <c r="CY1925" s="307">
        <v>99.999300000000005</v>
      </c>
      <c r="CZ1925" s="307">
        <v>99.996800000000007</v>
      </c>
    </row>
    <row r="1926" spans="98:104">
      <c r="CT1926" s="366" t="s">
        <v>4519</v>
      </c>
      <c r="CU1926" s="307" t="s">
        <v>208</v>
      </c>
      <c r="CV1926" s="307" t="s">
        <v>4501</v>
      </c>
      <c r="CW1926" s="366" t="s">
        <v>3865</v>
      </c>
      <c r="CX1926" s="307">
        <v>99.979299999999995</v>
      </c>
      <c r="CY1926" s="307">
        <v>99.984300000000005</v>
      </c>
      <c r="CZ1926" s="307">
        <v>99.981799999999993</v>
      </c>
    </row>
    <row r="1927" spans="98:104">
      <c r="CT1927" s="366" t="s">
        <v>4521</v>
      </c>
      <c r="CU1927" s="307" t="s">
        <v>208</v>
      </c>
      <c r="CV1927" s="307" t="s">
        <v>4501</v>
      </c>
      <c r="CW1927" s="366" t="s">
        <v>3866</v>
      </c>
      <c r="CX1927" s="307">
        <v>99.954300000000003</v>
      </c>
      <c r="CY1927" s="307">
        <v>99.959299999999999</v>
      </c>
      <c r="CZ1927" s="307">
        <v>99.956800000000001</v>
      </c>
    </row>
    <row r="1928" spans="98:104">
      <c r="CT1928" s="366" t="s">
        <v>5076</v>
      </c>
      <c r="CU1928" s="307" t="s">
        <v>208</v>
      </c>
      <c r="CV1928" s="307" t="s">
        <v>4501</v>
      </c>
      <c r="CW1928" s="366" t="s">
        <v>3889</v>
      </c>
      <c r="CX1928" s="307">
        <v>99.924400000000006</v>
      </c>
      <c r="CY1928" s="307">
        <v>99.929400000000001</v>
      </c>
      <c r="CZ1928" s="307">
        <v>99.926900000000003</v>
      </c>
    </row>
    <row r="1929" spans="98:104">
      <c r="CT1929" s="366" t="s">
        <v>4520</v>
      </c>
      <c r="CU1929" s="307" t="s">
        <v>208</v>
      </c>
      <c r="CV1929" s="307" t="s">
        <v>4501</v>
      </c>
      <c r="CW1929" s="366" t="s">
        <v>9</v>
      </c>
      <c r="CX1929" s="307">
        <v>-9.0167089999999995E-3</v>
      </c>
      <c r="CY1929" s="307">
        <v>-9.0167089999999995E-3</v>
      </c>
      <c r="CZ1929" s="307">
        <v>-9.0167089999999995E-3</v>
      </c>
    </row>
    <row r="1930" spans="98:104">
      <c r="CT1930" s="366" t="s">
        <v>5119</v>
      </c>
      <c r="CU1930" s="307" t="s">
        <v>208</v>
      </c>
      <c r="CV1930" s="307" t="s">
        <v>4501</v>
      </c>
      <c r="CW1930" s="366" t="s">
        <v>3890</v>
      </c>
      <c r="CX1930" s="307">
        <v>99.889300000000006</v>
      </c>
      <c r="CY1930" s="307">
        <v>99.894300000000001</v>
      </c>
      <c r="CZ1930" s="307">
        <v>99.891800000000003</v>
      </c>
    </row>
    <row r="1931" spans="98:104">
      <c r="CT1931" s="366" t="s">
        <v>4522</v>
      </c>
      <c r="CU1931" s="307" t="s">
        <v>208</v>
      </c>
      <c r="CV1931" s="307" t="s">
        <v>4501</v>
      </c>
      <c r="CW1931" s="366" t="s">
        <v>10</v>
      </c>
      <c r="CX1931" s="307">
        <v>6.9000000000000006E-2</v>
      </c>
      <c r="CY1931" s="307">
        <v>6.9000000000000006E-2</v>
      </c>
      <c r="CZ1931" s="307">
        <v>6.9000000000000006E-2</v>
      </c>
    </row>
    <row r="1932" spans="98:104">
      <c r="CT1932" s="366" t="s">
        <v>4523</v>
      </c>
      <c r="CU1932" s="307" t="s">
        <v>208</v>
      </c>
      <c r="CV1932" s="307" t="s">
        <v>4501</v>
      </c>
      <c r="CW1932" s="366" t="s">
        <v>11</v>
      </c>
      <c r="CX1932" s="307">
        <v>0.161</v>
      </c>
      <c r="CY1932" s="307">
        <v>0.161</v>
      </c>
      <c r="CZ1932" s="307">
        <v>0.161</v>
      </c>
    </row>
    <row r="1933" spans="98:104">
      <c r="CT1933" s="366" t="s">
        <v>4524</v>
      </c>
      <c r="CU1933" s="307" t="s">
        <v>208</v>
      </c>
      <c r="CV1933" s="307" t="s">
        <v>4501</v>
      </c>
      <c r="CW1933" s="366" t="s">
        <v>12</v>
      </c>
      <c r="CX1933" s="307">
        <v>0.26700000000000002</v>
      </c>
      <c r="CY1933" s="307">
        <v>0.26700000000000002</v>
      </c>
      <c r="CZ1933" s="307">
        <v>0.26700000000000002</v>
      </c>
    </row>
    <row r="1934" spans="98:104">
      <c r="CT1934" s="366" t="s">
        <v>4525</v>
      </c>
      <c r="CU1934" s="307" t="s">
        <v>208</v>
      </c>
      <c r="CV1934" s="307" t="s">
        <v>4501</v>
      </c>
      <c r="CW1934" s="366" t="s">
        <v>13</v>
      </c>
      <c r="CX1934" s="307">
        <v>0.377</v>
      </c>
      <c r="CY1934" s="307">
        <v>0.377</v>
      </c>
      <c r="CZ1934" s="307">
        <v>0.377</v>
      </c>
    </row>
    <row r="1935" spans="98:104">
      <c r="CT1935" s="366" t="s">
        <v>4526</v>
      </c>
      <c r="CU1935" s="307" t="s">
        <v>208</v>
      </c>
      <c r="CV1935" s="307" t="s">
        <v>4501</v>
      </c>
      <c r="CW1935" s="366" t="s">
        <v>14</v>
      </c>
      <c r="CX1935" s="307">
        <v>0.48899999999999999</v>
      </c>
      <c r="CY1935" s="307">
        <v>0.48899999999999999</v>
      </c>
      <c r="CZ1935" s="307">
        <v>0.48899999999999999</v>
      </c>
    </row>
    <row r="1936" spans="98:104">
      <c r="CT1936" s="366" t="s">
        <v>4527</v>
      </c>
      <c r="CU1936" s="307" t="s">
        <v>208</v>
      </c>
      <c r="CV1936" s="307" t="s">
        <v>4501</v>
      </c>
      <c r="CW1936" s="366" t="s">
        <v>15</v>
      </c>
      <c r="CX1936" s="307">
        <v>0.59899999999999998</v>
      </c>
      <c r="CY1936" s="307">
        <v>0.59899999999999998</v>
      </c>
      <c r="CZ1936" s="307">
        <v>0.59899999999999998</v>
      </c>
    </row>
    <row r="1937" spans="98:104">
      <c r="CT1937" s="366" t="s">
        <v>4528</v>
      </c>
      <c r="CU1937" s="307" t="s">
        <v>208</v>
      </c>
      <c r="CV1937" s="307" t="s">
        <v>4501</v>
      </c>
      <c r="CW1937" s="366" t="s">
        <v>16</v>
      </c>
      <c r="CX1937" s="307">
        <v>0.70399999999999996</v>
      </c>
      <c r="CY1937" s="307">
        <v>0.70399999999999996</v>
      </c>
      <c r="CZ1937" s="307">
        <v>0.70399999999999996</v>
      </c>
    </row>
    <row r="1938" spans="98:104">
      <c r="CT1938" s="366" t="s">
        <v>4529</v>
      </c>
      <c r="CU1938" s="307" t="s">
        <v>208</v>
      </c>
      <c r="CV1938" s="307" t="s">
        <v>4501</v>
      </c>
      <c r="CW1938" s="366" t="s">
        <v>17</v>
      </c>
      <c r="CX1938" s="307">
        <v>0.79600000000000004</v>
      </c>
      <c r="CY1938" s="307">
        <v>0.79600000000000004</v>
      </c>
      <c r="CZ1938" s="307">
        <v>0.79600000000000004</v>
      </c>
    </row>
    <row r="1939" spans="98:104">
      <c r="CT1939" s="366" t="s">
        <v>4530</v>
      </c>
      <c r="CU1939" s="307" t="s">
        <v>208</v>
      </c>
      <c r="CV1939" s="307" t="s">
        <v>4501</v>
      </c>
      <c r="CW1939" s="366" t="s">
        <v>31</v>
      </c>
      <c r="CX1939" s="307">
        <v>0.87583176399999996</v>
      </c>
      <c r="CY1939" s="307">
        <v>0.87583176399999996</v>
      </c>
      <c r="CZ1939" s="307">
        <v>0.87583176399999996</v>
      </c>
    </row>
    <row r="1940" spans="98:104">
      <c r="CT1940" s="366" t="s">
        <v>4531</v>
      </c>
      <c r="CU1940" s="307" t="s">
        <v>208</v>
      </c>
      <c r="CV1940" s="307" t="s">
        <v>4501</v>
      </c>
      <c r="CW1940" s="366" t="s">
        <v>18</v>
      </c>
      <c r="CX1940" s="307">
        <v>0.94599999999999995</v>
      </c>
      <c r="CY1940" s="307">
        <v>0.94599999999999995</v>
      </c>
      <c r="CZ1940" s="307">
        <v>0.94599999999999995</v>
      </c>
    </row>
    <row r="1941" spans="98:104">
      <c r="CT1941" s="366" t="s">
        <v>4532</v>
      </c>
      <c r="CU1941" s="307" t="s">
        <v>208</v>
      </c>
      <c r="CV1941" s="307" t="s">
        <v>4501</v>
      </c>
      <c r="CW1941" s="366" t="s">
        <v>32</v>
      </c>
      <c r="CX1941" s="307">
        <v>1.006292218</v>
      </c>
      <c r="CY1941" s="307">
        <v>1.006292218</v>
      </c>
      <c r="CZ1941" s="307">
        <v>1.006292218</v>
      </c>
    </row>
    <row r="1942" spans="98:104">
      <c r="CT1942" s="366" t="s">
        <v>4533</v>
      </c>
      <c r="CU1942" s="307" t="s">
        <v>208</v>
      </c>
      <c r="CV1942" s="307" t="s">
        <v>4501</v>
      </c>
      <c r="CW1942" s="366" t="s">
        <v>33</v>
      </c>
      <c r="CX1942" s="307">
        <v>1.0574652689999999</v>
      </c>
      <c r="CY1942" s="307">
        <v>1.0574652689999999</v>
      </c>
      <c r="CZ1942" s="307">
        <v>1.0574652689999999</v>
      </c>
    </row>
    <row r="1943" spans="98:104">
      <c r="CT1943" s="366" t="s">
        <v>4534</v>
      </c>
      <c r="CU1943" s="307" t="s">
        <v>208</v>
      </c>
      <c r="CV1943" s="307" t="s">
        <v>4501</v>
      </c>
      <c r="CW1943" s="366" t="s">
        <v>19</v>
      </c>
      <c r="CX1943" s="307">
        <v>1.1000000000000001</v>
      </c>
      <c r="CY1943" s="307">
        <v>1.1000000000000001</v>
      </c>
      <c r="CZ1943" s="307">
        <v>1.1000000000000001</v>
      </c>
    </row>
    <row r="1944" spans="98:104">
      <c r="CT1944" s="366" t="s">
        <v>4535</v>
      </c>
      <c r="CU1944" s="307" t="s">
        <v>208</v>
      </c>
      <c r="CV1944" s="307" t="s">
        <v>4501</v>
      </c>
      <c r="CW1944" s="366" t="s">
        <v>34</v>
      </c>
      <c r="CX1944" s="307">
        <v>1.134824805</v>
      </c>
      <c r="CY1944" s="307">
        <v>1.134824805</v>
      </c>
      <c r="CZ1944" s="307">
        <v>1.134824805</v>
      </c>
    </row>
    <row r="1945" spans="98:104">
      <c r="CT1945" s="366" t="s">
        <v>4536</v>
      </c>
      <c r="CU1945" s="307" t="s">
        <v>208</v>
      </c>
      <c r="CV1945" s="307" t="s">
        <v>4501</v>
      </c>
      <c r="CW1945" s="366" t="s">
        <v>35</v>
      </c>
      <c r="CX1945" s="307">
        <v>1.162338103</v>
      </c>
      <c r="CY1945" s="307">
        <v>1.162338103</v>
      </c>
      <c r="CZ1945" s="307">
        <v>1.162338103</v>
      </c>
    </row>
    <row r="1946" spans="98:104">
      <c r="CT1946" s="366" t="s">
        <v>4537</v>
      </c>
      <c r="CU1946" s="307" t="s">
        <v>208</v>
      </c>
      <c r="CV1946" s="307" t="s">
        <v>4501</v>
      </c>
      <c r="CW1946" s="366" t="s">
        <v>36</v>
      </c>
      <c r="CX1946" s="307">
        <v>1.1841736620000001</v>
      </c>
      <c r="CY1946" s="307">
        <v>1.1841736620000001</v>
      </c>
      <c r="CZ1946" s="307">
        <v>1.1841736620000001</v>
      </c>
    </row>
    <row r="1947" spans="98:104">
      <c r="CT1947" s="366" t="s">
        <v>4538</v>
      </c>
      <c r="CU1947" s="307" t="s">
        <v>208</v>
      </c>
      <c r="CV1947" s="307" t="s">
        <v>4501</v>
      </c>
      <c r="CW1947" s="366" t="s">
        <v>37</v>
      </c>
      <c r="CX1947" s="307">
        <v>1.2011078980000001</v>
      </c>
      <c r="CY1947" s="307">
        <v>1.2011078980000001</v>
      </c>
      <c r="CZ1947" s="307">
        <v>1.2011078980000001</v>
      </c>
    </row>
    <row r="1948" spans="98:104">
      <c r="CT1948" s="366" t="s">
        <v>4539</v>
      </c>
      <c r="CU1948" s="307" t="s">
        <v>208</v>
      </c>
      <c r="CV1948" s="307" t="s">
        <v>4501</v>
      </c>
      <c r="CW1948" s="366" t="s">
        <v>20</v>
      </c>
      <c r="CX1948" s="307">
        <v>1.214</v>
      </c>
      <c r="CY1948" s="307">
        <v>1.214</v>
      </c>
      <c r="CZ1948" s="307">
        <v>1.214</v>
      </c>
    </row>
    <row r="1949" spans="98:104">
      <c r="CT1949" s="366" t="s">
        <v>4540</v>
      </c>
      <c r="CU1949" s="307" t="s">
        <v>208</v>
      </c>
      <c r="CV1949" s="307" t="s">
        <v>4501</v>
      </c>
      <c r="CW1949" s="366" t="s">
        <v>38</v>
      </c>
      <c r="CX1949" s="307">
        <v>1.2231558899999999</v>
      </c>
      <c r="CY1949" s="307">
        <v>1.2231558899999999</v>
      </c>
      <c r="CZ1949" s="307">
        <v>1.2231558899999999</v>
      </c>
    </row>
    <row r="1950" spans="98:104">
      <c r="CT1950" s="366" t="s">
        <v>4541</v>
      </c>
      <c r="CU1950" s="307" t="s">
        <v>208</v>
      </c>
      <c r="CV1950" s="307" t="s">
        <v>4501</v>
      </c>
      <c r="CW1950" s="366" t="s">
        <v>39</v>
      </c>
      <c r="CX1950" s="307">
        <v>1.2294885289999999</v>
      </c>
      <c r="CY1950" s="307">
        <v>1.2294885289999999</v>
      </c>
      <c r="CZ1950" s="307">
        <v>1.2294885289999999</v>
      </c>
    </row>
    <row r="1951" spans="98:104">
      <c r="CT1951" s="366" t="s">
        <v>4542</v>
      </c>
      <c r="CU1951" s="307" t="s">
        <v>208</v>
      </c>
      <c r="CV1951" s="307" t="s">
        <v>4501</v>
      </c>
      <c r="CW1951" s="366" t="s">
        <v>40</v>
      </c>
      <c r="CX1951" s="307">
        <v>1.233826885</v>
      </c>
      <c r="CY1951" s="307">
        <v>1.233826885</v>
      </c>
      <c r="CZ1951" s="307">
        <v>1.233826885</v>
      </c>
    </row>
    <row r="1952" spans="98:104">
      <c r="CT1952" s="366" t="s">
        <v>4543</v>
      </c>
      <c r="CU1952" s="307" t="s">
        <v>208</v>
      </c>
      <c r="CV1952" s="307" t="s">
        <v>4501</v>
      </c>
      <c r="CW1952" s="366" t="s">
        <v>41</v>
      </c>
      <c r="CX1952" s="307">
        <v>1.236917391</v>
      </c>
      <c r="CY1952" s="307">
        <v>1.236917391</v>
      </c>
      <c r="CZ1952" s="307">
        <v>1.236917391</v>
      </c>
    </row>
    <row r="1953" spans="98:104">
      <c r="CT1953" s="366" t="s">
        <v>4544</v>
      </c>
      <c r="CU1953" s="307" t="s">
        <v>208</v>
      </c>
      <c r="CV1953" s="307" t="s">
        <v>4501</v>
      </c>
      <c r="CW1953" s="366" t="s">
        <v>21</v>
      </c>
      <c r="CX1953" s="307">
        <v>1.2390000000000001</v>
      </c>
      <c r="CY1953" s="307">
        <v>1.2390000000000001</v>
      </c>
      <c r="CZ1953" s="307">
        <v>1.2390000000000001</v>
      </c>
    </row>
    <row r="1954" spans="98:104">
      <c r="CT1954" s="366" t="s">
        <v>4545</v>
      </c>
      <c r="CU1954" s="307" t="s">
        <v>208</v>
      </c>
      <c r="CV1954" s="307" t="s">
        <v>4501</v>
      </c>
      <c r="CW1954" s="366" t="s">
        <v>42</v>
      </c>
      <c r="CX1954" s="307">
        <v>1.240580419</v>
      </c>
      <c r="CY1954" s="307">
        <v>1.240580419</v>
      </c>
      <c r="CZ1954" s="307">
        <v>1.240580419</v>
      </c>
    </row>
    <row r="1955" spans="98:104">
      <c r="CT1955" s="366" t="s">
        <v>4546</v>
      </c>
      <c r="CU1955" s="307" t="s">
        <v>208</v>
      </c>
      <c r="CV1955" s="307" t="s">
        <v>4501</v>
      </c>
      <c r="CW1955" s="366" t="s">
        <v>43</v>
      </c>
      <c r="CX1955" s="307">
        <v>1.2417476140000001</v>
      </c>
      <c r="CY1955" s="307">
        <v>1.2417476140000001</v>
      </c>
      <c r="CZ1955" s="307">
        <v>1.2417476140000001</v>
      </c>
    </row>
    <row r="1956" spans="98:104">
      <c r="CT1956" s="366" t="s">
        <v>4547</v>
      </c>
      <c r="CU1956" s="307" t="s">
        <v>208</v>
      </c>
      <c r="CV1956" s="307" t="s">
        <v>4501</v>
      </c>
      <c r="CW1956" s="366" t="s">
        <v>44</v>
      </c>
      <c r="CX1956" s="307">
        <v>1.242611879</v>
      </c>
      <c r="CY1956" s="307">
        <v>1.242611879</v>
      </c>
      <c r="CZ1956" s="307">
        <v>1.242611879</v>
      </c>
    </row>
    <row r="1957" spans="98:104">
      <c r="CT1957" s="366" t="s">
        <v>4548</v>
      </c>
      <c r="CU1957" s="307" t="s">
        <v>208</v>
      </c>
      <c r="CV1957" s="307" t="s">
        <v>4501</v>
      </c>
      <c r="CW1957" s="366" t="s">
        <v>45</v>
      </c>
      <c r="CX1957" s="307">
        <v>1.2429901080000001</v>
      </c>
      <c r="CY1957" s="307">
        <v>1.2429901080000001</v>
      </c>
      <c r="CZ1957" s="307">
        <v>1.2429901080000001</v>
      </c>
    </row>
    <row r="1958" spans="98:104">
      <c r="CT1958" s="366" t="s">
        <v>4549</v>
      </c>
      <c r="CU1958" s="307" t="s">
        <v>208</v>
      </c>
      <c r="CV1958" s="307" t="s">
        <v>4501</v>
      </c>
      <c r="CW1958" s="366" t="s">
        <v>22</v>
      </c>
      <c r="CX1958" s="307">
        <v>1.2430000000000001</v>
      </c>
      <c r="CY1958" s="307">
        <v>1.2430000000000001</v>
      </c>
      <c r="CZ1958" s="307">
        <v>1.2430000000000001</v>
      </c>
    </row>
    <row r="1959" spans="98:104">
      <c r="CT1959" s="366" t="s">
        <v>4550</v>
      </c>
      <c r="CU1959" s="307" t="s">
        <v>208</v>
      </c>
      <c r="CV1959" s="307" t="s">
        <v>4501</v>
      </c>
      <c r="CW1959" s="366" t="s">
        <v>163</v>
      </c>
      <c r="CX1959" s="307">
        <v>1.242645931</v>
      </c>
      <c r="CY1959" s="307">
        <v>1.242645931</v>
      </c>
      <c r="CZ1959" s="307">
        <v>1.242645931</v>
      </c>
    </row>
    <row r="1960" spans="98:104">
      <c r="CT1960" s="366" t="s">
        <v>4551</v>
      </c>
      <c r="CU1960" s="307" t="s">
        <v>208</v>
      </c>
      <c r="CV1960" s="307" t="s">
        <v>4501</v>
      </c>
      <c r="CW1960" s="366" t="s">
        <v>164</v>
      </c>
      <c r="CX1960" s="307">
        <v>1.241977933</v>
      </c>
      <c r="CY1960" s="307">
        <v>1.241977933</v>
      </c>
      <c r="CZ1960" s="307">
        <v>1.241977933</v>
      </c>
    </row>
    <row r="1961" spans="98:104">
      <c r="CT1961" s="366" t="s">
        <v>4552</v>
      </c>
      <c r="CU1961" s="307" t="s">
        <v>208</v>
      </c>
      <c r="CV1961" s="307" t="s">
        <v>4501</v>
      </c>
      <c r="CW1961" s="366" t="s">
        <v>165</v>
      </c>
      <c r="CX1961" s="307">
        <v>1.240808395</v>
      </c>
      <c r="CY1961" s="307">
        <v>1.240808395</v>
      </c>
      <c r="CZ1961" s="307">
        <v>1.240808395</v>
      </c>
    </row>
    <row r="1962" spans="98:104">
      <c r="CT1962" s="366" t="s">
        <v>4553</v>
      </c>
      <c r="CU1962" s="307" t="s">
        <v>208</v>
      </c>
      <c r="CV1962" s="307" t="s">
        <v>4501</v>
      </c>
      <c r="CW1962" s="366" t="s">
        <v>166</v>
      </c>
      <c r="CX1962" s="307">
        <v>1.239191613</v>
      </c>
      <c r="CY1962" s="307">
        <v>1.239191613</v>
      </c>
      <c r="CZ1962" s="307">
        <v>1.239191613</v>
      </c>
    </row>
    <row r="1963" spans="98:104">
      <c r="CT1963" s="366" t="s">
        <v>4554</v>
      </c>
      <c r="CU1963" s="307" t="s">
        <v>208</v>
      </c>
      <c r="CV1963" s="307" t="s">
        <v>4501</v>
      </c>
      <c r="CW1963" s="366" t="s">
        <v>167</v>
      </c>
      <c r="CX1963" s="307">
        <v>1.2370973869999999</v>
      </c>
      <c r="CY1963" s="307">
        <v>1.2370973869999999</v>
      </c>
      <c r="CZ1963" s="307">
        <v>1.2370973869999999</v>
      </c>
    </row>
    <row r="1964" spans="98:104">
      <c r="CT1964" s="366" t="s">
        <v>4555</v>
      </c>
      <c r="CU1964" s="307" t="s">
        <v>208</v>
      </c>
      <c r="CV1964" s="307" t="s">
        <v>4501</v>
      </c>
      <c r="CW1964" s="366" t="s">
        <v>168</v>
      </c>
      <c r="CX1964" s="307">
        <v>1.2345770069999999</v>
      </c>
      <c r="CY1964" s="307">
        <v>1.2345770069999999</v>
      </c>
      <c r="CZ1964" s="307">
        <v>1.2345770069999999</v>
      </c>
    </row>
    <row r="1965" spans="98:104">
      <c r="CT1965" s="366" t="s">
        <v>4556</v>
      </c>
      <c r="CU1965" s="307" t="s">
        <v>208</v>
      </c>
      <c r="CV1965" s="307" t="s">
        <v>4501</v>
      </c>
      <c r="CW1965" s="366" t="s">
        <v>169</v>
      </c>
      <c r="CX1965" s="307">
        <v>1.2314748790000001</v>
      </c>
      <c r="CY1965" s="307">
        <v>1.2314748790000001</v>
      </c>
      <c r="CZ1965" s="307">
        <v>1.2314748790000001</v>
      </c>
    </row>
    <row r="1966" spans="98:104">
      <c r="CT1966" s="366" t="s">
        <v>4557</v>
      </c>
      <c r="CU1966" s="307" t="s">
        <v>208</v>
      </c>
      <c r="CV1966" s="307" t="s">
        <v>4501</v>
      </c>
      <c r="CW1966" s="366" t="s">
        <v>170</v>
      </c>
      <c r="CX1966" s="307">
        <v>1.2278228769999999</v>
      </c>
      <c r="CY1966" s="307">
        <v>1.2278228769999999</v>
      </c>
      <c r="CZ1966" s="307">
        <v>1.2278228769999999</v>
      </c>
    </row>
    <row r="1967" spans="98:104">
      <c r="CT1967" s="366" t="s">
        <v>4558</v>
      </c>
      <c r="CU1967" s="307" t="s">
        <v>208</v>
      </c>
      <c r="CV1967" s="307" t="s">
        <v>4501</v>
      </c>
      <c r="CW1967" s="366" t="s">
        <v>171</v>
      </c>
      <c r="CX1967" s="307">
        <v>1.2236615470000001</v>
      </c>
      <c r="CY1967" s="307">
        <v>1.2236615470000001</v>
      </c>
      <c r="CZ1967" s="307">
        <v>1.2236615470000001</v>
      </c>
    </row>
    <row r="1968" spans="98:104">
      <c r="CT1968" s="366" t="s">
        <v>4559</v>
      </c>
      <c r="CU1968" s="307" t="s">
        <v>208</v>
      </c>
      <c r="CV1968" s="307" t="s">
        <v>4501</v>
      </c>
      <c r="CW1968" s="366" t="s">
        <v>46</v>
      </c>
      <c r="CX1968" s="307">
        <v>1.2190000000000001</v>
      </c>
      <c r="CY1968" s="307">
        <v>1.2190000000000001</v>
      </c>
      <c r="CZ1968" s="307">
        <v>1.2190000000000001</v>
      </c>
    </row>
    <row r="1969" spans="98:104">
      <c r="CT1969" s="366" t="s">
        <v>4560</v>
      </c>
      <c r="CU1969" s="307" t="s">
        <v>208</v>
      </c>
      <c r="CV1969" s="307" t="s">
        <v>4501</v>
      </c>
      <c r="CW1969" s="366" t="s">
        <v>47</v>
      </c>
      <c r="CX1969" s="307">
        <v>1.1599999999999999</v>
      </c>
      <c r="CY1969" s="307">
        <v>1.1599999999999999</v>
      </c>
      <c r="CZ1969" s="307">
        <v>1.1599999999999999</v>
      </c>
    </row>
    <row r="1970" spans="98:104">
      <c r="CT1970" s="366" t="s">
        <v>4561</v>
      </c>
      <c r="CU1970" s="307" t="s">
        <v>208</v>
      </c>
      <c r="CV1970" s="307" t="s">
        <v>4501</v>
      </c>
      <c r="CW1970" s="366" t="s">
        <v>48</v>
      </c>
      <c r="CX1970" s="307">
        <v>1.121</v>
      </c>
      <c r="CY1970" s="307">
        <v>1.121</v>
      </c>
      <c r="CZ1970" s="307">
        <v>1.121</v>
      </c>
    </row>
    <row r="1971" spans="98:104">
      <c r="CT1971" s="366" t="s">
        <v>4562</v>
      </c>
      <c r="CU1971" s="307" t="s">
        <v>208</v>
      </c>
      <c r="CV1971" s="307" t="s">
        <v>4563</v>
      </c>
      <c r="CW1971" s="366" t="s">
        <v>3</v>
      </c>
      <c r="CX1971" s="307">
        <v>-0.36999989999999999</v>
      </c>
      <c r="CY1971" s="307">
        <v>-0.36999989999999999</v>
      </c>
      <c r="CZ1971" s="307">
        <v>-0.36999989999999999</v>
      </c>
    </row>
    <row r="1972" spans="98:104">
      <c r="CT1972" s="366" t="s">
        <v>4564</v>
      </c>
      <c r="CU1972" s="307" t="s">
        <v>208</v>
      </c>
      <c r="CV1972" s="307" t="s">
        <v>4563</v>
      </c>
      <c r="CW1972" s="366" t="s">
        <v>4</v>
      </c>
      <c r="CX1972" s="307">
        <v>-0.37</v>
      </c>
      <c r="CY1972" s="307">
        <v>-0.37</v>
      </c>
      <c r="CZ1972" s="307">
        <v>-0.37</v>
      </c>
    </row>
    <row r="1973" spans="98:104">
      <c r="CT1973" s="366" t="s">
        <v>4565</v>
      </c>
      <c r="CU1973" s="307" t="s">
        <v>208</v>
      </c>
      <c r="CV1973" s="307" t="s">
        <v>4563</v>
      </c>
      <c r="CW1973" s="366" t="s">
        <v>23</v>
      </c>
      <c r="CX1973" s="307">
        <v>-0.37</v>
      </c>
      <c r="CY1973" s="307">
        <v>-0.37</v>
      </c>
      <c r="CZ1973" s="307">
        <v>-0.37</v>
      </c>
    </row>
    <row r="1974" spans="98:104">
      <c r="CT1974" s="366" t="s">
        <v>4566</v>
      </c>
      <c r="CU1974" s="307" t="s">
        <v>208</v>
      </c>
      <c r="CV1974" s="307" t="s">
        <v>4563</v>
      </c>
      <c r="CW1974" s="366" t="s">
        <v>5</v>
      </c>
      <c r="CX1974" s="307">
        <v>-0.15909999999999999</v>
      </c>
      <c r="CY1974" s="307">
        <v>-5.91E-2</v>
      </c>
      <c r="CZ1974" s="307">
        <v>-0.1091</v>
      </c>
    </row>
    <row r="1975" spans="98:104">
      <c r="CT1975" s="366" t="s">
        <v>4567</v>
      </c>
      <c r="CU1975" s="307" t="s">
        <v>208</v>
      </c>
      <c r="CV1975" s="307" t="s">
        <v>4563</v>
      </c>
      <c r="CW1975" s="366" t="s">
        <v>6</v>
      </c>
      <c r="CX1975" s="307">
        <v>-0.26390000000000002</v>
      </c>
      <c r="CY1975" s="307">
        <v>-0.16389999999999999</v>
      </c>
      <c r="CZ1975" s="307">
        <v>-0.21390000000000001</v>
      </c>
    </row>
    <row r="1976" spans="98:104">
      <c r="CT1976" s="366" t="s">
        <v>4568</v>
      </c>
      <c r="CU1976" s="307" t="s">
        <v>208</v>
      </c>
      <c r="CV1976" s="307" t="s">
        <v>4563</v>
      </c>
      <c r="CW1976" s="366" t="s">
        <v>24</v>
      </c>
      <c r="CX1976" s="307">
        <v>-0.28910000000000002</v>
      </c>
      <c r="CY1976" s="307">
        <v>-0.18909999999999999</v>
      </c>
      <c r="CZ1976" s="307">
        <v>-0.23910000000000001</v>
      </c>
    </row>
    <row r="1977" spans="98:104">
      <c r="CT1977" s="366" t="s">
        <v>4569</v>
      </c>
      <c r="CU1977" s="307" t="s">
        <v>208</v>
      </c>
      <c r="CV1977" s="307" t="s">
        <v>4563</v>
      </c>
      <c r="CW1977" s="366" t="s">
        <v>7</v>
      </c>
      <c r="CX1977" s="307">
        <v>-0.29620000000000002</v>
      </c>
      <c r="CY1977" s="307">
        <v>-0.2462</v>
      </c>
      <c r="CZ1977" s="307">
        <v>-0.2712</v>
      </c>
    </row>
    <row r="1978" spans="98:104">
      <c r="CT1978" s="366" t="s">
        <v>4570</v>
      </c>
      <c r="CU1978" s="307" t="s">
        <v>208</v>
      </c>
      <c r="CV1978" s="307" t="s">
        <v>4563</v>
      </c>
      <c r="CW1978" s="366" t="s">
        <v>8</v>
      </c>
      <c r="CX1978" s="307">
        <v>-0.318</v>
      </c>
      <c r="CY1978" s="307">
        <v>-0.26800000000000002</v>
      </c>
      <c r="CZ1978" s="307">
        <v>-0.29300000000000004</v>
      </c>
    </row>
    <row r="1979" spans="98:104">
      <c r="CT1979" s="366" t="s">
        <v>4571</v>
      </c>
      <c r="CU1979" s="307" t="s">
        <v>208</v>
      </c>
      <c r="CV1979" s="307" t="s">
        <v>4563</v>
      </c>
      <c r="CW1979" s="366" t="s">
        <v>25</v>
      </c>
      <c r="CX1979" s="307">
        <v>-0.32119999999999999</v>
      </c>
      <c r="CY1979" s="307">
        <v>-0.2712</v>
      </c>
      <c r="CZ1979" s="307">
        <v>-0.29620000000000002</v>
      </c>
    </row>
    <row r="1980" spans="98:104">
      <c r="CT1980" s="366" t="s">
        <v>4572</v>
      </c>
      <c r="CU1980" s="307" t="s">
        <v>208</v>
      </c>
      <c r="CV1980" s="307" t="s">
        <v>4563</v>
      </c>
      <c r="CW1980" s="366" t="s">
        <v>26</v>
      </c>
      <c r="CX1980" s="307">
        <v>-0.31969999999999998</v>
      </c>
      <c r="CY1980" s="307">
        <v>-0.2697</v>
      </c>
      <c r="CZ1980" s="307">
        <v>-0.29469999999999996</v>
      </c>
    </row>
    <row r="1981" spans="98:104">
      <c r="CT1981" s="366" t="s">
        <v>4573</v>
      </c>
      <c r="CU1981" s="307" t="s">
        <v>208</v>
      </c>
      <c r="CV1981" s="307" t="s">
        <v>4563</v>
      </c>
      <c r="CW1981" s="366" t="s">
        <v>27</v>
      </c>
      <c r="CX1981" s="307">
        <v>-0.31950000000000001</v>
      </c>
      <c r="CY1981" s="307">
        <v>-0.26950000000000002</v>
      </c>
      <c r="CZ1981" s="307">
        <v>-0.29449999999999998</v>
      </c>
    </row>
    <row r="1982" spans="98:104">
      <c r="CT1982" s="366" t="s">
        <v>4574</v>
      </c>
      <c r="CU1982" s="307" t="s">
        <v>208</v>
      </c>
      <c r="CV1982" s="307" t="s">
        <v>4563</v>
      </c>
      <c r="CW1982" s="366" t="s">
        <v>28</v>
      </c>
      <c r="CX1982" s="307">
        <v>-0.31730000000000003</v>
      </c>
      <c r="CY1982" s="307">
        <v>-0.26729999999999998</v>
      </c>
      <c r="CZ1982" s="307">
        <v>-0.2923</v>
      </c>
    </row>
    <row r="1983" spans="98:104">
      <c r="CT1983" s="366" t="s">
        <v>5120</v>
      </c>
      <c r="CU1983" s="307" t="s">
        <v>208</v>
      </c>
      <c r="CV1983" s="307" t="s">
        <v>4563</v>
      </c>
      <c r="CW1983" s="366" t="s">
        <v>5101</v>
      </c>
      <c r="CX1983" s="307">
        <v>-0.29020000000000001</v>
      </c>
      <c r="CY1983" s="307">
        <v>-0.29020000000000001</v>
      </c>
      <c r="CZ1983" s="307">
        <v>-0.29020000000000001</v>
      </c>
    </row>
    <row r="1984" spans="98:104">
      <c r="CT1984" s="366" t="s">
        <v>4575</v>
      </c>
      <c r="CU1984" s="307" t="s">
        <v>208</v>
      </c>
      <c r="CV1984" s="307" t="s">
        <v>4563</v>
      </c>
      <c r="CW1984" s="366" t="s">
        <v>29</v>
      </c>
      <c r="CX1984" s="307">
        <v>-0.31519999999999998</v>
      </c>
      <c r="CY1984" s="307">
        <v>-0.26519999999999999</v>
      </c>
      <c r="CZ1984" s="307">
        <v>-0.29020000000000001</v>
      </c>
    </row>
    <row r="1985" spans="98:104">
      <c r="CT1985" s="366" t="s">
        <v>4576</v>
      </c>
      <c r="CU1985" s="307" t="s">
        <v>208</v>
      </c>
      <c r="CV1985" s="307" t="s">
        <v>4563</v>
      </c>
      <c r="CW1985" s="366" t="s">
        <v>30</v>
      </c>
      <c r="CX1985" s="307">
        <v>-0.31209999999999999</v>
      </c>
      <c r="CY1985" s="307">
        <v>-0.2621</v>
      </c>
      <c r="CZ1985" s="307">
        <v>-0.28710000000000002</v>
      </c>
    </row>
    <row r="1986" spans="98:104">
      <c r="CT1986" s="366" t="s">
        <v>4577</v>
      </c>
      <c r="CU1986" s="307" t="s">
        <v>208</v>
      </c>
      <c r="CV1986" s="307" t="s">
        <v>4563</v>
      </c>
      <c r="CW1986" s="366" t="s">
        <v>49</v>
      </c>
      <c r="CX1986" s="307">
        <v>-0.30980000000000002</v>
      </c>
      <c r="CY1986" s="307">
        <v>-0.25979999999999998</v>
      </c>
      <c r="CZ1986" s="307">
        <v>-0.2848</v>
      </c>
    </row>
    <row r="1987" spans="98:104">
      <c r="CT1987" s="366" t="s">
        <v>4579</v>
      </c>
      <c r="CU1987" s="307" t="s">
        <v>208</v>
      </c>
      <c r="CV1987" s="307" t="s">
        <v>4563</v>
      </c>
      <c r="CW1987" s="366" t="s">
        <v>1066</v>
      </c>
      <c r="CX1987" s="307">
        <v>100.27500000000001</v>
      </c>
      <c r="CY1987" s="307">
        <v>100.28</v>
      </c>
      <c r="CZ1987" s="307">
        <v>100.2775</v>
      </c>
    </row>
    <row r="1988" spans="98:104">
      <c r="CT1988" s="366" t="s">
        <v>4578</v>
      </c>
      <c r="CU1988" s="307" t="s">
        <v>208</v>
      </c>
      <c r="CV1988" s="307" t="s">
        <v>4563</v>
      </c>
      <c r="CW1988" s="366" t="s">
        <v>56</v>
      </c>
      <c r="CX1988" s="307">
        <v>-0.292675291</v>
      </c>
      <c r="CY1988" s="307">
        <v>-0.292675291</v>
      </c>
      <c r="CZ1988" s="307">
        <v>-0.292675291</v>
      </c>
    </row>
    <row r="1989" spans="98:104">
      <c r="CT1989" s="366" t="s">
        <v>4580</v>
      </c>
      <c r="CU1989" s="307" t="s">
        <v>208</v>
      </c>
      <c r="CV1989" s="307" t="s">
        <v>4563</v>
      </c>
      <c r="CW1989" s="366" t="s">
        <v>1069</v>
      </c>
      <c r="CX1989" s="307">
        <v>100.255</v>
      </c>
      <c r="CY1989" s="307">
        <v>100.26</v>
      </c>
      <c r="CZ1989" s="307">
        <v>100.25749999999999</v>
      </c>
    </row>
    <row r="1990" spans="98:104">
      <c r="CT1990" s="366" t="s">
        <v>4581</v>
      </c>
      <c r="CU1990" s="307" t="s">
        <v>208</v>
      </c>
      <c r="CV1990" s="307" t="s">
        <v>4563</v>
      </c>
      <c r="CW1990" s="366" t="s">
        <v>3865</v>
      </c>
      <c r="CX1990" s="307">
        <v>100.24</v>
      </c>
      <c r="CY1990" s="307">
        <v>100.245</v>
      </c>
      <c r="CZ1990" s="307">
        <v>100.24250000000001</v>
      </c>
    </row>
    <row r="1991" spans="98:104">
      <c r="CT1991" s="366" t="s">
        <v>4583</v>
      </c>
      <c r="CU1991" s="307" t="s">
        <v>208</v>
      </c>
      <c r="CV1991" s="307" t="s">
        <v>4563</v>
      </c>
      <c r="CW1991" s="366" t="s">
        <v>3866</v>
      </c>
      <c r="CX1991" s="307">
        <v>100.215</v>
      </c>
      <c r="CY1991" s="307">
        <v>100.22</v>
      </c>
      <c r="CZ1991" s="307">
        <v>100.2175</v>
      </c>
    </row>
    <row r="1992" spans="98:104">
      <c r="CT1992" s="366" t="s">
        <v>5077</v>
      </c>
      <c r="CU1992" s="307" t="s">
        <v>208</v>
      </c>
      <c r="CV1992" s="307" t="s">
        <v>4563</v>
      </c>
      <c r="CW1992" s="366" t="s">
        <v>3889</v>
      </c>
      <c r="CX1992" s="307">
        <v>100.185</v>
      </c>
      <c r="CY1992" s="307">
        <v>100.19</v>
      </c>
      <c r="CZ1992" s="307">
        <v>100.1875</v>
      </c>
    </row>
    <row r="1993" spans="98:104">
      <c r="CT1993" s="366" t="s">
        <v>4582</v>
      </c>
      <c r="CU1993" s="307" t="s">
        <v>208</v>
      </c>
      <c r="CV1993" s="307" t="s">
        <v>4563</v>
      </c>
      <c r="CW1993" s="366" t="s">
        <v>9</v>
      </c>
      <c r="CX1993" s="307">
        <v>-0.25204313699999997</v>
      </c>
      <c r="CY1993" s="307">
        <v>-0.25204313699999997</v>
      </c>
      <c r="CZ1993" s="307">
        <v>-0.25204313699999997</v>
      </c>
    </row>
    <row r="1994" spans="98:104">
      <c r="CT1994" s="366" t="s">
        <v>5121</v>
      </c>
      <c r="CU1994" s="307" t="s">
        <v>208</v>
      </c>
      <c r="CV1994" s="307" t="s">
        <v>4563</v>
      </c>
      <c r="CW1994" s="366" t="s">
        <v>3890</v>
      </c>
      <c r="CX1994" s="307">
        <v>100.15</v>
      </c>
      <c r="CY1994" s="307">
        <v>100.155</v>
      </c>
      <c r="CZ1994" s="307">
        <v>100.1525</v>
      </c>
    </row>
    <row r="1995" spans="98:104">
      <c r="CT1995" s="366" t="s">
        <v>4584</v>
      </c>
      <c r="CU1995" s="307" t="s">
        <v>208</v>
      </c>
      <c r="CV1995" s="307" t="s">
        <v>4563</v>
      </c>
      <c r="CW1995" s="366" t="s">
        <v>10</v>
      </c>
      <c r="CX1995" s="307">
        <v>-0.186</v>
      </c>
      <c r="CY1995" s="307">
        <v>-0.186</v>
      </c>
      <c r="CZ1995" s="307">
        <v>-0.186</v>
      </c>
    </row>
    <row r="1996" spans="98:104">
      <c r="CT1996" s="366" t="s">
        <v>4585</v>
      </c>
      <c r="CU1996" s="307" t="s">
        <v>208</v>
      </c>
      <c r="CV1996" s="307" t="s">
        <v>4563</v>
      </c>
      <c r="CW1996" s="366" t="s">
        <v>11</v>
      </c>
      <c r="CX1996" s="307">
        <v>-0.105</v>
      </c>
      <c r="CY1996" s="307">
        <v>-0.105</v>
      </c>
      <c r="CZ1996" s="307">
        <v>-0.105</v>
      </c>
    </row>
    <row r="1997" spans="98:104">
      <c r="CT1997" s="366" t="s">
        <v>4586</v>
      </c>
      <c r="CU1997" s="307" t="s">
        <v>208</v>
      </c>
      <c r="CV1997" s="307" t="s">
        <v>4563</v>
      </c>
      <c r="CW1997" s="366" t="s">
        <v>12</v>
      </c>
      <c r="CX1997" s="307">
        <v>-6.0000000000000001E-3</v>
      </c>
      <c r="CY1997" s="307">
        <v>-6.0000000000000001E-3</v>
      </c>
      <c r="CZ1997" s="307">
        <v>-6.0000000000000001E-3</v>
      </c>
    </row>
    <row r="1998" spans="98:104">
      <c r="CT1998" s="366" t="s">
        <v>4587</v>
      </c>
      <c r="CU1998" s="307" t="s">
        <v>208</v>
      </c>
      <c r="CV1998" s="307" t="s">
        <v>4563</v>
      </c>
      <c r="CW1998" s="366" t="s">
        <v>13</v>
      </c>
      <c r="CX1998" s="307">
        <v>0.10299999999999999</v>
      </c>
      <c r="CY1998" s="307">
        <v>0.10299999999999999</v>
      </c>
      <c r="CZ1998" s="307">
        <v>0.10299999999999999</v>
      </c>
    </row>
    <row r="1999" spans="98:104">
      <c r="CT1999" s="366" t="s">
        <v>4588</v>
      </c>
      <c r="CU1999" s="307" t="s">
        <v>208</v>
      </c>
      <c r="CV1999" s="307" t="s">
        <v>4563</v>
      </c>
      <c r="CW1999" s="366" t="s">
        <v>14</v>
      </c>
      <c r="CX1999" s="307">
        <v>0.218</v>
      </c>
      <c r="CY1999" s="307">
        <v>0.218</v>
      </c>
      <c r="CZ1999" s="307">
        <v>0.218</v>
      </c>
    </row>
    <row r="2000" spans="98:104">
      <c r="CT2000" s="366" t="s">
        <v>4589</v>
      </c>
      <c r="CU2000" s="307" t="s">
        <v>208</v>
      </c>
      <c r="CV2000" s="307" t="s">
        <v>4563</v>
      </c>
      <c r="CW2000" s="366" t="s">
        <v>15</v>
      </c>
      <c r="CX2000" s="307">
        <v>0.33400000000000002</v>
      </c>
      <c r="CY2000" s="307">
        <v>0.33400000000000002</v>
      </c>
      <c r="CZ2000" s="307">
        <v>0.33400000000000002</v>
      </c>
    </row>
    <row r="2001" spans="98:104">
      <c r="CT2001" s="366" t="s">
        <v>4590</v>
      </c>
      <c r="CU2001" s="307" t="s">
        <v>208</v>
      </c>
      <c r="CV2001" s="307" t="s">
        <v>4563</v>
      </c>
      <c r="CW2001" s="366" t="s">
        <v>16</v>
      </c>
      <c r="CX2001" s="307">
        <v>0.44600000000000001</v>
      </c>
      <c r="CY2001" s="307">
        <v>0.44600000000000001</v>
      </c>
      <c r="CZ2001" s="307">
        <v>0.44600000000000001</v>
      </c>
    </row>
    <row r="2002" spans="98:104">
      <c r="CT2002" s="366" t="s">
        <v>4591</v>
      </c>
      <c r="CU2002" s="307" t="s">
        <v>208</v>
      </c>
      <c r="CV2002" s="307" t="s">
        <v>4563</v>
      </c>
      <c r="CW2002" s="366" t="s">
        <v>17</v>
      </c>
      <c r="CX2002" s="307">
        <v>0.55000000000000004</v>
      </c>
      <c r="CY2002" s="307">
        <v>0.55000000000000004</v>
      </c>
      <c r="CZ2002" s="307">
        <v>0.55000000000000004</v>
      </c>
    </row>
    <row r="2003" spans="98:104">
      <c r="CT2003" s="366" t="s">
        <v>4592</v>
      </c>
      <c r="CU2003" s="307" t="s">
        <v>208</v>
      </c>
      <c r="CV2003" s="307" t="s">
        <v>4563</v>
      </c>
      <c r="CW2003" s="366" t="s">
        <v>31</v>
      </c>
      <c r="CX2003" s="307">
        <v>0.643502405</v>
      </c>
      <c r="CY2003" s="307">
        <v>0.643502405</v>
      </c>
      <c r="CZ2003" s="307">
        <v>0.643502405</v>
      </c>
    </row>
    <row r="2004" spans="98:104">
      <c r="CT2004" s="366" t="s">
        <v>4593</v>
      </c>
      <c r="CU2004" s="307" t="s">
        <v>208</v>
      </c>
      <c r="CV2004" s="307" t="s">
        <v>4563</v>
      </c>
      <c r="CW2004" s="366" t="s">
        <v>18</v>
      </c>
      <c r="CX2004" s="307">
        <v>0.72699999999999998</v>
      </c>
      <c r="CY2004" s="307">
        <v>0.72699999999999998</v>
      </c>
      <c r="CZ2004" s="307">
        <v>0.72699999999999998</v>
      </c>
    </row>
    <row r="2005" spans="98:104">
      <c r="CT2005" s="366" t="s">
        <v>4594</v>
      </c>
      <c r="CU2005" s="307" t="s">
        <v>208</v>
      </c>
      <c r="CV2005" s="307" t="s">
        <v>4563</v>
      </c>
      <c r="CW2005" s="366" t="s">
        <v>32</v>
      </c>
      <c r="CX2005" s="307">
        <v>0.79949402999999997</v>
      </c>
      <c r="CY2005" s="307">
        <v>0.79949402999999997</v>
      </c>
      <c r="CZ2005" s="307">
        <v>0.79949402999999997</v>
      </c>
    </row>
    <row r="2006" spans="98:104">
      <c r="CT2006" s="366" t="s">
        <v>4595</v>
      </c>
      <c r="CU2006" s="307" t="s">
        <v>208</v>
      </c>
      <c r="CV2006" s="307" t="s">
        <v>4563</v>
      </c>
      <c r="CW2006" s="366" t="s">
        <v>33</v>
      </c>
      <c r="CX2006" s="307">
        <v>0.861635971</v>
      </c>
      <c r="CY2006" s="307">
        <v>0.861635971</v>
      </c>
      <c r="CZ2006" s="307">
        <v>0.861635971</v>
      </c>
    </row>
    <row r="2007" spans="98:104">
      <c r="CT2007" s="366" t="s">
        <v>4596</v>
      </c>
      <c r="CU2007" s="307" t="s">
        <v>208</v>
      </c>
      <c r="CV2007" s="307" t="s">
        <v>4563</v>
      </c>
      <c r="CW2007" s="366" t="s">
        <v>19</v>
      </c>
      <c r="CX2007" s="307">
        <v>0.91400000000000003</v>
      </c>
      <c r="CY2007" s="307">
        <v>0.91400000000000003</v>
      </c>
      <c r="CZ2007" s="307">
        <v>0.91400000000000003</v>
      </c>
    </row>
    <row r="2008" spans="98:104">
      <c r="CT2008" s="366" t="s">
        <v>4597</v>
      </c>
      <c r="CU2008" s="307" t="s">
        <v>208</v>
      </c>
      <c r="CV2008" s="307" t="s">
        <v>4563</v>
      </c>
      <c r="CW2008" s="366" t="s">
        <v>34</v>
      </c>
      <c r="CX2008" s="307">
        <v>0.95762430300000001</v>
      </c>
      <c r="CY2008" s="307">
        <v>0.95762430300000001</v>
      </c>
      <c r="CZ2008" s="307">
        <v>0.95762430300000001</v>
      </c>
    </row>
    <row r="2009" spans="98:104">
      <c r="CT2009" s="366" t="s">
        <v>4598</v>
      </c>
      <c r="CU2009" s="307" t="s">
        <v>208</v>
      </c>
      <c r="CV2009" s="307" t="s">
        <v>4563</v>
      </c>
      <c r="CW2009" s="366" t="s">
        <v>35</v>
      </c>
      <c r="CX2009" s="307">
        <v>0.99299166500000002</v>
      </c>
      <c r="CY2009" s="307">
        <v>0.99299166500000002</v>
      </c>
      <c r="CZ2009" s="307">
        <v>0.99299166500000002</v>
      </c>
    </row>
    <row r="2010" spans="98:104">
      <c r="CT2010" s="366" t="s">
        <v>4599</v>
      </c>
      <c r="CU2010" s="307" t="s">
        <v>208</v>
      </c>
      <c r="CV2010" s="307" t="s">
        <v>4563</v>
      </c>
      <c r="CW2010" s="366" t="s">
        <v>36</v>
      </c>
      <c r="CX2010" s="307">
        <v>1.021926723</v>
      </c>
      <c r="CY2010" s="307">
        <v>1.021926723</v>
      </c>
      <c r="CZ2010" s="307">
        <v>1.021926723</v>
      </c>
    </row>
    <row r="2011" spans="98:104">
      <c r="CT2011" s="366" t="s">
        <v>4600</v>
      </c>
      <c r="CU2011" s="307" t="s">
        <v>208</v>
      </c>
      <c r="CV2011" s="307" t="s">
        <v>4563</v>
      </c>
      <c r="CW2011" s="366" t="s">
        <v>37</v>
      </c>
      <c r="CX2011" s="307">
        <v>1.0452838390000001</v>
      </c>
      <c r="CY2011" s="307">
        <v>1.0452838390000001</v>
      </c>
      <c r="CZ2011" s="307">
        <v>1.0452838390000001</v>
      </c>
    </row>
    <row r="2012" spans="98:104">
      <c r="CT2012" s="366" t="s">
        <v>4601</v>
      </c>
      <c r="CU2012" s="307" t="s">
        <v>208</v>
      </c>
      <c r="CV2012" s="307" t="s">
        <v>4563</v>
      </c>
      <c r="CW2012" s="366" t="s">
        <v>20</v>
      </c>
      <c r="CX2012" s="307">
        <v>1.0640000000000001</v>
      </c>
      <c r="CY2012" s="307">
        <v>1.0640000000000001</v>
      </c>
      <c r="CZ2012" s="307">
        <v>1.0640000000000001</v>
      </c>
    </row>
    <row r="2013" spans="98:104">
      <c r="CT2013" s="366" t="s">
        <v>4602</v>
      </c>
      <c r="CU2013" s="307" t="s">
        <v>208</v>
      </c>
      <c r="CV2013" s="307" t="s">
        <v>4563</v>
      </c>
      <c r="CW2013" s="366" t="s">
        <v>38</v>
      </c>
      <c r="CX2013" s="307">
        <v>1.0784790829999999</v>
      </c>
      <c r="CY2013" s="307">
        <v>1.0784790829999999</v>
      </c>
      <c r="CZ2013" s="307">
        <v>1.0784790829999999</v>
      </c>
    </row>
    <row r="2014" spans="98:104">
      <c r="CT2014" s="366" t="s">
        <v>4603</v>
      </c>
      <c r="CU2014" s="307" t="s">
        <v>208</v>
      </c>
      <c r="CV2014" s="307" t="s">
        <v>4563</v>
      </c>
      <c r="CW2014" s="366" t="s">
        <v>39</v>
      </c>
      <c r="CX2014" s="307">
        <v>1.0896088500000001</v>
      </c>
      <c r="CY2014" s="307">
        <v>1.0896088500000001</v>
      </c>
      <c r="CZ2014" s="307">
        <v>1.0896088500000001</v>
      </c>
    </row>
    <row r="2015" spans="98:104">
      <c r="CT2015" s="366" t="s">
        <v>4604</v>
      </c>
      <c r="CU2015" s="307" t="s">
        <v>208</v>
      </c>
      <c r="CV2015" s="307" t="s">
        <v>4563</v>
      </c>
      <c r="CW2015" s="366" t="s">
        <v>40</v>
      </c>
      <c r="CX2015" s="307">
        <v>1.0983026760000001</v>
      </c>
      <c r="CY2015" s="307">
        <v>1.0983026760000001</v>
      </c>
      <c r="CZ2015" s="307">
        <v>1.0983026760000001</v>
      </c>
    </row>
    <row r="2016" spans="98:104">
      <c r="CT2016" s="366" t="s">
        <v>4605</v>
      </c>
      <c r="CU2016" s="307" t="s">
        <v>208</v>
      </c>
      <c r="CV2016" s="307" t="s">
        <v>4563</v>
      </c>
      <c r="CW2016" s="366" t="s">
        <v>41</v>
      </c>
      <c r="CX2016" s="307">
        <v>1.1053466919999999</v>
      </c>
      <c r="CY2016" s="307">
        <v>1.1053466919999999</v>
      </c>
      <c r="CZ2016" s="307">
        <v>1.1053466919999999</v>
      </c>
    </row>
    <row r="2017" spans="98:104">
      <c r="CT2017" s="366" t="s">
        <v>4606</v>
      </c>
      <c r="CU2017" s="307" t="s">
        <v>208</v>
      </c>
      <c r="CV2017" s="307" t="s">
        <v>4563</v>
      </c>
      <c r="CW2017" s="366" t="s">
        <v>21</v>
      </c>
      <c r="CX2017" s="307">
        <v>1.111</v>
      </c>
      <c r="CY2017" s="307">
        <v>1.111</v>
      </c>
      <c r="CZ2017" s="307">
        <v>1.111</v>
      </c>
    </row>
    <row r="2018" spans="98:104">
      <c r="CT2018" s="366" t="s">
        <v>4607</v>
      </c>
      <c r="CU2018" s="307" t="s">
        <v>208</v>
      </c>
      <c r="CV2018" s="307" t="s">
        <v>4563</v>
      </c>
      <c r="CW2018" s="366" t="s">
        <v>42</v>
      </c>
      <c r="CX2018" s="307">
        <v>1.115800203</v>
      </c>
      <c r="CY2018" s="307">
        <v>1.115800203</v>
      </c>
      <c r="CZ2018" s="307">
        <v>1.115800203</v>
      </c>
    </row>
    <row r="2019" spans="98:104">
      <c r="CT2019" s="366" t="s">
        <v>4608</v>
      </c>
      <c r="CU2019" s="307" t="s">
        <v>208</v>
      </c>
      <c r="CV2019" s="307" t="s">
        <v>4563</v>
      </c>
      <c r="CW2019" s="366" t="s">
        <v>43</v>
      </c>
      <c r="CX2019" s="307">
        <v>1.1199252070000001</v>
      </c>
      <c r="CY2019" s="307">
        <v>1.1199252070000001</v>
      </c>
      <c r="CZ2019" s="307">
        <v>1.1199252070000001</v>
      </c>
    </row>
    <row r="2020" spans="98:104">
      <c r="CT2020" s="366" t="s">
        <v>4609</v>
      </c>
      <c r="CU2020" s="307" t="s">
        <v>208</v>
      </c>
      <c r="CV2020" s="307" t="s">
        <v>4563</v>
      </c>
      <c r="CW2020" s="366" t="s">
        <v>44</v>
      </c>
      <c r="CX2020" s="307">
        <v>1.1235090000000001</v>
      </c>
      <c r="CY2020" s="307">
        <v>1.1235090000000001</v>
      </c>
      <c r="CZ2020" s="307">
        <v>1.1235090000000001</v>
      </c>
    </row>
    <row r="2021" spans="98:104">
      <c r="CT2021" s="366" t="s">
        <v>4610</v>
      </c>
      <c r="CU2021" s="307" t="s">
        <v>208</v>
      </c>
      <c r="CV2021" s="307" t="s">
        <v>4563</v>
      </c>
      <c r="CW2021" s="366" t="s">
        <v>45</v>
      </c>
      <c r="CX2021" s="307">
        <v>1.1264828730000001</v>
      </c>
      <c r="CY2021" s="307">
        <v>1.1264828730000001</v>
      </c>
      <c r="CZ2021" s="307">
        <v>1.1264828730000001</v>
      </c>
    </row>
    <row r="2022" spans="98:104">
      <c r="CT2022" s="366" t="s">
        <v>4611</v>
      </c>
      <c r="CU2022" s="307" t="s">
        <v>208</v>
      </c>
      <c r="CV2022" s="307" t="s">
        <v>4563</v>
      </c>
      <c r="CW2022" s="366" t="s">
        <v>22</v>
      </c>
      <c r="CX2022" s="307">
        <v>1.129</v>
      </c>
      <c r="CY2022" s="307">
        <v>1.129</v>
      </c>
      <c r="CZ2022" s="307">
        <v>1.129</v>
      </c>
    </row>
    <row r="2023" spans="98:104">
      <c r="CT2023" s="366" t="s">
        <v>4612</v>
      </c>
      <c r="CU2023" s="307" t="s">
        <v>208</v>
      </c>
      <c r="CV2023" s="307" t="s">
        <v>4563</v>
      </c>
      <c r="CW2023" s="366" t="s">
        <v>163</v>
      </c>
      <c r="CX2023" s="307">
        <v>1.1311017670000001</v>
      </c>
      <c r="CY2023" s="307">
        <v>1.1311017670000001</v>
      </c>
      <c r="CZ2023" s="307">
        <v>1.1311017670000001</v>
      </c>
    </row>
    <row r="2024" spans="98:104">
      <c r="CT2024" s="366" t="s">
        <v>4613</v>
      </c>
      <c r="CU2024" s="307" t="s">
        <v>208</v>
      </c>
      <c r="CV2024" s="307" t="s">
        <v>4563</v>
      </c>
      <c r="CW2024" s="366" t="s">
        <v>164</v>
      </c>
      <c r="CX2024" s="307">
        <v>1.1328466909999999</v>
      </c>
      <c r="CY2024" s="307">
        <v>1.1328466909999999</v>
      </c>
      <c r="CZ2024" s="307">
        <v>1.1328466909999999</v>
      </c>
    </row>
    <row r="2025" spans="98:104">
      <c r="CT2025" s="366" t="s">
        <v>4614</v>
      </c>
      <c r="CU2025" s="307" t="s">
        <v>208</v>
      </c>
      <c r="CV2025" s="307" t="s">
        <v>4563</v>
      </c>
      <c r="CW2025" s="366" t="s">
        <v>165</v>
      </c>
      <c r="CX2025" s="307">
        <v>1.1340052469999999</v>
      </c>
      <c r="CY2025" s="307">
        <v>1.1340052469999999</v>
      </c>
      <c r="CZ2025" s="307">
        <v>1.1340052469999999</v>
      </c>
    </row>
    <row r="2026" spans="98:104">
      <c r="CT2026" s="366" t="s">
        <v>4615</v>
      </c>
      <c r="CU2026" s="307" t="s">
        <v>208</v>
      </c>
      <c r="CV2026" s="307" t="s">
        <v>4563</v>
      </c>
      <c r="CW2026" s="366" t="s">
        <v>166</v>
      </c>
      <c r="CX2026" s="307">
        <v>1.134640791</v>
      </c>
      <c r="CY2026" s="307">
        <v>1.134640791</v>
      </c>
      <c r="CZ2026" s="307">
        <v>1.134640791</v>
      </c>
    </row>
    <row r="2027" spans="98:104">
      <c r="CT2027" s="366" t="s">
        <v>4616</v>
      </c>
      <c r="CU2027" s="307" t="s">
        <v>208</v>
      </c>
      <c r="CV2027" s="307" t="s">
        <v>4563</v>
      </c>
      <c r="CW2027" s="366" t="s">
        <v>167</v>
      </c>
      <c r="CX2027" s="307">
        <v>1.1347206299999999</v>
      </c>
      <c r="CY2027" s="307">
        <v>1.1347206299999999</v>
      </c>
      <c r="CZ2027" s="307">
        <v>1.1347206299999999</v>
      </c>
    </row>
    <row r="2028" spans="98:104">
      <c r="CT2028" s="366" t="s">
        <v>4617</v>
      </c>
      <c r="CU2028" s="307" t="s">
        <v>208</v>
      </c>
      <c r="CV2028" s="307" t="s">
        <v>4563</v>
      </c>
      <c r="CW2028" s="366" t="s">
        <v>168</v>
      </c>
      <c r="CX2028" s="307">
        <v>1.1342818990000001</v>
      </c>
      <c r="CY2028" s="307">
        <v>1.1342818990000001</v>
      </c>
      <c r="CZ2028" s="307">
        <v>1.1342818990000001</v>
      </c>
    </row>
    <row r="2029" spans="98:104">
      <c r="CT2029" s="366" t="s">
        <v>4618</v>
      </c>
      <c r="CU2029" s="307" t="s">
        <v>208</v>
      </c>
      <c r="CV2029" s="307" t="s">
        <v>4563</v>
      </c>
      <c r="CW2029" s="366" t="s">
        <v>169</v>
      </c>
      <c r="CX2029" s="307">
        <v>1.133163739</v>
      </c>
      <c r="CY2029" s="307">
        <v>1.133163739</v>
      </c>
      <c r="CZ2029" s="307">
        <v>1.133163739</v>
      </c>
    </row>
    <row r="2030" spans="98:104">
      <c r="CT2030" s="366" t="s">
        <v>4619</v>
      </c>
      <c r="CU2030" s="307" t="s">
        <v>208</v>
      </c>
      <c r="CV2030" s="307" t="s">
        <v>4563</v>
      </c>
      <c r="CW2030" s="366" t="s">
        <v>170</v>
      </c>
      <c r="CX2030" s="307">
        <v>1.131402155</v>
      </c>
      <c r="CY2030" s="307">
        <v>1.131402155</v>
      </c>
      <c r="CZ2030" s="307">
        <v>1.131402155</v>
      </c>
    </row>
    <row r="2031" spans="98:104">
      <c r="CT2031" s="366" t="s">
        <v>4620</v>
      </c>
      <c r="CU2031" s="307" t="s">
        <v>208</v>
      </c>
      <c r="CV2031" s="307" t="s">
        <v>4563</v>
      </c>
      <c r="CW2031" s="366" t="s">
        <v>171</v>
      </c>
      <c r="CX2031" s="307">
        <v>1.129007426</v>
      </c>
      <c r="CY2031" s="307">
        <v>1.129007426</v>
      </c>
      <c r="CZ2031" s="307">
        <v>1.129007426</v>
      </c>
    </row>
    <row r="2032" spans="98:104">
      <c r="CT2032" s="366" t="s">
        <v>4621</v>
      </c>
      <c r="CU2032" s="307" t="s">
        <v>208</v>
      </c>
      <c r="CV2032" s="307" t="s">
        <v>4563</v>
      </c>
      <c r="CW2032" s="366" t="s">
        <v>46</v>
      </c>
      <c r="CX2032" s="307">
        <v>1.1259999999999999</v>
      </c>
      <c r="CY2032" s="307">
        <v>1.1259999999999999</v>
      </c>
      <c r="CZ2032" s="307">
        <v>1.1259999999999999</v>
      </c>
    </row>
    <row r="2033" spans="98:104">
      <c r="CT2033" s="366" t="s">
        <v>4622</v>
      </c>
      <c r="CU2033" s="307" t="s">
        <v>208</v>
      </c>
      <c r="CV2033" s="307" t="s">
        <v>4563</v>
      </c>
      <c r="CW2033" s="366" t="s">
        <v>47</v>
      </c>
      <c r="CX2033" s="307">
        <v>1.079</v>
      </c>
      <c r="CY2033" s="307">
        <v>1.079</v>
      </c>
      <c r="CZ2033" s="307">
        <v>1.079</v>
      </c>
    </row>
    <row r="2034" spans="98:104">
      <c r="CT2034" s="366" t="s">
        <v>4623</v>
      </c>
      <c r="CU2034" s="307" t="s">
        <v>208</v>
      </c>
      <c r="CV2034" s="307" t="s">
        <v>4563</v>
      </c>
      <c r="CW2034" s="366" t="s">
        <v>48</v>
      </c>
      <c r="CX2034" s="307">
        <v>1.048</v>
      </c>
      <c r="CY2034" s="307">
        <v>1.048</v>
      </c>
      <c r="CZ2034" s="307">
        <v>1.048</v>
      </c>
    </row>
    <row r="2035" spans="98:104">
      <c r="CT2035" s="366" t="s">
        <v>4624</v>
      </c>
      <c r="CU2035" s="307" t="s">
        <v>208</v>
      </c>
      <c r="CV2035" s="307" t="s">
        <v>4625</v>
      </c>
      <c r="CW2035" s="366" t="s">
        <v>3</v>
      </c>
      <c r="CX2035" s="307">
        <v>-0.36999989999999999</v>
      </c>
      <c r="CY2035" s="307">
        <v>-0.36999989999999999</v>
      </c>
      <c r="CZ2035" s="307">
        <v>-0.36999989999999999</v>
      </c>
    </row>
    <row r="2036" spans="98:104">
      <c r="CT2036" s="366" t="s">
        <v>4626</v>
      </c>
      <c r="CU2036" s="307" t="s">
        <v>208</v>
      </c>
      <c r="CV2036" s="307" t="s">
        <v>4625</v>
      </c>
      <c r="CW2036" s="366" t="s">
        <v>4</v>
      </c>
      <c r="CX2036" s="307">
        <v>-0.37</v>
      </c>
      <c r="CY2036" s="307">
        <v>-0.37</v>
      </c>
      <c r="CZ2036" s="307">
        <v>-0.37</v>
      </c>
    </row>
    <row r="2037" spans="98:104">
      <c r="CT2037" s="366" t="s">
        <v>4627</v>
      </c>
      <c r="CU2037" s="307" t="s">
        <v>208</v>
      </c>
      <c r="CV2037" s="307" t="s">
        <v>4625</v>
      </c>
      <c r="CW2037" s="366" t="s">
        <v>23</v>
      </c>
      <c r="CX2037" s="307">
        <v>-0.37</v>
      </c>
      <c r="CY2037" s="307">
        <v>-0.37</v>
      </c>
      <c r="CZ2037" s="307">
        <v>-0.37</v>
      </c>
    </row>
    <row r="2038" spans="98:104">
      <c r="CT2038" s="366" t="s">
        <v>4628</v>
      </c>
      <c r="CU2038" s="307" t="s">
        <v>208</v>
      </c>
      <c r="CV2038" s="307" t="s">
        <v>4625</v>
      </c>
      <c r="CW2038" s="366" t="s">
        <v>5</v>
      </c>
      <c r="CX2038" s="307">
        <v>-0.39900000000000002</v>
      </c>
      <c r="CY2038" s="307">
        <v>-0.29899999999999999</v>
      </c>
      <c r="CZ2038" s="307">
        <v>-0.34899999999999998</v>
      </c>
    </row>
    <row r="2039" spans="98:104">
      <c r="CT2039" s="366" t="s">
        <v>4629</v>
      </c>
      <c r="CU2039" s="307" t="s">
        <v>208</v>
      </c>
      <c r="CV2039" s="307" t="s">
        <v>4625</v>
      </c>
      <c r="CW2039" s="366" t="s">
        <v>6</v>
      </c>
      <c r="CX2039" s="307">
        <v>-0.36620000000000003</v>
      </c>
      <c r="CY2039" s="307">
        <v>-0.26619999999999999</v>
      </c>
      <c r="CZ2039" s="307">
        <v>-0.31620000000000004</v>
      </c>
    </row>
    <row r="2040" spans="98:104">
      <c r="CT2040" s="366" t="s">
        <v>4630</v>
      </c>
      <c r="CU2040" s="307" t="s">
        <v>208</v>
      </c>
      <c r="CV2040" s="307" t="s">
        <v>4625</v>
      </c>
      <c r="CW2040" s="366" t="s">
        <v>24</v>
      </c>
      <c r="CX2040" s="307">
        <v>-0.24579999999999999</v>
      </c>
      <c r="CY2040" s="307">
        <v>-0.14580000000000001</v>
      </c>
      <c r="CZ2040" s="307">
        <v>-0.1958</v>
      </c>
    </row>
    <row r="2041" spans="98:104">
      <c r="CT2041" s="366" t="s">
        <v>4631</v>
      </c>
      <c r="CU2041" s="307" t="s">
        <v>208</v>
      </c>
      <c r="CV2041" s="307" t="s">
        <v>4625</v>
      </c>
      <c r="CW2041" s="366" t="s">
        <v>7</v>
      </c>
      <c r="CX2041" s="307">
        <v>-6.5699999999999995E-2</v>
      </c>
      <c r="CY2041" s="307">
        <v>-1.5699999999999999E-2</v>
      </c>
      <c r="CZ2041" s="307">
        <v>-4.07E-2</v>
      </c>
    </row>
    <row r="2042" spans="98:104">
      <c r="CT2042" s="366" t="s">
        <v>4632</v>
      </c>
      <c r="CU2042" s="307" t="s">
        <v>208</v>
      </c>
      <c r="CV2042" s="307" t="s">
        <v>4625</v>
      </c>
      <c r="CW2042" s="366" t="s">
        <v>8</v>
      </c>
      <c r="CX2042" s="307">
        <v>-0.15540000000000001</v>
      </c>
      <c r="CY2042" s="307">
        <v>-0.10539999999999999</v>
      </c>
      <c r="CZ2042" s="307">
        <v>-0.13040000000000002</v>
      </c>
    </row>
    <row r="2043" spans="98:104">
      <c r="CT2043" s="366" t="s">
        <v>4633</v>
      </c>
      <c r="CU2043" s="307" t="s">
        <v>208</v>
      </c>
      <c r="CV2043" s="307" t="s">
        <v>4625</v>
      </c>
      <c r="CW2043" s="366" t="s">
        <v>25</v>
      </c>
      <c r="CX2043" s="307">
        <v>-0.1799</v>
      </c>
      <c r="CY2043" s="307">
        <v>-0.12989999999999999</v>
      </c>
      <c r="CZ2043" s="307">
        <v>-0.15489999999999998</v>
      </c>
    </row>
    <row r="2044" spans="98:104">
      <c r="CT2044" s="366" t="s">
        <v>4634</v>
      </c>
      <c r="CU2044" s="307" t="s">
        <v>208</v>
      </c>
      <c r="CV2044" s="307" t="s">
        <v>4625</v>
      </c>
      <c r="CW2044" s="366" t="s">
        <v>26</v>
      </c>
      <c r="CX2044" s="307">
        <v>-0.19220000000000001</v>
      </c>
      <c r="CY2044" s="307">
        <v>-0.14219999999999999</v>
      </c>
      <c r="CZ2044" s="307">
        <v>-0.16720000000000002</v>
      </c>
    </row>
    <row r="2045" spans="98:104">
      <c r="CT2045" s="366" t="s">
        <v>4635</v>
      </c>
      <c r="CU2045" s="307" t="s">
        <v>208</v>
      </c>
      <c r="CV2045" s="307" t="s">
        <v>4625</v>
      </c>
      <c r="CW2045" s="366" t="s">
        <v>27</v>
      </c>
      <c r="CX2045" s="307">
        <v>-0.19919999999999999</v>
      </c>
      <c r="CY2045" s="307">
        <v>-0.1492</v>
      </c>
      <c r="CZ2045" s="307">
        <v>-0.17419999999999999</v>
      </c>
    </row>
    <row r="2046" spans="98:104">
      <c r="CT2046" s="366" t="s">
        <v>4636</v>
      </c>
      <c r="CU2046" s="307" t="s">
        <v>208</v>
      </c>
      <c r="CV2046" s="307" t="s">
        <v>4625</v>
      </c>
      <c r="CW2046" s="366" t="s">
        <v>28</v>
      </c>
      <c r="CX2046" s="307">
        <v>-0.20349999999999999</v>
      </c>
      <c r="CY2046" s="307">
        <v>-0.1535</v>
      </c>
      <c r="CZ2046" s="307">
        <v>-0.17849999999999999</v>
      </c>
    </row>
    <row r="2047" spans="98:104">
      <c r="CT2047" s="366" t="s">
        <v>5122</v>
      </c>
      <c r="CU2047" s="307" t="s">
        <v>208</v>
      </c>
      <c r="CV2047" s="307" t="s">
        <v>4625</v>
      </c>
      <c r="CW2047" s="366" t="s">
        <v>5101</v>
      </c>
      <c r="CX2047" s="307">
        <v>-0.18260000000000001</v>
      </c>
      <c r="CY2047" s="307">
        <v>-0.18260000000000001</v>
      </c>
      <c r="CZ2047" s="307">
        <v>-0.18260000000000001</v>
      </c>
    </row>
    <row r="2048" spans="98:104">
      <c r="CT2048" s="366" t="s">
        <v>4637</v>
      </c>
      <c r="CU2048" s="307" t="s">
        <v>208</v>
      </c>
      <c r="CV2048" s="307" t="s">
        <v>4625</v>
      </c>
      <c r="CW2048" s="366" t="s">
        <v>29</v>
      </c>
      <c r="CX2048" s="307">
        <v>-0.20760000000000001</v>
      </c>
      <c r="CY2048" s="307">
        <v>-0.15759999999999999</v>
      </c>
      <c r="CZ2048" s="307">
        <v>-0.18259999999999998</v>
      </c>
    </row>
    <row r="2049" spans="98:104">
      <c r="CT2049" s="366" t="s">
        <v>4638</v>
      </c>
      <c r="CU2049" s="307" t="s">
        <v>208</v>
      </c>
      <c r="CV2049" s="307" t="s">
        <v>4625</v>
      </c>
      <c r="CW2049" s="366" t="s">
        <v>30</v>
      </c>
      <c r="CX2049" s="307">
        <v>-0.35920000000000002</v>
      </c>
      <c r="CY2049" s="307">
        <v>-0.30919999999999997</v>
      </c>
      <c r="CZ2049" s="307">
        <v>-0.3342</v>
      </c>
    </row>
    <row r="2050" spans="98:104">
      <c r="CT2050" s="366" t="s">
        <v>4639</v>
      </c>
      <c r="CU2050" s="307" t="s">
        <v>208</v>
      </c>
      <c r="CV2050" s="307" t="s">
        <v>4625</v>
      </c>
      <c r="CW2050" s="366" t="s">
        <v>49</v>
      </c>
      <c r="CX2050" s="307">
        <v>-0.5282</v>
      </c>
      <c r="CY2050" s="307">
        <v>-0.47820000000000001</v>
      </c>
      <c r="CZ2050" s="307">
        <v>-0.50319999999999998</v>
      </c>
    </row>
    <row r="2051" spans="98:104">
      <c r="CT2051" s="366" t="s">
        <v>4641</v>
      </c>
      <c r="CU2051" s="307" t="s">
        <v>208</v>
      </c>
      <c r="CV2051" s="307" t="s">
        <v>4625</v>
      </c>
      <c r="CW2051" s="366" t="s">
        <v>1066</v>
      </c>
      <c r="CX2051" s="307">
        <v>100.16079999999999</v>
      </c>
      <c r="CY2051" s="307">
        <v>100.1658</v>
      </c>
      <c r="CZ2051" s="307">
        <v>100.16329999999999</v>
      </c>
    </row>
    <row r="2052" spans="98:104">
      <c r="CT2052" s="366" t="s">
        <v>4640</v>
      </c>
      <c r="CU2052" s="307" t="s">
        <v>208</v>
      </c>
      <c r="CV2052" s="307" t="s">
        <v>4625</v>
      </c>
      <c r="CW2052" s="366" t="s">
        <v>56</v>
      </c>
      <c r="CX2052" s="307">
        <v>-0.19343618400000001</v>
      </c>
      <c r="CY2052" s="307">
        <v>-0.19343618400000001</v>
      </c>
      <c r="CZ2052" s="307">
        <v>-0.19343618400000001</v>
      </c>
    </row>
    <row r="2053" spans="98:104">
      <c r="CT2053" s="366" t="s">
        <v>4642</v>
      </c>
      <c r="CU2053" s="307" t="s">
        <v>208</v>
      </c>
      <c r="CV2053" s="307" t="s">
        <v>4625</v>
      </c>
      <c r="CW2053" s="366" t="s">
        <v>1069</v>
      </c>
      <c r="CX2053" s="307">
        <v>100.1413</v>
      </c>
      <c r="CY2053" s="307">
        <v>100.1463</v>
      </c>
      <c r="CZ2053" s="307">
        <v>100.1438</v>
      </c>
    </row>
    <row r="2054" spans="98:104">
      <c r="CT2054" s="366" t="s">
        <v>4643</v>
      </c>
      <c r="CU2054" s="307" t="s">
        <v>208</v>
      </c>
      <c r="CV2054" s="307" t="s">
        <v>4625</v>
      </c>
      <c r="CW2054" s="366" t="s">
        <v>3865</v>
      </c>
      <c r="CX2054" s="307">
        <v>100.1172</v>
      </c>
      <c r="CY2054" s="307">
        <v>100.12220000000001</v>
      </c>
      <c r="CZ2054" s="307">
        <v>100.11969999999999</v>
      </c>
    </row>
    <row r="2055" spans="98:104">
      <c r="CT2055" s="366" t="s">
        <v>4645</v>
      </c>
      <c r="CU2055" s="307" t="s">
        <v>208</v>
      </c>
      <c r="CV2055" s="307" t="s">
        <v>4625</v>
      </c>
      <c r="CW2055" s="366" t="s">
        <v>3866</v>
      </c>
      <c r="CX2055" s="307">
        <v>100.0847</v>
      </c>
      <c r="CY2055" s="307">
        <v>100.08969999999999</v>
      </c>
      <c r="CZ2055" s="307">
        <v>100.0872</v>
      </c>
    </row>
    <row r="2056" spans="98:104">
      <c r="CT2056" s="366" t="s">
        <v>5078</v>
      </c>
      <c r="CU2056" s="307" t="s">
        <v>208</v>
      </c>
      <c r="CV2056" s="307" t="s">
        <v>4625</v>
      </c>
      <c r="CW2056" s="366" t="s">
        <v>3889</v>
      </c>
      <c r="CX2056" s="307">
        <v>100.0461</v>
      </c>
      <c r="CY2056" s="307">
        <v>100.05110000000001</v>
      </c>
      <c r="CZ2056" s="307">
        <v>100.04859999999999</v>
      </c>
    </row>
    <row r="2057" spans="98:104">
      <c r="CT2057" s="366" t="s">
        <v>4644</v>
      </c>
      <c r="CU2057" s="307" t="s">
        <v>208</v>
      </c>
      <c r="CV2057" s="307" t="s">
        <v>4625</v>
      </c>
      <c r="CW2057" s="366" t="s">
        <v>9</v>
      </c>
      <c r="CX2057" s="307">
        <v>-0.13622922800000001</v>
      </c>
      <c r="CY2057" s="307">
        <v>-0.13622922800000001</v>
      </c>
      <c r="CZ2057" s="307">
        <v>-0.13622922800000001</v>
      </c>
    </row>
    <row r="2058" spans="98:104">
      <c r="CT2058" s="366" t="s">
        <v>5123</v>
      </c>
      <c r="CU2058" s="307" t="s">
        <v>208</v>
      </c>
      <c r="CV2058" s="307" t="s">
        <v>4625</v>
      </c>
      <c r="CW2058" s="366" t="s">
        <v>3890</v>
      </c>
      <c r="CX2058" s="307">
        <v>100.0158</v>
      </c>
      <c r="CY2058" s="307">
        <v>100.02079999999999</v>
      </c>
      <c r="CZ2058" s="307">
        <v>100.0183</v>
      </c>
    </row>
    <row r="2059" spans="98:104">
      <c r="CT2059" s="366" t="s">
        <v>4646</v>
      </c>
      <c r="CU2059" s="307" t="s">
        <v>208</v>
      </c>
      <c r="CV2059" s="307" t="s">
        <v>4625</v>
      </c>
      <c r="CW2059" s="366" t="s">
        <v>10</v>
      </c>
      <c r="CX2059" s="307">
        <v>-6.0999999999999999E-2</v>
      </c>
      <c r="CY2059" s="307">
        <v>-6.0999999999999999E-2</v>
      </c>
      <c r="CZ2059" s="307">
        <v>-6.0999999999999999E-2</v>
      </c>
    </row>
    <row r="2060" spans="98:104">
      <c r="CT2060" s="366" t="s">
        <v>4647</v>
      </c>
      <c r="CU2060" s="307" t="s">
        <v>208</v>
      </c>
      <c r="CV2060" s="307" t="s">
        <v>4625</v>
      </c>
      <c r="CW2060" s="366" t="s">
        <v>11</v>
      </c>
      <c r="CX2060" s="307">
        <v>2.8000000000000001E-2</v>
      </c>
      <c r="CY2060" s="307">
        <v>2.8000000000000001E-2</v>
      </c>
      <c r="CZ2060" s="307">
        <v>2.8000000000000001E-2</v>
      </c>
    </row>
    <row r="2061" spans="98:104">
      <c r="CT2061" s="366" t="s">
        <v>4648</v>
      </c>
      <c r="CU2061" s="307" t="s">
        <v>208</v>
      </c>
      <c r="CV2061" s="307" t="s">
        <v>4625</v>
      </c>
      <c r="CW2061" s="366" t="s">
        <v>12</v>
      </c>
      <c r="CX2061" s="307">
        <v>0.13200000000000001</v>
      </c>
      <c r="CY2061" s="307">
        <v>0.13200000000000001</v>
      </c>
      <c r="CZ2061" s="307">
        <v>0.13200000000000001</v>
      </c>
    </row>
    <row r="2062" spans="98:104">
      <c r="CT2062" s="366" t="s">
        <v>4649</v>
      </c>
      <c r="CU2062" s="307" t="s">
        <v>208</v>
      </c>
      <c r="CV2062" s="307" t="s">
        <v>4625</v>
      </c>
      <c r="CW2062" s="366" t="s">
        <v>13</v>
      </c>
      <c r="CX2062" s="307">
        <v>0.24199999999999999</v>
      </c>
      <c r="CY2062" s="307">
        <v>0.24199999999999999</v>
      </c>
      <c r="CZ2062" s="307">
        <v>0.24199999999999999</v>
      </c>
    </row>
    <row r="2063" spans="98:104">
      <c r="CT2063" s="366" t="s">
        <v>4650</v>
      </c>
      <c r="CU2063" s="307" t="s">
        <v>208</v>
      </c>
      <c r="CV2063" s="307" t="s">
        <v>4625</v>
      </c>
      <c r="CW2063" s="366" t="s">
        <v>14</v>
      </c>
      <c r="CX2063" s="307">
        <v>0.35499999999999998</v>
      </c>
      <c r="CY2063" s="307">
        <v>0.35499999999999998</v>
      </c>
      <c r="CZ2063" s="307">
        <v>0.35499999999999998</v>
      </c>
    </row>
    <row r="2064" spans="98:104">
      <c r="CT2064" s="366" t="s">
        <v>4651</v>
      </c>
      <c r="CU2064" s="307" t="s">
        <v>208</v>
      </c>
      <c r="CV2064" s="307" t="s">
        <v>4625</v>
      </c>
      <c r="CW2064" s="366" t="s">
        <v>15</v>
      </c>
      <c r="CX2064" s="307">
        <v>0.46700000000000003</v>
      </c>
      <c r="CY2064" s="307">
        <v>0.46700000000000003</v>
      </c>
      <c r="CZ2064" s="307">
        <v>0.46700000000000003</v>
      </c>
    </row>
    <row r="2065" spans="98:104">
      <c r="CT2065" s="366" t="s">
        <v>4652</v>
      </c>
      <c r="CU2065" s="307" t="s">
        <v>208</v>
      </c>
      <c r="CV2065" s="307" t="s">
        <v>4625</v>
      </c>
      <c r="CW2065" s="366" t="s">
        <v>16</v>
      </c>
      <c r="CX2065" s="307">
        <v>0.57399999999999995</v>
      </c>
      <c r="CY2065" s="307">
        <v>0.57399999999999995</v>
      </c>
      <c r="CZ2065" s="307">
        <v>0.57399999999999995</v>
      </c>
    </row>
    <row r="2066" spans="98:104">
      <c r="CT2066" s="366" t="s">
        <v>4653</v>
      </c>
      <c r="CU2066" s="307" t="s">
        <v>208</v>
      </c>
      <c r="CV2066" s="307" t="s">
        <v>4625</v>
      </c>
      <c r="CW2066" s="366" t="s">
        <v>17</v>
      </c>
      <c r="CX2066" s="307">
        <v>0.67100000000000004</v>
      </c>
      <c r="CY2066" s="307">
        <v>0.67100000000000004</v>
      </c>
      <c r="CZ2066" s="307">
        <v>0.67100000000000004</v>
      </c>
    </row>
    <row r="2067" spans="98:104">
      <c r="CT2067" s="366" t="s">
        <v>4654</v>
      </c>
      <c r="CU2067" s="307" t="s">
        <v>208</v>
      </c>
      <c r="CV2067" s="307" t="s">
        <v>4625</v>
      </c>
      <c r="CW2067" s="366" t="s">
        <v>31</v>
      </c>
      <c r="CX2067" s="307">
        <v>0.75775925600000005</v>
      </c>
      <c r="CY2067" s="307">
        <v>0.75775925600000005</v>
      </c>
      <c r="CZ2067" s="307">
        <v>0.75775925600000005</v>
      </c>
    </row>
    <row r="2068" spans="98:104">
      <c r="CT2068" s="366" t="s">
        <v>4655</v>
      </c>
      <c r="CU2068" s="307" t="s">
        <v>208</v>
      </c>
      <c r="CV2068" s="307" t="s">
        <v>4625</v>
      </c>
      <c r="CW2068" s="366" t="s">
        <v>18</v>
      </c>
      <c r="CX2068" s="307">
        <v>0.83499999999999996</v>
      </c>
      <c r="CY2068" s="307">
        <v>0.83499999999999996</v>
      </c>
      <c r="CZ2068" s="307">
        <v>0.83499999999999996</v>
      </c>
    </row>
    <row r="2069" spans="98:104">
      <c r="CT2069" s="366" t="s">
        <v>4656</v>
      </c>
      <c r="CU2069" s="307" t="s">
        <v>208</v>
      </c>
      <c r="CV2069" s="307" t="s">
        <v>4625</v>
      </c>
      <c r="CW2069" s="366" t="s">
        <v>32</v>
      </c>
      <c r="CX2069" s="307">
        <v>0.901469878</v>
      </c>
      <c r="CY2069" s="307">
        <v>0.901469878</v>
      </c>
      <c r="CZ2069" s="307">
        <v>0.901469878</v>
      </c>
    </row>
    <row r="2070" spans="98:104">
      <c r="CT2070" s="366" t="s">
        <v>4657</v>
      </c>
      <c r="CU2070" s="307" t="s">
        <v>208</v>
      </c>
      <c r="CV2070" s="307" t="s">
        <v>4625</v>
      </c>
      <c r="CW2070" s="366" t="s">
        <v>33</v>
      </c>
      <c r="CX2070" s="307">
        <v>0.95791295300000001</v>
      </c>
      <c r="CY2070" s="307">
        <v>0.95791295300000001</v>
      </c>
      <c r="CZ2070" s="307">
        <v>0.95791295300000001</v>
      </c>
    </row>
    <row r="2071" spans="98:104">
      <c r="CT2071" s="366" t="s">
        <v>4658</v>
      </c>
      <c r="CU2071" s="307" t="s">
        <v>208</v>
      </c>
      <c r="CV2071" s="307" t="s">
        <v>4625</v>
      </c>
      <c r="CW2071" s="366" t="s">
        <v>19</v>
      </c>
      <c r="CX2071" s="307">
        <v>1.0049999999999999</v>
      </c>
      <c r="CY2071" s="307">
        <v>1.0049999999999999</v>
      </c>
      <c r="CZ2071" s="307">
        <v>1.0049999999999999</v>
      </c>
    </row>
    <row r="2072" spans="98:104">
      <c r="CT2072" s="366" t="s">
        <v>4659</v>
      </c>
      <c r="CU2072" s="307" t="s">
        <v>208</v>
      </c>
      <c r="CV2072" s="307" t="s">
        <v>4625</v>
      </c>
      <c r="CW2072" s="366" t="s">
        <v>34</v>
      </c>
      <c r="CX2072" s="307">
        <v>1.0438079309999999</v>
      </c>
      <c r="CY2072" s="307">
        <v>1.0438079309999999</v>
      </c>
      <c r="CZ2072" s="307">
        <v>1.0438079309999999</v>
      </c>
    </row>
    <row r="2073" spans="98:104">
      <c r="CT2073" s="366" t="s">
        <v>4660</v>
      </c>
      <c r="CU2073" s="307" t="s">
        <v>208</v>
      </c>
      <c r="CV2073" s="307" t="s">
        <v>4625</v>
      </c>
      <c r="CW2073" s="366" t="s">
        <v>35</v>
      </c>
      <c r="CX2073" s="307">
        <v>1.0748230969999999</v>
      </c>
      <c r="CY2073" s="307">
        <v>1.0748230969999999</v>
      </c>
      <c r="CZ2073" s="307">
        <v>1.0748230969999999</v>
      </c>
    </row>
    <row r="2074" spans="98:104">
      <c r="CT2074" s="366" t="s">
        <v>4661</v>
      </c>
      <c r="CU2074" s="307" t="s">
        <v>208</v>
      </c>
      <c r="CV2074" s="307" t="s">
        <v>4625</v>
      </c>
      <c r="CW2074" s="366" t="s">
        <v>36</v>
      </c>
      <c r="CX2074" s="307">
        <v>1.099791722</v>
      </c>
      <c r="CY2074" s="307">
        <v>1.099791722</v>
      </c>
      <c r="CZ2074" s="307">
        <v>1.099791722</v>
      </c>
    </row>
    <row r="2075" spans="98:104">
      <c r="CT2075" s="366" t="s">
        <v>4662</v>
      </c>
      <c r="CU2075" s="307" t="s">
        <v>208</v>
      </c>
      <c r="CV2075" s="307" t="s">
        <v>4625</v>
      </c>
      <c r="CW2075" s="366" t="s">
        <v>37</v>
      </c>
      <c r="CX2075" s="307">
        <v>1.1195473650000001</v>
      </c>
      <c r="CY2075" s="307">
        <v>1.1195473650000001</v>
      </c>
      <c r="CZ2075" s="307">
        <v>1.1195473650000001</v>
      </c>
    </row>
    <row r="2076" spans="98:104">
      <c r="CT2076" s="366" t="s">
        <v>4663</v>
      </c>
      <c r="CU2076" s="307" t="s">
        <v>208</v>
      </c>
      <c r="CV2076" s="307" t="s">
        <v>4625</v>
      </c>
      <c r="CW2076" s="366" t="s">
        <v>20</v>
      </c>
      <c r="CX2076" s="307">
        <v>1.135</v>
      </c>
      <c r="CY2076" s="307">
        <v>1.135</v>
      </c>
      <c r="CZ2076" s="307">
        <v>1.135</v>
      </c>
    </row>
    <row r="2077" spans="98:104">
      <c r="CT2077" s="366" t="s">
        <v>4664</v>
      </c>
      <c r="CU2077" s="307" t="s">
        <v>208</v>
      </c>
      <c r="CV2077" s="307" t="s">
        <v>4625</v>
      </c>
      <c r="CW2077" s="366" t="s">
        <v>38</v>
      </c>
      <c r="CX2077" s="307">
        <v>1.1465149459999999</v>
      </c>
      <c r="CY2077" s="307">
        <v>1.1465149459999999</v>
      </c>
      <c r="CZ2077" s="307">
        <v>1.1465149459999999</v>
      </c>
    </row>
    <row r="2078" spans="98:104">
      <c r="CT2078" s="366" t="s">
        <v>4665</v>
      </c>
      <c r="CU2078" s="307" t="s">
        <v>208</v>
      </c>
      <c r="CV2078" s="307" t="s">
        <v>4625</v>
      </c>
      <c r="CW2078" s="366" t="s">
        <v>39</v>
      </c>
      <c r="CX2078" s="307">
        <v>1.1549966599999999</v>
      </c>
      <c r="CY2078" s="307">
        <v>1.1549966599999999</v>
      </c>
      <c r="CZ2078" s="307">
        <v>1.1549966599999999</v>
      </c>
    </row>
    <row r="2079" spans="98:104">
      <c r="CT2079" s="366" t="s">
        <v>4666</v>
      </c>
      <c r="CU2079" s="307" t="s">
        <v>208</v>
      </c>
      <c r="CV2079" s="307" t="s">
        <v>4625</v>
      </c>
      <c r="CW2079" s="366" t="s">
        <v>40</v>
      </c>
      <c r="CX2079" s="307">
        <v>1.161313571</v>
      </c>
      <c r="CY2079" s="307">
        <v>1.161313571</v>
      </c>
      <c r="CZ2079" s="307">
        <v>1.161313571</v>
      </c>
    </row>
    <row r="2080" spans="98:104">
      <c r="CT2080" s="366" t="s">
        <v>4667</v>
      </c>
      <c r="CU2080" s="307" t="s">
        <v>208</v>
      </c>
      <c r="CV2080" s="307" t="s">
        <v>4625</v>
      </c>
      <c r="CW2080" s="366" t="s">
        <v>41</v>
      </c>
      <c r="CX2080" s="307">
        <v>1.166230731</v>
      </c>
      <c r="CY2080" s="307">
        <v>1.166230731</v>
      </c>
      <c r="CZ2080" s="307">
        <v>1.166230731</v>
      </c>
    </row>
    <row r="2081" spans="98:104">
      <c r="CT2081" s="366" t="s">
        <v>4668</v>
      </c>
      <c r="CU2081" s="307" t="s">
        <v>208</v>
      </c>
      <c r="CV2081" s="307" t="s">
        <v>4625</v>
      </c>
      <c r="CW2081" s="366" t="s">
        <v>21</v>
      </c>
      <c r="CX2081" s="307">
        <v>1.17</v>
      </c>
      <c r="CY2081" s="307">
        <v>1.17</v>
      </c>
      <c r="CZ2081" s="307">
        <v>1.17</v>
      </c>
    </row>
    <row r="2082" spans="98:104">
      <c r="CT2082" s="366" t="s">
        <v>4669</v>
      </c>
      <c r="CU2082" s="307" t="s">
        <v>208</v>
      </c>
      <c r="CV2082" s="307" t="s">
        <v>4625</v>
      </c>
      <c r="CW2082" s="366" t="s">
        <v>42</v>
      </c>
      <c r="CX2082" s="307">
        <v>1.173130225</v>
      </c>
      <c r="CY2082" s="307">
        <v>1.173130225</v>
      </c>
      <c r="CZ2082" s="307">
        <v>1.173130225</v>
      </c>
    </row>
    <row r="2083" spans="98:104">
      <c r="CT2083" s="366" t="s">
        <v>4670</v>
      </c>
      <c r="CU2083" s="307" t="s">
        <v>208</v>
      </c>
      <c r="CV2083" s="307" t="s">
        <v>4625</v>
      </c>
      <c r="CW2083" s="366" t="s">
        <v>43</v>
      </c>
      <c r="CX2083" s="307">
        <v>1.175699206</v>
      </c>
      <c r="CY2083" s="307">
        <v>1.175699206</v>
      </c>
      <c r="CZ2083" s="307">
        <v>1.175699206</v>
      </c>
    </row>
    <row r="2084" spans="98:104">
      <c r="CT2084" s="366" t="s">
        <v>4671</v>
      </c>
      <c r="CU2084" s="307" t="s">
        <v>208</v>
      </c>
      <c r="CV2084" s="307" t="s">
        <v>4625</v>
      </c>
      <c r="CW2084" s="366" t="s">
        <v>44</v>
      </c>
      <c r="CX2084" s="307">
        <v>1.177772373</v>
      </c>
      <c r="CY2084" s="307">
        <v>1.177772373</v>
      </c>
      <c r="CZ2084" s="307">
        <v>1.177772373</v>
      </c>
    </row>
    <row r="2085" spans="98:104">
      <c r="CT2085" s="366" t="s">
        <v>4672</v>
      </c>
      <c r="CU2085" s="307" t="s">
        <v>208</v>
      </c>
      <c r="CV2085" s="307" t="s">
        <v>4625</v>
      </c>
      <c r="CW2085" s="366" t="s">
        <v>45</v>
      </c>
      <c r="CX2085" s="307">
        <v>1.1791747800000001</v>
      </c>
      <c r="CY2085" s="307">
        <v>1.1791747800000001</v>
      </c>
      <c r="CZ2085" s="307">
        <v>1.1791747800000001</v>
      </c>
    </row>
    <row r="2086" spans="98:104">
      <c r="CT2086" s="366" t="s">
        <v>4673</v>
      </c>
      <c r="CU2086" s="307" t="s">
        <v>208</v>
      </c>
      <c r="CV2086" s="307" t="s">
        <v>4625</v>
      </c>
      <c r="CW2086" s="366" t="s">
        <v>22</v>
      </c>
      <c r="CX2086" s="307">
        <v>1.18</v>
      </c>
      <c r="CY2086" s="307">
        <v>1.18</v>
      </c>
      <c r="CZ2086" s="307">
        <v>1.18</v>
      </c>
    </row>
    <row r="2087" spans="98:104">
      <c r="CT2087" s="366" t="s">
        <v>4674</v>
      </c>
      <c r="CU2087" s="307" t="s">
        <v>208</v>
      </c>
      <c r="CV2087" s="307" t="s">
        <v>4625</v>
      </c>
      <c r="CW2087" s="366" t="s">
        <v>163</v>
      </c>
      <c r="CX2087" s="307">
        <v>1.180261161</v>
      </c>
      <c r="CY2087" s="307">
        <v>1.180261161</v>
      </c>
      <c r="CZ2087" s="307">
        <v>1.180261161</v>
      </c>
    </row>
    <row r="2088" spans="98:104">
      <c r="CT2088" s="366" t="s">
        <v>4675</v>
      </c>
      <c r="CU2088" s="307" t="s">
        <v>208</v>
      </c>
      <c r="CV2088" s="307" t="s">
        <v>4625</v>
      </c>
      <c r="CW2088" s="366" t="s">
        <v>164</v>
      </c>
      <c r="CX2088" s="307">
        <v>1.1800983540000001</v>
      </c>
      <c r="CY2088" s="307">
        <v>1.1800983540000001</v>
      </c>
      <c r="CZ2088" s="307">
        <v>1.1800983540000001</v>
      </c>
    </row>
    <row r="2089" spans="98:104">
      <c r="CT2089" s="366" t="s">
        <v>4676</v>
      </c>
      <c r="CU2089" s="307" t="s">
        <v>208</v>
      </c>
      <c r="CV2089" s="307" t="s">
        <v>4625</v>
      </c>
      <c r="CW2089" s="366" t="s">
        <v>165</v>
      </c>
      <c r="CX2089" s="307">
        <v>1.179422191</v>
      </c>
      <c r="CY2089" s="307">
        <v>1.179422191</v>
      </c>
      <c r="CZ2089" s="307">
        <v>1.179422191</v>
      </c>
    </row>
    <row r="2090" spans="98:104">
      <c r="CT2090" s="366" t="s">
        <v>4677</v>
      </c>
      <c r="CU2090" s="307" t="s">
        <v>208</v>
      </c>
      <c r="CV2090" s="307" t="s">
        <v>4625</v>
      </c>
      <c r="CW2090" s="366" t="s">
        <v>166</v>
      </c>
      <c r="CX2090" s="307">
        <v>1.178373801</v>
      </c>
      <c r="CY2090" s="307">
        <v>1.178373801</v>
      </c>
      <c r="CZ2090" s="307">
        <v>1.178373801</v>
      </c>
    </row>
    <row r="2091" spans="98:104">
      <c r="CT2091" s="366" t="s">
        <v>4678</v>
      </c>
      <c r="CU2091" s="307" t="s">
        <v>208</v>
      </c>
      <c r="CV2091" s="307" t="s">
        <v>4625</v>
      </c>
      <c r="CW2091" s="366" t="s">
        <v>167</v>
      </c>
      <c r="CX2091" s="307">
        <v>1.177</v>
      </c>
      <c r="CY2091" s="307">
        <v>1.177</v>
      </c>
      <c r="CZ2091" s="307">
        <v>1.177</v>
      </c>
    </row>
    <row r="2092" spans="98:104">
      <c r="CT2092" s="366" t="s">
        <v>4679</v>
      </c>
      <c r="CU2092" s="307" t="s">
        <v>208</v>
      </c>
      <c r="CV2092" s="307" t="s">
        <v>4625</v>
      </c>
      <c r="CW2092" s="366" t="s">
        <v>168</v>
      </c>
      <c r="CX2092" s="307">
        <v>1.175399624</v>
      </c>
      <c r="CY2092" s="307">
        <v>1.175399624</v>
      </c>
      <c r="CZ2092" s="307">
        <v>1.175399624</v>
      </c>
    </row>
    <row r="2093" spans="98:104">
      <c r="CT2093" s="366" t="s">
        <v>4680</v>
      </c>
      <c r="CU2093" s="307" t="s">
        <v>208</v>
      </c>
      <c r="CV2093" s="307" t="s">
        <v>4625</v>
      </c>
      <c r="CW2093" s="366" t="s">
        <v>169</v>
      </c>
      <c r="CX2093" s="307">
        <v>1.1733993579999999</v>
      </c>
      <c r="CY2093" s="307">
        <v>1.1733993579999999</v>
      </c>
      <c r="CZ2093" s="307">
        <v>1.1733993579999999</v>
      </c>
    </row>
    <row r="2094" spans="98:104">
      <c r="CT2094" s="366" t="s">
        <v>4681</v>
      </c>
      <c r="CU2094" s="307" t="s">
        <v>208</v>
      </c>
      <c r="CV2094" s="307" t="s">
        <v>4625</v>
      </c>
      <c r="CW2094" s="366" t="s">
        <v>170</v>
      </c>
      <c r="CX2094" s="307">
        <v>1.1710036749999999</v>
      </c>
      <c r="CY2094" s="307">
        <v>1.1710036749999999</v>
      </c>
      <c r="CZ2094" s="307">
        <v>1.1710036749999999</v>
      </c>
    </row>
    <row r="2095" spans="98:104">
      <c r="CT2095" s="366" t="s">
        <v>4682</v>
      </c>
      <c r="CU2095" s="307" t="s">
        <v>208</v>
      </c>
      <c r="CV2095" s="307" t="s">
        <v>4625</v>
      </c>
      <c r="CW2095" s="366" t="s">
        <v>171</v>
      </c>
      <c r="CX2095" s="307">
        <v>1.168205844</v>
      </c>
      <c r="CY2095" s="307">
        <v>1.168205844</v>
      </c>
      <c r="CZ2095" s="307">
        <v>1.168205844</v>
      </c>
    </row>
    <row r="2096" spans="98:104">
      <c r="CT2096" s="366" t="s">
        <v>4683</v>
      </c>
      <c r="CU2096" s="307" t="s">
        <v>208</v>
      </c>
      <c r="CV2096" s="307" t="s">
        <v>4625</v>
      </c>
      <c r="CW2096" s="366" t="s">
        <v>46</v>
      </c>
      <c r="CX2096" s="307">
        <v>1.165</v>
      </c>
      <c r="CY2096" s="307">
        <v>1.165</v>
      </c>
      <c r="CZ2096" s="307">
        <v>1.165</v>
      </c>
    </row>
    <row r="2097" spans="98:104">
      <c r="CT2097" s="366" t="s">
        <v>4684</v>
      </c>
      <c r="CU2097" s="307" t="s">
        <v>208</v>
      </c>
      <c r="CV2097" s="307" t="s">
        <v>4625</v>
      </c>
      <c r="CW2097" s="366" t="s">
        <v>47</v>
      </c>
      <c r="CX2097" s="307">
        <v>1.111</v>
      </c>
      <c r="CY2097" s="307">
        <v>1.111</v>
      </c>
      <c r="CZ2097" s="307">
        <v>1.111</v>
      </c>
    </row>
    <row r="2098" spans="98:104">
      <c r="CT2098" s="366" t="s">
        <v>4685</v>
      </c>
      <c r="CU2098" s="307" t="s">
        <v>208</v>
      </c>
      <c r="CV2098" s="307" t="s">
        <v>4625</v>
      </c>
      <c r="CW2098" s="366" t="s">
        <v>48</v>
      </c>
      <c r="CX2098" s="307">
        <v>1.0760000000000001</v>
      </c>
      <c r="CY2098" s="307">
        <v>1.0760000000000001</v>
      </c>
      <c r="CZ2098" s="307">
        <v>1.0760000000000001</v>
      </c>
    </row>
    <row r="2099" spans="98:104">
      <c r="CT2099" s="366" t="s">
        <v>4686</v>
      </c>
      <c r="CU2099" s="307" t="s">
        <v>208</v>
      </c>
      <c r="CV2099" s="307" t="s">
        <v>4687</v>
      </c>
      <c r="CW2099" s="366" t="s">
        <v>3</v>
      </c>
      <c r="CX2099" s="307">
        <v>-0.36999989999999999</v>
      </c>
      <c r="CY2099" s="307">
        <v>-0.36999989999999999</v>
      </c>
      <c r="CZ2099" s="307">
        <v>-0.36999989999999999</v>
      </c>
    </row>
    <row r="2100" spans="98:104">
      <c r="CT2100" s="366" t="s">
        <v>4688</v>
      </c>
      <c r="CU2100" s="307" t="s">
        <v>208</v>
      </c>
      <c r="CV2100" s="307" t="s">
        <v>4687</v>
      </c>
      <c r="CW2100" s="366" t="s">
        <v>4</v>
      </c>
      <c r="CX2100" s="307">
        <v>-0.37</v>
      </c>
      <c r="CY2100" s="307">
        <v>-0.37</v>
      </c>
      <c r="CZ2100" s="307">
        <v>-0.37</v>
      </c>
    </row>
    <row r="2101" spans="98:104">
      <c r="CT2101" s="366" t="s">
        <v>4689</v>
      </c>
      <c r="CU2101" s="307" t="s">
        <v>208</v>
      </c>
      <c r="CV2101" s="307" t="s">
        <v>4687</v>
      </c>
      <c r="CW2101" s="366" t="s">
        <v>23</v>
      </c>
      <c r="CX2101" s="307">
        <v>-0.37</v>
      </c>
      <c r="CY2101" s="307">
        <v>-0.37</v>
      </c>
      <c r="CZ2101" s="307">
        <v>-0.37</v>
      </c>
    </row>
    <row r="2102" spans="98:104">
      <c r="CT2102" s="366" t="s">
        <v>4690</v>
      </c>
      <c r="CU2102" s="307" t="s">
        <v>208</v>
      </c>
      <c r="CV2102" s="307" t="s">
        <v>4687</v>
      </c>
      <c r="CW2102" s="366" t="s">
        <v>5</v>
      </c>
      <c r="CX2102" s="307">
        <v>-0.34899999999999998</v>
      </c>
      <c r="CY2102" s="307">
        <v>-0.34899999999999998</v>
      </c>
      <c r="CZ2102" s="307">
        <v>-0.34899999999999998</v>
      </c>
    </row>
    <row r="2103" spans="98:104">
      <c r="CT2103" s="366" t="s">
        <v>4691</v>
      </c>
      <c r="CU2103" s="307" t="s">
        <v>208</v>
      </c>
      <c r="CV2103" s="307" t="s">
        <v>4687</v>
      </c>
      <c r="CW2103" s="366" t="s">
        <v>6</v>
      </c>
      <c r="CX2103" s="307">
        <v>-0.34699999999999998</v>
      </c>
      <c r="CY2103" s="307">
        <v>-0.34699999999999998</v>
      </c>
      <c r="CZ2103" s="307">
        <v>-0.34699999999999998</v>
      </c>
    </row>
    <row r="2104" spans="98:104">
      <c r="CT2104" s="366" t="s">
        <v>4692</v>
      </c>
      <c r="CU2104" s="307" t="s">
        <v>208</v>
      </c>
      <c r="CV2104" s="307" t="s">
        <v>4687</v>
      </c>
      <c r="CW2104" s="366" t="s">
        <v>24</v>
      </c>
      <c r="CX2104" s="307">
        <v>-0.34799999999999998</v>
      </c>
      <c r="CY2104" s="307">
        <v>-0.34799999999999998</v>
      </c>
      <c r="CZ2104" s="307">
        <v>-0.34799999999999998</v>
      </c>
    </row>
    <row r="2105" spans="98:104">
      <c r="CT2105" s="366" t="s">
        <v>4693</v>
      </c>
      <c r="CU2105" s="307" t="s">
        <v>208</v>
      </c>
      <c r="CV2105" s="307" t="s">
        <v>4687</v>
      </c>
      <c r="CW2105" s="366" t="s">
        <v>7</v>
      </c>
      <c r="CX2105" s="307">
        <v>-0.34899999999999998</v>
      </c>
      <c r="CY2105" s="307">
        <v>-0.34899999999999998</v>
      </c>
      <c r="CZ2105" s="307">
        <v>-0.34899999999999998</v>
      </c>
    </row>
    <row r="2106" spans="98:104">
      <c r="CT2106" s="366" t="s">
        <v>4694</v>
      </c>
      <c r="CU2106" s="307" t="s">
        <v>208</v>
      </c>
      <c r="CV2106" s="307" t="s">
        <v>4687</v>
      </c>
      <c r="CW2106" s="366" t="s">
        <v>8</v>
      </c>
      <c r="CX2106" s="307">
        <v>-0.34699999999999998</v>
      </c>
      <c r="CY2106" s="307">
        <v>-0.34699999999999998</v>
      </c>
      <c r="CZ2106" s="307">
        <v>-0.34699999999999998</v>
      </c>
    </row>
    <row r="2107" spans="98:104">
      <c r="CT2107" s="366" t="s">
        <v>4695</v>
      </c>
      <c r="CU2107" s="307" t="s">
        <v>208</v>
      </c>
      <c r="CV2107" s="307" t="s">
        <v>4687</v>
      </c>
      <c r="CW2107" s="366" t="s">
        <v>25</v>
      </c>
      <c r="CX2107" s="307">
        <v>-0.34799999999999998</v>
      </c>
      <c r="CY2107" s="307">
        <v>-0.34799999999999998</v>
      </c>
      <c r="CZ2107" s="307">
        <v>-0.34799999999999998</v>
      </c>
    </row>
    <row r="2108" spans="98:104">
      <c r="CT2108" s="366" t="s">
        <v>4696</v>
      </c>
      <c r="CU2108" s="307" t="s">
        <v>208</v>
      </c>
      <c r="CV2108" s="307" t="s">
        <v>4687</v>
      </c>
      <c r="CW2108" s="366" t="s">
        <v>26</v>
      </c>
      <c r="CX2108" s="307">
        <v>-0.34899999999999998</v>
      </c>
      <c r="CY2108" s="307">
        <v>-0.34899999999999998</v>
      </c>
      <c r="CZ2108" s="307">
        <v>-0.34899999999999998</v>
      </c>
    </row>
    <row r="2109" spans="98:104">
      <c r="CT2109" s="366" t="s">
        <v>4697</v>
      </c>
      <c r="CU2109" s="307" t="s">
        <v>208</v>
      </c>
      <c r="CV2109" s="307" t="s">
        <v>4687</v>
      </c>
      <c r="CW2109" s="366" t="s">
        <v>27</v>
      </c>
      <c r="CX2109" s="307">
        <v>-0.35099999999999998</v>
      </c>
      <c r="CY2109" s="307">
        <v>-0.35099999999999998</v>
      </c>
      <c r="CZ2109" s="307">
        <v>-0.35099999999999998</v>
      </c>
    </row>
    <row r="2110" spans="98:104">
      <c r="CT2110" s="366" t="s">
        <v>4698</v>
      </c>
      <c r="CU2110" s="307" t="s">
        <v>208</v>
      </c>
      <c r="CV2110" s="307" t="s">
        <v>4687</v>
      </c>
      <c r="CW2110" s="366" t="s">
        <v>28</v>
      </c>
      <c r="CX2110" s="307">
        <v>-0.35199999999999998</v>
      </c>
      <c r="CY2110" s="307">
        <v>-0.35199999999999998</v>
      </c>
      <c r="CZ2110" s="307">
        <v>-0.35199999999999998</v>
      </c>
    </row>
    <row r="2111" spans="98:104">
      <c r="CT2111" s="366" t="s">
        <v>4699</v>
      </c>
      <c r="CU2111" s="307" t="s">
        <v>208</v>
      </c>
      <c r="CV2111" s="307" t="s">
        <v>4687</v>
      </c>
      <c r="CW2111" s="366" t="s">
        <v>29</v>
      </c>
      <c r="CX2111" s="307">
        <v>-0.35299999999999998</v>
      </c>
      <c r="CY2111" s="307">
        <v>-0.35299999999999998</v>
      </c>
      <c r="CZ2111" s="307">
        <v>-0.35299999999999998</v>
      </c>
    </row>
    <row r="2112" spans="98:104">
      <c r="CT2112" s="366" t="s">
        <v>4700</v>
      </c>
      <c r="CU2112" s="307" t="s">
        <v>208</v>
      </c>
      <c r="CV2112" s="307" t="s">
        <v>4687</v>
      </c>
      <c r="CW2112" s="366" t="s">
        <v>30</v>
      </c>
      <c r="CX2112" s="307">
        <v>-0.35299999999999998</v>
      </c>
      <c r="CY2112" s="307">
        <v>-0.35299999999999998</v>
      </c>
      <c r="CZ2112" s="307">
        <v>-0.35299999999999998</v>
      </c>
    </row>
    <row r="2113" spans="98:104">
      <c r="CT2113" s="366" t="s">
        <v>4701</v>
      </c>
      <c r="CU2113" s="307" t="s">
        <v>208</v>
      </c>
      <c r="CV2113" s="307" t="s">
        <v>4687</v>
      </c>
      <c r="CW2113" s="366" t="s">
        <v>49</v>
      </c>
      <c r="CX2113" s="307">
        <v>-0.35399999999999998</v>
      </c>
      <c r="CY2113" s="307">
        <v>-0.35399999999999998</v>
      </c>
      <c r="CZ2113" s="307">
        <v>-0.35399999999999998</v>
      </c>
    </row>
    <row r="2114" spans="98:104">
      <c r="CT2114" s="366" t="s">
        <v>4702</v>
      </c>
      <c r="CU2114" s="307" t="s">
        <v>208</v>
      </c>
      <c r="CV2114" s="307" t="s">
        <v>4687</v>
      </c>
      <c r="CW2114" s="366" t="s">
        <v>50</v>
      </c>
      <c r="CX2114" s="307">
        <v>-0.35399999999999998</v>
      </c>
      <c r="CY2114" s="307">
        <v>-0.35399999999999998</v>
      </c>
      <c r="CZ2114" s="307">
        <v>-0.35399999999999998</v>
      </c>
    </row>
    <row r="2115" spans="98:104">
      <c r="CT2115" s="366" t="s">
        <v>4703</v>
      </c>
      <c r="CU2115" s="307" t="s">
        <v>208</v>
      </c>
      <c r="CV2115" s="307" t="s">
        <v>4687</v>
      </c>
      <c r="CW2115" s="366" t="s">
        <v>51</v>
      </c>
      <c r="CX2115" s="307">
        <v>-0.35299999999999998</v>
      </c>
      <c r="CY2115" s="307">
        <v>-0.35299999999999998</v>
      </c>
      <c r="CZ2115" s="307">
        <v>-0.35299999999999998</v>
      </c>
    </row>
    <row r="2116" spans="98:104">
      <c r="CT2116" s="366" t="s">
        <v>4704</v>
      </c>
      <c r="CU2116" s="307" t="s">
        <v>208</v>
      </c>
      <c r="CV2116" s="307" t="s">
        <v>4687</v>
      </c>
      <c r="CW2116" s="366" t="s">
        <v>56</v>
      </c>
      <c r="CX2116" s="307">
        <v>-0.35299999999999998</v>
      </c>
      <c r="CY2116" s="307">
        <v>-0.35299999999999998</v>
      </c>
      <c r="CZ2116" s="307">
        <v>-0.35299999999999998</v>
      </c>
    </row>
    <row r="2117" spans="98:104">
      <c r="CT2117" s="366" t="s">
        <v>4705</v>
      </c>
      <c r="CU2117" s="307" t="s">
        <v>208</v>
      </c>
      <c r="CV2117" s="307" t="s">
        <v>4687</v>
      </c>
      <c r="CW2117" s="366" t="s">
        <v>57</v>
      </c>
      <c r="CX2117" s="307">
        <v>-0.35299999999999998</v>
      </c>
      <c r="CY2117" s="307">
        <v>-0.35299999999999998</v>
      </c>
      <c r="CZ2117" s="307">
        <v>-0.35299999999999998</v>
      </c>
    </row>
    <row r="2118" spans="98:104">
      <c r="CT2118" s="366" t="s">
        <v>4706</v>
      </c>
      <c r="CU2118" s="307" t="s">
        <v>208</v>
      </c>
      <c r="CV2118" s="307" t="s">
        <v>4687</v>
      </c>
      <c r="CW2118" s="366" t="s">
        <v>58</v>
      </c>
      <c r="CX2118" s="307">
        <v>-0.35199999999999998</v>
      </c>
      <c r="CY2118" s="307">
        <v>-0.35199999999999998</v>
      </c>
      <c r="CZ2118" s="307">
        <v>-0.35199999999999998</v>
      </c>
    </row>
    <row r="2119" spans="98:104">
      <c r="CT2119" s="366" t="s">
        <v>4707</v>
      </c>
      <c r="CU2119" s="307" t="s">
        <v>208</v>
      </c>
      <c r="CV2119" s="307" t="s">
        <v>4687</v>
      </c>
      <c r="CW2119" s="366" t="s">
        <v>53</v>
      </c>
      <c r="CX2119" s="307">
        <v>-0.35199999999999998</v>
      </c>
      <c r="CY2119" s="307">
        <v>-0.35199999999999998</v>
      </c>
      <c r="CZ2119" s="307">
        <v>-0.35199999999999998</v>
      </c>
    </row>
    <row r="2120" spans="98:104">
      <c r="CT2120" s="366" t="s">
        <v>4708</v>
      </c>
      <c r="CU2120" s="307" t="s">
        <v>208</v>
      </c>
      <c r="CV2120" s="307" t="s">
        <v>4687</v>
      </c>
      <c r="CW2120" s="366" t="s">
        <v>59</v>
      </c>
      <c r="CX2120" s="307">
        <v>-0.35099999999999998</v>
      </c>
      <c r="CY2120" s="307">
        <v>-0.35099999999999998</v>
      </c>
      <c r="CZ2120" s="307">
        <v>-0.35099999999999998</v>
      </c>
    </row>
    <row r="2121" spans="98:104">
      <c r="CT2121" s="366" t="s">
        <v>4709</v>
      </c>
      <c r="CU2121" s="307" t="s">
        <v>208</v>
      </c>
      <c r="CV2121" s="307" t="s">
        <v>4687</v>
      </c>
      <c r="CW2121" s="366" t="s">
        <v>60</v>
      </c>
      <c r="CX2121" s="307">
        <v>-0.35</v>
      </c>
      <c r="CY2121" s="307">
        <v>-0.35</v>
      </c>
      <c r="CZ2121" s="307">
        <v>-0.35</v>
      </c>
    </row>
    <row r="2122" spans="98:104">
      <c r="CT2122" s="366" t="s">
        <v>4710</v>
      </c>
      <c r="CU2122" s="307" t="s">
        <v>208</v>
      </c>
      <c r="CV2122" s="307" t="s">
        <v>4687</v>
      </c>
      <c r="CW2122" s="366" t="s">
        <v>54</v>
      </c>
      <c r="CX2122" s="307">
        <v>-0.34899999999999998</v>
      </c>
      <c r="CY2122" s="307">
        <v>-0.34899999999999998</v>
      </c>
      <c r="CZ2122" s="307">
        <v>-0.34899999999999998</v>
      </c>
    </row>
    <row r="2123" spans="98:104">
      <c r="CT2123" s="366" t="s">
        <v>4711</v>
      </c>
      <c r="CU2123" s="307" t="s">
        <v>208</v>
      </c>
      <c r="CV2123" s="307" t="s">
        <v>4687</v>
      </c>
      <c r="CW2123" s="366" t="s">
        <v>61</v>
      </c>
      <c r="CX2123" s="307">
        <v>-0.34799999999999998</v>
      </c>
      <c r="CY2123" s="307">
        <v>-0.34799999999999998</v>
      </c>
      <c r="CZ2123" s="307">
        <v>-0.34799999999999998</v>
      </c>
    </row>
    <row r="2124" spans="98:104">
      <c r="CT2124" s="366" t="s">
        <v>4712</v>
      </c>
      <c r="CU2124" s="307" t="s">
        <v>208</v>
      </c>
      <c r="CV2124" s="307" t="s">
        <v>4687</v>
      </c>
      <c r="CW2124" s="366" t="s">
        <v>62</v>
      </c>
      <c r="CX2124" s="307">
        <v>-0.34599999999999997</v>
      </c>
      <c r="CY2124" s="307">
        <v>-0.34599999999999997</v>
      </c>
      <c r="CZ2124" s="307">
        <v>-0.34599999999999997</v>
      </c>
    </row>
    <row r="2125" spans="98:104">
      <c r="CT2125" s="366" t="s">
        <v>4713</v>
      </c>
      <c r="CU2125" s="307" t="s">
        <v>208</v>
      </c>
      <c r="CV2125" s="307" t="s">
        <v>4687</v>
      </c>
      <c r="CW2125" s="366" t="s">
        <v>55</v>
      </c>
      <c r="CX2125" s="307">
        <v>-0.34399999999999997</v>
      </c>
      <c r="CY2125" s="307">
        <v>-0.34399999999999997</v>
      </c>
      <c r="CZ2125" s="307">
        <v>-0.34399999999999997</v>
      </c>
    </row>
    <row r="2126" spans="98:104">
      <c r="CT2126" s="366" t="s">
        <v>4714</v>
      </c>
      <c r="CU2126" s="307" t="s">
        <v>208</v>
      </c>
      <c r="CV2126" s="307" t="s">
        <v>4687</v>
      </c>
      <c r="CW2126" s="366" t="s">
        <v>63</v>
      </c>
      <c r="CX2126" s="307">
        <v>-0.34200000000000003</v>
      </c>
      <c r="CY2126" s="307">
        <v>-0.34200000000000003</v>
      </c>
      <c r="CZ2126" s="307">
        <v>-0.34200000000000003</v>
      </c>
    </row>
    <row r="2127" spans="98:104">
      <c r="CT2127" s="366" t="s">
        <v>4715</v>
      </c>
      <c r="CU2127" s="307" t="s">
        <v>208</v>
      </c>
      <c r="CV2127" s="307" t="s">
        <v>4687</v>
      </c>
      <c r="CW2127" s="366" t="s">
        <v>64</v>
      </c>
      <c r="CX2127" s="307">
        <v>-0.33900000000000002</v>
      </c>
      <c r="CY2127" s="307">
        <v>-0.33900000000000002</v>
      </c>
      <c r="CZ2127" s="307">
        <v>-0.33900000000000002</v>
      </c>
    </row>
    <row r="2128" spans="98:104">
      <c r="CT2128" s="366" t="s">
        <v>4716</v>
      </c>
      <c r="CU2128" s="307" t="s">
        <v>208</v>
      </c>
      <c r="CV2128" s="307" t="s">
        <v>4687</v>
      </c>
      <c r="CW2128" s="366" t="s">
        <v>9</v>
      </c>
      <c r="CX2128" s="307">
        <v>-0.33600000000000002</v>
      </c>
      <c r="CY2128" s="307">
        <v>-0.33600000000000002</v>
      </c>
      <c r="CZ2128" s="307">
        <v>-0.33600000000000002</v>
      </c>
    </row>
    <row r="2129" spans="98:104">
      <c r="CT2129" s="366" t="s">
        <v>4717</v>
      </c>
      <c r="CU2129" s="307" t="s">
        <v>208</v>
      </c>
      <c r="CV2129" s="307" t="s">
        <v>4687</v>
      </c>
      <c r="CW2129" s="366" t="s">
        <v>10</v>
      </c>
      <c r="CX2129" s="307">
        <v>-0.28199999999999997</v>
      </c>
      <c r="CY2129" s="307">
        <v>-0.28199999999999997</v>
      </c>
      <c r="CZ2129" s="307">
        <v>-0.28199999999999997</v>
      </c>
    </row>
    <row r="2130" spans="98:104">
      <c r="CT2130" s="366" t="s">
        <v>4718</v>
      </c>
      <c r="CU2130" s="307" t="s">
        <v>208</v>
      </c>
      <c r="CV2130" s="307" t="s">
        <v>4687</v>
      </c>
      <c r="CW2130" s="366" t="s">
        <v>11</v>
      </c>
      <c r="CX2130" s="307">
        <v>-0.20799999999999999</v>
      </c>
      <c r="CY2130" s="307">
        <v>-0.20799999999999999</v>
      </c>
      <c r="CZ2130" s="307">
        <v>-0.20799999999999999</v>
      </c>
    </row>
    <row r="2131" spans="98:104">
      <c r="CT2131" s="366" t="s">
        <v>4719</v>
      </c>
      <c r="CU2131" s="307" t="s">
        <v>208</v>
      </c>
      <c r="CV2131" s="307" t="s">
        <v>4687</v>
      </c>
      <c r="CW2131" s="366" t="s">
        <v>12</v>
      </c>
      <c r="CX2131" s="307">
        <v>-0.113</v>
      </c>
      <c r="CY2131" s="307">
        <v>-0.113</v>
      </c>
      <c r="CZ2131" s="307">
        <v>-0.113</v>
      </c>
    </row>
    <row r="2132" spans="98:104">
      <c r="CT2132" s="366" t="s">
        <v>4720</v>
      </c>
      <c r="CU2132" s="307" t="s">
        <v>208</v>
      </c>
      <c r="CV2132" s="307" t="s">
        <v>4687</v>
      </c>
      <c r="CW2132" s="366" t="s">
        <v>13</v>
      </c>
      <c r="CX2132" s="307">
        <v>-5.0000000000000001E-3</v>
      </c>
      <c r="CY2132" s="307">
        <v>-5.0000000000000001E-3</v>
      </c>
      <c r="CZ2132" s="307">
        <v>-5.0000000000000001E-3</v>
      </c>
    </row>
    <row r="2133" spans="98:104">
      <c r="CT2133" s="366" t="s">
        <v>4721</v>
      </c>
      <c r="CU2133" s="307" t="s">
        <v>208</v>
      </c>
      <c r="CV2133" s="307" t="s">
        <v>4687</v>
      </c>
      <c r="CW2133" s="366" t="s">
        <v>14</v>
      </c>
      <c r="CX2133" s="307">
        <v>0.109</v>
      </c>
      <c r="CY2133" s="307">
        <v>0.109</v>
      </c>
      <c r="CZ2133" s="307">
        <v>0.109</v>
      </c>
    </row>
    <row r="2134" spans="98:104">
      <c r="CT2134" s="366" t="s">
        <v>4722</v>
      </c>
      <c r="CU2134" s="307" t="s">
        <v>208</v>
      </c>
      <c r="CV2134" s="307" t="s">
        <v>4687</v>
      </c>
      <c r="CW2134" s="366" t="s">
        <v>15</v>
      </c>
      <c r="CX2134" s="307">
        <v>0.22600000000000001</v>
      </c>
      <c r="CY2134" s="307">
        <v>0.22600000000000001</v>
      </c>
      <c r="CZ2134" s="307">
        <v>0.22600000000000001</v>
      </c>
    </row>
    <row r="2135" spans="98:104">
      <c r="CT2135" s="366" t="s">
        <v>4723</v>
      </c>
      <c r="CU2135" s="307" t="s">
        <v>208</v>
      </c>
      <c r="CV2135" s="307" t="s">
        <v>4687</v>
      </c>
      <c r="CW2135" s="366" t="s">
        <v>16</v>
      </c>
      <c r="CX2135" s="307">
        <v>0.33800000000000002</v>
      </c>
      <c r="CY2135" s="307">
        <v>0.33800000000000002</v>
      </c>
      <c r="CZ2135" s="307">
        <v>0.33800000000000002</v>
      </c>
    </row>
    <row r="2136" spans="98:104">
      <c r="CT2136" s="366" t="s">
        <v>4724</v>
      </c>
      <c r="CU2136" s="307" t="s">
        <v>208</v>
      </c>
      <c r="CV2136" s="307" t="s">
        <v>4687</v>
      </c>
      <c r="CW2136" s="366" t="s">
        <v>17</v>
      </c>
      <c r="CX2136" s="307">
        <v>0.441</v>
      </c>
      <c r="CY2136" s="307">
        <v>0.441</v>
      </c>
      <c r="CZ2136" s="307">
        <v>0.441</v>
      </c>
    </row>
    <row r="2137" spans="98:104">
      <c r="CT2137" s="366" t="s">
        <v>4725</v>
      </c>
      <c r="CU2137" s="307" t="s">
        <v>208</v>
      </c>
      <c r="CV2137" s="307" t="s">
        <v>4687</v>
      </c>
      <c r="CW2137" s="366" t="s">
        <v>31</v>
      </c>
      <c r="CX2137" s="307">
        <v>0.53500000000000003</v>
      </c>
      <c r="CY2137" s="307">
        <v>0.53500000000000003</v>
      </c>
      <c r="CZ2137" s="307">
        <v>0.53500000000000003</v>
      </c>
    </row>
    <row r="2138" spans="98:104">
      <c r="CT2138" s="366" t="s">
        <v>4726</v>
      </c>
      <c r="CU2138" s="307" t="s">
        <v>208</v>
      </c>
      <c r="CV2138" s="307" t="s">
        <v>4687</v>
      </c>
      <c r="CW2138" s="366" t="s">
        <v>18</v>
      </c>
      <c r="CX2138" s="307">
        <v>0.61899999999999999</v>
      </c>
      <c r="CY2138" s="307">
        <v>0.61899999999999999</v>
      </c>
      <c r="CZ2138" s="307">
        <v>0.61899999999999999</v>
      </c>
    </row>
    <row r="2139" spans="98:104">
      <c r="CT2139" s="366" t="s">
        <v>4727</v>
      </c>
      <c r="CU2139" s="307" t="s">
        <v>208</v>
      </c>
      <c r="CV2139" s="307" t="s">
        <v>4687</v>
      </c>
      <c r="CW2139" s="366" t="s">
        <v>32</v>
      </c>
      <c r="CX2139" s="307">
        <v>0.69199999999999995</v>
      </c>
      <c r="CY2139" s="307">
        <v>0.69199999999999995</v>
      </c>
      <c r="CZ2139" s="307">
        <v>0.69199999999999995</v>
      </c>
    </row>
    <row r="2140" spans="98:104">
      <c r="CT2140" s="366" t="s">
        <v>4728</v>
      </c>
      <c r="CU2140" s="307" t="s">
        <v>208</v>
      </c>
      <c r="CV2140" s="307" t="s">
        <v>4687</v>
      </c>
      <c r="CW2140" s="366" t="s">
        <v>33</v>
      </c>
      <c r="CX2140" s="307">
        <v>0.755</v>
      </c>
      <c r="CY2140" s="307">
        <v>0.755</v>
      </c>
      <c r="CZ2140" s="307">
        <v>0.755</v>
      </c>
    </row>
    <row r="2141" spans="98:104">
      <c r="CT2141" s="366" t="s">
        <v>4729</v>
      </c>
      <c r="CU2141" s="307" t="s">
        <v>208</v>
      </c>
      <c r="CV2141" s="307" t="s">
        <v>4687</v>
      </c>
      <c r="CW2141" s="366" t="s">
        <v>19</v>
      </c>
      <c r="CX2141" s="307">
        <v>0.80900000000000005</v>
      </c>
      <c r="CY2141" s="307">
        <v>0.80900000000000005</v>
      </c>
      <c r="CZ2141" s="307">
        <v>0.80900000000000005</v>
      </c>
    </row>
    <row r="2142" spans="98:104">
      <c r="CT2142" s="366" t="s">
        <v>4730</v>
      </c>
      <c r="CU2142" s="307" t="s">
        <v>208</v>
      </c>
      <c r="CV2142" s="307" t="s">
        <v>4687</v>
      </c>
      <c r="CW2142" s="366" t="s">
        <v>34</v>
      </c>
      <c r="CX2142" s="307">
        <v>0.85399999999999998</v>
      </c>
      <c r="CY2142" s="307">
        <v>0.85399999999999998</v>
      </c>
      <c r="CZ2142" s="307">
        <v>0.85399999999999998</v>
      </c>
    </row>
    <row r="2143" spans="98:104">
      <c r="CT2143" s="366" t="s">
        <v>4731</v>
      </c>
      <c r="CU2143" s="307" t="s">
        <v>208</v>
      </c>
      <c r="CV2143" s="307" t="s">
        <v>4687</v>
      </c>
      <c r="CW2143" s="366" t="s">
        <v>35</v>
      </c>
      <c r="CX2143" s="307">
        <v>0.89200000000000002</v>
      </c>
      <c r="CY2143" s="307">
        <v>0.89200000000000002</v>
      </c>
      <c r="CZ2143" s="307">
        <v>0.89200000000000002</v>
      </c>
    </row>
    <row r="2144" spans="98:104">
      <c r="CT2144" s="366" t="s">
        <v>4732</v>
      </c>
      <c r="CU2144" s="307" t="s">
        <v>208</v>
      </c>
      <c r="CV2144" s="307" t="s">
        <v>4687</v>
      </c>
      <c r="CW2144" s="366" t="s">
        <v>36</v>
      </c>
      <c r="CX2144" s="307">
        <v>0.92400000000000004</v>
      </c>
      <c r="CY2144" s="307">
        <v>0.92400000000000004</v>
      </c>
      <c r="CZ2144" s="307">
        <v>0.92400000000000004</v>
      </c>
    </row>
    <row r="2145" spans="98:104">
      <c r="CT2145" s="366" t="s">
        <v>4733</v>
      </c>
      <c r="CU2145" s="307" t="s">
        <v>208</v>
      </c>
      <c r="CV2145" s="307" t="s">
        <v>4687</v>
      </c>
      <c r="CW2145" s="366" t="s">
        <v>37</v>
      </c>
      <c r="CX2145" s="307">
        <v>0.94899999999999995</v>
      </c>
      <c r="CY2145" s="307">
        <v>0.94899999999999995</v>
      </c>
      <c r="CZ2145" s="307">
        <v>0.94899999999999995</v>
      </c>
    </row>
    <row r="2146" spans="98:104">
      <c r="CT2146" s="366" t="s">
        <v>4734</v>
      </c>
      <c r="CU2146" s="307" t="s">
        <v>208</v>
      </c>
      <c r="CV2146" s="307" t="s">
        <v>4687</v>
      </c>
      <c r="CW2146" s="366" t="s">
        <v>20</v>
      </c>
      <c r="CX2146" s="307">
        <v>0.97</v>
      </c>
      <c r="CY2146" s="307">
        <v>0.97</v>
      </c>
      <c r="CZ2146" s="307">
        <v>0.97</v>
      </c>
    </row>
    <row r="2147" spans="98:104">
      <c r="CT2147" s="366" t="s">
        <v>4735</v>
      </c>
      <c r="CU2147" s="307" t="s">
        <v>208</v>
      </c>
      <c r="CV2147" s="307" t="s">
        <v>4687</v>
      </c>
      <c r="CW2147" s="366" t="s">
        <v>38</v>
      </c>
      <c r="CX2147" s="307">
        <v>0.98699999999999999</v>
      </c>
      <c r="CY2147" s="307">
        <v>0.98699999999999999</v>
      </c>
      <c r="CZ2147" s="307">
        <v>0.98699999999999999</v>
      </c>
    </row>
    <row r="2148" spans="98:104">
      <c r="CT2148" s="366" t="s">
        <v>4736</v>
      </c>
      <c r="CU2148" s="307" t="s">
        <v>208</v>
      </c>
      <c r="CV2148" s="307" t="s">
        <v>4687</v>
      </c>
      <c r="CW2148" s="366" t="s">
        <v>39</v>
      </c>
      <c r="CX2148" s="307">
        <v>1</v>
      </c>
      <c r="CY2148" s="307">
        <v>1</v>
      </c>
      <c r="CZ2148" s="307">
        <v>1</v>
      </c>
    </row>
    <row r="2149" spans="98:104">
      <c r="CT2149" s="366" t="s">
        <v>4737</v>
      </c>
      <c r="CU2149" s="307" t="s">
        <v>208</v>
      </c>
      <c r="CV2149" s="307" t="s">
        <v>4687</v>
      </c>
      <c r="CW2149" s="366" t="s">
        <v>40</v>
      </c>
      <c r="CX2149" s="307">
        <v>1.0109999999999999</v>
      </c>
      <c r="CY2149" s="307">
        <v>1.0109999999999999</v>
      </c>
      <c r="CZ2149" s="307">
        <v>1.0109999999999999</v>
      </c>
    </row>
    <row r="2150" spans="98:104">
      <c r="CT2150" s="366" t="s">
        <v>4738</v>
      </c>
      <c r="CU2150" s="307" t="s">
        <v>208</v>
      </c>
      <c r="CV2150" s="307" t="s">
        <v>4687</v>
      </c>
      <c r="CW2150" s="366" t="s">
        <v>41</v>
      </c>
      <c r="CX2150" s="307">
        <v>1.02</v>
      </c>
      <c r="CY2150" s="307">
        <v>1.02</v>
      </c>
      <c r="CZ2150" s="307">
        <v>1.02</v>
      </c>
    </row>
    <row r="2151" spans="98:104">
      <c r="CT2151" s="366" t="s">
        <v>4739</v>
      </c>
      <c r="CU2151" s="307" t="s">
        <v>208</v>
      </c>
      <c r="CV2151" s="307" t="s">
        <v>4687</v>
      </c>
      <c r="CW2151" s="366" t="s">
        <v>21</v>
      </c>
      <c r="CX2151" s="307">
        <v>1.0269999999999999</v>
      </c>
      <c r="CY2151" s="307">
        <v>1.0269999999999999</v>
      </c>
      <c r="CZ2151" s="307">
        <v>1.0269999999999999</v>
      </c>
    </row>
    <row r="2152" spans="98:104">
      <c r="CT2152" s="366" t="s">
        <v>4740</v>
      </c>
      <c r="CU2152" s="307" t="s">
        <v>208</v>
      </c>
      <c r="CV2152" s="307" t="s">
        <v>4687</v>
      </c>
      <c r="CW2152" s="366" t="s">
        <v>42</v>
      </c>
      <c r="CX2152" s="307">
        <v>1.0329999999999999</v>
      </c>
      <c r="CY2152" s="307">
        <v>1.0329999999999999</v>
      </c>
      <c r="CZ2152" s="307">
        <v>1.0329999999999999</v>
      </c>
    </row>
    <row r="2153" spans="98:104">
      <c r="CT2153" s="366" t="s">
        <v>4741</v>
      </c>
      <c r="CU2153" s="307" t="s">
        <v>208</v>
      </c>
      <c r="CV2153" s="307" t="s">
        <v>4687</v>
      </c>
      <c r="CW2153" s="366" t="s">
        <v>43</v>
      </c>
      <c r="CX2153" s="307">
        <v>1.0389999999999999</v>
      </c>
      <c r="CY2153" s="307">
        <v>1.0389999999999999</v>
      </c>
      <c r="CZ2153" s="307">
        <v>1.0389999999999999</v>
      </c>
    </row>
    <row r="2154" spans="98:104">
      <c r="CT2154" s="366" t="s">
        <v>4742</v>
      </c>
      <c r="CU2154" s="307" t="s">
        <v>208</v>
      </c>
      <c r="CV2154" s="307" t="s">
        <v>4687</v>
      </c>
      <c r="CW2154" s="366" t="s">
        <v>44</v>
      </c>
      <c r="CX2154" s="307">
        <v>1.044</v>
      </c>
      <c r="CY2154" s="307">
        <v>1.044</v>
      </c>
      <c r="CZ2154" s="307">
        <v>1.044</v>
      </c>
    </row>
    <row r="2155" spans="98:104">
      <c r="CT2155" s="366" t="s">
        <v>4743</v>
      </c>
      <c r="CU2155" s="307" t="s">
        <v>208</v>
      </c>
      <c r="CV2155" s="307" t="s">
        <v>4687</v>
      </c>
      <c r="CW2155" s="366" t="s">
        <v>45</v>
      </c>
      <c r="CX2155" s="307">
        <v>1.048</v>
      </c>
      <c r="CY2155" s="307">
        <v>1.048</v>
      </c>
      <c r="CZ2155" s="307">
        <v>1.048</v>
      </c>
    </row>
    <row r="2156" spans="98:104">
      <c r="CT2156" s="366" t="s">
        <v>4744</v>
      </c>
      <c r="CU2156" s="307" t="s">
        <v>208</v>
      </c>
      <c r="CV2156" s="307" t="s">
        <v>4687</v>
      </c>
      <c r="CW2156" s="366" t="s">
        <v>22</v>
      </c>
      <c r="CX2156" s="307">
        <v>1.052</v>
      </c>
      <c r="CY2156" s="307">
        <v>1.052</v>
      </c>
      <c r="CZ2156" s="307">
        <v>1.052</v>
      </c>
    </row>
    <row r="2157" spans="98:104">
      <c r="CT2157" s="366" t="s">
        <v>4745</v>
      </c>
      <c r="CU2157" s="307" t="s">
        <v>208</v>
      </c>
      <c r="CV2157" s="307" t="s">
        <v>4687</v>
      </c>
      <c r="CW2157" s="366" t="s">
        <v>167</v>
      </c>
      <c r="CX2157" s="307">
        <v>1.0629999999999999</v>
      </c>
      <c r="CY2157" s="307">
        <v>1.0629999999999999</v>
      </c>
      <c r="CZ2157" s="307">
        <v>1.0629999999999999</v>
      </c>
    </row>
    <row r="2158" spans="98:104">
      <c r="CT2158" s="366" t="s">
        <v>4746</v>
      </c>
      <c r="CU2158" s="307" t="s">
        <v>208</v>
      </c>
      <c r="CV2158" s="307" t="s">
        <v>4687</v>
      </c>
      <c r="CW2158" s="366" t="s">
        <v>46</v>
      </c>
      <c r="CX2158" s="307">
        <v>1.06</v>
      </c>
      <c r="CY2158" s="307">
        <v>1.06</v>
      </c>
      <c r="CZ2158" s="307">
        <v>1.06</v>
      </c>
    </row>
    <row r="2159" spans="98:104">
      <c r="CT2159" s="366" t="s">
        <v>4747</v>
      </c>
      <c r="CU2159" s="307" t="s">
        <v>208</v>
      </c>
      <c r="CV2159" s="307" t="s">
        <v>4687</v>
      </c>
      <c r="CW2159" s="366" t="s">
        <v>47</v>
      </c>
      <c r="CX2159" s="307">
        <v>1.02</v>
      </c>
      <c r="CY2159" s="307">
        <v>1.02</v>
      </c>
      <c r="CZ2159" s="307">
        <v>1.02</v>
      </c>
    </row>
    <row r="2160" spans="98:104">
      <c r="CT2160" s="366" t="s">
        <v>4748</v>
      </c>
      <c r="CU2160" s="307" t="s">
        <v>208</v>
      </c>
      <c r="CV2160" s="307" t="s">
        <v>4687</v>
      </c>
      <c r="CW2160" s="366" t="s">
        <v>48</v>
      </c>
      <c r="CX2160" s="307">
        <v>0.995</v>
      </c>
      <c r="CY2160" s="307">
        <v>0.995</v>
      </c>
      <c r="CZ2160" s="307">
        <v>0.995</v>
      </c>
    </row>
    <row r="2161" spans="98:104">
      <c r="CT2161" s="366" t="s">
        <v>4749</v>
      </c>
      <c r="CU2161" s="307" t="s">
        <v>208</v>
      </c>
      <c r="CV2161" s="307" t="s">
        <v>4750</v>
      </c>
      <c r="CW2161" s="366" t="s">
        <v>3</v>
      </c>
      <c r="CX2161" s="307">
        <v>-0.36999989999999999</v>
      </c>
      <c r="CY2161" s="307">
        <v>-0.36999989999999999</v>
      </c>
      <c r="CZ2161" s="307">
        <v>-0.36999989999999999</v>
      </c>
    </row>
    <row r="2162" spans="98:104">
      <c r="CT2162" s="366" t="s">
        <v>4751</v>
      </c>
      <c r="CU2162" s="307" t="s">
        <v>208</v>
      </c>
      <c r="CV2162" s="307" t="s">
        <v>4750</v>
      </c>
      <c r="CW2162" s="366" t="s">
        <v>4</v>
      </c>
      <c r="CX2162" s="307">
        <v>-0.37</v>
      </c>
      <c r="CY2162" s="307">
        <v>-0.37</v>
      </c>
      <c r="CZ2162" s="307">
        <v>-0.37</v>
      </c>
    </row>
    <row r="2163" spans="98:104">
      <c r="CT2163" s="366" t="s">
        <v>4752</v>
      </c>
      <c r="CU2163" s="307" t="s">
        <v>208</v>
      </c>
      <c r="CV2163" s="307" t="s">
        <v>4750</v>
      </c>
      <c r="CW2163" s="366" t="s">
        <v>23</v>
      </c>
      <c r="CX2163" s="307">
        <v>-0.37</v>
      </c>
      <c r="CY2163" s="307">
        <v>-0.37</v>
      </c>
      <c r="CZ2163" s="307">
        <v>-0.37</v>
      </c>
    </row>
    <row r="2164" spans="98:104">
      <c r="CT2164" s="366" t="s">
        <v>4753</v>
      </c>
      <c r="CU2164" s="307" t="s">
        <v>208</v>
      </c>
      <c r="CV2164" s="307" t="s">
        <v>4750</v>
      </c>
      <c r="CW2164" s="366" t="s">
        <v>5</v>
      </c>
      <c r="CX2164" s="307">
        <v>-0.34899999999999998</v>
      </c>
      <c r="CY2164" s="307">
        <v>-0.34899999999999998</v>
      </c>
      <c r="CZ2164" s="307">
        <v>-0.34899999999999998</v>
      </c>
    </row>
    <row r="2165" spans="98:104">
      <c r="CT2165" s="366" t="s">
        <v>4754</v>
      </c>
      <c r="CU2165" s="307" t="s">
        <v>208</v>
      </c>
      <c r="CV2165" s="307" t="s">
        <v>4750</v>
      </c>
      <c r="CW2165" s="366" t="s">
        <v>6</v>
      </c>
      <c r="CX2165" s="307">
        <v>-0.34699999999999998</v>
      </c>
      <c r="CY2165" s="307">
        <v>-0.34699999999999998</v>
      </c>
      <c r="CZ2165" s="307">
        <v>-0.34699999999999998</v>
      </c>
    </row>
    <row r="2166" spans="98:104">
      <c r="CT2166" s="366" t="s">
        <v>4755</v>
      </c>
      <c r="CU2166" s="307" t="s">
        <v>208</v>
      </c>
      <c r="CV2166" s="307" t="s">
        <v>4750</v>
      </c>
      <c r="CW2166" s="366" t="s">
        <v>24</v>
      </c>
      <c r="CX2166" s="307">
        <v>-0.34799999999999998</v>
      </c>
      <c r="CY2166" s="307">
        <v>-0.34799999999999998</v>
      </c>
      <c r="CZ2166" s="307">
        <v>-0.34799999999999998</v>
      </c>
    </row>
    <row r="2167" spans="98:104">
      <c r="CT2167" s="366" t="s">
        <v>4756</v>
      </c>
      <c r="CU2167" s="307" t="s">
        <v>208</v>
      </c>
      <c r="CV2167" s="307" t="s">
        <v>4750</v>
      </c>
      <c r="CW2167" s="366" t="s">
        <v>7</v>
      </c>
      <c r="CX2167" s="307">
        <v>-0.34899999999999998</v>
      </c>
      <c r="CY2167" s="307">
        <v>-0.34899999999999998</v>
      </c>
      <c r="CZ2167" s="307">
        <v>-0.34899999999999998</v>
      </c>
    </row>
    <row r="2168" spans="98:104">
      <c r="CT2168" s="366" t="s">
        <v>4757</v>
      </c>
      <c r="CU2168" s="307" t="s">
        <v>208</v>
      </c>
      <c r="CV2168" s="307" t="s">
        <v>4750</v>
      </c>
      <c r="CW2168" s="366" t="s">
        <v>8</v>
      </c>
      <c r="CX2168" s="307">
        <v>-0.34699999999999998</v>
      </c>
      <c r="CY2168" s="307">
        <v>-0.34699999999999998</v>
      </c>
      <c r="CZ2168" s="307">
        <v>-0.34699999999999998</v>
      </c>
    </row>
    <row r="2169" spans="98:104">
      <c r="CT2169" s="366" t="s">
        <v>4758</v>
      </c>
      <c r="CU2169" s="307" t="s">
        <v>208</v>
      </c>
      <c r="CV2169" s="307" t="s">
        <v>4750</v>
      </c>
      <c r="CW2169" s="366" t="s">
        <v>25</v>
      </c>
      <c r="CX2169" s="307">
        <v>-0.34799999999999998</v>
      </c>
      <c r="CY2169" s="307">
        <v>-0.34799999999999998</v>
      </c>
      <c r="CZ2169" s="307">
        <v>-0.34799999999999998</v>
      </c>
    </row>
    <row r="2170" spans="98:104">
      <c r="CT2170" s="366" t="s">
        <v>4759</v>
      </c>
      <c r="CU2170" s="307" t="s">
        <v>208</v>
      </c>
      <c r="CV2170" s="307" t="s">
        <v>4750</v>
      </c>
      <c r="CW2170" s="366" t="s">
        <v>26</v>
      </c>
      <c r="CX2170" s="307">
        <v>-0.34899999999999998</v>
      </c>
      <c r="CY2170" s="307">
        <v>-0.34899999999999998</v>
      </c>
      <c r="CZ2170" s="307">
        <v>-0.34899999999999998</v>
      </c>
    </row>
    <row r="2171" spans="98:104">
      <c r="CT2171" s="366" t="s">
        <v>4760</v>
      </c>
      <c r="CU2171" s="307" t="s">
        <v>208</v>
      </c>
      <c r="CV2171" s="307" t="s">
        <v>4750</v>
      </c>
      <c r="CW2171" s="366" t="s">
        <v>27</v>
      </c>
      <c r="CX2171" s="307">
        <v>-0.35099999999999998</v>
      </c>
      <c r="CY2171" s="307">
        <v>-0.35099999999999998</v>
      </c>
      <c r="CZ2171" s="307">
        <v>-0.35099999999999998</v>
      </c>
    </row>
    <row r="2172" spans="98:104">
      <c r="CT2172" s="366" t="s">
        <v>4761</v>
      </c>
      <c r="CU2172" s="307" t="s">
        <v>208</v>
      </c>
      <c r="CV2172" s="307" t="s">
        <v>4750</v>
      </c>
      <c r="CW2172" s="366" t="s">
        <v>28</v>
      </c>
      <c r="CX2172" s="307">
        <v>-0.35199999999999998</v>
      </c>
      <c r="CY2172" s="307">
        <v>-0.35199999999999998</v>
      </c>
      <c r="CZ2172" s="307">
        <v>-0.35199999999999998</v>
      </c>
    </row>
    <row r="2173" spans="98:104">
      <c r="CT2173" s="366" t="s">
        <v>4762</v>
      </c>
      <c r="CU2173" s="307" t="s">
        <v>208</v>
      </c>
      <c r="CV2173" s="307" t="s">
        <v>4750</v>
      </c>
      <c r="CW2173" s="366" t="s">
        <v>29</v>
      </c>
      <c r="CX2173" s="307">
        <v>-0.35299999999999998</v>
      </c>
      <c r="CY2173" s="307">
        <v>-0.35299999999999998</v>
      </c>
      <c r="CZ2173" s="307">
        <v>-0.35299999999999998</v>
      </c>
    </row>
    <row r="2174" spans="98:104">
      <c r="CT2174" s="366" t="s">
        <v>4763</v>
      </c>
      <c r="CU2174" s="307" t="s">
        <v>208</v>
      </c>
      <c r="CV2174" s="307" t="s">
        <v>4750</v>
      </c>
      <c r="CW2174" s="366" t="s">
        <v>30</v>
      </c>
      <c r="CX2174" s="307">
        <v>-0.35299999999999998</v>
      </c>
      <c r="CY2174" s="307">
        <v>-0.35299999999999998</v>
      </c>
      <c r="CZ2174" s="307">
        <v>-0.35299999999999998</v>
      </c>
    </row>
    <row r="2175" spans="98:104">
      <c r="CT2175" s="366" t="s">
        <v>4764</v>
      </c>
      <c r="CU2175" s="307" t="s">
        <v>208</v>
      </c>
      <c r="CV2175" s="307" t="s">
        <v>4750</v>
      </c>
      <c r="CW2175" s="366" t="s">
        <v>49</v>
      </c>
      <c r="CX2175" s="307">
        <v>-0.35399999999999998</v>
      </c>
      <c r="CY2175" s="307">
        <v>-0.35399999999999998</v>
      </c>
      <c r="CZ2175" s="307">
        <v>-0.35399999999999998</v>
      </c>
    </row>
    <row r="2176" spans="98:104">
      <c r="CT2176" s="366" t="s">
        <v>4765</v>
      </c>
      <c r="CU2176" s="307" t="s">
        <v>208</v>
      </c>
      <c r="CV2176" s="307" t="s">
        <v>4750</v>
      </c>
      <c r="CW2176" s="366" t="s">
        <v>50</v>
      </c>
      <c r="CX2176" s="307">
        <v>-0.35399999999999998</v>
      </c>
      <c r="CY2176" s="307">
        <v>-0.35399999999999998</v>
      </c>
      <c r="CZ2176" s="307">
        <v>-0.35399999999999998</v>
      </c>
    </row>
    <row r="2177" spans="98:104">
      <c r="CT2177" s="366" t="s">
        <v>4766</v>
      </c>
      <c r="CU2177" s="307" t="s">
        <v>208</v>
      </c>
      <c r="CV2177" s="307" t="s">
        <v>4750</v>
      </c>
      <c r="CW2177" s="366" t="s">
        <v>51</v>
      </c>
      <c r="CX2177" s="307">
        <v>-0.35299999999999998</v>
      </c>
      <c r="CY2177" s="307">
        <v>-0.35299999999999998</v>
      </c>
      <c r="CZ2177" s="307">
        <v>-0.35299999999999998</v>
      </c>
    </row>
    <row r="2178" spans="98:104">
      <c r="CT2178" s="366" t="s">
        <v>4767</v>
      </c>
      <c r="CU2178" s="307" t="s">
        <v>208</v>
      </c>
      <c r="CV2178" s="307" t="s">
        <v>4750</v>
      </c>
      <c r="CW2178" s="366" t="s">
        <v>56</v>
      </c>
      <c r="CX2178" s="307">
        <v>-0.35299999999999998</v>
      </c>
      <c r="CY2178" s="307">
        <v>-0.35299999999999998</v>
      </c>
      <c r="CZ2178" s="307">
        <v>-0.35299999999999998</v>
      </c>
    </row>
    <row r="2179" spans="98:104">
      <c r="CT2179" s="366" t="s">
        <v>4768</v>
      </c>
      <c r="CU2179" s="307" t="s">
        <v>208</v>
      </c>
      <c r="CV2179" s="307" t="s">
        <v>4750</v>
      </c>
      <c r="CW2179" s="366" t="s">
        <v>57</v>
      </c>
      <c r="CX2179" s="307">
        <v>-0.35299999999999998</v>
      </c>
      <c r="CY2179" s="307">
        <v>-0.35299999999999998</v>
      </c>
      <c r="CZ2179" s="307">
        <v>-0.35299999999999998</v>
      </c>
    </row>
    <row r="2180" spans="98:104">
      <c r="CT2180" s="366" t="s">
        <v>4769</v>
      </c>
      <c r="CU2180" s="307" t="s">
        <v>208</v>
      </c>
      <c r="CV2180" s="307" t="s">
        <v>4750</v>
      </c>
      <c r="CW2180" s="366" t="s">
        <v>58</v>
      </c>
      <c r="CX2180" s="307">
        <v>-0.35199999999999998</v>
      </c>
      <c r="CY2180" s="307">
        <v>-0.35199999999999998</v>
      </c>
      <c r="CZ2180" s="307">
        <v>-0.35199999999999998</v>
      </c>
    </row>
    <row r="2181" spans="98:104">
      <c r="CT2181" s="366" t="s">
        <v>4770</v>
      </c>
      <c r="CU2181" s="307" t="s">
        <v>208</v>
      </c>
      <c r="CV2181" s="307" t="s">
        <v>4750</v>
      </c>
      <c r="CW2181" s="366" t="s">
        <v>53</v>
      </c>
      <c r="CX2181" s="307">
        <v>-0.35199999999999998</v>
      </c>
      <c r="CY2181" s="307">
        <v>-0.35199999999999998</v>
      </c>
      <c r="CZ2181" s="307">
        <v>-0.35199999999999998</v>
      </c>
    </row>
    <row r="2182" spans="98:104">
      <c r="CT2182" s="366" t="s">
        <v>4771</v>
      </c>
      <c r="CU2182" s="307" t="s">
        <v>208</v>
      </c>
      <c r="CV2182" s="307" t="s">
        <v>4750</v>
      </c>
      <c r="CW2182" s="366" t="s">
        <v>59</v>
      </c>
      <c r="CX2182" s="307">
        <v>-0.35099999999999998</v>
      </c>
      <c r="CY2182" s="307">
        <v>-0.35099999999999998</v>
      </c>
      <c r="CZ2182" s="307">
        <v>-0.35099999999999998</v>
      </c>
    </row>
    <row r="2183" spans="98:104">
      <c r="CT2183" s="366" t="s">
        <v>4772</v>
      </c>
      <c r="CU2183" s="307" t="s">
        <v>208</v>
      </c>
      <c r="CV2183" s="307" t="s">
        <v>4750</v>
      </c>
      <c r="CW2183" s="366" t="s">
        <v>60</v>
      </c>
      <c r="CX2183" s="307">
        <v>-0.35</v>
      </c>
      <c r="CY2183" s="307">
        <v>-0.35</v>
      </c>
      <c r="CZ2183" s="307">
        <v>-0.35</v>
      </c>
    </row>
    <row r="2184" spans="98:104">
      <c r="CT2184" s="366" t="s">
        <v>4773</v>
      </c>
      <c r="CU2184" s="307" t="s">
        <v>208</v>
      </c>
      <c r="CV2184" s="307" t="s">
        <v>4750</v>
      </c>
      <c r="CW2184" s="366" t="s">
        <v>54</v>
      </c>
      <c r="CX2184" s="307">
        <v>-0.34899999999999998</v>
      </c>
      <c r="CY2184" s="307">
        <v>-0.34899999999999998</v>
      </c>
      <c r="CZ2184" s="307">
        <v>-0.34899999999999998</v>
      </c>
    </row>
    <row r="2185" spans="98:104">
      <c r="CT2185" s="366" t="s">
        <v>4774</v>
      </c>
      <c r="CU2185" s="307" t="s">
        <v>208</v>
      </c>
      <c r="CV2185" s="307" t="s">
        <v>4750</v>
      </c>
      <c r="CW2185" s="366" t="s">
        <v>61</v>
      </c>
      <c r="CX2185" s="307">
        <v>-0.34799999999999998</v>
      </c>
      <c r="CY2185" s="307">
        <v>-0.34799999999999998</v>
      </c>
      <c r="CZ2185" s="307">
        <v>-0.34799999999999998</v>
      </c>
    </row>
    <row r="2186" spans="98:104">
      <c r="CT2186" s="366" t="s">
        <v>4775</v>
      </c>
      <c r="CU2186" s="307" t="s">
        <v>208</v>
      </c>
      <c r="CV2186" s="307" t="s">
        <v>4750</v>
      </c>
      <c r="CW2186" s="366" t="s">
        <v>62</v>
      </c>
      <c r="CX2186" s="307">
        <v>-0.34599999999999997</v>
      </c>
      <c r="CY2186" s="307">
        <v>-0.34599999999999997</v>
      </c>
      <c r="CZ2186" s="307">
        <v>-0.34599999999999997</v>
      </c>
    </row>
    <row r="2187" spans="98:104">
      <c r="CT2187" s="366" t="s">
        <v>4776</v>
      </c>
      <c r="CU2187" s="307" t="s">
        <v>208</v>
      </c>
      <c r="CV2187" s="307" t="s">
        <v>4750</v>
      </c>
      <c r="CW2187" s="366" t="s">
        <v>55</v>
      </c>
      <c r="CX2187" s="307">
        <v>-0.34399999999999997</v>
      </c>
      <c r="CY2187" s="307">
        <v>-0.34399999999999997</v>
      </c>
      <c r="CZ2187" s="307">
        <v>-0.34399999999999997</v>
      </c>
    </row>
    <row r="2188" spans="98:104">
      <c r="CT2188" s="366" t="s">
        <v>4777</v>
      </c>
      <c r="CU2188" s="307" t="s">
        <v>208</v>
      </c>
      <c r="CV2188" s="307" t="s">
        <v>4750</v>
      </c>
      <c r="CW2188" s="366" t="s">
        <v>63</v>
      </c>
      <c r="CX2188" s="307">
        <v>-0.34200000000000003</v>
      </c>
      <c r="CY2188" s="307">
        <v>-0.34200000000000003</v>
      </c>
      <c r="CZ2188" s="307">
        <v>-0.34200000000000003</v>
      </c>
    </row>
    <row r="2189" spans="98:104">
      <c r="CT2189" s="366" t="s">
        <v>4778</v>
      </c>
      <c r="CU2189" s="307" t="s">
        <v>208</v>
      </c>
      <c r="CV2189" s="307" t="s">
        <v>4750</v>
      </c>
      <c r="CW2189" s="366" t="s">
        <v>64</v>
      </c>
      <c r="CX2189" s="307">
        <v>-0.33900000000000002</v>
      </c>
      <c r="CY2189" s="307">
        <v>-0.33900000000000002</v>
      </c>
      <c r="CZ2189" s="307">
        <v>-0.33900000000000002</v>
      </c>
    </row>
    <row r="2190" spans="98:104">
      <c r="CT2190" s="366" t="s">
        <v>4779</v>
      </c>
      <c r="CU2190" s="307" t="s">
        <v>208</v>
      </c>
      <c r="CV2190" s="307" t="s">
        <v>4750</v>
      </c>
      <c r="CW2190" s="366" t="s">
        <v>9</v>
      </c>
      <c r="CX2190" s="307">
        <v>-0.33600000000000002</v>
      </c>
      <c r="CY2190" s="307">
        <v>-0.33600000000000002</v>
      </c>
      <c r="CZ2190" s="307">
        <v>-0.33600000000000002</v>
      </c>
    </row>
    <row r="2191" spans="98:104">
      <c r="CT2191" s="366" t="s">
        <v>4780</v>
      </c>
      <c r="CU2191" s="307" t="s">
        <v>208</v>
      </c>
      <c r="CV2191" s="307" t="s">
        <v>4750</v>
      </c>
      <c r="CW2191" s="366" t="s">
        <v>10</v>
      </c>
      <c r="CX2191" s="307">
        <v>-0.28199999999999997</v>
      </c>
      <c r="CY2191" s="307">
        <v>-0.28199999999999997</v>
      </c>
      <c r="CZ2191" s="307">
        <v>-0.28199999999999997</v>
      </c>
    </row>
    <row r="2192" spans="98:104">
      <c r="CT2192" s="366" t="s">
        <v>4781</v>
      </c>
      <c r="CU2192" s="307" t="s">
        <v>208</v>
      </c>
      <c r="CV2192" s="307" t="s">
        <v>4750</v>
      </c>
      <c r="CW2192" s="366" t="s">
        <v>11</v>
      </c>
      <c r="CX2192" s="307">
        <v>-0.20799999999999999</v>
      </c>
      <c r="CY2192" s="307">
        <v>-0.20799999999999999</v>
      </c>
      <c r="CZ2192" s="307">
        <v>-0.20799999999999999</v>
      </c>
    </row>
    <row r="2193" spans="98:104">
      <c r="CT2193" s="366" t="s">
        <v>4782</v>
      </c>
      <c r="CU2193" s="307" t="s">
        <v>208</v>
      </c>
      <c r="CV2193" s="307" t="s">
        <v>4750</v>
      </c>
      <c r="CW2193" s="366" t="s">
        <v>12</v>
      </c>
      <c r="CX2193" s="307">
        <v>-0.113</v>
      </c>
      <c r="CY2193" s="307">
        <v>-0.113</v>
      </c>
      <c r="CZ2193" s="307">
        <v>-0.113</v>
      </c>
    </row>
    <row r="2194" spans="98:104">
      <c r="CT2194" s="366" t="s">
        <v>4783</v>
      </c>
      <c r="CU2194" s="307" t="s">
        <v>208</v>
      </c>
      <c r="CV2194" s="307" t="s">
        <v>4750</v>
      </c>
      <c r="CW2194" s="366" t="s">
        <v>13</v>
      </c>
      <c r="CX2194" s="307">
        <v>-5.0000000000000001E-3</v>
      </c>
      <c r="CY2194" s="307">
        <v>-5.0000000000000001E-3</v>
      </c>
      <c r="CZ2194" s="307">
        <v>-5.0000000000000001E-3</v>
      </c>
    </row>
    <row r="2195" spans="98:104">
      <c r="CT2195" s="366" t="s">
        <v>4784</v>
      </c>
      <c r="CU2195" s="307" t="s">
        <v>208</v>
      </c>
      <c r="CV2195" s="307" t="s">
        <v>4750</v>
      </c>
      <c r="CW2195" s="366" t="s">
        <v>14</v>
      </c>
      <c r="CX2195" s="307">
        <v>0.109</v>
      </c>
      <c r="CY2195" s="307">
        <v>0.109</v>
      </c>
      <c r="CZ2195" s="307">
        <v>0.109</v>
      </c>
    </row>
    <row r="2196" spans="98:104">
      <c r="CT2196" s="366" t="s">
        <v>4785</v>
      </c>
      <c r="CU2196" s="307" t="s">
        <v>208</v>
      </c>
      <c r="CV2196" s="307" t="s">
        <v>4750</v>
      </c>
      <c r="CW2196" s="366" t="s">
        <v>15</v>
      </c>
      <c r="CX2196" s="307">
        <v>0.22600000000000001</v>
      </c>
      <c r="CY2196" s="307">
        <v>0.22600000000000001</v>
      </c>
      <c r="CZ2196" s="307">
        <v>0.22600000000000001</v>
      </c>
    </row>
    <row r="2197" spans="98:104">
      <c r="CT2197" s="366" t="s">
        <v>4786</v>
      </c>
      <c r="CU2197" s="307" t="s">
        <v>208</v>
      </c>
      <c r="CV2197" s="307" t="s">
        <v>4750</v>
      </c>
      <c r="CW2197" s="366" t="s">
        <v>16</v>
      </c>
      <c r="CX2197" s="307">
        <v>0.33800000000000002</v>
      </c>
      <c r="CY2197" s="307">
        <v>0.33800000000000002</v>
      </c>
      <c r="CZ2197" s="307">
        <v>0.33800000000000002</v>
      </c>
    </row>
    <row r="2198" spans="98:104">
      <c r="CT2198" s="366" t="s">
        <v>4787</v>
      </c>
      <c r="CU2198" s="307" t="s">
        <v>208</v>
      </c>
      <c r="CV2198" s="307" t="s">
        <v>4750</v>
      </c>
      <c r="CW2198" s="366" t="s">
        <v>17</v>
      </c>
      <c r="CX2198" s="307">
        <v>0.441</v>
      </c>
      <c r="CY2198" s="307">
        <v>0.441</v>
      </c>
      <c r="CZ2198" s="307">
        <v>0.441</v>
      </c>
    </row>
    <row r="2199" spans="98:104">
      <c r="CT2199" s="366" t="s">
        <v>4788</v>
      </c>
      <c r="CU2199" s="307" t="s">
        <v>208</v>
      </c>
      <c r="CV2199" s="307" t="s">
        <v>4750</v>
      </c>
      <c r="CW2199" s="366" t="s">
        <v>31</v>
      </c>
      <c r="CX2199" s="307">
        <v>0.53500000000000003</v>
      </c>
      <c r="CY2199" s="307">
        <v>0.53500000000000003</v>
      </c>
      <c r="CZ2199" s="307">
        <v>0.53500000000000003</v>
      </c>
    </row>
    <row r="2200" spans="98:104">
      <c r="CT2200" s="366" t="s">
        <v>4789</v>
      </c>
      <c r="CU2200" s="307" t="s">
        <v>208</v>
      </c>
      <c r="CV2200" s="307" t="s">
        <v>4750</v>
      </c>
      <c r="CW2200" s="366" t="s">
        <v>18</v>
      </c>
      <c r="CX2200" s="307">
        <v>0.61899999999999999</v>
      </c>
      <c r="CY2200" s="307">
        <v>0.61899999999999999</v>
      </c>
      <c r="CZ2200" s="307">
        <v>0.61899999999999999</v>
      </c>
    </row>
    <row r="2201" spans="98:104">
      <c r="CT2201" s="366" t="s">
        <v>4790</v>
      </c>
      <c r="CU2201" s="307" t="s">
        <v>208</v>
      </c>
      <c r="CV2201" s="307" t="s">
        <v>4750</v>
      </c>
      <c r="CW2201" s="366" t="s">
        <v>32</v>
      </c>
      <c r="CX2201" s="307">
        <v>0.69199999999999995</v>
      </c>
      <c r="CY2201" s="307">
        <v>0.69199999999999995</v>
      </c>
      <c r="CZ2201" s="307">
        <v>0.69199999999999995</v>
      </c>
    </row>
    <row r="2202" spans="98:104">
      <c r="CT2202" s="366" t="s">
        <v>4791</v>
      </c>
      <c r="CU2202" s="307" t="s">
        <v>208</v>
      </c>
      <c r="CV2202" s="307" t="s">
        <v>4750</v>
      </c>
      <c r="CW2202" s="366" t="s">
        <v>33</v>
      </c>
      <c r="CX2202" s="307">
        <v>0.755</v>
      </c>
      <c r="CY2202" s="307">
        <v>0.755</v>
      </c>
      <c r="CZ2202" s="307">
        <v>0.755</v>
      </c>
    </row>
    <row r="2203" spans="98:104">
      <c r="CT2203" s="366" t="s">
        <v>4792</v>
      </c>
      <c r="CU2203" s="307" t="s">
        <v>208</v>
      </c>
      <c r="CV2203" s="307" t="s">
        <v>4750</v>
      </c>
      <c r="CW2203" s="366" t="s">
        <v>19</v>
      </c>
      <c r="CX2203" s="307">
        <v>0.80900000000000005</v>
      </c>
      <c r="CY2203" s="307">
        <v>0.80900000000000005</v>
      </c>
      <c r="CZ2203" s="307">
        <v>0.80900000000000005</v>
      </c>
    </row>
    <row r="2204" spans="98:104">
      <c r="CT2204" s="366" t="s">
        <v>4793</v>
      </c>
      <c r="CU2204" s="307" t="s">
        <v>208</v>
      </c>
      <c r="CV2204" s="307" t="s">
        <v>4750</v>
      </c>
      <c r="CW2204" s="366" t="s">
        <v>34</v>
      </c>
      <c r="CX2204" s="307">
        <v>0.85399999999999998</v>
      </c>
      <c r="CY2204" s="307">
        <v>0.85399999999999998</v>
      </c>
      <c r="CZ2204" s="307">
        <v>0.85399999999999998</v>
      </c>
    </row>
    <row r="2205" spans="98:104">
      <c r="CT2205" s="366" t="s">
        <v>4794</v>
      </c>
      <c r="CU2205" s="307" t="s">
        <v>208</v>
      </c>
      <c r="CV2205" s="307" t="s">
        <v>4750</v>
      </c>
      <c r="CW2205" s="366" t="s">
        <v>35</v>
      </c>
      <c r="CX2205" s="307">
        <v>0.89200000000000002</v>
      </c>
      <c r="CY2205" s="307">
        <v>0.89200000000000002</v>
      </c>
      <c r="CZ2205" s="307">
        <v>0.89200000000000002</v>
      </c>
    </row>
    <row r="2206" spans="98:104">
      <c r="CT2206" s="366" t="s">
        <v>4795</v>
      </c>
      <c r="CU2206" s="307" t="s">
        <v>208</v>
      </c>
      <c r="CV2206" s="307" t="s">
        <v>4750</v>
      </c>
      <c r="CW2206" s="366" t="s">
        <v>36</v>
      </c>
      <c r="CX2206" s="307">
        <v>0.92400000000000004</v>
      </c>
      <c r="CY2206" s="307">
        <v>0.92400000000000004</v>
      </c>
      <c r="CZ2206" s="307">
        <v>0.92400000000000004</v>
      </c>
    </row>
    <row r="2207" spans="98:104">
      <c r="CT2207" s="366" t="s">
        <v>4796</v>
      </c>
      <c r="CU2207" s="307" t="s">
        <v>208</v>
      </c>
      <c r="CV2207" s="307" t="s">
        <v>4750</v>
      </c>
      <c r="CW2207" s="366" t="s">
        <v>37</v>
      </c>
      <c r="CX2207" s="307">
        <v>0.94899999999999995</v>
      </c>
      <c r="CY2207" s="307">
        <v>0.94899999999999995</v>
      </c>
      <c r="CZ2207" s="307">
        <v>0.94899999999999995</v>
      </c>
    </row>
    <row r="2208" spans="98:104">
      <c r="CT2208" s="366" t="s">
        <v>4797</v>
      </c>
      <c r="CU2208" s="307" t="s">
        <v>208</v>
      </c>
      <c r="CV2208" s="307" t="s">
        <v>4750</v>
      </c>
      <c r="CW2208" s="366" t="s">
        <v>20</v>
      </c>
      <c r="CX2208" s="307">
        <v>0.97</v>
      </c>
      <c r="CY2208" s="307">
        <v>0.97</v>
      </c>
      <c r="CZ2208" s="307">
        <v>0.97</v>
      </c>
    </row>
    <row r="2209" spans="98:104">
      <c r="CT2209" s="366" t="s">
        <v>4798</v>
      </c>
      <c r="CU2209" s="307" t="s">
        <v>208</v>
      </c>
      <c r="CV2209" s="307" t="s">
        <v>4750</v>
      </c>
      <c r="CW2209" s="366" t="s">
        <v>38</v>
      </c>
      <c r="CX2209" s="307">
        <v>0.98699999999999999</v>
      </c>
      <c r="CY2209" s="307">
        <v>0.98699999999999999</v>
      </c>
      <c r="CZ2209" s="307">
        <v>0.98699999999999999</v>
      </c>
    </row>
    <row r="2210" spans="98:104">
      <c r="CT2210" s="366" t="s">
        <v>4799</v>
      </c>
      <c r="CU2210" s="307" t="s">
        <v>208</v>
      </c>
      <c r="CV2210" s="307" t="s">
        <v>4750</v>
      </c>
      <c r="CW2210" s="366" t="s">
        <v>39</v>
      </c>
      <c r="CX2210" s="307">
        <v>1</v>
      </c>
      <c r="CY2210" s="307">
        <v>1</v>
      </c>
      <c r="CZ2210" s="307">
        <v>1</v>
      </c>
    </row>
    <row r="2211" spans="98:104">
      <c r="CT2211" s="366" t="s">
        <v>4800</v>
      </c>
      <c r="CU2211" s="307" t="s">
        <v>208</v>
      </c>
      <c r="CV2211" s="307" t="s">
        <v>4750</v>
      </c>
      <c r="CW2211" s="366" t="s">
        <v>40</v>
      </c>
      <c r="CX2211" s="307">
        <v>1.0109999999999999</v>
      </c>
      <c r="CY2211" s="307">
        <v>1.0109999999999999</v>
      </c>
      <c r="CZ2211" s="307">
        <v>1.0109999999999999</v>
      </c>
    </row>
    <row r="2212" spans="98:104">
      <c r="CT2212" s="366" t="s">
        <v>4801</v>
      </c>
      <c r="CU2212" s="307" t="s">
        <v>208</v>
      </c>
      <c r="CV2212" s="307" t="s">
        <v>4750</v>
      </c>
      <c r="CW2212" s="366" t="s">
        <v>41</v>
      </c>
      <c r="CX2212" s="307">
        <v>1.02</v>
      </c>
      <c r="CY2212" s="307">
        <v>1.02</v>
      </c>
      <c r="CZ2212" s="307">
        <v>1.02</v>
      </c>
    </row>
    <row r="2213" spans="98:104">
      <c r="CT2213" s="366" t="s">
        <v>4802</v>
      </c>
      <c r="CU2213" s="307" t="s">
        <v>208</v>
      </c>
      <c r="CV2213" s="307" t="s">
        <v>4750</v>
      </c>
      <c r="CW2213" s="366" t="s">
        <v>21</v>
      </c>
      <c r="CX2213" s="307">
        <v>1.0269999999999999</v>
      </c>
      <c r="CY2213" s="307">
        <v>1.0269999999999999</v>
      </c>
      <c r="CZ2213" s="307">
        <v>1.0269999999999999</v>
      </c>
    </row>
    <row r="2214" spans="98:104">
      <c r="CT2214" s="366" t="s">
        <v>4803</v>
      </c>
      <c r="CU2214" s="307" t="s">
        <v>208</v>
      </c>
      <c r="CV2214" s="307" t="s">
        <v>4750</v>
      </c>
      <c r="CW2214" s="366" t="s">
        <v>42</v>
      </c>
      <c r="CX2214" s="307">
        <v>1.0329999999999999</v>
      </c>
      <c r="CY2214" s="307">
        <v>1.0329999999999999</v>
      </c>
      <c r="CZ2214" s="307">
        <v>1.0329999999999999</v>
      </c>
    </row>
    <row r="2215" spans="98:104">
      <c r="CT2215" s="366" t="s">
        <v>4804</v>
      </c>
      <c r="CU2215" s="307" t="s">
        <v>208</v>
      </c>
      <c r="CV2215" s="307" t="s">
        <v>4750</v>
      </c>
      <c r="CW2215" s="366" t="s">
        <v>43</v>
      </c>
      <c r="CX2215" s="307">
        <v>1.0389999999999999</v>
      </c>
      <c r="CY2215" s="307">
        <v>1.0389999999999999</v>
      </c>
      <c r="CZ2215" s="307">
        <v>1.0389999999999999</v>
      </c>
    </row>
    <row r="2216" spans="98:104">
      <c r="CT2216" s="366" t="s">
        <v>4805</v>
      </c>
      <c r="CU2216" s="307" t="s">
        <v>208</v>
      </c>
      <c r="CV2216" s="307" t="s">
        <v>4750</v>
      </c>
      <c r="CW2216" s="366" t="s">
        <v>44</v>
      </c>
      <c r="CX2216" s="307">
        <v>1.044</v>
      </c>
      <c r="CY2216" s="307">
        <v>1.044</v>
      </c>
      <c r="CZ2216" s="307">
        <v>1.044</v>
      </c>
    </row>
    <row r="2217" spans="98:104">
      <c r="CT2217" s="366" t="s">
        <v>4806</v>
      </c>
      <c r="CU2217" s="307" t="s">
        <v>208</v>
      </c>
      <c r="CV2217" s="307" t="s">
        <v>4750</v>
      </c>
      <c r="CW2217" s="366" t="s">
        <v>45</v>
      </c>
      <c r="CX2217" s="307">
        <v>1.048</v>
      </c>
      <c r="CY2217" s="307">
        <v>1.048</v>
      </c>
      <c r="CZ2217" s="307">
        <v>1.048</v>
      </c>
    </row>
    <row r="2218" spans="98:104">
      <c r="CT2218" s="366" t="s">
        <v>4807</v>
      </c>
      <c r="CU2218" s="307" t="s">
        <v>208</v>
      </c>
      <c r="CV2218" s="307" t="s">
        <v>4750</v>
      </c>
      <c r="CW2218" s="366" t="s">
        <v>22</v>
      </c>
      <c r="CX2218" s="307">
        <v>1.052</v>
      </c>
      <c r="CY2218" s="307">
        <v>1.052</v>
      </c>
      <c r="CZ2218" s="307">
        <v>1.052</v>
      </c>
    </row>
    <row r="2219" spans="98:104">
      <c r="CT2219" s="366" t="s">
        <v>4808</v>
      </c>
      <c r="CU2219" s="307" t="s">
        <v>208</v>
      </c>
      <c r="CV2219" s="307" t="s">
        <v>4750</v>
      </c>
      <c r="CW2219" s="366" t="s">
        <v>167</v>
      </c>
      <c r="CX2219" s="307">
        <v>1.0629999999999999</v>
      </c>
      <c r="CY2219" s="307">
        <v>1.0629999999999999</v>
      </c>
      <c r="CZ2219" s="307">
        <v>1.0629999999999999</v>
      </c>
    </row>
    <row r="2220" spans="98:104">
      <c r="CT2220" s="366" t="s">
        <v>4809</v>
      </c>
      <c r="CU2220" s="307" t="s">
        <v>208</v>
      </c>
      <c r="CV2220" s="307" t="s">
        <v>4750</v>
      </c>
      <c r="CW2220" s="366" t="s">
        <v>46</v>
      </c>
      <c r="CX2220" s="307">
        <v>1.06</v>
      </c>
      <c r="CY2220" s="307">
        <v>1.06</v>
      </c>
      <c r="CZ2220" s="307">
        <v>1.06</v>
      </c>
    </row>
    <row r="2221" spans="98:104">
      <c r="CT2221" s="366" t="s">
        <v>4810</v>
      </c>
      <c r="CU2221" s="307" t="s">
        <v>208</v>
      </c>
      <c r="CV2221" s="307" t="s">
        <v>4750</v>
      </c>
      <c r="CW2221" s="366" t="s">
        <v>47</v>
      </c>
      <c r="CX2221" s="307">
        <v>1.02</v>
      </c>
      <c r="CY2221" s="307">
        <v>1.02</v>
      </c>
      <c r="CZ2221" s="307">
        <v>1.02</v>
      </c>
    </row>
    <row r="2222" spans="98:104">
      <c r="CT2222" s="366" t="s">
        <v>4811</v>
      </c>
      <c r="CU2222" s="307" t="s">
        <v>208</v>
      </c>
      <c r="CV2222" s="307" t="s">
        <v>4750</v>
      </c>
      <c r="CW2222" s="366" t="s">
        <v>48</v>
      </c>
      <c r="CX2222" s="307">
        <v>0.995</v>
      </c>
      <c r="CY2222" s="307">
        <v>0.995</v>
      </c>
      <c r="CZ2222" s="307">
        <v>0.995</v>
      </c>
    </row>
    <row r="2223" spans="98:104">
      <c r="CT2223" s="366" t="s">
        <v>2796</v>
      </c>
      <c r="CU2223" s="307" t="s">
        <v>208</v>
      </c>
      <c r="CV2223" s="307" t="s">
        <v>2797</v>
      </c>
      <c r="CW2223" s="366" t="s">
        <v>7</v>
      </c>
      <c r="CX2223" s="307">
        <v>-0.44</v>
      </c>
      <c r="CY2223" s="307">
        <v>-0.34</v>
      </c>
      <c r="CZ2223" s="307">
        <v>-0.39</v>
      </c>
    </row>
    <row r="2224" spans="98:104">
      <c r="CT2224" s="366" t="s">
        <v>3823</v>
      </c>
      <c r="CU2224" s="307" t="s">
        <v>208</v>
      </c>
      <c r="CV2224" s="307" t="s">
        <v>2797</v>
      </c>
      <c r="CW2224" s="366" t="s">
        <v>8</v>
      </c>
      <c r="CX2224" s="307">
        <v>0</v>
      </c>
      <c r="CY2224" s="307">
        <v>0</v>
      </c>
      <c r="CZ2224" s="307">
        <v>0</v>
      </c>
    </row>
    <row r="2225" spans="98:104">
      <c r="CT2225" s="366" t="s">
        <v>3824</v>
      </c>
      <c r="CU2225" s="307" t="s">
        <v>208</v>
      </c>
      <c r="CV2225" s="307" t="s">
        <v>2797</v>
      </c>
      <c r="CW2225" s="366" t="s">
        <v>25</v>
      </c>
      <c r="CX2225" s="307">
        <v>0</v>
      </c>
      <c r="CY2225" s="307">
        <v>0</v>
      </c>
      <c r="CZ2225" s="307">
        <v>0</v>
      </c>
    </row>
    <row r="2226" spans="98:104">
      <c r="CT2226" s="366" t="s">
        <v>3825</v>
      </c>
      <c r="CU2226" s="307" t="s">
        <v>208</v>
      </c>
      <c r="CV2226" s="307" t="s">
        <v>2797</v>
      </c>
      <c r="CW2226" s="366" t="s">
        <v>28</v>
      </c>
      <c r="CX2226" s="307">
        <v>0</v>
      </c>
      <c r="CY2226" s="307">
        <v>0</v>
      </c>
      <c r="CZ2226" s="307">
        <v>0</v>
      </c>
    </row>
    <row r="2227" spans="98:104">
      <c r="CT2227" s="366" t="s">
        <v>3826</v>
      </c>
      <c r="CU2227" s="307" t="s">
        <v>208</v>
      </c>
      <c r="CV2227" s="307" t="s">
        <v>2797</v>
      </c>
      <c r="CW2227" s="366" t="s">
        <v>49</v>
      </c>
      <c r="CX2227" s="307">
        <v>0</v>
      </c>
      <c r="CY2227" s="307">
        <v>0</v>
      </c>
      <c r="CZ2227" s="307">
        <v>0</v>
      </c>
    </row>
    <row r="2228" spans="98:104">
      <c r="CT2228" s="366" t="s">
        <v>3827</v>
      </c>
      <c r="CU2228" s="307" t="s">
        <v>208</v>
      </c>
      <c r="CV2228" s="307" t="s">
        <v>2797</v>
      </c>
      <c r="CW2228" s="366" t="s">
        <v>56</v>
      </c>
      <c r="CX2228" s="307">
        <v>0</v>
      </c>
      <c r="CY2228" s="307">
        <v>0</v>
      </c>
      <c r="CZ2228" s="307">
        <v>0</v>
      </c>
    </row>
    <row r="2229" spans="98:104">
      <c r="CT2229" s="366" t="s">
        <v>2798</v>
      </c>
      <c r="CU2229" s="307" t="s">
        <v>208</v>
      </c>
      <c r="CV2229" s="307" t="s">
        <v>2797</v>
      </c>
      <c r="CW2229" s="366" t="s">
        <v>9</v>
      </c>
      <c r="CX2229" s="307">
        <v>-0.45100000000000001</v>
      </c>
      <c r="CY2229" s="307">
        <v>-0.41099999999999998</v>
      </c>
      <c r="CZ2229" s="307">
        <v>-0.43099999999999999</v>
      </c>
    </row>
    <row r="2230" spans="98:104">
      <c r="CT2230" s="366" t="s">
        <v>2799</v>
      </c>
      <c r="CU2230" s="307" t="s">
        <v>208</v>
      </c>
      <c r="CV2230" s="307" t="s">
        <v>2797</v>
      </c>
      <c r="CW2230" s="366" t="s">
        <v>10</v>
      </c>
      <c r="CX2230" s="307">
        <v>-0.45100000000000001</v>
      </c>
      <c r="CY2230" s="307">
        <v>-0.41099999999999998</v>
      </c>
      <c r="CZ2230" s="307">
        <v>-0.43099999999999999</v>
      </c>
    </row>
    <row r="2231" spans="98:104">
      <c r="CT2231" s="366" t="s">
        <v>2800</v>
      </c>
      <c r="CU2231" s="307" t="s">
        <v>208</v>
      </c>
      <c r="CV2231" s="307" t="s">
        <v>2797</v>
      </c>
      <c r="CW2231" s="366" t="s">
        <v>11</v>
      </c>
      <c r="CX2231" s="307">
        <v>-0.42299999999999999</v>
      </c>
      <c r="CY2231" s="307">
        <v>-0.38300000000000001</v>
      </c>
      <c r="CZ2231" s="307">
        <v>-0.40300000000000002</v>
      </c>
    </row>
    <row r="2232" spans="98:104">
      <c r="CT2232" s="366" t="s">
        <v>2801</v>
      </c>
      <c r="CU2232" s="307" t="s">
        <v>208</v>
      </c>
      <c r="CV2232" s="307" t="s">
        <v>2797</v>
      </c>
      <c r="CW2232" s="366" t="s">
        <v>12</v>
      </c>
      <c r="CX2232" s="307">
        <v>-0.36699999999999999</v>
      </c>
      <c r="CY2232" s="307">
        <v>-0.32700000000000001</v>
      </c>
      <c r="CZ2232" s="307">
        <v>-0.34699999999999998</v>
      </c>
    </row>
    <row r="2233" spans="98:104">
      <c r="CT2233" s="366" t="s">
        <v>2802</v>
      </c>
      <c r="CU2233" s="307" t="s">
        <v>208</v>
      </c>
      <c r="CV2233" s="307" t="s">
        <v>2797</v>
      </c>
      <c r="CW2233" s="366" t="s">
        <v>13</v>
      </c>
      <c r="CX2233" s="307">
        <v>-0.28899999999999998</v>
      </c>
      <c r="CY2233" s="307">
        <v>-0.249</v>
      </c>
      <c r="CZ2233" s="307">
        <v>-0.26900000000000002</v>
      </c>
    </row>
    <row r="2234" spans="98:104">
      <c r="CT2234" s="366" t="s">
        <v>2803</v>
      </c>
      <c r="CU2234" s="307" t="s">
        <v>208</v>
      </c>
      <c r="CV2234" s="307" t="s">
        <v>2797</v>
      </c>
      <c r="CW2234" s="366" t="s">
        <v>14</v>
      </c>
      <c r="CX2234" s="307">
        <v>-0.19500000000000001</v>
      </c>
      <c r="CY2234" s="307">
        <v>-0.155</v>
      </c>
      <c r="CZ2234" s="307">
        <v>-0.17499999999999999</v>
      </c>
    </row>
    <row r="2235" spans="98:104">
      <c r="CT2235" s="366" t="s">
        <v>2804</v>
      </c>
      <c r="CU2235" s="307" t="s">
        <v>208</v>
      </c>
      <c r="CV2235" s="307" t="s">
        <v>2797</v>
      </c>
      <c r="CW2235" s="366" t="s">
        <v>15</v>
      </c>
      <c r="CX2235" s="307">
        <v>-9.0999999999999998E-2</v>
      </c>
      <c r="CY2235" s="307">
        <v>-5.0999999999999997E-2</v>
      </c>
      <c r="CZ2235" s="307">
        <v>-7.0999999999999994E-2</v>
      </c>
    </row>
    <row r="2236" spans="98:104">
      <c r="CT2236" s="366" t="s">
        <v>2805</v>
      </c>
      <c r="CU2236" s="307" t="s">
        <v>208</v>
      </c>
      <c r="CV2236" s="307" t="s">
        <v>2797</v>
      </c>
      <c r="CW2236" s="366" t="s">
        <v>16</v>
      </c>
      <c r="CX2236" s="307">
        <v>1.4999999999999999E-2</v>
      </c>
      <c r="CY2236" s="307">
        <v>5.5E-2</v>
      </c>
      <c r="CZ2236" s="307">
        <v>3.5000000000000003E-2</v>
      </c>
    </row>
    <row r="2237" spans="98:104">
      <c r="CT2237" s="366" t="s">
        <v>2806</v>
      </c>
      <c r="CU2237" s="307" t="s">
        <v>208</v>
      </c>
      <c r="CV2237" s="307" t="s">
        <v>2797</v>
      </c>
      <c r="CW2237" s="366" t="s">
        <v>17</v>
      </c>
      <c r="CX2237" s="307">
        <v>0.11700000000000001</v>
      </c>
      <c r="CY2237" s="307">
        <v>0.157</v>
      </c>
      <c r="CZ2237" s="307">
        <v>0.13700000000000001</v>
      </c>
    </row>
    <row r="2238" spans="98:104">
      <c r="CT2238" s="366" t="s">
        <v>2807</v>
      </c>
      <c r="CU2238" s="307" t="s">
        <v>208</v>
      </c>
      <c r="CV2238" s="307" t="s">
        <v>2797</v>
      </c>
      <c r="CW2238" s="366" t="s">
        <v>18</v>
      </c>
      <c r="CX2238" s="307">
        <v>0.29799999999999999</v>
      </c>
      <c r="CY2238" s="307">
        <v>0.33800000000000002</v>
      </c>
      <c r="CZ2238" s="307">
        <v>0.318</v>
      </c>
    </row>
    <row r="2239" spans="98:104">
      <c r="CT2239" s="366" t="s">
        <v>2808</v>
      </c>
      <c r="CU2239" s="307" t="s">
        <v>208</v>
      </c>
      <c r="CV2239" s="307" t="s">
        <v>2797</v>
      </c>
      <c r="CW2239" s="366" t="s">
        <v>19</v>
      </c>
      <c r="CX2239" s="307">
        <v>0.497</v>
      </c>
      <c r="CY2239" s="307">
        <v>0.53700000000000003</v>
      </c>
      <c r="CZ2239" s="307">
        <v>0.51700000000000002</v>
      </c>
    </row>
    <row r="2240" spans="98:104">
      <c r="CT2240" s="366" t="s">
        <v>2809</v>
      </c>
      <c r="CU2240" s="307" t="s">
        <v>208</v>
      </c>
      <c r="CV2240" s="307" t="s">
        <v>2797</v>
      </c>
      <c r="CW2240" s="366" t="s">
        <v>20</v>
      </c>
      <c r="CX2240" s="307">
        <v>0.66500000000000004</v>
      </c>
      <c r="CY2240" s="307">
        <v>0.70499999999999996</v>
      </c>
      <c r="CZ2240" s="307">
        <v>0.68500000000000005</v>
      </c>
    </row>
    <row r="2241" spans="98:104">
      <c r="CT2241" s="366" t="s">
        <v>2810</v>
      </c>
      <c r="CU2241" s="307" t="s">
        <v>208</v>
      </c>
      <c r="CV2241" s="307" t="s">
        <v>2797</v>
      </c>
      <c r="CW2241" s="366" t="s">
        <v>21</v>
      </c>
      <c r="CX2241" s="307">
        <v>0.72599999999999998</v>
      </c>
      <c r="CY2241" s="307">
        <v>0.76600000000000001</v>
      </c>
      <c r="CZ2241" s="307">
        <v>0.746</v>
      </c>
    </row>
    <row r="2242" spans="98:104">
      <c r="CT2242" s="366" t="s">
        <v>2811</v>
      </c>
      <c r="CU2242" s="307" t="s">
        <v>208</v>
      </c>
      <c r="CV2242" s="307" t="s">
        <v>2797</v>
      </c>
      <c r="CW2242" s="366" t="s">
        <v>22</v>
      </c>
      <c r="CX2242" s="307">
        <v>0.752</v>
      </c>
      <c r="CY2242" s="307">
        <v>0.79200000000000004</v>
      </c>
      <c r="CZ2242" s="307">
        <v>0.77200000000000002</v>
      </c>
    </row>
    <row r="2243" spans="98:104">
      <c r="CT2243" s="366" t="s">
        <v>2812</v>
      </c>
      <c r="CU2243" s="307" t="s">
        <v>208</v>
      </c>
      <c r="CV2243" s="307" t="s">
        <v>2797</v>
      </c>
      <c r="CW2243" s="366" t="s">
        <v>46</v>
      </c>
      <c r="CX2243" s="307">
        <v>1.0629999999999999</v>
      </c>
      <c r="CY2243" s="307">
        <v>1.0629999999999999</v>
      </c>
      <c r="CZ2243" s="307">
        <v>1.0629999999999999</v>
      </c>
    </row>
    <row r="2244" spans="98:104">
      <c r="CT2244" s="366" t="s">
        <v>2813</v>
      </c>
      <c r="CU2244" s="307" t="s">
        <v>208</v>
      </c>
      <c r="CV2244" s="307" t="s">
        <v>2797</v>
      </c>
      <c r="CW2244" s="366" t="s">
        <v>47</v>
      </c>
      <c r="CX2244" s="307">
        <v>1.0209999999999999</v>
      </c>
      <c r="CY2244" s="307">
        <v>1.0209999999999999</v>
      </c>
      <c r="CZ2244" s="307">
        <v>1.0209999999999999</v>
      </c>
    </row>
    <row r="2245" spans="98:104">
      <c r="CT2245" s="366" t="s">
        <v>4812</v>
      </c>
      <c r="CU2245" s="307" t="s">
        <v>208</v>
      </c>
      <c r="CV2245" s="307" t="s">
        <v>2797</v>
      </c>
      <c r="CW2245" s="366" t="s">
        <v>48</v>
      </c>
      <c r="CX2245" s="307">
        <v>0</v>
      </c>
      <c r="CY2245" s="307">
        <v>0</v>
      </c>
      <c r="CZ2245" s="307">
        <v>0</v>
      </c>
    </row>
    <row r="2246" spans="98:104">
      <c r="CT2246" s="366" t="s">
        <v>2814</v>
      </c>
      <c r="CU2246" s="307" t="s">
        <v>208</v>
      </c>
      <c r="CV2246" s="307" t="s">
        <v>2815</v>
      </c>
      <c r="CW2246" s="366" t="s">
        <v>56</v>
      </c>
      <c r="CX2246" s="307">
        <v>-0.12</v>
      </c>
      <c r="CY2246" s="307">
        <v>0.03</v>
      </c>
      <c r="CZ2246" s="307">
        <v>-4.4999999999999998E-2</v>
      </c>
    </row>
    <row r="2247" spans="98:104">
      <c r="CT2247" s="366" t="s">
        <v>2816</v>
      </c>
      <c r="CU2247" s="307" t="s">
        <v>208</v>
      </c>
      <c r="CV2247" s="307" t="s">
        <v>2815</v>
      </c>
      <c r="CW2247" s="366" t="s">
        <v>2817</v>
      </c>
      <c r="CX2247" s="307">
        <v>-9.0999999999999998E-2</v>
      </c>
      <c r="CY2247" s="307">
        <v>-4.1000000000000002E-2</v>
      </c>
      <c r="CZ2247" s="307">
        <v>-6.6000000000000003E-2</v>
      </c>
    </row>
    <row r="2248" spans="98:104">
      <c r="CT2248" s="366" t="s">
        <v>2818</v>
      </c>
      <c r="CU2248" s="307" t="s">
        <v>208</v>
      </c>
      <c r="CV2248" s="307" t="s">
        <v>2815</v>
      </c>
      <c r="CW2248" s="366" t="s">
        <v>2819</v>
      </c>
      <c r="CX2248" s="307">
        <v>-0.08</v>
      </c>
      <c r="CY2248" s="307">
        <v>-0.03</v>
      </c>
      <c r="CZ2248" s="307">
        <v>-5.5E-2</v>
      </c>
    </row>
    <row r="2249" spans="98:104">
      <c r="CT2249" s="366" t="s">
        <v>2820</v>
      </c>
      <c r="CU2249" s="307" t="s">
        <v>208</v>
      </c>
      <c r="CV2249" s="307" t="s">
        <v>2815</v>
      </c>
      <c r="CW2249" s="366" t="s">
        <v>2821</v>
      </c>
      <c r="CX2249" s="307">
        <v>-7.0999999999999994E-2</v>
      </c>
      <c r="CY2249" s="307">
        <v>-2.1000000000000001E-2</v>
      </c>
      <c r="CZ2249" s="307">
        <v>-4.5999999999999999E-2</v>
      </c>
    </row>
    <row r="2250" spans="98:104">
      <c r="CT2250" s="366" t="s">
        <v>2822</v>
      </c>
      <c r="CU2250" s="307" t="s">
        <v>208</v>
      </c>
      <c r="CV2250" s="307" t="s">
        <v>2815</v>
      </c>
      <c r="CW2250" s="366" t="s">
        <v>2823</v>
      </c>
      <c r="CX2250" s="307">
        <v>-6.2E-2</v>
      </c>
      <c r="CY2250" s="307">
        <v>-1.2E-2</v>
      </c>
      <c r="CZ2250" s="307">
        <v>-3.6999999999999998E-2</v>
      </c>
    </row>
    <row r="2251" spans="98:104">
      <c r="CT2251" s="366" t="s">
        <v>2824</v>
      </c>
      <c r="CU2251" s="307" t="s">
        <v>208</v>
      </c>
      <c r="CV2251" s="307" t="s">
        <v>2815</v>
      </c>
      <c r="CW2251" s="366" t="s">
        <v>2825</v>
      </c>
      <c r="CX2251" s="307">
        <v>-5.0999999999999997E-2</v>
      </c>
      <c r="CY2251" s="307">
        <v>-1E-3</v>
      </c>
      <c r="CZ2251" s="307">
        <v>-2.5999999999999999E-2</v>
      </c>
    </row>
    <row r="2252" spans="98:104">
      <c r="CT2252" s="366" t="s">
        <v>2826</v>
      </c>
      <c r="CU2252" s="307" t="s">
        <v>208</v>
      </c>
      <c r="CV2252" s="307" t="s">
        <v>2815</v>
      </c>
      <c r="CW2252" s="366" t="s">
        <v>2827</v>
      </c>
      <c r="CX2252" s="307">
        <v>-4.1000000000000002E-2</v>
      </c>
      <c r="CY2252" s="307">
        <v>8.9999999999999993E-3</v>
      </c>
      <c r="CZ2252" s="307">
        <v>-1.6E-2</v>
      </c>
    </row>
    <row r="2253" spans="98:104">
      <c r="CT2253" s="366" t="s">
        <v>2828</v>
      </c>
      <c r="CU2253" s="307" t="s">
        <v>208</v>
      </c>
      <c r="CV2253" s="307" t="s">
        <v>2815</v>
      </c>
      <c r="CW2253" s="366" t="s">
        <v>2829</v>
      </c>
      <c r="CX2253" s="307">
        <v>-0.03</v>
      </c>
      <c r="CY2253" s="307">
        <v>0.02</v>
      </c>
      <c r="CZ2253" s="307">
        <v>-4.9999999999999992E-3</v>
      </c>
    </row>
    <row r="2254" spans="98:104">
      <c r="CT2254" s="366" t="s">
        <v>2830</v>
      </c>
      <c r="CU2254" s="307" t="s">
        <v>208</v>
      </c>
      <c r="CV2254" s="307" t="s">
        <v>2815</v>
      </c>
      <c r="CW2254" s="366" t="s">
        <v>2831</v>
      </c>
      <c r="CX2254" s="307">
        <v>-1.7999999999999999E-2</v>
      </c>
      <c r="CY2254" s="307">
        <v>3.2000000000000001E-2</v>
      </c>
      <c r="CZ2254" s="307">
        <v>7.000000000000001E-3</v>
      </c>
    </row>
    <row r="2255" spans="98:104">
      <c r="CT2255" s="366" t="s">
        <v>2832</v>
      </c>
      <c r="CU2255" s="307" t="s">
        <v>208</v>
      </c>
      <c r="CV2255" s="307" t="s">
        <v>2815</v>
      </c>
      <c r="CW2255" s="366" t="s">
        <v>2833</v>
      </c>
      <c r="CX2255" s="307">
        <v>-7.0000000000000001E-3</v>
      </c>
      <c r="CY2255" s="307">
        <v>4.2999999999999997E-2</v>
      </c>
      <c r="CZ2255" s="307">
        <v>1.7999999999999999E-2</v>
      </c>
    </row>
    <row r="2256" spans="98:104">
      <c r="CT2256" s="366" t="s">
        <v>2834</v>
      </c>
      <c r="CU2256" s="307" t="s">
        <v>208</v>
      </c>
      <c r="CV2256" s="307" t="s">
        <v>2815</v>
      </c>
      <c r="CW2256" s="366" t="s">
        <v>2835</v>
      </c>
      <c r="CX2256" s="307">
        <v>5.0000000000000001E-3</v>
      </c>
      <c r="CY2256" s="307">
        <v>5.5E-2</v>
      </c>
      <c r="CZ2256" s="307">
        <v>0.03</v>
      </c>
    </row>
    <row r="2257" spans="98:104">
      <c r="CT2257" s="366" t="s">
        <v>2836</v>
      </c>
      <c r="CU2257" s="307" t="s">
        <v>208</v>
      </c>
      <c r="CV2257" s="307" t="s">
        <v>2815</v>
      </c>
      <c r="CW2257" s="366" t="s">
        <v>2837</v>
      </c>
      <c r="CX2257" s="307">
        <v>1.9E-2</v>
      </c>
      <c r="CY2257" s="307">
        <v>6.9000000000000006E-2</v>
      </c>
      <c r="CZ2257" s="307">
        <v>4.4000000000000004E-2</v>
      </c>
    </row>
    <row r="2258" spans="98:104">
      <c r="CT2258" s="366" t="s">
        <v>2838</v>
      </c>
      <c r="CU2258" s="307" t="s">
        <v>208</v>
      </c>
      <c r="CV2258" s="307" t="s">
        <v>2815</v>
      </c>
      <c r="CW2258" s="366" t="s">
        <v>9</v>
      </c>
      <c r="CX2258" s="307">
        <v>-9.0167089999999995E-3</v>
      </c>
      <c r="CY2258" s="307">
        <v>-9.0167089999999995E-3</v>
      </c>
      <c r="CZ2258" s="307">
        <v>-9.0167089999999995E-3</v>
      </c>
    </row>
    <row r="2259" spans="98:104">
      <c r="CT2259" s="366" t="s">
        <v>2839</v>
      </c>
      <c r="CU2259" s="307" t="s">
        <v>208</v>
      </c>
      <c r="CV2259" s="307" t="s">
        <v>2815</v>
      </c>
      <c r="CW2259" s="366" t="s">
        <v>10</v>
      </c>
      <c r="CX2259" s="307">
        <v>6.9000000000000006E-2</v>
      </c>
      <c r="CY2259" s="307">
        <v>6.9000000000000006E-2</v>
      </c>
      <c r="CZ2259" s="307">
        <v>6.9000000000000006E-2</v>
      </c>
    </row>
    <row r="2260" spans="98:104">
      <c r="CT2260" s="366" t="s">
        <v>2840</v>
      </c>
      <c r="CU2260" s="307" t="s">
        <v>208</v>
      </c>
      <c r="CV2260" s="307" t="s">
        <v>2815</v>
      </c>
      <c r="CW2260" s="366" t="s">
        <v>11</v>
      </c>
      <c r="CX2260" s="307">
        <v>0.161</v>
      </c>
      <c r="CY2260" s="307">
        <v>0.161</v>
      </c>
      <c r="CZ2260" s="307">
        <v>0.161</v>
      </c>
    </row>
    <row r="2261" spans="98:104">
      <c r="CT2261" s="366" t="s">
        <v>2841</v>
      </c>
      <c r="CU2261" s="307" t="s">
        <v>208</v>
      </c>
      <c r="CV2261" s="307" t="s">
        <v>2815</v>
      </c>
      <c r="CW2261" s="366" t="s">
        <v>12</v>
      </c>
      <c r="CX2261" s="307">
        <v>0.26700000000000002</v>
      </c>
      <c r="CY2261" s="307">
        <v>0.26700000000000002</v>
      </c>
      <c r="CZ2261" s="307">
        <v>0.26700000000000002</v>
      </c>
    </row>
    <row r="2262" spans="98:104">
      <c r="CT2262" s="366" t="s">
        <v>2842</v>
      </c>
      <c r="CU2262" s="307" t="s">
        <v>208</v>
      </c>
      <c r="CV2262" s="307" t="s">
        <v>2815</v>
      </c>
      <c r="CW2262" s="366" t="s">
        <v>13</v>
      </c>
      <c r="CX2262" s="307">
        <v>0.377</v>
      </c>
      <c r="CY2262" s="307">
        <v>0.377</v>
      </c>
      <c r="CZ2262" s="307">
        <v>0.377</v>
      </c>
    </row>
    <row r="2263" spans="98:104">
      <c r="CT2263" s="366" t="s">
        <v>2843</v>
      </c>
      <c r="CU2263" s="307" t="s">
        <v>208</v>
      </c>
      <c r="CV2263" s="307" t="s">
        <v>2815</v>
      </c>
      <c r="CW2263" s="366" t="s">
        <v>14</v>
      </c>
      <c r="CX2263" s="307">
        <v>0.48899999999999999</v>
      </c>
      <c r="CY2263" s="307">
        <v>0.48899999999999999</v>
      </c>
      <c r="CZ2263" s="307">
        <v>0.48899999999999999</v>
      </c>
    </row>
    <row r="2264" spans="98:104">
      <c r="CT2264" s="366" t="s">
        <v>2844</v>
      </c>
      <c r="CU2264" s="307" t="s">
        <v>208</v>
      </c>
      <c r="CV2264" s="307" t="s">
        <v>2815</v>
      </c>
      <c r="CW2264" s="366" t="s">
        <v>15</v>
      </c>
      <c r="CX2264" s="307">
        <v>0.59899999999999998</v>
      </c>
      <c r="CY2264" s="307">
        <v>0.59899999999999998</v>
      </c>
      <c r="CZ2264" s="307">
        <v>0.59899999999999998</v>
      </c>
    </row>
    <row r="2265" spans="98:104">
      <c r="CT2265" s="366" t="s">
        <v>2845</v>
      </c>
      <c r="CU2265" s="307" t="s">
        <v>208</v>
      </c>
      <c r="CV2265" s="307" t="s">
        <v>2815</v>
      </c>
      <c r="CW2265" s="366" t="s">
        <v>16</v>
      </c>
      <c r="CX2265" s="307">
        <v>0.70399999999999996</v>
      </c>
      <c r="CY2265" s="307">
        <v>0.70399999999999996</v>
      </c>
      <c r="CZ2265" s="307">
        <v>0.70399999999999996</v>
      </c>
    </row>
    <row r="2266" spans="98:104">
      <c r="CT2266" s="366" t="s">
        <v>2846</v>
      </c>
      <c r="CU2266" s="307" t="s">
        <v>208</v>
      </c>
      <c r="CV2266" s="307" t="s">
        <v>2815</v>
      </c>
      <c r="CW2266" s="366" t="s">
        <v>17</v>
      </c>
      <c r="CX2266" s="307">
        <v>0.79600000000000004</v>
      </c>
      <c r="CY2266" s="307">
        <v>0.79600000000000004</v>
      </c>
      <c r="CZ2266" s="307">
        <v>0.79600000000000004</v>
      </c>
    </row>
    <row r="2267" spans="98:104">
      <c r="CT2267" s="366" t="s">
        <v>2847</v>
      </c>
      <c r="CU2267" s="307" t="s">
        <v>208</v>
      </c>
      <c r="CV2267" s="307" t="s">
        <v>2815</v>
      </c>
      <c r="CW2267" s="366" t="s">
        <v>18</v>
      </c>
      <c r="CX2267" s="307">
        <v>0.94599999999999995</v>
      </c>
      <c r="CY2267" s="307">
        <v>0.94599999999999995</v>
      </c>
      <c r="CZ2267" s="307">
        <v>0.94599999999999995</v>
      </c>
    </row>
    <row r="2268" spans="98:104">
      <c r="CT2268" s="366" t="s">
        <v>2848</v>
      </c>
      <c r="CU2268" s="307" t="s">
        <v>208</v>
      </c>
      <c r="CV2268" s="307" t="s">
        <v>2815</v>
      </c>
      <c r="CW2268" s="366" t="s">
        <v>19</v>
      </c>
      <c r="CX2268" s="307">
        <v>1.1000000000000001</v>
      </c>
      <c r="CY2268" s="307">
        <v>1.1000000000000001</v>
      </c>
      <c r="CZ2268" s="307">
        <v>1.1000000000000001</v>
      </c>
    </row>
    <row r="2269" spans="98:104">
      <c r="CT2269" s="366" t="s">
        <v>2849</v>
      </c>
      <c r="CU2269" s="307" t="s">
        <v>208</v>
      </c>
      <c r="CV2269" s="307" t="s">
        <v>2815</v>
      </c>
      <c r="CW2269" s="366" t="s">
        <v>20</v>
      </c>
      <c r="CX2269" s="307">
        <v>1.214</v>
      </c>
      <c r="CY2269" s="307">
        <v>1.214</v>
      </c>
      <c r="CZ2269" s="307">
        <v>1.214</v>
      </c>
    </row>
    <row r="2270" spans="98:104">
      <c r="CT2270" s="366" t="s">
        <v>2850</v>
      </c>
      <c r="CU2270" s="307" t="s">
        <v>208</v>
      </c>
      <c r="CV2270" s="307" t="s">
        <v>2815</v>
      </c>
      <c r="CW2270" s="366" t="s">
        <v>21</v>
      </c>
      <c r="CX2270" s="307">
        <v>1.2390000000000001</v>
      </c>
      <c r="CY2270" s="307">
        <v>1.2390000000000001</v>
      </c>
      <c r="CZ2270" s="307">
        <v>1.2390000000000001</v>
      </c>
    </row>
    <row r="2271" spans="98:104">
      <c r="CT2271" s="366" t="s">
        <v>2851</v>
      </c>
      <c r="CU2271" s="307" t="s">
        <v>208</v>
      </c>
      <c r="CV2271" s="307" t="s">
        <v>2815</v>
      </c>
      <c r="CW2271" s="366" t="s">
        <v>22</v>
      </c>
      <c r="CX2271" s="307">
        <v>1.2430000000000001</v>
      </c>
      <c r="CY2271" s="307">
        <v>1.2430000000000001</v>
      </c>
      <c r="CZ2271" s="307">
        <v>1.2430000000000001</v>
      </c>
    </row>
    <row r="2272" spans="98:104">
      <c r="CT2272" s="366" t="s">
        <v>2852</v>
      </c>
      <c r="CU2272" s="307" t="s">
        <v>208</v>
      </c>
      <c r="CV2272" s="307" t="s">
        <v>2815</v>
      </c>
      <c r="CW2272" s="366" t="s">
        <v>46</v>
      </c>
      <c r="CX2272" s="307">
        <v>1.2190000000000001</v>
      </c>
      <c r="CY2272" s="307">
        <v>1.2190000000000001</v>
      </c>
      <c r="CZ2272" s="307">
        <v>1.2190000000000001</v>
      </c>
    </row>
    <row r="2273" spans="98:104">
      <c r="CT2273" s="366" t="s">
        <v>2853</v>
      </c>
      <c r="CU2273" s="307" t="s">
        <v>208</v>
      </c>
      <c r="CV2273" s="307" t="s">
        <v>2815</v>
      </c>
      <c r="CW2273" s="366" t="s">
        <v>47</v>
      </c>
      <c r="CX2273" s="307">
        <v>1.1599999999999999</v>
      </c>
      <c r="CY2273" s="307">
        <v>1.1599999999999999</v>
      </c>
      <c r="CZ2273" s="307">
        <v>1.1599999999999999</v>
      </c>
    </row>
    <row r="2274" spans="98:104">
      <c r="CT2274" s="366" t="s">
        <v>4813</v>
      </c>
      <c r="CU2274" s="307" t="s">
        <v>208</v>
      </c>
      <c r="CV2274" s="307" t="s">
        <v>2815</v>
      </c>
      <c r="CW2274" s="366" t="s">
        <v>48</v>
      </c>
      <c r="CX2274" s="307">
        <v>1.121</v>
      </c>
      <c r="CY2274" s="307">
        <v>1.121</v>
      </c>
      <c r="CZ2274" s="307">
        <v>1.121</v>
      </c>
    </row>
    <row r="2275" spans="98:104">
      <c r="CT2275" s="366" t="s">
        <v>2854</v>
      </c>
      <c r="CU2275" s="307" t="s">
        <v>208</v>
      </c>
      <c r="CV2275" s="307" t="s">
        <v>2855</v>
      </c>
      <c r="CW2275" s="366" t="s">
        <v>25</v>
      </c>
      <c r="CX2275" s="307">
        <v>-0.4</v>
      </c>
      <c r="CY2275" s="307">
        <v>-0.3</v>
      </c>
      <c r="CZ2275" s="307">
        <v>-0.35</v>
      </c>
    </row>
    <row r="2276" spans="98:104">
      <c r="CT2276" s="366" t="s">
        <v>3828</v>
      </c>
      <c r="CU2276" s="307" t="s">
        <v>208</v>
      </c>
      <c r="CV2276" s="307" t="s">
        <v>2855</v>
      </c>
      <c r="CW2276" s="366" t="s">
        <v>1060</v>
      </c>
      <c r="CX2276" s="307">
        <v>100.30500000000001</v>
      </c>
      <c r="CY2276" s="307">
        <v>100.31</v>
      </c>
      <c r="CZ2276" s="307">
        <v>100.3075</v>
      </c>
    </row>
    <row r="2277" spans="98:104">
      <c r="CT2277" s="366" t="s">
        <v>3829</v>
      </c>
      <c r="CU2277" s="307" t="s">
        <v>208</v>
      </c>
      <c r="CV2277" s="307" t="s">
        <v>2855</v>
      </c>
      <c r="CW2277" s="366" t="s">
        <v>1063</v>
      </c>
      <c r="CX2277" s="307">
        <v>100.29</v>
      </c>
      <c r="CY2277" s="307">
        <v>100.295</v>
      </c>
      <c r="CZ2277" s="307">
        <v>100.2925</v>
      </c>
    </row>
    <row r="2278" spans="98:104">
      <c r="CT2278" s="366" t="s">
        <v>4814</v>
      </c>
      <c r="CU2278" s="307" t="s">
        <v>208</v>
      </c>
      <c r="CV2278" s="307" t="s">
        <v>2855</v>
      </c>
      <c r="CW2278" s="366" t="s">
        <v>1066</v>
      </c>
      <c r="CX2278" s="307">
        <v>100.27500000000001</v>
      </c>
      <c r="CY2278" s="307">
        <v>100.28</v>
      </c>
      <c r="CZ2278" s="307">
        <v>100.2775</v>
      </c>
    </row>
    <row r="2279" spans="98:104">
      <c r="CT2279" s="366" t="s">
        <v>4815</v>
      </c>
      <c r="CU2279" s="307" t="s">
        <v>208</v>
      </c>
      <c r="CV2279" s="307" t="s">
        <v>2855</v>
      </c>
      <c r="CW2279" s="366" t="s">
        <v>1069</v>
      </c>
      <c r="CX2279" s="307">
        <v>100.255</v>
      </c>
      <c r="CY2279" s="307">
        <v>100.26</v>
      </c>
      <c r="CZ2279" s="307">
        <v>100.25749999999999</v>
      </c>
    </row>
    <row r="2280" spans="98:104">
      <c r="CT2280" s="366" t="s">
        <v>4816</v>
      </c>
      <c r="CU2280" s="307" t="s">
        <v>208</v>
      </c>
      <c r="CV2280" s="307" t="s">
        <v>2855</v>
      </c>
      <c r="CW2280" s="366" t="s">
        <v>3865</v>
      </c>
      <c r="CX2280" s="307">
        <v>100.24</v>
      </c>
      <c r="CY2280" s="307">
        <v>100.245</v>
      </c>
      <c r="CZ2280" s="307">
        <v>100.24250000000001</v>
      </c>
    </row>
    <row r="2281" spans="98:104">
      <c r="CT2281" s="366" t="s">
        <v>4817</v>
      </c>
      <c r="CU2281" s="307" t="s">
        <v>208</v>
      </c>
      <c r="CV2281" s="307" t="s">
        <v>2855</v>
      </c>
      <c r="CW2281" s="366" t="s">
        <v>3866</v>
      </c>
      <c r="CX2281" s="307">
        <v>100.215</v>
      </c>
      <c r="CY2281" s="307">
        <v>100.22</v>
      </c>
      <c r="CZ2281" s="307">
        <v>100.2175</v>
      </c>
    </row>
    <row r="2282" spans="98:104">
      <c r="CT2282" s="366" t="s">
        <v>4818</v>
      </c>
      <c r="CU2282" s="307" t="s">
        <v>208</v>
      </c>
      <c r="CV2282" s="307" t="s">
        <v>2855</v>
      </c>
      <c r="CW2282" s="366" t="s">
        <v>3889</v>
      </c>
      <c r="CX2282" s="307">
        <v>100.185</v>
      </c>
      <c r="CY2282" s="307">
        <v>100.19</v>
      </c>
      <c r="CZ2282" s="307">
        <v>100.1875</v>
      </c>
    </row>
    <row r="2283" spans="98:104">
      <c r="CT2283" s="366" t="s">
        <v>4819</v>
      </c>
      <c r="CU2283" s="307" t="s">
        <v>208</v>
      </c>
      <c r="CV2283" s="307" t="s">
        <v>2855</v>
      </c>
      <c r="CW2283" s="366" t="s">
        <v>3890</v>
      </c>
      <c r="CX2283" s="307">
        <v>100.15</v>
      </c>
      <c r="CY2283" s="307">
        <v>100.155</v>
      </c>
      <c r="CZ2283" s="307">
        <v>100.1525</v>
      </c>
    </row>
    <row r="2284" spans="98:104">
      <c r="CT2284" s="366" t="s">
        <v>4820</v>
      </c>
      <c r="CU2284" s="307" t="s">
        <v>208</v>
      </c>
      <c r="CV2284" s="307" t="s">
        <v>2855</v>
      </c>
      <c r="CW2284" s="366" t="s">
        <v>4821</v>
      </c>
      <c r="CX2284" s="307">
        <v>100.11</v>
      </c>
      <c r="CY2284" s="307">
        <v>100.11499999999999</v>
      </c>
      <c r="CZ2284" s="307">
        <v>100.1125</v>
      </c>
    </row>
    <row r="2285" spans="98:104">
      <c r="CT2285" s="366" t="s">
        <v>2856</v>
      </c>
      <c r="CU2285" s="307" t="s">
        <v>208</v>
      </c>
      <c r="CV2285" s="307" t="s">
        <v>2855</v>
      </c>
      <c r="CW2285" s="366" t="s">
        <v>11</v>
      </c>
      <c r="CX2285" s="307">
        <v>-0.30499999999999999</v>
      </c>
      <c r="CY2285" s="307">
        <v>-0.27500000000000002</v>
      </c>
      <c r="CZ2285" s="307">
        <v>-0.29000000000000004</v>
      </c>
    </row>
    <row r="2286" spans="98:104">
      <c r="CT2286" s="366" t="s">
        <v>2857</v>
      </c>
      <c r="CU2286" s="307" t="s">
        <v>208</v>
      </c>
      <c r="CV2286" s="307" t="s">
        <v>2855</v>
      </c>
      <c r="CW2286" s="366" t="s">
        <v>12</v>
      </c>
      <c r="CX2286" s="307">
        <v>-0.2465</v>
      </c>
      <c r="CY2286" s="307">
        <v>-0.2165</v>
      </c>
      <c r="CZ2286" s="307">
        <v>-0.23149999999999998</v>
      </c>
    </row>
    <row r="2287" spans="98:104">
      <c r="CT2287" s="366" t="s">
        <v>2858</v>
      </c>
      <c r="CU2287" s="307" t="s">
        <v>208</v>
      </c>
      <c r="CV2287" s="307" t="s">
        <v>2855</v>
      </c>
      <c r="CW2287" s="366" t="s">
        <v>13</v>
      </c>
      <c r="CX2287" s="307">
        <v>-0.16850000000000001</v>
      </c>
      <c r="CY2287" s="307">
        <v>-0.13850000000000001</v>
      </c>
      <c r="CZ2287" s="307">
        <v>-0.15350000000000003</v>
      </c>
    </row>
    <row r="2288" spans="98:104">
      <c r="CT2288" s="366" t="s">
        <v>2859</v>
      </c>
      <c r="CU2288" s="307" t="s">
        <v>208</v>
      </c>
      <c r="CV2288" s="307" t="s">
        <v>2855</v>
      </c>
      <c r="CW2288" s="366" t="s">
        <v>14</v>
      </c>
      <c r="CX2288" s="307">
        <v>-7.4999999999999997E-2</v>
      </c>
      <c r="CY2288" s="307">
        <v>-4.4999999999999998E-2</v>
      </c>
      <c r="CZ2288" s="307">
        <v>-0.06</v>
      </c>
    </row>
    <row r="2289" spans="98:104">
      <c r="CT2289" s="366" t="s">
        <v>2860</v>
      </c>
      <c r="CU2289" s="307" t="s">
        <v>208</v>
      </c>
      <c r="CV2289" s="307" t="s">
        <v>2855</v>
      </c>
      <c r="CW2289" s="366" t="s">
        <v>15</v>
      </c>
      <c r="CX2289" s="307">
        <v>2.8500000000000001E-2</v>
      </c>
      <c r="CY2289" s="307">
        <v>5.8500000000000003E-2</v>
      </c>
      <c r="CZ2289" s="307">
        <v>4.3500000000000004E-2</v>
      </c>
    </row>
    <row r="2290" spans="98:104">
      <c r="CT2290" s="366" t="s">
        <v>2861</v>
      </c>
      <c r="CU2290" s="307" t="s">
        <v>208</v>
      </c>
      <c r="CV2290" s="307" t="s">
        <v>2855</v>
      </c>
      <c r="CW2290" s="366" t="s">
        <v>16</v>
      </c>
      <c r="CX2290" s="307">
        <v>0.13450000000000001</v>
      </c>
      <c r="CY2290" s="307">
        <v>0.16450000000000001</v>
      </c>
      <c r="CZ2290" s="307">
        <v>0.14950000000000002</v>
      </c>
    </row>
    <row r="2291" spans="98:104">
      <c r="CT2291" s="366" t="s">
        <v>2862</v>
      </c>
      <c r="CU2291" s="307" t="s">
        <v>208</v>
      </c>
      <c r="CV2291" s="307" t="s">
        <v>2855</v>
      </c>
      <c r="CW2291" s="366" t="s">
        <v>17</v>
      </c>
      <c r="CX2291" s="307">
        <v>0.23599999999999999</v>
      </c>
      <c r="CY2291" s="307">
        <v>0.26600000000000001</v>
      </c>
      <c r="CZ2291" s="307">
        <v>0.251</v>
      </c>
    </row>
    <row r="2292" spans="98:104">
      <c r="CT2292" s="366" t="s">
        <v>2863</v>
      </c>
      <c r="CU2292" s="307" t="s">
        <v>208</v>
      </c>
      <c r="CV2292" s="307" t="s">
        <v>2855</v>
      </c>
      <c r="CW2292" s="366" t="s">
        <v>18</v>
      </c>
      <c r="CX2292" s="307">
        <v>0.41549999999999998</v>
      </c>
      <c r="CY2292" s="307">
        <v>0.44550000000000001</v>
      </c>
      <c r="CZ2292" s="307">
        <v>0.43049999999999999</v>
      </c>
    </row>
    <row r="2293" spans="98:104">
      <c r="CT2293" s="366" t="s">
        <v>2864</v>
      </c>
      <c r="CU2293" s="307" t="s">
        <v>208</v>
      </c>
      <c r="CV2293" s="307" t="s">
        <v>2855</v>
      </c>
      <c r="CW2293" s="366" t="s">
        <v>19</v>
      </c>
      <c r="CX2293" s="307">
        <v>0.60750000000000004</v>
      </c>
      <c r="CY2293" s="307">
        <v>0.63749999999999996</v>
      </c>
      <c r="CZ2293" s="307">
        <v>0.62250000000000005</v>
      </c>
    </row>
    <row r="2294" spans="98:104">
      <c r="CT2294" s="366" t="s">
        <v>2865</v>
      </c>
      <c r="CU2294" s="307" t="s">
        <v>208</v>
      </c>
      <c r="CV2294" s="307" t="s">
        <v>2855</v>
      </c>
      <c r="CW2294" s="366" t="s">
        <v>20</v>
      </c>
      <c r="CX2294" s="307">
        <v>0.76400000000000001</v>
      </c>
      <c r="CY2294" s="307">
        <v>0.79400000000000004</v>
      </c>
      <c r="CZ2294" s="307">
        <v>0.77900000000000003</v>
      </c>
    </row>
    <row r="2295" spans="98:104">
      <c r="CT2295" s="366" t="s">
        <v>2866</v>
      </c>
      <c r="CU2295" s="307" t="s">
        <v>208</v>
      </c>
      <c r="CV2295" s="307" t="s">
        <v>2855</v>
      </c>
      <c r="CW2295" s="366" t="s">
        <v>21</v>
      </c>
      <c r="CX2295" s="307">
        <v>0.8155</v>
      </c>
      <c r="CY2295" s="307">
        <v>0.84550000000000003</v>
      </c>
      <c r="CZ2295" s="307">
        <v>0.83050000000000002</v>
      </c>
    </row>
    <row r="2296" spans="98:104">
      <c r="CT2296" s="366" t="s">
        <v>2867</v>
      </c>
      <c r="CU2296" s="307" t="s">
        <v>208</v>
      </c>
      <c r="CV2296" s="307" t="s">
        <v>2855</v>
      </c>
      <c r="CW2296" s="366" t="s">
        <v>22</v>
      </c>
      <c r="CX2296" s="307">
        <v>0.83399999999999996</v>
      </c>
      <c r="CY2296" s="307">
        <v>0.86399999999999999</v>
      </c>
      <c r="CZ2296" s="307">
        <v>0.84899999999999998</v>
      </c>
    </row>
    <row r="2297" spans="98:104">
      <c r="CT2297" s="366" t="s">
        <v>2868</v>
      </c>
      <c r="CU2297" s="307" t="s">
        <v>208</v>
      </c>
      <c r="CV2297" s="307" t="s">
        <v>2855</v>
      </c>
      <c r="CW2297" s="366" t="s">
        <v>46</v>
      </c>
      <c r="CX2297" s="307">
        <v>0.82499999999999996</v>
      </c>
      <c r="CY2297" s="307">
        <v>0.85499999999999998</v>
      </c>
      <c r="CZ2297" s="307">
        <v>0.84</v>
      </c>
    </row>
    <row r="2298" spans="98:104">
      <c r="CT2298" s="366" t="s">
        <v>2869</v>
      </c>
      <c r="CU2298" s="307" t="s">
        <v>208</v>
      </c>
      <c r="CV2298" s="307" t="s">
        <v>2855</v>
      </c>
      <c r="CW2298" s="366" t="s">
        <v>47</v>
      </c>
      <c r="CX2298" s="307">
        <v>0.77849999999999997</v>
      </c>
      <c r="CY2298" s="307">
        <v>0.8085</v>
      </c>
      <c r="CZ2298" s="307">
        <v>0.79349999999999998</v>
      </c>
    </row>
    <row r="2299" spans="98:104">
      <c r="CT2299" s="366" t="s">
        <v>4822</v>
      </c>
      <c r="CU2299" s="307" t="s">
        <v>208</v>
      </c>
      <c r="CV2299" s="307" t="s">
        <v>2855</v>
      </c>
      <c r="CW2299" s="366" t="s">
        <v>48</v>
      </c>
      <c r="CX2299" s="307">
        <v>0</v>
      </c>
      <c r="CY2299" s="307">
        <v>0</v>
      </c>
      <c r="CZ2299" s="307">
        <v>0</v>
      </c>
    </row>
    <row r="2300" spans="98:104">
      <c r="CT2300" s="366" t="s">
        <v>2870</v>
      </c>
      <c r="CU2300" s="307" t="s">
        <v>208</v>
      </c>
      <c r="CV2300" s="307" t="s">
        <v>2871</v>
      </c>
      <c r="CW2300" s="366" t="s">
        <v>28</v>
      </c>
      <c r="CX2300" s="307">
        <v>-0.3</v>
      </c>
      <c r="CY2300" s="307">
        <v>-0.15</v>
      </c>
      <c r="CZ2300" s="307">
        <v>-0.22499999999999998</v>
      </c>
    </row>
    <row r="2301" spans="98:104">
      <c r="CT2301" s="366" t="s">
        <v>2872</v>
      </c>
      <c r="CU2301" s="307" t="s">
        <v>208</v>
      </c>
      <c r="CV2301" s="307" t="s">
        <v>2871</v>
      </c>
      <c r="CW2301" s="366" t="s">
        <v>1221</v>
      </c>
      <c r="CX2301" s="307">
        <v>-0.23100000000000001</v>
      </c>
      <c r="CY2301" s="307">
        <v>-0.18099999999999999</v>
      </c>
      <c r="CZ2301" s="307">
        <v>-0.20600000000000002</v>
      </c>
    </row>
    <row r="2302" spans="98:104">
      <c r="CT2302" s="366" t="s">
        <v>2873</v>
      </c>
      <c r="CU2302" s="307" t="s">
        <v>208</v>
      </c>
      <c r="CV2302" s="307" t="s">
        <v>2871</v>
      </c>
      <c r="CW2302" s="366" t="s">
        <v>1222</v>
      </c>
      <c r="CX2302" s="307">
        <v>-0.223</v>
      </c>
      <c r="CY2302" s="307">
        <v>-0.17299999999999999</v>
      </c>
      <c r="CZ2302" s="307">
        <v>-0.19800000000000001</v>
      </c>
    </row>
    <row r="2303" spans="98:104">
      <c r="CT2303" s="366" t="s">
        <v>2874</v>
      </c>
      <c r="CU2303" s="307" t="s">
        <v>208</v>
      </c>
      <c r="CV2303" s="307" t="s">
        <v>2871</v>
      </c>
      <c r="CW2303" s="366" t="s">
        <v>1223</v>
      </c>
      <c r="CX2303" s="307">
        <v>-0.216</v>
      </c>
      <c r="CY2303" s="307">
        <v>-0.16600000000000001</v>
      </c>
      <c r="CZ2303" s="307">
        <v>-0.191</v>
      </c>
    </row>
    <row r="2304" spans="98:104">
      <c r="CT2304" s="366" t="s">
        <v>2875</v>
      </c>
      <c r="CU2304" s="307" t="s">
        <v>208</v>
      </c>
      <c r="CV2304" s="307" t="s">
        <v>2871</v>
      </c>
      <c r="CW2304" s="366" t="s">
        <v>1224</v>
      </c>
      <c r="CX2304" s="307">
        <v>-0.20799999999999999</v>
      </c>
      <c r="CY2304" s="307">
        <v>-0.158</v>
      </c>
      <c r="CZ2304" s="307">
        <v>-0.183</v>
      </c>
    </row>
    <row r="2305" spans="98:104">
      <c r="CT2305" s="366" t="s">
        <v>2876</v>
      </c>
      <c r="CU2305" s="307" t="s">
        <v>208</v>
      </c>
      <c r="CV2305" s="307" t="s">
        <v>2871</v>
      </c>
      <c r="CW2305" s="366" t="s">
        <v>1225</v>
      </c>
      <c r="CX2305" s="307">
        <v>-0.2</v>
      </c>
      <c r="CY2305" s="307">
        <v>-0.15</v>
      </c>
      <c r="CZ2305" s="307">
        <v>-0.17499999999999999</v>
      </c>
    </row>
    <row r="2306" spans="98:104">
      <c r="CT2306" s="366" t="s">
        <v>2877</v>
      </c>
      <c r="CU2306" s="307" t="s">
        <v>208</v>
      </c>
      <c r="CV2306" s="307" t="s">
        <v>2871</v>
      </c>
      <c r="CW2306" s="366" t="s">
        <v>1194</v>
      </c>
      <c r="CX2306" s="307">
        <v>-0.192</v>
      </c>
      <c r="CY2306" s="307">
        <v>-0.14199999999999999</v>
      </c>
      <c r="CZ2306" s="307">
        <v>-0.16699999999999998</v>
      </c>
    </row>
    <row r="2307" spans="98:104">
      <c r="CT2307" s="366" t="s">
        <v>2878</v>
      </c>
      <c r="CU2307" s="307" t="s">
        <v>208</v>
      </c>
      <c r="CV2307" s="307" t="s">
        <v>2871</v>
      </c>
      <c r="CW2307" s="366" t="s">
        <v>1196</v>
      </c>
      <c r="CX2307" s="307">
        <v>-0.13900000000000001</v>
      </c>
      <c r="CY2307" s="307">
        <v>-8.8999999999999996E-2</v>
      </c>
      <c r="CZ2307" s="307">
        <v>-0.114</v>
      </c>
    </row>
    <row r="2308" spans="98:104">
      <c r="CT2308" s="366" t="s">
        <v>2879</v>
      </c>
      <c r="CU2308" s="307" t="s">
        <v>208</v>
      </c>
      <c r="CV2308" s="307" t="s">
        <v>2871</v>
      </c>
      <c r="CW2308" s="366" t="s">
        <v>9</v>
      </c>
      <c r="CX2308" s="307">
        <v>-0.156</v>
      </c>
      <c r="CY2308" s="307">
        <v>-0.11600000000000001</v>
      </c>
      <c r="CZ2308" s="307">
        <v>-0.13600000000000001</v>
      </c>
    </row>
    <row r="2309" spans="98:104">
      <c r="CT2309" s="366" t="s">
        <v>2880</v>
      </c>
      <c r="CU2309" s="307" t="s">
        <v>208</v>
      </c>
      <c r="CV2309" s="307" t="s">
        <v>2871</v>
      </c>
      <c r="CW2309" s="366" t="s">
        <v>10</v>
      </c>
      <c r="CX2309" s="307">
        <v>-8.1000000000000003E-2</v>
      </c>
      <c r="CY2309" s="307">
        <v>-4.1000000000000002E-2</v>
      </c>
      <c r="CZ2309" s="307">
        <v>-6.0999999999999999E-2</v>
      </c>
    </row>
    <row r="2310" spans="98:104">
      <c r="CT2310" s="366" t="s">
        <v>2881</v>
      </c>
      <c r="CU2310" s="307" t="s">
        <v>208</v>
      </c>
      <c r="CV2310" s="307" t="s">
        <v>2871</v>
      </c>
      <c r="CW2310" s="366" t="s">
        <v>11</v>
      </c>
      <c r="CX2310" s="307">
        <v>8.0000000000000002E-3</v>
      </c>
      <c r="CY2310" s="307">
        <v>4.8000000000000001E-2</v>
      </c>
      <c r="CZ2310" s="307">
        <v>2.8000000000000001E-2</v>
      </c>
    </row>
    <row r="2311" spans="98:104">
      <c r="CT2311" s="366" t="s">
        <v>2882</v>
      </c>
      <c r="CU2311" s="307" t="s">
        <v>208</v>
      </c>
      <c r="CV2311" s="307" t="s">
        <v>2871</v>
      </c>
      <c r="CW2311" s="366" t="s">
        <v>12</v>
      </c>
      <c r="CX2311" s="307">
        <v>0.112</v>
      </c>
      <c r="CY2311" s="307">
        <v>0.152</v>
      </c>
      <c r="CZ2311" s="307">
        <v>0.13200000000000001</v>
      </c>
    </row>
    <row r="2312" spans="98:104">
      <c r="CT2312" s="366" t="s">
        <v>2883</v>
      </c>
      <c r="CU2312" s="307" t="s">
        <v>208</v>
      </c>
      <c r="CV2312" s="307" t="s">
        <v>2871</v>
      </c>
      <c r="CW2312" s="366" t="s">
        <v>13</v>
      </c>
      <c r="CX2312" s="307">
        <v>0.222</v>
      </c>
      <c r="CY2312" s="307">
        <v>0.26200000000000001</v>
      </c>
      <c r="CZ2312" s="307">
        <v>0.24199999999999999</v>
      </c>
    </row>
    <row r="2313" spans="98:104">
      <c r="CT2313" s="366" t="s">
        <v>2884</v>
      </c>
      <c r="CU2313" s="307" t="s">
        <v>208</v>
      </c>
      <c r="CV2313" s="307" t="s">
        <v>2871</v>
      </c>
      <c r="CW2313" s="366" t="s">
        <v>14</v>
      </c>
      <c r="CX2313" s="307">
        <v>0.33500000000000002</v>
      </c>
      <c r="CY2313" s="307">
        <v>0.375</v>
      </c>
      <c r="CZ2313" s="307">
        <v>0.35499999999999998</v>
      </c>
    </row>
    <row r="2314" spans="98:104">
      <c r="CT2314" s="366" t="s">
        <v>2885</v>
      </c>
      <c r="CU2314" s="307" t="s">
        <v>208</v>
      </c>
      <c r="CV2314" s="307" t="s">
        <v>2871</v>
      </c>
      <c r="CW2314" s="366" t="s">
        <v>15</v>
      </c>
      <c r="CX2314" s="307">
        <v>0.44700000000000001</v>
      </c>
      <c r="CY2314" s="307">
        <v>0.48699999999999999</v>
      </c>
      <c r="CZ2314" s="307">
        <v>0.46699999999999997</v>
      </c>
    </row>
    <row r="2315" spans="98:104">
      <c r="CT2315" s="366" t="s">
        <v>2886</v>
      </c>
      <c r="CU2315" s="307" t="s">
        <v>208</v>
      </c>
      <c r="CV2315" s="307" t="s">
        <v>2871</v>
      </c>
      <c r="CW2315" s="366" t="s">
        <v>16</v>
      </c>
      <c r="CX2315" s="307">
        <v>0.55400000000000005</v>
      </c>
      <c r="CY2315" s="307">
        <v>0.59399999999999997</v>
      </c>
      <c r="CZ2315" s="307">
        <v>0.57400000000000007</v>
      </c>
    </row>
    <row r="2316" spans="98:104">
      <c r="CT2316" s="366" t="s">
        <v>2887</v>
      </c>
      <c r="CU2316" s="307" t="s">
        <v>208</v>
      </c>
      <c r="CV2316" s="307" t="s">
        <v>2871</v>
      </c>
      <c r="CW2316" s="366" t="s">
        <v>17</v>
      </c>
      <c r="CX2316" s="307">
        <v>0.65100000000000002</v>
      </c>
      <c r="CY2316" s="307">
        <v>0.69099999999999995</v>
      </c>
      <c r="CZ2316" s="307">
        <v>0.67100000000000004</v>
      </c>
    </row>
    <row r="2317" spans="98:104">
      <c r="CT2317" s="366" t="s">
        <v>2888</v>
      </c>
      <c r="CU2317" s="307" t="s">
        <v>208</v>
      </c>
      <c r="CV2317" s="307" t="s">
        <v>2871</v>
      </c>
      <c r="CW2317" s="366" t="s">
        <v>18</v>
      </c>
      <c r="CX2317" s="307">
        <v>0.81499999999999995</v>
      </c>
      <c r="CY2317" s="307">
        <v>0.85499999999999998</v>
      </c>
      <c r="CZ2317" s="307">
        <v>0.83499999999999996</v>
      </c>
    </row>
    <row r="2318" spans="98:104">
      <c r="CT2318" s="366" t="s">
        <v>2889</v>
      </c>
      <c r="CU2318" s="307" t="s">
        <v>208</v>
      </c>
      <c r="CV2318" s="307" t="s">
        <v>2871</v>
      </c>
      <c r="CW2318" s="366" t="s">
        <v>19</v>
      </c>
      <c r="CX2318" s="307">
        <v>0.98499999999999999</v>
      </c>
      <c r="CY2318" s="307">
        <v>1.0249999999999999</v>
      </c>
      <c r="CZ2318" s="307">
        <v>1.0049999999999999</v>
      </c>
    </row>
    <row r="2319" spans="98:104">
      <c r="CT2319" s="366" t="s">
        <v>2890</v>
      </c>
      <c r="CU2319" s="307" t="s">
        <v>208</v>
      </c>
      <c r="CV2319" s="307" t="s">
        <v>2871</v>
      </c>
      <c r="CW2319" s="366" t="s">
        <v>20</v>
      </c>
      <c r="CX2319" s="307">
        <v>1.115</v>
      </c>
      <c r="CY2319" s="307">
        <v>1.155</v>
      </c>
      <c r="CZ2319" s="307">
        <v>1.135</v>
      </c>
    </row>
    <row r="2320" spans="98:104">
      <c r="CT2320" s="366" t="s">
        <v>2891</v>
      </c>
      <c r="CU2320" s="307" t="s">
        <v>208</v>
      </c>
      <c r="CV2320" s="307" t="s">
        <v>2871</v>
      </c>
      <c r="CW2320" s="366" t="s">
        <v>21</v>
      </c>
      <c r="CX2320" s="307">
        <v>1.1499999999999999</v>
      </c>
      <c r="CY2320" s="307">
        <v>1.19</v>
      </c>
      <c r="CZ2320" s="307">
        <v>1.17</v>
      </c>
    </row>
    <row r="2321" spans="98:104">
      <c r="CT2321" s="366" t="s">
        <v>2892</v>
      </c>
      <c r="CU2321" s="307" t="s">
        <v>208</v>
      </c>
      <c r="CV2321" s="307" t="s">
        <v>2871</v>
      </c>
      <c r="CW2321" s="366" t="s">
        <v>22</v>
      </c>
      <c r="CX2321" s="307">
        <v>1.1599999999999999</v>
      </c>
      <c r="CY2321" s="307">
        <v>1.2</v>
      </c>
      <c r="CZ2321" s="307">
        <v>1.18</v>
      </c>
    </row>
    <row r="2322" spans="98:104">
      <c r="CT2322" s="366" t="s">
        <v>2893</v>
      </c>
      <c r="CU2322" s="307" t="s">
        <v>208</v>
      </c>
      <c r="CV2322" s="307" t="s">
        <v>2871</v>
      </c>
      <c r="CW2322" s="366" t="s">
        <v>46</v>
      </c>
      <c r="CX2322" s="307">
        <v>1.145</v>
      </c>
      <c r="CY2322" s="307">
        <v>1.1850000000000001</v>
      </c>
      <c r="CZ2322" s="307">
        <v>1.165</v>
      </c>
    </row>
    <row r="2323" spans="98:104">
      <c r="CT2323" s="366" t="s">
        <v>2894</v>
      </c>
      <c r="CU2323" s="307" t="s">
        <v>208</v>
      </c>
      <c r="CV2323" s="307" t="s">
        <v>2871</v>
      </c>
      <c r="CW2323" s="366" t="s">
        <v>47</v>
      </c>
      <c r="CX2323" s="307">
        <v>1.091</v>
      </c>
      <c r="CY2323" s="307">
        <v>1.131</v>
      </c>
      <c r="CZ2323" s="307">
        <v>1.111</v>
      </c>
    </row>
    <row r="2324" spans="98:104">
      <c r="CT2324" s="366" t="s">
        <v>4823</v>
      </c>
      <c r="CU2324" s="307" t="s">
        <v>208</v>
      </c>
      <c r="CV2324" s="307" t="s">
        <v>2871</v>
      </c>
      <c r="CW2324" s="366" t="s">
        <v>48</v>
      </c>
      <c r="CX2324" s="307">
        <v>1.056</v>
      </c>
      <c r="CY2324" s="307">
        <v>1.0960000000000001</v>
      </c>
      <c r="CZ2324" s="307">
        <v>1.0760000000000001</v>
      </c>
    </row>
    <row r="2325" spans="98:104">
      <c r="CT2325" s="366" t="s">
        <v>2895</v>
      </c>
      <c r="CU2325" s="307" t="s">
        <v>208</v>
      </c>
      <c r="CV2325" s="307" t="s">
        <v>2896</v>
      </c>
      <c r="CW2325" s="366" t="s">
        <v>3</v>
      </c>
      <c r="CX2325" s="307">
        <v>0</v>
      </c>
      <c r="CY2325" s="307">
        <v>0</v>
      </c>
      <c r="CZ2325" s="307">
        <v>0</v>
      </c>
    </row>
    <row r="2326" spans="98:104">
      <c r="CT2326" s="366" t="s">
        <v>2897</v>
      </c>
      <c r="CU2326" s="307" t="s">
        <v>208</v>
      </c>
      <c r="CV2326" s="307" t="s">
        <v>2896</v>
      </c>
      <c r="CW2326" s="366" t="s">
        <v>4</v>
      </c>
      <c r="CX2326" s="307">
        <v>0</v>
      </c>
      <c r="CY2326" s="307">
        <v>0</v>
      </c>
      <c r="CZ2326" s="307">
        <v>0</v>
      </c>
    </row>
    <row r="2327" spans="98:104">
      <c r="CT2327" s="366" t="s">
        <v>2898</v>
      </c>
      <c r="CU2327" s="307" t="s">
        <v>208</v>
      </c>
      <c r="CV2327" s="307" t="s">
        <v>2896</v>
      </c>
      <c r="CW2327" s="366" t="s">
        <v>5</v>
      </c>
      <c r="CX2327" s="307">
        <v>0</v>
      </c>
      <c r="CY2327" s="307">
        <v>0</v>
      </c>
      <c r="CZ2327" s="307">
        <v>0</v>
      </c>
    </row>
    <row r="2328" spans="98:104">
      <c r="CT2328" s="366" t="s">
        <v>2899</v>
      </c>
      <c r="CU2328" s="307" t="s">
        <v>208</v>
      </c>
      <c r="CV2328" s="307" t="s">
        <v>2896</v>
      </c>
      <c r="CW2328" s="366" t="s">
        <v>6</v>
      </c>
      <c r="CX2328" s="307">
        <v>0</v>
      </c>
      <c r="CY2328" s="307">
        <v>0</v>
      </c>
      <c r="CZ2328" s="307">
        <v>0</v>
      </c>
    </row>
    <row r="2329" spans="98:104">
      <c r="CT2329" s="366" t="s">
        <v>2900</v>
      </c>
      <c r="CU2329" s="307" t="s">
        <v>208</v>
      </c>
      <c r="CV2329" s="307" t="s">
        <v>2896</v>
      </c>
      <c r="CW2329" s="366" t="s">
        <v>24</v>
      </c>
      <c r="CX2329" s="307">
        <v>0</v>
      </c>
      <c r="CY2329" s="307">
        <v>0</v>
      </c>
      <c r="CZ2329" s="307">
        <v>0</v>
      </c>
    </row>
    <row r="2330" spans="98:104">
      <c r="CT2330" s="366" t="s">
        <v>2901</v>
      </c>
      <c r="CU2330" s="307" t="s">
        <v>208</v>
      </c>
      <c r="CV2330" s="307" t="s">
        <v>2896</v>
      </c>
      <c r="CW2330" s="366" t="s">
        <v>7</v>
      </c>
      <c r="CX2330" s="307">
        <v>0</v>
      </c>
      <c r="CY2330" s="307">
        <v>0</v>
      </c>
      <c r="CZ2330" s="307">
        <v>0</v>
      </c>
    </row>
    <row r="2331" spans="98:104">
      <c r="CT2331" s="366" t="s">
        <v>2902</v>
      </c>
      <c r="CU2331" s="307" t="s">
        <v>208</v>
      </c>
      <c r="CV2331" s="307" t="s">
        <v>2896</v>
      </c>
      <c r="CW2331" s="366" t="s">
        <v>8</v>
      </c>
      <c r="CX2331" s="307">
        <v>0</v>
      </c>
      <c r="CY2331" s="307">
        <v>0</v>
      </c>
      <c r="CZ2331" s="307">
        <v>0</v>
      </c>
    </row>
    <row r="2332" spans="98:104">
      <c r="CT2332" s="366" t="s">
        <v>2903</v>
      </c>
      <c r="CU2332" s="307" t="s">
        <v>208</v>
      </c>
      <c r="CV2332" s="307" t="s">
        <v>2896</v>
      </c>
      <c r="CW2332" s="366" t="s">
        <v>25</v>
      </c>
      <c r="CX2332" s="307">
        <v>0</v>
      </c>
      <c r="CY2332" s="307">
        <v>0</v>
      </c>
      <c r="CZ2332" s="307">
        <v>0</v>
      </c>
    </row>
    <row r="2333" spans="98:104">
      <c r="CT2333" s="366" t="s">
        <v>2904</v>
      </c>
      <c r="CU2333" s="307" t="s">
        <v>208</v>
      </c>
      <c r="CV2333" s="307" t="s">
        <v>2896</v>
      </c>
      <c r="CW2333" s="366" t="s">
        <v>26</v>
      </c>
      <c r="CX2333" s="307">
        <v>0</v>
      </c>
      <c r="CY2333" s="307">
        <v>0</v>
      </c>
      <c r="CZ2333" s="307">
        <v>0</v>
      </c>
    </row>
    <row r="2334" spans="98:104">
      <c r="CT2334" s="366" t="s">
        <v>2905</v>
      </c>
      <c r="CU2334" s="307" t="s">
        <v>208</v>
      </c>
      <c r="CV2334" s="307" t="s">
        <v>2896</v>
      </c>
      <c r="CW2334" s="366" t="s">
        <v>27</v>
      </c>
      <c r="CX2334" s="307">
        <v>0</v>
      </c>
      <c r="CY2334" s="307">
        <v>0</v>
      </c>
      <c r="CZ2334" s="307">
        <v>0</v>
      </c>
    </row>
    <row r="2335" spans="98:104">
      <c r="CT2335" s="366" t="s">
        <v>2906</v>
      </c>
      <c r="CU2335" s="307" t="s">
        <v>208</v>
      </c>
      <c r="CV2335" s="307" t="s">
        <v>2896</v>
      </c>
      <c r="CW2335" s="366" t="s">
        <v>28</v>
      </c>
      <c r="CX2335" s="307">
        <v>0</v>
      </c>
      <c r="CY2335" s="307">
        <v>0</v>
      </c>
      <c r="CZ2335" s="307">
        <v>0</v>
      </c>
    </row>
    <row r="2336" spans="98:104">
      <c r="CT2336" s="366" t="s">
        <v>2907</v>
      </c>
      <c r="CU2336" s="307" t="s">
        <v>208</v>
      </c>
      <c r="CV2336" s="307" t="s">
        <v>2896</v>
      </c>
      <c r="CW2336" s="366" t="s">
        <v>29</v>
      </c>
      <c r="CX2336" s="307">
        <v>0</v>
      </c>
      <c r="CY2336" s="307">
        <v>0</v>
      </c>
      <c r="CZ2336" s="307">
        <v>0</v>
      </c>
    </row>
    <row r="2337" spans="98:104">
      <c r="CT2337" s="366" t="s">
        <v>2908</v>
      </c>
      <c r="CU2337" s="307" t="s">
        <v>208</v>
      </c>
      <c r="CV2337" s="307" t="s">
        <v>2896</v>
      </c>
      <c r="CW2337" s="366" t="s">
        <v>30</v>
      </c>
      <c r="CX2337" s="307">
        <v>0</v>
      </c>
      <c r="CY2337" s="307">
        <v>0</v>
      </c>
      <c r="CZ2337" s="307">
        <v>0</v>
      </c>
    </row>
    <row r="2338" spans="98:104">
      <c r="CT2338" s="366" t="s">
        <v>2909</v>
      </c>
      <c r="CU2338" s="307" t="s">
        <v>208</v>
      </c>
      <c r="CV2338" s="307" t="s">
        <v>2896</v>
      </c>
      <c r="CW2338" s="366" t="s">
        <v>49</v>
      </c>
      <c r="CX2338" s="307">
        <v>0</v>
      </c>
      <c r="CY2338" s="307">
        <v>0</v>
      </c>
      <c r="CZ2338" s="307">
        <v>0</v>
      </c>
    </row>
    <row r="2339" spans="98:104">
      <c r="CT2339" s="366" t="s">
        <v>2910</v>
      </c>
      <c r="CU2339" s="307" t="s">
        <v>208</v>
      </c>
      <c r="CV2339" s="307" t="s">
        <v>2896</v>
      </c>
      <c r="CW2339" s="366" t="s">
        <v>50</v>
      </c>
      <c r="CX2339" s="307">
        <v>0</v>
      </c>
      <c r="CY2339" s="307">
        <v>0</v>
      </c>
      <c r="CZ2339" s="307">
        <v>0</v>
      </c>
    </row>
    <row r="2340" spans="98:104">
      <c r="CT2340" s="366" t="s">
        <v>2911</v>
      </c>
      <c r="CU2340" s="307" t="s">
        <v>208</v>
      </c>
      <c r="CV2340" s="307" t="s">
        <v>2896</v>
      </c>
      <c r="CW2340" s="366" t="s">
        <v>51</v>
      </c>
      <c r="CX2340" s="307">
        <v>0</v>
      </c>
      <c r="CY2340" s="307">
        <v>0</v>
      </c>
      <c r="CZ2340" s="307">
        <v>0</v>
      </c>
    </row>
    <row r="2341" spans="98:104">
      <c r="CT2341" s="366" t="s">
        <v>2912</v>
      </c>
      <c r="CU2341" s="307" t="s">
        <v>208</v>
      </c>
      <c r="CV2341" s="307" t="s">
        <v>2896</v>
      </c>
      <c r="CW2341" s="366" t="s">
        <v>56</v>
      </c>
      <c r="CX2341" s="307">
        <v>0</v>
      </c>
      <c r="CY2341" s="307">
        <v>0</v>
      </c>
      <c r="CZ2341" s="307">
        <v>0</v>
      </c>
    </row>
    <row r="2342" spans="98:104">
      <c r="CT2342" s="366" t="s">
        <v>2913</v>
      </c>
      <c r="CU2342" s="307" t="s">
        <v>208</v>
      </c>
      <c r="CV2342" s="307" t="s">
        <v>2896</v>
      </c>
      <c r="CW2342" s="366" t="s">
        <v>53</v>
      </c>
      <c r="CX2342" s="307">
        <v>0</v>
      </c>
      <c r="CY2342" s="307">
        <v>0</v>
      </c>
      <c r="CZ2342" s="307">
        <v>0</v>
      </c>
    </row>
    <row r="2343" spans="98:104">
      <c r="CT2343" s="366" t="s">
        <v>2914</v>
      </c>
      <c r="CU2343" s="307" t="s">
        <v>208</v>
      </c>
      <c r="CV2343" s="307" t="s">
        <v>2896</v>
      </c>
      <c r="CW2343" s="366" t="s">
        <v>54</v>
      </c>
      <c r="CX2343" s="307">
        <v>0</v>
      </c>
      <c r="CY2343" s="307">
        <v>0</v>
      </c>
      <c r="CZ2343" s="307">
        <v>0</v>
      </c>
    </row>
    <row r="2344" spans="98:104">
      <c r="CT2344" s="366" t="s">
        <v>2915</v>
      </c>
      <c r="CU2344" s="307" t="s">
        <v>208</v>
      </c>
      <c r="CV2344" s="307" t="s">
        <v>2896</v>
      </c>
      <c r="CW2344" s="366" t="s">
        <v>55</v>
      </c>
      <c r="CX2344" s="307">
        <v>0</v>
      </c>
      <c r="CY2344" s="307">
        <v>0</v>
      </c>
      <c r="CZ2344" s="307">
        <v>0</v>
      </c>
    </row>
    <row r="2345" spans="98:104">
      <c r="CT2345" s="366" t="s">
        <v>2916</v>
      </c>
      <c r="CU2345" s="307" t="s">
        <v>208</v>
      </c>
      <c r="CV2345" s="307" t="s">
        <v>2896</v>
      </c>
      <c r="CW2345" s="366" t="s">
        <v>9</v>
      </c>
      <c r="CX2345" s="307">
        <v>0</v>
      </c>
      <c r="CY2345" s="307">
        <v>0</v>
      </c>
      <c r="CZ2345" s="307">
        <v>0</v>
      </c>
    </row>
    <row r="2346" spans="98:104">
      <c r="CT2346" s="366" t="s">
        <v>2917</v>
      </c>
      <c r="CU2346" s="307" t="s">
        <v>208</v>
      </c>
      <c r="CV2346" s="307" t="s">
        <v>2896</v>
      </c>
      <c r="CW2346" s="366" t="s">
        <v>10</v>
      </c>
      <c r="CX2346" s="307">
        <v>0</v>
      </c>
      <c r="CY2346" s="307">
        <v>0</v>
      </c>
      <c r="CZ2346" s="307">
        <v>0</v>
      </c>
    </row>
    <row r="2347" spans="98:104">
      <c r="CT2347" s="366" t="s">
        <v>2918</v>
      </c>
      <c r="CU2347" s="307" t="s">
        <v>208</v>
      </c>
      <c r="CV2347" s="307" t="s">
        <v>2896</v>
      </c>
      <c r="CW2347" s="366" t="s">
        <v>11</v>
      </c>
      <c r="CX2347" s="307">
        <v>0</v>
      </c>
      <c r="CY2347" s="307">
        <v>0</v>
      </c>
      <c r="CZ2347" s="307">
        <v>0</v>
      </c>
    </row>
    <row r="2348" spans="98:104">
      <c r="CT2348" s="366" t="s">
        <v>2919</v>
      </c>
      <c r="CU2348" s="307" t="s">
        <v>208</v>
      </c>
      <c r="CV2348" s="307" t="s">
        <v>2896</v>
      </c>
      <c r="CW2348" s="366" t="s">
        <v>12</v>
      </c>
      <c r="CX2348" s="307">
        <v>0</v>
      </c>
      <c r="CY2348" s="307">
        <v>0</v>
      </c>
      <c r="CZ2348" s="307">
        <v>0</v>
      </c>
    </row>
    <row r="2349" spans="98:104">
      <c r="CT2349" s="366" t="s">
        <v>2920</v>
      </c>
      <c r="CU2349" s="307" t="s">
        <v>208</v>
      </c>
      <c r="CV2349" s="307" t="s">
        <v>2896</v>
      </c>
      <c r="CW2349" s="366" t="s">
        <v>13</v>
      </c>
      <c r="CX2349" s="307">
        <v>0</v>
      </c>
      <c r="CY2349" s="307">
        <v>0</v>
      </c>
      <c r="CZ2349" s="307">
        <v>0</v>
      </c>
    </row>
    <row r="2350" spans="98:104">
      <c r="CT2350" s="366" t="s">
        <v>2921</v>
      </c>
      <c r="CU2350" s="307" t="s">
        <v>208</v>
      </c>
      <c r="CV2350" s="307" t="s">
        <v>2896</v>
      </c>
      <c r="CW2350" s="366" t="s">
        <v>14</v>
      </c>
      <c r="CX2350" s="307">
        <v>0</v>
      </c>
      <c r="CY2350" s="307">
        <v>0</v>
      </c>
      <c r="CZ2350" s="307">
        <v>0</v>
      </c>
    </row>
    <row r="2351" spans="98:104">
      <c r="CT2351" s="366" t="s">
        <v>2922</v>
      </c>
      <c r="CU2351" s="307" t="s">
        <v>208</v>
      </c>
      <c r="CV2351" s="307" t="s">
        <v>2896</v>
      </c>
      <c r="CW2351" s="366" t="s">
        <v>15</v>
      </c>
      <c r="CX2351" s="307">
        <v>0</v>
      </c>
      <c r="CY2351" s="307">
        <v>0</v>
      </c>
      <c r="CZ2351" s="307">
        <v>0</v>
      </c>
    </row>
    <row r="2352" spans="98:104">
      <c r="CT2352" s="366" t="s">
        <v>2923</v>
      </c>
      <c r="CU2352" s="307" t="s">
        <v>208</v>
      </c>
      <c r="CV2352" s="307" t="s">
        <v>2896</v>
      </c>
      <c r="CW2352" s="366" t="s">
        <v>16</v>
      </c>
      <c r="CX2352" s="307">
        <v>0</v>
      </c>
      <c r="CY2352" s="307">
        <v>0</v>
      </c>
      <c r="CZ2352" s="307">
        <v>0</v>
      </c>
    </row>
    <row r="2353" spans="98:104">
      <c r="CT2353" s="366" t="s">
        <v>2924</v>
      </c>
      <c r="CU2353" s="307" t="s">
        <v>208</v>
      </c>
      <c r="CV2353" s="307" t="s">
        <v>2896</v>
      </c>
      <c r="CW2353" s="366" t="s">
        <v>17</v>
      </c>
      <c r="CX2353" s="307">
        <v>0</v>
      </c>
      <c r="CY2353" s="307">
        <v>0</v>
      </c>
      <c r="CZ2353" s="307">
        <v>0</v>
      </c>
    </row>
    <row r="2354" spans="98:104">
      <c r="CT2354" s="366" t="s">
        <v>2925</v>
      </c>
      <c r="CU2354" s="307" t="s">
        <v>208</v>
      </c>
      <c r="CV2354" s="307" t="s">
        <v>2896</v>
      </c>
      <c r="CW2354" s="366" t="s">
        <v>18</v>
      </c>
      <c r="CX2354" s="307">
        <v>0</v>
      </c>
      <c r="CY2354" s="307">
        <v>0</v>
      </c>
      <c r="CZ2354" s="307">
        <v>0</v>
      </c>
    </row>
    <row r="2355" spans="98:104">
      <c r="CT2355" s="366" t="s">
        <v>2926</v>
      </c>
      <c r="CU2355" s="307" t="s">
        <v>208</v>
      </c>
      <c r="CV2355" s="307" t="s">
        <v>2896</v>
      </c>
      <c r="CW2355" s="366" t="s">
        <v>19</v>
      </c>
      <c r="CX2355" s="307">
        <v>0</v>
      </c>
      <c r="CY2355" s="307">
        <v>0</v>
      </c>
      <c r="CZ2355" s="307">
        <v>0</v>
      </c>
    </row>
    <row r="2356" spans="98:104">
      <c r="CT2356" s="366" t="s">
        <v>2927</v>
      </c>
      <c r="CU2356" s="307" t="s">
        <v>208</v>
      </c>
      <c r="CV2356" s="307" t="s">
        <v>2896</v>
      </c>
      <c r="CW2356" s="366" t="s">
        <v>20</v>
      </c>
      <c r="CX2356" s="307">
        <v>0</v>
      </c>
      <c r="CY2356" s="307">
        <v>0</v>
      </c>
      <c r="CZ2356" s="307">
        <v>0</v>
      </c>
    </row>
    <row r="2357" spans="98:104">
      <c r="CT2357" s="366" t="s">
        <v>2928</v>
      </c>
      <c r="CU2357" s="307" t="s">
        <v>208</v>
      </c>
      <c r="CV2357" s="307" t="s">
        <v>2896</v>
      </c>
      <c r="CW2357" s="366" t="s">
        <v>21</v>
      </c>
      <c r="CX2357" s="307">
        <v>0</v>
      </c>
      <c r="CY2357" s="307">
        <v>0</v>
      </c>
      <c r="CZ2357" s="307">
        <v>0</v>
      </c>
    </row>
    <row r="2358" spans="98:104">
      <c r="CT2358" s="366" t="s">
        <v>2929</v>
      </c>
      <c r="CU2358" s="307" t="s">
        <v>208</v>
      </c>
      <c r="CV2358" s="307" t="s">
        <v>2896</v>
      </c>
      <c r="CW2358" s="366" t="s">
        <v>22</v>
      </c>
      <c r="CX2358" s="307">
        <v>0</v>
      </c>
      <c r="CY2358" s="307">
        <v>0</v>
      </c>
      <c r="CZ2358" s="307">
        <v>0</v>
      </c>
    </row>
    <row r="2359" spans="98:104">
      <c r="CT2359" s="366" t="s">
        <v>2930</v>
      </c>
      <c r="CU2359" s="307" t="s">
        <v>208</v>
      </c>
      <c r="CV2359" s="307" t="s">
        <v>2896</v>
      </c>
      <c r="CW2359" s="366" t="s">
        <v>46</v>
      </c>
      <c r="CX2359" s="307">
        <v>0</v>
      </c>
      <c r="CY2359" s="307">
        <v>0</v>
      </c>
      <c r="CZ2359" s="307">
        <v>0</v>
      </c>
    </row>
    <row r="2360" spans="98:104">
      <c r="CT2360" s="366" t="s">
        <v>2931</v>
      </c>
      <c r="CU2360" s="307" t="s">
        <v>208</v>
      </c>
      <c r="CV2360" s="307" t="s">
        <v>2896</v>
      </c>
      <c r="CW2360" s="366" t="s">
        <v>47</v>
      </c>
      <c r="CX2360" s="307">
        <v>0</v>
      </c>
      <c r="CY2360" s="307">
        <v>0</v>
      </c>
      <c r="CZ2360" s="307">
        <v>0</v>
      </c>
    </row>
    <row r="2361" spans="98:104">
      <c r="CT2361" s="366" t="s">
        <v>4824</v>
      </c>
      <c r="CU2361" s="307" t="s">
        <v>208</v>
      </c>
      <c r="CV2361" s="307" t="s">
        <v>2896</v>
      </c>
      <c r="CW2361" s="366" t="s">
        <v>48</v>
      </c>
      <c r="CX2361" s="307">
        <v>0</v>
      </c>
      <c r="CY2361" s="307">
        <v>0</v>
      </c>
      <c r="CZ2361" s="307">
        <v>0</v>
      </c>
    </row>
    <row r="2362" spans="98:104">
      <c r="CT2362" s="366" t="s">
        <v>2932</v>
      </c>
      <c r="CU2362" s="307" t="s">
        <v>208</v>
      </c>
      <c r="CV2362" s="307" t="s">
        <v>2933</v>
      </c>
      <c r="CW2362" s="366" t="s">
        <v>3</v>
      </c>
      <c r="CX2362" s="307">
        <v>-0.45</v>
      </c>
      <c r="CY2362" s="307">
        <v>-0.35</v>
      </c>
      <c r="CZ2362" s="307">
        <v>-0.4</v>
      </c>
    </row>
    <row r="2363" spans="98:104">
      <c r="CT2363" s="366" t="s">
        <v>2934</v>
      </c>
      <c r="CU2363" s="307" t="s">
        <v>208</v>
      </c>
      <c r="CV2363" s="307" t="s">
        <v>2933</v>
      </c>
      <c r="CW2363" s="366" t="s">
        <v>4</v>
      </c>
      <c r="CX2363" s="307">
        <v>-0.45</v>
      </c>
      <c r="CY2363" s="307">
        <v>-0.35</v>
      </c>
      <c r="CZ2363" s="307">
        <v>-0.4</v>
      </c>
    </row>
    <row r="2364" spans="98:104">
      <c r="CT2364" s="366" t="s">
        <v>2935</v>
      </c>
      <c r="CU2364" s="307" t="s">
        <v>208</v>
      </c>
      <c r="CV2364" s="307" t="s">
        <v>2933</v>
      </c>
      <c r="CW2364" s="366" t="s">
        <v>5</v>
      </c>
      <c r="CX2364" s="307">
        <v>-0.44766666666666999</v>
      </c>
      <c r="CY2364" s="307">
        <v>-0.34766666666667001</v>
      </c>
      <c r="CZ2364" s="307">
        <v>-0.39766666666667</v>
      </c>
    </row>
    <row r="2365" spans="98:104">
      <c r="CT2365" s="366" t="s">
        <v>2936</v>
      </c>
      <c r="CU2365" s="307" t="s">
        <v>208</v>
      </c>
      <c r="CV2365" s="307" t="s">
        <v>2933</v>
      </c>
      <c r="CW2365" s="366" t="s">
        <v>7</v>
      </c>
      <c r="CX2365" s="307">
        <v>-0.44</v>
      </c>
      <c r="CY2365" s="307">
        <v>-0.34</v>
      </c>
      <c r="CZ2365" s="307">
        <v>-0.39</v>
      </c>
    </row>
    <row r="2366" spans="98:104">
      <c r="CT2366" s="366" t="s">
        <v>3830</v>
      </c>
      <c r="CU2366" s="307" t="s">
        <v>208</v>
      </c>
      <c r="CV2366" s="307" t="s">
        <v>2933</v>
      </c>
      <c r="CW2366" s="366" t="s">
        <v>8</v>
      </c>
      <c r="CX2366" s="307">
        <v>-0.43</v>
      </c>
      <c r="CY2366" s="307">
        <v>-0.33</v>
      </c>
      <c r="CZ2366" s="307">
        <v>-0.38</v>
      </c>
    </row>
    <row r="2367" spans="98:104">
      <c r="CT2367" s="366" t="s">
        <v>3831</v>
      </c>
      <c r="CU2367" s="307" t="s">
        <v>208</v>
      </c>
      <c r="CV2367" s="307" t="s">
        <v>2933</v>
      </c>
      <c r="CW2367" s="366" t="s">
        <v>1060</v>
      </c>
      <c r="CX2367" s="307">
        <v>100.30500000000001</v>
      </c>
      <c r="CY2367" s="307">
        <v>100.31</v>
      </c>
      <c r="CZ2367" s="307">
        <v>100.3075</v>
      </c>
    </row>
    <row r="2368" spans="98:104">
      <c r="CT2368" s="366" t="s">
        <v>3832</v>
      </c>
      <c r="CU2368" s="307" t="s">
        <v>208</v>
      </c>
      <c r="CV2368" s="307" t="s">
        <v>2933</v>
      </c>
      <c r="CW2368" s="366" t="s">
        <v>1063</v>
      </c>
      <c r="CX2368" s="307">
        <v>100.29</v>
      </c>
      <c r="CY2368" s="307">
        <v>100.295</v>
      </c>
      <c r="CZ2368" s="307">
        <v>100.2925</v>
      </c>
    </row>
    <row r="2369" spans="98:104">
      <c r="CT2369" s="366" t="s">
        <v>4825</v>
      </c>
      <c r="CU2369" s="307" t="s">
        <v>208</v>
      </c>
      <c r="CV2369" s="307" t="s">
        <v>2933</v>
      </c>
      <c r="CW2369" s="366" t="s">
        <v>1066</v>
      </c>
      <c r="CX2369" s="307">
        <v>100.27500000000001</v>
      </c>
      <c r="CY2369" s="307">
        <v>100.28</v>
      </c>
      <c r="CZ2369" s="307">
        <v>100.2775</v>
      </c>
    </row>
    <row r="2370" spans="98:104">
      <c r="CT2370" s="366" t="s">
        <v>4826</v>
      </c>
      <c r="CU2370" s="307" t="s">
        <v>208</v>
      </c>
      <c r="CV2370" s="307" t="s">
        <v>2933</v>
      </c>
      <c r="CW2370" s="366" t="s">
        <v>1069</v>
      </c>
      <c r="CX2370" s="307">
        <v>100.255</v>
      </c>
      <c r="CY2370" s="307">
        <v>100.26</v>
      </c>
      <c r="CZ2370" s="307">
        <v>100.25749999999999</v>
      </c>
    </row>
    <row r="2371" spans="98:104">
      <c r="CT2371" s="366" t="s">
        <v>4827</v>
      </c>
      <c r="CU2371" s="307" t="s">
        <v>208</v>
      </c>
      <c r="CV2371" s="307" t="s">
        <v>2933</v>
      </c>
      <c r="CW2371" s="366" t="s">
        <v>3865</v>
      </c>
      <c r="CX2371" s="307">
        <v>100.24</v>
      </c>
      <c r="CY2371" s="307">
        <v>100.245</v>
      </c>
      <c r="CZ2371" s="307">
        <v>100.24250000000001</v>
      </c>
    </row>
    <row r="2372" spans="98:104">
      <c r="CT2372" s="366" t="s">
        <v>4828</v>
      </c>
      <c r="CU2372" s="307" t="s">
        <v>208</v>
      </c>
      <c r="CV2372" s="307" t="s">
        <v>2933</v>
      </c>
      <c r="CW2372" s="366" t="s">
        <v>3866</v>
      </c>
      <c r="CX2372" s="307">
        <v>100.215</v>
      </c>
      <c r="CY2372" s="307">
        <v>100.22</v>
      </c>
      <c r="CZ2372" s="307">
        <v>100.2175</v>
      </c>
    </row>
    <row r="2373" spans="98:104">
      <c r="CT2373" s="366" t="s">
        <v>4829</v>
      </c>
      <c r="CU2373" s="307" t="s">
        <v>208</v>
      </c>
      <c r="CV2373" s="307" t="s">
        <v>2933</v>
      </c>
      <c r="CW2373" s="366" t="s">
        <v>3889</v>
      </c>
      <c r="CX2373" s="307">
        <v>100.185</v>
      </c>
      <c r="CY2373" s="307">
        <v>100.19</v>
      </c>
      <c r="CZ2373" s="307">
        <v>100.1875</v>
      </c>
    </row>
    <row r="2374" spans="98:104">
      <c r="CT2374" s="366" t="s">
        <v>4830</v>
      </c>
      <c r="CU2374" s="307" t="s">
        <v>208</v>
      </c>
      <c r="CV2374" s="307" t="s">
        <v>2933</v>
      </c>
      <c r="CW2374" s="366" t="s">
        <v>3890</v>
      </c>
      <c r="CX2374" s="307">
        <v>100.15</v>
      </c>
      <c r="CY2374" s="307">
        <v>100.155</v>
      </c>
      <c r="CZ2374" s="307">
        <v>100.1525</v>
      </c>
    </row>
    <row r="2375" spans="98:104">
      <c r="CT2375" s="366" t="s">
        <v>4831</v>
      </c>
      <c r="CU2375" s="307" t="s">
        <v>208</v>
      </c>
      <c r="CV2375" s="307" t="s">
        <v>2933</v>
      </c>
      <c r="CW2375" s="366" t="s">
        <v>4821</v>
      </c>
      <c r="CX2375" s="307">
        <v>100.11</v>
      </c>
      <c r="CY2375" s="307">
        <v>100.11499999999999</v>
      </c>
      <c r="CZ2375" s="307">
        <v>100.1125</v>
      </c>
    </row>
    <row r="2376" spans="98:104">
      <c r="CT2376" s="366" t="s">
        <v>2937</v>
      </c>
      <c r="CU2376" s="307" t="s">
        <v>208</v>
      </c>
      <c r="CV2376" s="307" t="s">
        <v>2933</v>
      </c>
      <c r="CW2376" s="366" t="s">
        <v>11</v>
      </c>
      <c r="CX2376" s="307">
        <v>8.0000000000000002E-3</v>
      </c>
      <c r="CY2376" s="307">
        <v>4.8000000000000001E-2</v>
      </c>
      <c r="CZ2376" s="307">
        <v>2.8000000000000001E-2</v>
      </c>
    </row>
    <row r="2377" spans="98:104">
      <c r="CT2377" s="366" t="s">
        <v>2938</v>
      </c>
      <c r="CU2377" s="307" t="s">
        <v>208</v>
      </c>
      <c r="CV2377" s="307" t="s">
        <v>2933</v>
      </c>
      <c r="CW2377" s="366" t="s">
        <v>12</v>
      </c>
      <c r="CX2377" s="307">
        <v>0.112</v>
      </c>
      <c r="CY2377" s="307">
        <v>0.152</v>
      </c>
      <c r="CZ2377" s="307">
        <v>0.13200000000000001</v>
      </c>
    </row>
    <row r="2378" spans="98:104">
      <c r="CT2378" s="366" t="s">
        <v>2939</v>
      </c>
      <c r="CU2378" s="307" t="s">
        <v>208</v>
      </c>
      <c r="CV2378" s="307" t="s">
        <v>2933</v>
      </c>
      <c r="CW2378" s="366" t="s">
        <v>13</v>
      </c>
      <c r="CX2378" s="307">
        <v>0.222</v>
      </c>
      <c r="CY2378" s="307">
        <v>0.26200000000000001</v>
      </c>
      <c r="CZ2378" s="307">
        <v>0.24199999999999999</v>
      </c>
    </row>
    <row r="2379" spans="98:104">
      <c r="CT2379" s="366" t="s">
        <v>2940</v>
      </c>
      <c r="CU2379" s="307" t="s">
        <v>208</v>
      </c>
      <c r="CV2379" s="307" t="s">
        <v>2933</v>
      </c>
      <c r="CW2379" s="366" t="s">
        <v>14</v>
      </c>
      <c r="CX2379" s="307">
        <v>0.33500000000000002</v>
      </c>
      <c r="CY2379" s="307">
        <v>0.375</v>
      </c>
      <c r="CZ2379" s="307">
        <v>0.35499999999999998</v>
      </c>
    </row>
    <row r="2380" spans="98:104">
      <c r="CT2380" s="366" t="s">
        <v>2941</v>
      </c>
      <c r="CU2380" s="307" t="s">
        <v>208</v>
      </c>
      <c r="CV2380" s="307" t="s">
        <v>2933</v>
      </c>
      <c r="CW2380" s="366" t="s">
        <v>15</v>
      </c>
      <c r="CX2380" s="307">
        <v>0.44700000000000001</v>
      </c>
      <c r="CY2380" s="307">
        <v>0.48699999999999999</v>
      </c>
      <c r="CZ2380" s="307">
        <v>0.46699999999999997</v>
      </c>
    </row>
    <row r="2381" spans="98:104">
      <c r="CT2381" s="366" t="s">
        <v>2942</v>
      </c>
      <c r="CU2381" s="307" t="s">
        <v>208</v>
      </c>
      <c r="CV2381" s="307" t="s">
        <v>2933</v>
      </c>
      <c r="CW2381" s="366" t="s">
        <v>16</v>
      </c>
      <c r="CX2381" s="307">
        <v>0.55400000000000005</v>
      </c>
      <c r="CY2381" s="307">
        <v>0.59399999999999997</v>
      </c>
      <c r="CZ2381" s="307">
        <v>0.57400000000000007</v>
      </c>
    </row>
    <row r="2382" spans="98:104">
      <c r="CT2382" s="366" t="s">
        <v>2943</v>
      </c>
      <c r="CU2382" s="307" t="s">
        <v>208</v>
      </c>
      <c r="CV2382" s="307" t="s">
        <v>2933</v>
      </c>
      <c r="CW2382" s="366" t="s">
        <v>17</v>
      </c>
      <c r="CX2382" s="307">
        <v>0.65100000000000002</v>
      </c>
      <c r="CY2382" s="307">
        <v>0.69099999999999995</v>
      </c>
      <c r="CZ2382" s="307">
        <v>0.67100000000000004</v>
      </c>
    </row>
    <row r="2383" spans="98:104">
      <c r="CT2383" s="366" t="s">
        <v>2944</v>
      </c>
      <c r="CU2383" s="307" t="s">
        <v>208</v>
      </c>
      <c r="CV2383" s="307" t="s">
        <v>2933</v>
      </c>
      <c r="CW2383" s="366" t="s">
        <v>18</v>
      </c>
      <c r="CX2383" s="307">
        <v>0.81499999999999995</v>
      </c>
      <c r="CY2383" s="307">
        <v>0.85499999999999998</v>
      </c>
      <c r="CZ2383" s="307">
        <v>0.83499999999999996</v>
      </c>
    </row>
    <row r="2384" spans="98:104">
      <c r="CT2384" s="366" t="s">
        <v>2945</v>
      </c>
      <c r="CU2384" s="307" t="s">
        <v>208</v>
      </c>
      <c r="CV2384" s="307" t="s">
        <v>2933</v>
      </c>
      <c r="CW2384" s="366" t="s">
        <v>19</v>
      </c>
      <c r="CX2384" s="307">
        <v>0.98499999999999999</v>
      </c>
      <c r="CY2384" s="307">
        <v>1.0249999999999999</v>
      </c>
      <c r="CZ2384" s="307">
        <v>1.0049999999999999</v>
      </c>
    </row>
    <row r="2385" spans="98:104">
      <c r="CT2385" s="366" t="s">
        <v>2946</v>
      </c>
      <c r="CU2385" s="307" t="s">
        <v>208</v>
      </c>
      <c r="CV2385" s="307" t="s">
        <v>2933</v>
      </c>
      <c r="CW2385" s="366" t="s">
        <v>20</v>
      </c>
      <c r="CX2385" s="307">
        <v>1.115</v>
      </c>
      <c r="CY2385" s="307">
        <v>1.155</v>
      </c>
      <c r="CZ2385" s="307">
        <v>1.135</v>
      </c>
    </row>
    <row r="2386" spans="98:104">
      <c r="CT2386" s="366" t="s">
        <v>2947</v>
      </c>
      <c r="CU2386" s="307" t="s">
        <v>208</v>
      </c>
      <c r="CV2386" s="307" t="s">
        <v>2933</v>
      </c>
      <c r="CW2386" s="366" t="s">
        <v>21</v>
      </c>
      <c r="CX2386" s="307">
        <v>1.1499999999999999</v>
      </c>
      <c r="CY2386" s="307">
        <v>1.19</v>
      </c>
      <c r="CZ2386" s="307">
        <v>1.17</v>
      </c>
    </row>
    <row r="2387" spans="98:104">
      <c r="CT2387" s="366" t="s">
        <v>2948</v>
      </c>
      <c r="CU2387" s="307" t="s">
        <v>208</v>
      </c>
      <c r="CV2387" s="307" t="s">
        <v>2933</v>
      </c>
      <c r="CW2387" s="366" t="s">
        <v>22</v>
      </c>
      <c r="CX2387" s="307">
        <v>1.1599999999999999</v>
      </c>
      <c r="CY2387" s="307">
        <v>1.2</v>
      </c>
      <c r="CZ2387" s="307">
        <v>1.18</v>
      </c>
    </row>
    <row r="2388" spans="98:104">
      <c r="CT2388" s="366" t="s">
        <v>2949</v>
      </c>
      <c r="CU2388" s="307" t="s">
        <v>208</v>
      </c>
      <c r="CV2388" s="307" t="s">
        <v>2933</v>
      </c>
      <c r="CW2388" s="366" t="s">
        <v>46</v>
      </c>
      <c r="CX2388" s="307">
        <v>1.145</v>
      </c>
      <c r="CY2388" s="307">
        <v>1.1850000000000001</v>
      </c>
      <c r="CZ2388" s="307">
        <v>1.165</v>
      </c>
    </row>
    <row r="2389" spans="98:104">
      <c r="CT2389" s="366" t="s">
        <v>2950</v>
      </c>
      <c r="CU2389" s="307" t="s">
        <v>208</v>
      </c>
      <c r="CV2389" s="307" t="s">
        <v>2933</v>
      </c>
      <c r="CW2389" s="366" t="s">
        <v>47</v>
      </c>
      <c r="CX2389" s="307">
        <v>1.091</v>
      </c>
      <c r="CY2389" s="307">
        <v>1.131</v>
      </c>
      <c r="CZ2389" s="307">
        <v>1.111</v>
      </c>
    </row>
    <row r="2390" spans="98:104">
      <c r="CT2390" s="366" t="s">
        <v>4832</v>
      </c>
      <c r="CU2390" s="307" t="s">
        <v>208</v>
      </c>
      <c r="CV2390" s="307" t="s">
        <v>2933</v>
      </c>
      <c r="CW2390" s="366" t="s">
        <v>48</v>
      </c>
      <c r="CX2390" s="307">
        <v>1.056</v>
      </c>
      <c r="CY2390" s="307">
        <v>1.0960000000000001</v>
      </c>
      <c r="CZ2390" s="307">
        <v>1.0760000000000001</v>
      </c>
    </row>
    <row r="2391" spans="98:104">
      <c r="CT2391" s="366" t="s">
        <v>2951</v>
      </c>
      <c r="CU2391" s="307" t="s">
        <v>635</v>
      </c>
      <c r="CV2391" s="307" t="s">
        <v>2952</v>
      </c>
      <c r="CW2391" s="366" t="s">
        <v>7</v>
      </c>
      <c r="CX2391" s="307">
        <v>0.55000000000000004</v>
      </c>
      <c r="CY2391" s="307">
        <v>0.6</v>
      </c>
      <c r="CZ2391" s="307">
        <v>0.57499999999999996</v>
      </c>
    </row>
    <row r="2392" spans="98:104">
      <c r="CT2392" s="366" t="s">
        <v>3833</v>
      </c>
      <c r="CU2392" s="307" t="s">
        <v>635</v>
      </c>
      <c r="CV2392" s="307" t="s">
        <v>2952</v>
      </c>
      <c r="CW2392" s="366" t="s">
        <v>8</v>
      </c>
      <c r="CX2392" s="307">
        <v>0</v>
      </c>
      <c r="CY2392" s="307">
        <v>0</v>
      </c>
      <c r="CZ2392" s="307">
        <v>0</v>
      </c>
    </row>
    <row r="2393" spans="98:104">
      <c r="CT2393" s="366" t="s">
        <v>3834</v>
      </c>
      <c r="CU2393" s="307" t="s">
        <v>635</v>
      </c>
      <c r="CV2393" s="307" t="s">
        <v>2952</v>
      </c>
      <c r="CW2393" s="366" t="s">
        <v>25</v>
      </c>
      <c r="CX2393" s="307">
        <v>0</v>
      </c>
      <c r="CY2393" s="307">
        <v>0</v>
      </c>
      <c r="CZ2393" s="307">
        <v>0</v>
      </c>
    </row>
    <row r="2394" spans="98:104">
      <c r="CT2394" s="366" t="s">
        <v>3835</v>
      </c>
      <c r="CU2394" s="307" t="s">
        <v>635</v>
      </c>
      <c r="CV2394" s="307" t="s">
        <v>2952</v>
      </c>
      <c r="CW2394" s="366" t="s">
        <v>28</v>
      </c>
      <c r="CX2394" s="307">
        <v>0</v>
      </c>
      <c r="CY2394" s="307">
        <v>0</v>
      </c>
      <c r="CZ2394" s="307">
        <v>0</v>
      </c>
    </row>
    <row r="2395" spans="98:104">
      <c r="CT2395" s="366" t="s">
        <v>3836</v>
      </c>
      <c r="CU2395" s="307" t="s">
        <v>635</v>
      </c>
      <c r="CV2395" s="307" t="s">
        <v>2952</v>
      </c>
      <c r="CW2395" s="366" t="s">
        <v>49</v>
      </c>
      <c r="CX2395" s="307">
        <v>0</v>
      </c>
      <c r="CY2395" s="307">
        <v>0</v>
      </c>
      <c r="CZ2395" s="307">
        <v>0</v>
      </c>
    </row>
    <row r="2396" spans="98:104">
      <c r="CT2396" s="366" t="s">
        <v>3837</v>
      </c>
      <c r="CU2396" s="307" t="s">
        <v>635</v>
      </c>
      <c r="CV2396" s="307" t="s">
        <v>2952</v>
      </c>
      <c r="CW2396" s="366" t="s">
        <v>56</v>
      </c>
      <c r="CX2396" s="307">
        <v>0</v>
      </c>
      <c r="CY2396" s="307">
        <v>0</v>
      </c>
      <c r="CZ2396" s="307">
        <v>0</v>
      </c>
    </row>
    <row r="2397" spans="98:104">
      <c r="CT2397" s="366" t="s">
        <v>2953</v>
      </c>
      <c r="CU2397" s="307" t="s">
        <v>635</v>
      </c>
      <c r="CV2397" s="307" t="s">
        <v>2952</v>
      </c>
      <c r="CW2397" s="366" t="s">
        <v>9</v>
      </c>
      <c r="CX2397" s="307">
        <v>0.82199999999999995</v>
      </c>
      <c r="CY2397" s="307">
        <v>0.86199999999999999</v>
      </c>
      <c r="CZ2397" s="307">
        <v>0.84199999999999997</v>
      </c>
    </row>
    <row r="2398" spans="98:104">
      <c r="CT2398" s="366" t="s">
        <v>2954</v>
      </c>
      <c r="CU2398" s="307" t="s">
        <v>635</v>
      </c>
      <c r="CV2398" s="307" t="s">
        <v>2952</v>
      </c>
      <c r="CW2398" s="366" t="s">
        <v>10</v>
      </c>
      <c r="CX2398" s="307">
        <v>0.91500000000000004</v>
      </c>
      <c r="CY2398" s="307">
        <v>0.95499999999999996</v>
      </c>
      <c r="CZ2398" s="307">
        <v>0.93500000000000005</v>
      </c>
    </row>
    <row r="2399" spans="98:104">
      <c r="CT2399" s="366" t="s">
        <v>2955</v>
      </c>
      <c r="CU2399" s="307" t="s">
        <v>635</v>
      </c>
      <c r="CV2399" s="307" t="s">
        <v>2952</v>
      </c>
      <c r="CW2399" s="366" t="s">
        <v>11</v>
      </c>
      <c r="CX2399" s="307">
        <v>1.004</v>
      </c>
      <c r="CY2399" s="307">
        <v>1.044</v>
      </c>
      <c r="CZ2399" s="307">
        <v>1.024</v>
      </c>
    </row>
    <row r="2400" spans="98:104">
      <c r="CT2400" s="366" t="s">
        <v>2956</v>
      </c>
      <c r="CU2400" s="307" t="s">
        <v>635</v>
      </c>
      <c r="CV2400" s="307" t="s">
        <v>2952</v>
      </c>
      <c r="CW2400" s="366" t="s">
        <v>12</v>
      </c>
      <c r="CX2400" s="307">
        <v>1.087</v>
      </c>
      <c r="CY2400" s="307">
        <v>1.127</v>
      </c>
      <c r="CZ2400" s="307">
        <v>1.107</v>
      </c>
    </row>
    <row r="2401" spans="98:104">
      <c r="CT2401" s="366" t="s">
        <v>2957</v>
      </c>
      <c r="CU2401" s="307" t="s">
        <v>635</v>
      </c>
      <c r="CV2401" s="307" t="s">
        <v>2952</v>
      </c>
      <c r="CW2401" s="366" t="s">
        <v>13</v>
      </c>
      <c r="CX2401" s="307">
        <v>1.165</v>
      </c>
      <c r="CY2401" s="307">
        <v>1.2050000000000001</v>
      </c>
      <c r="CZ2401" s="307">
        <v>1.1850000000000001</v>
      </c>
    </row>
    <row r="2402" spans="98:104">
      <c r="CT2402" s="366" t="s">
        <v>2958</v>
      </c>
      <c r="CU2402" s="307" t="s">
        <v>635</v>
      </c>
      <c r="CV2402" s="307" t="s">
        <v>2952</v>
      </c>
      <c r="CW2402" s="366" t="s">
        <v>14</v>
      </c>
      <c r="CX2402" s="307">
        <v>1.236</v>
      </c>
      <c r="CY2402" s="307">
        <v>1.276</v>
      </c>
      <c r="CZ2402" s="307">
        <v>1.256</v>
      </c>
    </row>
    <row r="2403" spans="98:104">
      <c r="CT2403" s="366" t="s">
        <v>2959</v>
      </c>
      <c r="CU2403" s="307" t="s">
        <v>635</v>
      </c>
      <c r="CV2403" s="307" t="s">
        <v>2952</v>
      </c>
      <c r="CW2403" s="366" t="s">
        <v>15</v>
      </c>
      <c r="CX2403" s="307">
        <v>1.302</v>
      </c>
      <c r="CY2403" s="307">
        <v>1.3420000000000001</v>
      </c>
      <c r="CZ2403" s="307">
        <v>1.3220000000000001</v>
      </c>
    </row>
    <row r="2404" spans="98:104">
      <c r="CT2404" s="366" t="s">
        <v>2960</v>
      </c>
      <c r="CU2404" s="307" t="s">
        <v>635</v>
      </c>
      <c r="CV2404" s="307" t="s">
        <v>2952</v>
      </c>
      <c r="CW2404" s="366" t="s">
        <v>16</v>
      </c>
      <c r="CX2404" s="307">
        <v>1.363</v>
      </c>
      <c r="CY2404" s="307">
        <v>1.403</v>
      </c>
      <c r="CZ2404" s="307">
        <v>1.383</v>
      </c>
    </row>
    <row r="2405" spans="98:104">
      <c r="CT2405" s="366" t="s">
        <v>2961</v>
      </c>
      <c r="CU2405" s="307" t="s">
        <v>635</v>
      </c>
      <c r="CV2405" s="307" t="s">
        <v>2952</v>
      </c>
      <c r="CW2405" s="366" t="s">
        <v>17</v>
      </c>
      <c r="CX2405" s="307">
        <v>1.4179999999999999</v>
      </c>
      <c r="CY2405" s="307">
        <v>1.458</v>
      </c>
      <c r="CZ2405" s="307">
        <v>1.4379999999999999</v>
      </c>
    </row>
    <row r="2406" spans="98:104">
      <c r="CT2406" s="366" t="s">
        <v>2962</v>
      </c>
      <c r="CU2406" s="307" t="s">
        <v>635</v>
      </c>
      <c r="CV2406" s="307" t="s">
        <v>2952</v>
      </c>
      <c r="CW2406" s="366" t="s">
        <v>18</v>
      </c>
      <c r="CX2406" s="307">
        <v>1.5089999999999999</v>
      </c>
      <c r="CY2406" s="307">
        <v>1.5489999999999999</v>
      </c>
      <c r="CZ2406" s="307">
        <v>1.5289999999999999</v>
      </c>
    </row>
    <row r="2407" spans="98:104">
      <c r="CT2407" s="366" t="s">
        <v>2963</v>
      </c>
      <c r="CU2407" s="307" t="s">
        <v>635</v>
      </c>
      <c r="CV2407" s="307" t="s">
        <v>2952</v>
      </c>
      <c r="CW2407" s="366" t="s">
        <v>19</v>
      </c>
      <c r="CX2407" s="307">
        <v>1.609</v>
      </c>
      <c r="CY2407" s="307">
        <v>1.649</v>
      </c>
      <c r="CZ2407" s="307">
        <v>1.629</v>
      </c>
    </row>
    <row r="2408" spans="98:104">
      <c r="CT2408" s="366" t="s">
        <v>2964</v>
      </c>
      <c r="CU2408" s="307" t="s">
        <v>635</v>
      </c>
      <c r="CV2408" s="307" t="s">
        <v>2952</v>
      </c>
      <c r="CW2408" s="366" t="s">
        <v>20</v>
      </c>
      <c r="CX2408" s="307">
        <v>1.694</v>
      </c>
      <c r="CY2408" s="307">
        <v>1.734</v>
      </c>
      <c r="CZ2408" s="307">
        <v>1.714</v>
      </c>
    </row>
    <row r="2409" spans="98:104">
      <c r="CT2409" s="366" t="s">
        <v>2965</v>
      </c>
      <c r="CU2409" s="307" t="s">
        <v>635</v>
      </c>
      <c r="CV2409" s="307" t="s">
        <v>2952</v>
      </c>
      <c r="CW2409" s="366" t="s">
        <v>21</v>
      </c>
      <c r="CX2409" s="307">
        <v>1.7230000000000001</v>
      </c>
      <c r="CY2409" s="307">
        <v>1.7629999999999999</v>
      </c>
      <c r="CZ2409" s="307">
        <v>1.7429999999999999</v>
      </c>
    </row>
    <row r="2410" spans="98:104">
      <c r="CT2410" s="366" t="s">
        <v>2966</v>
      </c>
      <c r="CU2410" s="307" t="s">
        <v>635</v>
      </c>
      <c r="CV2410" s="307" t="s">
        <v>2952</v>
      </c>
      <c r="CW2410" s="366" t="s">
        <v>22</v>
      </c>
      <c r="CX2410" s="307">
        <v>1.7330000000000001</v>
      </c>
      <c r="CY2410" s="307">
        <v>1.7729999999999999</v>
      </c>
      <c r="CZ2410" s="307">
        <v>1.7530000000000001</v>
      </c>
    </row>
    <row r="2411" spans="98:104">
      <c r="CT2411" s="366" t="s">
        <v>2967</v>
      </c>
      <c r="CU2411" s="307" t="s">
        <v>635</v>
      </c>
      <c r="CV2411" s="307" t="s">
        <v>2952</v>
      </c>
      <c r="CW2411" s="366" t="s">
        <v>46</v>
      </c>
      <c r="CX2411" s="307">
        <v>2.2528035399999999</v>
      </c>
      <c r="CY2411" s="307">
        <v>2.2528035399999999</v>
      </c>
      <c r="CZ2411" s="307">
        <v>2.2528035399999999</v>
      </c>
    </row>
    <row r="2412" spans="98:104">
      <c r="CT2412" s="366" t="s">
        <v>2968</v>
      </c>
      <c r="CU2412" s="307" t="s">
        <v>635</v>
      </c>
      <c r="CV2412" s="307" t="s">
        <v>2952</v>
      </c>
      <c r="CW2412" s="366" t="s">
        <v>47</v>
      </c>
      <c r="CX2412" s="307">
        <v>2.2468126050000001</v>
      </c>
      <c r="CY2412" s="307">
        <v>2.2468126050000001</v>
      </c>
      <c r="CZ2412" s="307">
        <v>2.2468126050000001</v>
      </c>
    </row>
    <row r="2413" spans="98:104">
      <c r="CT2413" s="366" t="s">
        <v>4833</v>
      </c>
      <c r="CU2413" s="307" t="s">
        <v>635</v>
      </c>
      <c r="CV2413" s="307" t="s">
        <v>2952</v>
      </c>
      <c r="CW2413" s="366" t="s">
        <v>48</v>
      </c>
      <c r="CX2413" s="307">
        <v>0</v>
      </c>
      <c r="CY2413" s="307">
        <v>0</v>
      </c>
      <c r="CZ2413" s="307">
        <v>0</v>
      </c>
    </row>
    <row r="2414" spans="98:104">
      <c r="CT2414" s="366" t="s">
        <v>2969</v>
      </c>
      <c r="CU2414" s="307" t="s">
        <v>635</v>
      </c>
      <c r="CV2414" s="307" t="s">
        <v>2970</v>
      </c>
      <c r="CW2414" s="366" t="s">
        <v>52</v>
      </c>
      <c r="CX2414" s="307">
        <v>1.35</v>
      </c>
      <c r="CY2414" s="307">
        <v>1.55</v>
      </c>
      <c r="CZ2414" s="307">
        <v>1.4500000000000002</v>
      </c>
    </row>
    <row r="2415" spans="98:104">
      <c r="CT2415" s="366" t="s">
        <v>2971</v>
      </c>
      <c r="CU2415" s="307" t="s">
        <v>635</v>
      </c>
      <c r="CV2415" s="307" t="s">
        <v>2970</v>
      </c>
      <c r="CW2415" s="366" t="s">
        <v>2817</v>
      </c>
      <c r="CX2415" s="307">
        <v>1.665</v>
      </c>
      <c r="CY2415" s="307">
        <v>1.7050000000000001</v>
      </c>
      <c r="CZ2415" s="307">
        <v>1.6850000000000001</v>
      </c>
    </row>
    <row r="2416" spans="98:104">
      <c r="CT2416" s="366" t="s">
        <v>2972</v>
      </c>
      <c r="CU2416" s="307" t="s">
        <v>635</v>
      </c>
      <c r="CV2416" s="307" t="s">
        <v>2970</v>
      </c>
      <c r="CW2416" s="366" t="s">
        <v>2819</v>
      </c>
      <c r="CX2416" s="307">
        <v>1.6870000000000001</v>
      </c>
      <c r="CY2416" s="307">
        <v>1.7270000000000001</v>
      </c>
      <c r="CZ2416" s="307">
        <v>1.7070000000000001</v>
      </c>
    </row>
    <row r="2417" spans="98:104">
      <c r="CT2417" s="366" t="s">
        <v>2973</v>
      </c>
      <c r="CU2417" s="307" t="s">
        <v>635</v>
      </c>
      <c r="CV2417" s="307" t="s">
        <v>2970</v>
      </c>
      <c r="CW2417" s="366" t="s">
        <v>2821</v>
      </c>
      <c r="CX2417" s="307">
        <v>1.716</v>
      </c>
      <c r="CY2417" s="307">
        <v>1.756</v>
      </c>
      <c r="CZ2417" s="307">
        <v>1.736</v>
      </c>
    </row>
    <row r="2418" spans="98:104">
      <c r="CT2418" s="366" t="s">
        <v>2974</v>
      </c>
      <c r="CU2418" s="307" t="s">
        <v>635</v>
      </c>
      <c r="CV2418" s="307" t="s">
        <v>2970</v>
      </c>
      <c r="CW2418" s="366" t="s">
        <v>2823</v>
      </c>
      <c r="CX2418" s="307">
        <v>1.6850000000000001</v>
      </c>
      <c r="CY2418" s="307">
        <v>1.7250000000000001</v>
      </c>
      <c r="CZ2418" s="307">
        <v>1.7050000000000001</v>
      </c>
    </row>
    <row r="2419" spans="98:104">
      <c r="CT2419" s="366" t="s">
        <v>2975</v>
      </c>
      <c r="CU2419" s="307" t="s">
        <v>635</v>
      </c>
      <c r="CV2419" s="307" t="s">
        <v>2970</v>
      </c>
      <c r="CW2419" s="366" t="s">
        <v>2825</v>
      </c>
      <c r="CX2419" s="307">
        <v>1.722</v>
      </c>
      <c r="CY2419" s="307">
        <v>1.762</v>
      </c>
      <c r="CZ2419" s="307">
        <v>1.742</v>
      </c>
    </row>
    <row r="2420" spans="98:104">
      <c r="CT2420" s="366" t="s">
        <v>2976</v>
      </c>
      <c r="CU2420" s="307" t="s">
        <v>635</v>
      </c>
      <c r="CV2420" s="307" t="s">
        <v>2970</v>
      </c>
      <c r="CW2420" s="366" t="s">
        <v>2827</v>
      </c>
      <c r="CX2420" s="307">
        <v>1.754</v>
      </c>
      <c r="CY2420" s="307">
        <v>1.794</v>
      </c>
      <c r="CZ2420" s="307">
        <v>1.774</v>
      </c>
    </row>
    <row r="2421" spans="98:104">
      <c r="CT2421" s="366" t="s">
        <v>2977</v>
      </c>
      <c r="CU2421" s="307" t="s">
        <v>635</v>
      </c>
      <c r="CV2421" s="307" t="s">
        <v>2970</v>
      </c>
      <c r="CW2421" s="366" t="s">
        <v>2829</v>
      </c>
      <c r="CX2421" s="307">
        <v>1.756</v>
      </c>
      <c r="CY2421" s="307">
        <v>1.796</v>
      </c>
      <c r="CZ2421" s="307">
        <v>1.776</v>
      </c>
    </row>
    <row r="2422" spans="98:104">
      <c r="CT2422" s="366" t="s">
        <v>2978</v>
      </c>
      <c r="CU2422" s="307" t="s">
        <v>635</v>
      </c>
      <c r="CV2422" s="307" t="s">
        <v>2970</v>
      </c>
      <c r="CW2422" s="366" t="s">
        <v>2831</v>
      </c>
      <c r="CX2422" s="307">
        <v>1.76</v>
      </c>
      <c r="CY2422" s="307">
        <v>1.8</v>
      </c>
      <c r="CZ2422" s="307">
        <v>1.78</v>
      </c>
    </row>
    <row r="2423" spans="98:104">
      <c r="CT2423" s="366" t="s">
        <v>2979</v>
      </c>
      <c r="CU2423" s="307" t="s">
        <v>635</v>
      </c>
      <c r="CV2423" s="307" t="s">
        <v>2970</v>
      </c>
      <c r="CW2423" s="366" t="s">
        <v>2833</v>
      </c>
      <c r="CX2423" s="307">
        <v>1.7729999999999999</v>
      </c>
      <c r="CY2423" s="307">
        <v>1.8129999999999999</v>
      </c>
      <c r="CZ2423" s="307">
        <v>1.7929999999999999</v>
      </c>
    </row>
    <row r="2424" spans="98:104">
      <c r="CT2424" s="366" t="s">
        <v>2980</v>
      </c>
      <c r="CU2424" s="307" t="s">
        <v>635</v>
      </c>
      <c r="CV2424" s="307" t="s">
        <v>2970</v>
      </c>
      <c r="CW2424" s="366" t="s">
        <v>2835</v>
      </c>
      <c r="CX2424" s="307">
        <v>1.81</v>
      </c>
      <c r="CY2424" s="307">
        <v>1.85</v>
      </c>
      <c r="CZ2424" s="307">
        <v>1.83</v>
      </c>
    </row>
    <row r="2425" spans="98:104">
      <c r="CT2425" s="366" t="s">
        <v>2981</v>
      </c>
      <c r="CU2425" s="307" t="s">
        <v>635</v>
      </c>
      <c r="CV2425" s="307" t="s">
        <v>2970</v>
      </c>
      <c r="CW2425" s="366" t="s">
        <v>2837</v>
      </c>
      <c r="CX2425" s="307">
        <v>1.8420000000000001</v>
      </c>
      <c r="CY2425" s="307">
        <v>1.8819999999999999</v>
      </c>
      <c r="CZ2425" s="307">
        <v>1.8620000000000001</v>
      </c>
    </row>
    <row r="2426" spans="98:104">
      <c r="CT2426" s="366" t="s">
        <v>2982</v>
      </c>
      <c r="CU2426" s="307" t="s">
        <v>635</v>
      </c>
      <c r="CV2426" s="307" t="s">
        <v>2970</v>
      </c>
      <c r="CW2426" s="366" t="s">
        <v>9</v>
      </c>
      <c r="CX2426" s="307">
        <v>1.768120447</v>
      </c>
      <c r="CY2426" s="307">
        <v>1.768120447</v>
      </c>
      <c r="CZ2426" s="307">
        <v>1.768120447</v>
      </c>
    </row>
    <row r="2427" spans="98:104">
      <c r="CT2427" s="366" t="s">
        <v>2983</v>
      </c>
      <c r="CU2427" s="307" t="s">
        <v>635</v>
      </c>
      <c r="CV2427" s="307" t="s">
        <v>2970</v>
      </c>
      <c r="CW2427" s="366" t="s">
        <v>10</v>
      </c>
      <c r="CX2427" s="307">
        <v>1.9291966359999999</v>
      </c>
      <c r="CY2427" s="307">
        <v>1.9291966359999999</v>
      </c>
      <c r="CZ2427" s="307">
        <v>1.9291966359999999</v>
      </c>
    </row>
    <row r="2428" spans="98:104">
      <c r="CT2428" s="366" t="s">
        <v>2984</v>
      </c>
      <c r="CU2428" s="307" t="s">
        <v>635</v>
      </c>
      <c r="CV2428" s="307" t="s">
        <v>2970</v>
      </c>
      <c r="CW2428" s="366" t="s">
        <v>11</v>
      </c>
      <c r="CX2428" s="307">
        <v>2.0704378499999998</v>
      </c>
      <c r="CY2428" s="307">
        <v>2.0704378499999998</v>
      </c>
      <c r="CZ2428" s="307">
        <v>2.0704378499999998</v>
      </c>
    </row>
    <row r="2429" spans="98:104">
      <c r="CT2429" s="366" t="s">
        <v>2985</v>
      </c>
      <c r="CU2429" s="307" t="s">
        <v>635</v>
      </c>
      <c r="CV2429" s="307" t="s">
        <v>2970</v>
      </c>
      <c r="CW2429" s="366" t="s">
        <v>12</v>
      </c>
      <c r="CX2429" s="307">
        <v>2.1758245889999999</v>
      </c>
      <c r="CY2429" s="307">
        <v>2.1758245889999999</v>
      </c>
      <c r="CZ2429" s="307">
        <v>2.1758245889999999</v>
      </c>
    </row>
    <row r="2430" spans="98:104">
      <c r="CT2430" s="366" t="s">
        <v>2986</v>
      </c>
      <c r="CU2430" s="307" t="s">
        <v>635</v>
      </c>
      <c r="CV2430" s="307" t="s">
        <v>2970</v>
      </c>
      <c r="CW2430" s="366" t="s">
        <v>13</v>
      </c>
      <c r="CX2430" s="307">
        <v>2.2732025770000002</v>
      </c>
      <c r="CY2430" s="307">
        <v>2.2732025770000002</v>
      </c>
      <c r="CZ2430" s="307">
        <v>2.2732025770000002</v>
      </c>
    </row>
    <row r="2431" spans="98:104">
      <c r="CT2431" s="366" t="s">
        <v>2987</v>
      </c>
      <c r="CU2431" s="307" t="s">
        <v>635</v>
      </c>
      <c r="CV2431" s="307" t="s">
        <v>2970</v>
      </c>
      <c r="CW2431" s="366" t="s">
        <v>14</v>
      </c>
      <c r="CX2431" s="307">
        <v>2.3472615330000002</v>
      </c>
      <c r="CY2431" s="307">
        <v>2.3472615330000002</v>
      </c>
      <c r="CZ2431" s="307">
        <v>2.3472615330000002</v>
      </c>
    </row>
    <row r="2432" spans="98:104">
      <c r="CT2432" s="366" t="s">
        <v>2988</v>
      </c>
      <c r="CU2432" s="307" t="s">
        <v>635</v>
      </c>
      <c r="CV2432" s="307" t="s">
        <v>2970</v>
      </c>
      <c r="CW2432" s="366" t="s">
        <v>15</v>
      </c>
      <c r="CX2432" s="307">
        <v>2.403770529</v>
      </c>
      <c r="CY2432" s="307">
        <v>2.403770529</v>
      </c>
      <c r="CZ2432" s="307">
        <v>2.403770529</v>
      </c>
    </row>
    <row r="2433" spans="98:104">
      <c r="CT2433" s="366" t="s">
        <v>2989</v>
      </c>
      <c r="CU2433" s="307" t="s">
        <v>635</v>
      </c>
      <c r="CV2433" s="307" t="s">
        <v>2970</v>
      </c>
      <c r="CW2433" s="366" t="s">
        <v>16</v>
      </c>
      <c r="CX2433" s="307">
        <v>2.4520259219999998</v>
      </c>
      <c r="CY2433" s="307">
        <v>2.4520259219999998</v>
      </c>
      <c r="CZ2433" s="307">
        <v>2.4520259219999998</v>
      </c>
    </row>
    <row r="2434" spans="98:104">
      <c r="CT2434" s="366" t="s">
        <v>2990</v>
      </c>
      <c r="CU2434" s="307" t="s">
        <v>635</v>
      </c>
      <c r="CV2434" s="307" t="s">
        <v>2970</v>
      </c>
      <c r="CW2434" s="366" t="s">
        <v>17</v>
      </c>
      <c r="CX2434" s="307">
        <v>2.4912641199999999</v>
      </c>
      <c r="CY2434" s="307">
        <v>2.4912641199999999</v>
      </c>
      <c r="CZ2434" s="307">
        <v>2.4912641199999999</v>
      </c>
    </row>
    <row r="2435" spans="98:104">
      <c r="CT2435" s="366" t="s">
        <v>2991</v>
      </c>
      <c r="CU2435" s="307" t="s">
        <v>635</v>
      </c>
      <c r="CV2435" s="307" t="s">
        <v>2970</v>
      </c>
      <c r="CW2435" s="366" t="s">
        <v>18</v>
      </c>
      <c r="CX2435" s="307">
        <v>2.5559871620000001</v>
      </c>
      <c r="CY2435" s="307">
        <v>2.5559871620000001</v>
      </c>
      <c r="CZ2435" s="307">
        <v>2.5559871620000001</v>
      </c>
    </row>
    <row r="2436" spans="98:104">
      <c r="CT2436" s="366" t="s">
        <v>2992</v>
      </c>
      <c r="CU2436" s="307" t="s">
        <v>635</v>
      </c>
      <c r="CV2436" s="307" t="s">
        <v>2970</v>
      </c>
      <c r="CW2436" s="366" t="s">
        <v>19</v>
      </c>
      <c r="CX2436" s="307">
        <v>2.6219563570000002</v>
      </c>
      <c r="CY2436" s="307">
        <v>2.6219563570000002</v>
      </c>
      <c r="CZ2436" s="307">
        <v>2.6219563570000002</v>
      </c>
    </row>
    <row r="2437" spans="98:104">
      <c r="CT2437" s="366" t="s">
        <v>2993</v>
      </c>
      <c r="CU2437" s="307" t="s">
        <v>635</v>
      </c>
      <c r="CV2437" s="307" t="s">
        <v>2970</v>
      </c>
      <c r="CW2437" s="366" t="s">
        <v>20</v>
      </c>
      <c r="CX2437" s="307">
        <v>2.687200721</v>
      </c>
      <c r="CY2437" s="307">
        <v>2.687200721</v>
      </c>
      <c r="CZ2437" s="307">
        <v>2.687200721</v>
      </c>
    </row>
    <row r="2438" spans="98:104">
      <c r="CT2438" s="366" t="s">
        <v>2994</v>
      </c>
      <c r="CU2438" s="307" t="s">
        <v>635</v>
      </c>
      <c r="CV2438" s="307" t="s">
        <v>2970</v>
      </c>
      <c r="CW2438" s="366" t="s">
        <v>21</v>
      </c>
      <c r="CX2438" s="307">
        <v>2.7073820739999999</v>
      </c>
      <c r="CY2438" s="307">
        <v>2.7073820739999999</v>
      </c>
      <c r="CZ2438" s="307">
        <v>2.7073820739999999</v>
      </c>
    </row>
    <row r="2439" spans="98:104">
      <c r="CT2439" s="366" t="s">
        <v>2995</v>
      </c>
      <c r="CU2439" s="307" t="s">
        <v>635</v>
      </c>
      <c r="CV2439" s="307" t="s">
        <v>2970</v>
      </c>
      <c r="CW2439" s="366" t="s">
        <v>22</v>
      </c>
      <c r="CX2439" s="307">
        <v>2.710058171</v>
      </c>
      <c r="CY2439" s="307">
        <v>2.710058171</v>
      </c>
      <c r="CZ2439" s="307">
        <v>2.710058171</v>
      </c>
    </row>
    <row r="2440" spans="98:104">
      <c r="CT2440" s="366" t="s">
        <v>2996</v>
      </c>
      <c r="CU2440" s="307" t="s">
        <v>635</v>
      </c>
      <c r="CV2440" s="307" t="s">
        <v>2970</v>
      </c>
      <c r="CW2440" s="366" t="s">
        <v>46</v>
      </c>
      <c r="CX2440" s="307">
        <v>2.7160634780000001</v>
      </c>
      <c r="CY2440" s="307">
        <v>2.7160634780000001</v>
      </c>
      <c r="CZ2440" s="307">
        <v>2.7160634780000001</v>
      </c>
    </row>
    <row r="2441" spans="98:104">
      <c r="CT2441" s="366" t="s">
        <v>2997</v>
      </c>
      <c r="CU2441" s="307" t="s">
        <v>635</v>
      </c>
      <c r="CV2441" s="307" t="s">
        <v>2970</v>
      </c>
      <c r="CW2441" s="366" t="s">
        <v>47</v>
      </c>
      <c r="CX2441" s="307">
        <v>2.7100438069999999</v>
      </c>
      <c r="CY2441" s="307">
        <v>2.7100438069999999</v>
      </c>
      <c r="CZ2441" s="307">
        <v>2.7100438069999999</v>
      </c>
    </row>
    <row r="2442" spans="98:104">
      <c r="CT2442" s="366" t="s">
        <v>4834</v>
      </c>
      <c r="CU2442" s="307" t="s">
        <v>635</v>
      </c>
      <c r="CV2442" s="307" t="s">
        <v>2970</v>
      </c>
      <c r="CW2442" s="366" t="s">
        <v>48</v>
      </c>
      <c r="CX2442" s="307">
        <v>2.7045604089999999</v>
      </c>
      <c r="CY2442" s="307">
        <v>2.7045604089999999</v>
      </c>
      <c r="CZ2442" s="307">
        <v>2.7045604089999999</v>
      </c>
    </row>
    <row r="2443" spans="98:104">
      <c r="CT2443" s="366" t="s">
        <v>2998</v>
      </c>
      <c r="CU2443" s="307" t="s">
        <v>635</v>
      </c>
      <c r="CV2443" s="307" t="s">
        <v>2999</v>
      </c>
      <c r="CW2443" s="366" t="s">
        <v>25</v>
      </c>
      <c r="CX2443" s="307">
        <v>0.8</v>
      </c>
      <c r="CY2443" s="307">
        <v>0.9</v>
      </c>
      <c r="CZ2443" s="307">
        <v>0.85000000000000009</v>
      </c>
    </row>
    <row r="2444" spans="98:104">
      <c r="CT2444" s="366" t="s">
        <v>3838</v>
      </c>
      <c r="CU2444" s="307" t="s">
        <v>635</v>
      </c>
      <c r="CV2444" s="307" t="s">
        <v>2999</v>
      </c>
      <c r="CW2444" s="366" t="s">
        <v>1060</v>
      </c>
      <c r="CX2444" s="307">
        <v>99.032499999999999</v>
      </c>
      <c r="CY2444" s="307">
        <v>99.032499999999999</v>
      </c>
      <c r="CZ2444" s="307">
        <v>99.032499999999999</v>
      </c>
    </row>
    <row r="2445" spans="98:104">
      <c r="CT2445" s="366" t="s">
        <v>3839</v>
      </c>
      <c r="CU2445" s="307" t="s">
        <v>635</v>
      </c>
      <c r="CV2445" s="307" t="s">
        <v>2999</v>
      </c>
      <c r="CW2445" s="366" t="s">
        <v>1063</v>
      </c>
      <c r="CX2445" s="307">
        <v>98.984999999999999</v>
      </c>
      <c r="CY2445" s="307">
        <v>98.984999999999999</v>
      </c>
      <c r="CZ2445" s="307">
        <v>98.984999999999999</v>
      </c>
    </row>
    <row r="2446" spans="98:104">
      <c r="CT2446" s="366" t="s">
        <v>4835</v>
      </c>
      <c r="CU2446" s="307" t="s">
        <v>635</v>
      </c>
      <c r="CV2446" s="307" t="s">
        <v>2999</v>
      </c>
      <c r="CW2446" s="366" t="s">
        <v>1066</v>
      </c>
      <c r="CX2446" s="307">
        <v>98.88</v>
      </c>
      <c r="CY2446" s="307">
        <v>98.88</v>
      </c>
      <c r="CZ2446" s="307">
        <v>98.88</v>
      </c>
    </row>
    <row r="2447" spans="98:104">
      <c r="CT2447" s="366" t="s">
        <v>4836</v>
      </c>
      <c r="CU2447" s="307" t="s">
        <v>635</v>
      </c>
      <c r="CV2447" s="307" t="s">
        <v>2999</v>
      </c>
      <c r="CW2447" s="366" t="s">
        <v>1069</v>
      </c>
      <c r="CX2447" s="307">
        <v>98.78</v>
      </c>
      <c r="CY2447" s="307">
        <v>98.78</v>
      </c>
      <c r="CZ2447" s="307">
        <v>98.78</v>
      </c>
    </row>
    <row r="2448" spans="98:104">
      <c r="CT2448" s="366" t="s">
        <v>4837</v>
      </c>
      <c r="CU2448" s="307" t="s">
        <v>635</v>
      </c>
      <c r="CV2448" s="307" t="s">
        <v>2999</v>
      </c>
      <c r="CW2448" s="366" t="s">
        <v>3865</v>
      </c>
      <c r="CX2448" s="307">
        <v>98.665000000000006</v>
      </c>
      <c r="CY2448" s="307">
        <v>98.665000000000006</v>
      </c>
      <c r="CZ2448" s="307">
        <v>98.665000000000006</v>
      </c>
    </row>
    <row r="2449" spans="98:104">
      <c r="CT2449" s="366" t="s">
        <v>4838</v>
      </c>
      <c r="CU2449" s="307" t="s">
        <v>635</v>
      </c>
      <c r="CV2449" s="307" t="s">
        <v>2999</v>
      </c>
      <c r="CW2449" s="366" t="s">
        <v>3866</v>
      </c>
      <c r="CX2449" s="307">
        <v>98.57</v>
      </c>
      <c r="CY2449" s="307">
        <v>98.57</v>
      </c>
      <c r="CZ2449" s="307">
        <v>98.57</v>
      </c>
    </row>
    <row r="2450" spans="98:104">
      <c r="CT2450" s="366" t="s">
        <v>4839</v>
      </c>
      <c r="CU2450" s="307" t="s">
        <v>635</v>
      </c>
      <c r="CV2450" s="307" t="s">
        <v>2999</v>
      </c>
      <c r="CW2450" s="366" t="s">
        <v>3889</v>
      </c>
      <c r="CX2450" s="307">
        <v>98.465000000000003</v>
      </c>
      <c r="CY2450" s="307">
        <v>98.465000000000003</v>
      </c>
      <c r="CZ2450" s="307">
        <v>98.465000000000003</v>
      </c>
    </row>
    <row r="2451" spans="98:104">
      <c r="CT2451" s="366" t="s">
        <v>4840</v>
      </c>
      <c r="CU2451" s="307" t="s">
        <v>635</v>
      </c>
      <c r="CV2451" s="307" t="s">
        <v>2999</v>
      </c>
      <c r="CW2451" s="366" t="s">
        <v>3890</v>
      </c>
      <c r="CX2451" s="307">
        <v>98.364999999999995</v>
      </c>
      <c r="CY2451" s="307">
        <v>98.364999999999995</v>
      </c>
      <c r="CZ2451" s="307">
        <v>98.364999999999995</v>
      </c>
    </row>
    <row r="2452" spans="98:104">
      <c r="CT2452" s="366" t="s">
        <v>4841</v>
      </c>
      <c r="CU2452" s="307" t="s">
        <v>635</v>
      </c>
      <c r="CV2452" s="307" t="s">
        <v>2999</v>
      </c>
      <c r="CW2452" s="366" t="s">
        <v>4821</v>
      </c>
      <c r="CX2452" s="307">
        <v>98.254999999999995</v>
      </c>
      <c r="CY2452" s="307">
        <v>98.254999999999995</v>
      </c>
      <c r="CZ2452" s="307">
        <v>98.254999999999995</v>
      </c>
    </row>
    <row r="2453" spans="98:104">
      <c r="CT2453" s="366" t="s">
        <v>3000</v>
      </c>
      <c r="CU2453" s="307" t="s">
        <v>635</v>
      </c>
      <c r="CV2453" s="307" t="s">
        <v>2999</v>
      </c>
      <c r="CW2453" s="366" t="s">
        <v>11</v>
      </c>
      <c r="CX2453" s="307">
        <v>1.5529999999999999</v>
      </c>
      <c r="CY2453" s="307">
        <v>1.593</v>
      </c>
      <c r="CZ2453" s="307">
        <v>1.573</v>
      </c>
    </row>
    <row r="2454" spans="98:104">
      <c r="CT2454" s="366" t="s">
        <v>3001</v>
      </c>
      <c r="CU2454" s="307" t="s">
        <v>635</v>
      </c>
      <c r="CV2454" s="307" t="s">
        <v>2999</v>
      </c>
      <c r="CW2454" s="366" t="s">
        <v>12</v>
      </c>
      <c r="CX2454" s="307">
        <v>1.6719999999999999</v>
      </c>
      <c r="CY2454" s="307">
        <v>1.712</v>
      </c>
      <c r="CZ2454" s="307">
        <v>1.6919999999999999</v>
      </c>
    </row>
    <row r="2455" spans="98:104">
      <c r="CT2455" s="366" t="s">
        <v>3002</v>
      </c>
      <c r="CU2455" s="307" t="s">
        <v>635</v>
      </c>
      <c r="CV2455" s="307" t="s">
        <v>2999</v>
      </c>
      <c r="CW2455" s="366" t="s">
        <v>13</v>
      </c>
      <c r="CX2455" s="307">
        <v>1.778</v>
      </c>
      <c r="CY2455" s="307">
        <v>1.8180000000000001</v>
      </c>
      <c r="CZ2455" s="307">
        <v>1.798</v>
      </c>
    </row>
    <row r="2456" spans="98:104">
      <c r="CT2456" s="366" t="s">
        <v>3003</v>
      </c>
      <c r="CU2456" s="307" t="s">
        <v>635</v>
      </c>
      <c r="CV2456" s="307" t="s">
        <v>2999</v>
      </c>
      <c r="CW2456" s="366" t="s">
        <v>14</v>
      </c>
      <c r="CX2456" s="307">
        <v>1.867</v>
      </c>
      <c r="CY2456" s="307">
        <v>1.907</v>
      </c>
      <c r="CZ2456" s="307">
        <v>1.887</v>
      </c>
    </row>
    <row r="2457" spans="98:104">
      <c r="CT2457" s="366" t="s">
        <v>3004</v>
      </c>
      <c r="CU2457" s="307" t="s">
        <v>635</v>
      </c>
      <c r="CV2457" s="307" t="s">
        <v>2999</v>
      </c>
      <c r="CW2457" s="366" t="s">
        <v>15</v>
      </c>
      <c r="CX2457" s="307">
        <v>1.9410000000000001</v>
      </c>
      <c r="CY2457" s="307">
        <v>1.9810000000000001</v>
      </c>
      <c r="CZ2457" s="307">
        <v>1.9610000000000001</v>
      </c>
    </row>
    <row r="2458" spans="98:104">
      <c r="CT2458" s="366" t="s">
        <v>3005</v>
      </c>
      <c r="CU2458" s="307" t="s">
        <v>635</v>
      </c>
      <c r="CV2458" s="307" t="s">
        <v>2999</v>
      </c>
      <c r="CW2458" s="366" t="s">
        <v>16</v>
      </c>
      <c r="CX2458" s="307">
        <v>2.0030000000000001</v>
      </c>
      <c r="CY2458" s="307">
        <v>2.0430000000000001</v>
      </c>
      <c r="CZ2458" s="307">
        <v>2.0230000000000001</v>
      </c>
    </row>
    <row r="2459" spans="98:104">
      <c r="CT2459" s="366" t="s">
        <v>3006</v>
      </c>
      <c r="CU2459" s="307" t="s">
        <v>635</v>
      </c>
      <c r="CV2459" s="307" t="s">
        <v>2999</v>
      </c>
      <c r="CW2459" s="366" t="s">
        <v>17</v>
      </c>
      <c r="CX2459" s="307">
        <v>2.056</v>
      </c>
      <c r="CY2459" s="307">
        <v>2.0960000000000001</v>
      </c>
      <c r="CZ2459" s="307">
        <v>2.0760000000000001</v>
      </c>
    </row>
    <row r="2460" spans="98:104">
      <c r="CT2460" s="366" t="s">
        <v>3007</v>
      </c>
      <c r="CU2460" s="307" t="s">
        <v>635</v>
      </c>
      <c r="CV2460" s="307" t="s">
        <v>2999</v>
      </c>
      <c r="CW2460" s="366" t="s">
        <v>18</v>
      </c>
      <c r="CX2460" s="307">
        <v>2.1419999999999999</v>
      </c>
      <c r="CY2460" s="307">
        <v>2.1819999999999999</v>
      </c>
      <c r="CZ2460" s="307">
        <v>2.1619999999999999</v>
      </c>
    </row>
    <row r="2461" spans="98:104">
      <c r="CT2461" s="366" t="s">
        <v>3008</v>
      </c>
      <c r="CU2461" s="307" t="s">
        <v>635</v>
      </c>
      <c r="CV2461" s="307" t="s">
        <v>2999</v>
      </c>
      <c r="CW2461" s="366" t="s">
        <v>19</v>
      </c>
      <c r="CX2461" s="307">
        <v>2.2280000000000002</v>
      </c>
      <c r="CY2461" s="307">
        <v>2.2679999999999998</v>
      </c>
      <c r="CZ2461" s="307">
        <v>2.2480000000000002</v>
      </c>
    </row>
    <row r="2462" spans="98:104">
      <c r="CT2462" s="366" t="s">
        <v>3009</v>
      </c>
      <c r="CU2462" s="307" t="s">
        <v>635</v>
      </c>
      <c r="CV2462" s="307" t="s">
        <v>2999</v>
      </c>
      <c r="CW2462" s="366" t="s">
        <v>20</v>
      </c>
      <c r="CX2462" s="307">
        <v>2.3069999999999999</v>
      </c>
      <c r="CY2462" s="307">
        <v>2.347</v>
      </c>
      <c r="CZ2462" s="307">
        <v>2.327</v>
      </c>
    </row>
    <row r="2463" spans="98:104">
      <c r="CT2463" s="366" t="s">
        <v>3010</v>
      </c>
      <c r="CU2463" s="307" t="s">
        <v>635</v>
      </c>
      <c r="CV2463" s="307" t="s">
        <v>2999</v>
      </c>
      <c r="CW2463" s="366" t="s">
        <v>21</v>
      </c>
      <c r="CX2463" s="307">
        <v>2.3410000000000002</v>
      </c>
      <c r="CY2463" s="307">
        <v>2.3809999999999998</v>
      </c>
      <c r="CZ2463" s="307">
        <v>2.3609999999999998</v>
      </c>
    </row>
    <row r="2464" spans="98:104">
      <c r="CT2464" s="366" t="s">
        <v>3011</v>
      </c>
      <c r="CU2464" s="307" t="s">
        <v>635</v>
      </c>
      <c r="CV2464" s="307" t="s">
        <v>2999</v>
      </c>
      <c r="CW2464" s="366" t="s">
        <v>22</v>
      </c>
      <c r="CX2464" s="307">
        <v>2.355</v>
      </c>
      <c r="CY2464" s="307">
        <v>2.395</v>
      </c>
      <c r="CZ2464" s="307">
        <v>2.375</v>
      </c>
    </row>
    <row r="2465" spans="98:104">
      <c r="CT2465" s="366" t="s">
        <v>3012</v>
      </c>
      <c r="CU2465" s="307" t="s">
        <v>635</v>
      </c>
      <c r="CV2465" s="307" t="s">
        <v>2999</v>
      </c>
      <c r="CW2465" s="366" t="s">
        <v>46</v>
      </c>
      <c r="CX2465" s="307">
        <v>2.3610000000000002</v>
      </c>
      <c r="CY2465" s="307">
        <v>2.4009999999999998</v>
      </c>
      <c r="CZ2465" s="307">
        <v>2.3810000000000002</v>
      </c>
    </row>
    <row r="2466" spans="98:104">
      <c r="CT2466" s="366" t="s">
        <v>3013</v>
      </c>
      <c r="CU2466" s="307" t="s">
        <v>635</v>
      </c>
      <c r="CV2466" s="307" t="s">
        <v>2999</v>
      </c>
      <c r="CW2466" s="366" t="s">
        <v>47</v>
      </c>
      <c r="CX2466" s="307">
        <v>2.355</v>
      </c>
      <c r="CY2466" s="307">
        <v>2.395</v>
      </c>
      <c r="CZ2466" s="307">
        <v>2.375</v>
      </c>
    </row>
    <row r="2467" spans="98:104">
      <c r="CT2467" s="366" t="s">
        <v>4842</v>
      </c>
      <c r="CU2467" s="307" t="s">
        <v>635</v>
      </c>
      <c r="CV2467" s="307" t="s">
        <v>2999</v>
      </c>
      <c r="CW2467" s="366" t="s">
        <v>48</v>
      </c>
      <c r="CX2467" s="307">
        <v>0</v>
      </c>
      <c r="CY2467" s="307">
        <v>0</v>
      </c>
      <c r="CZ2467" s="307">
        <v>0</v>
      </c>
    </row>
    <row r="2468" spans="98:104">
      <c r="CT2468" s="366" t="s">
        <v>3014</v>
      </c>
      <c r="CU2468" s="307" t="s">
        <v>635</v>
      </c>
      <c r="CV2468" s="307" t="s">
        <v>3015</v>
      </c>
      <c r="CW2468" s="366" t="s">
        <v>28</v>
      </c>
      <c r="CX2468" s="307">
        <v>1.1200000000000001</v>
      </c>
      <c r="CY2468" s="307">
        <v>1.22</v>
      </c>
      <c r="CZ2468" s="307">
        <v>1.17</v>
      </c>
    </row>
    <row r="2469" spans="98:104">
      <c r="CT2469" s="366" t="s">
        <v>3016</v>
      </c>
      <c r="CU2469" s="307" t="s">
        <v>635</v>
      </c>
      <c r="CV2469" s="307" t="s">
        <v>3015</v>
      </c>
      <c r="CW2469" s="366" t="s">
        <v>1221</v>
      </c>
      <c r="CX2469" s="307">
        <v>1.2655000000000001</v>
      </c>
      <c r="CY2469" s="307">
        <v>1.3254999999999999</v>
      </c>
      <c r="CZ2469" s="307">
        <v>1.2955000000000001</v>
      </c>
    </row>
    <row r="2470" spans="98:104">
      <c r="CT2470" s="366" t="s">
        <v>3017</v>
      </c>
      <c r="CU2470" s="307" t="s">
        <v>635</v>
      </c>
      <c r="CV2470" s="307" t="s">
        <v>3015</v>
      </c>
      <c r="CW2470" s="366" t="s">
        <v>1222</v>
      </c>
      <c r="CX2470" s="307">
        <v>1.2829999999999999</v>
      </c>
      <c r="CY2470" s="307">
        <v>1.343</v>
      </c>
      <c r="CZ2470" s="307">
        <v>1.3129999999999999</v>
      </c>
    </row>
    <row r="2471" spans="98:104">
      <c r="CT2471" s="366" t="s">
        <v>3018</v>
      </c>
      <c r="CU2471" s="307" t="s">
        <v>635</v>
      </c>
      <c r="CV2471" s="307" t="s">
        <v>3015</v>
      </c>
      <c r="CW2471" s="366" t="s">
        <v>1223</v>
      </c>
      <c r="CX2471" s="307">
        <v>1.3036000000000001</v>
      </c>
      <c r="CY2471" s="307">
        <v>1.3635999999999999</v>
      </c>
      <c r="CZ2471" s="307">
        <v>1.3336000000000001</v>
      </c>
    </row>
    <row r="2472" spans="98:104">
      <c r="CT2472" s="366" t="s">
        <v>3019</v>
      </c>
      <c r="CU2472" s="307" t="s">
        <v>635</v>
      </c>
      <c r="CV2472" s="307" t="s">
        <v>3015</v>
      </c>
      <c r="CW2472" s="366" t="s">
        <v>1224</v>
      </c>
      <c r="CX2472" s="307">
        <v>1.3222</v>
      </c>
      <c r="CY2472" s="307">
        <v>1.3822000000000001</v>
      </c>
      <c r="CZ2472" s="307">
        <v>1.3522000000000001</v>
      </c>
    </row>
    <row r="2473" spans="98:104">
      <c r="CT2473" s="366" t="s">
        <v>3020</v>
      </c>
      <c r="CU2473" s="307" t="s">
        <v>635</v>
      </c>
      <c r="CV2473" s="307" t="s">
        <v>3015</v>
      </c>
      <c r="CW2473" s="366" t="s">
        <v>1225</v>
      </c>
      <c r="CX2473" s="307">
        <v>1.3520000000000001</v>
      </c>
      <c r="CY2473" s="307">
        <v>1.4119999999999999</v>
      </c>
      <c r="CZ2473" s="307">
        <v>1.3820000000000001</v>
      </c>
    </row>
    <row r="2474" spans="98:104">
      <c r="CT2474" s="366" t="s">
        <v>3021</v>
      </c>
      <c r="CU2474" s="307" t="s">
        <v>635</v>
      </c>
      <c r="CV2474" s="307" t="s">
        <v>3015</v>
      </c>
      <c r="CW2474" s="366" t="s">
        <v>1194</v>
      </c>
      <c r="CX2474" s="307">
        <v>1.3788</v>
      </c>
      <c r="CY2474" s="307">
        <v>1.4384999999999999</v>
      </c>
      <c r="CZ2474" s="307">
        <v>1.40865</v>
      </c>
    </row>
    <row r="2475" spans="98:104">
      <c r="CT2475" s="366" t="s">
        <v>3022</v>
      </c>
      <c r="CU2475" s="307" t="s">
        <v>635</v>
      </c>
      <c r="CV2475" s="307" t="s">
        <v>3015</v>
      </c>
      <c r="CW2475" s="366" t="s">
        <v>1196</v>
      </c>
      <c r="CX2475" s="307">
        <v>1.5720000000000001</v>
      </c>
      <c r="CY2475" s="307">
        <v>1.6120000000000001</v>
      </c>
      <c r="CZ2475" s="307">
        <v>1.5920000000000001</v>
      </c>
    </row>
    <row r="2476" spans="98:104">
      <c r="CT2476" s="366" t="s">
        <v>3023</v>
      </c>
      <c r="CU2476" s="307" t="s">
        <v>635</v>
      </c>
      <c r="CV2476" s="307" t="s">
        <v>3015</v>
      </c>
      <c r="CW2476" s="366" t="s">
        <v>9</v>
      </c>
      <c r="CX2476" s="307">
        <v>1.3380000000000001</v>
      </c>
      <c r="CY2476" s="307">
        <v>1.3779999999999999</v>
      </c>
      <c r="CZ2476" s="307">
        <v>1.3580000000000001</v>
      </c>
    </row>
    <row r="2477" spans="98:104">
      <c r="CT2477" s="366" t="s">
        <v>3024</v>
      </c>
      <c r="CU2477" s="307" t="s">
        <v>635</v>
      </c>
      <c r="CV2477" s="307" t="s">
        <v>3015</v>
      </c>
      <c r="CW2477" s="366" t="s">
        <v>10</v>
      </c>
      <c r="CX2477" s="307">
        <v>1.385</v>
      </c>
      <c r="CY2477" s="307">
        <v>1.425</v>
      </c>
      <c r="CZ2477" s="307">
        <v>1.405</v>
      </c>
    </row>
    <row r="2478" spans="98:104">
      <c r="CT2478" s="366" t="s">
        <v>3025</v>
      </c>
      <c r="CU2478" s="307" t="s">
        <v>635</v>
      </c>
      <c r="CV2478" s="307" t="s">
        <v>3015</v>
      </c>
      <c r="CW2478" s="366" t="s">
        <v>11</v>
      </c>
      <c r="CX2478" s="307">
        <v>1.4350000000000001</v>
      </c>
      <c r="CY2478" s="307">
        <v>1.4750000000000001</v>
      </c>
      <c r="CZ2478" s="307">
        <v>1.4550000000000001</v>
      </c>
    </row>
    <row r="2479" spans="98:104">
      <c r="CT2479" s="366" t="s">
        <v>3026</v>
      </c>
      <c r="CU2479" s="307" t="s">
        <v>635</v>
      </c>
      <c r="CV2479" s="307" t="s">
        <v>3015</v>
      </c>
      <c r="CW2479" s="366" t="s">
        <v>12</v>
      </c>
      <c r="CX2479" s="307">
        <v>1.4890000000000001</v>
      </c>
      <c r="CY2479" s="307">
        <v>1.5289999999999999</v>
      </c>
      <c r="CZ2479" s="307">
        <v>1.5089999999999999</v>
      </c>
    </row>
    <row r="2480" spans="98:104">
      <c r="CT2480" s="366" t="s">
        <v>3027</v>
      </c>
      <c r="CU2480" s="307" t="s">
        <v>635</v>
      </c>
      <c r="CV2480" s="307" t="s">
        <v>3015</v>
      </c>
      <c r="CW2480" s="366" t="s">
        <v>13</v>
      </c>
      <c r="CX2480" s="307">
        <v>1.546</v>
      </c>
      <c r="CY2480" s="307">
        <v>1.5860000000000001</v>
      </c>
      <c r="CZ2480" s="307">
        <v>1.5660000000000001</v>
      </c>
    </row>
    <row r="2481" spans="98:104">
      <c r="CT2481" s="366" t="s">
        <v>3028</v>
      </c>
      <c r="CU2481" s="307" t="s">
        <v>635</v>
      </c>
      <c r="CV2481" s="307" t="s">
        <v>3015</v>
      </c>
      <c r="CW2481" s="366" t="s">
        <v>14</v>
      </c>
      <c r="CX2481" s="307">
        <v>1.6020000000000001</v>
      </c>
      <c r="CY2481" s="307">
        <v>1.6419999999999999</v>
      </c>
      <c r="CZ2481" s="307">
        <v>1.6219999999999999</v>
      </c>
    </row>
    <row r="2482" spans="98:104">
      <c r="CT2482" s="366" t="s">
        <v>3029</v>
      </c>
      <c r="CU2482" s="307" t="s">
        <v>635</v>
      </c>
      <c r="CV2482" s="307" t="s">
        <v>3015</v>
      </c>
      <c r="CW2482" s="366" t="s">
        <v>15</v>
      </c>
      <c r="CX2482" s="307">
        <v>1.655</v>
      </c>
      <c r="CY2482" s="307">
        <v>1.6950000000000001</v>
      </c>
      <c r="CZ2482" s="307">
        <v>1.675</v>
      </c>
    </row>
    <row r="2483" spans="98:104">
      <c r="CT2483" s="366" t="s">
        <v>3030</v>
      </c>
      <c r="CU2483" s="307" t="s">
        <v>635</v>
      </c>
      <c r="CV2483" s="307" t="s">
        <v>3015</v>
      </c>
      <c r="CW2483" s="366" t="s">
        <v>16</v>
      </c>
      <c r="CX2483" s="307">
        <v>1.706</v>
      </c>
      <c r="CY2483" s="307">
        <v>1.746</v>
      </c>
      <c r="CZ2483" s="307">
        <v>1.726</v>
      </c>
    </row>
    <row r="2484" spans="98:104">
      <c r="CT2484" s="366" t="s">
        <v>3031</v>
      </c>
      <c r="CU2484" s="307" t="s">
        <v>635</v>
      </c>
      <c r="CV2484" s="307" t="s">
        <v>3015</v>
      </c>
      <c r="CW2484" s="366" t="s">
        <v>17</v>
      </c>
      <c r="CX2484" s="307">
        <v>1.7529999999999999</v>
      </c>
      <c r="CY2484" s="307">
        <v>1.7929999999999999</v>
      </c>
      <c r="CZ2484" s="307">
        <v>1.7729999999999999</v>
      </c>
    </row>
    <row r="2485" spans="98:104">
      <c r="CT2485" s="366" t="s">
        <v>3032</v>
      </c>
      <c r="CU2485" s="307" t="s">
        <v>635</v>
      </c>
      <c r="CV2485" s="307" t="s">
        <v>3015</v>
      </c>
      <c r="CW2485" s="366" t="s">
        <v>18</v>
      </c>
      <c r="CX2485" s="307">
        <v>1.8320000000000001</v>
      </c>
      <c r="CY2485" s="307">
        <v>1.8720000000000001</v>
      </c>
      <c r="CZ2485" s="307">
        <v>1.8520000000000001</v>
      </c>
    </row>
    <row r="2486" spans="98:104">
      <c r="CT2486" s="366" t="s">
        <v>3033</v>
      </c>
      <c r="CU2486" s="307" t="s">
        <v>635</v>
      </c>
      <c r="CV2486" s="307" t="s">
        <v>3015</v>
      </c>
      <c r="CW2486" s="366" t="s">
        <v>19</v>
      </c>
      <c r="CX2486" s="307">
        <v>1.92</v>
      </c>
      <c r="CY2486" s="307">
        <v>1.96</v>
      </c>
      <c r="CZ2486" s="307">
        <v>1.94</v>
      </c>
    </row>
    <row r="2487" spans="98:104">
      <c r="CT2487" s="366" t="s">
        <v>3034</v>
      </c>
      <c r="CU2487" s="307" t="s">
        <v>635</v>
      </c>
      <c r="CV2487" s="307" t="s">
        <v>3015</v>
      </c>
      <c r="CW2487" s="366" t="s">
        <v>20</v>
      </c>
      <c r="CX2487" s="307">
        <v>2.0049999999999999</v>
      </c>
      <c r="CY2487" s="307">
        <v>2.0449999999999999</v>
      </c>
      <c r="CZ2487" s="307">
        <v>2.0249999999999999</v>
      </c>
    </row>
    <row r="2488" spans="98:104">
      <c r="CT2488" s="366" t="s">
        <v>3035</v>
      </c>
      <c r="CU2488" s="307" t="s">
        <v>635</v>
      </c>
      <c r="CV2488" s="307" t="s">
        <v>3015</v>
      </c>
      <c r="CW2488" s="366" t="s">
        <v>21</v>
      </c>
      <c r="CX2488" s="307">
        <v>2.0430000000000001</v>
      </c>
      <c r="CY2488" s="307">
        <v>2.0830000000000002</v>
      </c>
      <c r="CZ2488" s="307">
        <v>2.0630000000000002</v>
      </c>
    </row>
    <row r="2489" spans="98:104">
      <c r="CT2489" s="366" t="s">
        <v>3036</v>
      </c>
      <c r="CU2489" s="307" t="s">
        <v>635</v>
      </c>
      <c r="CV2489" s="307" t="s">
        <v>3015</v>
      </c>
      <c r="CW2489" s="366" t="s">
        <v>22</v>
      </c>
      <c r="CX2489" s="307">
        <v>2.0590000000000002</v>
      </c>
      <c r="CY2489" s="307">
        <v>2.0990000000000002</v>
      </c>
      <c r="CZ2489" s="307">
        <v>2.0790000000000002</v>
      </c>
    </row>
    <row r="2490" spans="98:104">
      <c r="CT2490" s="366" t="s">
        <v>3037</v>
      </c>
      <c r="CU2490" s="307" t="s">
        <v>635</v>
      </c>
      <c r="CV2490" s="307" t="s">
        <v>3015</v>
      </c>
      <c r="CW2490" s="366" t="s">
        <v>46</v>
      </c>
      <c r="CX2490" s="307">
        <v>2.5402181289999999</v>
      </c>
      <c r="CY2490" s="307">
        <v>2.5402181289999999</v>
      </c>
      <c r="CZ2490" s="307">
        <v>2.5402181289999999</v>
      </c>
    </row>
    <row r="2491" spans="98:104">
      <c r="CT2491" s="366" t="s">
        <v>3038</v>
      </c>
      <c r="CU2491" s="307" t="s">
        <v>635</v>
      </c>
      <c r="CV2491" s="307" t="s">
        <v>3015</v>
      </c>
      <c r="CW2491" s="366" t="s">
        <v>47</v>
      </c>
      <c r="CX2491" s="307">
        <v>2.5342087819999999</v>
      </c>
      <c r="CY2491" s="307">
        <v>2.5342087819999999</v>
      </c>
      <c r="CZ2491" s="307">
        <v>2.5342087819999999</v>
      </c>
    </row>
    <row r="2492" spans="98:104">
      <c r="CT2492" s="366" t="s">
        <v>4843</v>
      </c>
      <c r="CU2492" s="307" t="s">
        <v>635</v>
      </c>
      <c r="CV2492" s="307" t="s">
        <v>3015</v>
      </c>
      <c r="CW2492" s="366" t="s">
        <v>48</v>
      </c>
      <c r="CX2492" s="307">
        <v>0</v>
      </c>
      <c r="CY2492" s="307">
        <v>0</v>
      </c>
      <c r="CZ2492" s="307">
        <v>0</v>
      </c>
    </row>
    <row r="2493" spans="98:104">
      <c r="CT2493" s="366" t="s">
        <v>3039</v>
      </c>
      <c r="CU2493" s="307" t="s">
        <v>635</v>
      </c>
      <c r="CV2493" s="307" t="s">
        <v>3040</v>
      </c>
      <c r="CW2493" s="366" t="s">
        <v>3</v>
      </c>
      <c r="CX2493" s="307">
        <v>0</v>
      </c>
      <c r="CY2493" s="307">
        <v>0</v>
      </c>
      <c r="CZ2493" s="307">
        <v>0</v>
      </c>
    </row>
    <row r="2494" spans="98:104">
      <c r="CT2494" s="366" t="s">
        <v>3041</v>
      </c>
      <c r="CU2494" s="307" t="s">
        <v>635</v>
      </c>
      <c r="CV2494" s="307" t="s">
        <v>3040</v>
      </c>
      <c r="CW2494" s="366" t="s">
        <v>4</v>
      </c>
      <c r="CX2494" s="307">
        <v>0</v>
      </c>
      <c r="CY2494" s="307">
        <v>0</v>
      </c>
      <c r="CZ2494" s="307">
        <v>0</v>
      </c>
    </row>
    <row r="2495" spans="98:104">
      <c r="CT2495" s="366" t="s">
        <v>3042</v>
      </c>
      <c r="CU2495" s="307" t="s">
        <v>635</v>
      </c>
      <c r="CV2495" s="307" t="s">
        <v>3040</v>
      </c>
      <c r="CW2495" s="366" t="s">
        <v>5</v>
      </c>
      <c r="CX2495" s="307">
        <v>0</v>
      </c>
      <c r="CY2495" s="307">
        <v>0</v>
      </c>
      <c r="CZ2495" s="307">
        <v>0</v>
      </c>
    </row>
    <row r="2496" spans="98:104">
      <c r="CT2496" s="366" t="s">
        <v>3043</v>
      </c>
      <c r="CU2496" s="307" t="s">
        <v>635</v>
      </c>
      <c r="CV2496" s="307" t="s">
        <v>3040</v>
      </c>
      <c r="CW2496" s="366" t="s">
        <v>6</v>
      </c>
      <c r="CX2496" s="307">
        <v>0</v>
      </c>
      <c r="CY2496" s="307">
        <v>0</v>
      </c>
      <c r="CZ2496" s="307">
        <v>0</v>
      </c>
    </row>
    <row r="2497" spans="98:104">
      <c r="CT2497" s="366" t="s">
        <v>3044</v>
      </c>
      <c r="CU2497" s="307" t="s">
        <v>635</v>
      </c>
      <c r="CV2497" s="307" t="s">
        <v>3040</v>
      </c>
      <c r="CW2497" s="366" t="s">
        <v>24</v>
      </c>
      <c r="CX2497" s="307">
        <v>0</v>
      </c>
      <c r="CY2497" s="307">
        <v>0</v>
      </c>
      <c r="CZ2497" s="307">
        <v>0</v>
      </c>
    </row>
    <row r="2498" spans="98:104">
      <c r="CT2498" s="366" t="s">
        <v>3045</v>
      </c>
      <c r="CU2498" s="307" t="s">
        <v>635</v>
      </c>
      <c r="CV2498" s="307" t="s">
        <v>3040</v>
      </c>
      <c r="CW2498" s="366" t="s">
        <v>7</v>
      </c>
      <c r="CX2498" s="307">
        <v>0</v>
      </c>
      <c r="CY2498" s="307">
        <v>0</v>
      </c>
      <c r="CZ2498" s="307">
        <v>0</v>
      </c>
    </row>
    <row r="2499" spans="98:104">
      <c r="CT2499" s="366" t="s">
        <v>3046</v>
      </c>
      <c r="CU2499" s="307" t="s">
        <v>635</v>
      </c>
      <c r="CV2499" s="307" t="s">
        <v>3040</v>
      </c>
      <c r="CW2499" s="366" t="s">
        <v>8</v>
      </c>
      <c r="CX2499" s="307">
        <v>0</v>
      </c>
      <c r="CY2499" s="307">
        <v>0</v>
      </c>
      <c r="CZ2499" s="307">
        <v>0</v>
      </c>
    </row>
    <row r="2500" spans="98:104">
      <c r="CT2500" s="366" t="s">
        <v>3047</v>
      </c>
      <c r="CU2500" s="307" t="s">
        <v>635</v>
      </c>
      <c r="CV2500" s="307" t="s">
        <v>3040</v>
      </c>
      <c r="CW2500" s="366" t="s">
        <v>25</v>
      </c>
      <c r="CX2500" s="307">
        <v>0</v>
      </c>
      <c r="CY2500" s="307">
        <v>0</v>
      </c>
      <c r="CZ2500" s="307">
        <v>0</v>
      </c>
    </row>
    <row r="2501" spans="98:104">
      <c r="CT2501" s="366" t="s">
        <v>3048</v>
      </c>
      <c r="CU2501" s="307" t="s">
        <v>635</v>
      </c>
      <c r="CV2501" s="307" t="s">
        <v>3040</v>
      </c>
      <c r="CW2501" s="366" t="s">
        <v>26</v>
      </c>
      <c r="CX2501" s="307">
        <v>0</v>
      </c>
      <c r="CY2501" s="307">
        <v>0</v>
      </c>
      <c r="CZ2501" s="307">
        <v>0</v>
      </c>
    </row>
    <row r="2502" spans="98:104">
      <c r="CT2502" s="366" t="s">
        <v>3049</v>
      </c>
      <c r="CU2502" s="307" t="s">
        <v>635</v>
      </c>
      <c r="CV2502" s="307" t="s">
        <v>3040</v>
      </c>
      <c r="CW2502" s="366" t="s">
        <v>27</v>
      </c>
      <c r="CX2502" s="307">
        <v>0</v>
      </c>
      <c r="CY2502" s="307">
        <v>0</v>
      </c>
      <c r="CZ2502" s="307">
        <v>0</v>
      </c>
    </row>
    <row r="2503" spans="98:104">
      <c r="CT2503" s="366" t="s">
        <v>3050</v>
      </c>
      <c r="CU2503" s="307" t="s">
        <v>635</v>
      </c>
      <c r="CV2503" s="307" t="s">
        <v>3040</v>
      </c>
      <c r="CW2503" s="366" t="s">
        <v>28</v>
      </c>
      <c r="CX2503" s="307">
        <v>0</v>
      </c>
      <c r="CY2503" s="307">
        <v>0</v>
      </c>
      <c r="CZ2503" s="307">
        <v>0</v>
      </c>
    </row>
    <row r="2504" spans="98:104">
      <c r="CT2504" s="366" t="s">
        <v>3051</v>
      </c>
      <c r="CU2504" s="307" t="s">
        <v>635</v>
      </c>
      <c r="CV2504" s="307" t="s">
        <v>3040</v>
      </c>
      <c r="CW2504" s="366" t="s">
        <v>29</v>
      </c>
      <c r="CX2504" s="307">
        <v>0</v>
      </c>
      <c r="CY2504" s="307">
        <v>0</v>
      </c>
      <c r="CZ2504" s="307">
        <v>0</v>
      </c>
    </row>
    <row r="2505" spans="98:104">
      <c r="CT2505" s="366" t="s">
        <v>3052</v>
      </c>
      <c r="CU2505" s="307" t="s">
        <v>635</v>
      </c>
      <c r="CV2505" s="307" t="s">
        <v>3040</v>
      </c>
      <c r="CW2505" s="366" t="s">
        <v>30</v>
      </c>
      <c r="CX2505" s="307">
        <v>0</v>
      </c>
      <c r="CY2505" s="307">
        <v>0</v>
      </c>
      <c r="CZ2505" s="307">
        <v>0</v>
      </c>
    </row>
    <row r="2506" spans="98:104">
      <c r="CT2506" s="366" t="s">
        <v>3053</v>
      </c>
      <c r="CU2506" s="307" t="s">
        <v>635</v>
      </c>
      <c r="CV2506" s="307" t="s">
        <v>3040</v>
      </c>
      <c r="CW2506" s="366" t="s">
        <v>49</v>
      </c>
      <c r="CX2506" s="307">
        <v>0</v>
      </c>
      <c r="CY2506" s="307">
        <v>0</v>
      </c>
      <c r="CZ2506" s="307">
        <v>0</v>
      </c>
    </row>
    <row r="2507" spans="98:104">
      <c r="CT2507" s="366" t="s">
        <v>3054</v>
      </c>
      <c r="CU2507" s="307" t="s">
        <v>635</v>
      </c>
      <c r="CV2507" s="307" t="s">
        <v>3040</v>
      </c>
      <c r="CW2507" s="366" t="s">
        <v>50</v>
      </c>
      <c r="CX2507" s="307">
        <v>0</v>
      </c>
      <c r="CY2507" s="307">
        <v>0</v>
      </c>
      <c r="CZ2507" s="307">
        <v>0</v>
      </c>
    </row>
    <row r="2508" spans="98:104">
      <c r="CT2508" s="366" t="s">
        <v>3055</v>
      </c>
      <c r="CU2508" s="307" t="s">
        <v>635</v>
      </c>
      <c r="CV2508" s="307" t="s">
        <v>3040</v>
      </c>
      <c r="CW2508" s="366" t="s">
        <v>51</v>
      </c>
      <c r="CX2508" s="307">
        <v>0</v>
      </c>
      <c r="CY2508" s="307">
        <v>0</v>
      </c>
      <c r="CZ2508" s="307">
        <v>0</v>
      </c>
    </row>
    <row r="2509" spans="98:104">
      <c r="CT2509" s="366" t="s">
        <v>3056</v>
      </c>
      <c r="CU2509" s="307" t="s">
        <v>635</v>
      </c>
      <c r="CV2509" s="307" t="s">
        <v>3040</v>
      </c>
      <c r="CW2509" s="366" t="s">
        <v>56</v>
      </c>
      <c r="CX2509" s="307">
        <v>0</v>
      </c>
      <c r="CY2509" s="307">
        <v>0</v>
      </c>
      <c r="CZ2509" s="307">
        <v>0</v>
      </c>
    </row>
    <row r="2510" spans="98:104">
      <c r="CT2510" s="366" t="s">
        <v>3057</v>
      </c>
      <c r="CU2510" s="307" t="s">
        <v>635</v>
      </c>
      <c r="CV2510" s="307" t="s">
        <v>3040</v>
      </c>
      <c r="CW2510" s="366" t="s">
        <v>54</v>
      </c>
      <c r="CX2510" s="307">
        <v>0</v>
      </c>
      <c r="CY2510" s="307">
        <v>0</v>
      </c>
      <c r="CZ2510" s="307">
        <v>0</v>
      </c>
    </row>
    <row r="2511" spans="98:104">
      <c r="CT2511" s="366" t="s">
        <v>3058</v>
      </c>
      <c r="CU2511" s="307" t="s">
        <v>635</v>
      </c>
      <c r="CV2511" s="307" t="s">
        <v>3040</v>
      </c>
      <c r="CW2511" s="366" t="s">
        <v>9</v>
      </c>
      <c r="CX2511" s="307">
        <v>0</v>
      </c>
      <c r="CY2511" s="307">
        <v>0</v>
      </c>
      <c r="CZ2511" s="307">
        <v>0</v>
      </c>
    </row>
    <row r="2512" spans="98:104">
      <c r="CT2512" s="366" t="s">
        <v>3059</v>
      </c>
      <c r="CU2512" s="307" t="s">
        <v>635</v>
      </c>
      <c r="CV2512" s="307" t="s">
        <v>3040</v>
      </c>
      <c r="CW2512" s="366" t="s">
        <v>10</v>
      </c>
      <c r="CX2512" s="307">
        <v>0</v>
      </c>
      <c r="CY2512" s="307">
        <v>0</v>
      </c>
      <c r="CZ2512" s="307">
        <v>0</v>
      </c>
    </row>
    <row r="2513" spans="98:104">
      <c r="CT2513" s="366" t="s">
        <v>3060</v>
      </c>
      <c r="CU2513" s="307" t="s">
        <v>635</v>
      </c>
      <c r="CV2513" s="307" t="s">
        <v>3040</v>
      </c>
      <c r="CW2513" s="366" t="s">
        <v>11</v>
      </c>
      <c r="CX2513" s="307">
        <v>0</v>
      </c>
      <c r="CY2513" s="307">
        <v>0</v>
      </c>
      <c r="CZ2513" s="307">
        <v>0</v>
      </c>
    </row>
    <row r="2514" spans="98:104">
      <c r="CT2514" s="366" t="s">
        <v>3061</v>
      </c>
      <c r="CU2514" s="307" t="s">
        <v>635</v>
      </c>
      <c r="CV2514" s="307" t="s">
        <v>3040</v>
      </c>
      <c r="CW2514" s="366" t="s">
        <v>12</v>
      </c>
      <c r="CX2514" s="307">
        <v>0</v>
      </c>
      <c r="CY2514" s="307">
        <v>0</v>
      </c>
      <c r="CZ2514" s="307">
        <v>0</v>
      </c>
    </row>
    <row r="2515" spans="98:104">
      <c r="CT2515" s="366" t="s">
        <v>3062</v>
      </c>
      <c r="CU2515" s="307" t="s">
        <v>635</v>
      </c>
      <c r="CV2515" s="307" t="s">
        <v>3040</v>
      </c>
      <c r="CW2515" s="366" t="s">
        <v>13</v>
      </c>
      <c r="CX2515" s="307">
        <v>0</v>
      </c>
      <c r="CY2515" s="307">
        <v>0</v>
      </c>
      <c r="CZ2515" s="307">
        <v>0</v>
      </c>
    </row>
    <row r="2516" spans="98:104">
      <c r="CT2516" s="366" t="s">
        <v>3063</v>
      </c>
      <c r="CU2516" s="307" t="s">
        <v>635</v>
      </c>
      <c r="CV2516" s="307" t="s">
        <v>3040</v>
      </c>
      <c r="CW2516" s="366" t="s">
        <v>14</v>
      </c>
      <c r="CX2516" s="307">
        <v>0</v>
      </c>
      <c r="CY2516" s="307">
        <v>0</v>
      </c>
      <c r="CZ2516" s="307">
        <v>0</v>
      </c>
    </row>
    <row r="2517" spans="98:104">
      <c r="CT2517" s="366" t="s">
        <v>3064</v>
      </c>
      <c r="CU2517" s="307" t="s">
        <v>635</v>
      </c>
      <c r="CV2517" s="307" t="s">
        <v>3040</v>
      </c>
      <c r="CW2517" s="366" t="s">
        <v>15</v>
      </c>
      <c r="CX2517" s="307">
        <v>0</v>
      </c>
      <c r="CY2517" s="307">
        <v>0</v>
      </c>
      <c r="CZ2517" s="307">
        <v>0</v>
      </c>
    </row>
    <row r="2518" spans="98:104">
      <c r="CT2518" s="366" t="s">
        <v>3065</v>
      </c>
      <c r="CU2518" s="307" t="s">
        <v>635</v>
      </c>
      <c r="CV2518" s="307" t="s">
        <v>3040</v>
      </c>
      <c r="CW2518" s="366" t="s">
        <v>16</v>
      </c>
      <c r="CX2518" s="307">
        <v>0</v>
      </c>
      <c r="CY2518" s="307">
        <v>0</v>
      </c>
      <c r="CZ2518" s="307">
        <v>0</v>
      </c>
    </row>
    <row r="2519" spans="98:104">
      <c r="CT2519" s="366" t="s">
        <v>3066</v>
      </c>
      <c r="CU2519" s="307" t="s">
        <v>635</v>
      </c>
      <c r="CV2519" s="307" t="s">
        <v>3040</v>
      </c>
      <c r="CW2519" s="366" t="s">
        <v>17</v>
      </c>
      <c r="CX2519" s="307">
        <v>0</v>
      </c>
      <c r="CY2519" s="307">
        <v>0</v>
      </c>
      <c r="CZ2519" s="307">
        <v>0</v>
      </c>
    </row>
    <row r="2520" spans="98:104">
      <c r="CT2520" s="366" t="s">
        <v>3067</v>
      </c>
      <c r="CU2520" s="307" t="s">
        <v>635</v>
      </c>
      <c r="CV2520" s="307" t="s">
        <v>3040</v>
      </c>
      <c r="CW2520" s="366" t="s">
        <v>18</v>
      </c>
      <c r="CX2520" s="307">
        <v>0</v>
      </c>
      <c r="CY2520" s="307">
        <v>0</v>
      </c>
      <c r="CZ2520" s="307">
        <v>0</v>
      </c>
    </row>
    <row r="2521" spans="98:104">
      <c r="CT2521" s="366" t="s">
        <v>3068</v>
      </c>
      <c r="CU2521" s="307" t="s">
        <v>635</v>
      </c>
      <c r="CV2521" s="307" t="s">
        <v>3040</v>
      </c>
      <c r="CW2521" s="366" t="s">
        <v>19</v>
      </c>
      <c r="CX2521" s="307">
        <v>0</v>
      </c>
      <c r="CY2521" s="307">
        <v>0</v>
      </c>
      <c r="CZ2521" s="307">
        <v>0</v>
      </c>
    </row>
    <row r="2522" spans="98:104">
      <c r="CT2522" s="366" t="s">
        <v>3069</v>
      </c>
      <c r="CU2522" s="307" t="s">
        <v>635</v>
      </c>
      <c r="CV2522" s="307" t="s">
        <v>3040</v>
      </c>
      <c r="CW2522" s="366" t="s">
        <v>20</v>
      </c>
      <c r="CX2522" s="307">
        <v>0</v>
      </c>
      <c r="CY2522" s="307">
        <v>0</v>
      </c>
      <c r="CZ2522" s="307">
        <v>0</v>
      </c>
    </row>
    <row r="2523" spans="98:104">
      <c r="CT2523" s="366" t="s">
        <v>3070</v>
      </c>
      <c r="CU2523" s="307" t="s">
        <v>635</v>
      </c>
      <c r="CV2523" s="307" t="s">
        <v>3040</v>
      </c>
      <c r="CW2523" s="366" t="s">
        <v>21</v>
      </c>
      <c r="CX2523" s="307">
        <v>0</v>
      </c>
      <c r="CY2523" s="307">
        <v>0</v>
      </c>
      <c r="CZ2523" s="307">
        <v>0</v>
      </c>
    </row>
    <row r="2524" spans="98:104">
      <c r="CT2524" s="366" t="s">
        <v>3071</v>
      </c>
      <c r="CU2524" s="307" t="s">
        <v>635</v>
      </c>
      <c r="CV2524" s="307" t="s">
        <v>3040</v>
      </c>
      <c r="CW2524" s="366" t="s">
        <v>22</v>
      </c>
      <c r="CX2524" s="307">
        <v>0</v>
      </c>
      <c r="CY2524" s="307">
        <v>0</v>
      </c>
      <c r="CZ2524" s="307">
        <v>0</v>
      </c>
    </row>
    <row r="2525" spans="98:104">
      <c r="CT2525" s="366" t="s">
        <v>3072</v>
      </c>
      <c r="CU2525" s="307" t="s">
        <v>635</v>
      </c>
      <c r="CV2525" s="307" t="s">
        <v>3040</v>
      </c>
      <c r="CW2525" s="366" t="s">
        <v>46</v>
      </c>
      <c r="CX2525" s="307">
        <v>0</v>
      </c>
      <c r="CY2525" s="307">
        <v>0</v>
      </c>
      <c r="CZ2525" s="307">
        <v>0</v>
      </c>
    </row>
    <row r="2526" spans="98:104">
      <c r="CT2526" s="366" t="s">
        <v>3073</v>
      </c>
      <c r="CU2526" s="307" t="s">
        <v>635</v>
      </c>
      <c r="CV2526" s="307" t="s">
        <v>3040</v>
      </c>
      <c r="CW2526" s="366" t="s">
        <v>47</v>
      </c>
      <c r="CX2526" s="307">
        <v>0</v>
      </c>
      <c r="CY2526" s="307">
        <v>0</v>
      </c>
      <c r="CZ2526" s="307">
        <v>0</v>
      </c>
    </row>
    <row r="2527" spans="98:104">
      <c r="CT2527" s="366" t="s">
        <v>4844</v>
      </c>
      <c r="CU2527" s="307" t="s">
        <v>635</v>
      </c>
      <c r="CV2527" s="307" t="s">
        <v>3040</v>
      </c>
      <c r="CW2527" s="366" t="s">
        <v>48</v>
      </c>
      <c r="CX2527" s="307">
        <v>0</v>
      </c>
      <c r="CY2527" s="307">
        <v>0</v>
      </c>
      <c r="CZ2527" s="307">
        <v>0</v>
      </c>
    </row>
    <row r="2528" spans="98:104">
      <c r="CT2528" s="366" t="s">
        <v>3074</v>
      </c>
      <c r="CU2528" s="307" t="s">
        <v>635</v>
      </c>
      <c r="CV2528" s="307" t="s">
        <v>3075</v>
      </c>
      <c r="CW2528" s="366" t="s">
        <v>3</v>
      </c>
      <c r="CX2528" s="307">
        <v>0.46</v>
      </c>
      <c r="CY2528" s="307">
        <v>0.51</v>
      </c>
      <c r="CZ2528" s="307">
        <v>0.48499999999999999</v>
      </c>
    </row>
    <row r="2529" spans="98:104">
      <c r="CT2529" s="366" t="s">
        <v>3076</v>
      </c>
      <c r="CU2529" s="307" t="s">
        <v>635</v>
      </c>
      <c r="CV2529" s="307" t="s">
        <v>3075</v>
      </c>
      <c r="CW2529" s="366" t="s">
        <v>4</v>
      </c>
      <c r="CX2529" s="307">
        <v>0.47</v>
      </c>
      <c r="CY2529" s="307">
        <v>0.52</v>
      </c>
      <c r="CZ2529" s="307">
        <v>0.495</v>
      </c>
    </row>
    <row r="2530" spans="98:104">
      <c r="CT2530" s="366" t="s">
        <v>3077</v>
      </c>
      <c r="CU2530" s="307" t="s">
        <v>635</v>
      </c>
      <c r="CV2530" s="307" t="s">
        <v>3075</v>
      </c>
      <c r="CW2530" s="366" t="s">
        <v>5</v>
      </c>
      <c r="CX2530" s="307">
        <v>0.49</v>
      </c>
      <c r="CY2530" s="307">
        <v>0.64</v>
      </c>
      <c r="CZ2530" s="307">
        <v>0.56499999999999995</v>
      </c>
    </row>
    <row r="2531" spans="98:104">
      <c r="CT2531" s="366" t="s">
        <v>3078</v>
      </c>
      <c r="CU2531" s="307" t="s">
        <v>635</v>
      </c>
      <c r="CV2531" s="307" t="s">
        <v>3075</v>
      </c>
      <c r="CW2531" s="366" t="s">
        <v>7</v>
      </c>
      <c r="CX2531" s="307">
        <v>0.55000000000000004</v>
      </c>
      <c r="CY2531" s="307">
        <v>0.6</v>
      </c>
      <c r="CZ2531" s="307">
        <v>0.57499999999999996</v>
      </c>
    </row>
    <row r="2532" spans="98:104">
      <c r="CT2532" s="366" t="s">
        <v>3840</v>
      </c>
      <c r="CU2532" s="307" t="s">
        <v>635</v>
      </c>
      <c r="CV2532" s="307" t="s">
        <v>3075</v>
      </c>
      <c r="CW2532" s="366" t="s">
        <v>8</v>
      </c>
      <c r="CX2532" s="307">
        <v>0.63</v>
      </c>
      <c r="CY2532" s="307">
        <v>0.73</v>
      </c>
      <c r="CZ2532" s="307">
        <v>0.67999999999999994</v>
      </c>
    </row>
    <row r="2533" spans="98:104">
      <c r="CT2533" s="366" t="s">
        <v>3841</v>
      </c>
      <c r="CU2533" s="307" t="s">
        <v>635</v>
      </c>
      <c r="CV2533" s="307" t="s">
        <v>3075</v>
      </c>
      <c r="CW2533" s="366" t="s">
        <v>1060</v>
      </c>
      <c r="CX2533" s="307">
        <v>99.032499999999999</v>
      </c>
      <c r="CY2533" s="307">
        <v>99.032499999999999</v>
      </c>
      <c r="CZ2533" s="307">
        <v>99.032499999999999</v>
      </c>
    </row>
    <row r="2534" spans="98:104">
      <c r="CT2534" s="366" t="s">
        <v>3842</v>
      </c>
      <c r="CU2534" s="307" t="s">
        <v>635</v>
      </c>
      <c r="CV2534" s="307" t="s">
        <v>3075</v>
      </c>
      <c r="CW2534" s="366" t="s">
        <v>1063</v>
      </c>
      <c r="CX2534" s="307">
        <v>98.984999999999999</v>
      </c>
      <c r="CY2534" s="307">
        <v>98.984999999999999</v>
      </c>
      <c r="CZ2534" s="307">
        <v>98.984999999999999</v>
      </c>
    </row>
    <row r="2535" spans="98:104">
      <c r="CT2535" s="366" t="s">
        <v>4845</v>
      </c>
      <c r="CU2535" s="307" t="s">
        <v>635</v>
      </c>
      <c r="CV2535" s="307" t="s">
        <v>3075</v>
      </c>
      <c r="CW2535" s="366" t="s">
        <v>1066</v>
      </c>
      <c r="CX2535" s="307">
        <v>98.88</v>
      </c>
      <c r="CY2535" s="307">
        <v>98.88</v>
      </c>
      <c r="CZ2535" s="307">
        <v>98.88</v>
      </c>
    </row>
    <row r="2536" spans="98:104">
      <c r="CT2536" s="366" t="s">
        <v>4846</v>
      </c>
      <c r="CU2536" s="307" t="s">
        <v>635</v>
      </c>
      <c r="CV2536" s="307" t="s">
        <v>3075</v>
      </c>
      <c r="CW2536" s="366" t="s">
        <v>1069</v>
      </c>
      <c r="CX2536" s="307">
        <v>98.78</v>
      </c>
      <c r="CY2536" s="307">
        <v>98.78</v>
      </c>
      <c r="CZ2536" s="307">
        <v>98.78</v>
      </c>
    </row>
    <row r="2537" spans="98:104">
      <c r="CT2537" s="366" t="s">
        <v>4847</v>
      </c>
      <c r="CU2537" s="307" t="s">
        <v>635</v>
      </c>
      <c r="CV2537" s="307" t="s">
        <v>3075</v>
      </c>
      <c r="CW2537" s="366" t="s">
        <v>3865</v>
      </c>
      <c r="CX2537" s="307">
        <v>98.665000000000006</v>
      </c>
      <c r="CY2537" s="307">
        <v>98.665000000000006</v>
      </c>
      <c r="CZ2537" s="307">
        <v>98.665000000000006</v>
      </c>
    </row>
    <row r="2538" spans="98:104">
      <c r="CT2538" s="366" t="s">
        <v>4848</v>
      </c>
      <c r="CU2538" s="307" t="s">
        <v>635</v>
      </c>
      <c r="CV2538" s="307" t="s">
        <v>3075</v>
      </c>
      <c r="CW2538" s="366" t="s">
        <v>3866</v>
      </c>
      <c r="CX2538" s="307">
        <v>98.57</v>
      </c>
      <c r="CY2538" s="307">
        <v>98.57</v>
      </c>
      <c r="CZ2538" s="307">
        <v>98.57</v>
      </c>
    </row>
    <row r="2539" spans="98:104">
      <c r="CT2539" s="366" t="s">
        <v>4849</v>
      </c>
      <c r="CU2539" s="307" t="s">
        <v>635</v>
      </c>
      <c r="CV2539" s="307" t="s">
        <v>3075</v>
      </c>
      <c r="CW2539" s="366" t="s">
        <v>3889</v>
      </c>
      <c r="CX2539" s="307">
        <v>98.465000000000003</v>
      </c>
      <c r="CY2539" s="307">
        <v>98.465000000000003</v>
      </c>
      <c r="CZ2539" s="307">
        <v>98.465000000000003</v>
      </c>
    </row>
    <row r="2540" spans="98:104">
      <c r="CT2540" s="366" t="s">
        <v>4850</v>
      </c>
      <c r="CU2540" s="307" t="s">
        <v>635</v>
      </c>
      <c r="CV2540" s="307" t="s">
        <v>3075</v>
      </c>
      <c r="CW2540" s="366" t="s">
        <v>3890</v>
      </c>
      <c r="CX2540" s="307">
        <v>98.364999999999995</v>
      </c>
      <c r="CY2540" s="307">
        <v>98.364999999999995</v>
      </c>
      <c r="CZ2540" s="307">
        <v>98.364999999999995</v>
      </c>
    </row>
    <row r="2541" spans="98:104">
      <c r="CT2541" s="366" t="s">
        <v>4851</v>
      </c>
      <c r="CU2541" s="307" t="s">
        <v>635</v>
      </c>
      <c r="CV2541" s="307" t="s">
        <v>3075</v>
      </c>
      <c r="CW2541" s="366" t="s">
        <v>4821</v>
      </c>
      <c r="CX2541" s="307">
        <v>98.254999999999995</v>
      </c>
      <c r="CY2541" s="307">
        <v>98.254999999999995</v>
      </c>
      <c r="CZ2541" s="307">
        <v>98.254999999999995</v>
      </c>
    </row>
    <row r="2542" spans="98:104">
      <c r="CT2542" s="366" t="s">
        <v>3079</v>
      </c>
      <c r="CU2542" s="307" t="s">
        <v>635</v>
      </c>
      <c r="CV2542" s="307" t="s">
        <v>3075</v>
      </c>
      <c r="CW2542" s="366" t="s">
        <v>11</v>
      </c>
      <c r="CX2542" s="307">
        <v>1.5529999999999999</v>
      </c>
      <c r="CY2542" s="307">
        <v>1.593</v>
      </c>
      <c r="CZ2542" s="307">
        <v>1.573</v>
      </c>
    </row>
    <row r="2543" spans="98:104">
      <c r="CT2543" s="366" t="s">
        <v>3080</v>
      </c>
      <c r="CU2543" s="307" t="s">
        <v>635</v>
      </c>
      <c r="CV2543" s="307" t="s">
        <v>3075</v>
      </c>
      <c r="CW2543" s="366" t="s">
        <v>12</v>
      </c>
      <c r="CX2543" s="307">
        <v>1.6719999999999999</v>
      </c>
      <c r="CY2543" s="307">
        <v>1.712</v>
      </c>
      <c r="CZ2543" s="307">
        <v>1.6919999999999999</v>
      </c>
    </row>
    <row r="2544" spans="98:104">
      <c r="CT2544" s="366" t="s">
        <v>3081</v>
      </c>
      <c r="CU2544" s="307" t="s">
        <v>635</v>
      </c>
      <c r="CV2544" s="307" t="s">
        <v>3075</v>
      </c>
      <c r="CW2544" s="366" t="s">
        <v>13</v>
      </c>
      <c r="CX2544" s="307">
        <v>1.778</v>
      </c>
      <c r="CY2544" s="307">
        <v>1.8180000000000001</v>
      </c>
      <c r="CZ2544" s="307">
        <v>1.798</v>
      </c>
    </row>
    <row r="2545" spans="98:104">
      <c r="CT2545" s="366" t="s">
        <v>3082</v>
      </c>
      <c r="CU2545" s="307" t="s">
        <v>635</v>
      </c>
      <c r="CV2545" s="307" t="s">
        <v>3075</v>
      </c>
      <c r="CW2545" s="366" t="s">
        <v>14</v>
      </c>
      <c r="CX2545" s="307">
        <v>1.867</v>
      </c>
      <c r="CY2545" s="307">
        <v>1.907</v>
      </c>
      <c r="CZ2545" s="307">
        <v>1.887</v>
      </c>
    </row>
    <row r="2546" spans="98:104">
      <c r="CT2546" s="366" t="s">
        <v>3083</v>
      </c>
      <c r="CU2546" s="307" t="s">
        <v>635</v>
      </c>
      <c r="CV2546" s="307" t="s">
        <v>3075</v>
      </c>
      <c r="CW2546" s="366" t="s">
        <v>15</v>
      </c>
      <c r="CX2546" s="307">
        <v>1.9410000000000001</v>
      </c>
      <c r="CY2546" s="307">
        <v>1.9810000000000001</v>
      </c>
      <c r="CZ2546" s="307">
        <v>1.9610000000000001</v>
      </c>
    </row>
    <row r="2547" spans="98:104">
      <c r="CT2547" s="366" t="s">
        <v>3084</v>
      </c>
      <c r="CU2547" s="307" t="s">
        <v>635</v>
      </c>
      <c r="CV2547" s="307" t="s">
        <v>3075</v>
      </c>
      <c r="CW2547" s="366" t="s">
        <v>16</v>
      </c>
      <c r="CX2547" s="307">
        <v>2.0030000000000001</v>
      </c>
      <c r="CY2547" s="307">
        <v>2.0430000000000001</v>
      </c>
      <c r="CZ2547" s="307">
        <v>2.0230000000000001</v>
      </c>
    </row>
    <row r="2548" spans="98:104">
      <c r="CT2548" s="366" t="s">
        <v>3085</v>
      </c>
      <c r="CU2548" s="307" t="s">
        <v>635</v>
      </c>
      <c r="CV2548" s="307" t="s">
        <v>3075</v>
      </c>
      <c r="CW2548" s="366" t="s">
        <v>17</v>
      </c>
      <c r="CX2548" s="307">
        <v>2.056</v>
      </c>
      <c r="CY2548" s="307">
        <v>2.0960000000000001</v>
      </c>
      <c r="CZ2548" s="307">
        <v>2.0760000000000001</v>
      </c>
    </row>
    <row r="2549" spans="98:104">
      <c r="CT2549" s="366" t="s">
        <v>3086</v>
      </c>
      <c r="CU2549" s="307" t="s">
        <v>635</v>
      </c>
      <c r="CV2549" s="307" t="s">
        <v>3075</v>
      </c>
      <c r="CW2549" s="366" t="s">
        <v>18</v>
      </c>
      <c r="CX2549" s="307">
        <v>2.1419999999999999</v>
      </c>
      <c r="CY2549" s="307">
        <v>2.1819999999999999</v>
      </c>
      <c r="CZ2549" s="307">
        <v>2.1619999999999999</v>
      </c>
    </row>
    <row r="2550" spans="98:104">
      <c r="CT2550" s="366" t="s">
        <v>3087</v>
      </c>
      <c r="CU2550" s="307" t="s">
        <v>635</v>
      </c>
      <c r="CV2550" s="307" t="s">
        <v>3075</v>
      </c>
      <c r="CW2550" s="366" t="s">
        <v>19</v>
      </c>
      <c r="CX2550" s="307">
        <v>2.2280000000000002</v>
      </c>
      <c r="CY2550" s="307">
        <v>2.2679999999999998</v>
      </c>
      <c r="CZ2550" s="307">
        <v>2.2480000000000002</v>
      </c>
    </row>
    <row r="2551" spans="98:104">
      <c r="CT2551" s="366" t="s">
        <v>3088</v>
      </c>
      <c r="CU2551" s="307" t="s">
        <v>635</v>
      </c>
      <c r="CV2551" s="307" t="s">
        <v>3075</v>
      </c>
      <c r="CW2551" s="366" t="s">
        <v>20</v>
      </c>
      <c r="CX2551" s="307">
        <v>2.3069999999999999</v>
      </c>
      <c r="CY2551" s="307">
        <v>2.347</v>
      </c>
      <c r="CZ2551" s="307">
        <v>2.327</v>
      </c>
    </row>
    <row r="2552" spans="98:104">
      <c r="CT2552" s="366" t="s">
        <v>3089</v>
      </c>
      <c r="CU2552" s="307" t="s">
        <v>635</v>
      </c>
      <c r="CV2552" s="307" t="s">
        <v>3075</v>
      </c>
      <c r="CW2552" s="366" t="s">
        <v>21</v>
      </c>
      <c r="CX2552" s="307">
        <v>2.3410000000000002</v>
      </c>
      <c r="CY2552" s="307">
        <v>2.3809999999999998</v>
      </c>
      <c r="CZ2552" s="307">
        <v>2.3609999999999998</v>
      </c>
    </row>
    <row r="2553" spans="98:104">
      <c r="CT2553" s="366" t="s">
        <v>3090</v>
      </c>
      <c r="CU2553" s="307" t="s">
        <v>635</v>
      </c>
      <c r="CV2553" s="307" t="s">
        <v>3075</v>
      </c>
      <c r="CW2553" s="366" t="s">
        <v>22</v>
      </c>
      <c r="CX2553" s="307">
        <v>2.355</v>
      </c>
      <c r="CY2553" s="307">
        <v>2.395</v>
      </c>
      <c r="CZ2553" s="307">
        <v>2.375</v>
      </c>
    </row>
    <row r="2554" spans="98:104">
      <c r="CT2554" s="366" t="s">
        <v>3091</v>
      </c>
      <c r="CU2554" s="307" t="s">
        <v>635</v>
      </c>
      <c r="CV2554" s="307" t="s">
        <v>3075</v>
      </c>
      <c r="CW2554" s="366" t="s">
        <v>46</v>
      </c>
      <c r="CX2554" s="307">
        <v>2.3610000000000002</v>
      </c>
      <c r="CY2554" s="307">
        <v>2.4009999999999998</v>
      </c>
      <c r="CZ2554" s="307">
        <v>2.3810000000000002</v>
      </c>
    </row>
    <row r="2555" spans="98:104">
      <c r="CT2555" s="366" t="s">
        <v>3092</v>
      </c>
      <c r="CU2555" s="307" t="s">
        <v>635</v>
      </c>
      <c r="CV2555" s="307" t="s">
        <v>3075</v>
      </c>
      <c r="CW2555" s="366" t="s">
        <v>47</v>
      </c>
      <c r="CX2555" s="307">
        <v>2.355</v>
      </c>
      <c r="CY2555" s="307">
        <v>2.395</v>
      </c>
      <c r="CZ2555" s="307">
        <v>2.375</v>
      </c>
    </row>
    <row r="2556" spans="98:104">
      <c r="CT2556" s="366" t="s">
        <v>4852</v>
      </c>
      <c r="CU2556" s="307" t="s">
        <v>635</v>
      </c>
      <c r="CV2556" s="307" t="s">
        <v>3075</v>
      </c>
      <c r="CW2556" s="366" t="s">
        <v>48</v>
      </c>
      <c r="CX2556" s="307">
        <v>0</v>
      </c>
      <c r="CY2556" s="307">
        <v>0</v>
      </c>
      <c r="CZ2556" s="307">
        <v>0</v>
      </c>
    </row>
    <row r="2557" spans="98:104">
      <c r="CT2557" s="366" t="s">
        <v>3093</v>
      </c>
      <c r="CU2557" s="307" t="s">
        <v>635</v>
      </c>
      <c r="CV2557" s="307" t="s">
        <v>829</v>
      </c>
      <c r="CW2557" s="366" t="s">
        <v>3</v>
      </c>
      <c r="CX2557" s="307">
        <v>0.65</v>
      </c>
      <c r="CY2557" s="307">
        <v>0.65</v>
      </c>
      <c r="CZ2557" s="307">
        <v>0.65</v>
      </c>
    </row>
    <row r="2558" spans="98:104">
      <c r="CT2558" s="366" t="s">
        <v>3094</v>
      </c>
      <c r="CU2558" s="307" t="s">
        <v>635</v>
      </c>
      <c r="CV2558" s="307" t="s">
        <v>829</v>
      </c>
      <c r="CW2558" s="366" t="s">
        <v>4</v>
      </c>
      <c r="CX2558" s="307">
        <v>0.7</v>
      </c>
      <c r="CY2558" s="307">
        <v>0.7</v>
      </c>
      <c r="CZ2558" s="307">
        <v>0.7</v>
      </c>
    </row>
    <row r="2559" spans="98:104">
      <c r="CT2559" s="366" t="s">
        <v>3095</v>
      </c>
      <c r="CU2559" s="307" t="s">
        <v>635</v>
      </c>
      <c r="CV2559" s="307" t="s">
        <v>829</v>
      </c>
      <c r="CW2559" s="366" t="s">
        <v>23</v>
      </c>
      <c r="CX2559" s="307">
        <v>0.75</v>
      </c>
      <c r="CY2559" s="307">
        <v>0.75</v>
      </c>
      <c r="CZ2559" s="307">
        <v>0.75</v>
      </c>
    </row>
    <row r="2560" spans="98:104">
      <c r="CT2560" s="366" t="s">
        <v>3096</v>
      </c>
      <c r="CU2560" s="307" t="s">
        <v>635</v>
      </c>
      <c r="CV2560" s="307" t="s">
        <v>829</v>
      </c>
      <c r="CW2560" s="366" t="s">
        <v>5</v>
      </c>
      <c r="CX2560" s="307">
        <v>1.0503124850000001</v>
      </c>
      <c r="CY2560" s="307">
        <v>1.0503124850000001</v>
      </c>
      <c r="CZ2560" s="307">
        <v>1.0503124850000001</v>
      </c>
    </row>
    <row r="2561" spans="98:104">
      <c r="CT2561" s="366" t="s">
        <v>3097</v>
      </c>
      <c r="CU2561" s="307" t="s">
        <v>635</v>
      </c>
      <c r="CV2561" s="307" t="s">
        <v>829</v>
      </c>
      <c r="CW2561" s="366" t="s">
        <v>6</v>
      </c>
      <c r="CX2561" s="307">
        <v>1.0583333580000001</v>
      </c>
      <c r="CY2561" s="307">
        <v>1.0583333580000001</v>
      </c>
      <c r="CZ2561" s="307">
        <v>1.0583333580000001</v>
      </c>
    </row>
    <row r="2562" spans="98:104">
      <c r="CT2562" s="366" t="s">
        <v>3098</v>
      </c>
      <c r="CU2562" s="307" t="s">
        <v>635</v>
      </c>
      <c r="CV2562" s="307" t="s">
        <v>829</v>
      </c>
      <c r="CW2562" s="366" t="s">
        <v>24</v>
      </c>
      <c r="CX2562" s="307">
        <v>1.0716344</v>
      </c>
      <c r="CY2562" s="307">
        <v>1.0716344</v>
      </c>
      <c r="CZ2562" s="307">
        <v>1.0716344</v>
      </c>
    </row>
    <row r="2563" spans="98:104">
      <c r="CT2563" s="366" t="s">
        <v>3099</v>
      </c>
      <c r="CU2563" s="307" t="s">
        <v>635</v>
      </c>
      <c r="CV2563" s="307" t="s">
        <v>829</v>
      </c>
      <c r="CW2563" s="366" t="s">
        <v>7</v>
      </c>
      <c r="CX2563" s="307">
        <v>1.0965</v>
      </c>
      <c r="CY2563" s="307">
        <v>1.0965</v>
      </c>
      <c r="CZ2563" s="307">
        <v>1.0965</v>
      </c>
    </row>
    <row r="2564" spans="98:104">
      <c r="CT2564" s="366" t="s">
        <v>3100</v>
      </c>
      <c r="CU2564" s="307" t="s">
        <v>635</v>
      </c>
      <c r="CV2564" s="307" t="s">
        <v>829</v>
      </c>
      <c r="CW2564" s="366" t="s">
        <v>8</v>
      </c>
      <c r="CX2564" s="307">
        <v>1.2031000000000001</v>
      </c>
      <c r="CY2564" s="307">
        <v>1.2031000000000001</v>
      </c>
      <c r="CZ2564" s="307">
        <v>1.2031000000000001</v>
      </c>
    </row>
    <row r="2565" spans="98:104">
      <c r="CT2565" s="366" t="s">
        <v>3101</v>
      </c>
      <c r="CU2565" s="307" t="s">
        <v>635</v>
      </c>
      <c r="CV2565" s="307" t="s">
        <v>829</v>
      </c>
      <c r="CW2565" s="366" t="s">
        <v>25</v>
      </c>
      <c r="CX2565" s="307">
        <v>1.2526999999999999</v>
      </c>
      <c r="CY2565" s="307">
        <v>1.2526999999999999</v>
      </c>
      <c r="CZ2565" s="307">
        <v>1.2526999999999999</v>
      </c>
    </row>
    <row r="2566" spans="98:104">
      <c r="CT2566" s="366" t="s">
        <v>3102</v>
      </c>
      <c r="CU2566" s="307" t="s">
        <v>635</v>
      </c>
      <c r="CV2566" s="307" t="s">
        <v>829</v>
      </c>
      <c r="CW2566" s="366" t="s">
        <v>26</v>
      </c>
      <c r="CX2566" s="307">
        <v>1.2906</v>
      </c>
      <c r="CY2566" s="307">
        <v>1.2906</v>
      </c>
      <c r="CZ2566" s="307">
        <v>1.2906</v>
      </c>
    </row>
    <row r="2567" spans="98:104">
      <c r="CT2567" s="366" t="s">
        <v>3103</v>
      </c>
      <c r="CU2567" s="307" t="s">
        <v>635</v>
      </c>
      <c r="CV2567" s="307" t="s">
        <v>829</v>
      </c>
      <c r="CW2567" s="366" t="s">
        <v>27</v>
      </c>
      <c r="CX2567" s="307">
        <v>1.3309</v>
      </c>
      <c r="CY2567" s="307">
        <v>1.3309</v>
      </c>
      <c r="CZ2567" s="307">
        <v>1.3309</v>
      </c>
    </row>
    <row r="2568" spans="98:104">
      <c r="CT2568" s="366" t="s">
        <v>3104</v>
      </c>
      <c r="CU2568" s="307" t="s">
        <v>635</v>
      </c>
      <c r="CV2568" s="307" t="s">
        <v>829</v>
      </c>
      <c r="CW2568" s="366" t="s">
        <v>28</v>
      </c>
      <c r="CX2568" s="307">
        <v>1.3682000000000001</v>
      </c>
      <c r="CY2568" s="307">
        <v>1.3682000000000001</v>
      </c>
      <c r="CZ2568" s="307">
        <v>1.3682000000000001</v>
      </c>
    </row>
    <row r="2569" spans="98:104">
      <c r="CT2569" s="366" t="s">
        <v>3105</v>
      </c>
      <c r="CU2569" s="307" t="s">
        <v>635</v>
      </c>
      <c r="CV2569" s="307" t="s">
        <v>829</v>
      </c>
      <c r="CW2569" s="366" t="s">
        <v>29</v>
      </c>
      <c r="CX2569" s="307">
        <v>1.4071315959999999</v>
      </c>
      <c r="CY2569" s="307">
        <v>1.4071315959999999</v>
      </c>
      <c r="CZ2569" s="307">
        <v>1.4071315959999999</v>
      </c>
    </row>
    <row r="2570" spans="98:104">
      <c r="CT2570" s="366" t="s">
        <v>5124</v>
      </c>
      <c r="CU2570" s="307" t="s">
        <v>635</v>
      </c>
      <c r="CV2570" s="307" t="s">
        <v>829</v>
      </c>
      <c r="CW2570" s="366" t="s">
        <v>5101</v>
      </c>
      <c r="CX2570" s="307">
        <v>1.4071315959999999</v>
      </c>
      <c r="CY2570" s="307">
        <v>1.4071315959999999</v>
      </c>
      <c r="CZ2570" s="307">
        <v>1.4071315959999999</v>
      </c>
    </row>
    <row r="2571" spans="98:104">
      <c r="CT2571" s="366" t="s">
        <v>3106</v>
      </c>
      <c r="CU2571" s="307" t="s">
        <v>635</v>
      </c>
      <c r="CV2571" s="307" t="s">
        <v>829</v>
      </c>
      <c r="CW2571" s="366" t="s">
        <v>30</v>
      </c>
      <c r="CX2571" s="307">
        <v>1.4471532140000001</v>
      </c>
      <c r="CY2571" s="307">
        <v>1.4471532140000001</v>
      </c>
      <c r="CZ2571" s="307">
        <v>1.4471532140000001</v>
      </c>
    </row>
    <row r="2572" spans="98:104">
      <c r="CT2572" s="366" t="s">
        <v>3107</v>
      </c>
      <c r="CU2572" s="307" t="s">
        <v>635</v>
      </c>
      <c r="CV2572" s="307" t="s">
        <v>829</v>
      </c>
      <c r="CW2572" s="366" t="s">
        <v>49</v>
      </c>
      <c r="CX2572" s="307">
        <v>1.4871000000000001</v>
      </c>
      <c r="CY2572" s="307">
        <v>1.4871000000000001</v>
      </c>
      <c r="CZ2572" s="307">
        <v>1.4871000000000001</v>
      </c>
    </row>
    <row r="2573" spans="98:104">
      <c r="CT2573" s="366" t="s">
        <v>4853</v>
      </c>
      <c r="CU2573" s="307" t="s">
        <v>635</v>
      </c>
      <c r="CV2573" s="307" t="s">
        <v>829</v>
      </c>
      <c r="CW2573" s="366" t="s">
        <v>1066</v>
      </c>
      <c r="CX2573" s="307">
        <v>98.218274682000001</v>
      </c>
      <c r="CY2573" s="307">
        <v>98.218274682000001</v>
      </c>
      <c r="CZ2573" s="307">
        <v>98.218274682000001</v>
      </c>
    </row>
    <row r="2574" spans="98:104">
      <c r="CT2574" s="366" t="s">
        <v>3108</v>
      </c>
      <c r="CU2574" s="307" t="s">
        <v>635</v>
      </c>
      <c r="CV2574" s="307" t="s">
        <v>829</v>
      </c>
      <c r="CW2574" s="366" t="s">
        <v>56</v>
      </c>
      <c r="CX2574" s="307">
        <v>1.60456</v>
      </c>
      <c r="CY2574" s="307">
        <v>1.60456</v>
      </c>
      <c r="CZ2574" s="307">
        <v>1.60456</v>
      </c>
    </row>
    <row r="2575" spans="98:104">
      <c r="CT2575" s="366" t="s">
        <v>4854</v>
      </c>
      <c r="CU2575" s="307" t="s">
        <v>635</v>
      </c>
      <c r="CV2575" s="307" t="s">
        <v>829</v>
      </c>
      <c r="CW2575" s="366" t="s">
        <v>1069</v>
      </c>
      <c r="CX2575" s="307">
        <v>97.987418840000004</v>
      </c>
      <c r="CY2575" s="307">
        <v>97.987418840000004</v>
      </c>
      <c r="CZ2575" s="307">
        <v>97.987418840000004</v>
      </c>
    </row>
    <row r="2576" spans="98:104">
      <c r="CT2576" s="366" t="s">
        <v>4855</v>
      </c>
      <c r="CU2576" s="307" t="s">
        <v>635</v>
      </c>
      <c r="CV2576" s="307" t="s">
        <v>829</v>
      </c>
      <c r="CW2576" s="366" t="s">
        <v>3865</v>
      </c>
      <c r="CX2576" s="307">
        <v>98.131992885000003</v>
      </c>
      <c r="CY2576" s="307">
        <v>98.131992885000003</v>
      </c>
      <c r="CZ2576" s="307">
        <v>98.131992885000003</v>
      </c>
    </row>
    <row r="2577" spans="98:104">
      <c r="CT2577" s="366" t="s">
        <v>4856</v>
      </c>
      <c r="CU2577" s="307" t="s">
        <v>635</v>
      </c>
      <c r="CV2577" s="307" t="s">
        <v>829</v>
      </c>
      <c r="CW2577" s="366" t="s">
        <v>3866</v>
      </c>
      <c r="CX2577" s="307">
        <v>98.324659815999993</v>
      </c>
      <c r="CY2577" s="307">
        <v>98.324659815999993</v>
      </c>
      <c r="CZ2577" s="307">
        <v>98.324659815999993</v>
      </c>
    </row>
    <row r="2578" spans="98:104">
      <c r="CT2578" s="366" t="s">
        <v>5079</v>
      </c>
      <c r="CU2578" s="307" t="s">
        <v>635</v>
      </c>
      <c r="CV2578" s="307" t="s">
        <v>829</v>
      </c>
      <c r="CW2578" s="366" t="s">
        <v>3889</v>
      </c>
      <c r="CX2578" s="307">
        <v>97.947967769000002</v>
      </c>
      <c r="CY2578" s="307">
        <v>97.947967769000002</v>
      </c>
      <c r="CZ2578" s="307">
        <v>97.947967769000002</v>
      </c>
    </row>
    <row r="2579" spans="98:104">
      <c r="CT2579" s="366" t="s">
        <v>3109</v>
      </c>
      <c r="CU2579" s="307" t="s">
        <v>635</v>
      </c>
      <c r="CV2579" s="307" t="s">
        <v>829</v>
      </c>
      <c r="CW2579" s="366" t="s">
        <v>9</v>
      </c>
      <c r="CX2579" s="307">
        <v>1.768120447</v>
      </c>
      <c r="CY2579" s="307">
        <v>1.768120447</v>
      </c>
      <c r="CZ2579" s="307">
        <v>1.768120447</v>
      </c>
    </row>
    <row r="2580" spans="98:104">
      <c r="CT2580" s="366" t="s">
        <v>5125</v>
      </c>
      <c r="CU2580" s="307" t="s">
        <v>635</v>
      </c>
      <c r="CV2580" s="307" t="s">
        <v>829</v>
      </c>
      <c r="CW2580" s="366" t="s">
        <v>3890</v>
      </c>
      <c r="CX2580" s="307">
        <v>97.905453166000001</v>
      </c>
      <c r="CY2580" s="307">
        <v>97.905453166000001</v>
      </c>
      <c r="CZ2580" s="307">
        <v>97.905453166000001</v>
      </c>
    </row>
    <row r="2581" spans="98:104">
      <c r="CT2581" s="366" t="s">
        <v>3110</v>
      </c>
      <c r="CU2581" s="307" t="s">
        <v>635</v>
      </c>
      <c r="CV2581" s="307" t="s">
        <v>829</v>
      </c>
      <c r="CW2581" s="366" t="s">
        <v>10</v>
      </c>
      <c r="CX2581" s="307">
        <v>1.9291966359999999</v>
      </c>
      <c r="CY2581" s="307">
        <v>1.9291966359999999</v>
      </c>
      <c r="CZ2581" s="307">
        <v>1.9291966359999999</v>
      </c>
    </row>
    <row r="2582" spans="98:104">
      <c r="CT2582" s="366" t="s">
        <v>3111</v>
      </c>
      <c r="CU2582" s="307" t="s">
        <v>635</v>
      </c>
      <c r="CV2582" s="307" t="s">
        <v>829</v>
      </c>
      <c r="CW2582" s="366" t="s">
        <v>11</v>
      </c>
      <c r="CX2582" s="307">
        <v>2.0704378499999998</v>
      </c>
      <c r="CY2582" s="307">
        <v>2.0704378499999998</v>
      </c>
      <c r="CZ2582" s="307">
        <v>2.0704378499999998</v>
      </c>
    </row>
    <row r="2583" spans="98:104">
      <c r="CT2583" s="366" t="s">
        <v>3112</v>
      </c>
      <c r="CU2583" s="307" t="s">
        <v>635</v>
      </c>
      <c r="CV2583" s="307" t="s">
        <v>829</v>
      </c>
      <c r="CW2583" s="366" t="s">
        <v>12</v>
      </c>
      <c r="CX2583" s="307">
        <v>2.1758245889999999</v>
      </c>
      <c r="CY2583" s="307">
        <v>2.1758245889999999</v>
      </c>
      <c r="CZ2583" s="307">
        <v>2.1758245889999999</v>
      </c>
    </row>
    <row r="2584" spans="98:104">
      <c r="CT2584" s="366" t="s">
        <v>3113</v>
      </c>
      <c r="CU2584" s="307" t="s">
        <v>635</v>
      </c>
      <c r="CV2584" s="307" t="s">
        <v>829</v>
      </c>
      <c r="CW2584" s="366" t="s">
        <v>13</v>
      </c>
      <c r="CX2584" s="307">
        <v>2.2732025770000002</v>
      </c>
      <c r="CY2584" s="307">
        <v>2.2732025770000002</v>
      </c>
      <c r="CZ2584" s="307">
        <v>2.2732025770000002</v>
      </c>
    </row>
    <row r="2585" spans="98:104">
      <c r="CT2585" s="366" t="s">
        <v>3114</v>
      </c>
      <c r="CU2585" s="307" t="s">
        <v>635</v>
      </c>
      <c r="CV2585" s="307" t="s">
        <v>829</v>
      </c>
      <c r="CW2585" s="366" t="s">
        <v>14</v>
      </c>
      <c r="CX2585" s="307">
        <v>2.3472615330000002</v>
      </c>
      <c r="CY2585" s="307">
        <v>2.3472615330000002</v>
      </c>
      <c r="CZ2585" s="307">
        <v>2.3472615330000002</v>
      </c>
    </row>
    <row r="2586" spans="98:104">
      <c r="CT2586" s="366" t="s">
        <v>3115</v>
      </c>
      <c r="CU2586" s="307" t="s">
        <v>635</v>
      </c>
      <c r="CV2586" s="307" t="s">
        <v>829</v>
      </c>
      <c r="CW2586" s="366" t="s">
        <v>15</v>
      </c>
      <c r="CX2586" s="307">
        <v>2.403770529</v>
      </c>
      <c r="CY2586" s="307">
        <v>2.403770529</v>
      </c>
      <c r="CZ2586" s="307">
        <v>2.403770529</v>
      </c>
    </row>
    <row r="2587" spans="98:104">
      <c r="CT2587" s="366" t="s">
        <v>3116</v>
      </c>
      <c r="CU2587" s="307" t="s">
        <v>635</v>
      </c>
      <c r="CV2587" s="307" t="s">
        <v>829</v>
      </c>
      <c r="CW2587" s="366" t="s">
        <v>16</v>
      </c>
      <c r="CX2587" s="307">
        <v>2.4520259219999998</v>
      </c>
      <c r="CY2587" s="307">
        <v>2.4520259219999998</v>
      </c>
      <c r="CZ2587" s="307">
        <v>2.4520259219999998</v>
      </c>
    </row>
    <row r="2588" spans="98:104">
      <c r="CT2588" s="366" t="s">
        <v>3117</v>
      </c>
      <c r="CU2588" s="307" t="s">
        <v>635</v>
      </c>
      <c r="CV2588" s="307" t="s">
        <v>829</v>
      </c>
      <c r="CW2588" s="366" t="s">
        <v>17</v>
      </c>
      <c r="CX2588" s="307">
        <v>2.4912641199999999</v>
      </c>
      <c r="CY2588" s="307">
        <v>2.4912641199999999</v>
      </c>
      <c r="CZ2588" s="307">
        <v>2.4912641199999999</v>
      </c>
    </row>
    <row r="2589" spans="98:104">
      <c r="CT2589" s="366" t="s">
        <v>3118</v>
      </c>
      <c r="CU2589" s="307" t="s">
        <v>635</v>
      </c>
      <c r="CV2589" s="307" t="s">
        <v>829</v>
      </c>
      <c r="CW2589" s="366" t="s">
        <v>31</v>
      </c>
      <c r="CX2589" s="307">
        <v>2.5260977800000002</v>
      </c>
      <c r="CY2589" s="307">
        <v>2.5260977800000002</v>
      </c>
      <c r="CZ2589" s="307">
        <v>2.5260977800000002</v>
      </c>
    </row>
    <row r="2590" spans="98:104">
      <c r="CT2590" s="366" t="s">
        <v>3119</v>
      </c>
      <c r="CU2590" s="307" t="s">
        <v>635</v>
      </c>
      <c r="CV2590" s="307" t="s">
        <v>829</v>
      </c>
      <c r="CW2590" s="366" t="s">
        <v>18</v>
      </c>
      <c r="CX2590" s="307">
        <v>2.5559871620000001</v>
      </c>
      <c r="CY2590" s="307">
        <v>2.5559871620000001</v>
      </c>
      <c r="CZ2590" s="307">
        <v>2.5559871620000001</v>
      </c>
    </row>
    <row r="2591" spans="98:104">
      <c r="CT2591" s="366" t="s">
        <v>3120</v>
      </c>
      <c r="CU2591" s="307" t="s">
        <v>635</v>
      </c>
      <c r="CV2591" s="307" t="s">
        <v>829</v>
      </c>
      <c r="CW2591" s="366" t="s">
        <v>32</v>
      </c>
      <c r="CX2591" s="307">
        <v>2.5811726990000001</v>
      </c>
      <c r="CY2591" s="307">
        <v>2.5811726990000001</v>
      </c>
      <c r="CZ2591" s="307">
        <v>2.5811726990000001</v>
      </c>
    </row>
    <row r="2592" spans="98:104">
      <c r="CT2592" s="366" t="s">
        <v>3121</v>
      </c>
      <c r="CU2592" s="307" t="s">
        <v>635</v>
      </c>
      <c r="CV2592" s="307" t="s">
        <v>829</v>
      </c>
      <c r="CW2592" s="366" t="s">
        <v>33</v>
      </c>
      <c r="CX2592" s="307">
        <v>2.6028796760000001</v>
      </c>
      <c r="CY2592" s="307">
        <v>2.6028796760000001</v>
      </c>
      <c r="CZ2592" s="307">
        <v>2.6028796760000001</v>
      </c>
    </row>
    <row r="2593" spans="98:104">
      <c r="CT2593" s="366" t="s">
        <v>3122</v>
      </c>
      <c r="CU2593" s="307" t="s">
        <v>635</v>
      </c>
      <c r="CV2593" s="307" t="s">
        <v>829</v>
      </c>
      <c r="CW2593" s="366" t="s">
        <v>19</v>
      </c>
      <c r="CX2593" s="307">
        <v>2.6219563570000002</v>
      </c>
      <c r="CY2593" s="307">
        <v>2.6219563570000002</v>
      </c>
      <c r="CZ2593" s="307">
        <v>2.6219563570000002</v>
      </c>
    </row>
    <row r="2594" spans="98:104">
      <c r="CT2594" s="366" t="s">
        <v>3123</v>
      </c>
      <c r="CU2594" s="307" t="s">
        <v>635</v>
      </c>
      <c r="CV2594" s="307" t="s">
        <v>829</v>
      </c>
      <c r="CW2594" s="366" t="s">
        <v>34</v>
      </c>
      <c r="CX2594" s="307">
        <v>2.6391163340000001</v>
      </c>
      <c r="CY2594" s="307">
        <v>2.6391163340000001</v>
      </c>
      <c r="CZ2594" s="307">
        <v>2.6391163340000001</v>
      </c>
    </row>
    <row r="2595" spans="98:104">
      <c r="CT2595" s="366" t="s">
        <v>3124</v>
      </c>
      <c r="CU2595" s="307" t="s">
        <v>635</v>
      </c>
      <c r="CV2595" s="307" t="s">
        <v>829</v>
      </c>
      <c r="CW2595" s="366" t="s">
        <v>35</v>
      </c>
      <c r="CX2595" s="307">
        <v>2.6541566599999999</v>
      </c>
      <c r="CY2595" s="307">
        <v>2.6541566599999999</v>
      </c>
      <c r="CZ2595" s="307">
        <v>2.6541566599999999</v>
      </c>
    </row>
    <row r="2596" spans="98:104">
      <c r="CT2596" s="366" t="s">
        <v>3125</v>
      </c>
      <c r="CU2596" s="307" t="s">
        <v>635</v>
      </c>
      <c r="CV2596" s="307" t="s">
        <v>829</v>
      </c>
      <c r="CW2596" s="366" t="s">
        <v>36</v>
      </c>
      <c r="CX2596" s="307">
        <v>2.6672255690000002</v>
      </c>
      <c r="CY2596" s="307">
        <v>2.6672255690000002</v>
      </c>
      <c r="CZ2596" s="307">
        <v>2.6672255690000002</v>
      </c>
    </row>
    <row r="2597" spans="98:104">
      <c r="CT2597" s="366" t="s">
        <v>3126</v>
      </c>
      <c r="CU2597" s="307" t="s">
        <v>635</v>
      </c>
      <c r="CV2597" s="307" t="s">
        <v>829</v>
      </c>
      <c r="CW2597" s="366" t="s">
        <v>37</v>
      </c>
      <c r="CX2597" s="307">
        <v>2.6782381270000002</v>
      </c>
      <c r="CY2597" s="307">
        <v>2.6782381270000002</v>
      </c>
      <c r="CZ2597" s="307">
        <v>2.6782381270000002</v>
      </c>
    </row>
    <row r="2598" spans="98:104">
      <c r="CT2598" s="366" t="s">
        <v>3127</v>
      </c>
      <c r="CU2598" s="307" t="s">
        <v>635</v>
      </c>
      <c r="CV2598" s="307" t="s">
        <v>829</v>
      </c>
      <c r="CW2598" s="366" t="s">
        <v>20</v>
      </c>
      <c r="CX2598" s="307">
        <v>2.687200721</v>
      </c>
      <c r="CY2598" s="307">
        <v>2.687200721</v>
      </c>
      <c r="CZ2598" s="307">
        <v>2.687200721</v>
      </c>
    </row>
    <row r="2599" spans="98:104">
      <c r="CT2599" s="366" t="s">
        <v>3128</v>
      </c>
      <c r="CU2599" s="307" t="s">
        <v>635</v>
      </c>
      <c r="CV2599" s="307" t="s">
        <v>829</v>
      </c>
      <c r="CW2599" s="366" t="s">
        <v>38</v>
      </c>
      <c r="CX2599" s="307">
        <v>2.694153977</v>
      </c>
      <c r="CY2599" s="307">
        <v>2.694153977</v>
      </c>
      <c r="CZ2599" s="307">
        <v>2.694153977</v>
      </c>
    </row>
    <row r="2600" spans="98:104">
      <c r="CT2600" s="366" t="s">
        <v>3129</v>
      </c>
      <c r="CU2600" s="307" t="s">
        <v>635</v>
      </c>
      <c r="CV2600" s="307" t="s">
        <v>829</v>
      </c>
      <c r="CW2600" s="366" t="s">
        <v>39</v>
      </c>
      <c r="CX2600" s="307">
        <v>2.699322972</v>
      </c>
      <c r="CY2600" s="307">
        <v>2.699322972</v>
      </c>
      <c r="CZ2600" s="307">
        <v>2.699322972</v>
      </c>
    </row>
    <row r="2601" spans="98:104">
      <c r="CT2601" s="366" t="s">
        <v>3130</v>
      </c>
      <c r="CU2601" s="307" t="s">
        <v>635</v>
      </c>
      <c r="CV2601" s="307" t="s">
        <v>829</v>
      </c>
      <c r="CW2601" s="366" t="s">
        <v>40</v>
      </c>
      <c r="CX2601" s="307">
        <v>2.7030876269999999</v>
      </c>
      <c r="CY2601" s="307">
        <v>2.7030876269999999</v>
      </c>
      <c r="CZ2601" s="307">
        <v>2.7030876269999999</v>
      </c>
    </row>
    <row r="2602" spans="98:104">
      <c r="CT2602" s="366" t="s">
        <v>3131</v>
      </c>
      <c r="CU2602" s="307" t="s">
        <v>635</v>
      </c>
      <c r="CV2602" s="307" t="s">
        <v>829</v>
      </c>
      <c r="CW2602" s="366" t="s">
        <v>41</v>
      </c>
      <c r="CX2602" s="307">
        <v>2.7057161829999998</v>
      </c>
      <c r="CY2602" s="307">
        <v>2.7057161829999998</v>
      </c>
      <c r="CZ2602" s="307">
        <v>2.7057161829999998</v>
      </c>
    </row>
    <row r="2603" spans="98:104">
      <c r="CT2603" s="366" t="s">
        <v>3132</v>
      </c>
      <c r="CU2603" s="307" t="s">
        <v>635</v>
      </c>
      <c r="CV2603" s="307" t="s">
        <v>829</v>
      </c>
      <c r="CW2603" s="366" t="s">
        <v>21</v>
      </c>
      <c r="CX2603" s="307">
        <v>2.7073820739999999</v>
      </c>
      <c r="CY2603" s="307">
        <v>2.7073820739999999</v>
      </c>
      <c r="CZ2603" s="307">
        <v>2.7073820739999999</v>
      </c>
    </row>
    <row r="2604" spans="98:104">
      <c r="CT2604" s="366" t="s">
        <v>3133</v>
      </c>
      <c r="CU2604" s="307" t="s">
        <v>635</v>
      </c>
      <c r="CV2604" s="307" t="s">
        <v>829</v>
      </c>
      <c r="CW2604" s="366" t="s">
        <v>42</v>
      </c>
      <c r="CX2604" s="307">
        <v>2.708304681</v>
      </c>
      <c r="CY2604" s="307">
        <v>2.708304681</v>
      </c>
      <c r="CZ2604" s="307">
        <v>2.708304681</v>
      </c>
    </row>
    <row r="2605" spans="98:104">
      <c r="CT2605" s="366" t="s">
        <v>3134</v>
      </c>
      <c r="CU2605" s="307" t="s">
        <v>635</v>
      </c>
      <c r="CV2605" s="307" t="s">
        <v>829</v>
      </c>
      <c r="CW2605" s="366" t="s">
        <v>43</v>
      </c>
      <c r="CX2605" s="307">
        <v>2.7087856110000001</v>
      </c>
      <c r="CY2605" s="307">
        <v>2.7087856110000001</v>
      </c>
      <c r="CZ2605" s="307">
        <v>2.7087856110000001</v>
      </c>
    </row>
    <row r="2606" spans="98:104">
      <c r="CT2606" s="366" t="s">
        <v>3135</v>
      </c>
      <c r="CU2606" s="307" t="s">
        <v>635</v>
      </c>
      <c r="CV2606" s="307" t="s">
        <v>829</v>
      </c>
      <c r="CW2606" s="366" t="s">
        <v>44</v>
      </c>
      <c r="CX2606" s="307">
        <v>2.7090818570000001</v>
      </c>
      <c r="CY2606" s="307">
        <v>2.7090818570000001</v>
      </c>
      <c r="CZ2606" s="307">
        <v>2.7090818570000001</v>
      </c>
    </row>
    <row r="2607" spans="98:104">
      <c r="CT2607" s="366" t="s">
        <v>3136</v>
      </c>
      <c r="CU2607" s="307" t="s">
        <v>635</v>
      </c>
      <c r="CV2607" s="307" t="s">
        <v>829</v>
      </c>
      <c r="CW2607" s="366" t="s">
        <v>45</v>
      </c>
      <c r="CX2607" s="307">
        <v>2.7094417000000002</v>
      </c>
      <c r="CY2607" s="307">
        <v>2.7094417000000002</v>
      </c>
      <c r="CZ2607" s="307">
        <v>2.7094417000000002</v>
      </c>
    </row>
    <row r="2608" spans="98:104">
      <c r="CT2608" s="366" t="s">
        <v>3137</v>
      </c>
      <c r="CU2608" s="307" t="s">
        <v>635</v>
      </c>
      <c r="CV2608" s="307" t="s">
        <v>829</v>
      </c>
      <c r="CW2608" s="366" t="s">
        <v>22</v>
      </c>
      <c r="CX2608" s="307">
        <v>2.710058171</v>
      </c>
      <c r="CY2608" s="307">
        <v>2.710058171</v>
      </c>
      <c r="CZ2608" s="307">
        <v>2.710058171</v>
      </c>
    </row>
    <row r="2609" spans="98:104">
      <c r="CT2609" s="366" t="s">
        <v>3138</v>
      </c>
      <c r="CU2609" s="307" t="s">
        <v>635</v>
      </c>
      <c r="CV2609" s="307" t="s">
        <v>829</v>
      </c>
      <c r="CW2609" s="366" t="s">
        <v>46</v>
      </c>
      <c r="CX2609" s="307">
        <v>2.7160634780000001</v>
      </c>
      <c r="CY2609" s="307">
        <v>2.7160634780000001</v>
      </c>
      <c r="CZ2609" s="307">
        <v>2.7160634780000001</v>
      </c>
    </row>
    <row r="2610" spans="98:104">
      <c r="CT2610" s="366" t="s">
        <v>3139</v>
      </c>
      <c r="CU2610" s="307" t="s">
        <v>635</v>
      </c>
      <c r="CV2610" s="307" t="s">
        <v>829</v>
      </c>
      <c r="CW2610" s="366" t="s">
        <v>47</v>
      </c>
      <c r="CX2610" s="307">
        <v>2.7100438069999999</v>
      </c>
      <c r="CY2610" s="307">
        <v>2.7100438069999999</v>
      </c>
      <c r="CZ2610" s="307">
        <v>2.7100438069999999</v>
      </c>
    </row>
    <row r="2611" spans="98:104">
      <c r="CT2611" s="366" t="s">
        <v>3140</v>
      </c>
      <c r="CU2611" s="307" t="s">
        <v>635</v>
      </c>
      <c r="CV2611" s="307" t="s">
        <v>829</v>
      </c>
      <c r="CW2611" s="366" t="s">
        <v>48</v>
      </c>
      <c r="CX2611" s="307">
        <v>2.7045604089999999</v>
      </c>
      <c r="CY2611" s="307">
        <v>2.7045604089999999</v>
      </c>
      <c r="CZ2611" s="307">
        <v>2.7045604089999999</v>
      </c>
    </row>
    <row r="2612" spans="98:104">
      <c r="CT2612" s="366" t="s">
        <v>3141</v>
      </c>
      <c r="CU2612" s="307" t="s">
        <v>635</v>
      </c>
      <c r="CV2612" s="307" t="s">
        <v>649</v>
      </c>
      <c r="CW2612" s="366" t="s">
        <v>3</v>
      </c>
      <c r="CX2612" s="307">
        <v>0.65</v>
      </c>
      <c r="CY2612" s="307">
        <v>0.65</v>
      </c>
      <c r="CZ2612" s="307">
        <v>0.65</v>
      </c>
    </row>
    <row r="2613" spans="98:104">
      <c r="CT2613" s="366" t="s">
        <v>3142</v>
      </c>
      <c r="CU2613" s="307" t="s">
        <v>635</v>
      </c>
      <c r="CV2613" s="307" t="s">
        <v>649</v>
      </c>
      <c r="CW2613" s="366" t="s">
        <v>4</v>
      </c>
      <c r="CX2613" s="307">
        <v>0.7</v>
      </c>
      <c r="CY2613" s="307">
        <v>0.7</v>
      </c>
      <c r="CZ2613" s="307">
        <v>0.7</v>
      </c>
    </row>
    <row r="2614" spans="98:104">
      <c r="CT2614" s="366" t="s">
        <v>3143</v>
      </c>
      <c r="CU2614" s="307" t="s">
        <v>635</v>
      </c>
      <c r="CV2614" s="307" t="s">
        <v>649</v>
      </c>
      <c r="CW2614" s="366" t="s">
        <v>23</v>
      </c>
      <c r="CX2614" s="307">
        <v>0.75</v>
      </c>
      <c r="CY2614" s="307">
        <v>0.75</v>
      </c>
      <c r="CZ2614" s="307">
        <v>0.75</v>
      </c>
    </row>
    <row r="2615" spans="98:104">
      <c r="CT2615" s="307" t="s">
        <v>3144</v>
      </c>
      <c r="CU2615" s="307" t="s">
        <v>635</v>
      </c>
      <c r="CV2615" s="307" t="s">
        <v>649</v>
      </c>
      <c r="CW2615" s="307" t="s">
        <v>5</v>
      </c>
      <c r="CX2615" s="307">
        <v>0.5383</v>
      </c>
      <c r="CY2615" s="307">
        <v>0.5383</v>
      </c>
      <c r="CZ2615" s="307">
        <v>0.5383</v>
      </c>
    </row>
    <row r="2616" spans="98:104">
      <c r="CT2616" s="307" t="s">
        <v>3145</v>
      </c>
      <c r="CU2616" s="307" t="s">
        <v>635</v>
      </c>
      <c r="CV2616" s="307" t="s">
        <v>649</v>
      </c>
      <c r="CW2616" s="307" t="s">
        <v>6</v>
      </c>
      <c r="CX2616" s="307">
        <v>0.54204195399999999</v>
      </c>
      <c r="CY2616" s="307">
        <v>0.54204195399999999</v>
      </c>
      <c r="CZ2616" s="307">
        <v>0.54204195399999999</v>
      </c>
    </row>
    <row r="2617" spans="98:104">
      <c r="CT2617" s="307" t="s">
        <v>3146</v>
      </c>
      <c r="CU2617" s="307" t="s">
        <v>635</v>
      </c>
      <c r="CV2617" s="307" t="s">
        <v>649</v>
      </c>
      <c r="CW2617" s="307" t="s">
        <v>24</v>
      </c>
      <c r="CX2617" s="307">
        <v>0.54873207300000004</v>
      </c>
      <c r="CY2617" s="307">
        <v>0.54873207300000004</v>
      </c>
      <c r="CZ2617" s="307">
        <v>0.54873207300000004</v>
      </c>
    </row>
    <row r="2618" spans="98:104">
      <c r="CT2618" s="307" t="s">
        <v>3147</v>
      </c>
      <c r="CU2618" s="307" t="s">
        <v>635</v>
      </c>
      <c r="CV2618" s="307" t="s">
        <v>649</v>
      </c>
      <c r="CW2618" s="307" t="s">
        <v>7</v>
      </c>
      <c r="CX2618" s="307">
        <v>0.56179999999999997</v>
      </c>
      <c r="CY2618" s="307">
        <v>0.56179999999999997</v>
      </c>
      <c r="CZ2618" s="307">
        <v>0.56179999999999997</v>
      </c>
    </row>
    <row r="2619" spans="98:104">
      <c r="CT2619" s="307" t="s">
        <v>3148</v>
      </c>
      <c r="CU2619" s="307" t="s">
        <v>635</v>
      </c>
      <c r="CV2619" s="307" t="s">
        <v>649</v>
      </c>
      <c r="CW2619" s="307" t="s">
        <v>8</v>
      </c>
      <c r="CX2619" s="307">
        <v>0.62607694999999997</v>
      </c>
      <c r="CY2619" s="307">
        <v>0.62607694999999997</v>
      </c>
      <c r="CZ2619" s="307">
        <v>0.62607694999999997</v>
      </c>
    </row>
    <row r="2620" spans="98:104">
      <c r="CT2620" s="307" t="s">
        <v>3149</v>
      </c>
      <c r="CU2620" s="307" t="s">
        <v>635</v>
      </c>
      <c r="CV2620" s="307" t="s">
        <v>649</v>
      </c>
      <c r="CW2620" s="307" t="s">
        <v>25</v>
      </c>
      <c r="CX2620" s="307">
        <v>0.66706522199999996</v>
      </c>
      <c r="CY2620" s="307">
        <v>0.66706522199999996</v>
      </c>
      <c r="CZ2620" s="307">
        <v>0.66706522199999996</v>
      </c>
    </row>
    <row r="2621" spans="98:104">
      <c r="CT2621" s="307" t="s">
        <v>3150</v>
      </c>
      <c r="CU2621" s="307" t="s">
        <v>635</v>
      </c>
      <c r="CV2621" s="307" t="s">
        <v>649</v>
      </c>
      <c r="CW2621" s="307" t="s">
        <v>26</v>
      </c>
      <c r="CX2621" s="307">
        <v>0.68778273700000003</v>
      </c>
      <c r="CY2621" s="307">
        <v>0.68778273700000003</v>
      </c>
      <c r="CZ2621" s="307">
        <v>0.68778273700000003</v>
      </c>
    </row>
    <row r="2622" spans="98:104">
      <c r="CT2622" s="307" t="s">
        <v>3151</v>
      </c>
      <c r="CU2622" s="307" t="s">
        <v>635</v>
      </c>
      <c r="CV2622" s="307" t="s">
        <v>649</v>
      </c>
      <c r="CW2622" s="307" t="s">
        <v>27</v>
      </c>
      <c r="CX2622" s="307">
        <v>0.70260684399999995</v>
      </c>
      <c r="CY2622" s="307">
        <v>0.70260684399999995</v>
      </c>
      <c r="CZ2622" s="307">
        <v>0.70260684399999995</v>
      </c>
    </row>
    <row r="2623" spans="98:104">
      <c r="CT2623" s="307" t="s">
        <v>3152</v>
      </c>
      <c r="CU2623" s="307" t="s">
        <v>635</v>
      </c>
      <c r="CV2623" s="307" t="s">
        <v>649</v>
      </c>
      <c r="CW2623" s="307" t="s">
        <v>28</v>
      </c>
      <c r="CX2623" s="307">
        <v>0.71715770000000001</v>
      </c>
      <c r="CY2623" s="307">
        <v>0.71715770000000001</v>
      </c>
      <c r="CZ2623" s="307">
        <v>0.71715770000000001</v>
      </c>
    </row>
    <row r="2624" spans="98:104">
      <c r="CT2624" s="307" t="s">
        <v>3153</v>
      </c>
      <c r="CU2624" s="307" t="s">
        <v>635</v>
      </c>
      <c r="CV2624" s="307" t="s">
        <v>649</v>
      </c>
      <c r="CW2624" s="307" t="s">
        <v>29</v>
      </c>
      <c r="CX2624" s="307">
        <v>0.73376222199999996</v>
      </c>
      <c r="CY2624" s="307">
        <v>0.73376222199999996</v>
      </c>
      <c r="CZ2624" s="307">
        <v>0.73376222199999996</v>
      </c>
    </row>
    <row r="2625" spans="98:104">
      <c r="CT2625" s="307" t="s">
        <v>5126</v>
      </c>
      <c r="CU2625" s="307" t="s">
        <v>635</v>
      </c>
      <c r="CV2625" s="307" t="s">
        <v>649</v>
      </c>
      <c r="CW2625" s="307" t="s">
        <v>5101</v>
      </c>
      <c r="CX2625" s="307">
        <v>0.73376222199999996</v>
      </c>
      <c r="CY2625" s="307">
        <v>0.73376222199999996</v>
      </c>
      <c r="CZ2625" s="307">
        <v>0.73376222199999996</v>
      </c>
    </row>
    <row r="2626" spans="98:104">
      <c r="CT2626" s="307" t="s">
        <v>3154</v>
      </c>
      <c r="CU2626" s="307" t="s">
        <v>635</v>
      </c>
      <c r="CV2626" s="307" t="s">
        <v>649</v>
      </c>
      <c r="CW2626" s="307" t="s">
        <v>30</v>
      </c>
      <c r="CX2626" s="307">
        <v>0.75167633300000003</v>
      </c>
      <c r="CY2626" s="307">
        <v>0.75167633300000003</v>
      </c>
      <c r="CZ2626" s="307">
        <v>0.75167633300000003</v>
      </c>
    </row>
    <row r="2627" spans="98:104">
      <c r="CT2627" s="307" t="s">
        <v>3155</v>
      </c>
      <c r="CU2627" s="307" t="s">
        <v>635</v>
      </c>
      <c r="CV2627" s="307" t="s">
        <v>649</v>
      </c>
      <c r="CW2627" s="307" t="s">
        <v>49</v>
      </c>
      <c r="CX2627" s="307">
        <v>0.77027173500000001</v>
      </c>
      <c r="CY2627" s="307">
        <v>0.77027173500000001</v>
      </c>
      <c r="CZ2627" s="307">
        <v>0.77027173500000001</v>
      </c>
    </row>
    <row r="2628" spans="98:104">
      <c r="CT2628" s="307" t="s">
        <v>4857</v>
      </c>
      <c r="CU2628" s="307" t="s">
        <v>635</v>
      </c>
      <c r="CV2628" s="307" t="s">
        <v>649</v>
      </c>
      <c r="CW2628" s="307" t="s">
        <v>1066</v>
      </c>
      <c r="CX2628" s="307">
        <v>99.089832883</v>
      </c>
      <c r="CY2628" s="307">
        <v>99.089832883</v>
      </c>
      <c r="CZ2628" s="307">
        <v>99.089832883</v>
      </c>
    </row>
    <row r="2629" spans="98:104">
      <c r="CT2629" s="307" t="s">
        <v>3156</v>
      </c>
      <c r="CU2629" s="307" t="s">
        <v>635</v>
      </c>
      <c r="CV2629" s="307" t="s">
        <v>649</v>
      </c>
      <c r="CW2629" s="307" t="s">
        <v>56</v>
      </c>
      <c r="CX2629" s="307">
        <v>0.82299999999999995</v>
      </c>
      <c r="CY2629" s="307">
        <v>0.82299999999999995</v>
      </c>
      <c r="CZ2629" s="307">
        <v>0.82299999999999995</v>
      </c>
    </row>
    <row r="2630" spans="98:104">
      <c r="CT2630" s="307" t="s">
        <v>4858</v>
      </c>
      <c r="CU2630" s="307" t="s">
        <v>635</v>
      </c>
      <c r="CV2630" s="307" t="s">
        <v>649</v>
      </c>
      <c r="CW2630" s="307" t="s">
        <v>1069</v>
      </c>
      <c r="CX2630" s="307">
        <v>98.991236256999997</v>
      </c>
      <c r="CY2630" s="307">
        <v>98.991236256999997</v>
      </c>
      <c r="CZ2630" s="307">
        <v>98.991236256999997</v>
      </c>
    </row>
    <row r="2631" spans="98:104">
      <c r="CT2631" s="307" t="s">
        <v>4859</v>
      </c>
      <c r="CU2631" s="307" t="s">
        <v>635</v>
      </c>
      <c r="CV2631" s="307" t="s">
        <v>649</v>
      </c>
      <c r="CW2631" s="307" t="s">
        <v>3865</v>
      </c>
      <c r="CX2631" s="307">
        <v>98.882204396000006</v>
      </c>
      <c r="CY2631" s="307">
        <v>98.882204396000006</v>
      </c>
      <c r="CZ2631" s="307">
        <v>98.882204396000006</v>
      </c>
    </row>
    <row r="2632" spans="98:104">
      <c r="CT2632" s="307" t="s">
        <v>4860</v>
      </c>
      <c r="CU2632" s="307" t="s">
        <v>635</v>
      </c>
      <c r="CV2632" s="307" t="s">
        <v>649</v>
      </c>
      <c r="CW2632" s="307" t="s">
        <v>3866</v>
      </c>
      <c r="CX2632" s="307">
        <v>98.772875158999994</v>
      </c>
      <c r="CY2632" s="307">
        <v>98.772875158999994</v>
      </c>
      <c r="CZ2632" s="307">
        <v>98.772875158999994</v>
      </c>
    </row>
    <row r="2633" spans="98:104">
      <c r="CT2633" s="307" t="s">
        <v>5080</v>
      </c>
      <c r="CU2633" s="307" t="s">
        <v>635</v>
      </c>
      <c r="CV2633" s="307" t="s">
        <v>649</v>
      </c>
      <c r="CW2633" s="307" t="s">
        <v>3889</v>
      </c>
      <c r="CX2633" s="307">
        <v>98.667834193000004</v>
      </c>
      <c r="CY2633" s="307">
        <v>98.667834193000004</v>
      </c>
      <c r="CZ2633" s="307">
        <v>98.667834193000004</v>
      </c>
    </row>
    <row r="2634" spans="98:104">
      <c r="CT2634" s="307" t="s">
        <v>3157</v>
      </c>
      <c r="CU2634" s="307" t="s">
        <v>635</v>
      </c>
      <c r="CV2634" s="307" t="s">
        <v>649</v>
      </c>
      <c r="CW2634" s="307" t="s">
        <v>9</v>
      </c>
      <c r="CX2634" s="307">
        <v>1.0350622730000001</v>
      </c>
      <c r="CY2634" s="307">
        <v>1.0350622730000001</v>
      </c>
      <c r="CZ2634" s="307">
        <v>1.0350622730000001</v>
      </c>
    </row>
    <row r="2635" spans="98:104">
      <c r="CT2635" s="307" t="s">
        <v>5127</v>
      </c>
      <c r="CU2635" s="307" t="s">
        <v>635</v>
      </c>
      <c r="CV2635" s="307" t="s">
        <v>649</v>
      </c>
      <c r="CW2635" s="307" t="s">
        <v>3890</v>
      </c>
      <c r="CX2635" s="307">
        <v>98.566458424999993</v>
      </c>
      <c r="CY2635" s="307">
        <v>98.566458424999993</v>
      </c>
      <c r="CZ2635" s="307">
        <v>98.566458424999993</v>
      </c>
    </row>
    <row r="2636" spans="98:104">
      <c r="CT2636" s="307" t="s">
        <v>3158</v>
      </c>
      <c r="CU2636" s="307" t="s">
        <v>635</v>
      </c>
      <c r="CV2636" s="307" t="s">
        <v>649</v>
      </c>
      <c r="CW2636" s="307" t="s">
        <v>10</v>
      </c>
      <c r="CX2636" s="307">
        <v>1.232971582</v>
      </c>
      <c r="CY2636" s="307">
        <v>1.232971582</v>
      </c>
      <c r="CZ2636" s="307">
        <v>1.232971582</v>
      </c>
    </row>
    <row r="2637" spans="98:104">
      <c r="CT2637" s="307" t="s">
        <v>3159</v>
      </c>
      <c r="CU2637" s="307" t="s">
        <v>635</v>
      </c>
      <c r="CV2637" s="307" t="s">
        <v>649</v>
      </c>
      <c r="CW2637" s="307" t="s">
        <v>11</v>
      </c>
      <c r="CX2637" s="307">
        <v>1.3839528679999999</v>
      </c>
      <c r="CY2637" s="307">
        <v>1.3839528679999999</v>
      </c>
      <c r="CZ2637" s="307">
        <v>1.3839528679999999</v>
      </c>
    </row>
    <row r="2638" spans="98:104">
      <c r="CT2638" s="307" t="s">
        <v>3160</v>
      </c>
      <c r="CU2638" s="307" t="s">
        <v>635</v>
      </c>
      <c r="CV2638" s="307" t="s">
        <v>649</v>
      </c>
      <c r="CW2638" s="307" t="s">
        <v>12</v>
      </c>
      <c r="CX2638" s="307">
        <v>1.5299524520000001</v>
      </c>
      <c r="CY2638" s="307">
        <v>1.5299524520000001</v>
      </c>
      <c r="CZ2638" s="307">
        <v>1.5299524520000001</v>
      </c>
    </row>
    <row r="2639" spans="98:104">
      <c r="CT2639" s="307" t="s">
        <v>3161</v>
      </c>
      <c r="CU2639" s="307" t="s">
        <v>635</v>
      </c>
      <c r="CV2639" s="307" t="s">
        <v>649</v>
      </c>
      <c r="CW2639" s="307" t="s">
        <v>13</v>
      </c>
      <c r="CX2639" s="307">
        <v>1.6619696639999999</v>
      </c>
      <c r="CY2639" s="307">
        <v>1.6619696639999999</v>
      </c>
      <c r="CZ2639" s="307">
        <v>1.6619696639999999</v>
      </c>
    </row>
    <row r="2640" spans="98:104">
      <c r="CT2640" s="307" t="s">
        <v>3162</v>
      </c>
      <c r="CU2640" s="307" t="s">
        <v>635</v>
      </c>
      <c r="CV2640" s="307" t="s">
        <v>649</v>
      </c>
      <c r="CW2640" s="307" t="s">
        <v>14</v>
      </c>
      <c r="CX2640" s="307">
        <v>1.7459707719999999</v>
      </c>
      <c r="CY2640" s="307">
        <v>1.7459707719999999</v>
      </c>
      <c r="CZ2640" s="307">
        <v>1.7459707719999999</v>
      </c>
    </row>
    <row r="2641" spans="98:104">
      <c r="CT2641" s="307" t="s">
        <v>3163</v>
      </c>
      <c r="CU2641" s="307" t="s">
        <v>635</v>
      </c>
      <c r="CV2641" s="307" t="s">
        <v>649</v>
      </c>
      <c r="CW2641" s="307" t="s">
        <v>15</v>
      </c>
      <c r="CX2641" s="307">
        <v>1.8399795000000001</v>
      </c>
      <c r="CY2641" s="307">
        <v>1.8399795000000001</v>
      </c>
      <c r="CZ2641" s="307">
        <v>1.8399795000000001</v>
      </c>
    </row>
    <row r="2642" spans="98:104">
      <c r="CT2642" s="307" t="s">
        <v>3164</v>
      </c>
      <c r="CU2642" s="307" t="s">
        <v>635</v>
      </c>
      <c r="CV2642" s="307" t="s">
        <v>649</v>
      </c>
      <c r="CW2642" s="307" t="s">
        <v>16</v>
      </c>
      <c r="CX2642" s="307">
        <v>1.8949917540000001</v>
      </c>
      <c r="CY2642" s="307">
        <v>1.8949917540000001</v>
      </c>
      <c r="CZ2642" s="307">
        <v>1.8949917540000001</v>
      </c>
    </row>
    <row r="2643" spans="98:104">
      <c r="CT2643" s="307" t="s">
        <v>3165</v>
      </c>
      <c r="CU2643" s="307" t="s">
        <v>635</v>
      </c>
      <c r="CV2643" s="307" t="s">
        <v>649</v>
      </c>
      <c r="CW2643" s="307" t="s">
        <v>17</v>
      </c>
      <c r="CX2643" s="307">
        <v>1.940003079</v>
      </c>
      <c r="CY2643" s="307">
        <v>1.940003079</v>
      </c>
      <c r="CZ2643" s="307">
        <v>1.940003079</v>
      </c>
    </row>
    <row r="2644" spans="98:104">
      <c r="CT2644" s="307" t="s">
        <v>3166</v>
      </c>
      <c r="CU2644" s="307" t="s">
        <v>635</v>
      </c>
      <c r="CV2644" s="307" t="s">
        <v>649</v>
      </c>
      <c r="CW2644" s="307" t="s">
        <v>31</v>
      </c>
      <c r="CX2644" s="307">
        <v>2.0038055930000001</v>
      </c>
      <c r="CY2644" s="307">
        <v>2.0038055930000001</v>
      </c>
      <c r="CZ2644" s="307">
        <v>2.0038055930000001</v>
      </c>
    </row>
    <row r="2645" spans="98:104">
      <c r="CT2645" s="307" t="s">
        <v>3167</v>
      </c>
      <c r="CU2645" s="307" t="s">
        <v>635</v>
      </c>
      <c r="CV2645" s="307" t="s">
        <v>649</v>
      </c>
      <c r="CW2645" s="307" t="s">
        <v>18</v>
      </c>
      <c r="CX2645" s="307">
        <v>2.0610354869999998</v>
      </c>
      <c r="CY2645" s="307">
        <v>2.0610354869999998</v>
      </c>
      <c r="CZ2645" s="307">
        <v>2.0610354869999998</v>
      </c>
    </row>
    <row r="2646" spans="98:104">
      <c r="CT2646" s="307" t="s">
        <v>3168</v>
      </c>
      <c r="CU2646" s="307" t="s">
        <v>635</v>
      </c>
      <c r="CV2646" s="307" t="s">
        <v>649</v>
      </c>
      <c r="CW2646" s="307" t="s">
        <v>32</v>
      </c>
      <c r="CX2646" s="307">
        <v>2.085204176</v>
      </c>
      <c r="CY2646" s="307">
        <v>2.085204176</v>
      </c>
      <c r="CZ2646" s="307">
        <v>2.085204176</v>
      </c>
    </row>
    <row r="2647" spans="98:104">
      <c r="CT2647" s="307" t="s">
        <v>3169</v>
      </c>
      <c r="CU2647" s="307" t="s">
        <v>635</v>
      </c>
      <c r="CV2647" s="307" t="s">
        <v>649</v>
      </c>
      <c r="CW2647" s="307" t="s">
        <v>33</v>
      </c>
      <c r="CX2647" s="307">
        <v>2.1032327450000001</v>
      </c>
      <c r="CY2647" s="307">
        <v>2.1032327450000001</v>
      </c>
      <c r="CZ2647" s="307">
        <v>2.1032327450000001</v>
      </c>
    </row>
    <row r="2648" spans="98:104">
      <c r="CT2648" s="307" t="s">
        <v>3170</v>
      </c>
      <c r="CU2648" s="307" t="s">
        <v>635</v>
      </c>
      <c r="CV2648" s="307" t="s">
        <v>649</v>
      </c>
      <c r="CW2648" s="307" t="s">
        <v>19</v>
      </c>
      <c r="CX2648" s="307">
        <v>2.1550656699999999</v>
      </c>
      <c r="CY2648" s="307">
        <v>2.1550656699999999</v>
      </c>
      <c r="CZ2648" s="307">
        <v>2.1550656699999999</v>
      </c>
    </row>
    <row r="2649" spans="98:104">
      <c r="CT2649" s="307" t="s">
        <v>3171</v>
      </c>
      <c r="CU2649" s="307" t="s">
        <v>635</v>
      </c>
      <c r="CV2649" s="307" t="s">
        <v>649</v>
      </c>
      <c r="CW2649" s="307" t="s">
        <v>34</v>
      </c>
      <c r="CX2649" s="307">
        <v>2.1635659650000001</v>
      </c>
      <c r="CY2649" s="307">
        <v>2.1635659650000001</v>
      </c>
      <c r="CZ2649" s="307">
        <v>2.1635659650000001</v>
      </c>
    </row>
    <row r="2650" spans="98:104">
      <c r="CT2650" s="307" t="s">
        <v>3172</v>
      </c>
      <c r="CU2650" s="307" t="s">
        <v>635</v>
      </c>
      <c r="CV2650" s="307" t="s">
        <v>649</v>
      </c>
      <c r="CW2650" s="307" t="s">
        <v>35</v>
      </c>
      <c r="CX2650" s="307">
        <v>2.181152376</v>
      </c>
      <c r="CY2650" s="307">
        <v>2.181152376</v>
      </c>
      <c r="CZ2650" s="307">
        <v>2.181152376</v>
      </c>
    </row>
    <row r="2651" spans="98:104">
      <c r="CT2651" s="307" t="s">
        <v>3173</v>
      </c>
      <c r="CU2651" s="307" t="s">
        <v>635</v>
      </c>
      <c r="CV2651" s="307" t="s">
        <v>649</v>
      </c>
      <c r="CW2651" s="307" t="s">
        <v>36</v>
      </c>
      <c r="CX2651" s="307">
        <v>2.195649591</v>
      </c>
      <c r="CY2651" s="307">
        <v>2.195649591</v>
      </c>
      <c r="CZ2651" s="307">
        <v>2.195649591</v>
      </c>
    </row>
    <row r="2652" spans="98:104">
      <c r="CT2652" s="307" t="s">
        <v>3174</v>
      </c>
      <c r="CU2652" s="307" t="s">
        <v>635</v>
      </c>
      <c r="CV2652" s="307" t="s">
        <v>649</v>
      </c>
      <c r="CW2652" s="307" t="s">
        <v>37</v>
      </c>
      <c r="CX2652" s="307">
        <v>2.2074645099999999</v>
      </c>
      <c r="CY2652" s="307">
        <v>2.2074645099999999</v>
      </c>
      <c r="CZ2652" s="307">
        <v>2.2074645099999999</v>
      </c>
    </row>
    <row r="2653" spans="98:104">
      <c r="CT2653" s="307" t="s">
        <v>3175</v>
      </c>
      <c r="CU2653" s="307" t="s">
        <v>635</v>
      </c>
      <c r="CV2653" s="307" t="s">
        <v>649</v>
      </c>
      <c r="CW2653" s="307" t="s">
        <v>20</v>
      </c>
      <c r="CX2653" s="307">
        <v>2.2169943879999998</v>
      </c>
      <c r="CY2653" s="307">
        <v>2.2169943879999998</v>
      </c>
      <c r="CZ2653" s="307">
        <v>2.2169943879999998</v>
      </c>
    </row>
    <row r="2654" spans="98:104">
      <c r="CT2654" s="307" t="s">
        <v>3176</v>
      </c>
      <c r="CU2654" s="307" t="s">
        <v>635</v>
      </c>
      <c r="CV2654" s="307" t="s">
        <v>649</v>
      </c>
      <c r="CW2654" s="307" t="s">
        <v>38</v>
      </c>
      <c r="CX2654" s="307">
        <v>2.2245462310000002</v>
      </c>
      <c r="CY2654" s="307">
        <v>2.2245462310000002</v>
      </c>
      <c r="CZ2654" s="307">
        <v>2.2245462310000002</v>
      </c>
    </row>
    <row r="2655" spans="98:104">
      <c r="CT2655" s="307" t="s">
        <v>3177</v>
      </c>
      <c r="CU2655" s="307" t="s">
        <v>635</v>
      </c>
      <c r="CV2655" s="307" t="s">
        <v>649</v>
      </c>
      <c r="CW2655" s="307" t="s">
        <v>39</v>
      </c>
      <c r="CX2655" s="307">
        <v>2.2303887009999999</v>
      </c>
      <c r="CY2655" s="307">
        <v>2.2303887009999999</v>
      </c>
      <c r="CZ2655" s="307">
        <v>2.2303887009999999</v>
      </c>
    </row>
    <row r="2656" spans="98:104">
      <c r="CT2656" s="307" t="s">
        <v>3178</v>
      </c>
      <c r="CU2656" s="307" t="s">
        <v>635</v>
      </c>
      <c r="CV2656" s="307" t="s">
        <v>649</v>
      </c>
      <c r="CW2656" s="307" t="s">
        <v>40</v>
      </c>
      <c r="CX2656" s="307">
        <v>2.2348979830000002</v>
      </c>
      <c r="CY2656" s="307">
        <v>2.2348979830000002</v>
      </c>
      <c r="CZ2656" s="307">
        <v>2.2348979830000002</v>
      </c>
    </row>
    <row r="2657" spans="98:104">
      <c r="CT2657" s="307" t="s">
        <v>3179</v>
      </c>
      <c r="CU2657" s="307" t="s">
        <v>635</v>
      </c>
      <c r="CV2657" s="307" t="s">
        <v>649</v>
      </c>
      <c r="CW2657" s="307" t="s">
        <v>41</v>
      </c>
      <c r="CX2657" s="307">
        <v>2.2383414149999998</v>
      </c>
      <c r="CY2657" s="307">
        <v>2.2383414149999998</v>
      </c>
      <c r="CZ2657" s="307">
        <v>2.2383414149999998</v>
      </c>
    </row>
    <row r="2658" spans="98:104">
      <c r="CT2658" s="307" t="s">
        <v>3180</v>
      </c>
      <c r="CU2658" s="307" t="s">
        <v>635</v>
      </c>
      <c r="CV2658" s="307" t="s">
        <v>649</v>
      </c>
      <c r="CW2658" s="307" t="s">
        <v>21</v>
      </c>
      <c r="CX2658" s="307">
        <v>2.240886943</v>
      </c>
      <c r="CY2658" s="307">
        <v>2.240886943</v>
      </c>
      <c r="CZ2658" s="307">
        <v>2.240886943</v>
      </c>
    </row>
    <row r="2659" spans="98:104">
      <c r="CT2659" s="307" t="s">
        <v>3181</v>
      </c>
      <c r="CU2659" s="307" t="s">
        <v>635</v>
      </c>
      <c r="CV2659" s="307" t="s">
        <v>649</v>
      </c>
      <c r="CW2659" s="307" t="s">
        <v>42</v>
      </c>
      <c r="CX2659" s="307">
        <v>2.2427327789999998</v>
      </c>
      <c r="CY2659" s="307">
        <v>2.2427327789999998</v>
      </c>
      <c r="CZ2659" s="307">
        <v>2.2427327789999998</v>
      </c>
    </row>
    <row r="2660" spans="98:104">
      <c r="CT2660" s="307" t="s">
        <v>3182</v>
      </c>
      <c r="CU2660" s="307" t="s">
        <v>635</v>
      </c>
      <c r="CV2660" s="307" t="s">
        <v>649</v>
      </c>
      <c r="CW2660" s="307" t="s">
        <v>43</v>
      </c>
      <c r="CX2660" s="307">
        <v>2.244090114</v>
      </c>
      <c r="CY2660" s="307">
        <v>2.244090114</v>
      </c>
      <c r="CZ2660" s="307">
        <v>2.244090114</v>
      </c>
    </row>
    <row r="2661" spans="98:104">
      <c r="CT2661" s="307" t="s">
        <v>3183</v>
      </c>
      <c r="CU2661" s="307" t="s">
        <v>635</v>
      </c>
      <c r="CV2661" s="307" t="s">
        <v>649</v>
      </c>
      <c r="CW2661" s="307" t="s">
        <v>44</v>
      </c>
      <c r="CX2661" s="307">
        <v>2.2451138730000002</v>
      </c>
      <c r="CY2661" s="307">
        <v>2.2451138730000002</v>
      </c>
      <c r="CZ2661" s="307">
        <v>2.2451138730000002</v>
      </c>
    </row>
    <row r="2662" spans="98:104">
      <c r="CT2662" s="307" t="s">
        <v>3184</v>
      </c>
      <c r="CU2662" s="307" t="s">
        <v>635</v>
      </c>
      <c r="CV2662" s="307" t="s">
        <v>649</v>
      </c>
      <c r="CW2662" s="307" t="s">
        <v>45</v>
      </c>
      <c r="CX2662" s="307">
        <v>2.2329776909999999</v>
      </c>
      <c r="CY2662" s="307">
        <v>2.2329776909999999</v>
      </c>
      <c r="CZ2662" s="307">
        <v>2.2329776909999999</v>
      </c>
    </row>
    <row r="2663" spans="98:104">
      <c r="CT2663" s="307" t="s">
        <v>3185</v>
      </c>
      <c r="CU2663" s="307" t="s">
        <v>635</v>
      </c>
      <c r="CV2663" s="307" t="s">
        <v>649</v>
      </c>
      <c r="CW2663" s="307" t="s">
        <v>22</v>
      </c>
      <c r="CX2663" s="307">
        <v>2.2338062359999999</v>
      </c>
      <c r="CY2663" s="307">
        <v>2.2338062359999999</v>
      </c>
      <c r="CZ2663" s="307">
        <v>2.2338062359999999</v>
      </c>
    </row>
    <row r="2664" spans="98:104">
      <c r="CT2664" s="307" t="s">
        <v>3186</v>
      </c>
      <c r="CU2664" s="307" t="s">
        <v>635</v>
      </c>
      <c r="CV2664" s="307" t="s">
        <v>649</v>
      </c>
      <c r="CW2664" s="307" t="s">
        <v>46</v>
      </c>
      <c r="CX2664" s="307">
        <v>2.2528035399999999</v>
      </c>
      <c r="CY2664" s="307">
        <v>2.2528035399999999</v>
      </c>
      <c r="CZ2664" s="307">
        <v>2.2528035399999999</v>
      </c>
    </row>
    <row r="2665" spans="98:104">
      <c r="CT2665" s="307" t="s">
        <v>3187</v>
      </c>
      <c r="CU2665" s="307" t="s">
        <v>635</v>
      </c>
      <c r="CV2665" s="307" t="s">
        <v>649</v>
      </c>
      <c r="CW2665" s="307" t="s">
        <v>47</v>
      </c>
      <c r="CX2665" s="307">
        <v>2.2468126050000001</v>
      </c>
      <c r="CY2665" s="307">
        <v>2.2468126050000001</v>
      </c>
      <c r="CZ2665" s="307">
        <v>2.2468126050000001</v>
      </c>
    </row>
    <row r="2666" spans="98:104">
      <c r="CT2666" s="307" t="s">
        <v>3188</v>
      </c>
      <c r="CU2666" s="307" t="s">
        <v>635</v>
      </c>
      <c r="CV2666" s="307" t="s">
        <v>649</v>
      </c>
      <c r="CW2666" s="307" t="s">
        <v>48</v>
      </c>
      <c r="CX2666" s="307">
        <v>2.240774182</v>
      </c>
      <c r="CY2666" s="307">
        <v>2.240774182</v>
      </c>
      <c r="CZ2666" s="307">
        <v>2.240774182</v>
      </c>
    </row>
    <row r="2667" spans="98:104">
      <c r="CT2667" s="307" t="s">
        <v>3189</v>
      </c>
      <c r="CU2667" s="307" t="s">
        <v>635</v>
      </c>
      <c r="CV2667" s="307" t="s">
        <v>651</v>
      </c>
      <c r="CW2667" s="307" t="s">
        <v>3</v>
      </c>
      <c r="CX2667" s="307">
        <v>0.65</v>
      </c>
      <c r="CY2667" s="307">
        <v>0.65</v>
      </c>
      <c r="CZ2667" s="307">
        <v>0.65</v>
      </c>
    </row>
    <row r="2668" spans="98:104">
      <c r="CT2668" s="307" t="s">
        <v>3190</v>
      </c>
      <c r="CU2668" s="307" t="s">
        <v>635</v>
      </c>
      <c r="CV2668" s="307" t="s">
        <v>651</v>
      </c>
      <c r="CW2668" s="307" t="s">
        <v>4</v>
      </c>
      <c r="CX2668" s="307">
        <v>0.7</v>
      </c>
      <c r="CY2668" s="307">
        <v>0.7</v>
      </c>
      <c r="CZ2668" s="307">
        <v>0.7</v>
      </c>
    </row>
    <row r="2669" spans="98:104">
      <c r="CT2669" s="307" t="s">
        <v>3191</v>
      </c>
      <c r="CU2669" s="307" t="s">
        <v>635</v>
      </c>
      <c r="CV2669" s="307" t="s">
        <v>651</v>
      </c>
      <c r="CW2669" s="307" t="s">
        <v>23</v>
      </c>
      <c r="CX2669" s="307">
        <v>0.75</v>
      </c>
      <c r="CY2669" s="307">
        <v>0.75</v>
      </c>
      <c r="CZ2669" s="307">
        <v>0.75</v>
      </c>
    </row>
    <row r="2670" spans="98:104">
      <c r="CT2670" s="307" t="s">
        <v>3192</v>
      </c>
      <c r="CU2670" s="307" t="s">
        <v>635</v>
      </c>
      <c r="CV2670" s="307" t="s">
        <v>651</v>
      </c>
      <c r="CW2670" s="307" t="s">
        <v>5</v>
      </c>
      <c r="CX2670" s="307">
        <v>0.76309635399999998</v>
      </c>
      <c r="CY2670" s="307">
        <v>0.76309635399999998</v>
      </c>
      <c r="CZ2670" s="307">
        <v>0.76309635399999998</v>
      </c>
    </row>
    <row r="2671" spans="98:104">
      <c r="CT2671" s="307" t="s">
        <v>3193</v>
      </c>
      <c r="CU2671" s="307" t="s">
        <v>635</v>
      </c>
      <c r="CV2671" s="307" t="s">
        <v>651</v>
      </c>
      <c r="CW2671" s="307" t="s">
        <v>6</v>
      </c>
      <c r="CX2671" s="307">
        <v>0.76964865999999998</v>
      </c>
      <c r="CY2671" s="307">
        <v>0.76964865999999998</v>
      </c>
      <c r="CZ2671" s="307">
        <v>0.76964865999999998</v>
      </c>
    </row>
    <row r="2672" spans="98:104">
      <c r="CT2672" s="307" t="s">
        <v>3194</v>
      </c>
      <c r="CU2672" s="307" t="s">
        <v>635</v>
      </c>
      <c r="CV2672" s="307" t="s">
        <v>651</v>
      </c>
      <c r="CW2672" s="307" t="s">
        <v>24</v>
      </c>
      <c r="CX2672" s="307">
        <v>0.78053406800000003</v>
      </c>
      <c r="CY2672" s="307">
        <v>0.78053406800000003</v>
      </c>
      <c r="CZ2672" s="307">
        <v>0.78053406800000003</v>
      </c>
    </row>
    <row r="2673" spans="98:104">
      <c r="CT2673" s="307" t="s">
        <v>3195</v>
      </c>
      <c r="CU2673" s="307" t="s">
        <v>635</v>
      </c>
      <c r="CV2673" s="307" t="s">
        <v>651</v>
      </c>
      <c r="CW2673" s="307" t="s">
        <v>7</v>
      </c>
      <c r="CX2673" s="307">
        <v>0.80089999999999995</v>
      </c>
      <c r="CY2673" s="307">
        <v>0.80089999999999995</v>
      </c>
      <c r="CZ2673" s="307">
        <v>0.80089999999999995</v>
      </c>
    </row>
    <row r="2674" spans="98:104">
      <c r="CT2674" s="307" t="s">
        <v>3196</v>
      </c>
      <c r="CU2674" s="307" t="s">
        <v>635</v>
      </c>
      <c r="CV2674" s="307" t="s">
        <v>651</v>
      </c>
      <c r="CW2674" s="307" t="s">
        <v>8</v>
      </c>
      <c r="CX2674" s="307">
        <v>0.88349999999999995</v>
      </c>
      <c r="CY2674" s="307">
        <v>0.88349999999999995</v>
      </c>
      <c r="CZ2674" s="307">
        <v>0.88349999999999995</v>
      </c>
    </row>
    <row r="2675" spans="98:104">
      <c r="CT2675" s="307" t="s">
        <v>3197</v>
      </c>
      <c r="CU2675" s="307" t="s">
        <v>635</v>
      </c>
      <c r="CV2675" s="307" t="s">
        <v>651</v>
      </c>
      <c r="CW2675" s="307" t="s">
        <v>25</v>
      </c>
      <c r="CX2675" s="307">
        <v>0.91120000000000001</v>
      </c>
      <c r="CY2675" s="307">
        <v>0.91120000000000001</v>
      </c>
      <c r="CZ2675" s="307">
        <v>0.91120000000000001</v>
      </c>
    </row>
    <row r="2676" spans="98:104">
      <c r="CT2676" s="307" t="s">
        <v>3198</v>
      </c>
      <c r="CU2676" s="307" t="s">
        <v>635</v>
      </c>
      <c r="CV2676" s="307" t="s">
        <v>651</v>
      </c>
      <c r="CW2676" s="307" t="s">
        <v>26</v>
      </c>
      <c r="CX2676" s="307">
        <v>0.92719184399999999</v>
      </c>
      <c r="CY2676" s="307">
        <v>0.92719184399999999</v>
      </c>
      <c r="CZ2676" s="307">
        <v>0.92719184399999999</v>
      </c>
    </row>
    <row r="2677" spans="98:104">
      <c r="CT2677" s="307" t="s">
        <v>3199</v>
      </c>
      <c r="CU2677" s="307" t="s">
        <v>635</v>
      </c>
      <c r="CV2677" s="307" t="s">
        <v>651</v>
      </c>
      <c r="CW2677" s="307" t="s">
        <v>27</v>
      </c>
      <c r="CX2677" s="307">
        <v>0.93591860599999999</v>
      </c>
      <c r="CY2677" s="307">
        <v>0.93591860599999999</v>
      </c>
      <c r="CZ2677" s="307">
        <v>0.93591860599999999</v>
      </c>
    </row>
    <row r="2678" spans="98:104">
      <c r="CT2678" s="307" t="s">
        <v>3200</v>
      </c>
      <c r="CU2678" s="307" t="s">
        <v>635</v>
      </c>
      <c r="CV2678" s="307" t="s">
        <v>651</v>
      </c>
      <c r="CW2678" s="307" t="s">
        <v>28</v>
      </c>
      <c r="CX2678" s="307">
        <v>0.95117990399999996</v>
      </c>
      <c r="CY2678" s="307">
        <v>0.95117990399999996</v>
      </c>
      <c r="CZ2678" s="307">
        <v>0.95117990399999996</v>
      </c>
    </row>
    <row r="2679" spans="98:104">
      <c r="CT2679" s="307" t="s">
        <v>3201</v>
      </c>
      <c r="CU2679" s="307" t="s">
        <v>635</v>
      </c>
      <c r="CV2679" s="307" t="s">
        <v>651</v>
      </c>
      <c r="CW2679" s="307" t="s">
        <v>29</v>
      </c>
      <c r="CX2679" s="307">
        <v>0.96837503899999999</v>
      </c>
      <c r="CY2679" s="307">
        <v>0.96837503899999999</v>
      </c>
      <c r="CZ2679" s="307">
        <v>0.96837503899999999</v>
      </c>
    </row>
    <row r="2680" spans="98:104">
      <c r="CT2680" s="307" t="s">
        <v>5128</v>
      </c>
      <c r="CU2680" s="307" t="s">
        <v>635</v>
      </c>
      <c r="CV2680" s="307" t="s">
        <v>651</v>
      </c>
      <c r="CW2680" s="307" t="s">
        <v>5101</v>
      </c>
      <c r="CX2680" s="307">
        <v>0.96837503899999999</v>
      </c>
      <c r="CY2680" s="307">
        <v>0.96837503899999999</v>
      </c>
      <c r="CZ2680" s="307">
        <v>0.96837503899999999</v>
      </c>
    </row>
    <row r="2681" spans="98:104">
      <c r="CT2681" s="307" t="s">
        <v>3202</v>
      </c>
      <c r="CU2681" s="307" t="s">
        <v>635</v>
      </c>
      <c r="CV2681" s="307" t="s">
        <v>651</v>
      </c>
      <c r="CW2681" s="307" t="s">
        <v>30</v>
      </c>
      <c r="CX2681" s="307">
        <v>0.98463527100000003</v>
      </c>
      <c r="CY2681" s="307">
        <v>0.98463527100000003</v>
      </c>
      <c r="CZ2681" s="307">
        <v>0.98463527100000003</v>
      </c>
    </row>
    <row r="2682" spans="98:104">
      <c r="CT2682" s="307" t="s">
        <v>3203</v>
      </c>
      <c r="CU2682" s="307" t="s">
        <v>635</v>
      </c>
      <c r="CV2682" s="307" t="s">
        <v>651</v>
      </c>
      <c r="CW2682" s="307" t="s">
        <v>49</v>
      </c>
      <c r="CX2682" s="307">
        <v>1.0007369559999999</v>
      </c>
      <c r="CY2682" s="307">
        <v>1.0007369559999999</v>
      </c>
      <c r="CZ2682" s="307">
        <v>1.0007369559999999</v>
      </c>
    </row>
    <row r="2683" spans="98:104">
      <c r="CT2683" s="307" t="s">
        <v>4861</v>
      </c>
      <c r="CU2683" s="307" t="s">
        <v>635</v>
      </c>
      <c r="CV2683" s="307" t="s">
        <v>651</v>
      </c>
      <c r="CW2683" s="307" t="s">
        <v>1066</v>
      </c>
      <c r="CX2683" s="307">
        <v>98.878757956000001</v>
      </c>
      <c r="CY2683" s="307">
        <v>98.878757956000001</v>
      </c>
      <c r="CZ2683" s="307">
        <v>98.878757956000001</v>
      </c>
    </row>
    <row r="2684" spans="98:104">
      <c r="CT2684" s="307" t="s">
        <v>3204</v>
      </c>
      <c r="CU2684" s="307" t="s">
        <v>635</v>
      </c>
      <c r="CV2684" s="307" t="s">
        <v>651</v>
      </c>
      <c r="CW2684" s="307" t="s">
        <v>56</v>
      </c>
      <c r="CX2684" s="307">
        <v>1.0471321650000001</v>
      </c>
      <c r="CY2684" s="307">
        <v>1.0471321650000001</v>
      </c>
      <c r="CZ2684" s="307">
        <v>1.0471321650000001</v>
      </c>
    </row>
    <row r="2685" spans="98:104">
      <c r="CT2685" s="307" t="s">
        <v>4862</v>
      </c>
      <c r="CU2685" s="307" t="s">
        <v>635</v>
      </c>
      <c r="CV2685" s="307" t="s">
        <v>651</v>
      </c>
      <c r="CW2685" s="307" t="s">
        <v>1069</v>
      </c>
      <c r="CX2685" s="307">
        <v>98.784670609000003</v>
      </c>
      <c r="CY2685" s="307">
        <v>98.784670609000003</v>
      </c>
      <c r="CZ2685" s="307">
        <v>98.784670609000003</v>
      </c>
    </row>
    <row r="2686" spans="98:104">
      <c r="CT2686" s="307" t="s">
        <v>4863</v>
      </c>
      <c r="CU2686" s="307" t="s">
        <v>635</v>
      </c>
      <c r="CV2686" s="307" t="s">
        <v>651</v>
      </c>
      <c r="CW2686" s="307" t="s">
        <v>3865</v>
      </c>
      <c r="CX2686" s="307">
        <v>98.665803009000001</v>
      </c>
      <c r="CY2686" s="307">
        <v>98.665803009000001</v>
      </c>
      <c r="CZ2686" s="307">
        <v>98.665803009000001</v>
      </c>
    </row>
    <row r="2687" spans="98:104">
      <c r="CT2687" s="307" t="s">
        <v>4864</v>
      </c>
      <c r="CU2687" s="307" t="s">
        <v>635</v>
      </c>
      <c r="CV2687" s="307" t="s">
        <v>651</v>
      </c>
      <c r="CW2687" s="307" t="s">
        <v>3866</v>
      </c>
      <c r="CX2687" s="307">
        <v>98.577191377999995</v>
      </c>
      <c r="CY2687" s="307">
        <v>98.577191377999995</v>
      </c>
      <c r="CZ2687" s="307">
        <v>98.577191377999995</v>
      </c>
    </row>
    <row r="2688" spans="98:104">
      <c r="CT2688" s="307" t="s">
        <v>5081</v>
      </c>
      <c r="CU2688" s="307" t="s">
        <v>635</v>
      </c>
      <c r="CV2688" s="307" t="s">
        <v>651</v>
      </c>
      <c r="CW2688" s="307" t="s">
        <v>3889</v>
      </c>
      <c r="CX2688" s="307">
        <v>98.473771944000006</v>
      </c>
      <c r="CY2688" s="307">
        <v>98.473771944000006</v>
      </c>
      <c r="CZ2688" s="307">
        <v>98.473771944000006</v>
      </c>
    </row>
    <row r="2689" spans="98:104">
      <c r="CT2689" s="307" t="s">
        <v>3205</v>
      </c>
      <c r="CU2689" s="307" t="s">
        <v>635</v>
      </c>
      <c r="CV2689" s="307" t="s">
        <v>651</v>
      </c>
      <c r="CW2689" s="307" t="s">
        <v>9</v>
      </c>
      <c r="CX2689" s="307">
        <v>1.2486932369999999</v>
      </c>
      <c r="CY2689" s="307">
        <v>1.2486932369999999</v>
      </c>
      <c r="CZ2689" s="307">
        <v>1.2486932369999999</v>
      </c>
    </row>
    <row r="2690" spans="98:104">
      <c r="CT2690" s="307" t="s">
        <v>5129</v>
      </c>
      <c r="CU2690" s="307" t="s">
        <v>635</v>
      </c>
      <c r="CV2690" s="307" t="s">
        <v>651</v>
      </c>
      <c r="CW2690" s="307" t="s">
        <v>3890</v>
      </c>
      <c r="CX2690" s="307">
        <v>98.370543671999997</v>
      </c>
      <c r="CY2690" s="307">
        <v>98.370543671999997</v>
      </c>
      <c r="CZ2690" s="307">
        <v>98.370543671999997</v>
      </c>
    </row>
    <row r="2691" spans="98:104">
      <c r="CT2691" s="307" t="s">
        <v>3206</v>
      </c>
      <c r="CU2691" s="307" t="s">
        <v>635</v>
      </c>
      <c r="CV2691" s="307" t="s">
        <v>651</v>
      </c>
      <c r="CW2691" s="307" t="s">
        <v>10</v>
      </c>
      <c r="CX2691" s="307">
        <v>1.427</v>
      </c>
      <c r="CY2691" s="307">
        <v>1.427</v>
      </c>
      <c r="CZ2691" s="307">
        <v>1.427</v>
      </c>
    </row>
    <row r="2692" spans="98:104">
      <c r="CT2692" s="307" t="s">
        <v>3207</v>
      </c>
      <c r="CU2692" s="307" t="s">
        <v>635</v>
      </c>
      <c r="CV2692" s="307" t="s">
        <v>651</v>
      </c>
      <c r="CW2692" s="307" t="s">
        <v>11</v>
      </c>
      <c r="CX2692" s="307">
        <v>1.573</v>
      </c>
      <c r="CY2692" s="307">
        <v>1.573</v>
      </c>
      <c r="CZ2692" s="307">
        <v>1.573</v>
      </c>
    </row>
    <row r="2693" spans="98:104">
      <c r="CT2693" s="307" t="s">
        <v>3208</v>
      </c>
      <c r="CU2693" s="307" t="s">
        <v>635</v>
      </c>
      <c r="CV2693" s="307" t="s">
        <v>651</v>
      </c>
      <c r="CW2693" s="307" t="s">
        <v>12</v>
      </c>
      <c r="CX2693" s="307">
        <v>1.6919999999999999</v>
      </c>
      <c r="CY2693" s="307">
        <v>1.6919999999999999</v>
      </c>
      <c r="CZ2693" s="307">
        <v>1.6919999999999999</v>
      </c>
    </row>
    <row r="2694" spans="98:104">
      <c r="CT2694" s="307" t="s">
        <v>3209</v>
      </c>
      <c r="CU2694" s="307" t="s">
        <v>635</v>
      </c>
      <c r="CV2694" s="307" t="s">
        <v>651</v>
      </c>
      <c r="CW2694" s="307" t="s">
        <v>13</v>
      </c>
      <c r="CX2694" s="307">
        <v>1.798000002</v>
      </c>
      <c r="CY2694" s="307">
        <v>1.798000002</v>
      </c>
      <c r="CZ2694" s="307">
        <v>1.798000002</v>
      </c>
    </row>
    <row r="2695" spans="98:104">
      <c r="CT2695" s="307" t="s">
        <v>3210</v>
      </c>
      <c r="CU2695" s="307" t="s">
        <v>635</v>
      </c>
      <c r="CV2695" s="307" t="s">
        <v>651</v>
      </c>
      <c r="CW2695" s="307" t="s">
        <v>14</v>
      </c>
      <c r="CX2695" s="307">
        <v>1.8870000010000001</v>
      </c>
      <c r="CY2695" s="307">
        <v>1.8870000010000001</v>
      </c>
      <c r="CZ2695" s="307">
        <v>1.8870000010000001</v>
      </c>
    </row>
    <row r="2696" spans="98:104">
      <c r="CT2696" s="307" t="s">
        <v>3211</v>
      </c>
      <c r="CU2696" s="307" t="s">
        <v>635</v>
      </c>
      <c r="CV2696" s="307" t="s">
        <v>651</v>
      </c>
      <c r="CW2696" s="307" t="s">
        <v>15</v>
      </c>
      <c r="CX2696" s="307">
        <v>1.9610000009999999</v>
      </c>
      <c r="CY2696" s="307">
        <v>1.9610000009999999</v>
      </c>
      <c r="CZ2696" s="307">
        <v>1.9610000009999999</v>
      </c>
    </row>
    <row r="2697" spans="98:104">
      <c r="CT2697" s="307" t="s">
        <v>3212</v>
      </c>
      <c r="CU2697" s="307" t="s">
        <v>635</v>
      </c>
      <c r="CV2697" s="307" t="s">
        <v>651</v>
      </c>
      <c r="CW2697" s="307" t="s">
        <v>16</v>
      </c>
      <c r="CX2697" s="307">
        <v>2.0230000010000002</v>
      </c>
      <c r="CY2697" s="307">
        <v>2.0230000010000002</v>
      </c>
      <c r="CZ2697" s="307">
        <v>2.0230000010000002</v>
      </c>
    </row>
    <row r="2698" spans="98:104">
      <c r="CT2698" s="307" t="s">
        <v>3213</v>
      </c>
      <c r="CU2698" s="307" t="s">
        <v>635</v>
      </c>
      <c r="CV2698" s="307" t="s">
        <v>651</v>
      </c>
      <c r="CW2698" s="307" t="s">
        <v>17</v>
      </c>
      <c r="CX2698" s="307">
        <v>2.0760000010000002</v>
      </c>
      <c r="CY2698" s="307">
        <v>2.0760000010000002</v>
      </c>
      <c r="CZ2698" s="307">
        <v>2.0760000010000002</v>
      </c>
    </row>
    <row r="2699" spans="98:104">
      <c r="CT2699" s="307" t="s">
        <v>3214</v>
      </c>
      <c r="CU2699" s="307" t="s">
        <v>635</v>
      </c>
      <c r="CV2699" s="307" t="s">
        <v>651</v>
      </c>
      <c r="CW2699" s="307" t="s">
        <v>31</v>
      </c>
      <c r="CX2699" s="307">
        <v>2.122095721</v>
      </c>
      <c r="CY2699" s="307">
        <v>2.122095721</v>
      </c>
      <c r="CZ2699" s="307">
        <v>2.122095721</v>
      </c>
    </row>
    <row r="2700" spans="98:104">
      <c r="CT2700" s="307" t="s">
        <v>3215</v>
      </c>
      <c r="CU2700" s="307" t="s">
        <v>635</v>
      </c>
      <c r="CV2700" s="307" t="s">
        <v>651</v>
      </c>
      <c r="CW2700" s="307" t="s">
        <v>18</v>
      </c>
      <c r="CX2700" s="307">
        <v>2.161999995</v>
      </c>
      <c r="CY2700" s="307">
        <v>2.161999995</v>
      </c>
      <c r="CZ2700" s="307">
        <v>2.161999995</v>
      </c>
    </row>
    <row r="2701" spans="98:104">
      <c r="CT2701" s="307" t="s">
        <v>3216</v>
      </c>
      <c r="CU2701" s="307" t="s">
        <v>635</v>
      </c>
      <c r="CV2701" s="307" t="s">
        <v>651</v>
      </c>
      <c r="CW2701" s="307" t="s">
        <v>32</v>
      </c>
      <c r="CX2701" s="307">
        <v>2.195520551</v>
      </c>
      <c r="CY2701" s="307">
        <v>2.195520551</v>
      </c>
      <c r="CZ2701" s="307">
        <v>2.195520551</v>
      </c>
    </row>
    <row r="2702" spans="98:104">
      <c r="CT2702" s="307" t="s">
        <v>3217</v>
      </c>
      <c r="CU2702" s="307" t="s">
        <v>635</v>
      </c>
      <c r="CV2702" s="307" t="s">
        <v>651</v>
      </c>
      <c r="CW2702" s="307" t="s">
        <v>33</v>
      </c>
      <c r="CX2702" s="307">
        <v>2.2238145189999998</v>
      </c>
      <c r="CY2702" s="307">
        <v>2.2238145189999998</v>
      </c>
      <c r="CZ2702" s="307">
        <v>2.2238145189999998</v>
      </c>
    </row>
    <row r="2703" spans="98:104">
      <c r="CT2703" s="307" t="s">
        <v>3218</v>
      </c>
      <c r="CU2703" s="307" t="s">
        <v>635</v>
      </c>
      <c r="CV2703" s="307" t="s">
        <v>651</v>
      </c>
      <c r="CW2703" s="307" t="s">
        <v>19</v>
      </c>
      <c r="CX2703" s="307">
        <v>2.2479999949999998</v>
      </c>
      <c r="CY2703" s="307">
        <v>2.2479999949999998</v>
      </c>
      <c r="CZ2703" s="307">
        <v>2.2479999949999998</v>
      </c>
    </row>
    <row r="2704" spans="98:104">
      <c r="CT2704" s="307" t="s">
        <v>3219</v>
      </c>
      <c r="CU2704" s="307" t="s">
        <v>635</v>
      </c>
      <c r="CV2704" s="307" t="s">
        <v>651</v>
      </c>
      <c r="CW2704" s="307" t="s">
        <v>34</v>
      </c>
      <c r="CX2704" s="307">
        <v>2.2689883160000002</v>
      </c>
      <c r="CY2704" s="307">
        <v>2.2689883160000002</v>
      </c>
      <c r="CZ2704" s="307">
        <v>2.2689883160000002</v>
      </c>
    </row>
    <row r="2705" spans="98:104">
      <c r="CT2705" s="307" t="s">
        <v>3220</v>
      </c>
      <c r="CU2705" s="307" t="s">
        <v>635</v>
      </c>
      <c r="CV2705" s="307" t="s">
        <v>651</v>
      </c>
      <c r="CW2705" s="307" t="s">
        <v>35</v>
      </c>
      <c r="CX2705" s="307">
        <v>2.2869536959999999</v>
      </c>
      <c r="CY2705" s="307">
        <v>2.2869536959999999</v>
      </c>
      <c r="CZ2705" s="307">
        <v>2.2869536959999999</v>
      </c>
    </row>
    <row r="2706" spans="98:104">
      <c r="CT2706" s="307" t="s">
        <v>3221</v>
      </c>
      <c r="CU2706" s="307" t="s">
        <v>635</v>
      </c>
      <c r="CV2706" s="307" t="s">
        <v>651</v>
      </c>
      <c r="CW2706" s="307" t="s">
        <v>36</v>
      </c>
      <c r="CX2706" s="307">
        <v>2.3024651629999999</v>
      </c>
      <c r="CY2706" s="307">
        <v>2.3024651629999999</v>
      </c>
      <c r="CZ2706" s="307">
        <v>2.3024651629999999</v>
      </c>
    </row>
    <row r="2707" spans="98:104">
      <c r="CT2707" s="307" t="s">
        <v>3222</v>
      </c>
      <c r="CU2707" s="307" t="s">
        <v>635</v>
      </c>
      <c r="CV2707" s="307" t="s">
        <v>651</v>
      </c>
      <c r="CW2707" s="307" t="s">
        <v>37</v>
      </c>
      <c r="CX2707" s="307">
        <v>2.3157316469999998</v>
      </c>
      <c r="CY2707" s="307">
        <v>2.3157316469999998</v>
      </c>
      <c r="CZ2707" s="307">
        <v>2.3157316469999998</v>
      </c>
    </row>
    <row r="2708" spans="98:104">
      <c r="CT2708" s="307" t="s">
        <v>3223</v>
      </c>
      <c r="CU2708" s="307" t="s">
        <v>635</v>
      </c>
      <c r="CV2708" s="307" t="s">
        <v>651</v>
      </c>
      <c r="CW2708" s="307" t="s">
        <v>20</v>
      </c>
      <c r="CX2708" s="307">
        <v>2.3269999929999998</v>
      </c>
      <c r="CY2708" s="307">
        <v>2.3269999929999998</v>
      </c>
      <c r="CZ2708" s="307">
        <v>2.3269999929999998</v>
      </c>
    </row>
    <row r="2709" spans="98:104">
      <c r="CT2709" s="307" t="s">
        <v>3224</v>
      </c>
      <c r="CU2709" s="307" t="s">
        <v>635</v>
      </c>
      <c r="CV2709" s="307" t="s">
        <v>651</v>
      </c>
      <c r="CW2709" s="307" t="s">
        <v>38</v>
      </c>
      <c r="CX2709" s="307">
        <v>2.3364621620000001</v>
      </c>
      <c r="CY2709" s="307">
        <v>2.3364621620000001</v>
      </c>
      <c r="CZ2709" s="307">
        <v>2.3364621620000001</v>
      </c>
    </row>
    <row r="2710" spans="98:104">
      <c r="CT2710" s="307" t="s">
        <v>3225</v>
      </c>
      <c r="CU2710" s="307" t="s">
        <v>635</v>
      </c>
      <c r="CV2710" s="307" t="s">
        <v>651</v>
      </c>
      <c r="CW2710" s="307" t="s">
        <v>39</v>
      </c>
      <c r="CX2710" s="307">
        <v>2.3442998519999998</v>
      </c>
      <c r="CY2710" s="307">
        <v>2.3442998519999998</v>
      </c>
      <c r="CZ2710" s="307">
        <v>2.3442998519999998</v>
      </c>
    </row>
    <row r="2711" spans="98:104">
      <c r="CT2711" s="307" t="s">
        <v>3226</v>
      </c>
      <c r="CU2711" s="307" t="s">
        <v>635</v>
      </c>
      <c r="CV2711" s="307" t="s">
        <v>651</v>
      </c>
      <c r="CW2711" s="307" t="s">
        <v>40</v>
      </c>
      <c r="CX2711" s="307">
        <v>2.3508606109999999</v>
      </c>
      <c r="CY2711" s="307">
        <v>2.3508606109999999</v>
      </c>
      <c r="CZ2711" s="307">
        <v>2.3508606109999999</v>
      </c>
    </row>
    <row r="2712" spans="98:104">
      <c r="CT2712" s="307" t="s">
        <v>3227</v>
      </c>
      <c r="CU2712" s="307" t="s">
        <v>635</v>
      </c>
      <c r="CV2712" s="307" t="s">
        <v>651</v>
      </c>
      <c r="CW2712" s="307" t="s">
        <v>41</v>
      </c>
      <c r="CX2712" s="307">
        <v>2.3563872510000001</v>
      </c>
      <c r="CY2712" s="307">
        <v>2.3563872510000001</v>
      </c>
      <c r="CZ2712" s="307">
        <v>2.3563872510000001</v>
      </c>
    </row>
    <row r="2713" spans="98:104">
      <c r="CT2713" s="307" t="s">
        <v>3228</v>
      </c>
      <c r="CU2713" s="307" t="s">
        <v>635</v>
      </c>
      <c r="CV2713" s="307" t="s">
        <v>651</v>
      </c>
      <c r="CW2713" s="307" t="s">
        <v>21</v>
      </c>
      <c r="CX2713" s="307">
        <v>2.3609999909999999</v>
      </c>
      <c r="CY2713" s="307">
        <v>2.3609999909999999</v>
      </c>
      <c r="CZ2713" s="307">
        <v>2.3609999909999999</v>
      </c>
    </row>
    <row r="2714" spans="98:104">
      <c r="CT2714" s="307" t="s">
        <v>3229</v>
      </c>
      <c r="CU2714" s="307" t="s">
        <v>635</v>
      </c>
      <c r="CV2714" s="307" t="s">
        <v>651</v>
      </c>
      <c r="CW2714" s="307" t="s">
        <v>42</v>
      </c>
      <c r="CX2714" s="307">
        <v>2.3648651269999998</v>
      </c>
      <c r="CY2714" s="307">
        <v>2.3648651269999998</v>
      </c>
      <c r="CZ2714" s="307">
        <v>2.3648651269999998</v>
      </c>
    </row>
    <row r="2715" spans="98:104">
      <c r="CT2715" s="307" t="s">
        <v>3230</v>
      </c>
      <c r="CU2715" s="307" t="s">
        <v>635</v>
      </c>
      <c r="CV2715" s="307" t="s">
        <v>651</v>
      </c>
      <c r="CW2715" s="307" t="s">
        <v>43</v>
      </c>
      <c r="CX2715" s="307">
        <v>2.3681231720000002</v>
      </c>
      <c r="CY2715" s="307">
        <v>2.3681231720000002</v>
      </c>
      <c r="CZ2715" s="307">
        <v>2.3681231720000002</v>
      </c>
    </row>
    <row r="2716" spans="98:104">
      <c r="CT2716" s="307" t="s">
        <v>3231</v>
      </c>
      <c r="CU2716" s="307" t="s">
        <v>635</v>
      </c>
      <c r="CV2716" s="307" t="s">
        <v>651</v>
      </c>
      <c r="CW2716" s="307" t="s">
        <v>44</v>
      </c>
      <c r="CX2716" s="307">
        <v>2.3708235169999998</v>
      </c>
      <c r="CY2716" s="307">
        <v>2.3708235169999998</v>
      </c>
      <c r="CZ2716" s="307">
        <v>2.3708235169999998</v>
      </c>
    </row>
    <row r="2717" spans="98:104">
      <c r="CT2717" s="307" t="s">
        <v>3232</v>
      </c>
      <c r="CU2717" s="307" t="s">
        <v>635</v>
      </c>
      <c r="CV2717" s="307" t="s">
        <v>651</v>
      </c>
      <c r="CW2717" s="307" t="s">
        <v>45</v>
      </c>
      <c r="CX2717" s="307">
        <v>2.3730944150000002</v>
      </c>
      <c r="CY2717" s="307">
        <v>2.3730944150000002</v>
      </c>
      <c r="CZ2717" s="307">
        <v>2.3730944150000002</v>
      </c>
    </row>
    <row r="2718" spans="98:104">
      <c r="CT2718" s="307" t="s">
        <v>3233</v>
      </c>
      <c r="CU2718" s="307" t="s">
        <v>635</v>
      </c>
      <c r="CV2718" s="307" t="s">
        <v>651</v>
      </c>
      <c r="CW2718" s="307" t="s">
        <v>22</v>
      </c>
      <c r="CX2718" s="307">
        <v>2.3749999919999998</v>
      </c>
      <c r="CY2718" s="307">
        <v>2.3749999919999998</v>
      </c>
      <c r="CZ2718" s="307">
        <v>2.3749999919999998</v>
      </c>
    </row>
    <row r="2719" spans="98:104">
      <c r="CT2719" s="307" t="s">
        <v>3234</v>
      </c>
      <c r="CU2719" s="307" t="s">
        <v>635</v>
      </c>
      <c r="CV2719" s="307" t="s">
        <v>651</v>
      </c>
      <c r="CW2719" s="307" t="s">
        <v>46</v>
      </c>
      <c r="CX2719" s="307">
        <v>2.3809999909999999</v>
      </c>
      <c r="CY2719" s="307">
        <v>2.3809999909999999</v>
      </c>
      <c r="CZ2719" s="307">
        <v>2.3809999909999999</v>
      </c>
    </row>
    <row r="2720" spans="98:104">
      <c r="CT2720" s="307" t="s">
        <v>3235</v>
      </c>
      <c r="CU2720" s="307" t="s">
        <v>635</v>
      </c>
      <c r="CV2720" s="307" t="s">
        <v>651</v>
      </c>
      <c r="CW2720" s="307" t="s">
        <v>47</v>
      </c>
      <c r="CX2720" s="307">
        <v>2.3749999910000001</v>
      </c>
      <c r="CY2720" s="307">
        <v>2.3749999910000001</v>
      </c>
      <c r="CZ2720" s="307">
        <v>2.3749999910000001</v>
      </c>
    </row>
    <row r="2721" spans="98:104">
      <c r="CT2721" s="307" t="s">
        <v>3236</v>
      </c>
      <c r="CU2721" s="307" t="s">
        <v>635</v>
      </c>
      <c r="CV2721" s="307" t="s">
        <v>651</v>
      </c>
      <c r="CW2721" s="307" t="s">
        <v>48</v>
      </c>
      <c r="CX2721" s="307">
        <v>2.3695336390000001</v>
      </c>
      <c r="CY2721" s="307">
        <v>2.3695336390000001</v>
      </c>
      <c r="CZ2721" s="307">
        <v>2.3695336390000001</v>
      </c>
    </row>
    <row r="2722" spans="98:104">
      <c r="CT2722" s="307" t="s">
        <v>3237</v>
      </c>
      <c r="CU2722" s="307" t="s">
        <v>635</v>
      </c>
      <c r="CV2722" s="307" t="s">
        <v>653</v>
      </c>
      <c r="CW2722" s="307" t="s">
        <v>3</v>
      </c>
      <c r="CX2722" s="307">
        <v>0.65</v>
      </c>
      <c r="CY2722" s="307">
        <v>0.65</v>
      </c>
      <c r="CZ2722" s="307">
        <v>0.65</v>
      </c>
    </row>
    <row r="2723" spans="98:104">
      <c r="CT2723" s="307" t="s">
        <v>3238</v>
      </c>
      <c r="CU2723" s="307" t="s">
        <v>635</v>
      </c>
      <c r="CV2723" s="307" t="s">
        <v>653</v>
      </c>
      <c r="CW2723" s="307" t="s">
        <v>4</v>
      </c>
      <c r="CX2723" s="307">
        <v>0.7</v>
      </c>
      <c r="CY2723" s="307">
        <v>0.7</v>
      </c>
      <c r="CZ2723" s="307">
        <v>0.7</v>
      </c>
    </row>
    <row r="2724" spans="98:104">
      <c r="CT2724" s="307" t="s">
        <v>3239</v>
      </c>
      <c r="CU2724" s="307" t="s">
        <v>635</v>
      </c>
      <c r="CV2724" s="307" t="s">
        <v>653</v>
      </c>
      <c r="CW2724" s="307" t="s">
        <v>23</v>
      </c>
      <c r="CX2724" s="307">
        <v>0.75</v>
      </c>
      <c r="CY2724" s="307">
        <v>0.75</v>
      </c>
      <c r="CZ2724" s="307">
        <v>0.75</v>
      </c>
    </row>
    <row r="2725" spans="98:104">
      <c r="CT2725" s="307" t="s">
        <v>3240</v>
      </c>
      <c r="CU2725" s="307" t="s">
        <v>635</v>
      </c>
      <c r="CV2725" s="307" t="s">
        <v>653</v>
      </c>
      <c r="CW2725" s="307" t="s">
        <v>5</v>
      </c>
      <c r="CX2725" s="307">
        <v>1.06730108</v>
      </c>
      <c r="CY2725" s="307">
        <v>1.06730108</v>
      </c>
      <c r="CZ2725" s="307">
        <v>1.06730108</v>
      </c>
    </row>
    <row r="2726" spans="98:104">
      <c r="CT2726" s="307" t="s">
        <v>3241</v>
      </c>
      <c r="CU2726" s="307" t="s">
        <v>635</v>
      </c>
      <c r="CV2726" s="307" t="s">
        <v>653</v>
      </c>
      <c r="CW2726" s="307" t="s">
        <v>6</v>
      </c>
      <c r="CX2726" s="307">
        <v>1.074427593</v>
      </c>
      <c r="CY2726" s="307">
        <v>1.074427593</v>
      </c>
      <c r="CZ2726" s="307">
        <v>1.074427593</v>
      </c>
    </row>
    <row r="2727" spans="98:104">
      <c r="CT2727" s="307" t="s">
        <v>3242</v>
      </c>
      <c r="CU2727" s="307" t="s">
        <v>635</v>
      </c>
      <c r="CV2727" s="307" t="s">
        <v>653</v>
      </c>
      <c r="CW2727" s="307" t="s">
        <v>24</v>
      </c>
      <c r="CX2727" s="307">
        <v>1.086235257</v>
      </c>
      <c r="CY2727" s="307">
        <v>1.086235257</v>
      </c>
      <c r="CZ2727" s="307">
        <v>1.086235257</v>
      </c>
    </row>
    <row r="2728" spans="98:104">
      <c r="CT2728" s="307" t="s">
        <v>3243</v>
      </c>
      <c r="CU2728" s="307" t="s">
        <v>635</v>
      </c>
      <c r="CV2728" s="307" t="s">
        <v>653</v>
      </c>
      <c r="CW2728" s="307" t="s">
        <v>7</v>
      </c>
      <c r="CX2728" s="307">
        <v>1.108299999</v>
      </c>
      <c r="CY2728" s="307">
        <v>1.108299999</v>
      </c>
      <c r="CZ2728" s="307">
        <v>1.108299999</v>
      </c>
    </row>
    <row r="2729" spans="98:104">
      <c r="CT2729" s="307" t="s">
        <v>3244</v>
      </c>
      <c r="CU2729" s="307" t="s">
        <v>635</v>
      </c>
      <c r="CV2729" s="307" t="s">
        <v>653</v>
      </c>
      <c r="CW2729" s="307" t="s">
        <v>8</v>
      </c>
      <c r="CX2729" s="307">
        <v>1.1992</v>
      </c>
      <c r="CY2729" s="307">
        <v>1.1992</v>
      </c>
      <c r="CZ2729" s="307">
        <v>1.1992</v>
      </c>
    </row>
    <row r="2730" spans="98:104">
      <c r="CT2730" s="307" t="s">
        <v>3245</v>
      </c>
      <c r="CU2730" s="307" t="s">
        <v>635</v>
      </c>
      <c r="CV2730" s="307" t="s">
        <v>653</v>
      </c>
      <c r="CW2730" s="307" t="s">
        <v>25</v>
      </c>
      <c r="CX2730" s="307">
        <v>1.2318</v>
      </c>
      <c r="CY2730" s="307">
        <v>1.2318</v>
      </c>
      <c r="CZ2730" s="307">
        <v>1.2318</v>
      </c>
    </row>
    <row r="2731" spans="98:104">
      <c r="CT2731" s="307" t="s">
        <v>3246</v>
      </c>
      <c r="CU2731" s="307" t="s">
        <v>635</v>
      </c>
      <c r="CV2731" s="307" t="s">
        <v>653</v>
      </c>
      <c r="CW2731" s="307" t="s">
        <v>26</v>
      </c>
      <c r="CX2731" s="307">
        <v>1.2504</v>
      </c>
      <c r="CY2731" s="307">
        <v>1.2504</v>
      </c>
      <c r="CZ2731" s="307">
        <v>1.2504</v>
      </c>
    </row>
    <row r="2732" spans="98:104">
      <c r="CT2732" s="307" t="s">
        <v>3247</v>
      </c>
      <c r="CU2732" s="307" t="s">
        <v>635</v>
      </c>
      <c r="CV2732" s="307" t="s">
        <v>653</v>
      </c>
      <c r="CW2732" s="307" t="s">
        <v>27</v>
      </c>
      <c r="CX2732" s="307">
        <v>1.2659</v>
      </c>
      <c r="CY2732" s="307">
        <v>1.2659</v>
      </c>
      <c r="CZ2732" s="307">
        <v>1.2659</v>
      </c>
    </row>
    <row r="2733" spans="98:104">
      <c r="CT2733" s="307" t="s">
        <v>3248</v>
      </c>
      <c r="CU2733" s="307" t="s">
        <v>635</v>
      </c>
      <c r="CV2733" s="307" t="s">
        <v>653</v>
      </c>
      <c r="CW2733" s="307" t="s">
        <v>28</v>
      </c>
      <c r="CX2733" s="307">
        <v>1.2748999999999999</v>
      </c>
      <c r="CY2733" s="307">
        <v>1.2748999999999999</v>
      </c>
      <c r="CZ2733" s="307">
        <v>1.2748999999999999</v>
      </c>
    </row>
    <row r="2734" spans="98:104">
      <c r="CT2734" s="307" t="s">
        <v>3249</v>
      </c>
      <c r="CU2734" s="307" t="s">
        <v>635</v>
      </c>
      <c r="CV2734" s="307" t="s">
        <v>653</v>
      </c>
      <c r="CW2734" s="307" t="s">
        <v>29</v>
      </c>
      <c r="CX2734" s="307">
        <v>1.2807776630000001</v>
      </c>
      <c r="CY2734" s="307">
        <v>1.2807776630000001</v>
      </c>
      <c r="CZ2734" s="307">
        <v>1.2807776630000001</v>
      </c>
    </row>
    <row r="2735" spans="98:104">
      <c r="CT2735" s="307" t="s">
        <v>5130</v>
      </c>
      <c r="CU2735" s="307" t="s">
        <v>635</v>
      </c>
      <c r="CV2735" s="307" t="s">
        <v>653</v>
      </c>
      <c r="CW2735" s="307" t="s">
        <v>5101</v>
      </c>
      <c r="CX2735" s="307">
        <v>1.2807776630000001</v>
      </c>
      <c r="CY2735" s="307">
        <v>1.2807776630000001</v>
      </c>
      <c r="CZ2735" s="307">
        <v>1.2807776630000001</v>
      </c>
    </row>
    <row r="2736" spans="98:104">
      <c r="CT2736" s="307" t="s">
        <v>3250</v>
      </c>
      <c r="CU2736" s="307" t="s">
        <v>635</v>
      </c>
      <c r="CV2736" s="307" t="s">
        <v>653</v>
      </c>
      <c r="CW2736" s="307" t="s">
        <v>30</v>
      </c>
      <c r="CX2736" s="307">
        <v>1.2869108410000001</v>
      </c>
      <c r="CY2736" s="307">
        <v>1.2869108410000001</v>
      </c>
      <c r="CZ2736" s="307">
        <v>1.2869108410000001</v>
      </c>
    </row>
    <row r="2737" spans="98:104">
      <c r="CT2737" s="307" t="s">
        <v>3251</v>
      </c>
      <c r="CU2737" s="307" t="s">
        <v>635</v>
      </c>
      <c r="CV2737" s="307" t="s">
        <v>653</v>
      </c>
      <c r="CW2737" s="307" t="s">
        <v>49</v>
      </c>
      <c r="CX2737" s="307">
        <v>1.3003478820000001</v>
      </c>
      <c r="CY2737" s="307">
        <v>1.3003478820000001</v>
      </c>
      <c r="CZ2737" s="307">
        <v>1.3003478820000001</v>
      </c>
    </row>
    <row r="2738" spans="98:104">
      <c r="CT2738" s="307" t="s">
        <v>4865</v>
      </c>
      <c r="CU2738" s="307" t="s">
        <v>635</v>
      </c>
      <c r="CV2738" s="307" t="s">
        <v>653</v>
      </c>
      <c r="CW2738" s="307" t="s">
        <v>1066</v>
      </c>
      <c r="CX2738" s="307">
        <v>98.627532088999999</v>
      </c>
      <c r="CY2738" s="307">
        <v>98.627532088999999</v>
      </c>
      <c r="CZ2738" s="307">
        <v>98.627532088999999</v>
      </c>
    </row>
    <row r="2739" spans="98:104">
      <c r="CT2739" s="307" t="s">
        <v>3252</v>
      </c>
      <c r="CU2739" s="307" t="s">
        <v>635</v>
      </c>
      <c r="CV2739" s="307" t="s">
        <v>653</v>
      </c>
      <c r="CW2739" s="307" t="s">
        <v>56</v>
      </c>
      <c r="CX2739" s="307">
        <v>1.3374635690000001</v>
      </c>
      <c r="CY2739" s="307">
        <v>1.3374635690000001</v>
      </c>
      <c r="CZ2739" s="307">
        <v>1.3374635690000001</v>
      </c>
    </row>
    <row r="2740" spans="98:104">
      <c r="CT2740" s="307" t="s">
        <v>4866</v>
      </c>
      <c r="CU2740" s="307" t="s">
        <v>635</v>
      </c>
      <c r="CV2740" s="307" t="s">
        <v>653</v>
      </c>
      <c r="CW2740" s="307" t="s">
        <v>1069</v>
      </c>
      <c r="CX2740" s="307">
        <v>98.525832715000007</v>
      </c>
      <c r="CY2740" s="307">
        <v>98.525832715000007</v>
      </c>
      <c r="CZ2740" s="307">
        <v>98.525832715000007</v>
      </c>
    </row>
    <row r="2741" spans="98:104">
      <c r="CT2741" s="307" t="s">
        <v>4867</v>
      </c>
      <c r="CU2741" s="307" t="s">
        <v>635</v>
      </c>
      <c r="CV2741" s="307" t="s">
        <v>653</v>
      </c>
      <c r="CW2741" s="307" t="s">
        <v>3865</v>
      </c>
      <c r="CX2741" s="307">
        <v>98.431311899999997</v>
      </c>
      <c r="CY2741" s="307">
        <v>98.431311899999997</v>
      </c>
      <c r="CZ2741" s="307">
        <v>98.431311899999997</v>
      </c>
    </row>
    <row r="2742" spans="98:104">
      <c r="CT2742" s="307" t="s">
        <v>4868</v>
      </c>
      <c r="CU2742" s="307" t="s">
        <v>635</v>
      </c>
      <c r="CV2742" s="307" t="s">
        <v>653</v>
      </c>
      <c r="CW2742" s="307" t="s">
        <v>3866</v>
      </c>
      <c r="CX2742" s="307">
        <v>98.345255621000007</v>
      </c>
      <c r="CY2742" s="307">
        <v>98.345255621000007</v>
      </c>
      <c r="CZ2742" s="307">
        <v>98.345255621000007</v>
      </c>
    </row>
    <row r="2743" spans="98:104">
      <c r="CT2743" s="307" t="s">
        <v>5082</v>
      </c>
      <c r="CU2743" s="307" t="s">
        <v>635</v>
      </c>
      <c r="CV2743" s="307" t="s">
        <v>653</v>
      </c>
      <c r="CW2743" s="307" t="s">
        <v>3889</v>
      </c>
      <c r="CX2743" s="307">
        <v>98.239546684999993</v>
      </c>
      <c r="CY2743" s="307">
        <v>98.239546684999993</v>
      </c>
      <c r="CZ2743" s="307">
        <v>98.239546684999993</v>
      </c>
    </row>
    <row r="2744" spans="98:104">
      <c r="CT2744" s="307" t="s">
        <v>3253</v>
      </c>
      <c r="CU2744" s="307" t="s">
        <v>635</v>
      </c>
      <c r="CV2744" s="307" t="s">
        <v>653</v>
      </c>
      <c r="CW2744" s="307" t="s">
        <v>9</v>
      </c>
      <c r="CX2744" s="307">
        <v>1.511668945</v>
      </c>
      <c r="CY2744" s="307">
        <v>1.511668945</v>
      </c>
      <c r="CZ2744" s="307">
        <v>1.511668945</v>
      </c>
    </row>
    <row r="2745" spans="98:104">
      <c r="CT2745" s="307" t="s">
        <v>5131</v>
      </c>
      <c r="CU2745" s="307" t="s">
        <v>635</v>
      </c>
      <c r="CV2745" s="307" t="s">
        <v>653</v>
      </c>
      <c r="CW2745" s="307" t="s">
        <v>3890</v>
      </c>
      <c r="CX2745" s="307">
        <v>98.149365493000005</v>
      </c>
      <c r="CY2745" s="307">
        <v>98.149365493000005</v>
      </c>
      <c r="CZ2745" s="307">
        <v>98.149365493000005</v>
      </c>
    </row>
    <row r="2746" spans="98:104">
      <c r="CT2746" s="307" t="s">
        <v>3254</v>
      </c>
      <c r="CU2746" s="307" t="s">
        <v>635</v>
      </c>
      <c r="CV2746" s="307" t="s">
        <v>653</v>
      </c>
      <c r="CW2746" s="307" t="s">
        <v>10</v>
      </c>
      <c r="CX2746" s="307">
        <v>1.666045599</v>
      </c>
      <c r="CY2746" s="307">
        <v>1.666045599</v>
      </c>
      <c r="CZ2746" s="307">
        <v>1.666045599</v>
      </c>
    </row>
    <row r="2747" spans="98:104">
      <c r="CT2747" s="307" t="s">
        <v>3255</v>
      </c>
      <c r="CU2747" s="307" t="s">
        <v>635</v>
      </c>
      <c r="CV2747" s="307" t="s">
        <v>653</v>
      </c>
      <c r="CW2747" s="307" t="s">
        <v>11</v>
      </c>
      <c r="CX2747" s="307">
        <v>1.7940834889999999</v>
      </c>
      <c r="CY2747" s="307">
        <v>1.7940834889999999</v>
      </c>
      <c r="CZ2747" s="307">
        <v>1.7940834889999999</v>
      </c>
    </row>
    <row r="2748" spans="98:104">
      <c r="CT2748" s="307" t="s">
        <v>3256</v>
      </c>
      <c r="CU2748" s="307" t="s">
        <v>635</v>
      </c>
      <c r="CV2748" s="307" t="s">
        <v>653</v>
      </c>
      <c r="CW2748" s="307" t="s">
        <v>12</v>
      </c>
      <c r="CX2748" s="307">
        <v>1.898096708</v>
      </c>
      <c r="CY2748" s="307">
        <v>1.898096708</v>
      </c>
      <c r="CZ2748" s="307">
        <v>1.898096708</v>
      </c>
    </row>
    <row r="2749" spans="98:104">
      <c r="CT2749" s="307" t="s">
        <v>3257</v>
      </c>
      <c r="CU2749" s="307" t="s">
        <v>635</v>
      </c>
      <c r="CV2749" s="307" t="s">
        <v>653</v>
      </c>
      <c r="CW2749" s="307" t="s">
        <v>13</v>
      </c>
      <c r="CX2749" s="307">
        <v>1.99411535</v>
      </c>
      <c r="CY2749" s="307">
        <v>1.99411535</v>
      </c>
      <c r="CZ2749" s="307">
        <v>1.99411535</v>
      </c>
    </row>
    <row r="2750" spans="98:104">
      <c r="CT2750" s="307" t="s">
        <v>3258</v>
      </c>
      <c r="CU2750" s="307" t="s">
        <v>635</v>
      </c>
      <c r="CV2750" s="307" t="s">
        <v>653</v>
      </c>
      <c r="CW2750" s="307" t="s">
        <v>14</v>
      </c>
      <c r="CX2750" s="307">
        <v>2.075128759</v>
      </c>
      <c r="CY2750" s="307">
        <v>2.075128759</v>
      </c>
      <c r="CZ2750" s="307">
        <v>2.075128759</v>
      </c>
    </row>
    <row r="2751" spans="98:104">
      <c r="CT2751" s="307" t="s">
        <v>3259</v>
      </c>
      <c r="CU2751" s="307" t="s">
        <v>635</v>
      </c>
      <c r="CV2751" s="307" t="s">
        <v>653</v>
      </c>
      <c r="CW2751" s="307" t="s">
        <v>15</v>
      </c>
      <c r="CX2751" s="307">
        <v>2.1441459919999999</v>
      </c>
      <c r="CY2751" s="307">
        <v>2.1441459919999999</v>
      </c>
      <c r="CZ2751" s="307">
        <v>2.1441459919999999</v>
      </c>
    </row>
    <row r="2752" spans="98:104">
      <c r="CT2752" s="307" t="s">
        <v>3260</v>
      </c>
      <c r="CU2752" s="307" t="s">
        <v>635</v>
      </c>
      <c r="CV2752" s="307" t="s">
        <v>653</v>
      </c>
      <c r="CW2752" s="307" t="s">
        <v>16</v>
      </c>
      <c r="CX2752" s="307">
        <v>2.2031657249999999</v>
      </c>
      <c r="CY2752" s="307">
        <v>2.2031657249999999</v>
      </c>
      <c r="CZ2752" s="307">
        <v>2.2031657249999999</v>
      </c>
    </row>
    <row r="2753" spans="98:104">
      <c r="CT2753" s="307" t="s">
        <v>3261</v>
      </c>
      <c r="CU2753" s="307" t="s">
        <v>635</v>
      </c>
      <c r="CV2753" s="307" t="s">
        <v>653</v>
      </c>
      <c r="CW2753" s="307" t="s">
        <v>17</v>
      </c>
      <c r="CX2753" s="307">
        <v>2.2531793590000002</v>
      </c>
      <c r="CY2753" s="307">
        <v>2.2531793590000002</v>
      </c>
      <c r="CZ2753" s="307">
        <v>2.2531793590000002</v>
      </c>
    </row>
    <row r="2754" spans="98:104">
      <c r="CT2754" s="307" t="s">
        <v>3262</v>
      </c>
      <c r="CU2754" s="307" t="s">
        <v>635</v>
      </c>
      <c r="CV2754" s="307" t="s">
        <v>653</v>
      </c>
      <c r="CW2754" s="307" t="s">
        <v>31</v>
      </c>
      <c r="CX2754" s="307">
        <v>2.2978998430000002</v>
      </c>
      <c r="CY2754" s="307">
        <v>2.2978998430000002</v>
      </c>
      <c r="CZ2754" s="307">
        <v>2.2978998430000002</v>
      </c>
    </row>
    <row r="2755" spans="98:104">
      <c r="CT2755" s="307" t="s">
        <v>3263</v>
      </c>
      <c r="CU2755" s="307" t="s">
        <v>635</v>
      </c>
      <c r="CV2755" s="307" t="s">
        <v>653</v>
      </c>
      <c r="CW2755" s="307" t="s">
        <v>18</v>
      </c>
      <c r="CX2755" s="307">
        <v>2.337217291</v>
      </c>
      <c r="CY2755" s="307">
        <v>2.337217291</v>
      </c>
      <c r="CZ2755" s="307">
        <v>2.337217291</v>
      </c>
    </row>
    <row r="2756" spans="98:104">
      <c r="CT2756" s="307" t="s">
        <v>3264</v>
      </c>
      <c r="CU2756" s="307" t="s">
        <v>635</v>
      </c>
      <c r="CV2756" s="307" t="s">
        <v>653</v>
      </c>
      <c r="CW2756" s="307" t="s">
        <v>32</v>
      </c>
      <c r="CX2756" s="307">
        <v>2.3699491589999999</v>
      </c>
      <c r="CY2756" s="307">
        <v>2.3699491589999999</v>
      </c>
      <c r="CZ2756" s="307">
        <v>2.3699491589999999</v>
      </c>
    </row>
    <row r="2757" spans="98:104">
      <c r="CT2757" s="307" t="s">
        <v>3265</v>
      </c>
      <c r="CU2757" s="307" t="s">
        <v>635</v>
      </c>
      <c r="CV2757" s="307" t="s">
        <v>653</v>
      </c>
      <c r="CW2757" s="307" t="s">
        <v>33</v>
      </c>
      <c r="CX2757" s="307">
        <v>2.3972120100000001</v>
      </c>
      <c r="CY2757" s="307">
        <v>2.3972120100000001</v>
      </c>
      <c r="CZ2757" s="307">
        <v>2.3972120100000001</v>
      </c>
    </row>
    <row r="2758" spans="98:104">
      <c r="CT2758" s="307" t="s">
        <v>3266</v>
      </c>
      <c r="CU2758" s="307" t="s">
        <v>635</v>
      </c>
      <c r="CV2758" s="307" t="s">
        <v>653</v>
      </c>
      <c r="CW2758" s="307" t="s">
        <v>19</v>
      </c>
      <c r="CX2758" s="307">
        <v>2.420246562</v>
      </c>
      <c r="CY2758" s="307">
        <v>2.420246562</v>
      </c>
      <c r="CZ2758" s="307">
        <v>2.420246562</v>
      </c>
    </row>
    <row r="2759" spans="98:104">
      <c r="CT2759" s="307" t="s">
        <v>3267</v>
      </c>
      <c r="CU2759" s="307" t="s">
        <v>635</v>
      </c>
      <c r="CV2759" s="307" t="s">
        <v>653</v>
      </c>
      <c r="CW2759" s="307" t="s">
        <v>34</v>
      </c>
      <c r="CX2759" s="307">
        <v>2.4400394630000002</v>
      </c>
      <c r="CY2759" s="307">
        <v>2.4400394630000002</v>
      </c>
      <c r="CZ2759" s="307">
        <v>2.4400394630000002</v>
      </c>
    </row>
    <row r="2760" spans="98:104">
      <c r="CT2760" s="307" t="s">
        <v>3268</v>
      </c>
      <c r="CU2760" s="307" t="s">
        <v>635</v>
      </c>
      <c r="CV2760" s="307" t="s">
        <v>653</v>
      </c>
      <c r="CW2760" s="307" t="s">
        <v>35</v>
      </c>
      <c r="CX2760" s="307">
        <v>2.4568033460000001</v>
      </c>
      <c r="CY2760" s="307">
        <v>2.4568033460000001</v>
      </c>
      <c r="CZ2760" s="307">
        <v>2.4568033460000001</v>
      </c>
    </row>
    <row r="2761" spans="98:104">
      <c r="CT2761" s="307" t="s">
        <v>3269</v>
      </c>
      <c r="CU2761" s="307" t="s">
        <v>635</v>
      </c>
      <c r="CV2761" s="307" t="s">
        <v>653</v>
      </c>
      <c r="CW2761" s="307" t="s">
        <v>36</v>
      </c>
      <c r="CX2761" s="307">
        <v>2.471107425</v>
      </c>
      <c r="CY2761" s="307">
        <v>2.471107425</v>
      </c>
      <c r="CZ2761" s="307">
        <v>2.471107425</v>
      </c>
    </row>
    <row r="2762" spans="98:104">
      <c r="CT2762" s="307" t="s">
        <v>3270</v>
      </c>
      <c r="CU2762" s="307" t="s">
        <v>635</v>
      </c>
      <c r="CV2762" s="307" t="s">
        <v>653</v>
      </c>
      <c r="CW2762" s="307" t="s">
        <v>37</v>
      </c>
      <c r="CX2762" s="307">
        <v>2.4831716340000001</v>
      </c>
      <c r="CY2762" s="307">
        <v>2.4831716340000001</v>
      </c>
      <c r="CZ2762" s="307">
        <v>2.4831716340000001</v>
      </c>
    </row>
    <row r="2763" spans="98:104">
      <c r="CT2763" s="307" t="s">
        <v>3271</v>
      </c>
      <c r="CU2763" s="307" t="s">
        <v>635</v>
      </c>
      <c r="CV2763" s="307" t="s">
        <v>653</v>
      </c>
      <c r="CW2763" s="307" t="s">
        <v>20</v>
      </c>
      <c r="CX2763" s="307">
        <v>2.4932464830000001</v>
      </c>
      <c r="CY2763" s="307">
        <v>2.4932464830000001</v>
      </c>
      <c r="CZ2763" s="307">
        <v>2.4932464830000001</v>
      </c>
    </row>
    <row r="2764" spans="98:104">
      <c r="CT2764" s="307" t="s">
        <v>3272</v>
      </c>
      <c r="CU2764" s="307" t="s">
        <v>635</v>
      </c>
      <c r="CV2764" s="307" t="s">
        <v>653</v>
      </c>
      <c r="CW2764" s="307" t="s">
        <v>38</v>
      </c>
      <c r="CX2764" s="307">
        <v>2.5015351309999998</v>
      </c>
      <c r="CY2764" s="307">
        <v>2.5015351309999998</v>
      </c>
      <c r="CZ2764" s="307">
        <v>2.5015351309999998</v>
      </c>
    </row>
    <row r="2765" spans="98:104">
      <c r="CT2765" s="307" t="s">
        <v>3273</v>
      </c>
      <c r="CU2765" s="307" t="s">
        <v>635</v>
      </c>
      <c r="CV2765" s="307" t="s">
        <v>653</v>
      </c>
      <c r="CW2765" s="307" t="s">
        <v>39</v>
      </c>
      <c r="CX2765" s="307">
        <v>2.508261895</v>
      </c>
      <c r="CY2765" s="307">
        <v>2.508261895</v>
      </c>
      <c r="CZ2765" s="307">
        <v>2.508261895</v>
      </c>
    </row>
    <row r="2766" spans="98:104">
      <c r="CT2766" s="307" t="s">
        <v>3274</v>
      </c>
      <c r="CU2766" s="307" t="s">
        <v>635</v>
      </c>
      <c r="CV2766" s="307" t="s">
        <v>653</v>
      </c>
      <c r="CW2766" s="307" t="s">
        <v>40</v>
      </c>
      <c r="CX2766" s="307">
        <v>2.5137963000000001</v>
      </c>
      <c r="CY2766" s="307">
        <v>2.5137963000000001</v>
      </c>
      <c r="CZ2766" s="307">
        <v>2.5137963000000001</v>
      </c>
    </row>
    <row r="2767" spans="98:104">
      <c r="CT2767" s="307" t="s">
        <v>3275</v>
      </c>
      <c r="CU2767" s="307" t="s">
        <v>635</v>
      </c>
      <c r="CV2767" s="307" t="s">
        <v>653</v>
      </c>
      <c r="CW2767" s="307" t="s">
        <v>41</v>
      </c>
      <c r="CX2767" s="307">
        <v>2.5184016589999998</v>
      </c>
      <c r="CY2767" s="307">
        <v>2.5184016589999998</v>
      </c>
      <c r="CZ2767" s="307">
        <v>2.5184016589999998</v>
      </c>
    </row>
    <row r="2768" spans="98:104">
      <c r="CT2768" s="307" t="s">
        <v>3276</v>
      </c>
      <c r="CU2768" s="307" t="s">
        <v>635</v>
      </c>
      <c r="CV2768" s="307" t="s">
        <v>653</v>
      </c>
      <c r="CW2768" s="307" t="s">
        <v>21</v>
      </c>
      <c r="CX2768" s="307">
        <v>2.522225106</v>
      </c>
      <c r="CY2768" s="307">
        <v>2.522225106</v>
      </c>
      <c r="CZ2768" s="307">
        <v>2.522225106</v>
      </c>
    </row>
    <row r="2769" spans="98:104">
      <c r="CT2769" s="307" t="s">
        <v>3277</v>
      </c>
      <c r="CU2769" s="307" t="s">
        <v>635</v>
      </c>
      <c r="CV2769" s="307" t="s">
        <v>653</v>
      </c>
      <c r="CW2769" s="307" t="s">
        <v>42</v>
      </c>
      <c r="CX2769" s="307">
        <v>2.5254422590000001</v>
      </c>
      <c r="CY2769" s="307">
        <v>2.5254422590000001</v>
      </c>
      <c r="CZ2769" s="307">
        <v>2.5254422590000001</v>
      </c>
    </row>
    <row r="2770" spans="98:104">
      <c r="CT2770" s="307" t="s">
        <v>3278</v>
      </c>
      <c r="CU2770" s="307" t="s">
        <v>635</v>
      </c>
      <c r="CV2770" s="307" t="s">
        <v>653</v>
      </c>
      <c r="CW2770" s="307" t="s">
        <v>43</v>
      </c>
      <c r="CX2770" s="307">
        <v>2.5281838310000002</v>
      </c>
      <c r="CY2770" s="307">
        <v>2.5281838310000002</v>
      </c>
      <c r="CZ2770" s="307">
        <v>2.5281838310000002</v>
      </c>
    </row>
    <row r="2771" spans="98:104">
      <c r="CT2771" s="307" t="s">
        <v>3279</v>
      </c>
      <c r="CU2771" s="307" t="s">
        <v>635</v>
      </c>
      <c r="CV2771" s="307" t="s">
        <v>653</v>
      </c>
      <c r="CW2771" s="307" t="s">
        <v>44</v>
      </c>
      <c r="CX2771" s="307">
        <v>2.530493211</v>
      </c>
      <c r="CY2771" s="307">
        <v>2.530493211</v>
      </c>
      <c r="CZ2771" s="307">
        <v>2.530493211</v>
      </c>
    </row>
    <row r="2772" spans="98:104">
      <c r="CT2772" s="307" t="s">
        <v>3280</v>
      </c>
      <c r="CU2772" s="307" t="s">
        <v>635</v>
      </c>
      <c r="CV2772" s="307" t="s">
        <v>653</v>
      </c>
      <c r="CW2772" s="307" t="s">
        <v>45</v>
      </c>
      <c r="CX2772" s="307">
        <v>2.5324849120000001</v>
      </c>
      <c r="CY2772" s="307">
        <v>2.5324849120000001</v>
      </c>
      <c r="CZ2772" s="307">
        <v>2.5324849120000001</v>
      </c>
    </row>
    <row r="2773" spans="98:104">
      <c r="CT2773" s="307" t="s">
        <v>3281</v>
      </c>
      <c r="CU2773" s="307" t="s">
        <v>635</v>
      </c>
      <c r="CV2773" s="307" t="s">
        <v>653</v>
      </c>
      <c r="CW2773" s="307" t="s">
        <v>22</v>
      </c>
      <c r="CX2773" s="307">
        <v>2.5342156079999998</v>
      </c>
      <c r="CY2773" s="307">
        <v>2.5342156079999998</v>
      </c>
      <c r="CZ2773" s="307">
        <v>2.5342156079999998</v>
      </c>
    </row>
    <row r="2774" spans="98:104">
      <c r="CT2774" s="307" t="s">
        <v>3282</v>
      </c>
      <c r="CU2774" s="307" t="s">
        <v>635</v>
      </c>
      <c r="CV2774" s="307" t="s">
        <v>653</v>
      </c>
      <c r="CW2774" s="307" t="s">
        <v>46</v>
      </c>
      <c r="CX2774" s="307">
        <v>2.5402181289999999</v>
      </c>
      <c r="CY2774" s="307">
        <v>2.5402181289999999</v>
      </c>
      <c r="CZ2774" s="307">
        <v>2.5402181289999999</v>
      </c>
    </row>
    <row r="2775" spans="98:104">
      <c r="CT2775" s="307" t="s">
        <v>3283</v>
      </c>
      <c r="CU2775" s="307" t="s">
        <v>635</v>
      </c>
      <c r="CV2775" s="307" t="s">
        <v>653</v>
      </c>
      <c r="CW2775" s="307" t="s">
        <v>47</v>
      </c>
      <c r="CX2775" s="307">
        <v>2.5342087819999999</v>
      </c>
      <c r="CY2775" s="307">
        <v>2.5342087819999999</v>
      </c>
      <c r="CZ2775" s="307">
        <v>2.5342087819999999</v>
      </c>
    </row>
    <row r="2776" spans="98:104">
      <c r="CT2776" s="307" t="s">
        <v>3284</v>
      </c>
      <c r="CU2776" s="307" t="s">
        <v>635</v>
      </c>
      <c r="CV2776" s="307" t="s">
        <v>653</v>
      </c>
      <c r="CW2776" s="307" t="s">
        <v>48</v>
      </c>
      <c r="CX2776" s="307">
        <v>2.5287343299999998</v>
      </c>
      <c r="CY2776" s="307">
        <v>2.5287343299999998</v>
      </c>
      <c r="CZ2776" s="307">
        <v>2.5287343299999998</v>
      </c>
    </row>
    <row r="2777" spans="98:104">
      <c r="CT2777" s="307" t="s">
        <v>3285</v>
      </c>
      <c r="CU2777" s="307" t="s">
        <v>635</v>
      </c>
      <c r="CV2777" s="307" t="s">
        <v>655</v>
      </c>
      <c r="CW2777" s="307" t="s">
        <v>3</v>
      </c>
      <c r="CX2777" s="307">
        <v>0.65</v>
      </c>
      <c r="CY2777" s="307">
        <v>0.65</v>
      </c>
      <c r="CZ2777" s="307">
        <v>0.65</v>
      </c>
    </row>
    <row r="2778" spans="98:104">
      <c r="CT2778" s="307" t="s">
        <v>3286</v>
      </c>
      <c r="CU2778" s="307" t="s">
        <v>635</v>
      </c>
      <c r="CV2778" s="307" t="s">
        <v>655</v>
      </c>
      <c r="CW2778" s="307" t="s">
        <v>4</v>
      </c>
      <c r="CX2778" s="307">
        <v>0.7</v>
      </c>
      <c r="CY2778" s="307">
        <v>0.7</v>
      </c>
      <c r="CZ2778" s="307">
        <v>0.7</v>
      </c>
    </row>
    <row r="2779" spans="98:104">
      <c r="CT2779" s="307" t="s">
        <v>3287</v>
      </c>
      <c r="CU2779" s="307" t="s">
        <v>635</v>
      </c>
      <c r="CV2779" s="307" t="s">
        <v>655</v>
      </c>
      <c r="CW2779" s="307" t="s">
        <v>23</v>
      </c>
      <c r="CX2779" s="307">
        <v>0.75</v>
      </c>
      <c r="CY2779" s="307">
        <v>0.75</v>
      </c>
      <c r="CZ2779" s="307">
        <v>0.75</v>
      </c>
    </row>
    <row r="2780" spans="98:104">
      <c r="CT2780" s="307" t="s">
        <v>3288</v>
      </c>
      <c r="CU2780" s="307" t="s">
        <v>635</v>
      </c>
      <c r="CV2780" s="307" t="s">
        <v>655</v>
      </c>
      <c r="CW2780" s="307" t="s">
        <v>5</v>
      </c>
      <c r="CX2780" s="307">
        <v>0.45422000000000001</v>
      </c>
      <c r="CY2780" s="307">
        <v>0.46422000000000002</v>
      </c>
      <c r="CZ2780" s="307">
        <v>0.45922000000000002</v>
      </c>
    </row>
    <row r="2781" spans="98:104">
      <c r="CT2781" s="307" t="s">
        <v>3289</v>
      </c>
      <c r="CU2781" s="307" t="s">
        <v>635</v>
      </c>
      <c r="CV2781" s="307" t="s">
        <v>655</v>
      </c>
      <c r="CW2781" s="307" t="s">
        <v>6</v>
      </c>
      <c r="CX2781" s="307">
        <v>0.48543391299999999</v>
      </c>
      <c r="CY2781" s="307">
        <v>0.495433913</v>
      </c>
      <c r="CZ2781" s="307">
        <v>0.490433913</v>
      </c>
    </row>
    <row r="2782" spans="98:104">
      <c r="CT2782" s="307" t="s">
        <v>3290</v>
      </c>
      <c r="CU2782" s="307" t="s">
        <v>635</v>
      </c>
      <c r="CV2782" s="307" t="s">
        <v>655</v>
      </c>
      <c r="CW2782" s="307" t="s">
        <v>24</v>
      </c>
      <c r="CX2782" s="307">
        <v>0.51664782600000003</v>
      </c>
      <c r="CY2782" s="307">
        <v>0.52664782600000004</v>
      </c>
      <c r="CZ2782" s="307">
        <v>0.52164782600000004</v>
      </c>
    </row>
    <row r="2783" spans="98:104">
      <c r="CT2783" s="307" t="s">
        <v>3291</v>
      </c>
      <c r="CU2783" s="307" t="s">
        <v>635</v>
      </c>
      <c r="CV2783" s="307" t="s">
        <v>655</v>
      </c>
      <c r="CW2783" s="307" t="s">
        <v>7</v>
      </c>
      <c r="CX2783" s="307">
        <v>0.55678000000000005</v>
      </c>
      <c r="CY2783" s="307">
        <v>0.56677999999999995</v>
      </c>
      <c r="CZ2783" s="307">
        <v>0.56177999999999995</v>
      </c>
    </row>
    <row r="2784" spans="98:104">
      <c r="CT2784" s="307" t="s">
        <v>3292</v>
      </c>
      <c r="CU2784" s="307" t="s">
        <v>635</v>
      </c>
      <c r="CV2784" s="307" t="s">
        <v>655</v>
      </c>
      <c r="CW2784" s="307" t="s">
        <v>8</v>
      </c>
      <c r="CX2784" s="307">
        <v>0.69833000000000001</v>
      </c>
      <c r="CY2784" s="307">
        <v>0.70833000000000002</v>
      </c>
      <c r="CZ2784" s="307">
        <v>0.70333000000000001</v>
      </c>
    </row>
    <row r="2785" spans="98:104">
      <c r="CT2785" s="307" t="s">
        <v>3293</v>
      </c>
      <c r="CU2785" s="307" t="s">
        <v>635</v>
      </c>
      <c r="CV2785" s="307" t="s">
        <v>655</v>
      </c>
      <c r="CW2785" s="307" t="s">
        <v>25</v>
      </c>
      <c r="CX2785" s="307">
        <v>0.90622000000000003</v>
      </c>
      <c r="CY2785" s="307">
        <v>0.91622000000000003</v>
      </c>
      <c r="CZ2785" s="307">
        <v>0.91122000000000003</v>
      </c>
    </row>
    <row r="2786" spans="98:104">
      <c r="CT2786" s="307" t="s">
        <v>3294</v>
      </c>
      <c r="CU2786" s="307" t="s">
        <v>635</v>
      </c>
      <c r="CV2786" s="307" t="s">
        <v>655</v>
      </c>
      <c r="CW2786" s="307" t="s">
        <v>26</v>
      </c>
      <c r="CX2786" s="307">
        <v>1.0193617779999999</v>
      </c>
      <c r="CY2786" s="307">
        <v>1.0293617779999999</v>
      </c>
      <c r="CZ2786" s="307">
        <v>1.0243617779999998</v>
      </c>
    </row>
    <row r="2787" spans="98:104">
      <c r="CT2787" s="307" t="s">
        <v>3295</v>
      </c>
      <c r="CU2787" s="307" t="s">
        <v>635</v>
      </c>
      <c r="CV2787" s="307" t="s">
        <v>655</v>
      </c>
      <c r="CW2787" s="307" t="s">
        <v>27</v>
      </c>
      <c r="CX2787" s="307">
        <v>1.1446258890000001</v>
      </c>
      <c r="CY2787" s="307">
        <v>1.1546258890000001</v>
      </c>
      <c r="CZ2787" s="307">
        <v>1.1496258890000002</v>
      </c>
    </row>
    <row r="2788" spans="98:104">
      <c r="CT2788" s="307" t="s">
        <v>3296</v>
      </c>
      <c r="CU2788" s="307" t="s">
        <v>635</v>
      </c>
      <c r="CV2788" s="307" t="s">
        <v>655</v>
      </c>
      <c r="CW2788" s="307" t="s">
        <v>28</v>
      </c>
      <c r="CX2788" s="307">
        <v>1.26989</v>
      </c>
      <c r="CY2788" s="307">
        <v>1.27989</v>
      </c>
      <c r="CZ2788" s="307">
        <v>1.2748900000000001</v>
      </c>
    </row>
    <row r="2789" spans="98:104">
      <c r="CT2789" s="307" t="s">
        <v>5132</v>
      </c>
      <c r="CU2789" s="307" t="s">
        <v>635</v>
      </c>
      <c r="CV2789" s="307" t="s">
        <v>655</v>
      </c>
      <c r="CW2789" s="307" t="s">
        <v>5101</v>
      </c>
      <c r="CX2789" s="307">
        <v>1.318934262</v>
      </c>
      <c r="CY2789" s="307">
        <v>1.338934262</v>
      </c>
      <c r="CZ2789" s="307">
        <v>1.328934262</v>
      </c>
    </row>
    <row r="2790" spans="98:104">
      <c r="CT2790" s="307" t="s">
        <v>3297</v>
      </c>
      <c r="CU2790" s="307" t="s">
        <v>635</v>
      </c>
      <c r="CV2790" s="307" t="s">
        <v>655</v>
      </c>
      <c r="CW2790" s="307" t="s">
        <v>29</v>
      </c>
      <c r="CX2790" s="307">
        <v>1.3239342620000001</v>
      </c>
      <c r="CY2790" s="307">
        <v>1.3339342620000001</v>
      </c>
      <c r="CZ2790" s="307">
        <v>1.3289342620000002</v>
      </c>
    </row>
    <row r="2791" spans="98:104">
      <c r="CT2791" s="307" t="s">
        <v>3298</v>
      </c>
      <c r="CU2791" s="307" t="s">
        <v>635</v>
      </c>
      <c r="CV2791" s="307" t="s">
        <v>655</v>
      </c>
      <c r="CW2791" s="307" t="s">
        <v>30</v>
      </c>
      <c r="CX2791" s="307">
        <v>1.3779785250000001</v>
      </c>
      <c r="CY2791" s="307">
        <v>1.3879785250000001</v>
      </c>
      <c r="CZ2791" s="307">
        <v>1.382978525</v>
      </c>
    </row>
    <row r="2792" spans="98:104">
      <c r="CT2792" s="307" t="s">
        <v>3299</v>
      </c>
      <c r="CU2792" s="307" t="s">
        <v>635</v>
      </c>
      <c r="CV2792" s="307" t="s">
        <v>655</v>
      </c>
      <c r="CW2792" s="307" t="s">
        <v>49</v>
      </c>
      <c r="CX2792" s="307">
        <v>1.4338242619999999</v>
      </c>
      <c r="CY2792" s="307">
        <v>1.4438242619999999</v>
      </c>
      <c r="CZ2792" s="307">
        <v>1.4388242619999998</v>
      </c>
    </row>
    <row r="2793" spans="98:104">
      <c r="CT2793" s="307" t="s">
        <v>4869</v>
      </c>
      <c r="CU2793" s="307" t="s">
        <v>635</v>
      </c>
      <c r="CV2793" s="307" t="s">
        <v>655</v>
      </c>
      <c r="CW2793" s="307" t="s">
        <v>1066</v>
      </c>
      <c r="CX2793" s="307">
        <v>98.88</v>
      </c>
      <c r="CY2793" s="307">
        <v>98.88</v>
      </c>
      <c r="CZ2793" s="307">
        <v>98.88</v>
      </c>
    </row>
    <row r="2794" spans="98:104">
      <c r="CT2794" s="307" t="s">
        <v>3300</v>
      </c>
      <c r="CU2794" s="307" t="s">
        <v>635</v>
      </c>
      <c r="CV2794" s="307" t="s">
        <v>655</v>
      </c>
      <c r="CW2794" s="307" t="s">
        <v>56</v>
      </c>
      <c r="CX2794" s="307">
        <v>1.0471321650000001</v>
      </c>
      <c r="CY2794" s="307">
        <v>1.0471321650000001</v>
      </c>
      <c r="CZ2794" s="307">
        <v>1.0471321650000001</v>
      </c>
    </row>
    <row r="2795" spans="98:104">
      <c r="CT2795" s="307" t="s">
        <v>4870</v>
      </c>
      <c r="CU2795" s="307" t="s">
        <v>635</v>
      </c>
      <c r="CV2795" s="307" t="s">
        <v>655</v>
      </c>
      <c r="CW2795" s="307" t="s">
        <v>1069</v>
      </c>
      <c r="CX2795" s="307">
        <v>98.78</v>
      </c>
      <c r="CY2795" s="307">
        <v>98.78</v>
      </c>
      <c r="CZ2795" s="307">
        <v>98.78</v>
      </c>
    </row>
    <row r="2796" spans="98:104">
      <c r="CT2796" s="307" t="s">
        <v>4871</v>
      </c>
      <c r="CU2796" s="307" t="s">
        <v>635</v>
      </c>
      <c r="CV2796" s="307" t="s">
        <v>655</v>
      </c>
      <c r="CW2796" s="307" t="s">
        <v>3865</v>
      </c>
      <c r="CX2796" s="307">
        <v>98.665000000000006</v>
      </c>
      <c r="CY2796" s="307">
        <v>98.665000000000006</v>
      </c>
      <c r="CZ2796" s="307">
        <v>98.665000000000006</v>
      </c>
    </row>
    <row r="2797" spans="98:104">
      <c r="CT2797" s="307" t="s">
        <v>4872</v>
      </c>
      <c r="CU2797" s="307" t="s">
        <v>635</v>
      </c>
      <c r="CV2797" s="307" t="s">
        <v>655</v>
      </c>
      <c r="CW2797" s="307" t="s">
        <v>3866</v>
      </c>
      <c r="CX2797" s="307">
        <v>98.57</v>
      </c>
      <c r="CY2797" s="307">
        <v>98.57</v>
      </c>
      <c r="CZ2797" s="307">
        <v>98.57</v>
      </c>
    </row>
    <row r="2798" spans="98:104">
      <c r="CT2798" s="307" t="s">
        <v>5083</v>
      </c>
      <c r="CU2798" s="307" t="s">
        <v>635</v>
      </c>
      <c r="CV2798" s="307" t="s">
        <v>655</v>
      </c>
      <c r="CW2798" s="307" t="s">
        <v>3889</v>
      </c>
      <c r="CX2798" s="307">
        <v>98.465000000000003</v>
      </c>
      <c r="CY2798" s="307">
        <v>98.465000000000003</v>
      </c>
      <c r="CZ2798" s="307">
        <v>98.465000000000003</v>
      </c>
    </row>
    <row r="2799" spans="98:104">
      <c r="CT2799" s="307" t="s">
        <v>3301</v>
      </c>
      <c r="CU2799" s="307" t="s">
        <v>635</v>
      </c>
      <c r="CV2799" s="307" t="s">
        <v>655</v>
      </c>
      <c r="CW2799" s="307" t="s">
        <v>9</v>
      </c>
      <c r="CX2799" s="307">
        <v>1.2486932369999999</v>
      </c>
      <c r="CY2799" s="307">
        <v>1.2486932369999999</v>
      </c>
      <c r="CZ2799" s="307">
        <v>1.2486932369999999</v>
      </c>
    </row>
    <row r="2800" spans="98:104">
      <c r="CT2800" s="307" t="s">
        <v>5133</v>
      </c>
      <c r="CU2800" s="307" t="s">
        <v>635</v>
      </c>
      <c r="CV2800" s="307" t="s">
        <v>655</v>
      </c>
      <c r="CW2800" s="307" t="s">
        <v>3890</v>
      </c>
      <c r="CX2800" s="307">
        <v>98.364999999999995</v>
      </c>
      <c r="CY2800" s="307">
        <v>98.364999999999995</v>
      </c>
      <c r="CZ2800" s="307">
        <v>98.364999999999995</v>
      </c>
    </row>
    <row r="2801" spans="98:104">
      <c r="CT2801" s="307" t="s">
        <v>3302</v>
      </c>
      <c r="CU2801" s="307" t="s">
        <v>635</v>
      </c>
      <c r="CV2801" s="307" t="s">
        <v>655</v>
      </c>
      <c r="CW2801" s="307" t="s">
        <v>10</v>
      </c>
      <c r="CX2801" s="307">
        <v>1.427</v>
      </c>
      <c r="CY2801" s="307">
        <v>1.427</v>
      </c>
      <c r="CZ2801" s="307">
        <v>1.427</v>
      </c>
    </row>
    <row r="2802" spans="98:104">
      <c r="CT2802" s="307" t="s">
        <v>3303</v>
      </c>
      <c r="CU2802" s="307" t="s">
        <v>635</v>
      </c>
      <c r="CV2802" s="307" t="s">
        <v>655</v>
      </c>
      <c r="CW2802" s="307" t="s">
        <v>11</v>
      </c>
      <c r="CX2802" s="307">
        <v>1.573</v>
      </c>
      <c r="CY2802" s="307">
        <v>1.573</v>
      </c>
      <c r="CZ2802" s="307">
        <v>1.573</v>
      </c>
    </row>
    <row r="2803" spans="98:104">
      <c r="CT2803" s="307" t="s">
        <v>3304</v>
      </c>
      <c r="CU2803" s="307" t="s">
        <v>635</v>
      </c>
      <c r="CV2803" s="307" t="s">
        <v>655</v>
      </c>
      <c r="CW2803" s="307" t="s">
        <v>12</v>
      </c>
      <c r="CX2803" s="307">
        <v>1.6919999999999999</v>
      </c>
      <c r="CY2803" s="307">
        <v>1.6919999999999999</v>
      </c>
      <c r="CZ2803" s="307">
        <v>1.6919999999999999</v>
      </c>
    </row>
    <row r="2804" spans="98:104">
      <c r="CT2804" s="307" t="s">
        <v>3305</v>
      </c>
      <c r="CU2804" s="307" t="s">
        <v>635</v>
      </c>
      <c r="CV2804" s="307" t="s">
        <v>655</v>
      </c>
      <c r="CW2804" s="307" t="s">
        <v>13</v>
      </c>
      <c r="CX2804" s="307">
        <v>1.798000002</v>
      </c>
      <c r="CY2804" s="307">
        <v>1.798000002</v>
      </c>
      <c r="CZ2804" s="307">
        <v>1.798000002</v>
      </c>
    </row>
    <row r="2805" spans="98:104">
      <c r="CT2805" s="307" t="s">
        <v>3306</v>
      </c>
      <c r="CU2805" s="307" t="s">
        <v>635</v>
      </c>
      <c r="CV2805" s="307" t="s">
        <v>655</v>
      </c>
      <c r="CW2805" s="307" t="s">
        <v>14</v>
      </c>
      <c r="CX2805" s="307">
        <v>1.8870000010000001</v>
      </c>
      <c r="CY2805" s="307">
        <v>1.8870000010000001</v>
      </c>
      <c r="CZ2805" s="307">
        <v>1.8870000010000001</v>
      </c>
    </row>
    <row r="2806" spans="98:104">
      <c r="CT2806" s="307" t="s">
        <v>3307</v>
      </c>
      <c r="CU2806" s="307" t="s">
        <v>635</v>
      </c>
      <c r="CV2806" s="307" t="s">
        <v>655</v>
      </c>
      <c r="CW2806" s="307" t="s">
        <v>15</v>
      </c>
      <c r="CX2806" s="307">
        <v>1.9610000009999999</v>
      </c>
      <c r="CY2806" s="307">
        <v>1.9610000009999999</v>
      </c>
      <c r="CZ2806" s="307">
        <v>1.9610000009999999</v>
      </c>
    </row>
    <row r="2807" spans="98:104">
      <c r="CT2807" s="307" t="s">
        <v>3308</v>
      </c>
      <c r="CU2807" s="307" t="s">
        <v>635</v>
      </c>
      <c r="CV2807" s="307" t="s">
        <v>655</v>
      </c>
      <c r="CW2807" s="307" t="s">
        <v>16</v>
      </c>
      <c r="CX2807" s="307">
        <v>2.0230000010000002</v>
      </c>
      <c r="CY2807" s="307">
        <v>2.0230000010000002</v>
      </c>
      <c r="CZ2807" s="307">
        <v>2.0230000010000002</v>
      </c>
    </row>
    <row r="2808" spans="98:104">
      <c r="CT2808" s="307" t="s">
        <v>3309</v>
      </c>
      <c r="CU2808" s="307" t="s">
        <v>635</v>
      </c>
      <c r="CV2808" s="307" t="s">
        <v>655</v>
      </c>
      <c r="CW2808" s="307" t="s">
        <v>17</v>
      </c>
      <c r="CX2808" s="307">
        <v>2.0760000010000002</v>
      </c>
      <c r="CY2808" s="307">
        <v>2.0760000010000002</v>
      </c>
      <c r="CZ2808" s="307">
        <v>2.0760000010000002</v>
      </c>
    </row>
    <row r="2809" spans="98:104">
      <c r="CT2809" s="307" t="s">
        <v>3310</v>
      </c>
      <c r="CU2809" s="307" t="s">
        <v>635</v>
      </c>
      <c r="CV2809" s="307" t="s">
        <v>655</v>
      </c>
      <c r="CW2809" s="307" t="s">
        <v>31</v>
      </c>
      <c r="CX2809" s="307">
        <v>2.122095721</v>
      </c>
      <c r="CY2809" s="307">
        <v>2.122095721</v>
      </c>
      <c r="CZ2809" s="307">
        <v>2.122095721</v>
      </c>
    </row>
    <row r="2810" spans="98:104">
      <c r="CT2810" s="307" t="s">
        <v>3311</v>
      </c>
      <c r="CU2810" s="307" t="s">
        <v>635</v>
      </c>
      <c r="CV2810" s="307" t="s">
        <v>655</v>
      </c>
      <c r="CW2810" s="307" t="s">
        <v>18</v>
      </c>
      <c r="CX2810" s="307">
        <v>2.161999995</v>
      </c>
      <c r="CY2810" s="307">
        <v>2.161999995</v>
      </c>
      <c r="CZ2810" s="307">
        <v>2.161999995</v>
      </c>
    </row>
    <row r="2811" spans="98:104">
      <c r="CT2811" s="307" t="s">
        <v>3312</v>
      </c>
      <c r="CU2811" s="307" t="s">
        <v>635</v>
      </c>
      <c r="CV2811" s="307" t="s">
        <v>655</v>
      </c>
      <c r="CW2811" s="307" t="s">
        <v>32</v>
      </c>
      <c r="CX2811" s="307">
        <v>2.195520551</v>
      </c>
      <c r="CY2811" s="307">
        <v>2.195520551</v>
      </c>
      <c r="CZ2811" s="307">
        <v>2.195520551</v>
      </c>
    </row>
    <row r="2812" spans="98:104">
      <c r="CT2812" s="307" t="s">
        <v>3313</v>
      </c>
      <c r="CU2812" s="307" t="s">
        <v>635</v>
      </c>
      <c r="CV2812" s="307" t="s">
        <v>655</v>
      </c>
      <c r="CW2812" s="307" t="s">
        <v>33</v>
      </c>
      <c r="CX2812" s="307">
        <v>2.2238145189999998</v>
      </c>
      <c r="CY2812" s="307">
        <v>2.2238145189999998</v>
      </c>
      <c r="CZ2812" s="307">
        <v>2.2238145189999998</v>
      </c>
    </row>
    <row r="2813" spans="98:104">
      <c r="CT2813" s="307" t="s">
        <v>3314</v>
      </c>
      <c r="CU2813" s="307" t="s">
        <v>635</v>
      </c>
      <c r="CV2813" s="307" t="s">
        <v>655</v>
      </c>
      <c r="CW2813" s="307" t="s">
        <v>19</v>
      </c>
      <c r="CX2813" s="307">
        <v>2.2479999949999998</v>
      </c>
      <c r="CY2813" s="307">
        <v>2.2479999949999998</v>
      </c>
      <c r="CZ2813" s="307">
        <v>2.2479999949999998</v>
      </c>
    </row>
    <row r="2814" spans="98:104">
      <c r="CT2814" s="307" t="s">
        <v>3315</v>
      </c>
      <c r="CU2814" s="307" t="s">
        <v>635</v>
      </c>
      <c r="CV2814" s="307" t="s">
        <v>655</v>
      </c>
      <c r="CW2814" s="307" t="s">
        <v>34</v>
      </c>
      <c r="CX2814" s="307">
        <v>2.2689883160000002</v>
      </c>
      <c r="CY2814" s="307">
        <v>2.2689883160000002</v>
      </c>
      <c r="CZ2814" s="307">
        <v>2.2689883160000002</v>
      </c>
    </row>
    <row r="2815" spans="98:104">
      <c r="CT2815" s="307" t="s">
        <v>3316</v>
      </c>
      <c r="CU2815" s="307" t="s">
        <v>635</v>
      </c>
      <c r="CV2815" s="307" t="s">
        <v>655</v>
      </c>
      <c r="CW2815" s="307" t="s">
        <v>35</v>
      </c>
      <c r="CX2815" s="307">
        <v>2.2869536959999999</v>
      </c>
      <c r="CY2815" s="307">
        <v>2.2869536959999999</v>
      </c>
      <c r="CZ2815" s="307">
        <v>2.2869536959999999</v>
      </c>
    </row>
    <row r="2816" spans="98:104">
      <c r="CT2816" s="307" t="s">
        <v>3317</v>
      </c>
      <c r="CU2816" s="307" t="s">
        <v>635</v>
      </c>
      <c r="CV2816" s="307" t="s">
        <v>655</v>
      </c>
      <c r="CW2816" s="307" t="s">
        <v>36</v>
      </c>
      <c r="CX2816" s="307">
        <v>2.3024651629999999</v>
      </c>
      <c r="CY2816" s="307">
        <v>2.3024651629999999</v>
      </c>
      <c r="CZ2816" s="307">
        <v>2.3024651629999999</v>
      </c>
    </row>
    <row r="2817" spans="98:104">
      <c r="CT2817" s="307" t="s">
        <v>3318</v>
      </c>
      <c r="CU2817" s="307" t="s">
        <v>635</v>
      </c>
      <c r="CV2817" s="307" t="s">
        <v>655</v>
      </c>
      <c r="CW2817" s="307" t="s">
        <v>37</v>
      </c>
      <c r="CX2817" s="307">
        <v>2.3157316469999998</v>
      </c>
      <c r="CY2817" s="307">
        <v>2.3157316469999998</v>
      </c>
      <c r="CZ2817" s="307">
        <v>2.3157316469999998</v>
      </c>
    </row>
    <row r="2818" spans="98:104">
      <c r="CT2818" s="307" t="s">
        <v>3319</v>
      </c>
      <c r="CU2818" s="307" t="s">
        <v>635</v>
      </c>
      <c r="CV2818" s="307" t="s">
        <v>655</v>
      </c>
      <c r="CW2818" s="307" t="s">
        <v>20</v>
      </c>
      <c r="CX2818" s="307">
        <v>2.3269999929999998</v>
      </c>
      <c r="CY2818" s="307">
        <v>2.3269999929999998</v>
      </c>
      <c r="CZ2818" s="307">
        <v>2.3269999929999998</v>
      </c>
    </row>
    <row r="2819" spans="98:104">
      <c r="CT2819" s="307" t="s">
        <v>3320</v>
      </c>
      <c r="CU2819" s="307" t="s">
        <v>635</v>
      </c>
      <c r="CV2819" s="307" t="s">
        <v>655</v>
      </c>
      <c r="CW2819" s="307" t="s">
        <v>38</v>
      </c>
      <c r="CX2819" s="307">
        <v>2.3364621620000001</v>
      </c>
      <c r="CY2819" s="307">
        <v>2.3364621620000001</v>
      </c>
      <c r="CZ2819" s="307">
        <v>2.3364621620000001</v>
      </c>
    </row>
    <row r="2820" spans="98:104">
      <c r="CT2820" s="307" t="s">
        <v>3321</v>
      </c>
      <c r="CU2820" s="307" t="s">
        <v>635</v>
      </c>
      <c r="CV2820" s="307" t="s">
        <v>655</v>
      </c>
      <c r="CW2820" s="307" t="s">
        <v>39</v>
      </c>
      <c r="CX2820" s="307">
        <v>2.3442998519999998</v>
      </c>
      <c r="CY2820" s="307">
        <v>2.3442998519999998</v>
      </c>
      <c r="CZ2820" s="307">
        <v>2.3442998519999998</v>
      </c>
    </row>
    <row r="2821" spans="98:104">
      <c r="CT2821" s="307" t="s">
        <v>3322</v>
      </c>
      <c r="CU2821" s="307" t="s">
        <v>635</v>
      </c>
      <c r="CV2821" s="307" t="s">
        <v>655</v>
      </c>
      <c r="CW2821" s="307" t="s">
        <v>40</v>
      </c>
      <c r="CX2821" s="307">
        <v>2.3508606109999999</v>
      </c>
      <c r="CY2821" s="307">
        <v>2.3508606109999999</v>
      </c>
      <c r="CZ2821" s="307">
        <v>2.3508606109999999</v>
      </c>
    </row>
    <row r="2822" spans="98:104">
      <c r="CT2822" s="307" t="s">
        <v>3323</v>
      </c>
      <c r="CU2822" s="307" t="s">
        <v>635</v>
      </c>
      <c r="CV2822" s="307" t="s">
        <v>655</v>
      </c>
      <c r="CW2822" s="307" t="s">
        <v>41</v>
      </c>
      <c r="CX2822" s="307">
        <v>2.3563872510000001</v>
      </c>
      <c r="CY2822" s="307">
        <v>2.3563872510000001</v>
      </c>
      <c r="CZ2822" s="307">
        <v>2.3563872510000001</v>
      </c>
    </row>
    <row r="2823" spans="98:104">
      <c r="CT2823" s="307" t="s">
        <v>3324</v>
      </c>
      <c r="CU2823" s="307" t="s">
        <v>635</v>
      </c>
      <c r="CV2823" s="307" t="s">
        <v>655</v>
      </c>
      <c r="CW2823" s="307" t="s">
        <v>21</v>
      </c>
      <c r="CX2823" s="307">
        <v>2.3609999909999999</v>
      </c>
      <c r="CY2823" s="307">
        <v>2.3609999909999999</v>
      </c>
      <c r="CZ2823" s="307">
        <v>2.3609999909999999</v>
      </c>
    </row>
    <row r="2824" spans="98:104">
      <c r="CT2824" s="307" t="s">
        <v>3325</v>
      </c>
      <c r="CU2824" s="307" t="s">
        <v>635</v>
      </c>
      <c r="CV2824" s="307" t="s">
        <v>655</v>
      </c>
      <c r="CW2824" s="307" t="s">
        <v>42</v>
      </c>
      <c r="CX2824" s="307">
        <v>2.3648651269999998</v>
      </c>
      <c r="CY2824" s="307">
        <v>2.3648651269999998</v>
      </c>
      <c r="CZ2824" s="307">
        <v>2.3648651269999998</v>
      </c>
    </row>
    <row r="2825" spans="98:104">
      <c r="CT2825" s="307" t="s">
        <v>3326</v>
      </c>
      <c r="CU2825" s="307" t="s">
        <v>635</v>
      </c>
      <c r="CV2825" s="307" t="s">
        <v>655</v>
      </c>
      <c r="CW2825" s="307" t="s">
        <v>43</v>
      </c>
      <c r="CX2825" s="307">
        <v>2.3681231720000002</v>
      </c>
      <c r="CY2825" s="307">
        <v>2.3681231720000002</v>
      </c>
      <c r="CZ2825" s="307">
        <v>2.3681231720000002</v>
      </c>
    </row>
    <row r="2826" spans="98:104">
      <c r="CT2826" s="307" t="s">
        <v>3327</v>
      </c>
      <c r="CU2826" s="307" t="s">
        <v>635</v>
      </c>
      <c r="CV2826" s="307" t="s">
        <v>655</v>
      </c>
      <c r="CW2826" s="307" t="s">
        <v>44</v>
      </c>
      <c r="CX2826" s="307">
        <v>2.3708235169999998</v>
      </c>
      <c r="CY2826" s="307">
        <v>2.3708235169999998</v>
      </c>
      <c r="CZ2826" s="307">
        <v>2.3708235169999998</v>
      </c>
    </row>
    <row r="2827" spans="98:104">
      <c r="CT2827" s="307" t="s">
        <v>3328</v>
      </c>
      <c r="CU2827" s="307" t="s">
        <v>635</v>
      </c>
      <c r="CV2827" s="307" t="s">
        <v>655</v>
      </c>
      <c r="CW2827" s="307" t="s">
        <v>45</v>
      </c>
      <c r="CX2827" s="307">
        <v>2.3730944150000002</v>
      </c>
      <c r="CY2827" s="307">
        <v>2.3730944150000002</v>
      </c>
      <c r="CZ2827" s="307">
        <v>2.3730944150000002</v>
      </c>
    </row>
    <row r="2828" spans="98:104">
      <c r="CT2828" s="307" t="s">
        <v>3329</v>
      </c>
      <c r="CU2828" s="307" t="s">
        <v>635</v>
      </c>
      <c r="CV2828" s="307" t="s">
        <v>655</v>
      </c>
      <c r="CW2828" s="307" t="s">
        <v>22</v>
      </c>
      <c r="CX2828" s="307">
        <v>2.3749999919999998</v>
      </c>
      <c r="CY2828" s="307">
        <v>2.3749999919999998</v>
      </c>
      <c r="CZ2828" s="307">
        <v>2.3749999919999998</v>
      </c>
    </row>
    <row r="2829" spans="98:104">
      <c r="CT2829" s="307" t="s">
        <v>3330</v>
      </c>
      <c r="CU2829" s="307" t="s">
        <v>635</v>
      </c>
      <c r="CV2829" s="307" t="s">
        <v>655</v>
      </c>
      <c r="CW2829" s="307" t="s">
        <v>46</v>
      </c>
      <c r="CX2829" s="307">
        <v>2.3809999909999999</v>
      </c>
      <c r="CY2829" s="307">
        <v>2.3809999909999999</v>
      </c>
      <c r="CZ2829" s="307">
        <v>2.3809999909999999</v>
      </c>
    </row>
    <row r="2830" spans="98:104">
      <c r="CT2830" s="307" t="s">
        <v>3331</v>
      </c>
      <c r="CU2830" s="307" t="s">
        <v>635</v>
      </c>
      <c r="CV2830" s="307" t="s">
        <v>655</v>
      </c>
      <c r="CW2830" s="307" t="s">
        <v>47</v>
      </c>
      <c r="CX2830" s="307">
        <v>2.3749999910000001</v>
      </c>
      <c r="CY2830" s="307">
        <v>2.3749999910000001</v>
      </c>
      <c r="CZ2830" s="307">
        <v>2.3749999910000001</v>
      </c>
    </row>
    <row r="2831" spans="98:104">
      <c r="CT2831" s="307" t="s">
        <v>3332</v>
      </c>
      <c r="CU2831" s="307" t="s">
        <v>635</v>
      </c>
      <c r="CV2831" s="307" t="s">
        <v>655</v>
      </c>
      <c r="CW2831" s="307" t="s">
        <v>48</v>
      </c>
      <c r="CX2831" s="307">
        <v>2.3695336390000001</v>
      </c>
      <c r="CY2831" s="307">
        <v>2.3695336390000001</v>
      </c>
      <c r="CZ2831" s="307">
        <v>2.3695336390000001</v>
      </c>
    </row>
    <row r="2832" spans="98:104">
      <c r="CT2832" s="307" t="s">
        <v>3333</v>
      </c>
      <c r="CU2832" s="307" t="s">
        <v>635</v>
      </c>
      <c r="CV2832" s="307" t="s">
        <v>3334</v>
      </c>
      <c r="CW2832" s="307" t="s">
        <v>5</v>
      </c>
      <c r="CX2832" s="307">
        <v>0.78040122599999995</v>
      </c>
      <c r="CY2832" s="307">
        <v>0.78040122599999995</v>
      </c>
      <c r="CZ2832" s="307">
        <v>0.78040122599999995</v>
      </c>
    </row>
    <row r="2833" spans="98:104">
      <c r="CT2833" s="307" t="s">
        <v>3335</v>
      </c>
      <c r="CU2833" s="307" t="s">
        <v>635</v>
      </c>
      <c r="CV2833" s="307" t="s">
        <v>3334</v>
      </c>
      <c r="CW2833" s="307" t="s">
        <v>6</v>
      </c>
      <c r="CX2833" s="307">
        <v>0.86539950499999996</v>
      </c>
      <c r="CY2833" s="307">
        <v>0.86539950499999996</v>
      </c>
      <c r="CZ2833" s="307">
        <v>0.86539950499999996</v>
      </c>
    </row>
    <row r="2834" spans="98:104">
      <c r="CT2834" s="307" t="s">
        <v>3336</v>
      </c>
      <c r="CU2834" s="307" t="s">
        <v>635</v>
      </c>
      <c r="CV2834" s="307" t="s">
        <v>3334</v>
      </c>
      <c r="CW2834" s="307" t="s">
        <v>24</v>
      </c>
      <c r="CX2834" s="307">
        <v>0.86150790700000002</v>
      </c>
      <c r="CY2834" s="307">
        <v>0.86150790700000002</v>
      </c>
      <c r="CZ2834" s="307">
        <v>0.86150790700000002</v>
      </c>
    </row>
    <row r="2835" spans="98:104">
      <c r="CT2835" s="307" t="s">
        <v>3337</v>
      </c>
      <c r="CU2835" s="307" t="s">
        <v>635</v>
      </c>
      <c r="CV2835" s="307" t="s">
        <v>3334</v>
      </c>
      <c r="CW2835" s="307" t="s">
        <v>7</v>
      </c>
      <c r="CX2835" s="307">
        <v>0.92789380600000004</v>
      </c>
      <c r="CY2835" s="307">
        <v>0.92789380600000004</v>
      </c>
      <c r="CZ2835" s="307">
        <v>0.92789380600000004</v>
      </c>
    </row>
    <row r="2836" spans="98:104">
      <c r="CT2836" s="307" t="s">
        <v>3338</v>
      </c>
      <c r="CU2836" s="307" t="s">
        <v>635</v>
      </c>
      <c r="CV2836" s="307" t="s">
        <v>3334</v>
      </c>
      <c r="CW2836" s="307" t="s">
        <v>8</v>
      </c>
      <c r="CX2836" s="307">
        <v>1.4172871840000001</v>
      </c>
      <c r="CY2836" s="307">
        <v>1.4172871840000001</v>
      </c>
      <c r="CZ2836" s="307">
        <v>1.4172871840000001</v>
      </c>
    </row>
    <row r="2837" spans="98:104">
      <c r="CT2837" s="307" t="s">
        <v>3339</v>
      </c>
      <c r="CU2837" s="307" t="s">
        <v>635</v>
      </c>
      <c r="CV2837" s="307" t="s">
        <v>3334</v>
      </c>
      <c r="CW2837" s="307" t="s">
        <v>25</v>
      </c>
      <c r="CX2837" s="307">
        <v>1.3763048769999999</v>
      </c>
      <c r="CY2837" s="307">
        <v>1.3763048769999999</v>
      </c>
      <c r="CZ2837" s="307">
        <v>1.3763048769999999</v>
      </c>
    </row>
    <row r="2838" spans="98:104">
      <c r="CT2838" s="307" t="s">
        <v>3340</v>
      </c>
      <c r="CU2838" s="307" t="s">
        <v>635</v>
      </c>
      <c r="CV2838" s="307" t="s">
        <v>3334</v>
      </c>
      <c r="CW2838" s="307" t="s">
        <v>26</v>
      </c>
      <c r="CX2838" s="307">
        <v>1.3510963309999999</v>
      </c>
      <c r="CY2838" s="307">
        <v>1.3510963309999999</v>
      </c>
      <c r="CZ2838" s="307">
        <v>1.3510963309999999</v>
      </c>
    </row>
    <row r="2839" spans="98:104">
      <c r="CT2839" s="307" t="s">
        <v>3341</v>
      </c>
      <c r="CU2839" s="307" t="s">
        <v>635</v>
      </c>
      <c r="CV2839" s="307" t="s">
        <v>3334</v>
      </c>
      <c r="CW2839" s="307" t="s">
        <v>27</v>
      </c>
      <c r="CX2839" s="307">
        <v>1.3876375649999999</v>
      </c>
      <c r="CY2839" s="307">
        <v>1.3876375649999999</v>
      </c>
      <c r="CZ2839" s="307">
        <v>1.3876375649999999</v>
      </c>
    </row>
    <row r="2840" spans="98:104">
      <c r="CT2840" s="307" t="s">
        <v>3342</v>
      </c>
      <c r="CU2840" s="307" t="s">
        <v>635</v>
      </c>
      <c r="CV2840" s="307" t="s">
        <v>3334</v>
      </c>
      <c r="CW2840" s="307" t="s">
        <v>28</v>
      </c>
      <c r="CX2840" s="307">
        <v>1.3747293789999999</v>
      </c>
      <c r="CY2840" s="307">
        <v>1.3747293789999999</v>
      </c>
      <c r="CZ2840" s="307">
        <v>1.3747293789999999</v>
      </c>
    </row>
    <row r="2841" spans="98:104">
      <c r="CT2841" s="307" t="s">
        <v>3343</v>
      </c>
      <c r="CU2841" s="307" t="s">
        <v>635</v>
      </c>
      <c r="CV2841" s="307" t="s">
        <v>3334</v>
      </c>
      <c r="CW2841" s="307" t="s">
        <v>29</v>
      </c>
      <c r="CX2841" s="307">
        <v>1.3685016299999999</v>
      </c>
      <c r="CY2841" s="307">
        <v>1.3685016299999999</v>
      </c>
      <c r="CZ2841" s="307">
        <v>1.3685016299999999</v>
      </c>
    </row>
    <row r="2842" spans="98:104">
      <c r="CT2842" s="307" t="s">
        <v>3344</v>
      </c>
      <c r="CU2842" s="307" t="s">
        <v>635</v>
      </c>
      <c r="CV2842" s="307" t="s">
        <v>3334</v>
      </c>
      <c r="CW2842" s="307" t="s">
        <v>30</v>
      </c>
      <c r="CX2842" s="307">
        <v>1.3929940000000001</v>
      </c>
      <c r="CY2842" s="307">
        <v>1.3929940000000001</v>
      </c>
      <c r="CZ2842" s="307">
        <v>1.3929940000000001</v>
      </c>
    </row>
    <row r="2843" spans="98:104">
      <c r="CT2843" s="307" t="s">
        <v>3345</v>
      </c>
      <c r="CU2843" s="307" t="s">
        <v>635</v>
      </c>
      <c r="CV2843" s="307" t="s">
        <v>3334</v>
      </c>
      <c r="CW2843" s="307" t="s">
        <v>49</v>
      </c>
      <c r="CX2843" s="307">
        <v>1.397424703</v>
      </c>
      <c r="CY2843" s="307">
        <v>1.397424703</v>
      </c>
      <c r="CZ2843" s="307">
        <v>1.397424703</v>
      </c>
    </row>
    <row r="2844" spans="98:104">
      <c r="CT2844" s="307" t="s">
        <v>3346</v>
      </c>
      <c r="CU2844" s="307" t="s">
        <v>635</v>
      </c>
      <c r="CV2844" s="307" t="s">
        <v>3334</v>
      </c>
      <c r="CW2844" s="307" t="s">
        <v>56</v>
      </c>
      <c r="CX2844" s="307">
        <v>-0.46625</v>
      </c>
      <c r="CY2844" s="307">
        <v>-0.41625000000000001</v>
      </c>
      <c r="CZ2844" s="307">
        <v>-0.44125000000000003</v>
      </c>
    </row>
    <row r="2845" spans="98:104">
      <c r="CT2845" s="307" t="s">
        <v>3347</v>
      </c>
      <c r="CU2845" s="307" t="s">
        <v>635</v>
      </c>
      <c r="CV2845" s="307" t="s">
        <v>3334</v>
      </c>
      <c r="CW2845" s="307" t="s">
        <v>54</v>
      </c>
      <c r="CX2845" s="307">
        <v>-0.46500000000000002</v>
      </c>
      <c r="CY2845" s="307">
        <v>-0.41499999999999998</v>
      </c>
      <c r="CZ2845" s="307">
        <v>-0.44</v>
      </c>
    </row>
    <row r="2846" spans="98:104">
      <c r="CT2846" s="307" t="s">
        <v>3348</v>
      </c>
      <c r="CU2846" s="307" t="s">
        <v>635</v>
      </c>
      <c r="CV2846" s="307" t="s">
        <v>3334</v>
      </c>
      <c r="CW2846" s="307" t="s">
        <v>9</v>
      </c>
      <c r="CX2846" s="307">
        <v>-0.45124999999999998</v>
      </c>
      <c r="CY2846" s="307">
        <v>-0.40125</v>
      </c>
      <c r="CZ2846" s="307">
        <v>-0.42625000000000002</v>
      </c>
    </row>
    <row r="2847" spans="98:104">
      <c r="CT2847" s="307" t="s">
        <v>3349</v>
      </c>
      <c r="CU2847" s="307" t="s">
        <v>635</v>
      </c>
      <c r="CV2847" s="307" t="s">
        <v>3334</v>
      </c>
      <c r="CW2847" s="307" t="s">
        <v>10</v>
      </c>
      <c r="CX2847" s="307">
        <v>-0.4425</v>
      </c>
      <c r="CY2847" s="307">
        <v>-0.39250000000000002</v>
      </c>
      <c r="CZ2847" s="307">
        <v>-0.41749999999999998</v>
      </c>
    </row>
    <row r="2848" spans="98:104">
      <c r="CT2848" s="307" t="s">
        <v>3350</v>
      </c>
      <c r="CU2848" s="307" t="s">
        <v>635</v>
      </c>
      <c r="CV2848" s="307" t="s">
        <v>3334</v>
      </c>
      <c r="CW2848" s="307" t="s">
        <v>11</v>
      </c>
      <c r="CX2848" s="307">
        <v>-0.4425</v>
      </c>
      <c r="CY2848" s="307">
        <v>-0.39250000000000002</v>
      </c>
      <c r="CZ2848" s="307">
        <v>-0.41749999999999998</v>
      </c>
    </row>
    <row r="2849" spans="98:104">
      <c r="CT2849" s="307" t="s">
        <v>3351</v>
      </c>
      <c r="CU2849" s="307" t="s">
        <v>635</v>
      </c>
      <c r="CV2849" s="307" t="s">
        <v>3334</v>
      </c>
      <c r="CW2849" s="307" t="s">
        <v>12</v>
      </c>
      <c r="CX2849" s="307">
        <v>-0.44874999999999998</v>
      </c>
      <c r="CY2849" s="307">
        <v>-0.39874999999999999</v>
      </c>
      <c r="CZ2849" s="307">
        <v>-0.42374999999999996</v>
      </c>
    </row>
    <row r="2850" spans="98:104">
      <c r="CT2850" s="307" t="s">
        <v>4873</v>
      </c>
      <c r="CU2850" s="307" t="s">
        <v>635</v>
      </c>
      <c r="CV2850" s="307" t="s">
        <v>3334</v>
      </c>
      <c r="CW2850" s="307" t="s">
        <v>13</v>
      </c>
      <c r="CX2850" s="307">
        <v>-0.45374999999999999</v>
      </c>
      <c r="CY2850" s="307">
        <v>-0.40375</v>
      </c>
      <c r="CZ2850" s="307">
        <v>-0.42874999999999996</v>
      </c>
    </row>
    <row r="2851" spans="98:104">
      <c r="CT2851" s="307" t="s">
        <v>3352</v>
      </c>
      <c r="CU2851" s="307" t="s">
        <v>635</v>
      </c>
      <c r="CV2851" s="307" t="s">
        <v>3334</v>
      </c>
      <c r="CW2851" s="307" t="s">
        <v>14</v>
      </c>
      <c r="CX2851" s="307">
        <v>-0.45500000000000002</v>
      </c>
      <c r="CY2851" s="307">
        <v>-0.40500000000000003</v>
      </c>
      <c r="CZ2851" s="307">
        <v>-0.43000000000000005</v>
      </c>
    </row>
    <row r="2852" spans="98:104">
      <c r="CT2852" s="307" t="s">
        <v>4874</v>
      </c>
      <c r="CU2852" s="307" t="s">
        <v>635</v>
      </c>
      <c r="CV2852" s="307" t="s">
        <v>3334</v>
      </c>
      <c r="CW2852" s="307" t="s">
        <v>15</v>
      </c>
      <c r="CX2852" s="307">
        <v>-0.45250000000000001</v>
      </c>
      <c r="CY2852" s="307">
        <v>-0.40250000000000002</v>
      </c>
      <c r="CZ2852" s="307">
        <v>-0.42749999999999999</v>
      </c>
    </row>
    <row r="2853" spans="98:104">
      <c r="CT2853" s="307" t="s">
        <v>4875</v>
      </c>
      <c r="CU2853" s="307" t="s">
        <v>635</v>
      </c>
      <c r="CV2853" s="307" t="s">
        <v>3334</v>
      </c>
      <c r="CW2853" s="307" t="s">
        <v>16</v>
      </c>
      <c r="CX2853" s="307">
        <v>-0.45</v>
      </c>
      <c r="CY2853" s="307">
        <v>-0.4</v>
      </c>
      <c r="CZ2853" s="307">
        <v>-0.42500000000000004</v>
      </c>
    </row>
    <row r="2854" spans="98:104">
      <c r="CT2854" s="307" t="s">
        <v>3353</v>
      </c>
      <c r="CU2854" s="307" t="s">
        <v>635</v>
      </c>
      <c r="CV2854" s="307" t="s">
        <v>3334</v>
      </c>
      <c r="CW2854" s="307" t="s">
        <v>17</v>
      </c>
      <c r="CX2854" s="307">
        <v>-0.44624999999999998</v>
      </c>
      <c r="CY2854" s="307">
        <v>-0.39624999999999999</v>
      </c>
      <c r="CZ2854" s="307">
        <v>-0.42125000000000001</v>
      </c>
    </row>
    <row r="2855" spans="98:104">
      <c r="CT2855" s="307" t="s">
        <v>4876</v>
      </c>
      <c r="CU2855" s="307" t="s">
        <v>635</v>
      </c>
      <c r="CV2855" s="307" t="s">
        <v>3334</v>
      </c>
      <c r="CW2855" s="307" t="s">
        <v>18</v>
      </c>
      <c r="CX2855" s="307">
        <v>-0.4325</v>
      </c>
      <c r="CY2855" s="307">
        <v>-0.38250000000000001</v>
      </c>
      <c r="CZ2855" s="307">
        <v>-0.40749999999999997</v>
      </c>
    </row>
    <row r="2856" spans="98:104">
      <c r="CT2856" s="307" t="s">
        <v>3354</v>
      </c>
      <c r="CU2856" s="307" t="s">
        <v>635</v>
      </c>
      <c r="CV2856" s="307" t="s">
        <v>3334</v>
      </c>
      <c r="CW2856" s="307" t="s">
        <v>19</v>
      </c>
      <c r="CX2856" s="307">
        <v>-0.38874999999999998</v>
      </c>
      <c r="CY2856" s="307">
        <v>-0.33875</v>
      </c>
      <c r="CZ2856" s="307">
        <v>-0.36375000000000002</v>
      </c>
    </row>
    <row r="2857" spans="98:104">
      <c r="CT2857" s="307" t="s">
        <v>3355</v>
      </c>
      <c r="CU2857" s="307" t="s">
        <v>635</v>
      </c>
      <c r="CV2857" s="307" t="s">
        <v>3334</v>
      </c>
      <c r="CW2857" s="307" t="s">
        <v>20</v>
      </c>
      <c r="CX2857" s="307">
        <v>-0.32124999999999998</v>
      </c>
      <c r="CY2857" s="307">
        <v>-0.27124999999999999</v>
      </c>
      <c r="CZ2857" s="307">
        <v>-0.29625000000000001</v>
      </c>
    </row>
    <row r="2858" spans="98:104">
      <c r="CT2858" s="307" t="s">
        <v>4877</v>
      </c>
      <c r="CU2858" s="307" t="s">
        <v>635</v>
      </c>
      <c r="CV2858" s="307" t="s">
        <v>3334</v>
      </c>
      <c r="CW2858" s="307" t="s">
        <v>21</v>
      </c>
      <c r="CX2858" s="307">
        <v>-0.27124999999999999</v>
      </c>
      <c r="CY2858" s="307">
        <v>-0.22125</v>
      </c>
      <c r="CZ2858" s="307">
        <v>-0.24625</v>
      </c>
    </row>
    <row r="2859" spans="98:104">
      <c r="CT2859" s="307" t="s">
        <v>3356</v>
      </c>
      <c r="CU2859" s="307" t="s">
        <v>635</v>
      </c>
      <c r="CV2859" s="307" t="s">
        <v>3334</v>
      </c>
      <c r="CW2859" s="307" t="s">
        <v>22</v>
      </c>
      <c r="CX2859" s="307">
        <v>-0.24374999999999999</v>
      </c>
      <c r="CY2859" s="307">
        <v>-0.19375000000000001</v>
      </c>
      <c r="CZ2859" s="307">
        <v>-0.21875</v>
      </c>
    </row>
    <row r="2860" spans="98:104">
      <c r="CT2860" s="307" t="s">
        <v>4878</v>
      </c>
      <c r="CU2860" s="307" t="s">
        <v>635</v>
      </c>
      <c r="CV2860" s="307" t="s">
        <v>3334</v>
      </c>
      <c r="CW2860" s="307" t="s">
        <v>46</v>
      </c>
      <c r="CX2860" s="307">
        <v>-0.25624999999999998</v>
      </c>
      <c r="CY2860" s="307">
        <v>-0.20624999999999999</v>
      </c>
      <c r="CZ2860" s="307">
        <v>-0.23124999999999998</v>
      </c>
    </row>
    <row r="2861" spans="98:104">
      <c r="CT2861" s="307" t="s">
        <v>4879</v>
      </c>
      <c r="CU2861" s="307" t="s">
        <v>635</v>
      </c>
      <c r="CV2861" s="307" t="s">
        <v>3334</v>
      </c>
      <c r="CW2861" s="307" t="s">
        <v>47</v>
      </c>
      <c r="CX2861" s="307">
        <v>-0.28375</v>
      </c>
      <c r="CY2861" s="307">
        <v>-0.23375000000000001</v>
      </c>
      <c r="CZ2861" s="307">
        <v>-0.25875000000000004</v>
      </c>
    </row>
    <row r="2862" spans="98:104">
      <c r="CT2862" s="307" t="s">
        <v>3357</v>
      </c>
      <c r="CU2862" s="307" t="s">
        <v>635</v>
      </c>
      <c r="CV2862" s="307" t="s">
        <v>3358</v>
      </c>
      <c r="CW2862" s="307" t="s">
        <v>5</v>
      </c>
      <c r="CX2862" s="307">
        <v>0.75939661400000003</v>
      </c>
      <c r="CY2862" s="307">
        <v>0.75939661400000003</v>
      </c>
      <c r="CZ2862" s="307">
        <v>0.75939661400000003</v>
      </c>
    </row>
    <row r="2863" spans="98:104">
      <c r="CT2863" s="307" t="s">
        <v>3359</v>
      </c>
      <c r="CU2863" s="307" t="s">
        <v>635</v>
      </c>
      <c r="CV2863" s="307" t="s">
        <v>3358</v>
      </c>
      <c r="CW2863" s="307" t="s">
        <v>6</v>
      </c>
      <c r="CX2863" s="307">
        <v>0.84238865900000004</v>
      </c>
      <c r="CY2863" s="307">
        <v>0.84238865900000004</v>
      </c>
      <c r="CZ2863" s="307">
        <v>0.84238865900000004</v>
      </c>
    </row>
    <row r="2864" spans="98:104">
      <c r="CT2864" s="307" t="s">
        <v>3360</v>
      </c>
      <c r="CU2864" s="307" t="s">
        <v>635</v>
      </c>
      <c r="CV2864" s="307" t="s">
        <v>3358</v>
      </c>
      <c r="CW2864" s="307" t="s">
        <v>24</v>
      </c>
      <c r="CX2864" s="307">
        <v>0.83949238199999998</v>
      </c>
      <c r="CY2864" s="307">
        <v>0.83949238199999998</v>
      </c>
      <c r="CZ2864" s="307">
        <v>0.83949238199999998</v>
      </c>
    </row>
    <row r="2865" spans="98:104">
      <c r="CT2865" s="307" t="s">
        <v>3361</v>
      </c>
      <c r="CU2865" s="307" t="s">
        <v>635</v>
      </c>
      <c r="CV2865" s="307" t="s">
        <v>3358</v>
      </c>
      <c r="CW2865" s="307" t="s">
        <v>7</v>
      </c>
      <c r="CX2865" s="307">
        <v>0.90687145400000002</v>
      </c>
      <c r="CY2865" s="307">
        <v>0.90687145400000002</v>
      </c>
      <c r="CZ2865" s="307">
        <v>0.90687145400000002</v>
      </c>
    </row>
    <row r="2866" spans="98:104">
      <c r="CT2866" s="307" t="s">
        <v>3362</v>
      </c>
      <c r="CU2866" s="307" t="s">
        <v>635</v>
      </c>
      <c r="CV2866" s="307" t="s">
        <v>3358</v>
      </c>
      <c r="CW2866" s="307" t="s">
        <v>8</v>
      </c>
      <c r="CX2866" s="307">
        <v>1.434776152</v>
      </c>
      <c r="CY2866" s="307">
        <v>1.434776152</v>
      </c>
      <c r="CZ2866" s="307">
        <v>1.434776152</v>
      </c>
    </row>
    <row r="2867" spans="98:104">
      <c r="CT2867" s="307" t="s">
        <v>3363</v>
      </c>
      <c r="CU2867" s="307" t="s">
        <v>635</v>
      </c>
      <c r="CV2867" s="307" t="s">
        <v>3358</v>
      </c>
      <c r="CW2867" s="307" t="s">
        <v>25</v>
      </c>
      <c r="CX2867" s="307">
        <v>1.4242275550000001</v>
      </c>
      <c r="CY2867" s="307">
        <v>1.4242275550000001</v>
      </c>
      <c r="CZ2867" s="307">
        <v>1.4242275550000001</v>
      </c>
    </row>
    <row r="2868" spans="98:104">
      <c r="CT2868" s="307" t="s">
        <v>3364</v>
      </c>
      <c r="CU2868" s="307" t="s">
        <v>635</v>
      </c>
      <c r="CV2868" s="307" t="s">
        <v>3358</v>
      </c>
      <c r="CW2868" s="307" t="s">
        <v>26</v>
      </c>
      <c r="CX2868" s="307">
        <v>1.430692302</v>
      </c>
      <c r="CY2868" s="307">
        <v>1.430692302</v>
      </c>
      <c r="CZ2868" s="307">
        <v>1.430692302</v>
      </c>
    </row>
    <row r="2869" spans="98:104">
      <c r="CT2869" s="307" t="s">
        <v>3365</v>
      </c>
      <c r="CU2869" s="307" t="s">
        <v>635</v>
      </c>
      <c r="CV2869" s="307" t="s">
        <v>3358</v>
      </c>
      <c r="CW2869" s="307" t="s">
        <v>27</v>
      </c>
      <c r="CX2869" s="307">
        <v>1.49885168</v>
      </c>
      <c r="CY2869" s="307">
        <v>1.49885168</v>
      </c>
      <c r="CZ2869" s="307">
        <v>1.49885168</v>
      </c>
    </row>
    <row r="2870" spans="98:104">
      <c r="CT2870" s="307" t="s">
        <v>3366</v>
      </c>
      <c r="CU2870" s="307" t="s">
        <v>635</v>
      </c>
      <c r="CV2870" s="307" t="s">
        <v>3358</v>
      </c>
      <c r="CW2870" s="307" t="s">
        <v>28</v>
      </c>
      <c r="CX2870" s="307">
        <v>1.5176710449999999</v>
      </c>
      <c r="CY2870" s="307">
        <v>1.5176710449999999</v>
      </c>
      <c r="CZ2870" s="307">
        <v>1.5176710449999999</v>
      </c>
    </row>
    <row r="2871" spans="98:104">
      <c r="CT2871" s="307" t="s">
        <v>3367</v>
      </c>
      <c r="CU2871" s="307" t="s">
        <v>635</v>
      </c>
      <c r="CV2871" s="307" t="s">
        <v>3358</v>
      </c>
      <c r="CW2871" s="307" t="s">
        <v>29</v>
      </c>
      <c r="CX2871" s="307">
        <v>1.5430824679999999</v>
      </c>
      <c r="CY2871" s="307">
        <v>1.5430824679999999</v>
      </c>
      <c r="CZ2871" s="307">
        <v>1.5430824679999999</v>
      </c>
    </row>
    <row r="2872" spans="98:104">
      <c r="CT2872" s="307" t="s">
        <v>3368</v>
      </c>
      <c r="CU2872" s="307" t="s">
        <v>635</v>
      </c>
      <c r="CV2872" s="307" t="s">
        <v>3358</v>
      </c>
      <c r="CW2872" s="307" t="s">
        <v>30</v>
      </c>
      <c r="CX2872" s="307">
        <v>1.5585540099999999</v>
      </c>
      <c r="CY2872" s="307">
        <v>1.5585540099999999</v>
      </c>
      <c r="CZ2872" s="307">
        <v>1.5585540099999999</v>
      </c>
    </row>
    <row r="2873" spans="98:104">
      <c r="CT2873" s="307" t="s">
        <v>3369</v>
      </c>
      <c r="CU2873" s="307" t="s">
        <v>635</v>
      </c>
      <c r="CV2873" s="307" t="s">
        <v>3358</v>
      </c>
      <c r="CW2873" s="307" t="s">
        <v>49</v>
      </c>
      <c r="CX2873" s="307">
        <v>1.5535997669999999</v>
      </c>
      <c r="CY2873" s="307">
        <v>1.5535997669999999</v>
      </c>
      <c r="CZ2873" s="307">
        <v>1.5535997669999999</v>
      </c>
    </row>
    <row r="2874" spans="98:104">
      <c r="CT2874" s="307" t="s">
        <v>3370</v>
      </c>
      <c r="CU2874" s="307" t="s">
        <v>635</v>
      </c>
      <c r="CV2874" s="307" t="s">
        <v>3358</v>
      </c>
      <c r="CW2874" s="307" t="s">
        <v>56</v>
      </c>
      <c r="CX2874" s="307">
        <v>-0.46625</v>
      </c>
      <c r="CY2874" s="307">
        <v>-0.41625000000000001</v>
      </c>
      <c r="CZ2874" s="307">
        <v>-0.44125000000000003</v>
      </c>
    </row>
    <row r="2875" spans="98:104">
      <c r="CT2875" s="307" t="s">
        <v>3371</v>
      </c>
      <c r="CU2875" s="307" t="s">
        <v>635</v>
      </c>
      <c r="CV2875" s="307" t="s">
        <v>3358</v>
      </c>
      <c r="CW2875" s="307" t="s">
        <v>54</v>
      </c>
      <c r="CX2875" s="307">
        <v>-0.46500000000000002</v>
      </c>
      <c r="CY2875" s="307">
        <v>-0.41499999999999998</v>
      </c>
      <c r="CZ2875" s="307">
        <v>-0.44</v>
      </c>
    </row>
    <row r="2876" spans="98:104">
      <c r="CT2876" s="307" t="s">
        <v>3372</v>
      </c>
      <c r="CU2876" s="307" t="s">
        <v>635</v>
      </c>
      <c r="CV2876" s="307" t="s">
        <v>3358</v>
      </c>
      <c r="CW2876" s="307" t="s">
        <v>9</v>
      </c>
      <c r="CX2876" s="307">
        <v>-0.45124999999999998</v>
      </c>
      <c r="CY2876" s="307">
        <v>-0.40125</v>
      </c>
      <c r="CZ2876" s="307">
        <v>-0.42625000000000002</v>
      </c>
    </row>
    <row r="2877" spans="98:104">
      <c r="CT2877" s="307" t="s">
        <v>3373</v>
      </c>
      <c r="CU2877" s="307" t="s">
        <v>635</v>
      </c>
      <c r="CV2877" s="307" t="s">
        <v>3358</v>
      </c>
      <c r="CW2877" s="307" t="s">
        <v>10</v>
      </c>
      <c r="CX2877" s="307">
        <v>-0.4425</v>
      </c>
      <c r="CY2877" s="307">
        <v>-0.39250000000000002</v>
      </c>
      <c r="CZ2877" s="307">
        <v>-0.41749999999999998</v>
      </c>
    </row>
    <row r="2878" spans="98:104">
      <c r="CT2878" s="307" t="s">
        <v>3374</v>
      </c>
      <c r="CU2878" s="307" t="s">
        <v>635</v>
      </c>
      <c r="CV2878" s="307" t="s">
        <v>3358</v>
      </c>
      <c r="CW2878" s="307" t="s">
        <v>11</v>
      </c>
      <c r="CX2878" s="307">
        <v>-0.4425</v>
      </c>
      <c r="CY2878" s="307">
        <v>-0.39250000000000002</v>
      </c>
      <c r="CZ2878" s="307">
        <v>-0.41749999999999998</v>
      </c>
    </row>
    <row r="2879" spans="98:104">
      <c r="CT2879" s="307" t="s">
        <v>3375</v>
      </c>
      <c r="CU2879" s="307" t="s">
        <v>635</v>
      </c>
      <c r="CV2879" s="307" t="s">
        <v>3358</v>
      </c>
      <c r="CW2879" s="307" t="s">
        <v>12</v>
      </c>
      <c r="CX2879" s="307">
        <v>-0.44874999999999998</v>
      </c>
      <c r="CY2879" s="307">
        <v>-0.39874999999999999</v>
      </c>
      <c r="CZ2879" s="307">
        <v>-0.42374999999999996</v>
      </c>
    </row>
    <row r="2880" spans="98:104">
      <c r="CT2880" s="307" t="s">
        <v>4880</v>
      </c>
      <c r="CU2880" s="307" t="s">
        <v>635</v>
      </c>
      <c r="CV2880" s="307" t="s">
        <v>3358</v>
      </c>
      <c r="CW2880" s="307" t="s">
        <v>13</v>
      </c>
      <c r="CX2880" s="307">
        <v>-0.45374999999999999</v>
      </c>
      <c r="CY2880" s="307">
        <v>-0.40375</v>
      </c>
      <c r="CZ2880" s="307">
        <v>-0.42874999999999996</v>
      </c>
    </row>
    <row r="2881" spans="98:104">
      <c r="CT2881" s="307" t="s">
        <v>3376</v>
      </c>
      <c r="CU2881" s="307" t="s">
        <v>635</v>
      </c>
      <c r="CV2881" s="307" t="s">
        <v>3358</v>
      </c>
      <c r="CW2881" s="307" t="s">
        <v>14</v>
      </c>
      <c r="CX2881" s="307">
        <v>-0.45500000000000002</v>
      </c>
      <c r="CY2881" s="307">
        <v>-0.40500000000000003</v>
      </c>
      <c r="CZ2881" s="307">
        <v>-0.43000000000000005</v>
      </c>
    </row>
    <row r="2882" spans="98:104">
      <c r="CT2882" s="307" t="s">
        <v>4881</v>
      </c>
      <c r="CU2882" s="307" t="s">
        <v>635</v>
      </c>
      <c r="CV2882" s="307" t="s">
        <v>3358</v>
      </c>
      <c r="CW2882" s="307" t="s">
        <v>15</v>
      </c>
      <c r="CX2882" s="307">
        <v>-0.45250000000000001</v>
      </c>
      <c r="CY2882" s="307">
        <v>-0.40250000000000002</v>
      </c>
      <c r="CZ2882" s="307">
        <v>-0.42749999999999999</v>
      </c>
    </row>
    <row r="2883" spans="98:104">
      <c r="CT2883" s="307" t="s">
        <v>4882</v>
      </c>
      <c r="CU2883" s="307" t="s">
        <v>635</v>
      </c>
      <c r="CV2883" s="307" t="s">
        <v>3358</v>
      </c>
      <c r="CW2883" s="307" t="s">
        <v>16</v>
      </c>
      <c r="CX2883" s="307">
        <v>-0.45</v>
      </c>
      <c r="CY2883" s="307">
        <v>-0.4</v>
      </c>
      <c r="CZ2883" s="307">
        <v>-0.42500000000000004</v>
      </c>
    </row>
    <row r="2884" spans="98:104">
      <c r="CT2884" s="307" t="s">
        <v>3377</v>
      </c>
      <c r="CU2884" s="307" t="s">
        <v>635</v>
      </c>
      <c r="CV2884" s="307" t="s">
        <v>3358</v>
      </c>
      <c r="CW2884" s="307" t="s">
        <v>17</v>
      </c>
      <c r="CX2884" s="307">
        <v>-0.44624999999999998</v>
      </c>
      <c r="CY2884" s="307">
        <v>-0.39624999999999999</v>
      </c>
      <c r="CZ2884" s="307">
        <v>-0.42125000000000001</v>
      </c>
    </row>
    <row r="2885" spans="98:104">
      <c r="CT2885" s="307" t="s">
        <v>4883</v>
      </c>
      <c r="CU2885" s="307" t="s">
        <v>635</v>
      </c>
      <c r="CV2885" s="307" t="s">
        <v>3358</v>
      </c>
      <c r="CW2885" s="307" t="s">
        <v>18</v>
      </c>
      <c r="CX2885" s="307">
        <v>-0.4325</v>
      </c>
      <c r="CY2885" s="307">
        <v>-0.38250000000000001</v>
      </c>
      <c r="CZ2885" s="307">
        <v>-0.40749999999999997</v>
      </c>
    </row>
    <row r="2886" spans="98:104">
      <c r="CT2886" s="307" t="s">
        <v>3378</v>
      </c>
      <c r="CU2886" s="307" t="s">
        <v>635</v>
      </c>
      <c r="CV2886" s="307" t="s">
        <v>3358</v>
      </c>
      <c r="CW2886" s="307" t="s">
        <v>19</v>
      </c>
      <c r="CX2886" s="307">
        <v>-0.38874999999999998</v>
      </c>
      <c r="CY2886" s="307">
        <v>-0.33875</v>
      </c>
      <c r="CZ2886" s="307">
        <v>-0.36375000000000002</v>
      </c>
    </row>
    <row r="2887" spans="98:104">
      <c r="CT2887" s="307" t="s">
        <v>3379</v>
      </c>
      <c r="CU2887" s="307" t="s">
        <v>635</v>
      </c>
      <c r="CV2887" s="307" t="s">
        <v>3358</v>
      </c>
      <c r="CW2887" s="307" t="s">
        <v>20</v>
      </c>
      <c r="CX2887" s="307">
        <v>-0.32124999999999998</v>
      </c>
      <c r="CY2887" s="307">
        <v>-0.27124999999999999</v>
      </c>
      <c r="CZ2887" s="307">
        <v>-0.29625000000000001</v>
      </c>
    </row>
    <row r="2888" spans="98:104">
      <c r="CT2888" s="307" t="s">
        <v>4884</v>
      </c>
      <c r="CU2888" s="307" t="s">
        <v>635</v>
      </c>
      <c r="CV2888" s="307" t="s">
        <v>3358</v>
      </c>
      <c r="CW2888" s="307" t="s">
        <v>21</v>
      </c>
      <c r="CX2888" s="307">
        <v>-0.27124999999999999</v>
      </c>
      <c r="CY2888" s="307">
        <v>-0.22125</v>
      </c>
      <c r="CZ2888" s="307">
        <v>-0.24625</v>
      </c>
    </row>
    <row r="2889" spans="98:104">
      <c r="CT2889" s="307" t="s">
        <v>3380</v>
      </c>
      <c r="CU2889" s="307" t="s">
        <v>635</v>
      </c>
      <c r="CV2889" s="307" t="s">
        <v>3358</v>
      </c>
      <c r="CW2889" s="307" t="s">
        <v>22</v>
      </c>
      <c r="CX2889" s="307">
        <v>-0.24374999999999999</v>
      </c>
      <c r="CY2889" s="307">
        <v>-0.19375000000000001</v>
      </c>
      <c r="CZ2889" s="307">
        <v>-0.21875</v>
      </c>
    </row>
    <row r="2890" spans="98:104">
      <c r="CT2890" s="307" t="s">
        <v>4885</v>
      </c>
      <c r="CU2890" s="307" t="s">
        <v>635</v>
      </c>
      <c r="CV2890" s="307" t="s">
        <v>3358</v>
      </c>
      <c r="CW2890" s="307" t="s">
        <v>46</v>
      </c>
      <c r="CX2890" s="307">
        <v>-0.25624999999999998</v>
      </c>
      <c r="CY2890" s="307">
        <v>-0.20624999999999999</v>
      </c>
      <c r="CZ2890" s="307">
        <v>-0.23124999999999998</v>
      </c>
    </row>
    <row r="2891" spans="98:104">
      <c r="CT2891" s="307" t="s">
        <v>4886</v>
      </c>
      <c r="CU2891" s="307" t="s">
        <v>635</v>
      </c>
      <c r="CV2891" s="307" t="s">
        <v>3358</v>
      </c>
      <c r="CW2891" s="307" t="s">
        <v>47</v>
      </c>
      <c r="CX2891" s="307">
        <v>-0.28375</v>
      </c>
      <c r="CY2891" s="307">
        <v>-0.23375000000000001</v>
      </c>
      <c r="CZ2891" s="307">
        <v>-0.25875000000000004</v>
      </c>
    </row>
    <row r="2892" spans="98:104">
      <c r="CT2892" s="307" t="s">
        <v>3381</v>
      </c>
      <c r="CU2892" s="307" t="s">
        <v>635</v>
      </c>
      <c r="CV2892" s="307" t="s">
        <v>3382</v>
      </c>
      <c r="CW2892" s="307" t="s">
        <v>3383</v>
      </c>
      <c r="CX2892" s="307">
        <v>1</v>
      </c>
      <c r="CY2892" s="307">
        <v>1</v>
      </c>
      <c r="CZ2892" s="307">
        <v>1</v>
      </c>
    </row>
    <row r="2893" spans="98:104">
      <c r="CT2893" s="307" t="s">
        <v>3384</v>
      </c>
      <c r="CU2893" s="307" t="s">
        <v>635</v>
      </c>
      <c r="CV2893" s="307" t="s">
        <v>3382</v>
      </c>
      <c r="CW2893" s="307" t="s">
        <v>56</v>
      </c>
      <c r="CX2893" s="307">
        <v>1</v>
      </c>
      <c r="CY2893" s="307">
        <v>1</v>
      </c>
      <c r="CZ2893" s="307">
        <v>1</v>
      </c>
    </row>
    <row r="2894" spans="98:104">
      <c r="CT2894" s="307" t="s">
        <v>3385</v>
      </c>
      <c r="CU2894" s="307" t="s">
        <v>635</v>
      </c>
      <c r="CV2894" s="307" t="s">
        <v>3382</v>
      </c>
      <c r="CW2894" s="307" t="s">
        <v>9</v>
      </c>
      <c r="CX2894" s="307">
        <v>1</v>
      </c>
      <c r="CY2894" s="307">
        <v>1</v>
      </c>
      <c r="CZ2894" s="307">
        <v>1</v>
      </c>
    </row>
    <row r="2895" spans="98:104">
      <c r="CT2895" s="307" t="s">
        <v>3386</v>
      </c>
      <c r="CU2895" s="307" t="s">
        <v>635</v>
      </c>
      <c r="CV2895" s="307" t="s">
        <v>3382</v>
      </c>
      <c r="CW2895" s="307" t="s">
        <v>10</v>
      </c>
      <c r="CX2895" s="307">
        <v>1</v>
      </c>
      <c r="CY2895" s="307">
        <v>1</v>
      </c>
      <c r="CZ2895" s="307">
        <v>1</v>
      </c>
    </row>
    <row r="2896" spans="98:104">
      <c r="CT2896" s="307" t="s">
        <v>3387</v>
      </c>
      <c r="CU2896" s="307" t="s">
        <v>635</v>
      </c>
      <c r="CV2896" s="307" t="s">
        <v>3382</v>
      </c>
      <c r="CW2896" s="307" t="s">
        <v>11</v>
      </c>
      <c r="CX2896" s="307">
        <v>1</v>
      </c>
      <c r="CY2896" s="307">
        <v>1</v>
      </c>
      <c r="CZ2896" s="307">
        <v>1</v>
      </c>
    </row>
    <row r="2897" spans="98:104">
      <c r="CT2897" s="307" t="s">
        <v>3388</v>
      </c>
      <c r="CU2897" s="307" t="s">
        <v>635</v>
      </c>
      <c r="CV2897" s="307" t="s">
        <v>3382</v>
      </c>
      <c r="CW2897" s="307" t="s">
        <v>12</v>
      </c>
      <c r="CX2897" s="307">
        <v>1</v>
      </c>
      <c r="CY2897" s="307">
        <v>1</v>
      </c>
      <c r="CZ2897" s="307">
        <v>1</v>
      </c>
    </row>
    <row r="2898" spans="98:104">
      <c r="CT2898" s="307" t="s">
        <v>3389</v>
      </c>
      <c r="CU2898" s="307" t="s">
        <v>635</v>
      </c>
      <c r="CV2898" s="307" t="s">
        <v>3382</v>
      </c>
      <c r="CW2898" s="307" t="s">
        <v>14</v>
      </c>
      <c r="CX2898" s="307">
        <v>1</v>
      </c>
      <c r="CY2898" s="307">
        <v>1</v>
      </c>
      <c r="CZ2898" s="307">
        <v>1</v>
      </c>
    </row>
    <row r="2899" spans="98:104">
      <c r="CT2899" s="307" t="s">
        <v>3390</v>
      </c>
      <c r="CU2899" s="307" t="s">
        <v>635</v>
      </c>
      <c r="CV2899" s="307" t="s">
        <v>3382</v>
      </c>
      <c r="CW2899" s="307" t="s">
        <v>17</v>
      </c>
      <c r="CX2899" s="307">
        <v>1</v>
      </c>
      <c r="CY2899" s="307">
        <v>1</v>
      </c>
      <c r="CZ2899" s="307">
        <v>1</v>
      </c>
    </row>
    <row r="2900" spans="98:104">
      <c r="CT2900" s="307" t="s">
        <v>3391</v>
      </c>
      <c r="CU2900" s="307" t="s">
        <v>635</v>
      </c>
      <c r="CV2900" s="307" t="s">
        <v>3382</v>
      </c>
      <c r="CW2900" s="307" t="s">
        <v>18</v>
      </c>
      <c r="CX2900" s="307">
        <v>1</v>
      </c>
      <c r="CY2900" s="307">
        <v>1</v>
      </c>
      <c r="CZ2900" s="307">
        <v>1</v>
      </c>
    </row>
    <row r="2901" spans="98:104">
      <c r="CT2901" s="307" t="s">
        <v>3392</v>
      </c>
      <c r="CU2901" s="307" t="s">
        <v>635</v>
      </c>
      <c r="CV2901" s="307" t="s">
        <v>3382</v>
      </c>
      <c r="CW2901" s="307" t="s">
        <v>19</v>
      </c>
      <c r="CX2901" s="307">
        <v>1</v>
      </c>
      <c r="CY2901" s="307">
        <v>1</v>
      </c>
      <c r="CZ2901" s="307">
        <v>1</v>
      </c>
    </row>
    <row r="2902" spans="98:104">
      <c r="CT2902" s="307" t="s">
        <v>3393</v>
      </c>
      <c r="CU2902" s="307" t="s">
        <v>635</v>
      </c>
      <c r="CV2902" s="307" t="s">
        <v>3382</v>
      </c>
      <c r="CW2902" s="307" t="s">
        <v>20</v>
      </c>
      <c r="CX2902" s="307">
        <v>1</v>
      </c>
      <c r="CY2902" s="307">
        <v>1</v>
      </c>
      <c r="CZ2902" s="307">
        <v>1</v>
      </c>
    </row>
    <row r="2903" spans="98:104">
      <c r="CT2903" s="307" t="s">
        <v>3394</v>
      </c>
      <c r="CU2903" s="307" t="s">
        <v>635</v>
      </c>
      <c r="CV2903" s="307" t="s">
        <v>3382</v>
      </c>
      <c r="CW2903" s="307" t="s">
        <v>22</v>
      </c>
      <c r="CX2903" s="307">
        <v>1</v>
      </c>
      <c r="CY2903" s="307">
        <v>1</v>
      </c>
      <c r="CZ2903" s="307">
        <v>1</v>
      </c>
    </row>
    <row r="2904" spans="98:104">
      <c r="CT2904" s="307" t="s">
        <v>4887</v>
      </c>
      <c r="CU2904" s="307" t="s">
        <v>635</v>
      </c>
      <c r="CV2904" s="307" t="s">
        <v>4888</v>
      </c>
      <c r="CW2904" s="307" t="s">
        <v>3</v>
      </c>
      <c r="CX2904" s="307">
        <v>0.65</v>
      </c>
      <c r="CY2904" s="307">
        <v>0.65</v>
      </c>
      <c r="CZ2904" s="307">
        <v>0.65</v>
      </c>
    </row>
    <row r="2905" spans="98:104">
      <c r="CT2905" s="307" t="s">
        <v>4889</v>
      </c>
      <c r="CU2905" s="307" t="s">
        <v>635</v>
      </c>
      <c r="CV2905" s="307" t="s">
        <v>4888</v>
      </c>
      <c r="CW2905" s="307" t="s">
        <v>4</v>
      </c>
      <c r="CX2905" s="307">
        <v>0.7</v>
      </c>
      <c r="CY2905" s="307">
        <v>0.7</v>
      </c>
      <c r="CZ2905" s="307">
        <v>0.7</v>
      </c>
    </row>
    <row r="2906" spans="98:104">
      <c r="CT2906" s="307" t="s">
        <v>4890</v>
      </c>
      <c r="CU2906" s="307" t="s">
        <v>635</v>
      </c>
      <c r="CV2906" s="307" t="s">
        <v>4888</v>
      </c>
      <c r="CW2906" s="307" t="s">
        <v>23</v>
      </c>
      <c r="CX2906" s="307">
        <v>0.75</v>
      </c>
      <c r="CY2906" s="307">
        <v>0.75</v>
      </c>
      <c r="CZ2906" s="307">
        <v>0.75</v>
      </c>
    </row>
    <row r="2907" spans="98:104">
      <c r="CT2907" s="307" t="s">
        <v>4891</v>
      </c>
      <c r="CU2907" s="307" t="s">
        <v>635</v>
      </c>
      <c r="CV2907" s="307" t="s">
        <v>4888</v>
      </c>
      <c r="CW2907" s="307" t="s">
        <v>5</v>
      </c>
      <c r="CX2907" s="307">
        <v>0.45422000000000001</v>
      </c>
      <c r="CY2907" s="307">
        <v>0.46422000000000002</v>
      </c>
      <c r="CZ2907" s="307">
        <v>0.45922000000000002</v>
      </c>
    </row>
    <row r="2908" spans="98:104">
      <c r="CT2908" s="307" t="s">
        <v>4892</v>
      </c>
      <c r="CU2908" s="307" t="s">
        <v>635</v>
      </c>
      <c r="CV2908" s="307" t="s">
        <v>4888</v>
      </c>
      <c r="CW2908" s="307" t="s">
        <v>6</v>
      </c>
      <c r="CX2908" s="307">
        <v>0.48543391299999999</v>
      </c>
      <c r="CY2908" s="307">
        <v>0.495433913</v>
      </c>
      <c r="CZ2908" s="307">
        <v>0.490433913</v>
      </c>
    </row>
    <row r="2909" spans="98:104">
      <c r="CT2909" s="307" t="s">
        <v>4893</v>
      </c>
      <c r="CU2909" s="307" t="s">
        <v>635</v>
      </c>
      <c r="CV2909" s="307" t="s">
        <v>4888</v>
      </c>
      <c r="CW2909" s="307" t="s">
        <v>24</v>
      </c>
      <c r="CX2909" s="307">
        <v>0.51664782600000003</v>
      </c>
      <c r="CY2909" s="307">
        <v>0.52664782600000004</v>
      </c>
      <c r="CZ2909" s="307">
        <v>0.52164782600000004</v>
      </c>
    </row>
    <row r="2910" spans="98:104">
      <c r="CT2910" s="307" t="s">
        <v>4894</v>
      </c>
      <c r="CU2910" s="307" t="s">
        <v>635</v>
      </c>
      <c r="CV2910" s="307" t="s">
        <v>4888</v>
      </c>
      <c r="CW2910" s="307" t="s">
        <v>7</v>
      </c>
      <c r="CX2910" s="307">
        <v>0.55678000000000005</v>
      </c>
      <c r="CY2910" s="307">
        <v>0.56677999999999995</v>
      </c>
      <c r="CZ2910" s="307">
        <v>0.56177999999999995</v>
      </c>
    </row>
    <row r="2911" spans="98:104">
      <c r="CT2911" s="307" t="s">
        <v>4895</v>
      </c>
      <c r="CU2911" s="307" t="s">
        <v>635</v>
      </c>
      <c r="CV2911" s="307" t="s">
        <v>4888</v>
      </c>
      <c r="CW2911" s="307" t="s">
        <v>8</v>
      </c>
      <c r="CX2911" s="307">
        <v>0.69833000000000001</v>
      </c>
      <c r="CY2911" s="307">
        <v>0.70833000000000002</v>
      </c>
      <c r="CZ2911" s="307">
        <v>0.70333000000000001</v>
      </c>
    </row>
    <row r="2912" spans="98:104">
      <c r="CT2912" s="307" t="s">
        <v>4896</v>
      </c>
      <c r="CU2912" s="307" t="s">
        <v>635</v>
      </c>
      <c r="CV2912" s="307" t="s">
        <v>4888</v>
      </c>
      <c r="CW2912" s="307" t="s">
        <v>25</v>
      </c>
      <c r="CX2912" s="307">
        <v>0.90622000000000003</v>
      </c>
      <c r="CY2912" s="307">
        <v>0.91622000000000003</v>
      </c>
      <c r="CZ2912" s="307">
        <v>0.91122000000000003</v>
      </c>
    </row>
    <row r="2913" spans="98:104">
      <c r="CT2913" s="307" t="s">
        <v>4897</v>
      </c>
      <c r="CU2913" s="307" t="s">
        <v>635</v>
      </c>
      <c r="CV2913" s="307" t="s">
        <v>4888</v>
      </c>
      <c r="CW2913" s="307" t="s">
        <v>26</v>
      </c>
      <c r="CX2913" s="307">
        <v>1.0193617779999999</v>
      </c>
      <c r="CY2913" s="307">
        <v>1.0293617779999999</v>
      </c>
      <c r="CZ2913" s="307">
        <v>1.0243617779999998</v>
      </c>
    </row>
    <row r="2914" spans="98:104">
      <c r="CT2914" s="307" t="s">
        <v>4898</v>
      </c>
      <c r="CU2914" s="307" t="s">
        <v>635</v>
      </c>
      <c r="CV2914" s="307" t="s">
        <v>4888</v>
      </c>
      <c r="CW2914" s="307" t="s">
        <v>27</v>
      </c>
      <c r="CX2914" s="307">
        <v>1.1446258890000001</v>
      </c>
      <c r="CY2914" s="307">
        <v>1.1546258890000001</v>
      </c>
      <c r="CZ2914" s="307">
        <v>1.1496258890000002</v>
      </c>
    </row>
    <row r="2915" spans="98:104">
      <c r="CT2915" s="307" t="s">
        <v>4899</v>
      </c>
      <c r="CU2915" s="307" t="s">
        <v>635</v>
      </c>
      <c r="CV2915" s="307" t="s">
        <v>4888</v>
      </c>
      <c r="CW2915" s="307" t="s">
        <v>28</v>
      </c>
      <c r="CX2915" s="307">
        <v>1.26989</v>
      </c>
      <c r="CY2915" s="307">
        <v>1.27989</v>
      </c>
      <c r="CZ2915" s="307">
        <v>1.2748900000000001</v>
      </c>
    </row>
    <row r="2916" spans="98:104">
      <c r="CT2916" s="307" t="s">
        <v>5134</v>
      </c>
      <c r="CU2916" s="307" t="s">
        <v>635</v>
      </c>
      <c r="CV2916" s="307" t="s">
        <v>4888</v>
      </c>
      <c r="CW2916" s="307" t="s">
        <v>5101</v>
      </c>
      <c r="CX2916" s="307">
        <v>1.318934262</v>
      </c>
      <c r="CY2916" s="307">
        <v>1.338934262</v>
      </c>
      <c r="CZ2916" s="307">
        <v>1.328934262</v>
      </c>
    </row>
    <row r="2917" spans="98:104">
      <c r="CT2917" s="307" t="s">
        <v>4900</v>
      </c>
      <c r="CU2917" s="307" t="s">
        <v>635</v>
      </c>
      <c r="CV2917" s="307" t="s">
        <v>4888</v>
      </c>
      <c r="CW2917" s="307" t="s">
        <v>29</v>
      </c>
      <c r="CX2917" s="307">
        <v>1.3239342620000001</v>
      </c>
      <c r="CY2917" s="307">
        <v>1.3339342620000001</v>
      </c>
      <c r="CZ2917" s="307">
        <v>1.3289342620000002</v>
      </c>
    </row>
    <row r="2918" spans="98:104">
      <c r="CT2918" s="307" t="s">
        <v>4901</v>
      </c>
      <c r="CU2918" s="307" t="s">
        <v>635</v>
      </c>
      <c r="CV2918" s="307" t="s">
        <v>4888</v>
      </c>
      <c r="CW2918" s="307" t="s">
        <v>30</v>
      </c>
      <c r="CX2918" s="307">
        <v>1.3779785250000001</v>
      </c>
      <c r="CY2918" s="307">
        <v>1.3879785250000001</v>
      </c>
      <c r="CZ2918" s="307">
        <v>1.382978525</v>
      </c>
    </row>
    <row r="2919" spans="98:104">
      <c r="CT2919" s="307" t="s">
        <v>4902</v>
      </c>
      <c r="CU2919" s="307" t="s">
        <v>635</v>
      </c>
      <c r="CV2919" s="307" t="s">
        <v>4888</v>
      </c>
      <c r="CW2919" s="307" t="s">
        <v>49</v>
      </c>
      <c r="CX2919" s="307">
        <v>1.4338242619999999</v>
      </c>
      <c r="CY2919" s="307">
        <v>1.4438242619999999</v>
      </c>
      <c r="CZ2919" s="307">
        <v>1.4388242619999998</v>
      </c>
    </row>
    <row r="2920" spans="98:104">
      <c r="CT2920" s="307" t="s">
        <v>4904</v>
      </c>
      <c r="CU2920" s="307" t="s">
        <v>635</v>
      </c>
      <c r="CV2920" s="307" t="s">
        <v>4888</v>
      </c>
      <c r="CW2920" s="307" t="s">
        <v>1066</v>
      </c>
      <c r="CX2920" s="307">
        <v>98.88</v>
      </c>
      <c r="CY2920" s="307">
        <v>98.88</v>
      </c>
      <c r="CZ2920" s="307">
        <v>98.88</v>
      </c>
    </row>
    <row r="2921" spans="98:104">
      <c r="CT2921" s="307" t="s">
        <v>4903</v>
      </c>
      <c r="CU2921" s="307" t="s">
        <v>635</v>
      </c>
      <c r="CV2921" s="307" t="s">
        <v>4888</v>
      </c>
      <c r="CW2921" s="307" t="s">
        <v>56</v>
      </c>
      <c r="CX2921" s="307">
        <v>1.0471321650000001</v>
      </c>
      <c r="CY2921" s="307">
        <v>1.0471321650000001</v>
      </c>
      <c r="CZ2921" s="307">
        <v>1.0471321650000001</v>
      </c>
    </row>
    <row r="2922" spans="98:104">
      <c r="CT2922" s="307" t="s">
        <v>4905</v>
      </c>
      <c r="CU2922" s="307" t="s">
        <v>635</v>
      </c>
      <c r="CV2922" s="307" t="s">
        <v>4888</v>
      </c>
      <c r="CW2922" s="307" t="s">
        <v>1069</v>
      </c>
      <c r="CX2922" s="307">
        <v>98.78</v>
      </c>
      <c r="CY2922" s="307">
        <v>98.78</v>
      </c>
      <c r="CZ2922" s="307">
        <v>98.78</v>
      </c>
    </row>
    <row r="2923" spans="98:104">
      <c r="CT2923" s="307" t="s">
        <v>4906</v>
      </c>
      <c r="CU2923" s="307" t="s">
        <v>635</v>
      </c>
      <c r="CV2923" s="307" t="s">
        <v>4888</v>
      </c>
      <c r="CW2923" s="307" t="s">
        <v>3865</v>
      </c>
      <c r="CX2923" s="307">
        <v>98.665000000000006</v>
      </c>
      <c r="CY2923" s="307">
        <v>98.665000000000006</v>
      </c>
      <c r="CZ2923" s="307">
        <v>98.665000000000006</v>
      </c>
    </row>
    <row r="2924" spans="98:104">
      <c r="CT2924" s="307" t="s">
        <v>5135</v>
      </c>
      <c r="CU2924" s="307" t="s">
        <v>635</v>
      </c>
      <c r="CV2924" s="307" t="s">
        <v>4888</v>
      </c>
      <c r="CW2924" s="307" t="s">
        <v>3866</v>
      </c>
      <c r="CX2924" s="307">
        <v>98.57</v>
      </c>
      <c r="CY2924" s="307">
        <v>98.57</v>
      </c>
      <c r="CZ2924" s="307">
        <v>98.57</v>
      </c>
    </row>
    <row r="2925" spans="98:104">
      <c r="CT2925" s="307" t="s">
        <v>5136</v>
      </c>
      <c r="CU2925" s="307" t="s">
        <v>635</v>
      </c>
      <c r="CV2925" s="307" t="s">
        <v>4888</v>
      </c>
      <c r="CW2925" s="307" t="s">
        <v>3889</v>
      </c>
      <c r="CX2925" s="307">
        <v>98.465000000000003</v>
      </c>
      <c r="CY2925" s="307">
        <v>98.465000000000003</v>
      </c>
      <c r="CZ2925" s="307">
        <v>98.465000000000003</v>
      </c>
    </row>
    <row r="2926" spans="98:104">
      <c r="CT2926" s="307" t="s">
        <v>4907</v>
      </c>
      <c r="CU2926" s="307" t="s">
        <v>635</v>
      </c>
      <c r="CV2926" s="307" t="s">
        <v>4888</v>
      </c>
      <c r="CW2926" s="307" t="s">
        <v>9</v>
      </c>
      <c r="CX2926" s="307">
        <v>1.2486932369999999</v>
      </c>
      <c r="CY2926" s="307">
        <v>1.2486932369999999</v>
      </c>
      <c r="CZ2926" s="307">
        <v>1.2486932369999999</v>
      </c>
    </row>
    <row r="2927" spans="98:104">
      <c r="CT2927" s="307" t="s">
        <v>5137</v>
      </c>
      <c r="CU2927" s="307" t="s">
        <v>635</v>
      </c>
      <c r="CV2927" s="307" t="s">
        <v>4888</v>
      </c>
      <c r="CW2927" s="307" t="s">
        <v>3890</v>
      </c>
      <c r="CX2927" s="307">
        <v>98.364999999999995</v>
      </c>
      <c r="CY2927" s="307">
        <v>98.364999999999995</v>
      </c>
      <c r="CZ2927" s="307">
        <v>98.364999999999995</v>
      </c>
    </row>
    <row r="2928" spans="98:104">
      <c r="CT2928" s="307" t="s">
        <v>4908</v>
      </c>
      <c r="CU2928" s="307" t="s">
        <v>635</v>
      </c>
      <c r="CV2928" s="307" t="s">
        <v>4888</v>
      </c>
      <c r="CW2928" s="307" t="s">
        <v>10</v>
      </c>
      <c r="CX2928" s="307">
        <v>1.427</v>
      </c>
      <c r="CY2928" s="307">
        <v>1.427</v>
      </c>
      <c r="CZ2928" s="307">
        <v>1.427</v>
      </c>
    </row>
    <row r="2929" spans="98:104">
      <c r="CT2929" s="307" t="s">
        <v>4909</v>
      </c>
      <c r="CU2929" s="307" t="s">
        <v>635</v>
      </c>
      <c r="CV2929" s="307" t="s">
        <v>4888</v>
      </c>
      <c r="CW2929" s="307" t="s">
        <v>11</v>
      </c>
      <c r="CX2929" s="307">
        <v>1.573</v>
      </c>
      <c r="CY2929" s="307">
        <v>1.573</v>
      </c>
      <c r="CZ2929" s="307">
        <v>1.573</v>
      </c>
    </row>
    <row r="2930" spans="98:104">
      <c r="CT2930" s="307" t="s">
        <v>4910</v>
      </c>
      <c r="CU2930" s="307" t="s">
        <v>635</v>
      </c>
      <c r="CV2930" s="307" t="s">
        <v>4888</v>
      </c>
      <c r="CW2930" s="307" t="s">
        <v>12</v>
      </c>
      <c r="CX2930" s="307">
        <v>1.6919999999999999</v>
      </c>
      <c r="CY2930" s="307">
        <v>1.6919999999999999</v>
      </c>
      <c r="CZ2930" s="307">
        <v>1.6919999999999999</v>
      </c>
    </row>
    <row r="2931" spans="98:104">
      <c r="CT2931" s="307" t="s">
        <v>4911</v>
      </c>
      <c r="CU2931" s="307" t="s">
        <v>635</v>
      </c>
      <c r="CV2931" s="307" t="s">
        <v>4888</v>
      </c>
      <c r="CW2931" s="307" t="s">
        <v>13</v>
      </c>
      <c r="CX2931" s="307">
        <v>1.798000002</v>
      </c>
      <c r="CY2931" s="307">
        <v>1.798000002</v>
      </c>
      <c r="CZ2931" s="307">
        <v>1.798000002</v>
      </c>
    </row>
    <row r="2932" spans="98:104">
      <c r="CT2932" s="307" t="s">
        <v>4912</v>
      </c>
      <c r="CU2932" s="307" t="s">
        <v>635</v>
      </c>
      <c r="CV2932" s="307" t="s">
        <v>4888</v>
      </c>
      <c r="CW2932" s="307" t="s">
        <v>14</v>
      </c>
      <c r="CX2932" s="307">
        <v>1.8870000010000001</v>
      </c>
      <c r="CY2932" s="307">
        <v>1.8870000010000001</v>
      </c>
      <c r="CZ2932" s="307">
        <v>1.8870000010000001</v>
      </c>
    </row>
    <row r="2933" spans="98:104">
      <c r="CT2933" s="307" t="s">
        <v>4913</v>
      </c>
      <c r="CU2933" s="307" t="s">
        <v>635</v>
      </c>
      <c r="CV2933" s="307" t="s">
        <v>4888</v>
      </c>
      <c r="CW2933" s="307" t="s">
        <v>15</v>
      </c>
      <c r="CX2933" s="307">
        <v>1.9610000009999999</v>
      </c>
      <c r="CY2933" s="307">
        <v>1.9610000009999999</v>
      </c>
      <c r="CZ2933" s="307">
        <v>1.9610000009999999</v>
      </c>
    </row>
    <row r="2934" spans="98:104">
      <c r="CT2934" s="307" t="s">
        <v>4914</v>
      </c>
      <c r="CU2934" s="307" t="s">
        <v>635</v>
      </c>
      <c r="CV2934" s="307" t="s">
        <v>4888</v>
      </c>
      <c r="CW2934" s="307" t="s">
        <v>16</v>
      </c>
      <c r="CX2934" s="307">
        <v>2.0230000010000002</v>
      </c>
      <c r="CY2934" s="307">
        <v>2.0230000010000002</v>
      </c>
      <c r="CZ2934" s="307">
        <v>2.0230000010000002</v>
      </c>
    </row>
    <row r="2935" spans="98:104">
      <c r="CT2935" s="307" t="s">
        <v>4915</v>
      </c>
      <c r="CU2935" s="307" t="s">
        <v>635</v>
      </c>
      <c r="CV2935" s="307" t="s">
        <v>4888</v>
      </c>
      <c r="CW2935" s="307" t="s">
        <v>17</v>
      </c>
      <c r="CX2935" s="307">
        <v>2.0760000010000002</v>
      </c>
      <c r="CY2935" s="307">
        <v>2.0760000010000002</v>
      </c>
      <c r="CZ2935" s="307">
        <v>2.0760000010000002</v>
      </c>
    </row>
    <row r="2936" spans="98:104">
      <c r="CT2936" s="307" t="s">
        <v>4916</v>
      </c>
      <c r="CU2936" s="307" t="s">
        <v>635</v>
      </c>
      <c r="CV2936" s="307" t="s">
        <v>4888</v>
      </c>
      <c r="CW2936" s="307" t="s">
        <v>31</v>
      </c>
      <c r="CX2936" s="307">
        <v>2.122095721</v>
      </c>
      <c r="CY2936" s="307">
        <v>2.122095721</v>
      </c>
      <c r="CZ2936" s="307">
        <v>2.122095721</v>
      </c>
    </row>
    <row r="2937" spans="98:104">
      <c r="CT2937" s="307" t="s">
        <v>4917</v>
      </c>
      <c r="CU2937" s="307" t="s">
        <v>635</v>
      </c>
      <c r="CV2937" s="307" t="s">
        <v>4888</v>
      </c>
      <c r="CW2937" s="307" t="s">
        <v>18</v>
      </c>
      <c r="CX2937" s="307">
        <v>2.161999995</v>
      </c>
      <c r="CY2937" s="307">
        <v>2.161999995</v>
      </c>
      <c r="CZ2937" s="307">
        <v>2.161999995</v>
      </c>
    </row>
    <row r="2938" spans="98:104">
      <c r="CT2938" s="307" t="s">
        <v>4918</v>
      </c>
      <c r="CU2938" s="307" t="s">
        <v>635</v>
      </c>
      <c r="CV2938" s="307" t="s">
        <v>4888</v>
      </c>
      <c r="CW2938" s="307" t="s">
        <v>32</v>
      </c>
      <c r="CX2938" s="307">
        <v>2.195520551</v>
      </c>
      <c r="CY2938" s="307">
        <v>2.195520551</v>
      </c>
      <c r="CZ2938" s="307">
        <v>2.195520551</v>
      </c>
    </row>
    <row r="2939" spans="98:104">
      <c r="CT2939" s="307" t="s">
        <v>4919</v>
      </c>
      <c r="CU2939" s="307" t="s">
        <v>635</v>
      </c>
      <c r="CV2939" s="307" t="s">
        <v>4888</v>
      </c>
      <c r="CW2939" s="307" t="s">
        <v>33</v>
      </c>
      <c r="CX2939" s="307">
        <v>2.2238145189999998</v>
      </c>
      <c r="CY2939" s="307">
        <v>2.2238145189999998</v>
      </c>
      <c r="CZ2939" s="307">
        <v>2.2238145189999998</v>
      </c>
    </row>
    <row r="2940" spans="98:104">
      <c r="CT2940" s="307" t="s">
        <v>4920</v>
      </c>
      <c r="CU2940" s="307" t="s">
        <v>635</v>
      </c>
      <c r="CV2940" s="307" t="s">
        <v>4888</v>
      </c>
      <c r="CW2940" s="307" t="s">
        <v>19</v>
      </c>
      <c r="CX2940" s="307">
        <v>2.2479999949999998</v>
      </c>
      <c r="CY2940" s="307">
        <v>2.2479999949999998</v>
      </c>
      <c r="CZ2940" s="307">
        <v>2.2479999949999998</v>
      </c>
    </row>
    <row r="2941" spans="98:104">
      <c r="CT2941" s="307" t="s">
        <v>4921</v>
      </c>
      <c r="CU2941" s="307" t="s">
        <v>635</v>
      </c>
      <c r="CV2941" s="307" t="s">
        <v>4888</v>
      </c>
      <c r="CW2941" s="307" t="s">
        <v>34</v>
      </c>
      <c r="CX2941" s="307">
        <v>2.2689883160000002</v>
      </c>
      <c r="CY2941" s="307">
        <v>2.2689883160000002</v>
      </c>
      <c r="CZ2941" s="307">
        <v>2.2689883160000002</v>
      </c>
    </row>
    <row r="2942" spans="98:104">
      <c r="CT2942" s="307" t="s">
        <v>4922</v>
      </c>
      <c r="CU2942" s="307" t="s">
        <v>635</v>
      </c>
      <c r="CV2942" s="307" t="s">
        <v>4888</v>
      </c>
      <c r="CW2942" s="307" t="s">
        <v>35</v>
      </c>
      <c r="CX2942" s="307">
        <v>2.2869536959999999</v>
      </c>
      <c r="CY2942" s="307">
        <v>2.2869536959999999</v>
      </c>
      <c r="CZ2942" s="307">
        <v>2.2869536959999999</v>
      </c>
    </row>
    <row r="2943" spans="98:104">
      <c r="CT2943" s="307" t="s">
        <v>4923</v>
      </c>
      <c r="CU2943" s="307" t="s">
        <v>635</v>
      </c>
      <c r="CV2943" s="307" t="s">
        <v>4888</v>
      </c>
      <c r="CW2943" s="307" t="s">
        <v>36</v>
      </c>
      <c r="CX2943" s="307">
        <v>2.3024651629999999</v>
      </c>
      <c r="CY2943" s="307">
        <v>2.3024651629999999</v>
      </c>
      <c r="CZ2943" s="307">
        <v>2.3024651629999999</v>
      </c>
    </row>
    <row r="2944" spans="98:104">
      <c r="CT2944" s="307" t="s">
        <v>4924</v>
      </c>
      <c r="CU2944" s="307" t="s">
        <v>635</v>
      </c>
      <c r="CV2944" s="307" t="s">
        <v>4888</v>
      </c>
      <c r="CW2944" s="307" t="s">
        <v>37</v>
      </c>
      <c r="CX2944" s="307">
        <v>2.3157316469999998</v>
      </c>
      <c r="CY2944" s="307">
        <v>2.3157316469999998</v>
      </c>
      <c r="CZ2944" s="307">
        <v>2.3157316469999998</v>
      </c>
    </row>
    <row r="2945" spans="98:104">
      <c r="CT2945" s="307" t="s">
        <v>4925</v>
      </c>
      <c r="CU2945" s="307" t="s">
        <v>635</v>
      </c>
      <c r="CV2945" s="307" t="s">
        <v>4888</v>
      </c>
      <c r="CW2945" s="307" t="s">
        <v>20</v>
      </c>
      <c r="CX2945" s="307">
        <v>2.3269999929999998</v>
      </c>
      <c r="CY2945" s="307">
        <v>2.3269999929999998</v>
      </c>
      <c r="CZ2945" s="307">
        <v>2.3269999929999998</v>
      </c>
    </row>
    <row r="2946" spans="98:104">
      <c r="CT2946" s="307" t="s">
        <v>4926</v>
      </c>
      <c r="CU2946" s="307" t="s">
        <v>635</v>
      </c>
      <c r="CV2946" s="307" t="s">
        <v>4888</v>
      </c>
      <c r="CW2946" s="307" t="s">
        <v>38</v>
      </c>
      <c r="CX2946" s="307">
        <v>2.3364621620000001</v>
      </c>
      <c r="CY2946" s="307">
        <v>2.3364621620000001</v>
      </c>
      <c r="CZ2946" s="307">
        <v>2.3364621620000001</v>
      </c>
    </row>
    <row r="2947" spans="98:104">
      <c r="CT2947" s="307" t="s">
        <v>4927</v>
      </c>
      <c r="CU2947" s="307" t="s">
        <v>635</v>
      </c>
      <c r="CV2947" s="307" t="s">
        <v>4888</v>
      </c>
      <c r="CW2947" s="307" t="s">
        <v>39</v>
      </c>
      <c r="CX2947" s="307">
        <v>2.3442998519999998</v>
      </c>
      <c r="CY2947" s="307">
        <v>2.3442998519999998</v>
      </c>
      <c r="CZ2947" s="307">
        <v>2.3442998519999998</v>
      </c>
    </row>
    <row r="2948" spans="98:104">
      <c r="CT2948" s="307" t="s">
        <v>4928</v>
      </c>
      <c r="CU2948" s="307" t="s">
        <v>635</v>
      </c>
      <c r="CV2948" s="307" t="s">
        <v>4888</v>
      </c>
      <c r="CW2948" s="307" t="s">
        <v>40</v>
      </c>
      <c r="CX2948" s="307">
        <v>2.3508606109999999</v>
      </c>
      <c r="CY2948" s="307">
        <v>2.3508606109999999</v>
      </c>
      <c r="CZ2948" s="307">
        <v>2.3508606109999999</v>
      </c>
    </row>
    <row r="2949" spans="98:104">
      <c r="CT2949" s="307" t="s">
        <v>4929</v>
      </c>
      <c r="CU2949" s="307" t="s">
        <v>635</v>
      </c>
      <c r="CV2949" s="307" t="s">
        <v>4888</v>
      </c>
      <c r="CW2949" s="307" t="s">
        <v>41</v>
      </c>
      <c r="CX2949" s="307">
        <v>2.3563872510000001</v>
      </c>
      <c r="CY2949" s="307">
        <v>2.3563872510000001</v>
      </c>
      <c r="CZ2949" s="307">
        <v>2.3563872510000001</v>
      </c>
    </row>
    <row r="2950" spans="98:104">
      <c r="CT2950" s="307" t="s">
        <v>4930</v>
      </c>
      <c r="CU2950" s="307" t="s">
        <v>635</v>
      </c>
      <c r="CV2950" s="307" t="s">
        <v>4888</v>
      </c>
      <c r="CW2950" s="307" t="s">
        <v>21</v>
      </c>
      <c r="CX2950" s="307">
        <v>2.3609999909999999</v>
      </c>
      <c r="CY2950" s="307">
        <v>2.3609999909999999</v>
      </c>
      <c r="CZ2950" s="307">
        <v>2.3609999909999999</v>
      </c>
    </row>
    <row r="2951" spans="98:104">
      <c r="CT2951" s="307" t="s">
        <v>4931</v>
      </c>
      <c r="CU2951" s="307" t="s">
        <v>635</v>
      </c>
      <c r="CV2951" s="307" t="s">
        <v>4888</v>
      </c>
      <c r="CW2951" s="307" t="s">
        <v>42</v>
      </c>
      <c r="CX2951" s="307">
        <v>2.3648651269999998</v>
      </c>
      <c r="CY2951" s="307">
        <v>2.3648651269999998</v>
      </c>
      <c r="CZ2951" s="307">
        <v>2.3648651269999998</v>
      </c>
    </row>
    <row r="2952" spans="98:104">
      <c r="CT2952" s="307" t="s">
        <v>4932</v>
      </c>
      <c r="CU2952" s="307" t="s">
        <v>635</v>
      </c>
      <c r="CV2952" s="307" t="s">
        <v>4888</v>
      </c>
      <c r="CW2952" s="307" t="s">
        <v>43</v>
      </c>
      <c r="CX2952" s="307">
        <v>2.3681231720000002</v>
      </c>
      <c r="CY2952" s="307">
        <v>2.3681231720000002</v>
      </c>
      <c r="CZ2952" s="307">
        <v>2.3681231720000002</v>
      </c>
    </row>
    <row r="2953" spans="98:104">
      <c r="CT2953" s="307" t="s">
        <v>4933</v>
      </c>
      <c r="CU2953" s="307" t="s">
        <v>635</v>
      </c>
      <c r="CV2953" s="307" t="s">
        <v>4888</v>
      </c>
      <c r="CW2953" s="307" t="s">
        <v>44</v>
      </c>
      <c r="CX2953" s="307">
        <v>2.3708235169999998</v>
      </c>
      <c r="CY2953" s="307">
        <v>2.3708235169999998</v>
      </c>
      <c r="CZ2953" s="307">
        <v>2.3708235169999998</v>
      </c>
    </row>
    <row r="2954" spans="98:104">
      <c r="CT2954" s="307" t="s">
        <v>4934</v>
      </c>
      <c r="CU2954" s="307" t="s">
        <v>635</v>
      </c>
      <c r="CV2954" s="307" t="s">
        <v>4888</v>
      </c>
      <c r="CW2954" s="307" t="s">
        <v>45</v>
      </c>
      <c r="CX2954" s="307">
        <v>2.3730944150000002</v>
      </c>
      <c r="CY2954" s="307">
        <v>2.3730944150000002</v>
      </c>
      <c r="CZ2954" s="307">
        <v>2.3730944150000002</v>
      </c>
    </row>
    <row r="2955" spans="98:104">
      <c r="CT2955" s="307" t="s">
        <v>4935</v>
      </c>
      <c r="CU2955" s="307" t="s">
        <v>635</v>
      </c>
      <c r="CV2955" s="307" t="s">
        <v>4888</v>
      </c>
      <c r="CW2955" s="307" t="s">
        <v>22</v>
      </c>
      <c r="CX2955" s="307">
        <v>2.3749999919999998</v>
      </c>
      <c r="CY2955" s="307">
        <v>2.3749999919999998</v>
      </c>
      <c r="CZ2955" s="307">
        <v>2.3749999919999998</v>
      </c>
    </row>
    <row r="2956" spans="98:104">
      <c r="CT2956" s="307" t="s">
        <v>4936</v>
      </c>
      <c r="CU2956" s="307" t="s">
        <v>635</v>
      </c>
      <c r="CV2956" s="307" t="s">
        <v>4888</v>
      </c>
      <c r="CW2956" s="307" t="s">
        <v>46</v>
      </c>
      <c r="CX2956" s="307">
        <v>2.3809999909999999</v>
      </c>
      <c r="CY2956" s="307">
        <v>2.3809999909999999</v>
      </c>
      <c r="CZ2956" s="307">
        <v>2.3809999909999999</v>
      </c>
    </row>
    <row r="2957" spans="98:104">
      <c r="CT2957" s="307" t="s">
        <v>4937</v>
      </c>
      <c r="CU2957" s="307" t="s">
        <v>635</v>
      </c>
      <c r="CV2957" s="307" t="s">
        <v>4888</v>
      </c>
      <c r="CW2957" s="307" t="s">
        <v>47</v>
      </c>
      <c r="CX2957" s="307">
        <v>2.3749999910000001</v>
      </c>
      <c r="CY2957" s="307">
        <v>2.3749999910000001</v>
      </c>
      <c r="CZ2957" s="307">
        <v>2.3749999910000001</v>
      </c>
    </row>
    <row r="2958" spans="98:104">
      <c r="CT2958" s="307" t="s">
        <v>4938</v>
      </c>
      <c r="CU2958" s="307" t="s">
        <v>635</v>
      </c>
      <c r="CV2958" s="307" t="s">
        <v>4888</v>
      </c>
      <c r="CW2958" s="307" t="s">
        <v>48</v>
      </c>
      <c r="CX2958" s="307">
        <v>2.3695336390000001</v>
      </c>
      <c r="CY2958" s="307">
        <v>2.3695336390000001</v>
      </c>
      <c r="CZ2958" s="307">
        <v>2.3695336390000001</v>
      </c>
    </row>
    <row r="2959" spans="98:104">
      <c r="CT2959" s="307" t="s">
        <v>3395</v>
      </c>
      <c r="CU2959" s="307" t="s">
        <v>635</v>
      </c>
      <c r="CV2959" s="307" t="s">
        <v>3396</v>
      </c>
      <c r="CW2959" s="307" t="s">
        <v>3</v>
      </c>
      <c r="CX2959" s="307">
        <v>0.65</v>
      </c>
      <c r="CY2959" s="307">
        <v>0.65</v>
      </c>
      <c r="CZ2959" s="307">
        <v>0.65</v>
      </c>
    </row>
    <row r="2960" spans="98:104">
      <c r="CT2960" s="307" t="s">
        <v>3397</v>
      </c>
      <c r="CU2960" s="307" t="s">
        <v>635</v>
      </c>
      <c r="CV2960" s="307" t="s">
        <v>3396</v>
      </c>
      <c r="CW2960" s="307" t="s">
        <v>4</v>
      </c>
      <c r="CX2960" s="307">
        <v>0.7</v>
      </c>
      <c r="CY2960" s="307">
        <v>0.7</v>
      </c>
      <c r="CZ2960" s="307">
        <v>0.7</v>
      </c>
    </row>
    <row r="2961" spans="98:104">
      <c r="CT2961" s="307" t="s">
        <v>3398</v>
      </c>
      <c r="CU2961" s="307" t="s">
        <v>635</v>
      </c>
      <c r="CV2961" s="307" t="s">
        <v>3396</v>
      </c>
      <c r="CW2961" s="307" t="s">
        <v>23</v>
      </c>
      <c r="CX2961" s="307">
        <v>0.75</v>
      </c>
      <c r="CY2961" s="307">
        <v>0.75</v>
      </c>
      <c r="CZ2961" s="307">
        <v>0.75</v>
      </c>
    </row>
    <row r="2962" spans="98:104">
      <c r="CT2962" s="307" t="s">
        <v>3399</v>
      </c>
      <c r="CU2962" s="307" t="s">
        <v>635</v>
      </c>
      <c r="CV2962" s="307" t="s">
        <v>3396</v>
      </c>
      <c r="CW2962" s="307" t="s">
        <v>5</v>
      </c>
      <c r="CX2962" s="307">
        <v>0.45422000000000001</v>
      </c>
      <c r="CY2962" s="307">
        <v>0.46422000000000002</v>
      </c>
      <c r="CZ2962" s="307">
        <v>0.45922000000000002</v>
      </c>
    </row>
    <row r="2963" spans="98:104">
      <c r="CT2963" s="307" t="s">
        <v>3400</v>
      </c>
      <c r="CU2963" s="307" t="s">
        <v>635</v>
      </c>
      <c r="CV2963" s="307" t="s">
        <v>3396</v>
      </c>
      <c r="CW2963" s="307" t="s">
        <v>6</v>
      </c>
      <c r="CX2963" s="307">
        <v>0.48543391299999999</v>
      </c>
      <c r="CY2963" s="307">
        <v>0.495433913</v>
      </c>
      <c r="CZ2963" s="307">
        <v>0.490433913</v>
      </c>
    </row>
    <row r="2964" spans="98:104">
      <c r="CT2964" s="307" t="s">
        <v>3401</v>
      </c>
      <c r="CU2964" s="307" t="s">
        <v>635</v>
      </c>
      <c r="CV2964" s="307" t="s">
        <v>3396</v>
      </c>
      <c r="CW2964" s="307" t="s">
        <v>24</v>
      </c>
      <c r="CX2964" s="307">
        <v>0.51664782600000003</v>
      </c>
      <c r="CY2964" s="307">
        <v>0.52664782600000004</v>
      </c>
      <c r="CZ2964" s="307">
        <v>0.52164782600000004</v>
      </c>
    </row>
    <row r="2965" spans="98:104">
      <c r="CT2965" s="307" t="s">
        <v>3402</v>
      </c>
      <c r="CU2965" s="307" t="s">
        <v>635</v>
      </c>
      <c r="CV2965" s="307" t="s">
        <v>3396</v>
      </c>
      <c r="CW2965" s="307" t="s">
        <v>7</v>
      </c>
      <c r="CX2965" s="307">
        <v>0.55678000000000005</v>
      </c>
      <c r="CY2965" s="307">
        <v>0.56677999999999995</v>
      </c>
      <c r="CZ2965" s="307">
        <v>0.56177999999999995</v>
      </c>
    </row>
    <row r="2966" spans="98:104">
      <c r="CT2966" s="307" t="s">
        <v>3403</v>
      </c>
      <c r="CU2966" s="307" t="s">
        <v>635</v>
      </c>
      <c r="CV2966" s="307" t="s">
        <v>3396</v>
      </c>
      <c r="CW2966" s="307" t="s">
        <v>8</v>
      </c>
      <c r="CX2966" s="307">
        <v>0.69833000000000001</v>
      </c>
      <c r="CY2966" s="307">
        <v>0.70833000000000002</v>
      </c>
      <c r="CZ2966" s="307">
        <v>0.70333000000000001</v>
      </c>
    </row>
    <row r="2967" spans="98:104">
      <c r="CT2967" s="307" t="s">
        <v>3404</v>
      </c>
      <c r="CU2967" s="307" t="s">
        <v>635</v>
      </c>
      <c r="CV2967" s="307" t="s">
        <v>3396</v>
      </c>
      <c r="CW2967" s="307" t="s">
        <v>25</v>
      </c>
      <c r="CX2967" s="307">
        <v>0.90622000000000003</v>
      </c>
      <c r="CY2967" s="307">
        <v>0.91622000000000003</v>
      </c>
      <c r="CZ2967" s="307">
        <v>0.91122000000000003</v>
      </c>
    </row>
    <row r="2968" spans="98:104">
      <c r="CT2968" s="307" t="s">
        <v>3405</v>
      </c>
      <c r="CU2968" s="307" t="s">
        <v>635</v>
      </c>
      <c r="CV2968" s="307" t="s">
        <v>3396</v>
      </c>
      <c r="CW2968" s="307" t="s">
        <v>26</v>
      </c>
      <c r="CX2968" s="307">
        <v>1.0193617779999999</v>
      </c>
      <c r="CY2968" s="307">
        <v>1.0293617779999999</v>
      </c>
      <c r="CZ2968" s="307">
        <v>1.0243617779999998</v>
      </c>
    </row>
    <row r="2969" spans="98:104">
      <c r="CT2969" s="307" t="s">
        <v>3406</v>
      </c>
      <c r="CU2969" s="307" t="s">
        <v>635</v>
      </c>
      <c r="CV2969" s="307" t="s">
        <v>3396</v>
      </c>
      <c r="CW2969" s="307" t="s">
        <v>27</v>
      </c>
      <c r="CX2969" s="307">
        <v>1.1446258890000001</v>
      </c>
      <c r="CY2969" s="307">
        <v>1.1546258890000001</v>
      </c>
      <c r="CZ2969" s="307">
        <v>1.1496258890000002</v>
      </c>
    </row>
    <row r="2970" spans="98:104">
      <c r="CT2970" s="307" t="s">
        <v>3407</v>
      </c>
      <c r="CU2970" s="307" t="s">
        <v>635</v>
      </c>
      <c r="CV2970" s="307" t="s">
        <v>3396</v>
      </c>
      <c r="CW2970" s="307" t="s">
        <v>28</v>
      </c>
      <c r="CX2970" s="307">
        <v>1.26989</v>
      </c>
      <c r="CY2970" s="307">
        <v>1.27989</v>
      </c>
      <c r="CZ2970" s="307">
        <v>1.2748900000000001</v>
      </c>
    </row>
    <row r="2971" spans="98:104">
      <c r="CT2971" s="307" t="s">
        <v>5138</v>
      </c>
      <c r="CU2971" s="307" t="s">
        <v>635</v>
      </c>
      <c r="CV2971" s="307" t="s">
        <v>3396</v>
      </c>
      <c r="CW2971" s="307" t="s">
        <v>5101</v>
      </c>
      <c r="CX2971" s="307">
        <v>1.318934262</v>
      </c>
      <c r="CY2971" s="307">
        <v>1.338934262</v>
      </c>
      <c r="CZ2971" s="307">
        <v>1.328934262</v>
      </c>
    </row>
    <row r="2972" spans="98:104">
      <c r="CT2972" s="307" t="s">
        <v>3408</v>
      </c>
      <c r="CU2972" s="307" t="s">
        <v>635</v>
      </c>
      <c r="CV2972" s="307" t="s">
        <v>3396</v>
      </c>
      <c r="CW2972" s="307" t="s">
        <v>29</v>
      </c>
      <c r="CX2972" s="307">
        <v>1.3239342620000001</v>
      </c>
      <c r="CY2972" s="307">
        <v>1.3339342620000001</v>
      </c>
      <c r="CZ2972" s="307">
        <v>1.3289342620000002</v>
      </c>
    </row>
    <row r="2973" spans="98:104">
      <c r="CT2973" s="307" t="s">
        <v>3409</v>
      </c>
      <c r="CU2973" s="307" t="s">
        <v>635</v>
      </c>
      <c r="CV2973" s="307" t="s">
        <v>3396</v>
      </c>
      <c r="CW2973" s="307" t="s">
        <v>30</v>
      </c>
      <c r="CX2973" s="307">
        <v>1.3779785250000001</v>
      </c>
      <c r="CY2973" s="307">
        <v>1.3879785250000001</v>
      </c>
      <c r="CZ2973" s="307">
        <v>1.382978525</v>
      </c>
    </row>
    <row r="2974" spans="98:104">
      <c r="CT2974" s="307" t="s">
        <v>3410</v>
      </c>
      <c r="CU2974" s="307" t="s">
        <v>635</v>
      </c>
      <c r="CV2974" s="307" t="s">
        <v>3396</v>
      </c>
      <c r="CW2974" s="307" t="s">
        <v>49</v>
      </c>
      <c r="CX2974" s="307">
        <v>1.4338242619999999</v>
      </c>
      <c r="CY2974" s="307">
        <v>1.4438242619999999</v>
      </c>
      <c r="CZ2974" s="307">
        <v>1.4388242619999998</v>
      </c>
    </row>
    <row r="2975" spans="98:104">
      <c r="CT2975" s="307" t="s">
        <v>4939</v>
      </c>
      <c r="CU2975" s="307" t="s">
        <v>635</v>
      </c>
      <c r="CV2975" s="307" t="s">
        <v>3396</v>
      </c>
      <c r="CW2975" s="307" t="s">
        <v>1066</v>
      </c>
      <c r="CX2975" s="307">
        <v>98.88</v>
      </c>
      <c r="CY2975" s="307">
        <v>98.88</v>
      </c>
      <c r="CZ2975" s="307">
        <v>98.88</v>
      </c>
    </row>
    <row r="2976" spans="98:104">
      <c r="CT2976" s="307" t="s">
        <v>3411</v>
      </c>
      <c r="CU2976" s="307" t="s">
        <v>635</v>
      </c>
      <c r="CV2976" s="307" t="s">
        <v>3396</v>
      </c>
      <c r="CW2976" s="307" t="s">
        <v>56</v>
      </c>
      <c r="CX2976" s="307">
        <v>1.0471321650000001</v>
      </c>
      <c r="CY2976" s="307">
        <v>1.0471321650000001</v>
      </c>
      <c r="CZ2976" s="307">
        <v>1.0471321650000001</v>
      </c>
    </row>
    <row r="2977" spans="98:104">
      <c r="CT2977" s="307" t="s">
        <v>4940</v>
      </c>
      <c r="CU2977" s="307" t="s">
        <v>635</v>
      </c>
      <c r="CV2977" s="307" t="s">
        <v>3396</v>
      </c>
      <c r="CW2977" s="307" t="s">
        <v>1069</v>
      </c>
      <c r="CX2977" s="307">
        <v>98.78</v>
      </c>
      <c r="CY2977" s="307">
        <v>98.78</v>
      </c>
      <c r="CZ2977" s="307">
        <v>98.78</v>
      </c>
    </row>
    <row r="2978" spans="98:104">
      <c r="CT2978" s="307" t="s">
        <v>4941</v>
      </c>
      <c r="CU2978" s="307" t="s">
        <v>635</v>
      </c>
      <c r="CV2978" s="307" t="s">
        <v>3396</v>
      </c>
      <c r="CW2978" s="307" t="s">
        <v>3865</v>
      </c>
      <c r="CX2978" s="307">
        <v>98.665000000000006</v>
      </c>
      <c r="CY2978" s="307">
        <v>98.665000000000006</v>
      </c>
      <c r="CZ2978" s="307">
        <v>98.665000000000006</v>
      </c>
    </row>
    <row r="2979" spans="98:104">
      <c r="CT2979" s="307" t="s">
        <v>4942</v>
      </c>
      <c r="CU2979" s="307" t="s">
        <v>635</v>
      </c>
      <c r="CV2979" s="307" t="s">
        <v>3396</v>
      </c>
      <c r="CW2979" s="307" t="s">
        <v>3866</v>
      </c>
      <c r="CX2979" s="307">
        <v>98.57</v>
      </c>
      <c r="CY2979" s="307">
        <v>98.57</v>
      </c>
      <c r="CZ2979" s="307">
        <v>98.57</v>
      </c>
    </row>
    <row r="2980" spans="98:104">
      <c r="CT2980" s="307" t="s">
        <v>5084</v>
      </c>
      <c r="CU2980" s="307" t="s">
        <v>635</v>
      </c>
      <c r="CV2980" s="307" t="s">
        <v>3396</v>
      </c>
      <c r="CW2980" s="307" t="s">
        <v>3889</v>
      </c>
      <c r="CX2980" s="307">
        <v>98.465000000000003</v>
      </c>
      <c r="CY2980" s="307">
        <v>98.465000000000003</v>
      </c>
      <c r="CZ2980" s="307">
        <v>98.465000000000003</v>
      </c>
    </row>
    <row r="2981" spans="98:104">
      <c r="CT2981" s="307" t="s">
        <v>3412</v>
      </c>
      <c r="CU2981" s="307" t="s">
        <v>635</v>
      </c>
      <c r="CV2981" s="307" t="s">
        <v>3396</v>
      </c>
      <c r="CW2981" s="307" t="s">
        <v>9</v>
      </c>
      <c r="CX2981" s="307">
        <v>1.2486932369999999</v>
      </c>
      <c r="CY2981" s="307">
        <v>1.2486932369999999</v>
      </c>
      <c r="CZ2981" s="307">
        <v>1.2486932369999999</v>
      </c>
    </row>
    <row r="2982" spans="98:104">
      <c r="CT2982" s="307" t="s">
        <v>5139</v>
      </c>
      <c r="CU2982" s="307" t="s">
        <v>635</v>
      </c>
      <c r="CV2982" s="307" t="s">
        <v>3396</v>
      </c>
      <c r="CW2982" s="307" t="s">
        <v>3890</v>
      </c>
      <c r="CX2982" s="307">
        <v>98.364999999999995</v>
      </c>
      <c r="CY2982" s="307">
        <v>98.364999999999995</v>
      </c>
      <c r="CZ2982" s="307">
        <v>98.364999999999995</v>
      </c>
    </row>
    <row r="2983" spans="98:104">
      <c r="CT2983" s="307" t="s">
        <v>3413</v>
      </c>
      <c r="CU2983" s="307" t="s">
        <v>635</v>
      </c>
      <c r="CV2983" s="307" t="s">
        <v>3396</v>
      </c>
      <c r="CW2983" s="307" t="s">
        <v>10</v>
      </c>
      <c r="CX2983" s="307">
        <v>1.427</v>
      </c>
      <c r="CY2983" s="307">
        <v>1.427</v>
      </c>
      <c r="CZ2983" s="307">
        <v>1.427</v>
      </c>
    </row>
    <row r="2984" spans="98:104">
      <c r="CT2984" s="307" t="s">
        <v>3414</v>
      </c>
      <c r="CU2984" s="307" t="s">
        <v>635</v>
      </c>
      <c r="CV2984" s="307" t="s">
        <v>3396</v>
      </c>
      <c r="CW2984" s="307" t="s">
        <v>11</v>
      </c>
      <c r="CX2984" s="307">
        <v>1.573</v>
      </c>
      <c r="CY2984" s="307">
        <v>1.573</v>
      </c>
      <c r="CZ2984" s="307">
        <v>1.573</v>
      </c>
    </row>
    <row r="2985" spans="98:104">
      <c r="CT2985" s="307" t="s">
        <v>3415</v>
      </c>
      <c r="CU2985" s="307" t="s">
        <v>635</v>
      </c>
      <c r="CV2985" s="307" t="s">
        <v>3396</v>
      </c>
      <c r="CW2985" s="307" t="s">
        <v>12</v>
      </c>
      <c r="CX2985" s="307">
        <v>1.6919999999999999</v>
      </c>
      <c r="CY2985" s="307">
        <v>1.6919999999999999</v>
      </c>
      <c r="CZ2985" s="307">
        <v>1.6919999999999999</v>
      </c>
    </row>
    <row r="2986" spans="98:104">
      <c r="CT2986" s="307" t="s">
        <v>3416</v>
      </c>
      <c r="CU2986" s="307" t="s">
        <v>635</v>
      </c>
      <c r="CV2986" s="307" t="s">
        <v>3396</v>
      </c>
      <c r="CW2986" s="307" t="s">
        <v>13</v>
      </c>
      <c r="CX2986" s="307">
        <v>1.798000002</v>
      </c>
      <c r="CY2986" s="307">
        <v>1.798000002</v>
      </c>
      <c r="CZ2986" s="307">
        <v>1.798000002</v>
      </c>
    </row>
    <row r="2987" spans="98:104">
      <c r="CT2987" s="307" t="s">
        <v>3417</v>
      </c>
      <c r="CU2987" s="307" t="s">
        <v>635</v>
      </c>
      <c r="CV2987" s="307" t="s">
        <v>3396</v>
      </c>
      <c r="CW2987" s="307" t="s">
        <v>14</v>
      </c>
      <c r="CX2987" s="307">
        <v>1.8870000010000001</v>
      </c>
      <c r="CY2987" s="307">
        <v>1.8870000010000001</v>
      </c>
      <c r="CZ2987" s="307">
        <v>1.8870000010000001</v>
      </c>
    </row>
    <row r="2988" spans="98:104">
      <c r="CT2988" s="307" t="s">
        <v>3418</v>
      </c>
      <c r="CU2988" s="307" t="s">
        <v>635</v>
      </c>
      <c r="CV2988" s="307" t="s">
        <v>3396</v>
      </c>
      <c r="CW2988" s="307" t="s">
        <v>15</v>
      </c>
      <c r="CX2988" s="307">
        <v>1.9610000009999999</v>
      </c>
      <c r="CY2988" s="307">
        <v>1.9610000009999999</v>
      </c>
      <c r="CZ2988" s="307">
        <v>1.9610000009999999</v>
      </c>
    </row>
    <row r="2989" spans="98:104">
      <c r="CT2989" s="307" t="s">
        <v>3419</v>
      </c>
      <c r="CU2989" s="307" t="s">
        <v>635</v>
      </c>
      <c r="CV2989" s="307" t="s">
        <v>3396</v>
      </c>
      <c r="CW2989" s="307" t="s">
        <v>16</v>
      </c>
      <c r="CX2989" s="307">
        <v>2.0230000010000002</v>
      </c>
      <c r="CY2989" s="307">
        <v>2.0230000010000002</v>
      </c>
      <c r="CZ2989" s="307">
        <v>2.0230000010000002</v>
      </c>
    </row>
    <row r="2990" spans="98:104">
      <c r="CT2990" s="307" t="s">
        <v>3420</v>
      </c>
      <c r="CU2990" s="307" t="s">
        <v>635</v>
      </c>
      <c r="CV2990" s="307" t="s">
        <v>3396</v>
      </c>
      <c r="CW2990" s="307" t="s">
        <v>17</v>
      </c>
      <c r="CX2990" s="307">
        <v>2.0760000010000002</v>
      </c>
      <c r="CY2990" s="307">
        <v>2.0760000010000002</v>
      </c>
      <c r="CZ2990" s="307">
        <v>2.0760000010000002</v>
      </c>
    </row>
    <row r="2991" spans="98:104">
      <c r="CT2991" s="307" t="s">
        <v>3421</v>
      </c>
      <c r="CU2991" s="307" t="s">
        <v>635</v>
      </c>
      <c r="CV2991" s="307" t="s">
        <v>3396</v>
      </c>
      <c r="CW2991" s="307" t="s">
        <v>31</v>
      </c>
      <c r="CX2991" s="307">
        <v>2.122095721</v>
      </c>
      <c r="CY2991" s="307">
        <v>2.122095721</v>
      </c>
      <c r="CZ2991" s="307">
        <v>2.122095721</v>
      </c>
    </row>
    <row r="2992" spans="98:104">
      <c r="CT2992" s="307" t="s">
        <v>3422</v>
      </c>
      <c r="CU2992" s="307" t="s">
        <v>635</v>
      </c>
      <c r="CV2992" s="307" t="s">
        <v>3396</v>
      </c>
      <c r="CW2992" s="307" t="s">
        <v>18</v>
      </c>
      <c r="CX2992" s="307">
        <v>2.161999995</v>
      </c>
      <c r="CY2992" s="307">
        <v>2.161999995</v>
      </c>
      <c r="CZ2992" s="307">
        <v>2.161999995</v>
      </c>
    </row>
    <row r="2993" spans="98:104">
      <c r="CT2993" s="307" t="s">
        <v>3423</v>
      </c>
      <c r="CU2993" s="307" t="s">
        <v>635</v>
      </c>
      <c r="CV2993" s="307" t="s">
        <v>3396</v>
      </c>
      <c r="CW2993" s="307" t="s">
        <v>32</v>
      </c>
      <c r="CX2993" s="307">
        <v>2.195520551</v>
      </c>
      <c r="CY2993" s="307">
        <v>2.195520551</v>
      </c>
      <c r="CZ2993" s="307">
        <v>2.195520551</v>
      </c>
    </row>
    <row r="2994" spans="98:104">
      <c r="CT2994" s="307" t="s">
        <v>3424</v>
      </c>
      <c r="CU2994" s="307" t="s">
        <v>635</v>
      </c>
      <c r="CV2994" s="307" t="s">
        <v>3396</v>
      </c>
      <c r="CW2994" s="307" t="s">
        <v>33</v>
      </c>
      <c r="CX2994" s="307">
        <v>2.2238145189999998</v>
      </c>
      <c r="CY2994" s="307">
        <v>2.2238145189999998</v>
      </c>
      <c r="CZ2994" s="307">
        <v>2.2238145189999998</v>
      </c>
    </row>
    <row r="2995" spans="98:104">
      <c r="CT2995" s="307" t="s">
        <v>3425</v>
      </c>
      <c r="CU2995" s="307" t="s">
        <v>635</v>
      </c>
      <c r="CV2995" s="307" t="s">
        <v>3396</v>
      </c>
      <c r="CW2995" s="307" t="s">
        <v>19</v>
      </c>
      <c r="CX2995" s="307">
        <v>2.2479999949999998</v>
      </c>
      <c r="CY2995" s="307">
        <v>2.2479999949999998</v>
      </c>
      <c r="CZ2995" s="307">
        <v>2.2479999949999998</v>
      </c>
    </row>
    <row r="2996" spans="98:104">
      <c r="CT2996" s="307" t="s">
        <v>3426</v>
      </c>
      <c r="CU2996" s="307" t="s">
        <v>635</v>
      </c>
      <c r="CV2996" s="307" t="s">
        <v>3396</v>
      </c>
      <c r="CW2996" s="307" t="s">
        <v>34</v>
      </c>
      <c r="CX2996" s="307">
        <v>2.2689883160000002</v>
      </c>
      <c r="CY2996" s="307">
        <v>2.2689883160000002</v>
      </c>
      <c r="CZ2996" s="307">
        <v>2.2689883160000002</v>
      </c>
    </row>
    <row r="2997" spans="98:104">
      <c r="CT2997" s="307" t="s">
        <v>3427</v>
      </c>
      <c r="CU2997" s="307" t="s">
        <v>635</v>
      </c>
      <c r="CV2997" s="307" t="s">
        <v>3396</v>
      </c>
      <c r="CW2997" s="307" t="s">
        <v>35</v>
      </c>
      <c r="CX2997" s="307">
        <v>2.2869536959999999</v>
      </c>
      <c r="CY2997" s="307">
        <v>2.2869536959999999</v>
      </c>
      <c r="CZ2997" s="307">
        <v>2.2869536959999999</v>
      </c>
    </row>
    <row r="2998" spans="98:104">
      <c r="CT2998" s="307" t="s">
        <v>3428</v>
      </c>
      <c r="CU2998" s="307" t="s">
        <v>635</v>
      </c>
      <c r="CV2998" s="307" t="s">
        <v>3396</v>
      </c>
      <c r="CW2998" s="307" t="s">
        <v>36</v>
      </c>
      <c r="CX2998" s="307">
        <v>2.3024651629999999</v>
      </c>
      <c r="CY2998" s="307">
        <v>2.3024651629999999</v>
      </c>
      <c r="CZ2998" s="307">
        <v>2.3024651629999999</v>
      </c>
    </row>
    <row r="2999" spans="98:104">
      <c r="CT2999" s="307" t="s">
        <v>3429</v>
      </c>
      <c r="CU2999" s="307" t="s">
        <v>635</v>
      </c>
      <c r="CV2999" s="307" t="s">
        <v>3396</v>
      </c>
      <c r="CW2999" s="307" t="s">
        <v>37</v>
      </c>
      <c r="CX2999" s="307">
        <v>2.3157316469999998</v>
      </c>
      <c r="CY2999" s="307">
        <v>2.3157316469999998</v>
      </c>
      <c r="CZ2999" s="307">
        <v>2.3157316469999998</v>
      </c>
    </row>
    <row r="3000" spans="98:104">
      <c r="CT3000" s="307" t="s">
        <v>3430</v>
      </c>
      <c r="CU3000" s="307" t="s">
        <v>635</v>
      </c>
      <c r="CV3000" s="307" t="s">
        <v>3396</v>
      </c>
      <c r="CW3000" s="307" t="s">
        <v>20</v>
      </c>
      <c r="CX3000" s="307">
        <v>2.3269999929999998</v>
      </c>
      <c r="CY3000" s="307">
        <v>2.3269999929999998</v>
      </c>
      <c r="CZ3000" s="307">
        <v>2.3269999929999998</v>
      </c>
    </row>
    <row r="3001" spans="98:104">
      <c r="CT3001" s="307" t="s">
        <v>3431</v>
      </c>
      <c r="CU3001" s="307" t="s">
        <v>635</v>
      </c>
      <c r="CV3001" s="307" t="s">
        <v>3396</v>
      </c>
      <c r="CW3001" s="307" t="s">
        <v>38</v>
      </c>
      <c r="CX3001" s="307">
        <v>2.3364621620000001</v>
      </c>
      <c r="CY3001" s="307">
        <v>2.3364621620000001</v>
      </c>
      <c r="CZ3001" s="307">
        <v>2.3364621620000001</v>
      </c>
    </row>
    <row r="3002" spans="98:104">
      <c r="CT3002" s="307" t="s">
        <v>3432</v>
      </c>
      <c r="CU3002" s="307" t="s">
        <v>635</v>
      </c>
      <c r="CV3002" s="307" t="s">
        <v>3396</v>
      </c>
      <c r="CW3002" s="307" t="s">
        <v>39</v>
      </c>
      <c r="CX3002" s="307">
        <v>2.3442998519999998</v>
      </c>
      <c r="CY3002" s="307">
        <v>2.3442998519999998</v>
      </c>
      <c r="CZ3002" s="307">
        <v>2.3442998519999998</v>
      </c>
    </row>
    <row r="3003" spans="98:104">
      <c r="CT3003" s="307" t="s">
        <v>3433</v>
      </c>
      <c r="CU3003" s="307" t="s">
        <v>635</v>
      </c>
      <c r="CV3003" s="307" t="s">
        <v>3396</v>
      </c>
      <c r="CW3003" s="307" t="s">
        <v>40</v>
      </c>
      <c r="CX3003" s="307">
        <v>2.3508606109999999</v>
      </c>
      <c r="CY3003" s="307">
        <v>2.3508606109999999</v>
      </c>
      <c r="CZ3003" s="307">
        <v>2.3508606109999999</v>
      </c>
    </row>
    <row r="3004" spans="98:104">
      <c r="CT3004" s="307" t="s">
        <v>3434</v>
      </c>
      <c r="CU3004" s="307" t="s">
        <v>635</v>
      </c>
      <c r="CV3004" s="307" t="s">
        <v>3396</v>
      </c>
      <c r="CW3004" s="307" t="s">
        <v>41</v>
      </c>
      <c r="CX3004" s="307">
        <v>2.3563872510000001</v>
      </c>
      <c r="CY3004" s="307">
        <v>2.3563872510000001</v>
      </c>
      <c r="CZ3004" s="307">
        <v>2.3563872510000001</v>
      </c>
    </row>
    <row r="3005" spans="98:104">
      <c r="CT3005" s="307" t="s">
        <v>3435</v>
      </c>
      <c r="CU3005" s="307" t="s">
        <v>635</v>
      </c>
      <c r="CV3005" s="307" t="s">
        <v>3396</v>
      </c>
      <c r="CW3005" s="307" t="s">
        <v>21</v>
      </c>
      <c r="CX3005" s="307">
        <v>2.3609999909999999</v>
      </c>
      <c r="CY3005" s="307">
        <v>2.3609999909999999</v>
      </c>
      <c r="CZ3005" s="307">
        <v>2.3609999909999999</v>
      </c>
    </row>
    <row r="3006" spans="98:104">
      <c r="CT3006" s="307" t="s">
        <v>3436</v>
      </c>
      <c r="CU3006" s="307" t="s">
        <v>635</v>
      </c>
      <c r="CV3006" s="307" t="s">
        <v>3396</v>
      </c>
      <c r="CW3006" s="307" t="s">
        <v>42</v>
      </c>
      <c r="CX3006" s="307">
        <v>2.3648651269999998</v>
      </c>
      <c r="CY3006" s="307">
        <v>2.3648651269999998</v>
      </c>
      <c r="CZ3006" s="307">
        <v>2.3648651269999998</v>
      </c>
    </row>
    <row r="3007" spans="98:104">
      <c r="CT3007" s="307" t="s">
        <v>3437</v>
      </c>
      <c r="CU3007" s="307" t="s">
        <v>635</v>
      </c>
      <c r="CV3007" s="307" t="s">
        <v>3396</v>
      </c>
      <c r="CW3007" s="307" t="s">
        <v>43</v>
      </c>
      <c r="CX3007" s="307">
        <v>2.3681231720000002</v>
      </c>
      <c r="CY3007" s="307">
        <v>2.3681231720000002</v>
      </c>
      <c r="CZ3007" s="307">
        <v>2.3681231720000002</v>
      </c>
    </row>
    <row r="3008" spans="98:104">
      <c r="CT3008" s="307" t="s">
        <v>3438</v>
      </c>
      <c r="CU3008" s="307" t="s">
        <v>635</v>
      </c>
      <c r="CV3008" s="307" t="s">
        <v>3396</v>
      </c>
      <c r="CW3008" s="307" t="s">
        <v>44</v>
      </c>
      <c r="CX3008" s="307">
        <v>2.3708235169999998</v>
      </c>
      <c r="CY3008" s="307">
        <v>2.3708235169999998</v>
      </c>
      <c r="CZ3008" s="307">
        <v>2.3708235169999998</v>
      </c>
    </row>
    <row r="3009" spans="98:104">
      <c r="CT3009" s="307" t="s">
        <v>3439</v>
      </c>
      <c r="CU3009" s="307" t="s">
        <v>635</v>
      </c>
      <c r="CV3009" s="307" t="s">
        <v>3396</v>
      </c>
      <c r="CW3009" s="307" t="s">
        <v>45</v>
      </c>
      <c r="CX3009" s="307">
        <v>2.3730944150000002</v>
      </c>
      <c r="CY3009" s="307">
        <v>2.3730944150000002</v>
      </c>
      <c r="CZ3009" s="307">
        <v>2.3730944150000002</v>
      </c>
    </row>
    <row r="3010" spans="98:104">
      <c r="CT3010" s="307" t="s">
        <v>3440</v>
      </c>
      <c r="CU3010" s="307" t="s">
        <v>635</v>
      </c>
      <c r="CV3010" s="307" t="s">
        <v>3396</v>
      </c>
      <c r="CW3010" s="307" t="s">
        <v>22</v>
      </c>
      <c r="CX3010" s="307">
        <v>2.3749999919999998</v>
      </c>
      <c r="CY3010" s="307">
        <v>2.3749999919999998</v>
      </c>
      <c r="CZ3010" s="307">
        <v>2.3749999919999998</v>
      </c>
    </row>
    <row r="3011" spans="98:104">
      <c r="CT3011" s="307" t="s">
        <v>3441</v>
      </c>
      <c r="CU3011" s="307" t="s">
        <v>635</v>
      </c>
      <c r="CV3011" s="307" t="s">
        <v>3396</v>
      </c>
      <c r="CW3011" s="307" t="s">
        <v>46</v>
      </c>
      <c r="CX3011" s="307">
        <v>2.3809999909999999</v>
      </c>
      <c r="CY3011" s="307">
        <v>2.3809999909999999</v>
      </c>
      <c r="CZ3011" s="307">
        <v>2.3809999909999999</v>
      </c>
    </row>
    <row r="3012" spans="98:104">
      <c r="CT3012" s="307" t="s">
        <v>3442</v>
      </c>
      <c r="CU3012" s="307" t="s">
        <v>635</v>
      </c>
      <c r="CV3012" s="307" t="s">
        <v>3396</v>
      </c>
      <c r="CW3012" s="307" t="s">
        <v>47</v>
      </c>
      <c r="CX3012" s="307">
        <v>2.3749999910000001</v>
      </c>
      <c r="CY3012" s="307">
        <v>2.3749999910000001</v>
      </c>
      <c r="CZ3012" s="307">
        <v>2.3749999910000001</v>
      </c>
    </row>
    <row r="3013" spans="98:104">
      <c r="CT3013" s="307" t="s">
        <v>3443</v>
      </c>
      <c r="CU3013" s="307" t="s">
        <v>635</v>
      </c>
      <c r="CV3013" s="307" t="s">
        <v>3396</v>
      </c>
      <c r="CW3013" s="307" t="s">
        <v>48</v>
      </c>
      <c r="CX3013" s="307">
        <v>2.3695336390000001</v>
      </c>
      <c r="CY3013" s="307">
        <v>2.3695336390000001</v>
      </c>
      <c r="CZ3013" s="307">
        <v>2.3695336390000001</v>
      </c>
    </row>
    <row r="3014" spans="98:104">
      <c r="CT3014" s="307" t="s">
        <v>3444</v>
      </c>
      <c r="CU3014" s="307" t="s">
        <v>635</v>
      </c>
      <c r="CV3014" s="307" t="s">
        <v>3445</v>
      </c>
      <c r="CW3014" s="307" t="s">
        <v>3</v>
      </c>
      <c r="CX3014" s="307">
        <v>0.45</v>
      </c>
      <c r="CY3014" s="307">
        <v>0.55000000000000004</v>
      </c>
      <c r="CZ3014" s="307">
        <v>0.5</v>
      </c>
    </row>
    <row r="3015" spans="98:104">
      <c r="CT3015" s="307" t="s">
        <v>3446</v>
      </c>
      <c r="CU3015" s="307" t="s">
        <v>635</v>
      </c>
      <c r="CV3015" s="307" t="s">
        <v>3445</v>
      </c>
      <c r="CW3015" s="307" t="s">
        <v>4</v>
      </c>
      <c r="CX3015" s="307">
        <v>0.45</v>
      </c>
      <c r="CY3015" s="307">
        <v>0.55000000000000004</v>
      </c>
      <c r="CZ3015" s="307">
        <v>0.5</v>
      </c>
    </row>
    <row r="3016" spans="98:104">
      <c r="CT3016" s="307" t="s">
        <v>3447</v>
      </c>
      <c r="CU3016" s="307" t="s">
        <v>635</v>
      </c>
      <c r="CV3016" s="307" t="s">
        <v>3445</v>
      </c>
      <c r="CW3016" s="307" t="s">
        <v>23</v>
      </c>
      <c r="CX3016" s="307">
        <v>0.45</v>
      </c>
      <c r="CY3016" s="307">
        <v>0.55000000000000004</v>
      </c>
      <c r="CZ3016" s="307">
        <v>0.5</v>
      </c>
    </row>
    <row r="3017" spans="98:104">
      <c r="CT3017" s="307" t="s">
        <v>3448</v>
      </c>
      <c r="CU3017" s="307" t="s">
        <v>635</v>
      </c>
      <c r="CV3017" s="307" t="s">
        <v>3445</v>
      </c>
      <c r="CW3017" s="307" t="s">
        <v>5</v>
      </c>
      <c r="CX3017" s="307">
        <v>0.42405834399999998</v>
      </c>
      <c r="CY3017" s="307">
        <v>0.42405834399999998</v>
      </c>
      <c r="CZ3017" s="307">
        <v>0.42405834399999998</v>
      </c>
    </row>
    <row r="3018" spans="98:104">
      <c r="CT3018" s="307" t="s">
        <v>3449</v>
      </c>
      <c r="CU3018" s="307" t="s">
        <v>635</v>
      </c>
      <c r="CV3018" s="307" t="s">
        <v>3445</v>
      </c>
      <c r="CW3018" s="307" t="s">
        <v>6</v>
      </c>
      <c r="CX3018" s="307">
        <v>0.426365828</v>
      </c>
      <c r="CY3018" s="307">
        <v>0.426365828</v>
      </c>
      <c r="CZ3018" s="307">
        <v>0.426365828</v>
      </c>
    </row>
    <row r="3019" spans="98:104">
      <c r="CT3019" s="307" t="s">
        <v>3450</v>
      </c>
      <c r="CU3019" s="307" t="s">
        <v>635</v>
      </c>
      <c r="CV3019" s="307" t="s">
        <v>3445</v>
      </c>
      <c r="CW3019" s="307" t="s">
        <v>24</v>
      </c>
      <c r="CX3019" s="307">
        <v>0.43409461500000002</v>
      </c>
      <c r="CY3019" s="307">
        <v>0.43409461500000002</v>
      </c>
      <c r="CZ3019" s="307">
        <v>0.43409461500000002</v>
      </c>
    </row>
    <row r="3020" spans="98:104">
      <c r="CT3020" s="307" t="s">
        <v>3451</v>
      </c>
      <c r="CU3020" s="307" t="s">
        <v>635</v>
      </c>
      <c r="CV3020" s="307" t="s">
        <v>3445</v>
      </c>
      <c r="CW3020" s="307" t="s">
        <v>7</v>
      </c>
      <c r="CX3020" s="307">
        <v>0.45200000000000001</v>
      </c>
      <c r="CY3020" s="307">
        <v>0.45200000000000001</v>
      </c>
      <c r="CZ3020" s="307">
        <v>0.45200000000000001</v>
      </c>
    </row>
    <row r="3021" spans="98:104">
      <c r="CT3021" s="307" t="s">
        <v>3452</v>
      </c>
      <c r="CU3021" s="307" t="s">
        <v>635</v>
      </c>
      <c r="CV3021" s="307" t="s">
        <v>3445</v>
      </c>
      <c r="CW3021" s="307" t="s">
        <v>8</v>
      </c>
      <c r="CX3021" s="307">
        <v>0.53400000000000003</v>
      </c>
      <c r="CY3021" s="307">
        <v>0.53400000000000003</v>
      </c>
      <c r="CZ3021" s="307">
        <v>0.53400000000000003</v>
      </c>
    </row>
    <row r="3022" spans="98:104">
      <c r="CT3022" s="307" t="s">
        <v>3453</v>
      </c>
      <c r="CU3022" s="307" t="s">
        <v>635</v>
      </c>
      <c r="CV3022" s="307" t="s">
        <v>3445</v>
      </c>
      <c r="CW3022" s="307" t="s">
        <v>25</v>
      </c>
      <c r="CX3022" s="307">
        <v>0.56200000000000006</v>
      </c>
      <c r="CY3022" s="307">
        <v>0.56200000000000006</v>
      </c>
      <c r="CZ3022" s="307">
        <v>0.56200000000000006</v>
      </c>
    </row>
    <row r="3023" spans="98:104">
      <c r="CT3023" s="307" t="s">
        <v>3454</v>
      </c>
      <c r="CU3023" s="307" t="s">
        <v>635</v>
      </c>
      <c r="CV3023" s="307" t="s">
        <v>3445</v>
      </c>
      <c r="CW3023" s="307" t="s">
        <v>26</v>
      </c>
      <c r="CX3023" s="307">
        <v>0.57899999999999996</v>
      </c>
      <c r="CY3023" s="307">
        <v>0.57899999999999996</v>
      </c>
      <c r="CZ3023" s="307">
        <v>0.57899999999999996</v>
      </c>
    </row>
    <row r="3024" spans="98:104">
      <c r="CT3024" s="307" t="s">
        <v>3455</v>
      </c>
      <c r="CU3024" s="307" t="s">
        <v>635</v>
      </c>
      <c r="CV3024" s="307" t="s">
        <v>3445</v>
      </c>
      <c r="CW3024" s="307" t="s">
        <v>27</v>
      </c>
      <c r="CX3024" s="307">
        <v>0.59599999999999997</v>
      </c>
      <c r="CY3024" s="307">
        <v>0.59599999999999997</v>
      </c>
      <c r="CZ3024" s="307">
        <v>0.59599999999999997</v>
      </c>
    </row>
    <row r="3025" spans="98:104">
      <c r="CT3025" s="307" t="s">
        <v>3456</v>
      </c>
      <c r="CU3025" s="307" t="s">
        <v>635</v>
      </c>
      <c r="CV3025" s="307" t="s">
        <v>3445</v>
      </c>
      <c r="CW3025" s="307" t="s">
        <v>28</v>
      </c>
      <c r="CX3025" s="307">
        <v>0.61</v>
      </c>
      <c r="CY3025" s="307">
        <v>0.61</v>
      </c>
      <c r="CZ3025" s="307">
        <v>0.61</v>
      </c>
    </row>
    <row r="3026" spans="98:104">
      <c r="CT3026" s="307" t="s">
        <v>3457</v>
      </c>
      <c r="CU3026" s="307" t="s">
        <v>635</v>
      </c>
      <c r="CV3026" s="307" t="s">
        <v>3445</v>
      </c>
      <c r="CW3026" s="307" t="s">
        <v>29</v>
      </c>
      <c r="CX3026" s="307">
        <v>0.624</v>
      </c>
      <c r="CY3026" s="307">
        <v>0.624</v>
      </c>
      <c r="CZ3026" s="307">
        <v>0.624</v>
      </c>
    </row>
    <row r="3027" spans="98:104">
      <c r="CT3027" s="307" t="s">
        <v>3458</v>
      </c>
      <c r="CU3027" s="307" t="s">
        <v>635</v>
      </c>
      <c r="CV3027" s="307" t="s">
        <v>3445</v>
      </c>
      <c r="CW3027" s="307" t="s">
        <v>30</v>
      </c>
      <c r="CX3027" s="307">
        <v>0.64200000000000002</v>
      </c>
      <c r="CY3027" s="307">
        <v>0.64200000000000002</v>
      </c>
      <c r="CZ3027" s="307">
        <v>0.64200000000000002</v>
      </c>
    </row>
    <row r="3028" spans="98:104">
      <c r="CT3028" s="307" t="s">
        <v>3459</v>
      </c>
      <c r="CU3028" s="307" t="s">
        <v>635</v>
      </c>
      <c r="CV3028" s="307" t="s">
        <v>3445</v>
      </c>
      <c r="CW3028" s="307" t="s">
        <v>49</v>
      </c>
      <c r="CX3028" s="307">
        <v>0.66</v>
      </c>
      <c r="CY3028" s="307">
        <v>0.66</v>
      </c>
      <c r="CZ3028" s="307">
        <v>0.66</v>
      </c>
    </row>
    <row r="3029" spans="98:104">
      <c r="CT3029" s="307" t="s">
        <v>3460</v>
      </c>
      <c r="CU3029" s="307" t="s">
        <v>635</v>
      </c>
      <c r="CV3029" s="307" t="s">
        <v>3445</v>
      </c>
      <c r="CW3029" s="307" t="s">
        <v>50</v>
      </c>
      <c r="CX3029" s="307">
        <v>0.67400000000000004</v>
      </c>
      <c r="CY3029" s="307">
        <v>0.67400000000000004</v>
      </c>
      <c r="CZ3029" s="307">
        <v>0.67400000000000004</v>
      </c>
    </row>
    <row r="3030" spans="98:104">
      <c r="CT3030" s="307" t="s">
        <v>3461</v>
      </c>
      <c r="CU3030" s="307" t="s">
        <v>635</v>
      </c>
      <c r="CV3030" s="307" t="s">
        <v>3445</v>
      </c>
      <c r="CW3030" s="307" t="s">
        <v>51</v>
      </c>
      <c r="CX3030" s="307">
        <v>0.69199999999999995</v>
      </c>
      <c r="CY3030" s="307">
        <v>0.69199999999999995</v>
      </c>
      <c r="CZ3030" s="307">
        <v>0.69199999999999995</v>
      </c>
    </row>
    <row r="3031" spans="98:104">
      <c r="CT3031" s="307" t="s">
        <v>3462</v>
      </c>
      <c r="CU3031" s="307" t="s">
        <v>635</v>
      </c>
      <c r="CV3031" s="307" t="s">
        <v>3445</v>
      </c>
      <c r="CW3031" s="307" t="s">
        <v>56</v>
      </c>
      <c r="CX3031" s="307">
        <v>0.70699999999999996</v>
      </c>
      <c r="CY3031" s="307">
        <v>0.70699999999999996</v>
      </c>
      <c r="CZ3031" s="307">
        <v>0.70699999999999996</v>
      </c>
    </row>
    <row r="3032" spans="98:104">
      <c r="CT3032" s="307" t="s">
        <v>3463</v>
      </c>
      <c r="CU3032" s="307" t="s">
        <v>635</v>
      </c>
      <c r="CV3032" s="307" t="s">
        <v>3445</v>
      </c>
      <c r="CW3032" s="307" t="s">
        <v>53</v>
      </c>
      <c r="CX3032" s="307">
        <v>0.75600000000000001</v>
      </c>
      <c r="CY3032" s="307">
        <v>0.75600000000000001</v>
      </c>
      <c r="CZ3032" s="307">
        <v>0.75600000000000001</v>
      </c>
    </row>
    <row r="3033" spans="98:104">
      <c r="CT3033" s="307" t="s">
        <v>3464</v>
      </c>
      <c r="CU3033" s="307" t="s">
        <v>635</v>
      </c>
      <c r="CV3033" s="307" t="s">
        <v>3445</v>
      </c>
      <c r="CW3033" s="307" t="s">
        <v>54</v>
      </c>
      <c r="CX3033" s="307">
        <v>0.80400000000000005</v>
      </c>
      <c r="CY3033" s="307">
        <v>0.80400000000000005</v>
      </c>
      <c r="CZ3033" s="307">
        <v>0.80400000000000005</v>
      </c>
    </row>
    <row r="3034" spans="98:104">
      <c r="CT3034" s="307" t="s">
        <v>3465</v>
      </c>
      <c r="CU3034" s="307" t="s">
        <v>635</v>
      </c>
      <c r="CV3034" s="307" t="s">
        <v>3445</v>
      </c>
      <c r="CW3034" s="307" t="s">
        <v>55</v>
      </c>
      <c r="CX3034" s="307">
        <v>0.85299999999999998</v>
      </c>
      <c r="CY3034" s="307">
        <v>0.85299999999999998</v>
      </c>
      <c r="CZ3034" s="307">
        <v>0.85299999999999998</v>
      </c>
    </row>
    <row r="3035" spans="98:104">
      <c r="CT3035" s="307" t="s">
        <v>3466</v>
      </c>
      <c r="CU3035" s="307" t="s">
        <v>635</v>
      </c>
      <c r="CV3035" s="307" t="s">
        <v>3445</v>
      </c>
      <c r="CW3035" s="307" t="s">
        <v>9</v>
      </c>
      <c r="CX3035" s="307">
        <v>0.90200000000000002</v>
      </c>
      <c r="CY3035" s="307">
        <v>0.90200000000000002</v>
      </c>
      <c r="CZ3035" s="307">
        <v>0.90200000000000002</v>
      </c>
    </row>
    <row r="3036" spans="98:104">
      <c r="CT3036" s="307" t="s">
        <v>3467</v>
      </c>
      <c r="CU3036" s="307" t="s">
        <v>635</v>
      </c>
      <c r="CV3036" s="307" t="s">
        <v>3445</v>
      </c>
      <c r="CW3036" s="307" t="s">
        <v>10</v>
      </c>
      <c r="CX3036" s="307">
        <v>1.085</v>
      </c>
      <c r="CY3036" s="307">
        <v>1.085</v>
      </c>
      <c r="CZ3036" s="307">
        <v>1.085</v>
      </c>
    </row>
    <row r="3037" spans="98:104">
      <c r="CT3037" s="307" t="s">
        <v>3468</v>
      </c>
      <c r="CU3037" s="307" t="s">
        <v>635</v>
      </c>
      <c r="CV3037" s="307" t="s">
        <v>3445</v>
      </c>
      <c r="CW3037" s="307" t="s">
        <v>11</v>
      </c>
      <c r="CX3037" s="307">
        <v>1.2310000000000001</v>
      </c>
      <c r="CY3037" s="307">
        <v>1.2310000000000001</v>
      </c>
      <c r="CZ3037" s="307">
        <v>1.2310000000000001</v>
      </c>
    </row>
    <row r="3038" spans="98:104">
      <c r="CT3038" s="307" t="s">
        <v>3469</v>
      </c>
      <c r="CU3038" s="307" t="s">
        <v>635</v>
      </c>
      <c r="CV3038" s="307" t="s">
        <v>3445</v>
      </c>
      <c r="CW3038" s="307" t="s">
        <v>12</v>
      </c>
      <c r="CX3038" s="307">
        <v>1.351</v>
      </c>
      <c r="CY3038" s="307">
        <v>1.351</v>
      </c>
      <c r="CZ3038" s="307">
        <v>1.351</v>
      </c>
    </row>
    <row r="3039" spans="98:104">
      <c r="CT3039" s="307" t="s">
        <v>3470</v>
      </c>
      <c r="CU3039" s="307" t="s">
        <v>635</v>
      </c>
      <c r="CV3039" s="307" t="s">
        <v>3445</v>
      </c>
      <c r="CW3039" s="307" t="s">
        <v>13</v>
      </c>
      <c r="CX3039" s="307">
        <v>1.4550000000000001</v>
      </c>
      <c r="CY3039" s="307">
        <v>1.4550000000000001</v>
      </c>
      <c r="CZ3039" s="307">
        <v>1.4550000000000001</v>
      </c>
    </row>
    <row r="3040" spans="98:104">
      <c r="CT3040" s="307" t="s">
        <v>3471</v>
      </c>
      <c r="CU3040" s="307" t="s">
        <v>635</v>
      </c>
      <c r="CV3040" s="307" t="s">
        <v>3445</v>
      </c>
      <c r="CW3040" s="307" t="s">
        <v>14</v>
      </c>
      <c r="CX3040" s="307">
        <v>1.544</v>
      </c>
      <c r="CY3040" s="307">
        <v>1.544</v>
      </c>
      <c r="CZ3040" s="307">
        <v>1.544</v>
      </c>
    </row>
    <row r="3041" spans="98:104">
      <c r="CT3041" s="307" t="s">
        <v>3472</v>
      </c>
      <c r="CU3041" s="307" t="s">
        <v>635</v>
      </c>
      <c r="CV3041" s="307" t="s">
        <v>3445</v>
      </c>
      <c r="CW3041" s="307" t="s">
        <v>15</v>
      </c>
      <c r="CX3041" s="307">
        <v>1.617</v>
      </c>
      <c r="CY3041" s="307">
        <v>1.617</v>
      </c>
      <c r="CZ3041" s="307">
        <v>1.617</v>
      </c>
    </row>
    <row r="3042" spans="98:104">
      <c r="CT3042" s="307" t="s">
        <v>3473</v>
      </c>
      <c r="CU3042" s="307" t="s">
        <v>635</v>
      </c>
      <c r="CV3042" s="307" t="s">
        <v>3445</v>
      </c>
      <c r="CW3042" s="307" t="s">
        <v>16</v>
      </c>
      <c r="CX3042" s="307">
        <v>1.6779999999999999</v>
      </c>
      <c r="CY3042" s="307">
        <v>1.6779999999999999</v>
      </c>
      <c r="CZ3042" s="307">
        <v>1.6779999999999999</v>
      </c>
    </row>
    <row r="3043" spans="98:104">
      <c r="CT3043" s="307" t="s">
        <v>3474</v>
      </c>
      <c r="CU3043" s="307" t="s">
        <v>635</v>
      </c>
      <c r="CV3043" s="307" t="s">
        <v>3445</v>
      </c>
      <c r="CW3043" s="307" t="s">
        <v>17</v>
      </c>
      <c r="CX3043" s="307">
        <v>1.73</v>
      </c>
      <c r="CY3043" s="307">
        <v>1.73</v>
      </c>
      <c r="CZ3043" s="307">
        <v>1.73</v>
      </c>
    </row>
    <row r="3044" spans="98:104">
      <c r="CT3044" s="307" t="s">
        <v>3475</v>
      </c>
      <c r="CU3044" s="307" t="s">
        <v>635</v>
      </c>
      <c r="CV3044" s="307" t="s">
        <v>3445</v>
      </c>
      <c r="CW3044" s="307" t="s">
        <v>31</v>
      </c>
      <c r="CX3044" s="307">
        <v>1.7750505539999999</v>
      </c>
      <c r="CY3044" s="307">
        <v>1.7750505539999999</v>
      </c>
      <c r="CZ3044" s="307">
        <v>1.7750505539999999</v>
      </c>
    </row>
    <row r="3045" spans="98:104">
      <c r="CT3045" s="307" t="s">
        <v>3476</v>
      </c>
      <c r="CU3045" s="307" t="s">
        <v>635</v>
      </c>
      <c r="CV3045" s="307" t="s">
        <v>3445</v>
      </c>
      <c r="CW3045" s="307" t="s">
        <v>18</v>
      </c>
      <c r="CX3045" s="307">
        <v>1.8140000000000001</v>
      </c>
      <c r="CY3045" s="307">
        <v>1.8140000000000001</v>
      </c>
      <c r="CZ3045" s="307">
        <v>1.8140000000000001</v>
      </c>
    </row>
    <row r="3046" spans="98:104">
      <c r="CT3046" s="307" t="s">
        <v>3477</v>
      </c>
      <c r="CU3046" s="307" t="s">
        <v>635</v>
      </c>
      <c r="CV3046" s="307" t="s">
        <v>3445</v>
      </c>
      <c r="CW3046" s="307" t="s">
        <v>32</v>
      </c>
      <c r="CX3046" s="307">
        <v>1.8467547369999999</v>
      </c>
      <c r="CY3046" s="307">
        <v>1.8467547369999999</v>
      </c>
      <c r="CZ3046" s="307">
        <v>1.8467547369999999</v>
      </c>
    </row>
    <row r="3047" spans="98:104">
      <c r="CT3047" s="307" t="s">
        <v>3478</v>
      </c>
      <c r="CU3047" s="307" t="s">
        <v>635</v>
      </c>
      <c r="CV3047" s="307" t="s">
        <v>3445</v>
      </c>
      <c r="CW3047" s="307" t="s">
        <v>33</v>
      </c>
      <c r="CX3047" s="307">
        <v>1.8744074719999999</v>
      </c>
      <c r="CY3047" s="307">
        <v>1.8744074719999999</v>
      </c>
      <c r="CZ3047" s="307">
        <v>1.8744074719999999</v>
      </c>
    </row>
    <row r="3048" spans="98:104">
      <c r="CT3048" s="307" t="s">
        <v>3479</v>
      </c>
      <c r="CU3048" s="307" t="s">
        <v>635</v>
      </c>
      <c r="CV3048" s="307" t="s">
        <v>3445</v>
      </c>
      <c r="CW3048" s="307" t="s">
        <v>19</v>
      </c>
      <c r="CX3048" s="307">
        <v>1.8979999999999999</v>
      </c>
      <c r="CY3048" s="307">
        <v>1.8979999999999999</v>
      </c>
      <c r="CZ3048" s="307">
        <v>1.8979999999999999</v>
      </c>
    </row>
    <row r="3049" spans="98:104">
      <c r="CT3049" s="307" t="s">
        <v>3480</v>
      </c>
      <c r="CU3049" s="307" t="s">
        <v>635</v>
      </c>
      <c r="CV3049" s="307" t="s">
        <v>3445</v>
      </c>
      <c r="CW3049" s="307" t="s">
        <v>34</v>
      </c>
      <c r="CX3049" s="307">
        <v>1.9183909299999999</v>
      </c>
      <c r="CY3049" s="307">
        <v>1.9183909299999999</v>
      </c>
      <c r="CZ3049" s="307">
        <v>1.9183909299999999</v>
      </c>
    </row>
    <row r="3050" spans="98:104">
      <c r="CT3050" s="307" t="s">
        <v>3481</v>
      </c>
      <c r="CU3050" s="307" t="s">
        <v>635</v>
      </c>
      <c r="CV3050" s="307" t="s">
        <v>3445</v>
      </c>
      <c r="CW3050" s="307" t="s">
        <v>35</v>
      </c>
      <c r="CX3050" s="307">
        <v>1.9357606279999999</v>
      </c>
      <c r="CY3050" s="307">
        <v>1.9357606279999999</v>
      </c>
      <c r="CZ3050" s="307">
        <v>1.9357606279999999</v>
      </c>
    </row>
    <row r="3051" spans="98:104">
      <c r="CT3051" s="307" t="s">
        <v>3482</v>
      </c>
      <c r="CU3051" s="307" t="s">
        <v>635</v>
      </c>
      <c r="CV3051" s="307" t="s">
        <v>3445</v>
      </c>
      <c r="CW3051" s="307" t="s">
        <v>36</v>
      </c>
      <c r="CX3051" s="307">
        <v>1.950671061</v>
      </c>
      <c r="CY3051" s="307">
        <v>1.950671061</v>
      </c>
      <c r="CZ3051" s="307">
        <v>1.950671061</v>
      </c>
    </row>
    <row r="3052" spans="98:104">
      <c r="CT3052" s="307" t="s">
        <v>3483</v>
      </c>
      <c r="CU3052" s="307" t="s">
        <v>635</v>
      </c>
      <c r="CV3052" s="307" t="s">
        <v>3445</v>
      </c>
      <c r="CW3052" s="307" t="s">
        <v>37</v>
      </c>
      <c r="CX3052" s="307">
        <v>1.9633354670000001</v>
      </c>
      <c r="CY3052" s="307">
        <v>1.9633354670000001</v>
      </c>
      <c r="CZ3052" s="307">
        <v>1.9633354670000001</v>
      </c>
    </row>
    <row r="3053" spans="98:104">
      <c r="CT3053" s="307" t="s">
        <v>3484</v>
      </c>
      <c r="CU3053" s="307" t="s">
        <v>635</v>
      </c>
      <c r="CV3053" s="307" t="s">
        <v>3445</v>
      </c>
      <c r="CW3053" s="307" t="s">
        <v>20</v>
      </c>
      <c r="CX3053" s="307">
        <v>1.974</v>
      </c>
      <c r="CY3053" s="307">
        <v>1.974</v>
      </c>
      <c r="CZ3053" s="307">
        <v>1.974</v>
      </c>
    </row>
    <row r="3054" spans="98:104">
      <c r="CT3054" s="307" t="s">
        <v>3485</v>
      </c>
      <c r="CU3054" s="307" t="s">
        <v>635</v>
      </c>
      <c r="CV3054" s="307" t="s">
        <v>3445</v>
      </c>
      <c r="CW3054" s="307" t="s">
        <v>38</v>
      </c>
      <c r="CX3054" s="307">
        <v>1.9828575429999999</v>
      </c>
      <c r="CY3054" s="307">
        <v>1.9828575429999999</v>
      </c>
      <c r="CZ3054" s="307">
        <v>1.9828575429999999</v>
      </c>
    </row>
    <row r="3055" spans="98:104">
      <c r="CT3055" s="307" t="s">
        <v>3486</v>
      </c>
      <c r="CU3055" s="307" t="s">
        <v>635</v>
      </c>
      <c r="CV3055" s="307" t="s">
        <v>3445</v>
      </c>
      <c r="CW3055" s="307" t="s">
        <v>39</v>
      </c>
      <c r="CX3055" s="307">
        <v>1.990098036</v>
      </c>
      <c r="CY3055" s="307">
        <v>1.990098036</v>
      </c>
      <c r="CZ3055" s="307">
        <v>1.990098036</v>
      </c>
    </row>
    <row r="3056" spans="98:104">
      <c r="CT3056" s="307" t="s">
        <v>3487</v>
      </c>
      <c r="CU3056" s="307" t="s">
        <v>635</v>
      </c>
      <c r="CV3056" s="307" t="s">
        <v>3445</v>
      </c>
      <c r="CW3056" s="307" t="s">
        <v>40</v>
      </c>
      <c r="CX3056" s="307">
        <v>1.9960618459999999</v>
      </c>
      <c r="CY3056" s="307">
        <v>1.9960618459999999</v>
      </c>
      <c r="CZ3056" s="307">
        <v>1.9960618459999999</v>
      </c>
    </row>
    <row r="3057" spans="98:104">
      <c r="CT3057" s="307" t="s">
        <v>3488</v>
      </c>
      <c r="CU3057" s="307" t="s">
        <v>635</v>
      </c>
      <c r="CV3057" s="307" t="s">
        <v>3445</v>
      </c>
      <c r="CW3057" s="307" t="s">
        <v>41</v>
      </c>
      <c r="CX3057" s="307">
        <v>2.0009871260000001</v>
      </c>
      <c r="CY3057" s="307">
        <v>2.0009871260000001</v>
      </c>
      <c r="CZ3057" s="307">
        <v>2.0009871260000001</v>
      </c>
    </row>
    <row r="3058" spans="98:104">
      <c r="CT3058" s="307" t="s">
        <v>3489</v>
      </c>
      <c r="CU3058" s="307" t="s">
        <v>635</v>
      </c>
      <c r="CV3058" s="307" t="s">
        <v>3445</v>
      </c>
      <c r="CW3058" s="307" t="s">
        <v>21</v>
      </c>
      <c r="CX3058" s="307">
        <v>2.0049999999999999</v>
      </c>
      <c r="CY3058" s="307">
        <v>2.0049999999999999</v>
      </c>
      <c r="CZ3058" s="307">
        <v>2.0049999999999999</v>
      </c>
    </row>
    <row r="3059" spans="98:104">
      <c r="CT3059" s="307" t="s">
        <v>3490</v>
      </c>
      <c r="CU3059" s="307" t="s">
        <v>635</v>
      </c>
      <c r="CV3059" s="307" t="s">
        <v>3445</v>
      </c>
      <c r="CW3059" s="307" t="s">
        <v>42</v>
      </c>
      <c r="CX3059" s="307">
        <v>2.008273977</v>
      </c>
      <c r="CY3059" s="307">
        <v>2.008273977</v>
      </c>
      <c r="CZ3059" s="307">
        <v>2.008273977</v>
      </c>
    </row>
    <row r="3060" spans="98:104">
      <c r="CT3060" s="307" t="s">
        <v>3491</v>
      </c>
      <c r="CU3060" s="307" t="s">
        <v>635</v>
      </c>
      <c r="CV3060" s="307" t="s">
        <v>3445</v>
      </c>
      <c r="CW3060" s="307" t="s">
        <v>43</v>
      </c>
      <c r="CX3060" s="307">
        <v>2.0109906369999999</v>
      </c>
      <c r="CY3060" s="307">
        <v>2.0109906369999999</v>
      </c>
      <c r="CZ3060" s="307">
        <v>2.0109906369999999</v>
      </c>
    </row>
    <row r="3061" spans="98:104">
      <c r="CT3061" s="307" t="s">
        <v>3492</v>
      </c>
      <c r="CU3061" s="307" t="s">
        <v>635</v>
      </c>
      <c r="CV3061" s="307" t="s">
        <v>3445</v>
      </c>
      <c r="CW3061" s="307" t="s">
        <v>44</v>
      </c>
      <c r="CX3061" s="307">
        <v>2.013254399</v>
      </c>
      <c r="CY3061" s="307">
        <v>2.013254399</v>
      </c>
      <c r="CZ3061" s="307">
        <v>2.013254399</v>
      </c>
    </row>
    <row r="3062" spans="98:104">
      <c r="CT3062" s="307" t="s">
        <v>3493</v>
      </c>
      <c r="CU3062" s="307" t="s">
        <v>635</v>
      </c>
      <c r="CV3062" s="307" t="s">
        <v>3445</v>
      </c>
      <c r="CW3062" s="307" t="s">
        <v>45</v>
      </c>
      <c r="CX3062" s="307">
        <v>2.0152248340000001</v>
      </c>
      <c r="CY3062" s="307">
        <v>2.0152248340000001</v>
      </c>
      <c r="CZ3062" s="307">
        <v>2.0152248340000001</v>
      </c>
    </row>
    <row r="3063" spans="98:104">
      <c r="CT3063" s="307" t="s">
        <v>3494</v>
      </c>
      <c r="CU3063" s="307" t="s">
        <v>635</v>
      </c>
      <c r="CV3063" s="307" t="s">
        <v>3445</v>
      </c>
      <c r="CW3063" s="307" t="s">
        <v>22</v>
      </c>
      <c r="CX3063" s="307">
        <v>2.0169999999999999</v>
      </c>
      <c r="CY3063" s="307">
        <v>2.0169999999999999</v>
      </c>
      <c r="CZ3063" s="307">
        <v>2.0169999999999999</v>
      </c>
    </row>
    <row r="3064" spans="98:104">
      <c r="CT3064" s="307" t="s">
        <v>3495</v>
      </c>
      <c r="CU3064" s="307" t="s">
        <v>635</v>
      </c>
      <c r="CV3064" s="307" t="s">
        <v>3445</v>
      </c>
      <c r="CW3064" s="307" t="s">
        <v>46</v>
      </c>
      <c r="CX3064" s="307">
        <v>2.024</v>
      </c>
      <c r="CY3064" s="307">
        <v>2.024</v>
      </c>
      <c r="CZ3064" s="307">
        <v>2.024</v>
      </c>
    </row>
    <row r="3065" spans="98:104">
      <c r="CT3065" s="307" t="s">
        <v>3496</v>
      </c>
      <c r="CU3065" s="307" t="s">
        <v>635</v>
      </c>
      <c r="CV3065" s="307" t="s">
        <v>3445</v>
      </c>
      <c r="CW3065" s="307" t="s">
        <v>47</v>
      </c>
      <c r="CX3065" s="307">
        <v>2.0099999999999998</v>
      </c>
      <c r="CY3065" s="307">
        <v>2.0099999999999998</v>
      </c>
      <c r="CZ3065" s="307">
        <v>2.0099999999999998</v>
      </c>
    </row>
    <row r="3066" spans="98:104">
      <c r="CT3066" s="307" t="s">
        <v>3497</v>
      </c>
      <c r="CU3066" s="307" t="s">
        <v>635</v>
      </c>
      <c r="CV3066" s="307" t="s">
        <v>3445</v>
      </c>
      <c r="CW3066" s="307" t="s">
        <v>48</v>
      </c>
      <c r="CX3066" s="307">
        <v>1.997249311</v>
      </c>
      <c r="CY3066" s="307">
        <v>1.997249311</v>
      </c>
      <c r="CZ3066" s="307">
        <v>1.997249311</v>
      </c>
    </row>
    <row r="3067" spans="98:104">
      <c r="CT3067" s="307" t="s">
        <v>3498</v>
      </c>
      <c r="CU3067" s="307" t="s">
        <v>635</v>
      </c>
      <c r="CV3067" s="307" t="s">
        <v>3499</v>
      </c>
      <c r="CW3067" s="307" t="s">
        <v>3</v>
      </c>
      <c r="CX3067" s="307">
        <v>0.65</v>
      </c>
      <c r="CY3067" s="307">
        <v>0.65</v>
      </c>
      <c r="CZ3067" s="307">
        <v>0.65</v>
      </c>
    </row>
    <row r="3068" spans="98:104">
      <c r="CT3068" s="307" t="s">
        <v>3500</v>
      </c>
      <c r="CU3068" s="307" t="s">
        <v>635</v>
      </c>
      <c r="CV3068" s="307" t="s">
        <v>3499</v>
      </c>
      <c r="CW3068" s="307" t="s">
        <v>7</v>
      </c>
      <c r="CX3068" s="307">
        <v>1</v>
      </c>
      <c r="CY3068" s="307">
        <v>1</v>
      </c>
      <c r="CZ3068" s="307">
        <v>1</v>
      </c>
    </row>
    <row r="3069" spans="98:104">
      <c r="CT3069" s="307" t="s">
        <v>3501</v>
      </c>
      <c r="CU3069" s="307" t="s">
        <v>635</v>
      </c>
      <c r="CV3069" s="307" t="s">
        <v>3499</v>
      </c>
      <c r="CW3069" s="307" t="s">
        <v>8</v>
      </c>
      <c r="CX3069" s="307">
        <v>1</v>
      </c>
      <c r="CY3069" s="307">
        <v>1</v>
      </c>
      <c r="CZ3069" s="307">
        <v>1</v>
      </c>
    </row>
    <row r="3070" spans="98:104">
      <c r="CT3070" s="307" t="s">
        <v>3502</v>
      </c>
      <c r="CU3070" s="307" t="s">
        <v>635</v>
      </c>
      <c r="CV3070" s="307" t="s">
        <v>3499</v>
      </c>
      <c r="CW3070" s="307" t="s">
        <v>25</v>
      </c>
      <c r="CX3070" s="307">
        <v>1</v>
      </c>
      <c r="CY3070" s="307">
        <v>1</v>
      </c>
      <c r="CZ3070" s="307">
        <v>1</v>
      </c>
    </row>
    <row r="3071" spans="98:104">
      <c r="CT3071" s="307" t="s">
        <v>3503</v>
      </c>
      <c r="CU3071" s="307" t="s">
        <v>635</v>
      </c>
      <c r="CV3071" s="307" t="s">
        <v>3499</v>
      </c>
      <c r="CW3071" s="307" t="s">
        <v>26</v>
      </c>
      <c r="CX3071" s="307">
        <v>1</v>
      </c>
      <c r="CY3071" s="307">
        <v>1</v>
      </c>
      <c r="CZ3071" s="307">
        <v>1</v>
      </c>
    </row>
    <row r="3072" spans="98:104">
      <c r="CT3072" s="307" t="s">
        <v>3504</v>
      </c>
      <c r="CU3072" s="307" t="s">
        <v>635</v>
      </c>
      <c r="CV3072" s="307" t="s">
        <v>3499</v>
      </c>
      <c r="CW3072" s="307" t="s">
        <v>27</v>
      </c>
      <c r="CX3072" s="307">
        <v>1</v>
      </c>
      <c r="CY3072" s="307">
        <v>1</v>
      </c>
      <c r="CZ3072" s="307">
        <v>1</v>
      </c>
    </row>
    <row r="3073" spans="98:104">
      <c r="CT3073" s="307" t="s">
        <v>3505</v>
      </c>
      <c r="CU3073" s="307" t="s">
        <v>635</v>
      </c>
      <c r="CV3073" s="307" t="s">
        <v>3499</v>
      </c>
      <c r="CW3073" s="307" t="s">
        <v>28</v>
      </c>
      <c r="CX3073" s="307">
        <v>1</v>
      </c>
      <c r="CY3073" s="307">
        <v>1</v>
      </c>
      <c r="CZ3073" s="307">
        <v>1</v>
      </c>
    </row>
    <row r="3074" spans="98:104">
      <c r="CT3074" s="307" t="s">
        <v>3506</v>
      </c>
      <c r="CU3074" s="307" t="s">
        <v>635</v>
      </c>
      <c r="CV3074" s="307" t="s">
        <v>3499</v>
      </c>
      <c r="CW3074" s="307" t="s">
        <v>29</v>
      </c>
      <c r="CX3074" s="307">
        <v>1</v>
      </c>
      <c r="CY3074" s="307">
        <v>1</v>
      </c>
      <c r="CZ3074" s="307">
        <v>1</v>
      </c>
    </row>
    <row r="3075" spans="98:104">
      <c r="CT3075" s="307" t="s">
        <v>3507</v>
      </c>
      <c r="CU3075" s="307" t="s">
        <v>635</v>
      </c>
      <c r="CV3075" s="307" t="s">
        <v>3499</v>
      </c>
      <c r="CW3075" s="307" t="s">
        <v>30</v>
      </c>
      <c r="CX3075" s="307">
        <v>1</v>
      </c>
      <c r="CY3075" s="307">
        <v>1</v>
      </c>
      <c r="CZ3075" s="307">
        <v>1</v>
      </c>
    </row>
    <row r="3076" spans="98:104">
      <c r="CT3076" s="307" t="s">
        <v>3508</v>
      </c>
      <c r="CU3076" s="307" t="s">
        <v>635</v>
      </c>
      <c r="CV3076" s="307" t="s">
        <v>3499</v>
      </c>
      <c r="CW3076" s="307" t="s">
        <v>49</v>
      </c>
      <c r="CX3076" s="307">
        <v>1</v>
      </c>
      <c r="CY3076" s="307">
        <v>1</v>
      </c>
      <c r="CZ3076" s="307">
        <v>1</v>
      </c>
    </row>
    <row r="3077" spans="98:104">
      <c r="CT3077" s="307" t="s">
        <v>3509</v>
      </c>
      <c r="CU3077" s="307" t="s">
        <v>635</v>
      </c>
      <c r="CV3077" s="307" t="s">
        <v>3499</v>
      </c>
      <c r="CW3077" s="307" t="s">
        <v>50</v>
      </c>
      <c r="CX3077" s="307">
        <v>1</v>
      </c>
      <c r="CY3077" s="307">
        <v>1</v>
      </c>
      <c r="CZ3077" s="307">
        <v>1</v>
      </c>
    </row>
    <row r="3078" spans="98:104">
      <c r="CT3078" s="307" t="s">
        <v>3510</v>
      </c>
      <c r="CU3078" s="307" t="s">
        <v>635</v>
      </c>
      <c r="CV3078" s="307" t="s">
        <v>3499</v>
      </c>
      <c r="CW3078" s="307" t="s">
        <v>51</v>
      </c>
      <c r="CX3078" s="307">
        <v>1</v>
      </c>
      <c r="CY3078" s="307">
        <v>1</v>
      </c>
      <c r="CZ3078" s="307">
        <v>1</v>
      </c>
    </row>
    <row r="3079" spans="98:104">
      <c r="CT3079" s="307" t="s">
        <v>3511</v>
      </c>
      <c r="CU3079" s="307" t="s">
        <v>635</v>
      </c>
      <c r="CV3079" s="307" t="s">
        <v>3499</v>
      </c>
      <c r="CW3079" s="307" t="s">
        <v>56</v>
      </c>
      <c r="CX3079" s="307">
        <v>1</v>
      </c>
      <c r="CY3079" s="307">
        <v>1</v>
      </c>
      <c r="CZ3079" s="307">
        <v>1</v>
      </c>
    </row>
    <row r="3080" spans="98:104">
      <c r="CT3080" s="307" t="s">
        <v>3512</v>
      </c>
      <c r="CU3080" s="307" t="s">
        <v>635</v>
      </c>
      <c r="CV3080" s="307" t="s">
        <v>3499</v>
      </c>
      <c r="CW3080" s="307" t="s">
        <v>53</v>
      </c>
      <c r="CX3080" s="307">
        <v>1</v>
      </c>
      <c r="CY3080" s="307">
        <v>1</v>
      </c>
      <c r="CZ3080" s="307">
        <v>1</v>
      </c>
    </row>
    <row r="3081" spans="98:104">
      <c r="CT3081" s="307" t="s">
        <v>3513</v>
      </c>
      <c r="CU3081" s="307" t="s">
        <v>635</v>
      </c>
      <c r="CV3081" s="307" t="s">
        <v>3499</v>
      </c>
      <c r="CW3081" s="307" t="s">
        <v>54</v>
      </c>
      <c r="CX3081" s="307">
        <v>1</v>
      </c>
      <c r="CY3081" s="307">
        <v>1</v>
      </c>
      <c r="CZ3081" s="307">
        <v>1</v>
      </c>
    </row>
    <row r="3082" spans="98:104">
      <c r="CT3082" s="307" t="s">
        <v>3514</v>
      </c>
      <c r="CU3082" s="307" t="s">
        <v>635</v>
      </c>
      <c r="CV3082" s="307" t="s">
        <v>3499</v>
      </c>
      <c r="CW3082" s="307" t="s">
        <v>55</v>
      </c>
      <c r="CX3082" s="307">
        <v>1</v>
      </c>
      <c r="CY3082" s="307">
        <v>1</v>
      </c>
      <c r="CZ3082" s="307">
        <v>1</v>
      </c>
    </row>
    <row r="3083" spans="98:104">
      <c r="CT3083" s="307" t="s">
        <v>3515</v>
      </c>
      <c r="CU3083" s="307" t="s">
        <v>635</v>
      </c>
      <c r="CV3083" s="307" t="s">
        <v>3499</v>
      </c>
      <c r="CW3083" s="307" t="s">
        <v>9</v>
      </c>
      <c r="CX3083" s="307">
        <v>1</v>
      </c>
      <c r="CY3083" s="307">
        <v>1</v>
      </c>
      <c r="CZ3083" s="307">
        <v>1</v>
      </c>
    </row>
    <row r="3084" spans="98:104">
      <c r="CT3084" s="307" t="s">
        <v>3516</v>
      </c>
      <c r="CU3084" s="307" t="s">
        <v>635</v>
      </c>
      <c r="CV3084" s="307" t="s">
        <v>3517</v>
      </c>
      <c r="CW3084" s="307" t="s">
        <v>25</v>
      </c>
      <c r="CX3084" s="307">
        <v>1</v>
      </c>
      <c r="CY3084" s="307">
        <v>1</v>
      </c>
      <c r="CZ3084" s="307">
        <v>1</v>
      </c>
    </row>
    <row r="3085" spans="98:104">
      <c r="CT3085" s="307" t="s">
        <v>3518</v>
      </c>
      <c r="CU3085" s="307" t="s">
        <v>635</v>
      </c>
      <c r="CV3085" s="307" t="s">
        <v>3517</v>
      </c>
      <c r="CW3085" s="307" t="s">
        <v>28</v>
      </c>
      <c r="CX3085" s="307">
        <v>1</v>
      </c>
      <c r="CY3085" s="307">
        <v>1</v>
      </c>
      <c r="CZ3085" s="307">
        <v>1</v>
      </c>
    </row>
    <row r="3086" spans="98:104">
      <c r="CT3086" s="307" t="s">
        <v>3519</v>
      </c>
      <c r="CU3086" s="307" t="s">
        <v>635</v>
      </c>
      <c r="CV3086" s="307" t="s">
        <v>3517</v>
      </c>
      <c r="CW3086" s="307" t="s">
        <v>49</v>
      </c>
      <c r="CX3086" s="307">
        <v>1</v>
      </c>
      <c r="CY3086" s="307">
        <v>1</v>
      </c>
      <c r="CZ3086" s="307">
        <v>1</v>
      </c>
    </row>
    <row r="3087" spans="98:104">
      <c r="CT3087" s="307" t="s">
        <v>3520</v>
      </c>
      <c r="CU3087" s="307" t="s">
        <v>635</v>
      </c>
      <c r="CV3087" s="307" t="s">
        <v>3517</v>
      </c>
      <c r="CW3087" s="307" t="s">
        <v>56</v>
      </c>
      <c r="CX3087" s="307">
        <v>1</v>
      </c>
      <c r="CY3087" s="307">
        <v>1</v>
      </c>
      <c r="CZ3087" s="307">
        <v>1</v>
      </c>
    </row>
    <row r="3088" spans="98:104">
      <c r="CT3088" s="307" t="s">
        <v>3521</v>
      </c>
      <c r="CU3088" s="307" t="s">
        <v>635</v>
      </c>
      <c r="CV3088" s="307" t="s">
        <v>3517</v>
      </c>
      <c r="CW3088" s="307" t="s">
        <v>54</v>
      </c>
      <c r="CX3088" s="307">
        <v>1</v>
      </c>
      <c r="CY3088" s="307">
        <v>1</v>
      </c>
      <c r="CZ3088" s="307">
        <v>1</v>
      </c>
    </row>
    <row r="3089" spans="98:104">
      <c r="CT3089" s="307" t="s">
        <v>3522</v>
      </c>
      <c r="CU3089" s="307" t="s">
        <v>635</v>
      </c>
      <c r="CV3089" s="307" t="s">
        <v>3517</v>
      </c>
      <c r="CW3089" s="307" t="s">
        <v>9</v>
      </c>
      <c r="CX3089" s="307">
        <v>1</v>
      </c>
      <c r="CY3089" s="307">
        <v>1</v>
      </c>
      <c r="CZ3089" s="307">
        <v>1</v>
      </c>
    </row>
    <row r="3090" spans="98:104">
      <c r="CT3090" s="307" t="s">
        <v>3523</v>
      </c>
      <c r="CU3090" s="307" t="s">
        <v>635</v>
      </c>
      <c r="CV3090" s="307" t="s">
        <v>3517</v>
      </c>
      <c r="CW3090" s="307" t="s">
        <v>10</v>
      </c>
      <c r="CX3090" s="307">
        <v>1</v>
      </c>
      <c r="CY3090" s="307">
        <v>1</v>
      </c>
      <c r="CZ3090" s="307">
        <v>1</v>
      </c>
    </row>
    <row r="3091" spans="98:104">
      <c r="CT3091" s="307" t="s">
        <v>3524</v>
      </c>
      <c r="CU3091" s="307" t="s">
        <v>635</v>
      </c>
      <c r="CV3091" s="307" t="s">
        <v>3517</v>
      </c>
      <c r="CW3091" s="307" t="s">
        <v>11</v>
      </c>
      <c r="CX3091" s="307">
        <v>1</v>
      </c>
      <c r="CY3091" s="307">
        <v>1</v>
      </c>
      <c r="CZ3091" s="307">
        <v>1</v>
      </c>
    </row>
    <row r="3092" spans="98:104">
      <c r="CT3092" s="307" t="s">
        <v>3525</v>
      </c>
      <c r="CU3092" s="307" t="s">
        <v>635</v>
      </c>
      <c r="CV3092" s="307" t="s">
        <v>3517</v>
      </c>
      <c r="CW3092" s="307" t="s">
        <v>12</v>
      </c>
      <c r="CX3092" s="307">
        <v>1</v>
      </c>
      <c r="CY3092" s="307">
        <v>1</v>
      </c>
      <c r="CZ3092" s="307">
        <v>1</v>
      </c>
    </row>
    <row r="3093" spans="98:104">
      <c r="CT3093" s="307" t="s">
        <v>3526</v>
      </c>
      <c r="CU3093" s="307" t="s">
        <v>635</v>
      </c>
      <c r="CV3093" s="307" t="s">
        <v>3517</v>
      </c>
      <c r="CW3093" s="307" t="s">
        <v>14</v>
      </c>
      <c r="CX3093" s="307">
        <v>1</v>
      </c>
      <c r="CY3093" s="307">
        <v>1</v>
      </c>
      <c r="CZ3093" s="307">
        <v>1</v>
      </c>
    </row>
    <row r="3094" spans="98:104">
      <c r="CT3094" s="307" t="s">
        <v>3527</v>
      </c>
      <c r="CU3094" s="307" t="s">
        <v>635</v>
      </c>
      <c r="CV3094" s="307" t="s">
        <v>3517</v>
      </c>
      <c r="CW3094" s="307" t="s">
        <v>17</v>
      </c>
      <c r="CX3094" s="307">
        <v>1</v>
      </c>
      <c r="CY3094" s="307">
        <v>1</v>
      </c>
      <c r="CZ3094" s="307">
        <v>1</v>
      </c>
    </row>
    <row r="3095" spans="98:104">
      <c r="CT3095" s="307" t="s">
        <v>3528</v>
      </c>
      <c r="CU3095" s="307" t="s">
        <v>635</v>
      </c>
      <c r="CV3095" s="307" t="s">
        <v>3529</v>
      </c>
      <c r="CW3095" s="307" t="s">
        <v>3</v>
      </c>
      <c r="CX3095" s="307">
        <v>0.29299999999999998</v>
      </c>
      <c r="CY3095" s="307">
        <v>0.29299999999999998</v>
      </c>
      <c r="CZ3095" s="307">
        <v>0.29299999999999998</v>
      </c>
    </row>
    <row r="3096" spans="98:104">
      <c r="CT3096" s="307" t="s">
        <v>3530</v>
      </c>
      <c r="CU3096" s="307" t="s">
        <v>635</v>
      </c>
      <c r="CV3096" s="307" t="s">
        <v>3529</v>
      </c>
      <c r="CW3096" s="307" t="s">
        <v>4</v>
      </c>
      <c r="CX3096" s="307">
        <v>0.29299999999999998</v>
      </c>
      <c r="CY3096" s="307">
        <v>0.29299999999999998</v>
      </c>
      <c r="CZ3096" s="307">
        <v>0.29299999999999998</v>
      </c>
    </row>
    <row r="3097" spans="98:104">
      <c r="CT3097" s="307" t="s">
        <v>3531</v>
      </c>
      <c r="CU3097" s="307" t="s">
        <v>635</v>
      </c>
      <c r="CV3097" s="307" t="s">
        <v>3529</v>
      </c>
      <c r="CW3097" s="307" t="s">
        <v>23</v>
      </c>
      <c r="CX3097" s="307">
        <v>0.29299999999999998</v>
      </c>
      <c r="CY3097" s="307">
        <v>0.29299999999999998</v>
      </c>
      <c r="CZ3097" s="307">
        <v>0.29299999999999998</v>
      </c>
    </row>
    <row r="3098" spans="98:104">
      <c r="CT3098" s="307" t="s">
        <v>3532</v>
      </c>
      <c r="CU3098" s="307" t="s">
        <v>635</v>
      </c>
      <c r="CV3098" s="307" t="s">
        <v>3529</v>
      </c>
      <c r="CW3098" s="307" t="s">
        <v>5</v>
      </c>
      <c r="CX3098" s="307">
        <v>-2.3200999999999999E-2</v>
      </c>
      <c r="CY3098" s="307">
        <v>-2.3200999999999999E-2</v>
      </c>
      <c r="CZ3098" s="307">
        <v>-2.3200999999999999E-2</v>
      </c>
    </row>
    <row r="3099" spans="98:104">
      <c r="CT3099" s="307" t="s">
        <v>3533</v>
      </c>
      <c r="CU3099" s="307" t="s">
        <v>635</v>
      </c>
      <c r="CV3099" s="307" t="s">
        <v>3529</v>
      </c>
      <c r="CW3099" s="307" t="s">
        <v>6</v>
      </c>
      <c r="CX3099" s="307">
        <v>0.330119</v>
      </c>
      <c r="CY3099" s="307">
        <v>0.330119</v>
      </c>
      <c r="CZ3099" s="307">
        <v>0.330119</v>
      </c>
    </row>
    <row r="3100" spans="98:104">
      <c r="CT3100" s="307" t="s">
        <v>3534</v>
      </c>
      <c r="CU3100" s="307" t="s">
        <v>635</v>
      </c>
      <c r="CV3100" s="307" t="s">
        <v>3529</v>
      </c>
      <c r="CW3100" s="307" t="s">
        <v>24</v>
      </c>
      <c r="CX3100" s="307">
        <v>0.124057</v>
      </c>
      <c r="CY3100" s="307">
        <v>0.124057</v>
      </c>
      <c r="CZ3100" s="307">
        <v>0.124057</v>
      </c>
    </row>
    <row r="3101" spans="98:104">
      <c r="CT3101" s="307" t="s">
        <v>3535</v>
      </c>
      <c r="CU3101" s="307" t="s">
        <v>635</v>
      </c>
      <c r="CV3101" s="307" t="s">
        <v>3529</v>
      </c>
      <c r="CW3101" s="307" t="s">
        <v>7</v>
      </c>
      <c r="CX3101" s="307">
        <v>0.16261400000000001</v>
      </c>
      <c r="CY3101" s="307">
        <v>0.16261400000000001</v>
      </c>
      <c r="CZ3101" s="307">
        <v>0.16261400000000001</v>
      </c>
    </row>
    <row r="3102" spans="98:104">
      <c r="CT3102" s="307" t="s">
        <v>3536</v>
      </c>
      <c r="CU3102" s="307" t="s">
        <v>635</v>
      </c>
      <c r="CV3102" s="307" t="s">
        <v>3529</v>
      </c>
      <c r="CW3102" s="307" t="s">
        <v>8</v>
      </c>
      <c r="CX3102" s="307">
        <v>0.20849599999999999</v>
      </c>
      <c r="CY3102" s="307">
        <v>0.20849599999999999</v>
      </c>
      <c r="CZ3102" s="307">
        <v>0.20849599999999999</v>
      </c>
    </row>
    <row r="3103" spans="98:104">
      <c r="CT3103" s="307" t="s">
        <v>3537</v>
      </c>
      <c r="CU3103" s="307" t="s">
        <v>635</v>
      </c>
      <c r="CV3103" s="307" t="s">
        <v>3529</v>
      </c>
      <c r="CW3103" s="307" t="s">
        <v>25</v>
      </c>
      <c r="CX3103" s="307">
        <v>0.20283000000000001</v>
      </c>
      <c r="CY3103" s="307">
        <v>0.20283000000000001</v>
      </c>
      <c r="CZ3103" s="307">
        <v>0.20283000000000001</v>
      </c>
    </row>
    <row r="3104" spans="98:104">
      <c r="CT3104" s="307" t="s">
        <v>3538</v>
      </c>
      <c r="CU3104" s="307" t="s">
        <v>635</v>
      </c>
      <c r="CV3104" s="307" t="s">
        <v>3529</v>
      </c>
      <c r="CW3104" s="307" t="s">
        <v>26</v>
      </c>
      <c r="CX3104" s="307">
        <v>0.20677899999999999</v>
      </c>
      <c r="CY3104" s="307">
        <v>0.20677899999999999</v>
      </c>
      <c r="CZ3104" s="307">
        <v>0.20677899999999999</v>
      </c>
    </row>
    <row r="3105" spans="98:104">
      <c r="CT3105" s="307" t="s">
        <v>3539</v>
      </c>
      <c r="CU3105" s="307" t="s">
        <v>635</v>
      </c>
      <c r="CV3105" s="307" t="s">
        <v>3529</v>
      </c>
      <c r="CW3105" s="307" t="s">
        <v>27</v>
      </c>
      <c r="CX3105" s="307">
        <v>0.203213</v>
      </c>
      <c r="CY3105" s="307">
        <v>0.203213</v>
      </c>
      <c r="CZ3105" s="307">
        <v>0.203213</v>
      </c>
    </row>
    <row r="3106" spans="98:104">
      <c r="CT3106" s="307" t="s">
        <v>3540</v>
      </c>
      <c r="CU3106" s="307" t="s">
        <v>635</v>
      </c>
      <c r="CV3106" s="307" t="s">
        <v>3529</v>
      </c>
      <c r="CW3106" s="307" t="s">
        <v>28</v>
      </c>
      <c r="CX3106" s="307">
        <v>0.20673</v>
      </c>
      <c r="CY3106" s="307">
        <v>0.20673</v>
      </c>
      <c r="CZ3106" s="307">
        <v>0.20673</v>
      </c>
    </row>
    <row r="3107" spans="98:104">
      <c r="CT3107" s="307" t="s">
        <v>3541</v>
      </c>
      <c r="CU3107" s="307" t="s">
        <v>635</v>
      </c>
      <c r="CV3107" s="307" t="s">
        <v>3529</v>
      </c>
      <c r="CW3107" s="307" t="s">
        <v>29</v>
      </c>
      <c r="CX3107" s="307">
        <v>0.207736</v>
      </c>
      <c r="CY3107" s="307">
        <v>0.207736</v>
      </c>
      <c r="CZ3107" s="307">
        <v>0.207736</v>
      </c>
    </row>
    <row r="3108" spans="98:104">
      <c r="CT3108" s="307" t="s">
        <v>3542</v>
      </c>
      <c r="CU3108" s="307" t="s">
        <v>635</v>
      </c>
      <c r="CV3108" s="307" t="s">
        <v>3529</v>
      </c>
      <c r="CW3108" s="307" t="s">
        <v>30</v>
      </c>
      <c r="CX3108" s="307">
        <v>0.208315</v>
      </c>
      <c r="CY3108" s="307">
        <v>0.208315</v>
      </c>
      <c r="CZ3108" s="307">
        <v>0.208315</v>
      </c>
    </row>
    <row r="3109" spans="98:104">
      <c r="CT3109" s="307" t="s">
        <v>3543</v>
      </c>
      <c r="CU3109" s="307" t="s">
        <v>635</v>
      </c>
      <c r="CV3109" s="307" t="s">
        <v>3529</v>
      </c>
      <c r="CW3109" s="307" t="s">
        <v>49</v>
      </c>
      <c r="CX3109" s="307">
        <v>0.21379100000000001</v>
      </c>
      <c r="CY3109" s="307">
        <v>0.21379100000000001</v>
      </c>
      <c r="CZ3109" s="307">
        <v>0.21379100000000001</v>
      </c>
    </row>
    <row r="3110" spans="98:104">
      <c r="CT3110" s="307" t="s">
        <v>3544</v>
      </c>
      <c r="CU3110" s="307" t="s">
        <v>635</v>
      </c>
      <c r="CV3110" s="307" t="s">
        <v>3529</v>
      </c>
      <c r="CW3110" s="307" t="s">
        <v>50</v>
      </c>
      <c r="CX3110" s="307">
        <v>0.21679399999999999</v>
      </c>
      <c r="CY3110" s="307">
        <v>0.21679399999999999</v>
      </c>
      <c r="CZ3110" s="307">
        <v>0.21679399999999999</v>
      </c>
    </row>
    <row r="3111" spans="98:104">
      <c r="CT3111" s="307" t="s">
        <v>3545</v>
      </c>
      <c r="CU3111" s="307" t="s">
        <v>635</v>
      </c>
      <c r="CV3111" s="307" t="s">
        <v>3529</v>
      </c>
      <c r="CW3111" s="307" t="s">
        <v>51</v>
      </c>
      <c r="CX3111" s="307">
        <v>0.219365</v>
      </c>
      <c r="CY3111" s="307">
        <v>0.219365</v>
      </c>
      <c r="CZ3111" s="307">
        <v>0.219365</v>
      </c>
    </row>
    <row r="3112" spans="98:104">
      <c r="CT3112" s="307" t="s">
        <v>3546</v>
      </c>
      <c r="CU3112" s="307" t="s">
        <v>635</v>
      </c>
      <c r="CV3112" s="307" t="s">
        <v>3529</v>
      </c>
      <c r="CW3112" s="307" t="s">
        <v>56</v>
      </c>
      <c r="CX3112" s="307">
        <v>0.22340699999999999</v>
      </c>
      <c r="CY3112" s="307">
        <v>0.22340699999999999</v>
      </c>
      <c r="CZ3112" s="307">
        <v>0.22340699999999999</v>
      </c>
    </row>
    <row r="3113" spans="98:104">
      <c r="CT3113" s="307" t="s">
        <v>3547</v>
      </c>
      <c r="CU3113" s="307" t="s">
        <v>635</v>
      </c>
      <c r="CV3113" s="307" t="s">
        <v>3529</v>
      </c>
      <c r="CW3113" s="307" t="s">
        <v>94</v>
      </c>
      <c r="CX3113" s="307">
        <v>0.33228400000000002</v>
      </c>
      <c r="CY3113" s="307">
        <v>0.33228400000000002</v>
      </c>
      <c r="CZ3113" s="307">
        <v>0.33228400000000002</v>
      </c>
    </row>
    <row r="3114" spans="98:104">
      <c r="CT3114" s="307" t="s">
        <v>3548</v>
      </c>
      <c r="CU3114" s="307" t="s">
        <v>635</v>
      </c>
      <c r="CV3114" s="307" t="s">
        <v>3529</v>
      </c>
      <c r="CW3114" s="307" t="s">
        <v>95</v>
      </c>
      <c r="CX3114" s="307">
        <v>0.341553</v>
      </c>
      <c r="CY3114" s="307">
        <v>0.341553</v>
      </c>
      <c r="CZ3114" s="307">
        <v>0.341553</v>
      </c>
    </row>
    <row r="3115" spans="98:104">
      <c r="CT3115" s="307" t="s">
        <v>3549</v>
      </c>
      <c r="CU3115" s="307" t="s">
        <v>635</v>
      </c>
      <c r="CV3115" s="307" t="s">
        <v>3529</v>
      </c>
      <c r="CW3115" s="307" t="s">
        <v>96</v>
      </c>
      <c r="CX3115" s="307">
        <v>0.35347699999999999</v>
      </c>
      <c r="CY3115" s="307">
        <v>0.35347699999999999</v>
      </c>
      <c r="CZ3115" s="307">
        <v>0.35347699999999999</v>
      </c>
    </row>
    <row r="3116" spans="98:104">
      <c r="CT3116" s="307" t="s">
        <v>3550</v>
      </c>
      <c r="CU3116" s="307" t="s">
        <v>635</v>
      </c>
      <c r="CV3116" s="307" t="s">
        <v>3529</v>
      </c>
      <c r="CW3116" s="307" t="s">
        <v>9</v>
      </c>
      <c r="CX3116" s="307">
        <v>0.36787900000000001</v>
      </c>
      <c r="CY3116" s="307">
        <v>0.36787900000000001</v>
      </c>
      <c r="CZ3116" s="307">
        <v>0.36787900000000001</v>
      </c>
    </row>
    <row r="3117" spans="98:104">
      <c r="CT3117" s="307" t="s">
        <v>3551</v>
      </c>
      <c r="CU3117" s="307" t="s">
        <v>635</v>
      </c>
      <c r="CV3117" s="307" t="s">
        <v>3529</v>
      </c>
      <c r="CW3117" s="307" t="s">
        <v>97</v>
      </c>
      <c r="CX3117" s="307">
        <v>0.38358900000000001</v>
      </c>
      <c r="CY3117" s="307">
        <v>0.38358900000000001</v>
      </c>
      <c r="CZ3117" s="307">
        <v>0.38358900000000001</v>
      </c>
    </row>
    <row r="3118" spans="98:104">
      <c r="CT3118" s="307" t="s">
        <v>3552</v>
      </c>
      <c r="CU3118" s="307" t="s">
        <v>635</v>
      </c>
      <c r="CV3118" s="307" t="s">
        <v>3529</v>
      </c>
      <c r="CW3118" s="307" t="s">
        <v>98</v>
      </c>
      <c r="CX3118" s="307">
        <v>0.40114100000000003</v>
      </c>
      <c r="CY3118" s="307">
        <v>0.40114100000000003</v>
      </c>
      <c r="CZ3118" s="307">
        <v>0.40114100000000003</v>
      </c>
    </row>
    <row r="3119" spans="98:104">
      <c r="CT3119" s="307" t="s">
        <v>3553</v>
      </c>
      <c r="CU3119" s="307" t="s">
        <v>635</v>
      </c>
      <c r="CV3119" s="307" t="s">
        <v>3529</v>
      </c>
      <c r="CW3119" s="307" t="s">
        <v>99</v>
      </c>
      <c r="CX3119" s="307">
        <v>0.42292800000000003</v>
      </c>
      <c r="CY3119" s="307">
        <v>0.42292800000000003</v>
      </c>
      <c r="CZ3119" s="307">
        <v>0.42292800000000003</v>
      </c>
    </row>
    <row r="3120" spans="98:104">
      <c r="CT3120" s="307" t="s">
        <v>3554</v>
      </c>
      <c r="CU3120" s="307" t="s">
        <v>635</v>
      </c>
      <c r="CV3120" s="307" t="s">
        <v>3529</v>
      </c>
      <c r="CW3120" s="307" t="s">
        <v>10</v>
      </c>
      <c r="CX3120" s="307">
        <v>0.44738899999999998</v>
      </c>
      <c r="CY3120" s="307">
        <v>0.44738899999999998</v>
      </c>
      <c r="CZ3120" s="307">
        <v>0.44738899999999998</v>
      </c>
    </row>
    <row r="3121" spans="98:104">
      <c r="CT3121" s="307" t="s">
        <v>3555</v>
      </c>
      <c r="CU3121" s="307" t="s">
        <v>635</v>
      </c>
      <c r="CV3121" s="307" t="s">
        <v>3529</v>
      </c>
      <c r="CW3121" s="307" t="s">
        <v>11</v>
      </c>
      <c r="CX3121" s="307">
        <v>0.57975200000000005</v>
      </c>
      <c r="CY3121" s="307">
        <v>0.57975200000000005</v>
      </c>
      <c r="CZ3121" s="307">
        <v>0.57975200000000005</v>
      </c>
    </row>
    <row r="3122" spans="98:104">
      <c r="CT3122" s="307" t="s">
        <v>3556</v>
      </c>
      <c r="CU3122" s="307" t="s">
        <v>635</v>
      </c>
      <c r="CV3122" s="307" t="s">
        <v>3529</v>
      </c>
      <c r="CW3122" s="307" t="s">
        <v>12</v>
      </c>
      <c r="CX3122" s="307">
        <v>0.75778199999999996</v>
      </c>
      <c r="CY3122" s="307">
        <v>0.75778199999999996</v>
      </c>
      <c r="CZ3122" s="307">
        <v>0.75778199999999996</v>
      </c>
    </row>
    <row r="3123" spans="98:104">
      <c r="CT3123" s="307" t="s">
        <v>3557</v>
      </c>
      <c r="CU3123" s="307" t="s">
        <v>635</v>
      </c>
      <c r="CV3123" s="307" t="s">
        <v>3529</v>
      </c>
      <c r="CW3123" s="307" t="s">
        <v>13</v>
      </c>
      <c r="CX3123" s="307">
        <v>0.95404699999999998</v>
      </c>
      <c r="CY3123" s="307">
        <v>0.95404699999999998</v>
      </c>
      <c r="CZ3123" s="307">
        <v>0.95404699999999998</v>
      </c>
    </row>
    <row r="3124" spans="98:104">
      <c r="CT3124" s="307" t="s">
        <v>3558</v>
      </c>
      <c r="CU3124" s="307" t="s">
        <v>635</v>
      </c>
      <c r="CV3124" s="307" t="s">
        <v>3529</v>
      </c>
      <c r="CW3124" s="307" t="s">
        <v>14</v>
      </c>
      <c r="CX3124" s="307">
        <v>1.14567</v>
      </c>
      <c r="CY3124" s="307">
        <v>1.14567</v>
      </c>
      <c r="CZ3124" s="307">
        <v>1.14567</v>
      </c>
    </row>
    <row r="3125" spans="98:104">
      <c r="CT3125" s="307" t="s">
        <v>3559</v>
      </c>
      <c r="CU3125" s="307" t="s">
        <v>635</v>
      </c>
      <c r="CV3125" s="307" t="s">
        <v>3529</v>
      </c>
      <c r="CW3125" s="307" t="s">
        <v>15</v>
      </c>
      <c r="CX3125" s="307">
        <v>1.3215889999999999</v>
      </c>
      <c r="CY3125" s="307">
        <v>1.3215889999999999</v>
      </c>
      <c r="CZ3125" s="307">
        <v>1.3215889999999999</v>
      </c>
    </row>
    <row r="3126" spans="98:104">
      <c r="CT3126" s="307" t="s">
        <v>3560</v>
      </c>
      <c r="CU3126" s="307" t="s">
        <v>635</v>
      </c>
      <c r="CV3126" s="307" t="s">
        <v>3529</v>
      </c>
      <c r="CW3126" s="307" t="s">
        <v>16</v>
      </c>
      <c r="CX3126" s="307">
        <v>1.4774099999999999</v>
      </c>
      <c r="CY3126" s="307">
        <v>1.4774099999999999</v>
      </c>
      <c r="CZ3126" s="307">
        <v>1.4774099999999999</v>
      </c>
    </row>
    <row r="3127" spans="98:104">
      <c r="CT3127" s="307" t="s">
        <v>3561</v>
      </c>
      <c r="CU3127" s="307" t="s">
        <v>635</v>
      </c>
      <c r="CV3127" s="307" t="s">
        <v>3529</v>
      </c>
      <c r="CW3127" s="307" t="s">
        <v>17</v>
      </c>
      <c r="CX3127" s="307">
        <v>1.6187530000000001</v>
      </c>
      <c r="CY3127" s="307">
        <v>1.6187530000000001</v>
      </c>
      <c r="CZ3127" s="307">
        <v>1.6187530000000001</v>
      </c>
    </row>
    <row r="3128" spans="98:104">
      <c r="CT3128" s="307" t="s">
        <v>3562</v>
      </c>
      <c r="CU3128" s="307" t="s">
        <v>635</v>
      </c>
      <c r="CV3128" s="307" t="s">
        <v>3529</v>
      </c>
      <c r="CW3128" s="307" t="s">
        <v>31</v>
      </c>
      <c r="CX3128" s="307">
        <v>1.745851</v>
      </c>
      <c r="CY3128" s="307">
        <v>1.745851</v>
      </c>
      <c r="CZ3128" s="307">
        <v>1.745851</v>
      </c>
    </row>
    <row r="3129" spans="98:104">
      <c r="CT3129" s="307" t="s">
        <v>3563</v>
      </c>
      <c r="CU3129" s="307" t="s">
        <v>635</v>
      </c>
      <c r="CV3129" s="307" t="s">
        <v>3529</v>
      </c>
      <c r="CW3129" s="307" t="s">
        <v>18</v>
      </c>
      <c r="CX3129" s="307">
        <v>1.8574949999999999</v>
      </c>
      <c r="CY3129" s="307">
        <v>1.8574949999999999</v>
      </c>
      <c r="CZ3129" s="307">
        <v>1.8574949999999999</v>
      </c>
    </row>
    <row r="3130" spans="98:104">
      <c r="CT3130" s="307" t="s">
        <v>3564</v>
      </c>
      <c r="CU3130" s="307" t="s">
        <v>635</v>
      </c>
      <c r="CV3130" s="307" t="s">
        <v>3529</v>
      </c>
      <c r="CW3130" s="307" t="s">
        <v>32</v>
      </c>
      <c r="CX3130" s="307">
        <v>1.9528369999999999</v>
      </c>
      <c r="CY3130" s="307">
        <v>1.9528369999999999</v>
      </c>
      <c r="CZ3130" s="307">
        <v>1.9528369999999999</v>
      </c>
    </row>
    <row r="3131" spans="98:104">
      <c r="CT3131" s="307" t="s">
        <v>3565</v>
      </c>
      <c r="CU3131" s="307" t="s">
        <v>635</v>
      </c>
      <c r="CV3131" s="307" t="s">
        <v>3529</v>
      </c>
      <c r="CW3131" s="307" t="s">
        <v>33</v>
      </c>
      <c r="CX3131" s="307">
        <v>2.0323359999999999</v>
      </c>
      <c r="CY3131" s="307">
        <v>2.0323359999999999</v>
      </c>
      <c r="CZ3131" s="307">
        <v>2.0323359999999999</v>
      </c>
    </row>
    <row r="3132" spans="98:104">
      <c r="CT3132" s="307" t="s">
        <v>3566</v>
      </c>
      <c r="CU3132" s="307" t="s">
        <v>635</v>
      </c>
      <c r="CV3132" s="307" t="s">
        <v>3529</v>
      </c>
      <c r="CW3132" s="307" t="s">
        <v>19</v>
      </c>
      <c r="CX3132" s="307">
        <v>2.0983230000000002</v>
      </c>
      <c r="CY3132" s="307">
        <v>2.0983230000000002</v>
      </c>
      <c r="CZ3132" s="307">
        <v>2.0983230000000002</v>
      </c>
    </row>
    <row r="3133" spans="98:104">
      <c r="CT3133" s="307" t="s">
        <v>3567</v>
      </c>
      <c r="CU3133" s="307" t="s">
        <v>635</v>
      </c>
      <c r="CV3133" s="307" t="s">
        <v>3529</v>
      </c>
      <c r="CW3133" s="307" t="s">
        <v>34</v>
      </c>
      <c r="CX3133" s="307">
        <v>2.152577</v>
      </c>
      <c r="CY3133" s="307">
        <v>2.152577</v>
      </c>
      <c r="CZ3133" s="307">
        <v>2.152577</v>
      </c>
    </row>
    <row r="3134" spans="98:104">
      <c r="CT3134" s="307" t="s">
        <v>3568</v>
      </c>
      <c r="CU3134" s="307" t="s">
        <v>635</v>
      </c>
      <c r="CV3134" s="307" t="s">
        <v>3529</v>
      </c>
      <c r="CW3134" s="307" t="s">
        <v>35</v>
      </c>
      <c r="CX3134" s="307">
        <v>2.1971069999999999</v>
      </c>
      <c r="CY3134" s="307">
        <v>2.1971069999999999</v>
      </c>
      <c r="CZ3134" s="307">
        <v>2.1971069999999999</v>
      </c>
    </row>
    <row r="3135" spans="98:104">
      <c r="CT3135" s="307" t="s">
        <v>3569</v>
      </c>
      <c r="CU3135" s="307" t="s">
        <v>635</v>
      </c>
      <c r="CV3135" s="307" t="s">
        <v>3529</v>
      </c>
      <c r="CW3135" s="307" t="s">
        <v>36</v>
      </c>
      <c r="CX3135" s="307">
        <v>2.2343160000000002</v>
      </c>
      <c r="CY3135" s="307">
        <v>2.2343160000000002</v>
      </c>
      <c r="CZ3135" s="307">
        <v>2.2343160000000002</v>
      </c>
    </row>
    <row r="3136" spans="98:104">
      <c r="CT3136" s="307" t="s">
        <v>3570</v>
      </c>
      <c r="CU3136" s="307" t="s">
        <v>635</v>
      </c>
      <c r="CV3136" s="307" t="s">
        <v>3529</v>
      </c>
      <c r="CW3136" s="307" t="s">
        <v>37</v>
      </c>
      <c r="CX3136" s="307">
        <v>2.2660969999999998</v>
      </c>
      <c r="CY3136" s="307">
        <v>2.2660969999999998</v>
      </c>
      <c r="CZ3136" s="307">
        <v>2.2660969999999998</v>
      </c>
    </row>
    <row r="3137" spans="98:104">
      <c r="CT3137" s="307" t="s">
        <v>3571</v>
      </c>
      <c r="CU3137" s="307" t="s">
        <v>635</v>
      </c>
      <c r="CV3137" s="307" t="s">
        <v>3529</v>
      </c>
      <c r="CW3137" s="307" t="s">
        <v>20</v>
      </c>
      <c r="CX3137" s="307">
        <v>2.2933829999999999</v>
      </c>
      <c r="CY3137" s="307">
        <v>2.2933829999999999</v>
      </c>
      <c r="CZ3137" s="307">
        <v>2.2933829999999999</v>
      </c>
    </row>
    <row r="3138" spans="98:104">
      <c r="CT3138" s="307" t="s">
        <v>3572</v>
      </c>
      <c r="CU3138" s="307" t="s">
        <v>635</v>
      </c>
      <c r="CV3138" s="307" t="s">
        <v>3529</v>
      </c>
      <c r="CW3138" s="307" t="s">
        <v>38</v>
      </c>
      <c r="CX3138" s="307">
        <v>2.3175379999999999</v>
      </c>
      <c r="CY3138" s="307">
        <v>2.3175379999999999</v>
      </c>
      <c r="CZ3138" s="307">
        <v>2.3175379999999999</v>
      </c>
    </row>
    <row r="3139" spans="98:104">
      <c r="CT3139" s="307" t="s">
        <v>3573</v>
      </c>
      <c r="CU3139" s="307" t="s">
        <v>635</v>
      </c>
      <c r="CV3139" s="307" t="s">
        <v>3529</v>
      </c>
      <c r="CW3139" s="307" t="s">
        <v>39</v>
      </c>
      <c r="CX3139" s="307">
        <v>2.339099</v>
      </c>
      <c r="CY3139" s="307">
        <v>2.339099</v>
      </c>
      <c r="CZ3139" s="307">
        <v>2.339099</v>
      </c>
    </row>
    <row r="3140" spans="98:104">
      <c r="CT3140" s="307" t="s">
        <v>3574</v>
      </c>
      <c r="CU3140" s="307" t="s">
        <v>635</v>
      </c>
      <c r="CV3140" s="307" t="s">
        <v>3529</v>
      </c>
      <c r="CW3140" s="307" t="s">
        <v>40</v>
      </c>
      <c r="CX3140" s="307">
        <v>2.3585189999999998</v>
      </c>
      <c r="CY3140" s="307">
        <v>2.3585189999999998</v>
      </c>
      <c r="CZ3140" s="307">
        <v>2.3585189999999998</v>
      </c>
    </row>
    <row r="3141" spans="98:104">
      <c r="CT3141" s="307" t="s">
        <v>3575</v>
      </c>
      <c r="CU3141" s="307" t="s">
        <v>635</v>
      </c>
      <c r="CV3141" s="307" t="s">
        <v>3529</v>
      </c>
      <c r="CW3141" s="307" t="s">
        <v>41</v>
      </c>
      <c r="CX3141" s="307">
        <v>2.376315</v>
      </c>
      <c r="CY3141" s="307">
        <v>2.376315</v>
      </c>
      <c r="CZ3141" s="307">
        <v>2.376315</v>
      </c>
    </row>
    <row r="3142" spans="98:104">
      <c r="CT3142" s="307" t="s">
        <v>3576</v>
      </c>
      <c r="CU3142" s="307" t="s">
        <v>635</v>
      </c>
      <c r="CV3142" s="307" t="s">
        <v>3529</v>
      </c>
      <c r="CW3142" s="307" t="s">
        <v>21</v>
      </c>
      <c r="CX3142" s="307">
        <v>2.3924569999999998</v>
      </c>
      <c r="CY3142" s="307">
        <v>2.3924569999999998</v>
      </c>
      <c r="CZ3142" s="307">
        <v>2.3924569999999998</v>
      </c>
    </row>
    <row r="3143" spans="98:104">
      <c r="CT3143" s="307" t="s">
        <v>3577</v>
      </c>
      <c r="CU3143" s="307" t="s">
        <v>635</v>
      </c>
      <c r="CV3143" s="307" t="s">
        <v>3529</v>
      </c>
      <c r="CW3143" s="307" t="s">
        <v>42</v>
      </c>
      <c r="CX3143" s="307">
        <v>2.4073530000000001</v>
      </c>
      <c r="CY3143" s="307">
        <v>2.4073530000000001</v>
      </c>
      <c r="CZ3143" s="307">
        <v>2.4073530000000001</v>
      </c>
    </row>
    <row r="3144" spans="98:104">
      <c r="CT3144" s="307" t="s">
        <v>3578</v>
      </c>
      <c r="CU3144" s="307" t="s">
        <v>635</v>
      </c>
      <c r="CV3144" s="307" t="s">
        <v>3529</v>
      </c>
      <c r="CW3144" s="307" t="s">
        <v>43</v>
      </c>
      <c r="CX3144" s="307">
        <v>2.4209909999999999</v>
      </c>
      <c r="CY3144" s="307">
        <v>2.4209909999999999</v>
      </c>
      <c r="CZ3144" s="307">
        <v>2.4209909999999999</v>
      </c>
    </row>
    <row r="3145" spans="98:104">
      <c r="CT3145" s="307" t="s">
        <v>3579</v>
      </c>
      <c r="CU3145" s="307" t="s">
        <v>635</v>
      </c>
      <c r="CV3145" s="307" t="s">
        <v>3529</v>
      </c>
      <c r="CW3145" s="307" t="s">
        <v>44</v>
      </c>
      <c r="CX3145" s="307">
        <v>2.4332729999999998</v>
      </c>
      <c r="CY3145" s="307">
        <v>2.4332729999999998</v>
      </c>
      <c r="CZ3145" s="307">
        <v>2.4332729999999998</v>
      </c>
    </row>
    <row r="3146" spans="98:104">
      <c r="CT3146" s="307" t="s">
        <v>3580</v>
      </c>
      <c r="CU3146" s="307" t="s">
        <v>635</v>
      </c>
      <c r="CV3146" s="307" t="s">
        <v>3529</v>
      </c>
      <c r="CW3146" s="307" t="s">
        <v>45</v>
      </c>
      <c r="CX3146" s="307">
        <v>2.444064</v>
      </c>
      <c r="CY3146" s="307">
        <v>2.444064</v>
      </c>
      <c r="CZ3146" s="307">
        <v>2.444064</v>
      </c>
    </row>
    <row r="3147" spans="98:104">
      <c r="CT3147" s="307" t="s">
        <v>3581</v>
      </c>
      <c r="CU3147" s="307" t="s">
        <v>635</v>
      </c>
      <c r="CV3147" s="307" t="s">
        <v>3529</v>
      </c>
      <c r="CW3147" s="307" t="s">
        <v>22</v>
      </c>
      <c r="CX3147" s="307">
        <v>2.453398</v>
      </c>
      <c r="CY3147" s="307">
        <v>2.453398</v>
      </c>
      <c r="CZ3147" s="307">
        <v>2.453398</v>
      </c>
    </row>
    <row r="3148" spans="98:104">
      <c r="CT3148" s="307" t="s">
        <v>3582</v>
      </c>
      <c r="CU3148" s="307" t="s">
        <v>635</v>
      </c>
      <c r="CV3148" s="307" t="s">
        <v>3529</v>
      </c>
      <c r="CW3148" s="307" t="s">
        <v>163</v>
      </c>
      <c r="CX3148" s="307">
        <v>2.4611499999999999</v>
      </c>
      <c r="CY3148" s="307">
        <v>2.4611499999999999</v>
      </c>
      <c r="CZ3148" s="307">
        <v>2.4611499999999999</v>
      </c>
    </row>
    <row r="3149" spans="98:104">
      <c r="CT3149" s="307" t="s">
        <v>3583</v>
      </c>
      <c r="CU3149" s="307" t="s">
        <v>635</v>
      </c>
      <c r="CV3149" s="307" t="s">
        <v>3529</v>
      </c>
      <c r="CW3149" s="307" t="s">
        <v>164</v>
      </c>
      <c r="CX3149" s="307">
        <v>2.4675590000000001</v>
      </c>
      <c r="CY3149" s="307">
        <v>2.4675590000000001</v>
      </c>
      <c r="CZ3149" s="307">
        <v>2.4675590000000001</v>
      </c>
    </row>
    <row r="3150" spans="98:104">
      <c r="CT3150" s="307" t="s">
        <v>3584</v>
      </c>
      <c r="CU3150" s="307" t="s">
        <v>635</v>
      </c>
      <c r="CV3150" s="307" t="s">
        <v>3529</v>
      </c>
      <c r="CW3150" s="307" t="s">
        <v>165</v>
      </c>
      <c r="CX3150" s="307">
        <v>2.4727549999999998</v>
      </c>
      <c r="CY3150" s="307">
        <v>2.4727549999999998</v>
      </c>
      <c r="CZ3150" s="307">
        <v>2.4727549999999998</v>
      </c>
    </row>
    <row r="3151" spans="98:104">
      <c r="CT3151" s="307" t="s">
        <v>3585</v>
      </c>
      <c r="CU3151" s="307" t="s">
        <v>635</v>
      </c>
      <c r="CV3151" s="307" t="s">
        <v>3529</v>
      </c>
      <c r="CW3151" s="307" t="s">
        <v>166</v>
      </c>
      <c r="CX3151" s="307">
        <v>2.476874</v>
      </c>
      <c r="CY3151" s="307">
        <v>2.476874</v>
      </c>
      <c r="CZ3151" s="307">
        <v>2.476874</v>
      </c>
    </row>
    <row r="3152" spans="98:104">
      <c r="CT3152" s="307" t="s">
        <v>3586</v>
      </c>
      <c r="CU3152" s="307" t="s">
        <v>635</v>
      </c>
      <c r="CV3152" s="307" t="s">
        <v>3529</v>
      </c>
      <c r="CW3152" s="307" t="s">
        <v>167</v>
      </c>
      <c r="CX3152" s="307">
        <v>2.480035</v>
      </c>
      <c r="CY3152" s="307">
        <v>2.480035</v>
      </c>
      <c r="CZ3152" s="307">
        <v>2.480035</v>
      </c>
    </row>
    <row r="3153" spans="98:104">
      <c r="CT3153" s="307" t="s">
        <v>3587</v>
      </c>
      <c r="CU3153" s="307" t="s">
        <v>635</v>
      </c>
      <c r="CV3153" s="307" t="s">
        <v>3529</v>
      </c>
      <c r="CW3153" s="307" t="s">
        <v>168</v>
      </c>
      <c r="CX3153" s="307">
        <v>2.4823520000000001</v>
      </c>
      <c r="CY3153" s="307">
        <v>2.4823520000000001</v>
      </c>
      <c r="CZ3153" s="307">
        <v>2.4823520000000001</v>
      </c>
    </row>
    <row r="3154" spans="98:104">
      <c r="CT3154" s="307" t="s">
        <v>3588</v>
      </c>
      <c r="CU3154" s="307" t="s">
        <v>635</v>
      </c>
      <c r="CV3154" s="307" t="s">
        <v>3529</v>
      </c>
      <c r="CW3154" s="307" t="s">
        <v>169</v>
      </c>
      <c r="CX3154" s="307">
        <v>2.483886</v>
      </c>
      <c r="CY3154" s="307">
        <v>2.483886</v>
      </c>
      <c r="CZ3154" s="307">
        <v>2.483886</v>
      </c>
    </row>
    <row r="3155" spans="98:104">
      <c r="CT3155" s="307" t="s">
        <v>3589</v>
      </c>
      <c r="CU3155" s="307" t="s">
        <v>635</v>
      </c>
      <c r="CV3155" s="307" t="s">
        <v>3529</v>
      </c>
      <c r="CW3155" s="307" t="s">
        <v>170</v>
      </c>
      <c r="CX3155" s="307">
        <v>2.4847440000000001</v>
      </c>
      <c r="CY3155" s="307">
        <v>2.4847440000000001</v>
      </c>
      <c r="CZ3155" s="307">
        <v>2.4847440000000001</v>
      </c>
    </row>
    <row r="3156" spans="98:104">
      <c r="CT3156" s="307" t="s">
        <v>3590</v>
      </c>
      <c r="CU3156" s="307" t="s">
        <v>635</v>
      </c>
      <c r="CV3156" s="307" t="s">
        <v>3529</v>
      </c>
      <c r="CW3156" s="307" t="s">
        <v>171</v>
      </c>
      <c r="CX3156" s="307">
        <v>2.4849920000000001</v>
      </c>
      <c r="CY3156" s="307">
        <v>2.4849920000000001</v>
      </c>
      <c r="CZ3156" s="307">
        <v>2.4849920000000001</v>
      </c>
    </row>
    <row r="3157" spans="98:104">
      <c r="CT3157" s="307" t="s">
        <v>3591</v>
      </c>
      <c r="CU3157" s="307" t="s">
        <v>635</v>
      </c>
      <c r="CV3157" s="307" t="s">
        <v>3529</v>
      </c>
      <c r="CW3157" s="307" t="s">
        <v>46</v>
      </c>
      <c r="CX3157" s="307">
        <v>2.4846919999999999</v>
      </c>
      <c r="CY3157" s="307">
        <v>2.4846919999999999</v>
      </c>
      <c r="CZ3157" s="307">
        <v>2.4846919999999999</v>
      </c>
    </row>
    <row r="3158" spans="98:104">
      <c r="CT3158" s="307" t="s">
        <v>3592</v>
      </c>
      <c r="CU3158" s="307" t="s">
        <v>635</v>
      </c>
      <c r="CV3158" s="307" t="s">
        <v>3529</v>
      </c>
      <c r="CW3158" s="307" t="s">
        <v>47</v>
      </c>
      <c r="CX3158" s="307">
        <v>2.4669219999999998</v>
      </c>
      <c r="CY3158" s="307">
        <v>2.4669219999999998</v>
      </c>
      <c r="CZ3158" s="307">
        <v>2.4669219999999998</v>
      </c>
    </row>
    <row r="3159" spans="98:104">
      <c r="CT3159" s="307" t="s">
        <v>3593</v>
      </c>
      <c r="CU3159" s="307" t="s">
        <v>635</v>
      </c>
      <c r="CV3159" s="307" t="s">
        <v>3529</v>
      </c>
      <c r="CW3159" s="307" t="s">
        <v>48</v>
      </c>
      <c r="CX3159" s="307">
        <v>2.449919</v>
      </c>
      <c r="CY3159" s="307">
        <v>2.449919</v>
      </c>
      <c r="CZ3159" s="307">
        <v>2.449919</v>
      </c>
    </row>
    <row r="3160" spans="98:104">
      <c r="CT3160" s="307" t="s">
        <v>3594</v>
      </c>
      <c r="CU3160" s="307" t="s">
        <v>635</v>
      </c>
      <c r="CV3160" s="307" t="s">
        <v>657</v>
      </c>
      <c r="CW3160" s="307" t="s">
        <v>3</v>
      </c>
      <c r="CX3160" s="307">
        <v>0.65</v>
      </c>
      <c r="CY3160" s="307">
        <v>0.65</v>
      </c>
      <c r="CZ3160" s="307">
        <v>0.65</v>
      </c>
    </row>
    <row r="3161" spans="98:104">
      <c r="CT3161" s="307" t="s">
        <v>3595</v>
      </c>
      <c r="CU3161" s="307" t="s">
        <v>635</v>
      </c>
      <c r="CV3161" s="307" t="s">
        <v>657</v>
      </c>
      <c r="CW3161" s="307" t="s">
        <v>4</v>
      </c>
      <c r="CX3161" s="307">
        <v>0.7</v>
      </c>
      <c r="CY3161" s="307">
        <v>0.7</v>
      </c>
      <c r="CZ3161" s="307">
        <v>0.7</v>
      </c>
    </row>
    <row r="3162" spans="98:104">
      <c r="CT3162" s="307" t="s">
        <v>3596</v>
      </c>
      <c r="CU3162" s="307" t="s">
        <v>635</v>
      </c>
      <c r="CV3162" s="307" t="s">
        <v>657</v>
      </c>
      <c r="CW3162" s="307" t="s">
        <v>23</v>
      </c>
      <c r="CX3162" s="307">
        <v>0.75</v>
      </c>
      <c r="CY3162" s="307">
        <v>0.75</v>
      </c>
      <c r="CZ3162" s="307">
        <v>0.75</v>
      </c>
    </row>
    <row r="3163" spans="98:104">
      <c r="CT3163" s="307" t="s">
        <v>3597</v>
      </c>
      <c r="CU3163" s="307" t="s">
        <v>635</v>
      </c>
      <c r="CV3163" s="307" t="s">
        <v>657</v>
      </c>
      <c r="CW3163" s="307" t="s">
        <v>5</v>
      </c>
      <c r="CX3163" s="307">
        <v>0.76180000000000003</v>
      </c>
      <c r="CY3163" s="307">
        <v>0.76180000000000003</v>
      </c>
      <c r="CZ3163" s="307">
        <v>0.76180000000000003</v>
      </c>
    </row>
    <row r="3164" spans="98:104">
      <c r="CT3164" s="307" t="s">
        <v>3598</v>
      </c>
      <c r="CU3164" s="307" t="s">
        <v>635</v>
      </c>
      <c r="CV3164" s="307" t="s">
        <v>657</v>
      </c>
      <c r="CW3164" s="307" t="s">
        <v>6</v>
      </c>
      <c r="CX3164" s="307">
        <v>0.84719999999999995</v>
      </c>
      <c r="CY3164" s="307">
        <v>0.84719999999999995</v>
      </c>
      <c r="CZ3164" s="307">
        <v>0.84719999999999995</v>
      </c>
    </row>
    <row r="3165" spans="98:104">
      <c r="CT3165" s="307" t="s">
        <v>3599</v>
      </c>
      <c r="CU3165" s="307" t="s">
        <v>635</v>
      </c>
      <c r="CV3165" s="307" t="s">
        <v>657</v>
      </c>
      <c r="CW3165" s="307" t="s">
        <v>24</v>
      </c>
      <c r="CX3165" s="307">
        <v>0.83709999999999996</v>
      </c>
      <c r="CY3165" s="307">
        <v>0.83709999999999996</v>
      </c>
      <c r="CZ3165" s="307">
        <v>0.83709999999999996</v>
      </c>
    </row>
    <row r="3166" spans="98:104">
      <c r="CT3166" s="307" t="s">
        <v>3600</v>
      </c>
      <c r="CU3166" s="307" t="s">
        <v>635</v>
      </c>
      <c r="CV3166" s="307" t="s">
        <v>657</v>
      </c>
      <c r="CW3166" s="307" t="s">
        <v>7</v>
      </c>
      <c r="CX3166" s="307">
        <v>0.92600000000000005</v>
      </c>
      <c r="CY3166" s="307">
        <v>0.92600000000000005</v>
      </c>
      <c r="CZ3166" s="307">
        <v>0.92600000000000005</v>
      </c>
    </row>
    <row r="3167" spans="98:104">
      <c r="CT3167" s="307" t="s">
        <v>3601</v>
      </c>
      <c r="CU3167" s="307" t="s">
        <v>635</v>
      </c>
      <c r="CV3167" s="307" t="s">
        <v>657</v>
      </c>
      <c r="CW3167" s="307" t="s">
        <v>8</v>
      </c>
      <c r="CX3167" s="307">
        <v>1.45</v>
      </c>
      <c r="CY3167" s="307">
        <v>1.45</v>
      </c>
      <c r="CZ3167" s="307">
        <v>1.45</v>
      </c>
    </row>
    <row r="3168" spans="98:104">
      <c r="CT3168" s="307" t="s">
        <v>3602</v>
      </c>
      <c r="CU3168" s="307" t="s">
        <v>635</v>
      </c>
      <c r="CV3168" s="307" t="s">
        <v>657</v>
      </c>
      <c r="CW3168" s="307" t="s">
        <v>25</v>
      </c>
      <c r="CX3168" s="307">
        <v>1.431</v>
      </c>
      <c r="CY3168" s="307">
        <v>1.431</v>
      </c>
      <c r="CZ3168" s="307">
        <v>1.431</v>
      </c>
    </row>
    <row r="3169" spans="98:104">
      <c r="CT3169" s="307" t="s">
        <v>3603</v>
      </c>
      <c r="CU3169" s="307" t="s">
        <v>635</v>
      </c>
      <c r="CV3169" s="307" t="s">
        <v>657</v>
      </c>
      <c r="CW3169" s="307" t="s">
        <v>26</v>
      </c>
      <c r="CX3169" s="307">
        <v>1.4367000000000001</v>
      </c>
      <c r="CY3169" s="307">
        <v>1.4367000000000001</v>
      </c>
      <c r="CZ3169" s="307">
        <v>1.4367000000000001</v>
      </c>
    </row>
    <row r="3170" spans="98:104">
      <c r="CT3170" s="307" t="s">
        <v>3604</v>
      </c>
      <c r="CU3170" s="307" t="s">
        <v>635</v>
      </c>
      <c r="CV3170" s="307" t="s">
        <v>657</v>
      </c>
      <c r="CW3170" s="307" t="s">
        <v>27</v>
      </c>
      <c r="CX3170" s="307">
        <v>1.5048999999999999</v>
      </c>
      <c r="CY3170" s="307">
        <v>1.5048999999999999</v>
      </c>
      <c r="CZ3170" s="307">
        <v>1.5048999999999999</v>
      </c>
    </row>
    <row r="3171" spans="98:104">
      <c r="CT3171" s="307" t="s">
        <v>3605</v>
      </c>
      <c r="CU3171" s="307" t="s">
        <v>635</v>
      </c>
      <c r="CV3171" s="307" t="s">
        <v>657</v>
      </c>
      <c r="CW3171" s="307" t="s">
        <v>28</v>
      </c>
      <c r="CX3171" s="307">
        <v>1.5221</v>
      </c>
      <c r="CY3171" s="307">
        <v>1.5221</v>
      </c>
      <c r="CZ3171" s="307">
        <v>1.5221</v>
      </c>
    </row>
    <row r="3172" spans="98:104">
      <c r="CT3172" s="307" t="s">
        <v>3606</v>
      </c>
      <c r="CU3172" s="307" t="s">
        <v>635</v>
      </c>
      <c r="CV3172" s="307" t="s">
        <v>657</v>
      </c>
      <c r="CW3172" s="307" t="s">
        <v>29</v>
      </c>
      <c r="CX3172" s="307">
        <v>1.5104</v>
      </c>
      <c r="CY3172" s="307">
        <v>1.5104</v>
      </c>
      <c r="CZ3172" s="307">
        <v>1.5104</v>
      </c>
    </row>
    <row r="3173" spans="98:104">
      <c r="CT3173" s="307" t="s">
        <v>3607</v>
      </c>
      <c r="CU3173" s="307" t="s">
        <v>635</v>
      </c>
      <c r="CV3173" s="307" t="s">
        <v>657</v>
      </c>
      <c r="CW3173" s="307" t="s">
        <v>30</v>
      </c>
      <c r="CX3173" s="307">
        <v>1.532</v>
      </c>
      <c r="CY3173" s="307">
        <v>1.532</v>
      </c>
      <c r="CZ3173" s="307">
        <v>1.532</v>
      </c>
    </row>
    <row r="3174" spans="98:104">
      <c r="CT3174" s="307" t="s">
        <v>3608</v>
      </c>
      <c r="CU3174" s="307" t="s">
        <v>635</v>
      </c>
      <c r="CV3174" s="307" t="s">
        <v>657</v>
      </c>
      <c r="CW3174" s="307" t="s">
        <v>49</v>
      </c>
      <c r="CX3174" s="307">
        <v>1.5266</v>
      </c>
      <c r="CY3174" s="307">
        <v>1.5266</v>
      </c>
      <c r="CZ3174" s="307">
        <v>1.5266</v>
      </c>
    </row>
    <row r="3175" spans="98:104">
      <c r="CT3175" s="307" t="s">
        <v>3609</v>
      </c>
      <c r="CU3175" s="307" t="s">
        <v>635</v>
      </c>
      <c r="CV3175" s="307" t="s">
        <v>657</v>
      </c>
      <c r="CW3175" s="307" t="s">
        <v>50</v>
      </c>
      <c r="CX3175" s="307">
        <v>1.522</v>
      </c>
      <c r="CY3175" s="307">
        <v>1.522</v>
      </c>
      <c r="CZ3175" s="307">
        <v>1.522</v>
      </c>
    </row>
    <row r="3176" spans="98:104">
      <c r="CT3176" s="307" t="s">
        <v>3610</v>
      </c>
      <c r="CU3176" s="307" t="s">
        <v>635</v>
      </c>
      <c r="CV3176" s="307" t="s">
        <v>657</v>
      </c>
      <c r="CW3176" s="307" t="s">
        <v>51</v>
      </c>
      <c r="CX3176" s="307">
        <v>1.5479000000000001</v>
      </c>
      <c r="CY3176" s="307">
        <v>1.5479000000000001</v>
      </c>
      <c r="CZ3176" s="307">
        <v>1.5479000000000001</v>
      </c>
    </row>
    <row r="3177" spans="98:104">
      <c r="CT3177" s="307" t="s">
        <v>3611</v>
      </c>
      <c r="CU3177" s="307" t="s">
        <v>635</v>
      </c>
      <c r="CV3177" s="307" t="s">
        <v>657</v>
      </c>
      <c r="CW3177" s="307" t="s">
        <v>52</v>
      </c>
      <c r="CX3177" s="307">
        <v>1.5533999999999999</v>
      </c>
      <c r="CY3177" s="307">
        <v>1.5533999999999999</v>
      </c>
      <c r="CZ3177" s="307">
        <v>1.5533999999999999</v>
      </c>
    </row>
    <row r="3178" spans="98:104">
      <c r="CT3178" s="307" t="s">
        <v>3612</v>
      </c>
      <c r="CU3178" s="307" t="s">
        <v>635</v>
      </c>
      <c r="CV3178" s="307" t="s">
        <v>657</v>
      </c>
      <c r="CW3178" s="307" t="s">
        <v>53</v>
      </c>
      <c r="CX3178" s="307">
        <v>1.5915999999999999</v>
      </c>
      <c r="CY3178" s="307">
        <v>1.5915999999999999</v>
      </c>
      <c r="CZ3178" s="307">
        <v>1.5915999999999999</v>
      </c>
    </row>
    <row r="3179" spans="98:104">
      <c r="CT3179" s="307" t="s">
        <v>3613</v>
      </c>
      <c r="CU3179" s="307" t="s">
        <v>635</v>
      </c>
      <c r="CV3179" s="307" t="s">
        <v>657</v>
      </c>
      <c r="CW3179" s="307" t="s">
        <v>54</v>
      </c>
      <c r="CX3179" s="307">
        <v>1.6329</v>
      </c>
      <c r="CY3179" s="307">
        <v>1.6329</v>
      </c>
      <c r="CZ3179" s="307">
        <v>1.6329</v>
      </c>
    </row>
    <row r="3180" spans="98:104">
      <c r="CT3180" s="307" t="s">
        <v>3614</v>
      </c>
      <c r="CU3180" s="307" t="s">
        <v>635</v>
      </c>
      <c r="CV3180" s="307" t="s">
        <v>657</v>
      </c>
      <c r="CW3180" s="307" t="s">
        <v>659</v>
      </c>
      <c r="CX3180" s="307">
        <v>1.7188000000000001</v>
      </c>
      <c r="CY3180" s="307">
        <v>1.7188000000000001</v>
      </c>
      <c r="CZ3180" s="307">
        <v>1.7188000000000001</v>
      </c>
    </row>
    <row r="3181" spans="98:104">
      <c r="CT3181" s="307" t="s">
        <v>3615</v>
      </c>
      <c r="CU3181" s="307" t="s">
        <v>635</v>
      </c>
      <c r="CV3181" s="307" t="s">
        <v>657</v>
      </c>
      <c r="CW3181" s="307" t="s">
        <v>10</v>
      </c>
      <c r="CX3181" s="307">
        <v>1.8478000000000001</v>
      </c>
      <c r="CY3181" s="307">
        <v>1.8478000000000001</v>
      </c>
      <c r="CZ3181" s="307">
        <v>1.8478000000000001</v>
      </c>
    </row>
    <row r="3182" spans="98:104">
      <c r="CT3182" s="307" t="s">
        <v>3616</v>
      </c>
      <c r="CU3182" s="307" t="s">
        <v>635</v>
      </c>
      <c r="CV3182" s="307" t="s">
        <v>657</v>
      </c>
      <c r="CW3182" s="307" t="s">
        <v>11</v>
      </c>
      <c r="CX3182" s="307">
        <v>2.1097000000000001</v>
      </c>
      <c r="CY3182" s="307">
        <v>2.1097000000000001</v>
      </c>
      <c r="CZ3182" s="307">
        <v>2.1097000000000001</v>
      </c>
    </row>
    <row r="3183" spans="98:104">
      <c r="CT3183" s="307" t="s">
        <v>3617</v>
      </c>
      <c r="CU3183" s="307" t="s">
        <v>635</v>
      </c>
      <c r="CV3183" s="307" t="s">
        <v>657</v>
      </c>
      <c r="CW3183" s="307" t="s">
        <v>12</v>
      </c>
      <c r="CX3183" s="307">
        <v>2.2608000000000001</v>
      </c>
      <c r="CY3183" s="307">
        <v>2.2608000000000001</v>
      </c>
      <c r="CZ3183" s="307">
        <v>2.2608000000000001</v>
      </c>
    </row>
    <row r="3184" spans="98:104">
      <c r="CT3184" s="307" t="s">
        <v>3618</v>
      </c>
      <c r="CU3184" s="307" t="s">
        <v>635</v>
      </c>
      <c r="CV3184" s="307" t="s">
        <v>657</v>
      </c>
      <c r="CW3184" s="307" t="s">
        <v>13</v>
      </c>
      <c r="CX3184" s="307">
        <v>2.3073999999999999</v>
      </c>
      <c r="CY3184" s="307">
        <v>2.3073999999999999</v>
      </c>
      <c r="CZ3184" s="307">
        <v>2.3073999999999999</v>
      </c>
    </row>
    <row r="3185" spans="98:104">
      <c r="CT3185" s="307" t="s">
        <v>3619</v>
      </c>
      <c r="CU3185" s="307" t="s">
        <v>635</v>
      </c>
      <c r="CV3185" s="307" t="s">
        <v>657</v>
      </c>
      <c r="CW3185" s="307" t="s">
        <v>14</v>
      </c>
      <c r="CX3185" s="307">
        <v>2.4045000000000001</v>
      </c>
      <c r="CY3185" s="307">
        <v>2.4045000000000001</v>
      </c>
      <c r="CZ3185" s="307">
        <v>2.4045000000000001</v>
      </c>
    </row>
    <row r="3186" spans="98:104">
      <c r="CT3186" s="307" t="s">
        <v>3620</v>
      </c>
      <c r="CU3186" s="307" t="s">
        <v>635</v>
      </c>
      <c r="CV3186" s="307" t="s">
        <v>657</v>
      </c>
      <c r="CW3186" s="307" t="s">
        <v>15</v>
      </c>
      <c r="CX3186" s="307">
        <v>2.4798</v>
      </c>
      <c r="CY3186" s="307">
        <v>2.4798</v>
      </c>
      <c r="CZ3186" s="307">
        <v>2.4798</v>
      </c>
    </row>
    <row r="3187" spans="98:104">
      <c r="CT3187" s="307" t="s">
        <v>3621</v>
      </c>
      <c r="CU3187" s="307" t="s">
        <v>635</v>
      </c>
      <c r="CV3187" s="307" t="s">
        <v>657</v>
      </c>
      <c r="CW3187" s="307" t="s">
        <v>16</v>
      </c>
      <c r="CX3187" s="307">
        <v>2.5434999999999999</v>
      </c>
      <c r="CY3187" s="307">
        <v>2.5434999999999999</v>
      </c>
      <c r="CZ3187" s="307">
        <v>2.5434999999999999</v>
      </c>
    </row>
    <row r="3188" spans="98:104">
      <c r="CT3188" s="307" t="s">
        <v>3622</v>
      </c>
      <c r="CU3188" s="307" t="s">
        <v>635</v>
      </c>
      <c r="CV3188" s="307" t="s">
        <v>657</v>
      </c>
      <c r="CW3188" s="307" t="s">
        <v>17</v>
      </c>
      <c r="CX3188" s="307">
        <v>2.6240000000000001</v>
      </c>
      <c r="CY3188" s="307">
        <v>2.6240000000000001</v>
      </c>
      <c r="CZ3188" s="307">
        <v>2.6240000000000001</v>
      </c>
    </row>
    <row r="3189" spans="98:104">
      <c r="CT3189" s="307" t="s">
        <v>3623</v>
      </c>
      <c r="CU3189" s="307" t="s">
        <v>635</v>
      </c>
      <c r="CV3189" s="307" t="s">
        <v>657</v>
      </c>
      <c r="CW3189" s="307" t="s">
        <v>31</v>
      </c>
      <c r="CX3189" s="307">
        <v>2.3833305898491099</v>
      </c>
      <c r="CY3189" s="307">
        <v>2.40330315500686</v>
      </c>
      <c r="CZ3189" s="307">
        <v>2.393316872427985</v>
      </c>
    </row>
    <row r="3190" spans="98:104">
      <c r="CT3190" s="307" t="s">
        <v>3624</v>
      </c>
      <c r="CU3190" s="307" t="s">
        <v>635</v>
      </c>
      <c r="CV3190" s="307" t="s">
        <v>657</v>
      </c>
      <c r="CW3190" s="307" t="s">
        <v>18</v>
      </c>
      <c r="CX3190" s="307">
        <v>2.1419999999999999</v>
      </c>
      <c r="CY3190" s="307">
        <v>2.1819999999999999</v>
      </c>
      <c r="CZ3190" s="307">
        <v>2.1619999999999999</v>
      </c>
    </row>
    <row r="3191" spans="98:104">
      <c r="CT3191" s="307" t="s">
        <v>3625</v>
      </c>
      <c r="CU3191" s="307" t="s">
        <v>635</v>
      </c>
      <c r="CV3191" s="307" t="s">
        <v>657</v>
      </c>
      <c r="CW3191" s="307" t="s">
        <v>32</v>
      </c>
      <c r="CX3191" s="307">
        <v>2.1706666666666798</v>
      </c>
      <c r="CY3191" s="307">
        <v>2.2106666666666701</v>
      </c>
      <c r="CZ3191" s="307">
        <v>2.190666666666675</v>
      </c>
    </row>
    <row r="3192" spans="98:104">
      <c r="CT3192" s="307" t="s">
        <v>3626</v>
      </c>
      <c r="CU3192" s="307" t="s">
        <v>635</v>
      </c>
      <c r="CV3192" s="307" t="s">
        <v>657</v>
      </c>
      <c r="CW3192" s="307" t="s">
        <v>33</v>
      </c>
      <c r="CX3192" s="307">
        <v>2.19933333333333</v>
      </c>
      <c r="CY3192" s="307">
        <v>2.2393333333333301</v>
      </c>
      <c r="CZ3192" s="307">
        <v>2.21933333333333</v>
      </c>
    </row>
    <row r="3193" spans="98:104">
      <c r="CT3193" s="307" t="s">
        <v>3627</v>
      </c>
      <c r="CU3193" s="307" t="s">
        <v>635</v>
      </c>
      <c r="CV3193" s="307" t="s">
        <v>657</v>
      </c>
      <c r="CW3193" s="307" t="s">
        <v>19</v>
      </c>
      <c r="CX3193" s="307">
        <v>2.2280000000000002</v>
      </c>
      <c r="CY3193" s="307">
        <v>2.2679999999999998</v>
      </c>
      <c r="CZ3193" s="307">
        <v>2.2480000000000002</v>
      </c>
    </row>
    <row r="3194" spans="98:104">
      <c r="CT3194" s="307" t="s">
        <v>3628</v>
      </c>
      <c r="CU3194" s="307" t="s">
        <v>635</v>
      </c>
      <c r="CV3194" s="307" t="s">
        <v>657</v>
      </c>
      <c r="CW3194" s="307" t="s">
        <v>34</v>
      </c>
      <c r="CX3194" s="307">
        <v>2.2438691844554</v>
      </c>
      <c r="CY3194" s="307">
        <v>2.2838691844554</v>
      </c>
      <c r="CZ3194" s="307">
        <v>2.2638691844554</v>
      </c>
    </row>
    <row r="3195" spans="98:104">
      <c r="CT3195" s="307" t="s">
        <v>3629</v>
      </c>
      <c r="CU3195" s="307" t="s">
        <v>635</v>
      </c>
      <c r="CV3195" s="307" t="s">
        <v>657</v>
      </c>
      <c r="CW3195" s="307" t="s">
        <v>35</v>
      </c>
      <c r="CX3195" s="307">
        <v>2.2596086480569202</v>
      </c>
      <c r="CY3195" s="307">
        <v>2.2996086480569198</v>
      </c>
      <c r="CZ3195" s="307">
        <v>2.2796086480569198</v>
      </c>
    </row>
    <row r="3196" spans="98:104">
      <c r="CT3196" s="307" t="s">
        <v>3630</v>
      </c>
      <c r="CU3196" s="307" t="s">
        <v>635</v>
      </c>
      <c r="CV3196" s="307" t="s">
        <v>657</v>
      </c>
      <c r="CW3196" s="307" t="s">
        <v>36</v>
      </c>
      <c r="CX3196" s="307">
        <v>2.27539135194308</v>
      </c>
      <c r="CY3196" s="307">
        <v>2.3153913519430702</v>
      </c>
      <c r="CZ3196" s="307">
        <v>2.2953913519430751</v>
      </c>
    </row>
    <row r="3197" spans="98:104">
      <c r="CT3197" s="307" t="s">
        <v>3631</v>
      </c>
      <c r="CU3197" s="307" t="s">
        <v>635</v>
      </c>
      <c r="CV3197" s="307" t="s">
        <v>657</v>
      </c>
      <c r="CW3197" s="307" t="s">
        <v>37</v>
      </c>
      <c r="CX3197" s="307">
        <v>2.2911740558292402</v>
      </c>
      <c r="CY3197" s="307">
        <v>2.33117405582923</v>
      </c>
      <c r="CZ3197" s="307">
        <v>2.3111740558292349</v>
      </c>
    </row>
    <row r="3198" spans="98:104">
      <c r="CT3198" s="307" t="s">
        <v>3632</v>
      </c>
      <c r="CU3198" s="307" t="s">
        <v>635</v>
      </c>
      <c r="CV3198" s="307" t="s">
        <v>657</v>
      </c>
      <c r="CW3198" s="307" t="s">
        <v>20</v>
      </c>
      <c r="CX3198" s="307">
        <v>2.3069999999999999</v>
      </c>
      <c r="CY3198" s="307">
        <v>2.347</v>
      </c>
      <c r="CZ3198" s="307">
        <v>2.327</v>
      </c>
    </row>
    <row r="3199" spans="98:104">
      <c r="CT3199" s="307" t="s">
        <v>3633</v>
      </c>
      <c r="CU3199" s="307" t="s">
        <v>635</v>
      </c>
      <c r="CV3199" s="307" t="s">
        <v>657</v>
      </c>
      <c r="CW3199" s="307" t="s">
        <v>38</v>
      </c>
      <c r="CX3199" s="307">
        <v>2.3138335158816998</v>
      </c>
      <c r="CY3199" s="307">
        <v>2.3538335158817199</v>
      </c>
      <c r="CZ3199" s="307">
        <v>2.3338335158817101</v>
      </c>
    </row>
    <row r="3200" spans="98:104">
      <c r="CT3200" s="307" t="s">
        <v>3634</v>
      </c>
      <c r="CU3200" s="307" t="s">
        <v>635</v>
      </c>
      <c r="CV3200" s="307" t="s">
        <v>657</v>
      </c>
      <c r="CW3200" s="307" t="s">
        <v>39</v>
      </c>
      <c r="CX3200" s="307">
        <v>2.32061117196056</v>
      </c>
      <c r="CY3200" s="307">
        <v>2.36061117196058</v>
      </c>
      <c r="CZ3200" s="307">
        <v>2.3406111719605702</v>
      </c>
    </row>
    <row r="3201" spans="98:104">
      <c r="CT3201" s="307" t="s">
        <v>3635</v>
      </c>
      <c r="CU3201" s="307" t="s">
        <v>635</v>
      </c>
      <c r="CV3201" s="307" t="s">
        <v>657</v>
      </c>
      <c r="CW3201" s="307" t="s">
        <v>40</v>
      </c>
      <c r="CX3201" s="307">
        <v>2.3273888280394202</v>
      </c>
      <c r="CY3201" s="307">
        <v>2.3673888280394402</v>
      </c>
      <c r="CZ3201" s="307">
        <v>2.3473888280394304</v>
      </c>
    </row>
    <row r="3202" spans="98:104">
      <c r="CT3202" s="307" t="s">
        <v>3636</v>
      </c>
      <c r="CU3202" s="307" t="s">
        <v>635</v>
      </c>
      <c r="CV3202" s="307" t="s">
        <v>657</v>
      </c>
      <c r="CW3202" s="307" t="s">
        <v>41</v>
      </c>
      <c r="CX3202" s="307">
        <v>2.3342037239868501</v>
      </c>
      <c r="CY3202" s="307">
        <v>2.3742037239868701</v>
      </c>
      <c r="CZ3202" s="307">
        <v>2.3542037239868598</v>
      </c>
    </row>
    <row r="3203" spans="98:104">
      <c r="CT3203" s="307" t="s">
        <v>3637</v>
      </c>
      <c r="CU3203" s="307" t="s">
        <v>635</v>
      </c>
      <c r="CV3203" s="307" t="s">
        <v>657</v>
      </c>
      <c r="CW3203" s="307" t="s">
        <v>21</v>
      </c>
      <c r="CX3203" s="307">
        <v>2.3410000000000002</v>
      </c>
      <c r="CY3203" s="307">
        <v>2.3809999999999998</v>
      </c>
      <c r="CZ3203" s="307">
        <v>2.3609999999999998</v>
      </c>
    </row>
    <row r="3204" spans="98:104">
      <c r="CT3204" s="307" t="s">
        <v>3638</v>
      </c>
      <c r="CU3204" s="307" t="s">
        <v>635</v>
      </c>
      <c r="CV3204" s="307" t="s">
        <v>657</v>
      </c>
      <c r="CW3204" s="307" t="s">
        <v>42</v>
      </c>
      <c r="CX3204" s="307">
        <v>2.34379846659365</v>
      </c>
      <c r="CY3204" s="307">
        <v>2.38379846659367</v>
      </c>
      <c r="CZ3204" s="307">
        <v>2.3637984665936598</v>
      </c>
    </row>
    <row r="3205" spans="98:104">
      <c r="CT3205" s="307" t="s">
        <v>3639</v>
      </c>
      <c r="CU3205" s="307" t="s">
        <v>635</v>
      </c>
      <c r="CV3205" s="307" t="s">
        <v>657</v>
      </c>
      <c r="CW3205" s="307" t="s">
        <v>43</v>
      </c>
      <c r="CX3205" s="307">
        <v>2.3466122672508098</v>
      </c>
      <c r="CY3205" s="307">
        <v>2.3866122672508299</v>
      </c>
      <c r="CZ3205" s="307">
        <v>2.3666122672508196</v>
      </c>
    </row>
    <row r="3206" spans="98:104">
      <c r="CT3206" s="307" t="s">
        <v>3640</v>
      </c>
      <c r="CU3206" s="307" t="s">
        <v>635</v>
      </c>
      <c r="CV3206" s="307" t="s">
        <v>657</v>
      </c>
      <c r="CW3206" s="307" t="s">
        <v>44</v>
      </c>
      <c r="CX3206" s="307">
        <v>2.3494030668127102</v>
      </c>
      <c r="CY3206" s="307">
        <v>2.38940306681272</v>
      </c>
      <c r="CZ3206" s="307">
        <v>2.3694030668127151</v>
      </c>
    </row>
    <row r="3207" spans="98:104">
      <c r="CT3207" s="307" t="s">
        <v>3641</v>
      </c>
      <c r="CU3207" s="307" t="s">
        <v>635</v>
      </c>
      <c r="CV3207" s="307" t="s">
        <v>657</v>
      </c>
      <c r="CW3207" s="307" t="s">
        <v>45</v>
      </c>
      <c r="CX3207" s="307">
        <v>2.35220153340634</v>
      </c>
      <c r="CY3207" s="307">
        <v>2.39220153340636</v>
      </c>
      <c r="CZ3207" s="307">
        <v>2.3722015334063498</v>
      </c>
    </row>
    <row r="3208" spans="98:104">
      <c r="CT3208" s="307" t="s">
        <v>3642</v>
      </c>
      <c r="CU3208" s="307" t="s">
        <v>635</v>
      </c>
      <c r="CV3208" s="307" t="s">
        <v>657</v>
      </c>
      <c r="CW3208" s="307" t="s">
        <v>22</v>
      </c>
      <c r="CX3208" s="307">
        <v>2.355</v>
      </c>
      <c r="CY3208" s="307">
        <v>2.395</v>
      </c>
      <c r="CZ3208" s="307">
        <v>2.375</v>
      </c>
    </row>
    <row r="3209" spans="98:104">
      <c r="CT3209" s="307" t="s">
        <v>3643</v>
      </c>
      <c r="CU3209" s="307" t="s">
        <v>635</v>
      </c>
      <c r="CV3209" s="307" t="s">
        <v>657</v>
      </c>
      <c r="CW3209" s="307" t="s">
        <v>46</v>
      </c>
      <c r="CX3209" s="307">
        <v>2.3610000000000002</v>
      </c>
      <c r="CY3209" s="307">
        <v>2.4009999999999998</v>
      </c>
      <c r="CZ3209" s="307">
        <v>2.3810000000000002</v>
      </c>
    </row>
    <row r="3210" spans="98:104">
      <c r="CT3210" s="307" t="s">
        <v>3644</v>
      </c>
      <c r="CU3210" s="307" t="s">
        <v>635</v>
      </c>
      <c r="CV3210" s="307" t="s">
        <v>657</v>
      </c>
      <c r="CW3210" s="307" t="s">
        <v>47</v>
      </c>
      <c r="CX3210" s="307">
        <v>2.355</v>
      </c>
      <c r="CY3210" s="307">
        <v>2.395</v>
      </c>
      <c r="CZ3210" s="307">
        <v>2.375</v>
      </c>
    </row>
    <row r="3211" spans="98:104">
      <c r="CT3211" s="307" t="s">
        <v>5029</v>
      </c>
      <c r="CU3211" s="307" t="s">
        <v>635</v>
      </c>
      <c r="CV3211" s="307" t="s">
        <v>5030</v>
      </c>
      <c r="CW3211" s="307" t="s">
        <v>5</v>
      </c>
      <c r="CX3211" s="307">
        <v>0.88</v>
      </c>
      <c r="CY3211" s="307">
        <v>1.08</v>
      </c>
      <c r="CZ3211" s="307">
        <v>0.98</v>
      </c>
    </row>
    <row r="3212" spans="98:104">
      <c r="CT3212" s="307" t="s">
        <v>5031</v>
      </c>
      <c r="CU3212" s="307" t="s">
        <v>635</v>
      </c>
      <c r="CV3212" s="307" t="s">
        <v>5030</v>
      </c>
      <c r="CW3212" s="307" t="s">
        <v>6</v>
      </c>
      <c r="CX3212" s="307">
        <v>2.42</v>
      </c>
      <c r="CY3212" s="307">
        <v>2.58</v>
      </c>
      <c r="CZ3212" s="307">
        <v>2.5</v>
      </c>
    </row>
    <row r="3213" spans="98:104">
      <c r="CT3213" s="307" t="s">
        <v>5032</v>
      </c>
      <c r="CU3213" s="307" t="s">
        <v>635</v>
      </c>
      <c r="CV3213" s="307" t="s">
        <v>5030</v>
      </c>
      <c r="CW3213" s="307" t="s">
        <v>24</v>
      </c>
      <c r="CX3213" s="307">
        <v>3.47</v>
      </c>
      <c r="CY3213" s="307">
        <v>3.92</v>
      </c>
      <c r="CZ3213" s="307">
        <v>3.6950000000000003</v>
      </c>
    </row>
    <row r="3214" spans="98:104">
      <c r="CT3214" s="307" t="s">
        <v>5033</v>
      </c>
      <c r="CU3214" s="307" t="s">
        <v>635</v>
      </c>
      <c r="CV3214" s="307" t="s">
        <v>5030</v>
      </c>
      <c r="CW3214" s="307" t="s">
        <v>7</v>
      </c>
      <c r="CX3214" s="307">
        <v>5.7</v>
      </c>
      <c r="CY3214" s="307">
        <v>5.93</v>
      </c>
      <c r="CZ3214" s="307">
        <v>5.8149999999999995</v>
      </c>
    </row>
    <row r="3215" spans="98:104">
      <c r="CT3215" s="307" t="s">
        <v>5034</v>
      </c>
      <c r="CU3215" s="307" t="s">
        <v>635</v>
      </c>
      <c r="CV3215" s="307" t="s">
        <v>5030</v>
      </c>
      <c r="CW3215" s="307" t="s">
        <v>8</v>
      </c>
      <c r="CX3215" s="307">
        <v>19.86</v>
      </c>
      <c r="CY3215" s="307">
        <v>20.260000000000002</v>
      </c>
      <c r="CZ3215" s="307">
        <v>20.060000000000002</v>
      </c>
    </row>
    <row r="3216" spans="98:104">
      <c r="CT3216" s="307" t="s">
        <v>5035</v>
      </c>
      <c r="CU3216" s="307" t="s">
        <v>635</v>
      </c>
      <c r="CV3216" s="307" t="s">
        <v>5030</v>
      </c>
      <c r="CW3216" s="307" t="s">
        <v>25</v>
      </c>
      <c r="CX3216" s="307">
        <v>27.24</v>
      </c>
      <c r="CY3216" s="307">
        <v>27.95</v>
      </c>
      <c r="CZ3216" s="307">
        <v>27.594999999999999</v>
      </c>
    </row>
    <row r="3217" spans="98:104">
      <c r="CT3217" s="307" t="s">
        <v>5036</v>
      </c>
      <c r="CU3217" s="307" t="s">
        <v>635</v>
      </c>
      <c r="CV3217" s="307" t="s">
        <v>5030</v>
      </c>
      <c r="CW3217" s="307" t="s">
        <v>26</v>
      </c>
      <c r="CX3217" s="307">
        <v>34.11</v>
      </c>
      <c r="CY3217" s="307">
        <v>34.799999999999997</v>
      </c>
      <c r="CZ3217" s="307">
        <v>34.454999999999998</v>
      </c>
    </row>
    <row r="3218" spans="98:104">
      <c r="CT3218" s="307" t="s">
        <v>5037</v>
      </c>
      <c r="CU3218" s="307" t="s">
        <v>635</v>
      </c>
      <c r="CV3218" s="307" t="s">
        <v>5030</v>
      </c>
      <c r="CW3218" s="307" t="s">
        <v>27</v>
      </c>
      <c r="CX3218" s="307">
        <v>43.7</v>
      </c>
      <c r="CY3218" s="307">
        <v>44.7</v>
      </c>
      <c r="CZ3218" s="307">
        <v>44.2</v>
      </c>
    </row>
    <row r="3219" spans="98:104">
      <c r="CT3219" s="307" t="s">
        <v>5038</v>
      </c>
      <c r="CU3219" s="307" t="s">
        <v>635</v>
      </c>
      <c r="CV3219" s="307" t="s">
        <v>5030</v>
      </c>
      <c r="CW3219" s="307" t="s">
        <v>28</v>
      </c>
      <c r="CX3219" s="307">
        <v>-0.32500000000000001</v>
      </c>
      <c r="CY3219" s="307">
        <v>-0.22500000000000001</v>
      </c>
      <c r="CZ3219" s="307">
        <v>-0.27500000000000002</v>
      </c>
    </row>
    <row r="3220" spans="98:104">
      <c r="CT3220" s="307" t="s">
        <v>5039</v>
      </c>
      <c r="CU3220" s="307" t="s">
        <v>635</v>
      </c>
      <c r="CV3220" s="307" t="s">
        <v>5030</v>
      </c>
      <c r="CW3220" s="307" t="s">
        <v>49</v>
      </c>
      <c r="CX3220" s="307">
        <v>-0.28749999999999998</v>
      </c>
      <c r="CY3220" s="307">
        <v>-0.1875</v>
      </c>
      <c r="CZ3220" s="307">
        <v>-0.23749999999999999</v>
      </c>
    </row>
    <row r="3221" spans="98:104">
      <c r="CT3221" s="307" t="s">
        <v>5040</v>
      </c>
      <c r="CU3221" s="307" t="s">
        <v>635</v>
      </c>
      <c r="CV3221" s="307" t="s">
        <v>5030</v>
      </c>
      <c r="CW3221" s="307" t="s">
        <v>56</v>
      </c>
      <c r="CX3221" s="307">
        <v>-0.26</v>
      </c>
      <c r="CY3221" s="307">
        <v>-0.16</v>
      </c>
      <c r="CZ3221" s="307">
        <v>-0.21000000000000002</v>
      </c>
    </row>
    <row r="3222" spans="98:104">
      <c r="CT3222" s="307" t="s">
        <v>5041</v>
      </c>
      <c r="CU3222" s="307" t="s">
        <v>635</v>
      </c>
      <c r="CV3222" s="307" t="s">
        <v>5030</v>
      </c>
      <c r="CW3222" s="307" t="s">
        <v>54</v>
      </c>
      <c r="CX3222" s="307">
        <v>-0.24</v>
      </c>
      <c r="CY3222" s="307">
        <v>-0.14000000000000001</v>
      </c>
      <c r="CZ3222" s="307">
        <v>-0.19</v>
      </c>
    </row>
    <row r="3223" spans="98:104">
      <c r="CT3223" s="307" t="s">
        <v>5042</v>
      </c>
      <c r="CU3223" s="307" t="s">
        <v>635</v>
      </c>
      <c r="CV3223" s="307" t="s">
        <v>5030</v>
      </c>
      <c r="CW3223" s="307" t="s">
        <v>9</v>
      </c>
      <c r="CX3223" s="307">
        <v>-0.19750000000000001</v>
      </c>
      <c r="CY3223" s="307">
        <v>-0.14749999999999999</v>
      </c>
      <c r="CZ3223" s="307">
        <v>-0.17249999999999999</v>
      </c>
    </row>
    <row r="3224" spans="98:104">
      <c r="CT3224" s="307" t="s">
        <v>5043</v>
      </c>
      <c r="CU3224" s="307" t="s">
        <v>635</v>
      </c>
      <c r="CV3224" s="307" t="s">
        <v>5030</v>
      </c>
      <c r="CW3224" s="307" t="s">
        <v>10</v>
      </c>
      <c r="CX3224" s="307">
        <v>-0.17</v>
      </c>
      <c r="CY3224" s="307">
        <v>-0.12</v>
      </c>
      <c r="CZ3224" s="307">
        <v>-0.14500000000000002</v>
      </c>
    </row>
    <row r="3225" spans="98:104">
      <c r="CT3225" s="307" t="s">
        <v>5044</v>
      </c>
      <c r="CU3225" s="307" t="s">
        <v>635</v>
      </c>
      <c r="CV3225" s="307" t="s">
        <v>5030</v>
      </c>
      <c r="CW3225" s="307" t="s">
        <v>11</v>
      </c>
      <c r="CX3225" s="307">
        <v>-0.14499999999999999</v>
      </c>
      <c r="CY3225" s="307">
        <v>-9.5000000000000001E-2</v>
      </c>
      <c r="CZ3225" s="307">
        <v>-0.12</v>
      </c>
    </row>
    <row r="3226" spans="98:104">
      <c r="CT3226" s="307" t="s">
        <v>5045</v>
      </c>
      <c r="CU3226" s="307" t="s">
        <v>635</v>
      </c>
      <c r="CV3226" s="307" t="s">
        <v>5030</v>
      </c>
      <c r="CW3226" s="307" t="s">
        <v>12</v>
      </c>
      <c r="CX3226" s="307">
        <v>-0.125</v>
      </c>
      <c r="CY3226" s="307">
        <v>-7.4999999999999997E-2</v>
      </c>
      <c r="CZ3226" s="307">
        <v>-0.1</v>
      </c>
    </row>
    <row r="3227" spans="98:104">
      <c r="CT3227" s="307" t="s">
        <v>5046</v>
      </c>
      <c r="CU3227" s="307" t="s">
        <v>635</v>
      </c>
      <c r="CV3227" s="307" t="s">
        <v>5030</v>
      </c>
      <c r="CW3227" s="307" t="s">
        <v>13</v>
      </c>
      <c r="CX3227" s="307">
        <v>-0.11</v>
      </c>
      <c r="CY3227" s="307">
        <v>-0.06</v>
      </c>
      <c r="CZ3227" s="307">
        <v>-8.4999999999999992E-2</v>
      </c>
    </row>
    <row r="3228" spans="98:104">
      <c r="CT3228" s="307" t="s">
        <v>5047</v>
      </c>
      <c r="CU3228" s="307" t="s">
        <v>635</v>
      </c>
      <c r="CV3228" s="307" t="s">
        <v>5030</v>
      </c>
      <c r="CW3228" s="307" t="s">
        <v>14</v>
      </c>
      <c r="CX3228" s="307">
        <v>-9.7500000000000003E-2</v>
      </c>
      <c r="CY3228" s="307">
        <v>-4.7500000000000001E-2</v>
      </c>
      <c r="CZ3228" s="307">
        <v>-7.2500000000000009E-2</v>
      </c>
    </row>
    <row r="3229" spans="98:104">
      <c r="CT3229" s="307" t="s">
        <v>5048</v>
      </c>
      <c r="CU3229" s="307" t="s">
        <v>635</v>
      </c>
      <c r="CV3229" s="307" t="s">
        <v>5030</v>
      </c>
      <c r="CW3229" s="307" t="s">
        <v>15</v>
      </c>
      <c r="CX3229" s="307">
        <v>-0.09</v>
      </c>
      <c r="CY3229" s="307">
        <v>-0.04</v>
      </c>
      <c r="CZ3229" s="307">
        <v>-6.5000000000000002E-2</v>
      </c>
    </row>
    <row r="3230" spans="98:104">
      <c r="CT3230" s="307" t="s">
        <v>5049</v>
      </c>
      <c r="CU3230" s="307" t="s">
        <v>635</v>
      </c>
      <c r="CV3230" s="307" t="s">
        <v>5030</v>
      </c>
      <c r="CW3230" s="307" t="s">
        <v>16</v>
      </c>
      <c r="CX3230" s="307">
        <v>-8.5000000000000006E-2</v>
      </c>
      <c r="CY3230" s="307">
        <v>-3.5000000000000003E-2</v>
      </c>
      <c r="CZ3230" s="307">
        <v>-6.0000000000000005E-2</v>
      </c>
    </row>
    <row r="3231" spans="98:104">
      <c r="CT3231" s="307" t="s">
        <v>5050</v>
      </c>
      <c r="CU3231" s="307" t="s">
        <v>635</v>
      </c>
      <c r="CV3231" s="307" t="s">
        <v>5030</v>
      </c>
      <c r="CW3231" s="307" t="s">
        <v>17</v>
      </c>
      <c r="CX3231" s="307">
        <v>-8.5000000000000006E-2</v>
      </c>
      <c r="CY3231" s="307">
        <v>-3.5000000000000003E-2</v>
      </c>
      <c r="CZ3231" s="307">
        <v>-6.0000000000000005E-2</v>
      </c>
    </row>
    <row r="3232" spans="98:104">
      <c r="CT3232" s="307" t="s">
        <v>5051</v>
      </c>
      <c r="CU3232" s="307" t="s">
        <v>635</v>
      </c>
      <c r="CV3232" s="307" t="s">
        <v>5030</v>
      </c>
      <c r="CW3232" s="307" t="s">
        <v>18</v>
      </c>
      <c r="CX3232" s="307">
        <v>-8.7499999999999994E-2</v>
      </c>
      <c r="CY3232" s="307">
        <v>-3.7499999999999999E-2</v>
      </c>
      <c r="CZ3232" s="307">
        <v>-6.25E-2</v>
      </c>
    </row>
    <row r="3233" spans="98:104">
      <c r="CT3233" s="307" t="s">
        <v>5052</v>
      </c>
      <c r="CU3233" s="307" t="s">
        <v>635</v>
      </c>
      <c r="CV3233" s="307" t="s">
        <v>5030</v>
      </c>
      <c r="CW3233" s="307" t="s">
        <v>19</v>
      </c>
      <c r="CX3233" s="307">
        <v>-9.5000000000000001E-2</v>
      </c>
      <c r="CY3233" s="307">
        <v>-4.4999999999999998E-2</v>
      </c>
      <c r="CZ3233" s="307">
        <v>-7.0000000000000007E-2</v>
      </c>
    </row>
    <row r="3234" spans="98:104">
      <c r="CT3234" s="307" t="s">
        <v>5053</v>
      </c>
      <c r="CU3234" s="307" t="s">
        <v>635</v>
      </c>
      <c r="CV3234" s="307" t="s">
        <v>5030</v>
      </c>
      <c r="CW3234" s="307" t="s">
        <v>20</v>
      </c>
      <c r="CX3234" s="307">
        <v>-0.11</v>
      </c>
      <c r="CY3234" s="307">
        <v>-0.06</v>
      </c>
      <c r="CZ3234" s="307">
        <v>-8.4999999999999992E-2</v>
      </c>
    </row>
    <row r="3235" spans="98:104">
      <c r="CT3235" s="307" t="s">
        <v>5054</v>
      </c>
      <c r="CU3235" s="307" t="s">
        <v>635</v>
      </c>
      <c r="CV3235" s="307" t="s">
        <v>5030</v>
      </c>
      <c r="CW3235" s="307" t="s">
        <v>21</v>
      </c>
      <c r="CX3235" s="307">
        <v>-0.11</v>
      </c>
      <c r="CY3235" s="307">
        <v>-0.06</v>
      </c>
      <c r="CZ3235" s="307">
        <v>-8.4999999999999992E-2</v>
      </c>
    </row>
    <row r="3236" spans="98:104">
      <c r="CT3236" s="307" t="s">
        <v>5055</v>
      </c>
      <c r="CU3236" s="307" t="s">
        <v>635</v>
      </c>
      <c r="CV3236" s="307" t="s">
        <v>5030</v>
      </c>
      <c r="CW3236" s="307" t="s">
        <v>22</v>
      </c>
      <c r="CX3236" s="307">
        <v>-8.5000000000000006E-2</v>
      </c>
      <c r="CY3236" s="307">
        <v>-3.5000000000000003E-2</v>
      </c>
      <c r="CZ3236" s="307">
        <v>-6.0000000000000005E-2</v>
      </c>
    </row>
    <row r="3237" spans="98:104">
      <c r="CT3237" s="307" t="s">
        <v>5056</v>
      </c>
      <c r="CU3237" s="307" t="s">
        <v>635</v>
      </c>
      <c r="CV3237" s="307" t="s">
        <v>5030</v>
      </c>
      <c r="CW3237" s="307" t="s">
        <v>46</v>
      </c>
      <c r="CX3237" s="307">
        <v>-0.04</v>
      </c>
      <c r="CY3237" s="307">
        <v>0.01</v>
      </c>
      <c r="CZ3237" s="307">
        <v>-1.4999999999999999E-2</v>
      </c>
    </row>
    <row r="3238" spans="98:104">
      <c r="CT3238" s="307" t="s">
        <v>5057</v>
      </c>
      <c r="CU3238" s="307" t="s">
        <v>635</v>
      </c>
      <c r="CV3238" s="307" t="s">
        <v>5030</v>
      </c>
      <c r="CW3238" s="307" t="s">
        <v>47</v>
      </c>
      <c r="CX3238" s="307">
        <v>-6.2500000000000003E-3</v>
      </c>
      <c r="CY3238" s="307">
        <v>4.6249999999999999E-2</v>
      </c>
      <c r="CZ3238" s="307">
        <v>0.02</v>
      </c>
    </row>
    <row r="3239" spans="98:104">
      <c r="CT3239" s="307" t="s">
        <v>3645</v>
      </c>
      <c r="CU3239" s="307" t="s">
        <v>635</v>
      </c>
      <c r="CV3239" s="307" t="s">
        <v>3646</v>
      </c>
      <c r="CW3239" s="307" t="s">
        <v>3</v>
      </c>
      <c r="CX3239" s="307">
        <v>1</v>
      </c>
      <c r="CY3239" s="307">
        <v>1</v>
      </c>
      <c r="CZ3239" s="307">
        <v>1</v>
      </c>
    </row>
    <row r="3240" spans="98:104">
      <c r="CT3240" s="307" t="s">
        <v>3647</v>
      </c>
      <c r="CU3240" s="307" t="s">
        <v>635</v>
      </c>
      <c r="CV3240" s="307" t="s">
        <v>3646</v>
      </c>
      <c r="CW3240" s="307" t="s">
        <v>5</v>
      </c>
      <c r="CX3240" s="307">
        <v>1</v>
      </c>
      <c r="CY3240" s="307">
        <v>1</v>
      </c>
      <c r="CZ3240" s="307">
        <v>1</v>
      </c>
    </row>
    <row r="3241" spans="98:104">
      <c r="CT3241" s="307" t="s">
        <v>3648</v>
      </c>
      <c r="CU3241" s="307" t="s">
        <v>635</v>
      </c>
      <c r="CV3241" s="307" t="s">
        <v>3646</v>
      </c>
      <c r="CW3241" s="307" t="s">
        <v>6</v>
      </c>
      <c r="CX3241" s="307">
        <v>1</v>
      </c>
      <c r="CY3241" s="307">
        <v>1</v>
      </c>
      <c r="CZ3241" s="307">
        <v>1</v>
      </c>
    </row>
    <row r="3242" spans="98:104">
      <c r="CT3242" s="307" t="s">
        <v>3649</v>
      </c>
      <c r="CU3242" s="307" t="s">
        <v>635</v>
      </c>
      <c r="CV3242" s="307" t="s">
        <v>3646</v>
      </c>
      <c r="CW3242" s="307" t="s">
        <v>7</v>
      </c>
      <c r="CX3242" s="307">
        <v>1</v>
      </c>
      <c r="CY3242" s="307">
        <v>1</v>
      </c>
      <c r="CZ3242" s="307">
        <v>1</v>
      </c>
    </row>
    <row r="3243" spans="98:104">
      <c r="CT3243" s="307" t="s">
        <v>3650</v>
      </c>
      <c r="CU3243" s="307" t="s">
        <v>635</v>
      </c>
      <c r="CV3243" s="307" t="s">
        <v>3646</v>
      </c>
      <c r="CW3243" s="307" t="s">
        <v>8</v>
      </c>
      <c r="CX3243" s="307">
        <v>1</v>
      </c>
      <c r="CY3243" s="307">
        <v>1</v>
      </c>
      <c r="CZ3243" s="307">
        <v>1</v>
      </c>
    </row>
    <row r="3244" spans="98:104">
      <c r="CT3244" s="307" t="s">
        <v>3651</v>
      </c>
      <c r="CU3244" s="307" t="s">
        <v>635</v>
      </c>
      <c r="CV3244" s="307" t="s">
        <v>3646</v>
      </c>
      <c r="CW3244" s="307" t="s">
        <v>25</v>
      </c>
      <c r="CX3244" s="307">
        <v>1</v>
      </c>
      <c r="CY3244" s="307">
        <v>1</v>
      </c>
      <c r="CZ3244" s="307">
        <v>1</v>
      </c>
    </row>
    <row r="3245" spans="98:104">
      <c r="CT3245" s="307" t="s">
        <v>3652</v>
      </c>
      <c r="CU3245" s="307" t="s">
        <v>635</v>
      </c>
      <c r="CV3245" s="307" t="s">
        <v>3646</v>
      </c>
      <c r="CW3245" s="307" t="s">
        <v>28</v>
      </c>
      <c r="CX3245" s="307">
        <v>1</v>
      </c>
      <c r="CY3245" s="307">
        <v>1</v>
      </c>
      <c r="CZ3245" s="307">
        <v>1</v>
      </c>
    </row>
    <row r="3246" spans="98:104">
      <c r="CT3246" s="307" t="s">
        <v>3653</v>
      </c>
      <c r="CU3246" s="307" t="s">
        <v>635</v>
      </c>
      <c r="CV3246" s="307" t="s">
        <v>3646</v>
      </c>
      <c r="CW3246" s="307" t="s">
        <v>49</v>
      </c>
      <c r="CX3246" s="307">
        <v>1</v>
      </c>
      <c r="CY3246" s="307">
        <v>1</v>
      </c>
      <c r="CZ3246" s="307">
        <v>1</v>
      </c>
    </row>
    <row r="3247" spans="98:104">
      <c r="CT3247" s="307" t="s">
        <v>3654</v>
      </c>
      <c r="CU3247" s="307" t="s">
        <v>635</v>
      </c>
      <c r="CV3247" s="307" t="s">
        <v>3646</v>
      </c>
      <c r="CW3247" s="307" t="s">
        <v>56</v>
      </c>
      <c r="CX3247" s="307">
        <v>1</v>
      </c>
      <c r="CY3247" s="307">
        <v>1</v>
      </c>
      <c r="CZ3247" s="307">
        <v>1</v>
      </c>
    </row>
    <row r="3248" spans="98:104">
      <c r="CT3248" s="307" t="s">
        <v>4943</v>
      </c>
      <c r="CU3248" s="307" t="s">
        <v>635</v>
      </c>
      <c r="CV3248" s="307" t="s">
        <v>4944</v>
      </c>
      <c r="CW3248" s="307" t="s">
        <v>7</v>
      </c>
      <c r="CX3248" s="307">
        <v>1</v>
      </c>
      <c r="CY3248" s="307">
        <v>1</v>
      </c>
      <c r="CZ3248" s="307">
        <v>1</v>
      </c>
    </row>
    <row r="3249" spans="98:104">
      <c r="CT3249" s="307" t="s">
        <v>4945</v>
      </c>
      <c r="CU3249" s="307" t="s">
        <v>635</v>
      </c>
      <c r="CV3249" s="307" t="s">
        <v>4944</v>
      </c>
      <c r="CW3249" s="307" t="s">
        <v>8</v>
      </c>
      <c r="CX3249" s="307">
        <v>1</v>
      </c>
      <c r="CY3249" s="307">
        <v>1</v>
      </c>
      <c r="CZ3249" s="307">
        <v>1</v>
      </c>
    </row>
    <row r="3250" spans="98:104">
      <c r="CT3250" s="307" t="s">
        <v>4946</v>
      </c>
      <c r="CU3250" s="307" t="s">
        <v>635</v>
      </c>
      <c r="CV3250" s="307" t="s">
        <v>4944</v>
      </c>
      <c r="CW3250" s="307" t="s">
        <v>25</v>
      </c>
      <c r="CX3250" s="307">
        <v>1</v>
      </c>
      <c r="CY3250" s="307">
        <v>1</v>
      </c>
      <c r="CZ3250" s="307">
        <v>1</v>
      </c>
    </row>
    <row r="3251" spans="98:104">
      <c r="CT3251" s="307" t="s">
        <v>4947</v>
      </c>
      <c r="CU3251" s="307" t="s">
        <v>635</v>
      </c>
      <c r="CV3251" s="307" t="s">
        <v>4944</v>
      </c>
      <c r="CW3251" s="307" t="s">
        <v>28</v>
      </c>
      <c r="CX3251" s="307">
        <v>1</v>
      </c>
      <c r="CY3251" s="307">
        <v>1</v>
      </c>
      <c r="CZ3251" s="307">
        <v>1</v>
      </c>
    </row>
    <row r="3252" spans="98:104">
      <c r="CT3252" s="307" t="s">
        <v>4948</v>
      </c>
      <c r="CU3252" s="307" t="s">
        <v>635</v>
      </c>
      <c r="CV3252" s="307" t="s">
        <v>4944</v>
      </c>
      <c r="CW3252" s="307" t="s">
        <v>49</v>
      </c>
      <c r="CX3252" s="307">
        <v>1</v>
      </c>
      <c r="CY3252" s="307">
        <v>1</v>
      </c>
      <c r="CZ3252" s="307">
        <v>1</v>
      </c>
    </row>
    <row r="3253" spans="98:104">
      <c r="CT3253" s="307" t="s">
        <v>4949</v>
      </c>
      <c r="CU3253" s="307" t="s">
        <v>635</v>
      </c>
      <c r="CV3253" s="307" t="s">
        <v>4944</v>
      </c>
      <c r="CW3253" s="307" t="s">
        <v>56</v>
      </c>
      <c r="CX3253" s="307">
        <v>1</v>
      </c>
      <c r="CY3253" s="307">
        <v>1</v>
      </c>
      <c r="CZ3253" s="307">
        <v>1</v>
      </c>
    </row>
    <row r="3254" spans="98:104">
      <c r="CT3254" s="307" t="s">
        <v>4950</v>
      </c>
      <c r="CU3254" s="307" t="s">
        <v>635</v>
      </c>
      <c r="CV3254" s="307" t="s">
        <v>4944</v>
      </c>
      <c r="CW3254" s="307" t="s">
        <v>9</v>
      </c>
      <c r="CX3254" s="307">
        <v>1</v>
      </c>
      <c r="CY3254" s="307">
        <v>1</v>
      </c>
      <c r="CZ3254" s="307">
        <v>1</v>
      </c>
    </row>
    <row r="3255" spans="98:104">
      <c r="CT3255" s="307" t="s">
        <v>4951</v>
      </c>
      <c r="CU3255" s="307" t="s">
        <v>635</v>
      </c>
      <c r="CV3255" s="307" t="s">
        <v>4944</v>
      </c>
      <c r="CW3255" s="307" t="s">
        <v>10</v>
      </c>
      <c r="CX3255" s="307">
        <v>1</v>
      </c>
      <c r="CY3255" s="307">
        <v>1</v>
      </c>
      <c r="CZ3255" s="307">
        <v>1</v>
      </c>
    </row>
    <row r="3256" spans="98:104">
      <c r="CT3256" s="307" t="s">
        <v>4952</v>
      </c>
      <c r="CU3256" s="307" t="s">
        <v>635</v>
      </c>
      <c r="CV3256" s="307" t="s">
        <v>4944</v>
      </c>
      <c r="CW3256" s="307" t="s">
        <v>11</v>
      </c>
      <c r="CX3256" s="307">
        <v>1</v>
      </c>
      <c r="CY3256" s="307">
        <v>1</v>
      </c>
      <c r="CZ3256" s="307">
        <v>1</v>
      </c>
    </row>
    <row r="3257" spans="98:104">
      <c r="CT3257" s="307" t="s">
        <v>4953</v>
      </c>
      <c r="CU3257" s="307" t="s">
        <v>635</v>
      </c>
      <c r="CV3257" s="307" t="s">
        <v>4944</v>
      </c>
      <c r="CW3257" s="307" t="s">
        <v>12</v>
      </c>
      <c r="CX3257" s="307">
        <v>1</v>
      </c>
      <c r="CY3257" s="307">
        <v>1</v>
      </c>
      <c r="CZ3257" s="307">
        <v>1</v>
      </c>
    </row>
    <row r="3258" spans="98:104">
      <c r="CT3258" s="307" t="s">
        <v>4954</v>
      </c>
      <c r="CU3258" s="307" t="s">
        <v>635</v>
      </c>
      <c r="CV3258" s="307" t="s">
        <v>4944</v>
      </c>
      <c r="CW3258" s="307" t="s">
        <v>13</v>
      </c>
      <c r="CX3258" s="307">
        <v>1</v>
      </c>
      <c r="CY3258" s="307">
        <v>1</v>
      </c>
      <c r="CZ3258" s="307">
        <v>1</v>
      </c>
    </row>
    <row r="3259" spans="98:104">
      <c r="CT3259" s="307" t="s">
        <v>4955</v>
      </c>
      <c r="CU3259" s="307" t="s">
        <v>635</v>
      </c>
      <c r="CV3259" s="307" t="s">
        <v>4944</v>
      </c>
      <c r="CW3259" s="307" t="s">
        <v>14</v>
      </c>
      <c r="CX3259" s="307">
        <v>1</v>
      </c>
      <c r="CY3259" s="307">
        <v>1</v>
      </c>
      <c r="CZ3259" s="307">
        <v>1</v>
      </c>
    </row>
    <row r="3260" spans="98:104">
      <c r="CT3260" s="307" t="s">
        <v>4956</v>
      </c>
      <c r="CU3260" s="307" t="s">
        <v>635</v>
      </c>
      <c r="CV3260" s="307" t="s">
        <v>4944</v>
      </c>
      <c r="CW3260" s="307" t="s">
        <v>15</v>
      </c>
      <c r="CX3260" s="307">
        <v>1</v>
      </c>
      <c r="CY3260" s="307">
        <v>1</v>
      </c>
      <c r="CZ3260" s="307">
        <v>1</v>
      </c>
    </row>
    <row r="3261" spans="98:104">
      <c r="CT3261" s="307" t="s">
        <v>4957</v>
      </c>
      <c r="CU3261" s="307" t="s">
        <v>635</v>
      </c>
      <c r="CV3261" s="307" t="s">
        <v>4944</v>
      </c>
      <c r="CW3261" s="307" t="s">
        <v>16</v>
      </c>
      <c r="CX3261" s="307">
        <v>1</v>
      </c>
      <c r="CY3261" s="307">
        <v>1</v>
      </c>
      <c r="CZ3261" s="307">
        <v>1</v>
      </c>
    </row>
    <row r="3262" spans="98:104">
      <c r="CT3262" s="307" t="s">
        <v>4958</v>
      </c>
      <c r="CU3262" s="307" t="s">
        <v>635</v>
      </c>
      <c r="CV3262" s="307" t="s">
        <v>4944</v>
      </c>
      <c r="CW3262" s="307" t="s">
        <v>17</v>
      </c>
      <c r="CX3262" s="307">
        <v>1</v>
      </c>
      <c r="CY3262" s="307">
        <v>1</v>
      </c>
      <c r="CZ3262" s="307">
        <v>1</v>
      </c>
    </row>
    <row r="3263" spans="98:104">
      <c r="CT3263" s="307" t="s">
        <v>4959</v>
      </c>
      <c r="CU3263" s="307" t="s">
        <v>635</v>
      </c>
      <c r="CV3263" s="307" t="s">
        <v>4944</v>
      </c>
      <c r="CW3263" s="307" t="s">
        <v>18</v>
      </c>
      <c r="CX3263" s="307">
        <v>1</v>
      </c>
      <c r="CY3263" s="307">
        <v>1</v>
      </c>
      <c r="CZ3263" s="307">
        <v>1</v>
      </c>
    </row>
    <row r="3264" spans="98:104">
      <c r="CT3264" s="307" t="s">
        <v>4960</v>
      </c>
      <c r="CU3264" s="307" t="s">
        <v>635</v>
      </c>
      <c r="CV3264" s="307" t="s">
        <v>4944</v>
      </c>
      <c r="CW3264" s="307" t="s">
        <v>19</v>
      </c>
      <c r="CX3264" s="307">
        <v>1</v>
      </c>
      <c r="CY3264" s="307">
        <v>1</v>
      </c>
      <c r="CZ3264" s="307">
        <v>1</v>
      </c>
    </row>
    <row r="3265" spans="98:104">
      <c r="CT3265" s="307" t="s">
        <v>4961</v>
      </c>
      <c r="CU3265" s="307" t="s">
        <v>635</v>
      </c>
      <c r="CV3265" s="307" t="s">
        <v>4944</v>
      </c>
      <c r="CW3265" s="307" t="s">
        <v>20</v>
      </c>
      <c r="CX3265" s="307">
        <v>1</v>
      </c>
      <c r="CY3265" s="307">
        <v>1</v>
      </c>
      <c r="CZ3265" s="307">
        <v>1</v>
      </c>
    </row>
    <row r="3266" spans="98:104">
      <c r="CT3266" s="307" t="s">
        <v>4962</v>
      </c>
      <c r="CU3266" s="307" t="s">
        <v>635</v>
      </c>
      <c r="CV3266" s="307" t="s">
        <v>4944</v>
      </c>
      <c r="CW3266" s="307" t="s">
        <v>21</v>
      </c>
      <c r="CX3266" s="307">
        <v>1</v>
      </c>
      <c r="CY3266" s="307">
        <v>1</v>
      </c>
      <c r="CZ3266" s="307">
        <v>1</v>
      </c>
    </row>
    <row r="3267" spans="98:104">
      <c r="CT3267" s="307" t="s">
        <v>4963</v>
      </c>
      <c r="CU3267" s="307" t="s">
        <v>635</v>
      </c>
      <c r="CV3267" s="307" t="s">
        <v>4944</v>
      </c>
      <c r="CW3267" s="307" t="s">
        <v>22</v>
      </c>
      <c r="CX3267" s="307">
        <v>1</v>
      </c>
      <c r="CY3267" s="307">
        <v>1</v>
      </c>
      <c r="CZ3267" s="307">
        <v>1</v>
      </c>
    </row>
    <row r="3268" spans="98:104">
      <c r="CT3268" s="307" t="s">
        <v>3655</v>
      </c>
      <c r="CU3268" s="307" t="s">
        <v>635</v>
      </c>
      <c r="CV3268" s="307" t="s">
        <v>1164</v>
      </c>
      <c r="CW3268" s="307" t="s">
        <v>3</v>
      </c>
      <c r="CX3268" s="307">
        <v>0.45</v>
      </c>
      <c r="CY3268" s="307">
        <v>0.55000000000000004</v>
      </c>
      <c r="CZ3268" s="307">
        <v>0.5</v>
      </c>
    </row>
    <row r="3269" spans="98:104">
      <c r="CT3269" s="307" t="s">
        <v>3656</v>
      </c>
      <c r="CU3269" s="307" t="s">
        <v>635</v>
      </c>
      <c r="CV3269" s="307" t="s">
        <v>1164</v>
      </c>
      <c r="CW3269" s="307" t="s">
        <v>4</v>
      </c>
      <c r="CX3269" s="307">
        <v>0.45</v>
      </c>
      <c r="CY3269" s="307">
        <v>0.55000000000000004</v>
      </c>
      <c r="CZ3269" s="307">
        <v>0.5</v>
      </c>
    </row>
    <row r="3270" spans="98:104">
      <c r="CT3270" s="307" t="s">
        <v>3657</v>
      </c>
      <c r="CU3270" s="307" t="s">
        <v>635</v>
      </c>
      <c r="CV3270" s="307" t="s">
        <v>1164</v>
      </c>
      <c r="CW3270" s="307" t="s">
        <v>23</v>
      </c>
      <c r="CX3270" s="307">
        <v>0.45</v>
      </c>
      <c r="CY3270" s="307">
        <v>0.55000000000000004</v>
      </c>
      <c r="CZ3270" s="307">
        <v>0.5</v>
      </c>
    </row>
    <row r="3271" spans="98:104">
      <c r="CT3271" s="307" t="s">
        <v>3658</v>
      </c>
      <c r="CU3271" s="307" t="s">
        <v>635</v>
      </c>
      <c r="CV3271" s="307" t="s">
        <v>1164</v>
      </c>
      <c r="CW3271" s="307" t="s">
        <v>5</v>
      </c>
      <c r="CX3271" s="307">
        <v>0.42405834399999998</v>
      </c>
      <c r="CY3271" s="307">
        <v>0.42405834399999998</v>
      </c>
      <c r="CZ3271" s="307">
        <v>0.42405834399999998</v>
      </c>
    </row>
    <row r="3272" spans="98:104">
      <c r="CT3272" s="307" t="s">
        <v>3659</v>
      </c>
      <c r="CU3272" s="307" t="s">
        <v>635</v>
      </c>
      <c r="CV3272" s="307" t="s">
        <v>1164</v>
      </c>
      <c r="CW3272" s="307" t="s">
        <v>6</v>
      </c>
      <c r="CX3272" s="307">
        <v>0.426365828</v>
      </c>
      <c r="CY3272" s="307">
        <v>0.426365828</v>
      </c>
      <c r="CZ3272" s="307">
        <v>0.426365828</v>
      </c>
    </row>
    <row r="3273" spans="98:104">
      <c r="CT3273" s="307" t="s">
        <v>3660</v>
      </c>
      <c r="CU3273" s="307" t="s">
        <v>635</v>
      </c>
      <c r="CV3273" s="307" t="s">
        <v>1164</v>
      </c>
      <c r="CW3273" s="307" t="s">
        <v>24</v>
      </c>
      <c r="CX3273" s="307">
        <v>0.43409461500000002</v>
      </c>
      <c r="CY3273" s="307">
        <v>0.43409461500000002</v>
      </c>
      <c r="CZ3273" s="307">
        <v>0.43409461500000002</v>
      </c>
    </row>
    <row r="3274" spans="98:104">
      <c r="CT3274" s="307" t="s">
        <v>3661</v>
      </c>
      <c r="CU3274" s="307" t="s">
        <v>635</v>
      </c>
      <c r="CV3274" s="307" t="s">
        <v>1164</v>
      </c>
      <c r="CW3274" s="307" t="s">
        <v>7</v>
      </c>
      <c r="CX3274" s="307">
        <v>0.45200000000000001</v>
      </c>
      <c r="CY3274" s="307">
        <v>0.45200000000000001</v>
      </c>
      <c r="CZ3274" s="307">
        <v>0.45200000000000001</v>
      </c>
    </row>
    <row r="3275" spans="98:104">
      <c r="CT3275" s="307" t="s">
        <v>3662</v>
      </c>
      <c r="CU3275" s="307" t="s">
        <v>635</v>
      </c>
      <c r="CV3275" s="307" t="s">
        <v>1164</v>
      </c>
      <c r="CW3275" s="307" t="s">
        <v>8</v>
      </c>
      <c r="CX3275" s="307">
        <v>0.53400000000000003</v>
      </c>
      <c r="CY3275" s="307">
        <v>0.53400000000000003</v>
      </c>
      <c r="CZ3275" s="307">
        <v>0.53400000000000003</v>
      </c>
    </row>
    <row r="3276" spans="98:104">
      <c r="CT3276" s="307" t="s">
        <v>3663</v>
      </c>
      <c r="CU3276" s="307" t="s">
        <v>635</v>
      </c>
      <c r="CV3276" s="307" t="s">
        <v>1164</v>
      </c>
      <c r="CW3276" s="307" t="s">
        <v>25</v>
      </c>
      <c r="CX3276" s="307">
        <v>0.56200000000000006</v>
      </c>
      <c r="CY3276" s="307">
        <v>0.56200000000000006</v>
      </c>
      <c r="CZ3276" s="307">
        <v>0.56200000000000006</v>
      </c>
    </row>
    <row r="3277" spans="98:104">
      <c r="CT3277" s="307" t="s">
        <v>3664</v>
      </c>
      <c r="CU3277" s="307" t="s">
        <v>635</v>
      </c>
      <c r="CV3277" s="307" t="s">
        <v>1164</v>
      </c>
      <c r="CW3277" s="307" t="s">
        <v>26</v>
      </c>
      <c r="CX3277" s="307">
        <v>0.57899999999999996</v>
      </c>
      <c r="CY3277" s="307">
        <v>0.57899999999999996</v>
      </c>
      <c r="CZ3277" s="307">
        <v>0.57899999999999996</v>
      </c>
    </row>
    <row r="3278" spans="98:104">
      <c r="CT3278" s="307" t="s">
        <v>3665</v>
      </c>
      <c r="CU3278" s="307" t="s">
        <v>635</v>
      </c>
      <c r="CV3278" s="307" t="s">
        <v>1164</v>
      </c>
      <c r="CW3278" s="307" t="s">
        <v>27</v>
      </c>
      <c r="CX3278" s="307">
        <v>0.59599999999999997</v>
      </c>
      <c r="CY3278" s="307">
        <v>0.59599999999999997</v>
      </c>
      <c r="CZ3278" s="307">
        <v>0.59599999999999997</v>
      </c>
    </row>
    <row r="3279" spans="98:104">
      <c r="CT3279" s="307" t="s">
        <v>3666</v>
      </c>
      <c r="CU3279" s="307" t="s">
        <v>635</v>
      </c>
      <c r="CV3279" s="307" t="s">
        <v>1164</v>
      </c>
      <c r="CW3279" s="307" t="s">
        <v>28</v>
      </c>
      <c r="CX3279" s="307">
        <v>0.61</v>
      </c>
      <c r="CY3279" s="307">
        <v>0.61</v>
      </c>
      <c r="CZ3279" s="307">
        <v>0.61</v>
      </c>
    </row>
    <row r="3280" spans="98:104">
      <c r="CT3280" s="307" t="s">
        <v>3667</v>
      </c>
      <c r="CU3280" s="307" t="s">
        <v>635</v>
      </c>
      <c r="CV3280" s="307" t="s">
        <v>1164</v>
      </c>
      <c r="CW3280" s="307" t="s">
        <v>29</v>
      </c>
      <c r="CX3280" s="307">
        <v>0.624</v>
      </c>
      <c r="CY3280" s="307">
        <v>0.624</v>
      </c>
      <c r="CZ3280" s="307">
        <v>0.624</v>
      </c>
    </row>
    <row r="3281" spans="98:104">
      <c r="CT3281" s="307" t="s">
        <v>3668</v>
      </c>
      <c r="CU3281" s="307" t="s">
        <v>635</v>
      </c>
      <c r="CV3281" s="307" t="s">
        <v>1164</v>
      </c>
      <c r="CW3281" s="307" t="s">
        <v>30</v>
      </c>
      <c r="CX3281" s="307">
        <v>0.64200000000000002</v>
      </c>
      <c r="CY3281" s="307">
        <v>0.64200000000000002</v>
      </c>
      <c r="CZ3281" s="307">
        <v>0.64200000000000002</v>
      </c>
    </row>
    <row r="3282" spans="98:104">
      <c r="CT3282" s="307" t="s">
        <v>3669</v>
      </c>
      <c r="CU3282" s="307" t="s">
        <v>635</v>
      </c>
      <c r="CV3282" s="307" t="s">
        <v>1164</v>
      </c>
      <c r="CW3282" s="307" t="s">
        <v>49</v>
      </c>
      <c r="CX3282" s="307">
        <v>0.66</v>
      </c>
      <c r="CY3282" s="307">
        <v>0.66</v>
      </c>
      <c r="CZ3282" s="307">
        <v>0.66</v>
      </c>
    </row>
    <row r="3283" spans="98:104">
      <c r="CT3283" s="307" t="s">
        <v>3670</v>
      </c>
      <c r="CU3283" s="307" t="s">
        <v>635</v>
      </c>
      <c r="CV3283" s="307" t="s">
        <v>1164</v>
      </c>
      <c r="CW3283" s="307" t="s">
        <v>50</v>
      </c>
      <c r="CX3283" s="307">
        <v>0.67400000000000004</v>
      </c>
      <c r="CY3283" s="307">
        <v>0.67400000000000004</v>
      </c>
      <c r="CZ3283" s="307">
        <v>0.67400000000000004</v>
      </c>
    </row>
    <row r="3284" spans="98:104">
      <c r="CT3284" s="307" t="s">
        <v>3671</v>
      </c>
      <c r="CU3284" s="307" t="s">
        <v>635</v>
      </c>
      <c r="CV3284" s="307" t="s">
        <v>1164</v>
      </c>
      <c r="CW3284" s="307" t="s">
        <v>51</v>
      </c>
      <c r="CX3284" s="307">
        <v>0.69199999999999995</v>
      </c>
      <c r="CY3284" s="307">
        <v>0.69199999999999995</v>
      </c>
      <c r="CZ3284" s="307">
        <v>0.69199999999999995</v>
      </c>
    </row>
    <row r="3285" spans="98:104">
      <c r="CT3285" s="307" t="s">
        <v>3672</v>
      </c>
      <c r="CU3285" s="307" t="s">
        <v>635</v>
      </c>
      <c r="CV3285" s="307" t="s">
        <v>1164</v>
      </c>
      <c r="CW3285" s="307" t="s">
        <v>56</v>
      </c>
      <c r="CX3285" s="307">
        <v>0.70699999999999996</v>
      </c>
      <c r="CY3285" s="307">
        <v>0.70699999999999996</v>
      </c>
      <c r="CZ3285" s="307">
        <v>0.70699999999999996</v>
      </c>
    </row>
    <row r="3286" spans="98:104">
      <c r="CT3286" s="307" t="s">
        <v>3673</v>
      </c>
      <c r="CU3286" s="307" t="s">
        <v>635</v>
      </c>
      <c r="CV3286" s="307" t="s">
        <v>1164</v>
      </c>
      <c r="CW3286" s="307" t="s">
        <v>53</v>
      </c>
      <c r="CX3286" s="307">
        <v>0.75600000000000001</v>
      </c>
      <c r="CY3286" s="307">
        <v>0.75600000000000001</v>
      </c>
      <c r="CZ3286" s="307">
        <v>0.75600000000000001</v>
      </c>
    </row>
    <row r="3287" spans="98:104">
      <c r="CT3287" s="307" t="s">
        <v>3674</v>
      </c>
      <c r="CU3287" s="307" t="s">
        <v>635</v>
      </c>
      <c r="CV3287" s="307" t="s">
        <v>1164</v>
      </c>
      <c r="CW3287" s="307" t="s">
        <v>54</v>
      </c>
      <c r="CX3287" s="307">
        <v>0.80400000000000005</v>
      </c>
      <c r="CY3287" s="307">
        <v>0.80400000000000005</v>
      </c>
      <c r="CZ3287" s="307">
        <v>0.80400000000000005</v>
      </c>
    </row>
    <row r="3288" spans="98:104">
      <c r="CT3288" s="307" t="s">
        <v>3675</v>
      </c>
      <c r="CU3288" s="307" t="s">
        <v>635</v>
      </c>
      <c r="CV3288" s="307" t="s">
        <v>1164</v>
      </c>
      <c r="CW3288" s="307" t="s">
        <v>55</v>
      </c>
      <c r="CX3288" s="307">
        <v>0.85299999999999998</v>
      </c>
      <c r="CY3288" s="307">
        <v>0.85299999999999998</v>
      </c>
      <c r="CZ3288" s="307">
        <v>0.85299999999999998</v>
      </c>
    </row>
    <row r="3289" spans="98:104">
      <c r="CT3289" s="307" t="s">
        <v>3676</v>
      </c>
      <c r="CU3289" s="307" t="s">
        <v>635</v>
      </c>
      <c r="CV3289" s="307" t="s">
        <v>1164</v>
      </c>
      <c r="CW3289" s="307" t="s">
        <v>9</v>
      </c>
      <c r="CX3289" s="307">
        <v>0.90200000000000002</v>
      </c>
      <c r="CY3289" s="307">
        <v>0.90200000000000002</v>
      </c>
      <c r="CZ3289" s="307">
        <v>0.90200000000000002</v>
      </c>
    </row>
    <row r="3290" spans="98:104">
      <c r="CT3290" s="307" t="s">
        <v>3677</v>
      </c>
      <c r="CU3290" s="307" t="s">
        <v>635</v>
      </c>
      <c r="CV3290" s="307" t="s">
        <v>1164</v>
      </c>
      <c r="CW3290" s="307" t="s">
        <v>10</v>
      </c>
      <c r="CX3290" s="307">
        <v>1.085</v>
      </c>
      <c r="CY3290" s="307">
        <v>1.085</v>
      </c>
      <c r="CZ3290" s="307">
        <v>1.085</v>
      </c>
    </row>
    <row r="3291" spans="98:104">
      <c r="CT3291" s="307" t="s">
        <v>3678</v>
      </c>
      <c r="CU3291" s="307" t="s">
        <v>635</v>
      </c>
      <c r="CV3291" s="307" t="s">
        <v>1164</v>
      </c>
      <c r="CW3291" s="307" t="s">
        <v>11</v>
      </c>
      <c r="CX3291" s="307">
        <v>1.2310000000000001</v>
      </c>
      <c r="CY3291" s="307">
        <v>1.2310000000000001</v>
      </c>
      <c r="CZ3291" s="307">
        <v>1.2310000000000001</v>
      </c>
    </row>
    <row r="3292" spans="98:104">
      <c r="CT3292" s="307" t="s">
        <v>3679</v>
      </c>
      <c r="CU3292" s="307" t="s">
        <v>635</v>
      </c>
      <c r="CV3292" s="307" t="s">
        <v>1164</v>
      </c>
      <c r="CW3292" s="307" t="s">
        <v>12</v>
      </c>
      <c r="CX3292" s="307">
        <v>1.351</v>
      </c>
      <c r="CY3292" s="307">
        <v>1.351</v>
      </c>
      <c r="CZ3292" s="307">
        <v>1.351</v>
      </c>
    </row>
    <row r="3293" spans="98:104">
      <c r="CT3293" s="307" t="s">
        <v>3680</v>
      </c>
      <c r="CU3293" s="307" t="s">
        <v>635</v>
      </c>
      <c r="CV3293" s="307" t="s">
        <v>1164</v>
      </c>
      <c r="CW3293" s="307" t="s">
        <v>13</v>
      </c>
      <c r="CX3293" s="307">
        <v>1.4550000000000001</v>
      </c>
      <c r="CY3293" s="307">
        <v>1.4550000000000001</v>
      </c>
      <c r="CZ3293" s="307">
        <v>1.4550000000000001</v>
      </c>
    </row>
    <row r="3294" spans="98:104">
      <c r="CT3294" s="307" t="s">
        <v>3681</v>
      </c>
      <c r="CU3294" s="307" t="s">
        <v>635</v>
      </c>
      <c r="CV3294" s="307" t="s">
        <v>1164</v>
      </c>
      <c r="CW3294" s="307" t="s">
        <v>14</v>
      </c>
      <c r="CX3294" s="307">
        <v>1.544</v>
      </c>
      <c r="CY3294" s="307">
        <v>1.544</v>
      </c>
      <c r="CZ3294" s="307">
        <v>1.544</v>
      </c>
    </row>
    <row r="3295" spans="98:104">
      <c r="CT3295" s="307" t="s">
        <v>3682</v>
      </c>
      <c r="CU3295" s="307" t="s">
        <v>635</v>
      </c>
      <c r="CV3295" s="307" t="s">
        <v>1164</v>
      </c>
      <c r="CW3295" s="307" t="s">
        <v>15</v>
      </c>
      <c r="CX3295" s="307">
        <v>1.617</v>
      </c>
      <c r="CY3295" s="307">
        <v>1.617</v>
      </c>
      <c r="CZ3295" s="307">
        <v>1.617</v>
      </c>
    </row>
    <row r="3296" spans="98:104">
      <c r="CT3296" s="307" t="s">
        <v>3683</v>
      </c>
      <c r="CU3296" s="307" t="s">
        <v>635</v>
      </c>
      <c r="CV3296" s="307" t="s">
        <v>1164</v>
      </c>
      <c r="CW3296" s="307" t="s">
        <v>16</v>
      </c>
      <c r="CX3296" s="307">
        <v>1.6779999999999999</v>
      </c>
      <c r="CY3296" s="307">
        <v>1.6779999999999999</v>
      </c>
      <c r="CZ3296" s="307">
        <v>1.6779999999999999</v>
      </c>
    </row>
    <row r="3297" spans="98:104">
      <c r="CT3297" s="307" t="s">
        <v>3684</v>
      </c>
      <c r="CU3297" s="307" t="s">
        <v>635</v>
      </c>
      <c r="CV3297" s="307" t="s">
        <v>1164</v>
      </c>
      <c r="CW3297" s="307" t="s">
        <v>17</v>
      </c>
      <c r="CX3297" s="307">
        <v>1.73</v>
      </c>
      <c r="CY3297" s="307">
        <v>1.73</v>
      </c>
      <c r="CZ3297" s="307">
        <v>1.73</v>
      </c>
    </row>
    <row r="3298" spans="98:104">
      <c r="CT3298" s="307" t="s">
        <v>3685</v>
      </c>
      <c r="CU3298" s="307" t="s">
        <v>635</v>
      </c>
      <c r="CV3298" s="307" t="s">
        <v>1164</v>
      </c>
      <c r="CW3298" s="307" t="s">
        <v>18</v>
      </c>
      <c r="CX3298" s="307">
        <v>1.8140000000000001</v>
      </c>
      <c r="CY3298" s="307">
        <v>1.8140000000000001</v>
      </c>
      <c r="CZ3298" s="307">
        <v>1.8140000000000001</v>
      </c>
    </row>
    <row r="3299" spans="98:104">
      <c r="CT3299" s="307" t="s">
        <v>3686</v>
      </c>
      <c r="CU3299" s="307" t="s">
        <v>635</v>
      </c>
      <c r="CV3299" s="307" t="s">
        <v>1164</v>
      </c>
      <c r="CW3299" s="307" t="s">
        <v>19</v>
      </c>
      <c r="CX3299" s="307">
        <v>1.8979999999999999</v>
      </c>
      <c r="CY3299" s="307">
        <v>1.8979999999999999</v>
      </c>
      <c r="CZ3299" s="307">
        <v>1.8979999999999999</v>
      </c>
    </row>
    <row r="3300" spans="98:104">
      <c r="CT3300" s="307" t="s">
        <v>3687</v>
      </c>
      <c r="CU3300" s="307" t="s">
        <v>635</v>
      </c>
      <c r="CV3300" s="307" t="s">
        <v>1164</v>
      </c>
      <c r="CW3300" s="307" t="s">
        <v>20</v>
      </c>
      <c r="CX3300" s="307">
        <v>1.974</v>
      </c>
      <c r="CY3300" s="307">
        <v>1.974</v>
      </c>
      <c r="CZ3300" s="307">
        <v>1.974</v>
      </c>
    </row>
    <row r="3301" spans="98:104">
      <c r="CT3301" s="307" t="s">
        <v>3688</v>
      </c>
      <c r="CU3301" s="307" t="s">
        <v>635</v>
      </c>
      <c r="CV3301" s="307" t="s">
        <v>1164</v>
      </c>
      <c r="CW3301" s="307" t="s">
        <v>21</v>
      </c>
      <c r="CX3301" s="307">
        <v>2.0049999999999999</v>
      </c>
      <c r="CY3301" s="307">
        <v>2.0049999999999999</v>
      </c>
      <c r="CZ3301" s="307">
        <v>2.0049999999999999</v>
      </c>
    </row>
    <row r="3302" spans="98:104">
      <c r="CT3302" s="307" t="s">
        <v>3689</v>
      </c>
      <c r="CU3302" s="307" t="s">
        <v>635</v>
      </c>
      <c r="CV3302" s="307" t="s">
        <v>1164</v>
      </c>
      <c r="CW3302" s="307" t="s">
        <v>22</v>
      </c>
      <c r="CX3302" s="307">
        <v>2.0169999999999999</v>
      </c>
      <c r="CY3302" s="307">
        <v>2.0169999999999999</v>
      </c>
      <c r="CZ3302" s="307">
        <v>2.0169999999999999</v>
      </c>
    </row>
    <row r="3303" spans="98:104">
      <c r="CT3303" s="307" t="s">
        <v>3690</v>
      </c>
      <c r="CU3303" s="307" t="s">
        <v>635</v>
      </c>
      <c r="CV3303" s="307" t="s">
        <v>1164</v>
      </c>
      <c r="CW3303" s="307" t="s">
        <v>46</v>
      </c>
      <c r="CX3303" s="307">
        <v>2.024</v>
      </c>
      <c r="CY3303" s="307">
        <v>2.024</v>
      </c>
      <c r="CZ3303" s="307">
        <v>2.024</v>
      </c>
    </row>
    <row r="3304" spans="98:104">
      <c r="CT3304" s="307" t="s">
        <v>3691</v>
      </c>
      <c r="CU3304" s="307" t="s">
        <v>635</v>
      </c>
      <c r="CV3304" s="307" t="s">
        <v>1164</v>
      </c>
      <c r="CW3304" s="307" t="s">
        <v>47</v>
      </c>
      <c r="CX3304" s="307">
        <v>2.0099999999999998</v>
      </c>
      <c r="CY3304" s="307">
        <v>2.0099999999999998</v>
      </c>
      <c r="CZ3304" s="307">
        <v>2.0099999999999998</v>
      </c>
    </row>
    <row r="3305" spans="98:104">
      <c r="CT3305" s="307" t="s">
        <v>3692</v>
      </c>
      <c r="CU3305" s="307" t="s">
        <v>635</v>
      </c>
      <c r="CV3305" s="307" t="s">
        <v>1164</v>
      </c>
      <c r="CW3305" s="307" t="s">
        <v>48</v>
      </c>
      <c r="CX3305" s="307">
        <v>1.997249311</v>
      </c>
      <c r="CY3305" s="307">
        <v>1.997249311</v>
      </c>
      <c r="CZ3305" s="307">
        <v>1.997249311</v>
      </c>
    </row>
    <row r="3306" spans="98:104">
      <c r="CT3306" s="307" t="s">
        <v>3694</v>
      </c>
      <c r="CU3306" s="307" t="s">
        <v>635</v>
      </c>
      <c r="CV3306" s="307" t="s">
        <v>3693</v>
      </c>
      <c r="CW3306" s="307" t="s">
        <v>3695</v>
      </c>
      <c r="CX3306" s="307">
        <v>135.66015625</v>
      </c>
      <c r="CY3306" s="307">
        <v>135.73828125</v>
      </c>
      <c r="CZ3306" s="307">
        <v>135.69921875</v>
      </c>
    </row>
    <row r="3307" spans="98:104">
      <c r="CT3307" s="307" t="s">
        <v>3696</v>
      </c>
      <c r="CU3307" s="307" t="s">
        <v>635</v>
      </c>
      <c r="CV3307" s="307" t="s">
        <v>3697</v>
      </c>
      <c r="CW3307" s="307" t="s">
        <v>23</v>
      </c>
      <c r="CX3307" s="307">
        <v>0.75</v>
      </c>
      <c r="CY3307" s="307">
        <v>0.75</v>
      </c>
      <c r="CZ3307" s="307">
        <v>0.75</v>
      </c>
    </row>
    <row r="3308" spans="98:104">
      <c r="CT3308" s="307" t="s">
        <v>3698</v>
      </c>
      <c r="CU3308" s="307" t="s">
        <v>635</v>
      </c>
      <c r="CV3308" s="307" t="s">
        <v>3697</v>
      </c>
      <c r="CW3308" s="307" t="s">
        <v>7</v>
      </c>
      <c r="CX3308" s="307">
        <v>0.55678000000000005</v>
      </c>
      <c r="CY3308" s="307">
        <v>0.56677999999999995</v>
      </c>
      <c r="CZ3308" s="307">
        <v>0.56177999999999995</v>
      </c>
    </row>
    <row r="3309" spans="98:104">
      <c r="CT3309" s="307" t="s">
        <v>3699</v>
      </c>
      <c r="CU3309" s="307" t="s">
        <v>635</v>
      </c>
      <c r="CV3309" s="307" t="s">
        <v>3697</v>
      </c>
      <c r="CW3309" s="307" t="s">
        <v>8</v>
      </c>
      <c r="CX3309" s="307">
        <v>0.69833000000000001</v>
      </c>
      <c r="CY3309" s="307">
        <v>0.70833000000000002</v>
      </c>
      <c r="CZ3309" s="307">
        <v>0.70333000000000001</v>
      </c>
    </row>
    <row r="3310" spans="98:104">
      <c r="CT3310" s="307" t="s">
        <v>3700</v>
      </c>
      <c r="CU3310" s="307" t="s">
        <v>635</v>
      </c>
      <c r="CV3310" s="307" t="s">
        <v>3697</v>
      </c>
      <c r="CW3310" s="307" t="s">
        <v>25</v>
      </c>
      <c r="CX3310" s="307">
        <v>0.90622000000000003</v>
      </c>
      <c r="CY3310" s="307">
        <v>0.91622000000000003</v>
      </c>
      <c r="CZ3310" s="307">
        <v>0.91122000000000003</v>
      </c>
    </row>
    <row r="3311" spans="98:104">
      <c r="CT3311" s="307" t="s">
        <v>3701</v>
      </c>
      <c r="CU3311" s="307" t="s">
        <v>635</v>
      </c>
      <c r="CV3311" s="307" t="s">
        <v>3697</v>
      </c>
      <c r="CW3311" s="307" t="s">
        <v>56</v>
      </c>
      <c r="CX3311" s="307">
        <v>1.0471321650000001</v>
      </c>
      <c r="CY3311" s="307">
        <v>1.0471321650000001</v>
      </c>
      <c r="CZ3311" s="307">
        <v>1.0471321650000001</v>
      </c>
    </row>
    <row r="3312" spans="98:104">
      <c r="CT3312" s="307" t="s">
        <v>3702</v>
      </c>
      <c r="CU3312" s="307" t="s">
        <v>635</v>
      </c>
      <c r="CV3312" s="307" t="s">
        <v>3697</v>
      </c>
      <c r="CW3312" s="307" t="s">
        <v>9</v>
      </c>
      <c r="CX3312" s="307">
        <v>1.2486932369999999</v>
      </c>
      <c r="CY3312" s="307">
        <v>1.2486932369999999</v>
      </c>
      <c r="CZ3312" s="307">
        <v>1.2486932369999999</v>
      </c>
    </row>
    <row r="3313" spans="98:104">
      <c r="CT3313" s="307" t="s">
        <v>3703</v>
      </c>
      <c r="CU3313" s="307" t="s">
        <v>635</v>
      </c>
      <c r="CV3313" s="307" t="s">
        <v>3697</v>
      </c>
      <c r="CW3313" s="307" t="s">
        <v>10</v>
      </c>
      <c r="CX3313" s="307">
        <v>1.427</v>
      </c>
      <c r="CY3313" s="307">
        <v>1.427</v>
      </c>
      <c r="CZ3313" s="307">
        <v>1.427</v>
      </c>
    </row>
    <row r="3314" spans="98:104">
      <c r="CT3314" s="307" t="s">
        <v>3704</v>
      </c>
      <c r="CU3314" s="307" t="s">
        <v>635</v>
      </c>
      <c r="CV3314" s="307" t="s">
        <v>3697</v>
      </c>
      <c r="CW3314" s="307" t="s">
        <v>11</v>
      </c>
      <c r="CX3314" s="307">
        <v>1.573</v>
      </c>
      <c r="CY3314" s="307">
        <v>1.573</v>
      </c>
      <c r="CZ3314" s="307">
        <v>1.573</v>
      </c>
    </row>
    <row r="3315" spans="98:104">
      <c r="CT3315" s="307" t="s">
        <v>3705</v>
      </c>
      <c r="CU3315" s="307" t="s">
        <v>635</v>
      </c>
      <c r="CV3315" s="307" t="s">
        <v>3697</v>
      </c>
      <c r="CW3315" s="307" t="s">
        <v>12</v>
      </c>
      <c r="CX3315" s="307">
        <v>1.6919999999999999</v>
      </c>
      <c r="CY3315" s="307">
        <v>1.6919999999999999</v>
      </c>
      <c r="CZ3315" s="307">
        <v>1.6919999999999999</v>
      </c>
    </row>
    <row r="3316" spans="98:104">
      <c r="CT3316" s="307" t="s">
        <v>3706</v>
      </c>
      <c r="CU3316" s="307" t="s">
        <v>635</v>
      </c>
      <c r="CV3316" s="307" t="s">
        <v>3697</v>
      </c>
      <c r="CW3316" s="307" t="s">
        <v>13</v>
      </c>
      <c r="CX3316" s="307">
        <v>1.798000002</v>
      </c>
      <c r="CY3316" s="307">
        <v>1.798000002</v>
      </c>
      <c r="CZ3316" s="307">
        <v>1.798000002</v>
      </c>
    </row>
    <row r="3317" spans="98:104">
      <c r="CT3317" s="307" t="s">
        <v>3707</v>
      </c>
      <c r="CU3317" s="307" t="s">
        <v>635</v>
      </c>
      <c r="CV3317" s="307" t="s">
        <v>3697</v>
      </c>
      <c r="CW3317" s="307" t="s">
        <v>14</v>
      </c>
      <c r="CX3317" s="307">
        <v>1.8870000010000001</v>
      </c>
      <c r="CY3317" s="307">
        <v>1.8870000010000001</v>
      </c>
      <c r="CZ3317" s="307">
        <v>1.8870000010000001</v>
      </c>
    </row>
    <row r="3318" spans="98:104">
      <c r="CT3318" s="307" t="s">
        <v>3708</v>
      </c>
      <c r="CU3318" s="307" t="s">
        <v>635</v>
      </c>
      <c r="CV3318" s="307" t="s">
        <v>3697</v>
      </c>
      <c r="CW3318" s="307" t="s">
        <v>15</v>
      </c>
      <c r="CX3318" s="307">
        <v>1.9610000009999999</v>
      </c>
      <c r="CY3318" s="307">
        <v>1.9610000009999999</v>
      </c>
      <c r="CZ3318" s="307">
        <v>1.9610000009999999</v>
      </c>
    </row>
    <row r="3319" spans="98:104">
      <c r="CT3319" s="307" t="s">
        <v>3709</v>
      </c>
      <c r="CU3319" s="307" t="s">
        <v>635</v>
      </c>
      <c r="CV3319" s="307" t="s">
        <v>3697</v>
      </c>
      <c r="CW3319" s="307" t="s">
        <v>16</v>
      </c>
      <c r="CX3319" s="307">
        <v>2.0230000010000002</v>
      </c>
      <c r="CY3319" s="307">
        <v>2.0230000010000002</v>
      </c>
      <c r="CZ3319" s="307">
        <v>2.0230000010000002</v>
      </c>
    </row>
    <row r="3320" spans="98:104">
      <c r="CT3320" s="307" t="s">
        <v>3710</v>
      </c>
      <c r="CU3320" s="307" t="s">
        <v>635</v>
      </c>
      <c r="CV3320" s="307" t="s">
        <v>3697</v>
      </c>
      <c r="CW3320" s="307" t="s">
        <v>17</v>
      </c>
      <c r="CX3320" s="307">
        <v>2.0760000010000002</v>
      </c>
      <c r="CY3320" s="307">
        <v>2.0760000010000002</v>
      </c>
      <c r="CZ3320" s="307">
        <v>2.0760000010000002</v>
      </c>
    </row>
    <row r="3321" spans="98:104">
      <c r="CT3321" s="307" t="s">
        <v>3711</v>
      </c>
      <c r="CU3321" s="307" t="s">
        <v>635</v>
      </c>
      <c r="CV3321" s="307" t="s">
        <v>3697</v>
      </c>
      <c r="CW3321" s="307" t="s">
        <v>18</v>
      </c>
      <c r="CX3321" s="307">
        <v>2.161999995</v>
      </c>
      <c r="CY3321" s="307">
        <v>2.161999995</v>
      </c>
      <c r="CZ3321" s="307">
        <v>2.161999995</v>
      </c>
    </row>
    <row r="3322" spans="98:104">
      <c r="CT3322" s="307" t="s">
        <v>3712</v>
      </c>
      <c r="CU3322" s="307" t="s">
        <v>635</v>
      </c>
      <c r="CV3322" s="307" t="s">
        <v>3697</v>
      </c>
      <c r="CW3322" s="307" t="s">
        <v>19</v>
      </c>
      <c r="CX3322" s="307">
        <v>2.2479999949999998</v>
      </c>
      <c r="CY3322" s="307">
        <v>2.2479999949999998</v>
      </c>
      <c r="CZ3322" s="307">
        <v>2.2479999949999998</v>
      </c>
    </row>
    <row r="3323" spans="98:104">
      <c r="CT3323" s="307" t="s">
        <v>3713</v>
      </c>
      <c r="CU3323" s="307" t="s">
        <v>635</v>
      </c>
      <c r="CV3323" s="307" t="s">
        <v>3697</v>
      </c>
      <c r="CW3323" s="307" t="s">
        <v>20</v>
      </c>
      <c r="CX3323" s="307">
        <v>2.3269999929999998</v>
      </c>
      <c r="CY3323" s="307">
        <v>2.3269999929999998</v>
      </c>
      <c r="CZ3323" s="307">
        <v>2.3269999929999998</v>
      </c>
    </row>
    <row r="3324" spans="98:104">
      <c r="CT3324" s="307" t="s">
        <v>3714</v>
      </c>
      <c r="CU3324" s="307" t="s">
        <v>635</v>
      </c>
      <c r="CV3324" s="307" t="s">
        <v>3697</v>
      </c>
      <c r="CW3324" s="307" t="s">
        <v>21</v>
      </c>
      <c r="CX3324" s="307">
        <v>2.3609999909999999</v>
      </c>
      <c r="CY3324" s="307">
        <v>2.3609999909999999</v>
      </c>
      <c r="CZ3324" s="307">
        <v>2.3609999909999999</v>
      </c>
    </row>
    <row r="3325" spans="98:104">
      <c r="CT3325" s="307" t="s">
        <v>3715</v>
      </c>
      <c r="CU3325" s="307" t="s">
        <v>635</v>
      </c>
      <c r="CV3325" s="307" t="s">
        <v>3697</v>
      </c>
      <c r="CW3325" s="307" t="s">
        <v>22</v>
      </c>
      <c r="CX3325" s="307">
        <v>2.3749999919999998</v>
      </c>
      <c r="CY3325" s="307">
        <v>2.3749999919999998</v>
      </c>
      <c r="CZ3325" s="307">
        <v>2.3749999919999998</v>
      </c>
    </row>
    <row r="3326" spans="98:104">
      <c r="CT3326" s="307" t="s">
        <v>3716</v>
      </c>
      <c r="CU3326" s="307" t="s">
        <v>635</v>
      </c>
      <c r="CV3326" s="307" t="s">
        <v>3717</v>
      </c>
      <c r="CW3326" s="307" t="s">
        <v>3</v>
      </c>
      <c r="CX3326" s="307">
        <v>0.65</v>
      </c>
      <c r="CY3326" s="307">
        <v>0.65</v>
      </c>
      <c r="CZ3326" s="307">
        <v>0.65</v>
      </c>
    </row>
    <row r="3327" spans="98:104">
      <c r="CT3327" s="307" t="s">
        <v>3718</v>
      </c>
      <c r="CU3327" s="307" t="s">
        <v>635</v>
      </c>
      <c r="CV3327" s="307" t="s">
        <v>3717</v>
      </c>
      <c r="CW3327" s="307" t="s">
        <v>4</v>
      </c>
      <c r="CX3327" s="307">
        <v>0.7</v>
      </c>
      <c r="CY3327" s="307">
        <v>0.7</v>
      </c>
      <c r="CZ3327" s="307">
        <v>0.7</v>
      </c>
    </row>
    <row r="3328" spans="98:104">
      <c r="CT3328" s="307" t="s">
        <v>3719</v>
      </c>
      <c r="CU3328" s="307" t="s">
        <v>635</v>
      </c>
      <c r="CV3328" s="307" t="s">
        <v>3717</v>
      </c>
      <c r="CW3328" s="307" t="s">
        <v>23</v>
      </c>
      <c r="CX3328" s="307">
        <v>0.75</v>
      </c>
      <c r="CY3328" s="307">
        <v>0.75</v>
      </c>
      <c r="CZ3328" s="307">
        <v>0.75</v>
      </c>
    </row>
    <row r="3329" spans="98:104">
      <c r="CT3329" s="307" t="s">
        <v>3720</v>
      </c>
      <c r="CU3329" s="307" t="s">
        <v>635</v>
      </c>
      <c r="CV3329" s="307" t="s">
        <v>3717</v>
      </c>
      <c r="CW3329" s="307" t="s">
        <v>5</v>
      </c>
      <c r="CX3329" s="307">
        <v>0.45422000000000001</v>
      </c>
      <c r="CY3329" s="307">
        <v>0.46422000000000002</v>
      </c>
      <c r="CZ3329" s="307">
        <v>0.45922000000000002</v>
      </c>
    </row>
    <row r="3330" spans="98:104">
      <c r="CT3330" s="307" t="s">
        <v>3721</v>
      </c>
      <c r="CU3330" s="307" t="s">
        <v>635</v>
      </c>
      <c r="CV3330" s="307" t="s">
        <v>3717</v>
      </c>
      <c r="CW3330" s="307" t="s">
        <v>6</v>
      </c>
      <c r="CX3330" s="307">
        <v>0.48543391299999999</v>
      </c>
      <c r="CY3330" s="307">
        <v>0.495433913</v>
      </c>
      <c r="CZ3330" s="307">
        <v>0.490433913</v>
      </c>
    </row>
    <row r="3331" spans="98:104">
      <c r="CT3331" s="307" t="s">
        <v>3722</v>
      </c>
      <c r="CU3331" s="307" t="s">
        <v>635</v>
      </c>
      <c r="CV3331" s="307" t="s">
        <v>3717</v>
      </c>
      <c r="CW3331" s="307" t="s">
        <v>24</v>
      </c>
      <c r="CX3331" s="307">
        <v>0.51664782600000003</v>
      </c>
      <c r="CY3331" s="307">
        <v>0.52664782600000004</v>
      </c>
      <c r="CZ3331" s="307">
        <v>0.52164782600000004</v>
      </c>
    </row>
    <row r="3332" spans="98:104">
      <c r="CT3332" s="307" t="s">
        <v>3723</v>
      </c>
      <c r="CU3332" s="307" t="s">
        <v>635</v>
      </c>
      <c r="CV3332" s="307" t="s">
        <v>3717</v>
      </c>
      <c r="CW3332" s="307" t="s">
        <v>7</v>
      </c>
      <c r="CX3332" s="307">
        <v>0.55678000000000005</v>
      </c>
      <c r="CY3332" s="307">
        <v>0.56677999999999995</v>
      </c>
      <c r="CZ3332" s="307">
        <v>0.56177999999999995</v>
      </c>
    </row>
    <row r="3333" spans="98:104">
      <c r="CT3333" s="307" t="s">
        <v>3724</v>
      </c>
      <c r="CU3333" s="307" t="s">
        <v>635</v>
      </c>
      <c r="CV3333" s="307" t="s">
        <v>3717</v>
      </c>
      <c r="CW3333" s="307" t="s">
        <v>8</v>
      </c>
      <c r="CX3333" s="307">
        <v>0.69833000000000001</v>
      </c>
      <c r="CY3333" s="307">
        <v>0.70833000000000002</v>
      </c>
      <c r="CZ3333" s="307">
        <v>0.70333000000000001</v>
      </c>
    </row>
    <row r="3334" spans="98:104">
      <c r="CT3334" s="307" t="s">
        <v>3725</v>
      </c>
      <c r="CU3334" s="307" t="s">
        <v>635</v>
      </c>
      <c r="CV3334" s="307" t="s">
        <v>3717</v>
      </c>
      <c r="CW3334" s="307" t="s">
        <v>25</v>
      </c>
      <c r="CX3334" s="307">
        <v>0.90622000000000003</v>
      </c>
      <c r="CY3334" s="307">
        <v>0.91622000000000003</v>
      </c>
      <c r="CZ3334" s="307">
        <v>0.91122000000000003</v>
      </c>
    </row>
    <row r="3335" spans="98:104">
      <c r="CT3335" s="307" t="s">
        <v>3726</v>
      </c>
      <c r="CU3335" s="307" t="s">
        <v>635</v>
      </c>
      <c r="CV3335" s="307" t="s">
        <v>3717</v>
      </c>
      <c r="CW3335" s="307" t="s">
        <v>26</v>
      </c>
      <c r="CX3335" s="307">
        <v>1.0193617779999999</v>
      </c>
      <c r="CY3335" s="307">
        <v>1.0293617779999999</v>
      </c>
      <c r="CZ3335" s="307">
        <v>1.0243617779999998</v>
      </c>
    </row>
    <row r="3336" spans="98:104">
      <c r="CT3336" s="307" t="s">
        <v>3727</v>
      </c>
      <c r="CU3336" s="307" t="s">
        <v>635</v>
      </c>
      <c r="CV3336" s="307" t="s">
        <v>3717</v>
      </c>
      <c r="CW3336" s="307" t="s">
        <v>27</v>
      </c>
      <c r="CX3336" s="307">
        <v>1.1446258890000001</v>
      </c>
      <c r="CY3336" s="307">
        <v>1.1546258890000001</v>
      </c>
      <c r="CZ3336" s="307">
        <v>1.1496258890000002</v>
      </c>
    </row>
    <row r="3337" spans="98:104">
      <c r="CT3337" s="307" t="s">
        <v>3728</v>
      </c>
      <c r="CU3337" s="307" t="s">
        <v>635</v>
      </c>
      <c r="CV3337" s="307" t="s">
        <v>3717</v>
      </c>
      <c r="CW3337" s="307" t="s">
        <v>28</v>
      </c>
      <c r="CX3337" s="307">
        <v>1.26989</v>
      </c>
      <c r="CY3337" s="307">
        <v>1.27989</v>
      </c>
      <c r="CZ3337" s="307">
        <v>1.2748900000000001</v>
      </c>
    </row>
    <row r="3338" spans="98:104">
      <c r="CT3338" s="307" t="s">
        <v>5140</v>
      </c>
      <c r="CU3338" s="307" t="s">
        <v>635</v>
      </c>
      <c r="CV3338" s="307" t="s">
        <v>3717</v>
      </c>
      <c r="CW3338" s="307" t="s">
        <v>5101</v>
      </c>
      <c r="CX3338" s="307">
        <v>1.318934262</v>
      </c>
      <c r="CY3338" s="307">
        <v>1.338934262</v>
      </c>
      <c r="CZ3338" s="307">
        <v>1.328934262</v>
      </c>
    </row>
    <row r="3339" spans="98:104">
      <c r="CT3339" s="307" t="s">
        <v>3729</v>
      </c>
      <c r="CU3339" s="307" t="s">
        <v>635</v>
      </c>
      <c r="CV3339" s="307" t="s">
        <v>3717</v>
      </c>
      <c r="CW3339" s="307" t="s">
        <v>29</v>
      </c>
      <c r="CX3339" s="307">
        <v>1.3239342620000001</v>
      </c>
      <c r="CY3339" s="307">
        <v>1.3339342620000001</v>
      </c>
      <c r="CZ3339" s="307">
        <v>1.3289342620000002</v>
      </c>
    </row>
    <row r="3340" spans="98:104">
      <c r="CT3340" s="307" t="s">
        <v>3730</v>
      </c>
      <c r="CU3340" s="307" t="s">
        <v>635</v>
      </c>
      <c r="CV3340" s="307" t="s">
        <v>3717</v>
      </c>
      <c r="CW3340" s="307" t="s">
        <v>30</v>
      </c>
      <c r="CX3340" s="307">
        <v>1.3779785250000001</v>
      </c>
      <c r="CY3340" s="307">
        <v>1.3879785250000001</v>
      </c>
      <c r="CZ3340" s="307">
        <v>1.382978525</v>
      </c>
    </row>
    <row r="3341" spans="98:104">
      <c r="CT3341" s="307" t="s">
        <v>3731</v>
      </c>
      <c r="CU3341" s="307" t="s">
        <v>635</v>
      </c>
      <c r="CV3341" s="307" t="s">
        <v>3717</v>
      </c>
      <c r="CW3341" s="307" t="s">
        <v>49</v>
      </c>
      <c r="CX3341" s="307">
        <v>1.4338242619999999</v>
      </c>
      <c r="CY3341" s="307">
        <v>1.4438242619999999</v>
      </c>
      <c r="CZ3341" s="307">
        <v>1.4388242619999998</v>
      </c>
    </row>
    <row r="3342" spans="98:104">
      <c r="CT3342" s="307" t="s">
        <v>4964</v>
      </c>
      <c r="CU3342" s="307" t="s">
        <v>635</v>
      </c>
      <c r="CV3342" s="307" t="s">
        <v>3717</v>
      </c>
      <c r="CW3342" s="307" t="s">
        <v>1066</v>
      </c>
      <c r="CX3342" s="307">
        <v>98.88</v>
      </c>
      <c r="CY3342" s="307">
        <v>98.88</v>
      </c>
      <c r="CZ3342" s="307">
        <v>98.88</v>
      </c>
    </row>
    <row r="3343" spans="98:104">
      <c r="CT3343" s="307" t="s">
        <v>3732</v>
      </c>
      <c r="CU3343" s="307" t="s">
        <v>635</v>
      </c>
      <c r="CV3343" s="307" t="s">
        <v>3717</v>
      </c>
      <c r="CW3343" s="307" t="s">
        <v>56</v>
      </c>
      <c r="CX3343" s="307">
        <v>1.0471321650000001</v>
      </c>
      <c r="CY3343" s="307">
        <v>1.0471321650000001</v>
      </c>
      <c r="CZ3343" s="307">
        <v>1.0471321650000001</v>
      </c>
    </row>
    <row r="3344" spans="98:104">
      <c r="CT3344" s="307" t="s">
        <v>4965</v>
      </c>
      <c r="CU3344" s="307" t="s">
        <v>635</v>
      </c>
      <c r="CV3344" s="307" t="s">
        <v>3717</v>
      </c>
      <c r="CW3344" s="307" t="s">
        <v>1069</v>
      </c>
      <c r="CX3344" s="307">
        <v>98.78</v>
      </c>
      <c r="CY3344" s="307">
        <v>98.78</v>
      </c>
      <c r="CZ3344" s="307">
        <v>98.78</v>
      </c>
    </row>
    <row r="3345" spans="98:104">
      <c r="CT3345" s="307" t="s">
        <v>4966</v>
      </c>
      <c r="CU3345" s="307" t="s">
        <v>635</v>
      </c>
      <c r="CV3345" s="307" t="s">
        <v>3717</v>
      </c>
      <c r="CW3345" s="307" t="s">
        <v>3865</v>
      </c>
      <c r="CX3345" s="307">
        <v>98.665000000000006</v>
      </c>
      <c r="CY3345" s="307">
        <v>98.665000000000006</v>
      </c>
      <c r="CZ3345" s="307">
        <v>98.665000000000006</v>
      </c>
    </row>
    <row r="3346" spans="98:104">
      <c r="CT3346" s="307" t="s">
        <v>4967</v>
      </c>
      <c r="CU3346" s="307" t="s">
        <v>635</v>
      </c>
      <c r="CV3346" s="307" t="s">
        <v>3717</v>
      </c>
      <c r="CW3346" s="307" t="s">
        <v>3866</v>
      </c>
      <c r="CX3346" s="307">
        <v>98.57</v>
      </c>
      <c r="CY3346" s="307">
        <v>98.57</v>
      </c>
      <c r="CZ3346" s="307">
        <v>98.57</v>
      </c>
    </row>
    <row r="3347" spans="98:104">
      <c r="CT3347" s="307" t="s">
        <v>5085</v>
      </c>
      <c r="CU3347" s="307" t="s">
        <v>635</v>
      </c>
      <c r="CV3347" s="307" t="s">
        <v>3717</v>
      </c>
      <c r="CW3347" s="307" t="s">
        <v>3889</v>
      </c>
      <c r="CX3347" s="307">
        <v>98.465000000000003</v>
      </c>
      <c r="CY3347" s="307">
        <v>98.465000000000003</v>
      </c>
      <c r="CZ3347" s="307">
        <v>98.465000000000003</v>
      </c>
    </row>
    <row r="3348" spans="98:104">
      <c r="CT3348" s="307" t="s">
        <v>3733</v>
      </c>
      <c r="CU3348" s="307" t="s">
        <v>635</v>
      </c>
      <c r="CV3348" s="307" t="s">
        <v>3717</v>
      </c>
      <c r="CW3348" s="307" t="s">
        <v>9</v>
      </c>
      <c r="CX3348" s="307">
        <v>1.2486932369999999</v>
      </c>
      <c r="CY3348" s="307">
        <v>1.2486932369999999</v>
      </c>
      <c r="CZ3348" s="307">
        <v>1.2486932369999999</v>
      </c>
    </row>
    <row r="3349" spans="98:104">
      <c r="CT3349" s="307" t="s">
        <v>5141</v>
      </c>
      <c r="CU3349" s="307" t="s">
        <v>635</v>
      </c>
      <c r="CV3349" s="307" t="s">
        <v>3717</v>
      </c>
      <c r="CW3349" s="307" t="s">
        <v>3890</v>
      </c>
      <c r="CX3349" s="307">
        <v>98.364999999999995</v>
      </c>
      <c r="CY3349" s="307">
        <v>98.364999999999995</v>
      </c>
      <c r="CZ3349" s="307">
        <v>98.364999999999995</v>
      </c>
    </row>
    <row r="3350" spans="98:104">
      <c r="CT3350" s="307" t="s">
        <v>3734</v>
      </c>
      <c r="CU3350" s="307" t="s">
        <v>635</v>
      </c>
      <c r="CV3350" s="307" t="s">
        <v>3717</v>
      </c>
      <c r="CW3350" s="307" t="s">
        <v>10</v>
      </c>
      <c r="CX3350" s="307">
        <v>1.427</v>
      </c>
      <c r="CY3350" s="307">
        <v>1.427</v>
      </c>
      <c r="CZ3350" s="307">
        <v>1.427</v>
      </c>
    </row>
    <row r="3351" spans="98:104">
      <c r="CT3351" s="307" t="s">
        <v>3735</v>
      </c>
      <c r="CU3351" s="307" t="s">
        <v>635</v>
      </c>
      <c r="CV3351" s="307" t="s">
        <v>3717</v>
      </c>
      <c r="CW3351" s="307" t="s">
        <v>11</v>
      </c>
      <c r="CX3351" s="307">
        <v>1.573</v>
      </c>
      <c r="CY3351" s="307">
        <v>1.573</v>
      </c>
      <c r="CZ3351" s="307">
        <v>1.573</v>
      </c>
    </row>
    <row r="3352" spans="98:104">
      <c r="CT3352" s="307" t="s">
        <v>3736</v>
      </c>
      <c r="CU3352" s="307" t="s">
        <v>635</v>
      </c>
      <c r="CV3352" s="307" t="s">
        <v>3717</v>
      </c>
      <c r="CW3352" s="307" t="s">
        <v>12</v>
      </c>
      <c r="CX3352" s="307">
        <v>1.6919999999999999</v>
      </c>
      <c r="CY3352" s="307">
        <v>1.6919999999999999</v>
      </c>
      <c r="CZ3352" s="307">
        <v>1.6919999999999999</v>
      </c>
    </row>
    <row r="3353" spans="98:104">
      <c r="CT3353" s="307" t="s">
        <v>3737</v>
      </c>
      <c r="CU3353" s="307" t="s">
        <v>635</v>
      </c>
      <c r="CV3353" s="307" t="s">
        <v>3717</v>
      </c>
      <c r="CW3353" s="307" t="s">
        <v>13</v>
      </c>
      <c r="CX3353" s="307">
        <v>1.798000002</v>
      </c>
      <c r="CY3353" s="307">
        <v>1.798000002</v>
      </c>
      <c r="CZ3353" s="307">
        <v>1.798000002</v>
      </c>
    </row>
    <row r="3354" spans="98:104">
      <c r="CT3354" s="307" t="s">
        <v>3738</v>
      </c>
      <c r="CU3354" s="307" t="s">
        <v>635</v>
      </c>
      <c r="CV3354" s="307" t="s">
        <v>3717</v>
      </c>
      <c r="CW3354" s="307" t="s">
        <v>14</v>
      </c>
      <c r="CX3354" s="307">
        <v>1.8870000010000001</v>
      </c>
      <c r="CY3354" s="307">
        <v>1.8870000010000001</v>
      </c>
      <c r="CZ3354" s="307">
        <v>1.8870000010000001</v>
      </c>
    </row>
    <row r="3355" spans="98:104">
      <c r="CT3355" s="307" t="s">
        <v>3739</v>
      </c>
      <c r="CU3355" s="307" t="s">
        <v>635</v>
      </c>
      <c r="CV3355" s="307" t="s">
        <v>3717</v>
      </c>
      <c r="CW3355" s="307" t="s">
        <v>15</v>
      </c>
      <c r="CX3355" s="307">
        <v>1.9610000009999999</v>
      </c>
      <c r="CY3355" s="307">
        <v>1.9610000009999999</v>
      </c>
      <c r="CZ3355" s="307">
        <v>1.9610000009999999</v>
      </c>
    </row>
    <row r="3356" spans="98:104">
      <c r="CT3356" s="307" t="s">
        <v>3740</v>
      </c>
      <c r="CU3356" s="307" t="s">
        <v>635</v>
      </c>
      <c r="CV3356" s="307" t="s">
        <v>3717</v>
      </c>
      <c r="CW3356" s="307" t="s">
        <v>16</v>
      </c>
      <c r="CX3356" s="307">
        <v>2.0230000010000002</v>
      </c>
      <c r="CY3356" s="307">
        <v>2.0230000010000002</v>
      </c>
      <c r="CZ3356" s="307">
        <v>2.0230000010000002</v>
      </c>
    </row>
    <row r="3357" spans="98:104">
      <c r="CT3357" s="307" t="s">
        <v>3741</v>
      </c>
      <c r="CU3357" s="307" t="s">
        <v>635</v>
      </c>
      <c r="CV3357" s="307" t="s">
        <v>3717</v>
      </c>
      <c r="CW3357" s="307" t="s">
        <v>17</v>
      </c>
      <c r="CX3357" s="307">
        <v>2.0760000010000002</v>
      </c>
      <c r="CY3357" s="307">
        <v>2.0760000010000002</v>
      </c>
      <c r="CZ3357" s="307">
        <v>2.0760000010000002</v>
      </c>
    </row>
    <row r="3358" spans="98:104">
      <c r="CT3358" s="307" t="s">
        <v>3742</v>
      </c>
      <c r="CU3358" s="307" t="s">
        <v>635</v>
      </c>
      <c r="CV3358" s="307" t="s">
        <v>3717</v>
      </c>
      <c r="CW3358" s="307" t="s">
        <v>31</v>
      </c>
      <c r="CX3358" s="307">
        <v>2.122095721</v>
      </c>
      <c r="CY3358" s="307">
        <v>2.122095721</v>
      </c>
      <c r="CZ3358" s="307">
        <v>2.122095721</v>
      </c>
    </row>
    <row r="3359" spans="98:104">
      <c r="CT3359" s="307" t="s">
        <v>3743</v>
      </c>
      <c r="CU3359" s="307" t="s">
        <v>635</v>
      </c>
      <c r="CV3359" s="307" t="s">
        <v>3717</v>
      </c>
      <c r="CW3359" s="307" t="s">
        <v>18</v>
      </c>
      <c r="CX3359" s="307">
        <v>2.161999995</v>
      </c>
      <c r="CY3359" s="307">
        <v>2.161999995</v>
      </c>
      <c r="CZ3359" s="307">
        <v>2.161999995</v>
      </c>
    </row>
    <row r="3360" spans="98:104">
      <c r="CT3360" s="307" t="s">
        <v>3744</v>
      </c>
      <c r="CU3360" s="307" t="s">
        <v>635</v>
      </c>
      <c r="CV3360" s="307" t="s">
        <v>3717</v>
      </c>
      <c r="CW3360" s="307" t="s">
        <v>32</v>
      </c>
      <c r="CX3360" s="307">
        <v>2.195520551</v>
      </c>
      <c r="CY3360" s="307">
        <v>2.195520551</v>
      </c>
      <c r="CZ3360" s="307">
        <v>2.195520551</v>
      </c>
    </row>
    <row r="3361" spans="98:104">
      <c r="CT3361" s="307" t="s">
        <v>3745</v>
      </c>
      <c r="CU3361" s="307" t="s">
        <v>635</v>
      </c>
      <c r="CV3361" s="307" t="s">
        <v>3717</v>
      </c>
      <c r="CW3361" s="307" t="s">
        <v>33</v>
      </c>
      <c r="CX3361" s="307">
        <v>2.2238145189999998</v>
      </c>
      <c r="CY3361" s="307">
        <v>2.2238145189999998</v>
      </c>
      <c r="CZ3361" s="307">
        <v>2.2238145189999998</v>
      </c>
    </row>
    <row r="3362" spans="98:104">
      <c r="CT3362" s="307" t="s">
        <v>3746</v>
      </c>
      <c r="CU3362" s="307" t="s">
        <v>635</v>
      </c>
      <c r="CV3362" s="307" t="s">
        <v>3717</v>
      </c>
      <c r="CW3362" s="307" t="s">
        <v>19</v>
      </c>
      <c r="CX3362" s="307">
        <v>2.2479999949999998</v>
      </c>
      <c r="CY3362" s="307">
        <v>2.2479999949999998</v>
      </c>
      <c r="CZ3362" s="307">
        <v>2.2479999949999998</v>
      </c>
    </row>
    <row r="3363" spans="98:104">
      <c r="CT3363" s="307" t="s">
        <v>3747</v>
      </c>
      <c r="CU3363" s="307" t="s">
        <v>635</v>
      </c>
      <c r="CV3363" s="307" t="s">
        <v>3717</v>
      </c>
      <c r="CW3363" s="307" t="s">
        <v>34</v>
      </c>
      <c r="CX3363" s="307">
        <v>2.2689883160000002</v>
      </c>
      <c r="CY3363" s="307">
        <v>2.2689883160000002</v>
      </c>
      <c r="CZ3363" s="307">
        <v>2.2689883160000002</v>
      </c>
    </row>
    <row r="3364" spans="98:104">
      <c r="CT3364" s="307" t="s">
        <v>3748</v>
      </c>
      <c r="CU3364" s="307" t="s">
        <v>635</v>
      </c>
      <c r="CV3364" s="307" t="s">
        <v>3717</v>
      </c>
      <c r="CW3364" s="307" t="s">
        <v>35</v>
      </c>
      <c r="CX3364" s="307">
        <v>2.2869536959999999</v>
      </c>
      <c r="CY3364" s="307">
        <v>2.2869536959999999</v>
      </c>
      <c r="CZ3364" s="307">
        <v>2.2869536959999999</v>
      </c>
    </row>
    <row r="3365" spans="98:104">
      <c r="CT3365" s="307" t="s">
        <v>3749</v>
      </c>
      <c r="CU3365" s="307" t="s">
        <v>635</v>
      </c>
      <c r="CV3365" s="307" t="s">
        <v>3717</v>
      </c>
      <c r="CW3365" s="307" t="s">
        <v>36</v>
      </c>
      <c r="CX3365" s="307">
        <v>2.3024651629999999</v>
      </c>
      <c r="CY3365" s="307">
        <v>2.3024651629999999</v>
      </c>
      <c r="CZ3365" s="307">
        <v>2.3024651629999999</v>
      </c>
    </row>
    <row r="3366" spans="98:104">
      <c r="CT3366" s="307" t="s">
        <v>3750</v>
      </c>
      <c r="CU3366" s="307" t="s">
        <v>635</v>
      </c>
      <c r="CV3366" s="307" t="s">
        <v>3717</v>
      </c>
      <c r="CW3366" s="307" t="s">
        <v>37</v>
      </c>
      <c r="CX3366" s="307">
        <v>2.3157316469999998</v>
      </c>
      <c r="CY3366" s="307">
        <v>2.3157316469999998</v>
      </c>
      <c r="CZ3366" s="307">
        <v>2.3157316469999998</v>
      </c>
    </row>
    <row r="3367" spans="98:104">
      <c r="CT3367" s="307" t="s">
        <v>3751</v>
      </c>
      <c r="CU3367" s="307" t="s">
        <v>635</v>
      </c>
      <c r="CV3367" s="307" t="s">
        <v>3717</v>
      </c>
      <c r="CW3367" s="307" t="s">
        <v>20</v>
      </c>
      <c r="CX3367" s="307">
        <v>2.3269999929999998</v>
      </c>
      <c r="CY3367" s="307">
        <v>2.3269999929999998</v>
      </c>
      <c r="CZ3367" s="307">
        <v>2.3269999929999998</v>
      </c>
    </row>
    <row r="3368" spans="98:104">
      <c r="CT3368" s="307" t="s">
        <v>3752</v>
      </c>
      <c r="CU3368" s="307" t="s">
        <v>635</v>
      </c>
      <c r="CV3368" s="307" t="s">
        <v>3717</v>
      </c>
      <c r="CW3368" s="307" t="s">
        <v>38</v>
      </c>
      <c r="CX3368" s="307">
        <v>2.3364621620000001</v>
      </c>
      <c r="CY3368" s="307">
        <v>2.3364621620000001</v>
      </c>
      <c r="CZ3368" s="307">
        <v>2.3364621620000001</v>
      </c>
    </row>
    <row r="3369" spans="98:104">
      <c r="CT3369" s="307" t="s">
        <v>3753</v>
      </c>
      <c r="CU3369" s="307" t="s">
        <v>635</v>
      </c>
      <c r="CV3369" s="307" t="s">
        <v>3717</v>
      </c>
      <c r="CW3369" s="307" t="s">
        <v>39</v>
      </c>
      <c r="CX3369" s="307">
        <v>2.3442998519999998</v>
      </c>
      <c r="CY3369" s="307">
        <v>2.3442998519999998</v>
      </c>
      <c r="CZ3369" s="307">
        <v>2.3442998519999998</v>
      </c>
    </row>
    <row r="3370" spans="98:104">
      <c r="CT3370" s="307" t="s">
        <v>3754</v>
      </c>
      <c r="CU3370" s="307" t="s">
        <v>635</v>
      </c>
      <c r="CV3370" s="307" t="s">
        <v>3717</v>
      </c>
      <c r="CW3370" s="307" t="s">
        <v>40</v>
      </c>
      <c r="CX3370" s="307">
        <v>2.3508606109999999</v>
      </c>
      <c r="CY3370" s="307">
        <v>2.3508606109999999</v>
      </c>
      <c r="CZ3370" s="307">
        <v>2.3508606109999999</v>
      </c>
    </row>
    <row r="3371" spans="98:104">
      <c r="CT3371" s="307" t="s">
        <v>3755</v>
      </c>
      <c r="CU3371" s="307" t="s">
        <v>635</v>
      </c>
      <c r="CV3371" s="307" t="s">
        <v>3717</v>
      </c>
      <c r="CW3371" s="307" t="s">
        <v>41</v>
      </c>
      <c r="CX3371" s="307">
        <v>2.3563872510000001</v>
      </c>
      <c r="CY3371" s="307">
        <v>2.3563872510000001</v>
      </c>
      <c r="CZ3371" s="307">
        <v>2.3563872510000001</v>
      </c>
    </row>
    <row r="3372" spans="98:104">
      <c r="CT3372" s="307" t="s">
        <v>3756</v>
      </c>
      <c r="CU3372" s="307" t="s">
        <v>635</v>
      </c>
      <c r="CV3372" s="307" t="s">
        <v>3717</v>
      </c>
      <c r="CW3372" s="307" t="s">
        <v>21</v>
      </c>
      <c r="CX3372" s="307">
        <v>2.3609999909999999</v>
      </c>
      <c r="CY3372" s="307">
        <v>2.3609999909999999</v>
      </c>
      <c r="CZ3372" s="307">
        <v>2.3609999909999999</v>
      </c>
    </row>
    <row r="3373" spans="98:104">
      <c r="CT3373" s="307" t="s">
        <v>3757</v>
      </c>
      <c r="CU3373" s="307" t="s">
        <v>635</v>
      </c>
      <c r="CV3373" s="307" t="s">
        <v>3717</v>
      </c>
      <c r="CW3373" s="307" t="s">
        <v>42</v>
      </c>
      <c r="CX3373" s="307">
        <v>2.3648651269999998</v>
      </c>
      <c r="CY3373" s="307">
        <v>2.3648651269999998</v>
      </c>
      <c r="CZ3373" s="307">
        <v>2.3648651269999998</v>
      </c>
    </row>
    <row r="3374" spans="98:104">
      <c r="CT3374" s="307" t="s">
        <v>3758</v>
      </c>
      <c r="CU3374" s="307" t="s">
        <v>635</v>
      </c>
      <c r="CV3374" s="307" t="s">
        <v>3717</v>
      </c>
      <c r="CW3374" s="307" t="s">
        <v>43</v>
      </c>
      <c r="CX3374" s="307">
        <v>2.3681231720000002</v>
      </c>
      <c r="CY3374" s="307">
        <v>2.3681231720000002</v>
      </c>
      <c r="CZ3374" s="307">
        <v>2.3681231720000002</v>
      </c>
    </row>
    <row r="3375" spans="98:104">
      <c r="CT3375" s="307" t="s">
        <v>3759</v>
      </c>
      <c r="CU3375" s="307" t="s">
        <v>635</v>
      </c>
      <c r="CV3375" s="307" t="s">
        <v>3717</v>
      </c>
      <c r="CW3375" s="307" t="s">
        <v>44</v>
      </c>
      <c r="CX3375" s="307">
        <v>2.3708235169999998</v>
      </c>
      <c r="CY3375" s="307">
        <v>2.3708235169999998</v>
      </c>
      <c r="CZ3375" s="307">
        <v>2.3708235169999998</v>
      </c>
    </row>
    <row r="3376" spans="98:104">
      <c r="CT3376" s="307" t="s">
        <v>3760</v>
      </c>
      <c r="CU3376" s="307" t="s">
        <v>635</v>
      </c>
      <c r="CV3376" s="307" t="s">
        <v>3717</v>
      </c>
      <c r="CW3376" s="307" t="s">
        <v>45</v>
      </c>
      <c r="CX3376" s="307">
        <v>2.3730944150000002</v>
      </c>
      <c r="CY3376" s="307">
        <v>2.3730944150000002</v>
      </c>
      <c r="CZ3376" s="307">
        <v>2.3730944150000002</v>
      </c>
    </row>
    <row r="3377" spans="98:104">
      <c r="CT3377" s="307" t="s">
        <v>3761</v>
      </c>
      <c r="CU3377" s="307" t="s">
        <v>635</v>
      </c>
      <c r="CV3377" s="307" t="s">
        <v>3717</v>
      </c>
      <c r="CW3377" s="307" t="s">
        <v>22</v>
      </c>
      <c r="CX3377" s="307">
        <v>2.3749999919999998</v>
      </c>
      <c r="CY3377" s="307">
        <v>2.3749999919999998</v>
      </c>
      <c r="CZ3377" s="307">
        <v>2.3749999919999998</v>
      </c>
    </row>
    <row r="3378" spans="98:104">
      <c r="CT3378" s="307" t="s">
        <v>3762</v>
      </c>
      <c r="CU3378" s="307" t="s">
        <v>635</v>
      </c>
      <c r="CV3378" s="307" t="s">
        <v>3717</v>
      </c>
      <c r="CW3378" s="307" t="s">
        <v>46</v>
      </c>
      <c r="CX3378" s="307">
        <v>2.3809999909999999</v>
      </c>
      <c r="CY3378" s="307">
        <v>2.3809999909999999</v>
      </c>
      <c r="CZ3378" s="307">
        <v>2.3809999909999999</v>
      </c>
    </row>
    <row r="3379" spans="98:104">
      <c r="CT3379" s="307" t="s">
        <v>3763</v>
      </c>
      <c r="CU3379" s="307" t="s">
        <v>635</v>
      </c>
      <c r="CV3379" s="307" t="s">
        <v>3717</v>
      </c>
      <c r="CW3379" s="307" t="s">
        <v>47</v>
      </c>
      <c r="CX3379" s="307">
        <v>2.3749999910000001</v>
      </c>
      <c r="CY3379" s="307">
        <v>2.3749999910000001</v>
      </c>
      <c r="CZ3379" s="307">
        <v>2.3749999910000001</v>
      </c>
    </row>
    <row r="3380" spans="98:104">
      <c r="CT3380" s="307" t="s">
        <v>3764</v>
      </c>
      <c r="CU3380" s="307" t="s">
        <v>635</v>
      </c>
      <c r="CV3380" s="307" t="s">
        <v>3717</v>
      </c>
      <c r="CW3380" s="307" t="s">
        <v>48</v>
      </c>
      <c r="CX3380" s="307">
        <v>2.3695336390000001</v>
      </c>
      <c r="CY3380" s="307">
        <v>2.3695336390000001</v>
      </c>
      <c r="CZ3380" s="307">
        <v>2.3695336390000001</v>
      </c>
    </row>
  </sheetData>
  <mergeCells count="32">
    <mergeCell ref="CT1:DI1"/>
    <mergeCell ref="E5:F6"/>
    <mergeCell ref="CT6:DF6"/>
    <mergeCell ref="D21:F21"/>
    <mergeCell ref="AF21:AH21"/>
    <mergeCell ref="AI21:AJ21"/>
    <mergeCell ref="AN21:AP21"/>
    <mergeCell ref="N21:P21"/>
    <mergeCell ref="Q21:T21"/>
    <mergeCell ref="X21:Z21"/>
    <mergeCell ref="AA21:AB21"/>
    <mergeCell ref="AQ21:AR21"/>
    <mergeCell ref="AV21:AX21"/>
    <mergeCell ref="AY21:AZ21"/>
    <mergeCell ref="CT4:DF4"/>
    <mergeCell ref="G21:H21"/>
    <mergeCell ref="AY94:AZ94"/>
    <mergeCell ref="AV94:AX94"/>
    <mergeCell ref="A17:C20"/>
    <mergeCell ref="CT5:DF5"/>
    <mergeCell ref="CT7:DF7"/>
    <mergeCell ref="CT8:DF8"/>
    <mergeCell ref="D94:F94"/>
    <mergeCell ref="G94:H94"/>
    <mergeCell ref="N94:P94"/>
    <mergeCell ref="Q94:T94"/>
    <mergeCell ref="X94:Z94"/>
    <mergeCell ref="AA94:AB94"/>
    <mergeCell ref="AF94:AH94"/>
    <mergeCell ref="AI94:AJ94"/>
    <mergeCell ref="AN94:AP94"/>
    <mergeCell ref="AQ94:AR94"/>
  </mergeCells>
  <phoneticPr fontId="38" type="noConversion"/>
  <dataValidations disablePrompts="1" count="1">
    <dataValidation type="list" allowBlank="1" showInputMessage="1" showErrorMessage="1" sqref="C12">
      <formula1>"FromExcelFiles,FromCsv"</formula1>
    </dataValidation>
  </dataValidations>
  <hyperlinks>
    <hyperlink ref="E5" r:id="rId1"/>
  </hyperlinks>
  <pageMargins left="0.75" right="0.75" top="1" bottom="1" header="0.5" footer="0.5"/>
  <pageSetup paperSize="9" scale="14" orientation="portrait" r:id="rId2"/>
  <headerFooter alignWithMargins="0"/>
  <drawing r:id="rId3"/>
  <legacyDrawing r:id="rId4"/>
  <controls>
    <mc:AlternateContent xmlns:mc="http://schemas.openxmlformats.org/markup-compatibility/2006">
      <mc:Choice Requires="x14">
        <control shapeId="22534" r:id="rId5" name="CSVDir_set">
          <controlPr defaultSize="0" print="0" autoLine="0" r:id="rId6">
            <anchor>
              <from>
                <xdr:col>130</xdr:col>
                <xdr:colOff>600075</xdr:colOff>
                <xdr:row>11</xdr:row>
                <xdr:rowOff>9525</xdr:rowOff>
              </from>
              <to>
                <xdr:col>131</xdr:col>
                <xdr:colOff>238125</xdr:colOff>
                <xdr:row>12</xdr:row>
                <xdr:rowOff>19050</xdr:rowOff>
              </to>
            </anchor>
          </controlPr>
        </control>
      </mc:Choice>
      <mc:Fallback>
        <control shapeId="22534" r:id="rId5" name="CSVDir_set"/>
      </mc:Fallback>
    </mc:AlternateContent>
    <mc:AlternateContent xmlns:mc="http://schemas.openxmlformats.org/markup-compatibility/2006">
      <mc:Choice Requires="x14">
        <control shapeId="22535" r:id="rId7" name="CSVName_Set">
          <controlPr defaultSize="0" print="0" autoLine="0" r:id="rId8">
            <anchor>
              <from>
                <xdr:col>130</xdr:col>
                <xdr:colOff>600075</xdr:colOff>
                <xdr:row>12</xdr:row>
                <xdr:rowOff>38100</xdr:rowOff>
              </from>
              <to>
                <xdr:col>131</xdr:col>
                <xdr:colOff>238125</xdr:colOff>
                <xdr:row>13</xdr:row>
                <xdr:rowOff>28575</xdr:rowOff>
              </to>
            </anchor>
          </controlPr>
        </control>
      </mc:Choice>
      <mc:Fallback>
        <control shapeId="22535" r:id="rId7" name="CSVName_Set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4">
    <outlinePr summaryRight="0"/>
  </sheetPr>
  <dimension ref="A1:CG177"/>
  <sheetViews>
    <sheetView topLeftCell="AC11" workbookViewId="0">
      <selection activeCell="BD32" sqref="BD32"/>
    </sheetView>
  </sheetViews>
  <sheetFormatPr defaultColWidth="10.7109375" defaultRowHeight="12.75" outlineLevelRow="1" outlineLevelCol="1"/>
  <cols>
    <col min="1" max="1" width="3.7109375" style="5" customWidth="1"/>
    <col min="2" max="2" width="14" style="5" customWidth="1"/>
    <col min="3" max="3" width="11.140625" style="5" customWidth="1"/>
    <col min="4" max="4" width="10.7109375" style="5" customWidth="1"/>
    <col min="5" max="5" width="10.7109375" style="401" customWidth="1"/>
    <col min="6" max="6" width="10.7109375" style="401"/>
    <col min="7" max="7" width="10.7109375" style="5"/>
    <col min="8" max="8" width="10.7109375" style="5" collapsed="1"/>
    <col min="9" max="9" width="12.140625" style="5" hidden="1" customWidth="1" outlineLevel="1"/>
    <col min="10" max="10" width="11.7109375" style="5" customWidth="1"/>
    <col min="11" max="11" width="11.5703125" style="5" customWidth="1"/>
    <col min="12" max="12" width="12.85546875" style="5" customWidth="1"/>
    <col min="13" max="13" width="13.85546875" style="5" customWidth="1"/>
    <col min="14" max="15" width="10.7109375" style="5"/>
    <col min="16" max="16" width="1.7109375" style="5" customWidth="1" collapsed="1"/>
    <col min="17" max="17" width="11.5703125" style="5" hidden="1" customWidth="1" outlineLevel="1"/>
    <col min="18" max="18" width="10" style="5" hidden="1" customWidth="1" outlineLevel="1"/>
    <col min="19" max="19" width="11" style="5" hidden="1" customWidth="1" outlineLevel="1"/>
    <col min="20" max="20" width="11.28515625" style="5" hidden="1" customWidth="1" outlineLevel="1"/>
    <col min="21" max="21" width="10" style="5" hidden="1" customWidth="1" outlineLevel="1"/>
    <col min="22" max="22" width="11" style="5" bestFit="1" customWidth="1" collapsed="1"/>
    <col min="23" max="24" width="11" style="5" customWidth="1"/>
    <col min="25" max="26" width="10" style="5" customWidth="1"/>
    <col min="27" max="27" width="11.28515625" style="5" bestFit="1" customWidth="1"/>
    <col min="28" max="28" width="10" style="5" customWidth="1"/>
    <col min="29" max="29" width="16.85546875" style="401" bestFit="1" customWidth="1"/>
    <col min="30" max="30" width="1.7109375" style="5" customWidth="1"/>
    <col min="31" max="31" width="8.7109375" style="5" bestFit="1" customWidth="1"/>
    <col min="32" max="32" width="11.140625" style="401" bestFit="1" customWidth="1" collapsed="1"/>
    <col min="33" max="33" width="27.140625" style="5" hidden="1" customWidth="1" outlineLevel="1"/>
    <col min="34" max="35" width="10.7109375" style="5" hidden="1" customWidth="1" outlineLevel="1"/>
    <col min="36" max="36" width="10.7109375" style="5" customWidth="1" collapsed="1"/>
    <col min="37" max="37" width="10.7109375" style="5" customWidth="1"/>
    <col min="38" max="38" width="10.85546875" style="46" customWidth="1"/>
    <col min="39" max="39" width="10.7109375" style="5" hidden="1" customWidth="1"/>
    <col min="40" max="40" width="3.28515625" style="5" customWidth="1"/>
    <col min="41" max="41" width="8.7109375" style="5" bestFit="1" customWidth="1"/>
    <col min="42" max="42" width="8.7109375" style="5" customWidth="1"/>
    <col min="43" max="43" width="11.140625" style="5" bestFit="1" customWidth="1" collapsed="1"/>
    <col min="44" max="44" width="25.5703125" style="5" hidden="1" customWidth="1" outlineLevel="1"/>
    <col min="45" max="46" width="10.7109375" style="5" hidden="1" customWidth="1" outlineLevel="1"/>
    <col min="47" max="47" width="10.7109375" style="5" customWidth="1" collapsed="1"/>
    <col min="48" max="49" width="10.7109375" style="5" customWidth="1"/>
    <col min="50" max="50" width="1.7109375" style="5" customWidth="1"/>
    <col min="51" max="51" width="8.85546875" style="5" customWidth="1"/>
    <col min="52" max="52" width="11.140625" style="5" bestFit="1" customWidth="1" collapsed="1"/>
    <col min="53" max="53" width="28.140625" style="5" hidden="1" customWidth="1" outlineLevel="1"/>
    <col min="54" max="55" width="10.7109375" style="5" hidden="1" customWidth="1" outlineLevel="1"/>
    <col min="56" max="56" width="10.7109375" style="5" customWidth="1" collapsed="1"/>
    <col min="57" max="58" width="10.7109375" style="5" customWidth="1"/>
    <col min="59" max="59" width="1.7109375" style="5" customWidth="1"/>
    <col min="60" max="60" width="11.140625" style="5" bestFit="1" customWidth="1" collapsed="1"/>
    <col min="61" max="61" width="20.42578125" style="5" hidden="1" customWidth="1" outlineLevel="1"/>
    <col min="62" max="63" width="10.7109375" style="5" hidden="1" customWidth="1" outlineLevel="1"/>
    <col min="64" max="64" width="10.7109375" style="5" customWidth="1" collapsed="1"/>
    <col min="65" max="66" width="10.7109375" style="5" customWidth="1"/>
    <col min="67" max="67" width="1.7109375" style="5" customWidth="1"/>
    <col min="68" max="68" width="6.5703125" style="5" customWidth="1" collapsed="1"/>
    <col min="69" max="69" width="10.7109375" style="5" hidden="1" customWidth="1" outlineLevel="1"/>
    <col min="70" max="70" width="20.7109375" style="5" hidden="1" customWidth="1" outlineLevel="1"/>
    <col min="71" max="72" width="10.7109375" style="5" hidden="1" customWidth="1" outlineLevel="1"/>
    <col min="73" max="73" width="10.7109375" style="5" customWidth="1" collapsed="1"/>
    <col min="74" max="75" width="10.7109375" style="5" customWidth="1"/>
    <col min="76" max="76" width="1.7109375" style="5" customWidth="1"/>
    <col min="77" max="77" width="6.140625" style="5" bestFit="1" customWidth="1" collapsed="1"/>
    <col min="78" max="78" width="11.85546875" style="5" hidden="1" customWidth="1" outlineLevel="1"/>
    <col min="79" max="79" width="20.28515625" style="5" hidden="1" customWidth="1" outlineLevel="1"/>
    <col min="80" max="81" width="10.7109375" style="5" hidden="1" customWidth="1" outlineLevel="1"/>
    <col min="82" max="82" width="10.7109375" style="5" customWidth="1" collapsed="1"/>
    <col min="83" max="85" width="10.7109375" style="5" customWidth="1"/>
    <col min="86" max="16384" width="10.7109375" style="5"/>
  </cols>
  <sheetData>
    <row r="1" spans="1:85" hidden="1" outlineLevel="1">
      <c r="B1" s="575" t="s">
        <v>737</v>
      </c>
      <c r="C1" s="577"/>
      <c r="E1" s="575" t="s">
        <v>743</v>
      </c>
      <c r="F1" s="576"/>
      <c r="G1" s="577"/>
      <c r="I1" s="331" t="s">
        <v>700</v>
      </c>
      <c r="L1" s="575" t="s">
        <v>4995</v>
      </c>
      <c r="M1" s="576"/>
      <c r="N1" s="577"/>
      <c r="AC1" s="5"/>
      <c r="AF1" s="5"/>
    </row>
    <row r="2" spans="1:85" hidden="1" outlineLevel="1">
      <c r="B2" s="293" t="s">
        <v>255</v>
      </c>
      <c r="C2" s="114" t="s">
        <v>249</v>
      </c>
      <c r="E2" s="270">
        <v>3</v>
      </c>
      <c r="F2" s="194" t="s">
        <v>702</v>
      </c>
      <c r="G2" s="194"/>
      <c r="I2" s="269">
        <f>E5</f>
        <v>42725</v>
      </c>
      <c r="L2" s="584" t="s">
        <v>4996</v>
      </c>
      <c r="M2" s="584"/>
      <c r="N2" s="584"/>
      <c r="W2" s="142"/>
      <c r="AC2" s="5"/>
      <c r="AR2" s="96" t="s">
        <v>512</v>
      </c>
      <c r="AS2" s="96" t="s">
        <v>513</v>
      </c>
      <c r="AT2" s="401"/>
      <c r="BI2" s="96" t="s">
        <v>512</v>
      </c>
      <c r="BJ2" s="96" t="s">
        <v>513</v>
      </c>
      <c r="BK2" s="401"/>
      <c r="BP2" s="96" t="s">
        <v>206</v>
      </c>
      <c r="BY2" s="96" t="s">
        <v>206</v>
      </c>
      <c r="CE2" s="401"/>
      <c r="CF2" s="401"/>
      <c r="CG2" s="401"/>
    </row>
    <row r="3" spans="1:85" hidden="1" outlineLevel="1">
      <c r="B3" s="95" t="s">
        <v>736</v>
      </c>
      <c r="C3" s="110" t="s">
        <v>183</v>
      </c>
      <c r="E3" s="271">
        <v>42614</v>
      </c>
      <c r="F3" s="194" t="s">
        <v>703</v>
      </c>
      <c r="G3" s="194"/>
      <c r="I3" s="269">
        <f>ithMonthsWeekday(EDATE(I2,3),3,3)</f>
        <v>42809</v>
      </c>
      <c r="L3" s="418">
        <v>42705</v>
      </c>
      <c r="M3" s="280" t="str">
        <f>UPPER(TEXT(L3,"MMM YY"))</f>
        <v>DEC 16</v>
      </c>
      <c r="N3" s="280" t="str">
        <f>FutCode(L3)</f>
        <v>Z6</v>
      </c>
      <c r="V3" s="96" t="s">
        <v>206</v>
      </c>
      <c r="W3" s="148"/>
      <c r="AC3" s="5"/>
      <c r="AR3" s="114" t="s">
        <v>4972</v>
      </c>
      <c r="AS3" s="430" t="s">
        <v>514</v>
      </c>
      <c r="AT3" s="278" t="s">
        <v>724</v>
      </c>
      <c r="BI3" s="114" t="s">
        <v>521</v>
      </c>
      <c r="BJ3" s="114" t="s">
        <v>522</v>
      </c>
      <c r="BK3" s="278" t="s">
        <v>724</v>
      </c>
      <c r="BP3" s="143" t="s">
        <v>86</v>
      </c>
      <c r="BY3" s="143" t="s">
        <v>7</v>
      </c>
      <c r="CE3" s="401"/>
      <c r="CF3" s="401"/>
      <c r="CG3" s="401"/>
    </row>
    <row r="4" spans="1:85" hidden="1" outlineLevel="1">
      <c r="B4" s="95" t="s">
        <v>735</v>
      </c>
      <c r="C4" s="498">
        <f>ROWS(B15:B34)</f>
        <v>20</v>
      </c>
      <c r="E4" s="271">
        <f>ithMonthsWeekday(E3,3,3)</f>
        <v>42634</v>
      </c>
      <c r="F4" s="194" t="s">
        <v>698</v>
      </c>
      <c r="G4" s="194"/>
      <c r="I4" s="269">
        <f>ithMonthsWeekday(EDATE(I3,3),3,3)</f>
        <v>42907</v>
      </c>
      <c r="J4" s="585" t="s">
        <v>701</v>
      </c>
      <c r="L4" s="419">
        <f>EDATE(L3,3)</f>
        <v>42795</v>
      </c>
      <c r="M4" s="280" t="str">
        <f>UPPER(TEXT(L4,"MMM YY"))</f>
        <v>MAR 17</v>
      </c>
      <c r="N4" s="280" t="str">
        <f>FutCode(L4)</f>
        <v>H7</v>
      </c>
      <c r="V4" s="143" t="s">
        <v>28</v>
      </c>
      <c r="W4" s="260"/>
      <c r="AC4" s="5"/>
      <c r="AR4" s="114" t="s">
        <v>4973</v>
      </c>
      <c r="AS4" s="430" t="s">
        <v>4976</v>
      </c>
      <c r="AT4" s="278" t="s">
        <v>725</v>
      </c>
      <c r="BI4" s="114" t="s">
        <v>521</v>
      </c>
      <c r="BJ4" s="114" t="s">
        <v>522</v>
      </c>
      <c r="BK4" s="278" t="s">
        <v>725</v>
      </c>
      <c r="CE4" s="401"/>
      <c r="CF4" s="401"/>
      <c r="CG4" s="401"/>
    </row>
    <row r="5" spans="1:85" hidden="1" outlineLevel="1">
      <c r="B5" s="293" t="s">
        <v>734</v>
      </c>
      <c r="C5" s="154" t="str">
        <f>IF(RealTime="PowerPlus",_xll.RtUpdate("IDN",B15:B34,C14:D14,C15),IF(RealTime,_xll.RData(C3,B14:D14,,,"RET:"&amp;C4,B15),"StaticData"))</f>
        <v>Updated at 12:31:06</v>
      </c>
      <c r="D5" s="401"/>
      <c r="E5" s="271">
        <v>42725</v>
      </c>
      <c r="F5" s="272" t="s">
        <v>704</v>
      </c>
      <c r="G5" s="272"/>
      <c r="H5" s="401"/>
      <c r="I5" s="269">
        <f>ithMonthsWeekday(EDATE(I4,3),3,3)</f>
        <v>42998</v>
      </c>
      <c r="J5" s="585"/>
      <c r="V5" s="143" t="s">
        <v>25</v>
      </c>
      <c r="W5" s="260"/>
      <c r="AC5" s="5"/>
      <c r="AR5" s="114" t="s">
        <v>4974</v>
      </c>
      <c r="AS5" s="114"/>
      <c r="AT5" s="278" t="s">
        <v>697</v>
      </c>
      <c r="BI5" s="114" t="s">
        <v>516</v>
      </c>
      <c r="BJ5" s="114"/>
      <c r="BK5" s="278" t="s">
        <v>697</v>
      </c>
      <c r="CE5" s="401"/>
      <c r="CF5" s="401"/>
      <c r="CG5" s="401"/>
    </row>
    <row r="6" spans="1:85" hidden="1" outlineLevel="1">
      <c r="D6" s="401"/>
      <c r="G6" s="401"/>
      <c r="H6" s="401"/>
      <c r="I6" s="269">
        <v>42907</v>
      </c>
      <c r="J6" s="420" t="s">
        <v>1361</v>
      </c>
      <c r="V6" s="143" t="s">
        <v>56</v>
      </c>
      <c r="W6" s="260"/>
      <c r="AC6" s="5"/>
      <c r="AR6" s="114" t="s">
        <v>4975</v>
      </c>
      <c r="AS6" s="430" t="s">
        <v>514</v>
      </c>
      <c r="AT6" s="278" t="s">
        <v>726</v>
      </c>
      <c r="BI6" s="114" t="s">
        <v>5058</v>
      </c>
      <c r="BJ6" s="114" t="s">
        <v>514</v>
      </c>
      <c r="BK6" s="278" t="s">
        <v>726</v>
      </c>
      <c r="CE6" s="401"/>
      <c r="CF6" s="401"/>
      <c r="CG6" s="401"/>
    </row>
    <row r="7" spans="1:85" hidden="1" outlineLevel="1">
      <c r="D7" s="401"/>
      <c r="G7" s="401"/>
      <c r="V7" s="143" t="s">
        <v>479</v>
      </c>
      <c r="W7" s="260"/>
      <c r="AC7" s="5"/>
      <c r="AF7" s="5"/>
      <c r="CE7" s="401"/>
      <c r="CF7" s="401"/>
      <c r="CG7" s="401"/>
    </row>
    <row r="8" spans="1:85" hidden="1" outlineLevel="1">
      <c r="I8" s="96" t="s">
        <v>228</v>
      </c>
      <c r="AC8" s="5"/>
      <c r="AF8" s="5"/>
      <c r="CE8" s="401"/>
      <c r="CF8" s="401"/>
      <c r="CG8" s="401"/>
    </row>
    <row r="9" spans="1:85" hidden="1" outlineLevel="1">
      <c r="H9" s="401"/>
      <c r="I9" s="378" t="str">
        <f>'eur disaggregated'!G2&amp;";"</f>
        <v>LIF EURIBOR 3M;</v>
      </c>
      <c r="AC9" s="5"/>
      <c r="AF9" s="5"/>
    </row>
    <row r="10" spans="1:85" hidden="1" outlineLevel="1">
      <c r="H10" s="401"/>
      <c r="K10" s="68"/>
      <c r="Q10" s="401"/>
      <c r="R10" s="401"/>
      <c r="S10" s="401"/>
      <c r="T10" s="401"/>
      <c r="U10" s="401"/>
      <c r="V10" s="401"/>
      <c r="W10" s="401"/>
      <c r="X10" s="401"/>
      <c r="Y10" s="401"/>
      <c r="Z10" s="401"/>
      <c r="AA10" s="401"/>
      <c r="AB10" s="401"/>
      <c r="AF10" s="5"/>
    </row>
    <row r="11" spans="1:85" collapsed="1">
      <c r="B11" s="152" t="s">
        <v>156</v>
      </c>
      <c r="C11" s="277">
        <f>[0]!today</f>
        <v>42692</v>
      </c>
      <c r="H11" s="401"/>
      <c r="Q11" s="575" t="s">
        <v>523</v>
      </c>
      <c r="R11" s="576"/>
      <c r="S11" s="576"/>
      <c r="T11" s="576"/>
      <c r="U11" s="583"/>
      <c r="V11" s="582" t="s">
        <v>242</v>
      </c>
      <c r="W11" s="582"/>
      <c r="X11" s="582"/>
      <c r="Y11" s="582"/>
      <c r="Z11" s="582"/>
      <c r="AA11" s="582"/>
      <c r="AB11" s="582"/>
      <c r="AF11" s="5"/>
      <c r="AG11" s="579" t="s">
        <v>28</v>
      </c>
      <c r="AH11" s="579"/>
      <c r="AI11" s="579"/>
      <c r="AJ11" s="579"/>
      <c r="AK11" s="579"/>
      <c r="AL11" s="579"/>
      <c r="AQ11" s="196"/>
      <c r="AR11" s="579" t="s">
        <v>25</v>
      </c>
      <c r="AS11" s="579"/>
      <c r="AT11" s="579"/>
      <c r="AU11" s="579"/>
      <c r="AV11" s="579"/>
      <c r="AW11" s="579"/>
      <c r="AZ11" s="196"/>
      <c r="BA11" s="579" t="s">
        <v>56</v>
      </c>
      <c r="BB11" s="579"/>
      <c r="BC11" s="579"/>
      <c r="BD11" s="579"/>
      <c r="BE11" s="579"/>
      <c r="BF11" s="579"/>
      <c r="BH11" s="196"/>
      <c r="BI11" s="579" t="s">
        <v>0</v>
      </c>
      <c r="BJ11" s="579"/>
      <c r="BK11" s="579"/>
      <c r="BL11" s="579"/>
      <c r="BM11" s="579"/>
      <c r="BN11" s="579"/>
      <c r="BP11" s="196"/>
      <c r="BQ11" s="579" t="s">
        <v>86</v>
      </c>
      <c r="BR11" s="579"/>
      <c r="BS11" s="579"/>
      <c r="BT11" s="579"/>
      <c r="BU11" s="579"/>
      <c r="BV11" s="579"/>
      <c r="BW11" s="579"/>
      <c r="BY11" s="196"/>
      <c r="BZ11" s="579" t="s">
        <v>7</v>
      </c>
      <c r="CA11" s="579"/>
      <c r="CB11" s="579"/>
      <c r="CC11" s="579"/>
      <c r="CD11" s="579"/>
      <c r="CE11" s="579"/>
      <c r="CF11" s="579"/>
      <c r="CG11" s="579"/>
    </row>
    <row r="12" spans="1:85" ht="12.75" customHeight="1">
      <c r="B12" s="152" t="s">
        <v>92</v>
      </c>
      <c r="C12" s="277">
        <f>CHOOSE(STUBmethod,StubDateFromCsv,EurMkt!I6)</f>
        <v>42907</v>
      </c>
      <c r="Q12" s="96" t="s">
        <v>506</v>
      </c>
      <c r="R12" s="96" t="s">
        <v>229</v>
      </c>
      <c r="S12" s="96"/>
      <c r="T12" s="96" t="s">
        <v>158</v>
      </c>
      <c r="U12" s="286" t="s">
        <v>524</v>
      </c>
      <c r="V12" s="227" t="s">
        <v>206</v>
      </c>
      <c r="W12" s="223" t="s">
        <v>229</v>
      </c>
      <c r="X12" s="224" t="s">
        <v>556</v>
      </c>
      <c r="Y12" s="225" t="s">
        <v>559</v>
      </c>
      <c r="Z12" s="223" t="s">
        <v>545</v>
      </c>
      <c r="AA12" s="224" t="s">
        <v>158</v>
      </c>
      <c r="AB12" s="227" t="s">
        <v>557</v>
      </c>
      <c r="AC12" s="201" t="s">
        <v>160</v>
      </c>
      <c r="AF12" s="5"/>
      <c r="AG12" s="12" t="s">
        <v>248</v>
      </c>
      <c r="AH12" s="12" t="s">
        <v>70</v>
      </c>
      <c r="AI12" s="13" t="s">
        <v>71</v>
      </c>
      <c r="AJ12" s="10" t="s">
        <v>70</v>
      </c>
      <c r="AK12" s="200" t="s">
        <v>71</v>
      </c>
      <c r="AL12" s="42" t="s">
        <v>72</v>
      </c>
      <c r="AP12" s="5" t="s">
        <v>4977</v>
      </c>
      <c r="AQ12" s="196"/>
      <c r="AR12" s="12" t="s">
        <v>248</v>
      </c>
      <c r="AS12" s="12" t="s">
        <v>70</v>
      </c>
      <c r="AT12" s="13" t="s">
        <v>71</v>
      </c>
      <c r="AU12" s="9" t="s">
        <v>70</v>
      </c>
      <c r="AV12" s="13" t="s">
        <v>71</v>
      </c>
      <c r="AW12" s="42" t="s">
        <v>72</v>
      </c>
      <c r="AZ12" s="196"/>
      <c r="BA12" s="12" t="s">
        <v>248</v>
      </c>
      <c r="BB12" s="12" t="s">
        <v>70</v>
      </c>
      <c r="BC12" s="13" t="s">
        <v>71</v>
      </c>
      <c r="BD12" s="10" t="s">
        <v>70</v>
      </c>
      <c r="BE12" s="200" t="s">
        <v>71</v>
      </c>
      <c r="BF12" s="42" t="s">
        <v>72</v>
      </c>
      <c r="BH12" s="196"/>
      <c r="BI12" s="12" t="s">
        <v>248</v>
      </c>
      <c r="BJ12" s="12" t="s">
        <v>70</v>
      </c>
      <c r="BK12" s="13" t="s">
        <v>71</v>
      </c>
      <c r="BL12" s="10" t="s">
        <v>70</v>
      </c>
      <c r="BM12" s="200" t="s">
        <v>71</v>
      </c>
      <c r="BN12" s="42" t="s">
        <v>72</v>
      </c>
      <c r="BP12" s="197"/>
      <c r="BQ12" s="12" t="s">
        <v>228</v>
      </c>
      <c r="BR12" s="12" t="s">
        <v>248</v>
      </c>
      <c r="BS12" s="12" t="s">
        <v>70</v>
      </c>
      <c r="BT12" s="13" t="s">
        <v>71</v>
      </c>
      <c r="BU12" s="74" t="str">
        <f>AJ$12</f>
        <v>BID</v>
      </c>
      <c r="BV12" s="75" t="str">
        <f>AK$12</f>
        <v>ASK</v>
      </c>
      <c r="BW12" s="42" t="s">
        <v>72</v>
      </c>
      <c r="BY12" s="197"/>
      <c r="BZ12" s="12" t="s">
        <v>228</v>
      </c>
      <c r="CA12" s="12" t="s">
        <v>248</v>
      </c>
      <c r="CB12" s="12" t="s">
        <v>70</v>
      </c>
      <c r="CC12" s="13" t="s">
        <v>71</v>
      </c>
      <c r="CD12" s="10" t="s">
        <v>70</v>
      </c>
      <c r="CE12" s="200" t="s">
        <v>71</v>
      </c>
      <c r="CF12" s="42" t="s">
        <v>72</v>
      </c>
      <c r="CG12" s="42" t="s">
        <v>84</v>
      </c>
    </row>
    <row r="13" spans="1:85">
      <c r="B13" s="401"/>
      <c r="C13" s="401"/>
      <c r="F13" s="96" t="s">
        <v>558</v>
      </c>
      <c r="H13" s="401"/>
      <c r="J13" s="414"/>
      <c r="Q13" s="168" t="s">
        <v>3</v>
      </c>
      <c r="R13" s="162" t="s">
        <v>504</v>
      </c>
      <c r="S13" s="167" t="s">
        <v>484</v>
      </c>
      <c r="T13" s="161">
        <f>IF(ISNUMBER(S13),S13,CHOOSE(MATCH(RIGHT(S13,1),{"D","W","M"},0),NextBusDay(today,LEFT(S13,LEN(S13)-1)),NextBusDay(ValueDate+7*LEFT(S13,LEN(S13)-1)),NextBusDay(EDATE(ValueDate,LEFT(S13,LEN(S13)-1)))))</f>
        <v>42695</v>
      </c>
      <c r="U13" s="287" t="b">
        <v>1</v>
      </c>
      <c r="V13" s="283" t="str">
        <f t="array" ref="V13:V78">RemoverFilter(IF(U13:U78,Q13:Q78,""),"","")</f>
        <v>O/N</v>
      </c>
      <c r="W13" s="226" t="str">
        <f t="array" ref="W13:W78">RemoverFilter(IF(U13:U80,R13:R80,""),"","")</f>
        <v>D</v>
      </c>
      <c r="X13" s="167" t="str">
        <f t="shared" ref="X13:X76" si="0">IF(LEN(W13)&gt;0,IF(W13&lt;&gt;W12,W13&amp;"1",W13&amp;MID(X12,2,3)+1),"")</f>
        <v>D1</v>
      </c>
      <c r="Y13" s="173">
        <f t="shared" ref="Y13:Y44" si="1">IF(LEN(W13)&gt;0,FIND(W13,InstrCodes),LEN(InstrCodes)+1)</f>
        <v>1</v>
      </c>
      <c r="Z13" s="177" t="str">
        <f t="shared" ref="Z13" si="2">CHOOSE(Y13,V13,TEXT(DataSTUB,"dd/mm/yy"),UPPER(TEXT(V13,"MMM YY")),V13,"")</f>
        <v>O/N</v>
      </c>
      <c r="AA13" s="161">
        <f t="array" ref="AA13:AA78">RemoverFilter(IF(U13:U80,T13:T80,""),"","")</f>
        <v>42695</v>
      </c>
      <c r="AB13" s="172" t="str">
        <f t="shared" ref="AB13" si="3">IF($W13="F",UPPER(TEXT(FutCode(V13),"MMM YY")),V13)</f>
        <v>O/N</v>
      </c>
      <c r="AC13" s="335"/>
      <c r="AD13" s="6"/>
      <c r="AE13" s="491" t="s">
        <v>23</v>
      </c>
      <c r="AF13" s="157" t="str">
        <f t="shared" ref="AF13:AF76" si="4">AE13</f>
        <v>S/N</v>
      </c>
      <c r="AG13" s="134" t="s">
        <v>3916</v>
      </c>
      <c r="AH13" s="70">
        <f>IF(RealTime,_xll.RtGet(RtChannel,$AG13,AH$12),"StaticData")</f>
        <v>-0.23560214500000001</v>
      </c>
      <c r="AI13" s="71">
        <f>IF(RealTime,_xll.RtGet(RtChannel,$AG13,AI$12),"StaticData")</f>
        <v>-0.23560214500000001</v>
      </c>
      <c r="AJ13" s="435">
        <f>IF(RealTime,AH13,static_data())</f>
        <v>-0.23560214500000001</v>
      </c>
      <c r="AK13" s="435">
        <f>IF(RealTime,AI13,static_data())</f>
        <v>-0.23560214500000001</v>
      </c>
      <c r="AL13" s="43">
        <f>IF(LEN(AE13)&gt;0,AVERAGE(AJ13:AK13),"")</f>
        <v>-0.23560214500000001</v>
      </c>
      <c r="AO13" s="226" t="s">
        <v>23</v>
      </c>
      <c r="AP13" s="226">
        <f t="shared" ref="AP13:AP76" si="5">IF(LEN(AO13)=0,"",IF(NOT(ISERROR(FIND(" ",AO13))),3,IF(NOT(ISERROR(FIND("-",AO13))),2,IF(NOT(ISERROR(FIND("Y",AO13))),4,1))))</f>
        <v>1</v>
      </c>
      <c r="AQ13" s="157" t="str">
        <f t="shared" ref="AQ13:AQ76" si="6">AO13</f>
        <v>S/N</v>
      </c>
      <c r="AR13" s="500" t="s">
        <v>4053</v>
      </c>
      <c r="AS13" s="70">
        <f>IF(RealTime,_xll.RtGet(RtChannel,$AR13,AS$12),"StaticData")</f>
        <v>-0.32242157800000004</v>
      </c>
      <c r="AT13" s="70">
        <f>IF(RealTime,_xll.RtGet(RtChannel,$AR13,AT$12),"StaticData")</f>
        <v>-0.32242157800000004</v>
      </c>
      <c r="AU13" s="537">
        <f>IF(RealTime,AS13,static_data())</f>
        <v>-0.32242157800000004</v>
      </c>
      <c r="AV13" s="542">
        <f>IF(RealTime,AT13,static_data())</f>
        <v>-0.32242157800000004</v>
      </c>
      <c r="AW13" s="538">
        <f t="shared" ref="AW13:AW76" si="7">IF(LEN(AO13)&gt;0,IF($AP13=3,100-AVERAGE(AU13:AV13),AVERAGE(AU13:AV13)),"")</f>
        <v>-0.32242157800000004</v>
      </c>
      <c r="AY13" s="491" t="s">
        <v>23</v>
      </c>
      <c r="AZ13" s="157" t="str">
        <f t="shared" ref="AZ13:AZ76" si="8">AY13</f>
        <v>S/N</v>
      </c>
      <c r="BA13" s="134" t="s">
        <v>3985</v>
      </c>
      <c r="BB13" s="70">
        <f>IF(RealTime,_xll.RtGet(RtChannel,$BA13,BB$12),"StaticData")</f>
        <v>-0.11261602800000001</v>
      </c>
      <c r="BC13" s="71">
        <f>IF(RealTime,_xll.RtGet(RtChannel,$BA13,BC$12),"StaticData")</f>
        <v>-0.11261602800000001</v>
      </c>
      <c r="BD13" s="435">
        <f>IF(RealTime,BB13,static_data())</f>
        <v>-0.11261602800000001</v>
      </c>
      <c r="BE13" s="435">
        <f>IF(RealTime,BC13,static_data())</f>
        <v>-0.11261602800000001</v>
      </c>
      <c r="BF13" s="43">
        <f t="shared" ref="BF13:BF76" si="9">IF(LEN($AY13)&gt;0,AVERAGE(BD13:BE13),"")</f>
        <v>-0.11261602800000001</v>
      </c>
      <c r="BH13" s="157" t="str">
        <f t="array" ref="BH13:BH78">CommonBucket</f>
        <v>O/N</v>
      </c>
      <c r="BI13" s="102" t="s">
        <v>245</v>
      </c>
      <c r="BJ13" s="70">
        <f>IF(RealTime,_xll.RtGet(RtChannel,$BI13,BJ$12),"StaticData")</f>
        <v>-0.36999989999999999</v>
      </c>
      <c r="BK13" s="71">
        <f>IF(RealTime,_xll.RtGet(RtChannel,$BI13,BK$12),"StaticData")</f>
        <v>-0.36999989999999999</v>
      </c>
      <c r="BL13" s="435">
        <f>IF(RealTime,BJ13,static_data())</f>
        <v>-0.36999989999999999</v>
      </c>
      <c r="BM13" s="435">
        <f>IF(RealTime,BK13,static_data())</f>
        <v>-0.36999989999999999</v>
      </c>
      <c r="BN13" s="43">
        <f t="shared" ref="BN13:BN76" si="10">IF(LEN($V13)&gt;0,IF($W13="F",100-AVERAGE(BL13:BM13),AVERAGE(BL13:BM13)),"")</f>
        <v>-0.36999989999999999</v>
      </c>
      <c r="BP13" s="136" t="s">
        <v>3</v>
      </c>
      <c r="BQ13" s="137" t="str">
        <f>BP13</f>
        <v>O/N</v>
      </c>
      <c r="BR13" s="102" t="s">
        <v>245</v>
      </c>
      <c r="BS13" s="70">
        <f>IF(RealTime,_xll.RtGet(RtChannel,$BR13,BS$12),"StaticData")</f>
        <v>-0.36999989999999999</v>
      </c>
      <c r="BT13" s="70">
        <f>IF(RealTime,_xll.RtGet(RtChannel,$BR13,BT$12),"StaticData")</f>
        <v>-0.36999989999999999</v>
      </c>
      <c r="BU13" s="537">
        <f>IF(RealTime,BS13,static_data())</f>
        <v>-0.36999989999999999</v>
      </c>
      <c r="BV13" s="537">
        <f>IF(RealTime,BT13,static_data())</f>
        <v>-0.36999989999999999</v>
      </c>
      <c r="BW13" s="43">
        <f>+AVERAGE(BU13:BV13)</f>
        <v>-0.36999989999999999</v>
      </c>
      <c r="BY13" s="491" t="s">
        <v>3</v>
      </c>
      <c r="BZ13" s="137" t="str">
        <f>BY13</f>
        <v>O/N</v>
      </c>
      <c r="CA13" s="102"/>
      <c r="CB13" s="70" t="str">
        <f>IF(RealTime,_xll.RtGet(RtChannel,$CA13,CD$12),"StaticData")</f>
        <v>#N/A No instrument defined.</v>
      </c>
      <c r="CC13" s="71" t="str">
        <f>IF(RealTime,_xll.RtGet(RtChannel,$CA13,CE$12),"StaticData")</f>
        <v>#N/A No instrument defined.</v>
      </c>
      <c r="CD13" s="435" t="str">
        <f>IF(RealTime,CB13,static_data())</f>
        <v>#N/A No instrument defined.</v>
      </c>
      <c r="CE13" s="435" t="str">
        <f>IF(RealTime,CC13,static_data())</f>
        <v>#N/A No instrument defined.</v>
      </c>
      <c r="CF13" s="43" t="e">
        <f>AVERAGE(CD13:CE13)</f>
        <v>#DIV/0!</v>
      </c>
      <c r="CG13" s="47" t="e">
        <f>(CF13-'reference set'!BA23)*100</f>
        <v>#DIV/0!</v>
      </c>
    </row>
    <row r="14" spans="1:85" ht="13.5" thickBot="1">
      <c r="B14" s="96" t="s">
        <v>191</v>
      </c>
      <c r="C14" s="96" t="s">
        <v>70</v>
      </c>
      <c r="D14" s="96" t="s">
        <v>71</v>
      </c>
      <c r="E14" s="96" t="s">
        <v>72</v>
      </c>
      <c r="F14" s="152" t="s">
        <v>481</v>
      </c>
      <c r="G14" s="276" t="s">
        <v>722</v>
      </c>
      <c r="H14" s="276" t="s">
        <v>723</v>
      </c>
      <c r="I14" s="276" t="s">
        <v>228</v>
      </c>
      <c r="J14" s="276" t="s">
        <v>194</v>
      </c>
      <c r="L14" s="575" t="s">
        <v>738</v>
      </c>
      <c r="M14" s="576"/>
      <c r="N14" s="576"/>
      <c r="O14" s="577"/>
      <c r="Q14" s="155" t="s">
        <v>4</v>
      </c>
      <c r="R14" s="102" t="s">
        <v>504</v>
      </c>
      <c r="S14" s="130" t="s">
        <v>485</v>
      </c>
      <c r="T14" s="163">
        <f>IF(ISNUMBER(S14),S14,CHOOSE(MATCH(RIGHT(S14,1),{"D","W","M"},0),NextBusDay(today,LEFT(S14,LEN(S14)-1)),NextBusDay(ValueDate+7*LEFT(S14,LEN(S14)-1)),NextBusDay(EDATE(ValueDate,LEFT(S14,LEN(S14)-1)))))</f>
        <v>42696</v>
      </c>
      <c r="U14" s="288" t="b">
        <v>1</v>
      </c>
      <c r="V14" s="284" t="str">
        <v>T/N</v>
      </c>
      <c r="W14" s="137" t="str">
        <v>D</v>
      </c>
      <c r="X14" s="130" t="str">
        <f t="shared" si="0"/>
        <v>D2</v>
      </c>
      <c r="Y14" s="173">
        <f t="shared" si="1"/>
        <v>1</v>
      </c>
      <c r="Z14" s="175" t="str">
        <f t="shared" ref="Z14:Z16" si="11">CHOOSE(Y14,V14,TEXT(DataSTUB,"dd/mm/yy"),UPPER(TEXT(V14,"MMM YY")),V14,"")</f>
        <v>T/N</v>
      </c>
      <c r="AA14" s="163">
        <v>42696</v>
      </c>
      <c r="AB14" s="173" t="str">
        <f t="shared" ref="AB14:AB16" si="12">IF($W14="F",UPPER(TEXT(FutCode(V14),"MMM YY")),V14)</f>
        <v>T/N</v>
      </c>
      <c r="AC14" s="335"/>
      <c r="AD14" s="6"/>
      <c r="AE14" s="198" t="s">
        <v>5</v>
      </c>
      <c r="AF14" s="158" t="str">
        <f t="shared" si="4"/>
        <v>1W</v>
      </c>
      <c r="AG14" s="134" t="s">
        <v>3917</v>
      </c>
      <c r="AH14" s="70">
        <f>IF(RealTime,_xll.RtGet(RtChannel,$AG14,AH$12),"StaticData")</f>
        <v>-0.23559751900000001</v>
      </c>
      <c r="AI14" s="71">
        <f>IF(RealTime,_xll.RtGet(RtChannel,$AG14,AI$12),"StaticData")</f>
        <v>-0.23559751900000001</v>
      </c>
      <c r="AJ14" s="435">
        <f>IF(RealTime,AH14,static_data())</f>
        <v>-0.23559751900000001</v>
      </c>
      <c r="AK14" s="435">
        <f>IF(RealTime,AI14,static_data())</f>
        <v>-0.23559751900000001</v>
      </c>
      <c r="AL14" s="43">
        <f t="shared" ref="AL14:AL77" si="13">IF(LEN(AE14)&gt;0,AVERAGE(AJ14:AK14),"")</f>
        <v>-0.23559751900000001</v>
      </c>
      <c r="AO14" s="137" t="s">
        <v>5</v>
      </c>
      <c r="AP14" s="137">
        <f t="shared" si="5"/>
        <v>1</v>
      </c>
      <c r="AQ14" s="158" t="str">
        <f t="shared" si="6"/>
        <v>1W</v>
      </c>
      <c r="AR14" s="431" t="s">
        <v>4054</v>
      </c>
      <c r="AS14" s="70">
        <f>IF(RealTime,_xll.RtGet(RtChannel,$AR14,AS$12),"StaticData")</f>
        <v>-0.32241291599999999</v>
      </c>
      <c r="AT14" s="70">
        <f>IF(RealTime,_xll.RtGet(RtChannel,$AR14,AT$12),"StaticData")</f>
        <v>-0.32241291599999999</v>
      </c>
      <c r="AU14" s="436">
        <f>IF(RealTime,AS14,static_data())</f>
        <v>-0.32241291599999999</v>
      </c>
      <c r="AV14" s="435">
        <f>IF(RealTime,AT14,static_data())</f>
        <v>-0.32241291599999999</v>
      </c>
      <c r="AW14" s="43">
        <f t="shared" si="7"/>
        <v>-0.32241291599999999</v>
      </c>
      <c r="AY14" s="198" t="s">
        <v>5</v>
      </c>
      <c r="AZ14" s="158" t="str">
        <f t="shared" si="8"/>
        <v>1W</v>
      </c>
      <c r="BA14" s="134" t="s">
        <v>3986</v>
      </c>
      <c r="BB14" s="70">
        <f>IF(RealTime,_xll.RtGet(RtChannel,$BA14,BB$12),"StaticData")</f>
        <v>-0.11261497100000001</v>
      </c>
      <c r="BC14" s="71">
        <f>IF(RealTime,_xll.RtGet(RtChannel,$BA14,BC$12),"StaticData")</f>
        <v>-0.11261497100000001</v>
      </c>
      <c r="BD14" s="435">
        <f>IF(RealTime,BB14,static_data())</f>
        <v>-0.11261497100000001</v>
      </c>
      <c r="BE14" s="435">
        <f>IF(RealTime,BC14,static_data())</f>
        <v>-0.11261497100000001</v>
      </c>
      <c r="BF14" s="43">
        <f t="shared" si="9"/>
        <v>-0.11261497100000001</v>
      </c>
      <c r="BH14" s="158" t="str">
        <v>T/N</v>
      </c>
      <c r="BI14" s="102" t="s">
        <v>246</v>
      </c>
      <c r="BJ14" s="70">
        <f>IF(RealTime,_xll.RtGet(RtChannel,$BI14,BJ$12),"StaticData")</f>
        <v>-0.37</v>
      </c>
      <c r="BK14" s="71">
        <f>IF(RealTime,_xll.RtGet(RtChannel,$BI14,BK$12),"StaticData")</f>
        <v>-0.37</v>
      </c>
      <c r="BL14" s="435">
        <f>IF(RealTime,BJ14,static_data())</f>
        <v>-0.37</v>
      </c>
      <c r="BM14" s="435">
        <f>IF(RealTime,BK14,static_data())</f>
        <v>-0.37</v>
      </c>
      <c r="BN14" s="43">
        <f t="shared" si="10"/>
        <v>-0.37</v>
      </c>
      <c r="BP14" s="136" t="s">
        <v>4</v>
      </c>
      <c r="BQ14" s="137" t="str">
        <f t="shared" ref="BQ14:BQ74" si="14">BP14</f>
        <v>T/N</v>
      </c>
      <c r="BR14" s="102" t="s">
        <v>246</v>
      </c>
      <c r="BS14" s="70">
        <f>IF(RealTime,_xll.RtGet(RtChannel,$BR14,BS$12),"StaticData")</f>
        <v>-0.37</v>
      </c>
      <c r="BT14" s="70">
        <f>IF(RealTime,_xll.RtGet(RtChannel,$BR14,BT$12),"StaticData")</f>
        <v>-0.37</v>
      </c>
      <c r="BU14" s="436">
        <f>IF(RealTime,BS14,static_data())</f>
        <v>-0.37</v>
      </c>
      <c r="BV14" s="543">
        <f>IF(RealTime,BT14,static_data())</f>
        <v>-0.37</v>
      </c>
      <c r="BW14" s="43">
        <f>+AVERAGE(BU14:BV14)</f>
        <v>-0.37</v>
      </c>
      <c r="BY14" s="198" t="s">
        <v>4</v>
      </c>
      <c r="BZ14" s="137" t="str">
        <f t="shared" ref="BZ14:BZ77" si="15">BY14</f>
        <v>T/N</v>
      </c>
      <c r="CA14" s="102"/>
      <c r="CB14" s="70" t="str">
        <f>IF(RealTime,_xll.RtGet(RtChannel,$CA14,CD$12),"StaticData")</f>
        <v>#N/A No instrument defined.</v>
      </c>
      <c r="CC14" s="71" t="str">
        <f>IF(RealTime,_xll.RtGet(RtChannel,$CA14,CE$12),"StaticData")</f>
        <v>#N/A No instrument defined.</v>
      </c>
      <c r="CD14" s="435" t="str">
        <f>IF(RealTime,CB14,static_data())</f>
        <v>#N/A No instrument defined.</v>
      </c>
      <c r="CE14" s="435" t="str">
        <f>IF(RealTime,CC14,static_data())</f>
        <v>#N/A No instrument defined.</v>
      </c>
      <c r="CF14" s="43" t="e">
        <f t="shared" ref="CF14:CF77" si="16">AVERAGE(CD14:CE14)</f>
        <v>#DIV/0!</v>
      </c>
      <c r="CG14" s="47" t="e">
        <f>(CF14-'reference set'!BA24)*100</f>
        <v>#DIV/0!</v>
      </c>
    </row>
    <row r="15" spans="1:85">
      <c r="A15" s="331">
        <v>1</v>
      </c>
      <c r="B15" s="102" t="s">
        <v>1028</v>
      </c>
      <c r="C15" s="127">
        <v>100.30500000000001</v>
      </c>
      <c r="D15" s="127">
        <v>100.31</v>
      </c>
      <c r="E15" s="131">
        <f>IF(OR(C15=0,D15=0),NA(),AVERAGE(C15,D15))</f>
        <v>100.3075</v>
      </c>
      <c r="F15" s="222">
        <v>42690</v>
      </c>
      <c r="G15" s="275" t="str">
        <f t="shared" ref="G15:G34" si="17">RIGHT(B15,2)</f>
        <v>Z6</v>
      </c>
      <c r="H15" s="124" t="str">
        <f>IF(LEN(B15)&gt;0,UPPER(TEXT(F15,"MMM YY")),"")</f>
        <v>NOV 16</v>
      </c>
      <c r="I15" s="336" t="str">
        <f t="shared" ref="I15:I34" si="18">IF(LEN(B15)&gt;0,$I$9&amp;H15,"")</f>
        <v>LIF EURIBOR 3M;NOV 16</v>
      </c>
      <c r="J15" s="669">
        <f>'eur disaggregated'!K94</f>
        <v>0</v>
      </c>
      <c r="L15" s="336" t="s">
        <v>206</v>
      </c>
      <c r="M15" s="498">
        <v>5</v>
      </c>
      <c r="N15" s="96"/>
      <c r="O15" s="580" t="s">
        <v>160</v>
      </c>
      <c r="Q15" s="155" t="s">
        <v>23</v>
      </c>
      <c r="R15" s="102" t="s">
        <v>504</v>
      </c>
      <c r="S15" s="130" t="s">
        <v>486</v>
      </c>
      <c r="T15" s="163">
        <f>IF(ISNUMBER(S15),S15,CHOOSE(MATCH(RIGHT(S15,1),{"D","W","M"},0),NextBusDay(today,LEFT(S15,LEN(S15)-1)),NextBusDay(ValueDate+7*LEFT(S15,LEN(S15)-1)),NextBusDay(EDATE(ValueDate,LEFT(S15,LEN(S15)-1)))))</f>
        <v>42697</v>
      </c>
      <c r="U15" s="288" t="b">
        <v>1</v>
      </c>
      <c r="V15" s="284" t="str">
        <v>S/N</v>
      </c>
      <c r="W15" s="137" t="str">
        <v>D</v>
      </c>
      <c r="X15" s="130" t="str">
        <f t="shared" si="0"/>
        <v>D3</v>
      </c>
      <c r="Y15" s="173">
        <f t="shared" si="1"/>
        <v>1</v>
      </c>
      <c r="Z15" s="175" t="str">
        <f t="shared" si="11"/>
        <v>S/N</v>
      </c>
      <c r="AA15" s="163">
        <v>42697</v>
      </c>
      <c r="AB15" s="173" t="str">
        <f t="shared" si="12"/>
        <v>S/N</v>
      </c>
      <c r="AC15" s="335"/>
      <c r="AD15" s="6"/>
      <c r="AE15" s="198" t="s">
        <v>6</v>
      </c>
      <c r="AF15" s="158" t="str">
        <f t="shared" si="4"/>
        <v>2W</v>
      </c>
      <c r="AG15" s="134" t="s">
        <v>3918</v>
      </c>
      <c r="AH15" s="70">
        <f>IF(RealTime,_xll.RtGet(RtChannel,$AG15,AH$12),"StaticData")</f>
        <v>-0.23327804700000002</v>
      </c>
      <c r="AI15" s="71">
        <f>IF(RealTime,_xll.RtGet(RtChannel,$AG15,AI$12),"StaticData")</f>
        <v>-0.23327804700000002</v>
      </c>
      <c r="AJ15" s="435">
        <f>IF(RealTime,AH15,static_data())</f>
        <v>-0.23327804700000002</v>
      </c>
      <c r="AK15" s="435">
        <f>IF(RealTime,AI15,static_data())</f>
        <v>-0.23327804700000002</v>
      </c>
      <c r="AL15" s="43">
        <f t="shared" si="13"/>
        <v>-0.23327804700000002</v>
      </c>
      <c r="AO15" s="137" t="s">
        <v>6</v>
      </c>
      <c r="AP15" s="137">
        <f t="shared" si="5"/>
        <v>1</v>
      </c>
      <c r="AQ15" s="158" t="str">
        <f t="shared" si="6"/>
        <v>2W</v>
      </c>
      <c r="AR15" s="134" t="str">
        <f>CHOOSE($AP15,AR$3&amp;$AQ15&amp;AS$3,AR$4&amp;strrep(strrep(AQ15,"M",""),"-","X")&amp;AS$4,AR$5&amp;UPPER(FutCode2(AQ15))&amp;AS$5,AR$6&amp;$AQ15&amp;AS$6,"")</f>
        <v>EUR3MDP2W=</v>
      </c>
      <c r="AS15" s="70">
        <f>IF(RealTime,_xll.RtGet(RtChannel,$AR15,AS$12),"StaticData")</f>
        <v>-0.320088812</v>
      </c>
      <c r="AT15" s="70">
        <f>IF(RealTime,_xll.RtGet(RtChannel,$AR15,AT$12),"StaticData")</f>
        <v>-0.320088812</v>
      </c>
      <c r="AU15" s="436">
        <f>IF(RealTime,AS15,static_data())</f>
        <v>-0.320088812</v>
      </c>
      <c r="AV15" s="435">
        <f>IF(RealTime,AT15,static_data())</f>
        <v>-0.320088812</v>
      </c>
      <c r="AW15" s="43">
        <f t="shared" si="7"/>
        <v>-0.320088812</v>
      </c>
      <c r="AY15" s="198" t="s">
        <v>6</v>
      </c>
      <c r="AZ15" s="158" t="str">
        <f t="shared" si="8"/>
        <v>2W</v>
      </c>
      <c r="BA15" s="134" t="s">
        <v>3987</v>
      </c>
      <c r="BB15" s="70">
        <f>IF(RealTime,_xll.RtGet(RtChannel,$BA15,BB$12),"StaticData")</f>
        <v>-0.112613738</v>
      </c>
      <c r="BC15" s="71">
        <f>IF(RealTime,_xll.RtGet(RtChannel,$BA15,BC$12),"StaticData")</f>
        <v>-0.112613738</v>
      </c>
      <c r="BD15" s="435">
        <f>IF(RealTime,BB15,static_data())</f>
        <v>-0.112613738</v>
      </c>
      <c r="BE15" s="435">
        <f>IF(RealTime,BC15,static_data())</f>
        <v>-0.112613738</v>
      </c>
      <c r="BF15" s="43">
        <f t="shared" si="9"/>
        <v>-0.112613738</v>
      </c>
      <c r="BH15" s="158" t="str">
        <v>S/N</v>
      </c>
      <c r="BI15" s="102" t="s">
        <v>252</v>
      </c>
      <c r="BJ15" s="70">
        <f>IF(RealTime,_xll.RtGet(RtChannel,$BI15,BJ$12),"StaticData")</f>
        <v>-0.37</v>
      </c>
      <c r="BK15" s="71">
        <f>IF(RealTime,_xll.RtGet(RtChannel,$BI15,BK$12),"StaticData")</f>
        <v>-0.37</v>
      </c>
      <c r="BL15" s="435">
        <f>IF(RealTime,BJ15,static_data())</f>
        <v>-0.37</v>
      </c>
      <c r="BM15" s="435">
        <f>IF(RealTime,BK15,static_data())</f>
        <v>-0.37</v>
      </c>
      <c r="BN15" s="43">
        <f t="shared" si="10"/>
        <v>-0.37</v>
      </c>
      <c r="BP15" s="136" t="s">
        <v>23</v>
      </c>
      <c r="BQ15" s="137" t="str">
        <f t="shared" si="14"/>
        <v>S/N</v>
      </c>
      <c r="BR15" s="102" t="s">
        <v>252</v>
      </c>
      <c r="BS15" s="70">
        <f>IF(RealTime,_xll.RtGet(RtChannel,$BR15,BS$12),"StaticData")</f>
        <v>-0.37</v>
      </c>
      <c r="BT15" s="70">
        <f>IF(RealTime,_xll.RtGet(RtChannel,$BR15,BT$12),"StaticData")</f>
        <v>-0.37</v>
      </c>
      <c r="BU15" s="436">
        <f>IF(RealTime,BS15,static_data())</f>
        <v>-0.37</v>
      </c>
      <c r="BV15" s="543">
        <f>IF(RealTime,BT15,static_data())</f>
        <v>-0.37</v>
      </c>
      <c r="BW15" s="43">
        <f>+AVERAGE(BU15:BV15)</f>
        <v>-0.37</v>
      </c>
      <c r="BY15" s="198" t="s">
        <v>23</v>
      </c>
      <c r="BZ15" s="137" t="str">
        <f t="shared" si="15"/>
        <v>S/N</v>
      </c>
      <c r="CA15" s="102" t="s">
        <v>4979</v>
      </c>
      <c r="CB15" s="70">
        <f>IF(RealTime,_xll.RtGet(RtChannel,$CA15,CD$12),"StaticData")</f>
        <v>-0.370111415</v>
      </c>
      <c r="CC15" s="71">
        <f>IF(RealTime,_xll.RtGet(RtChannel,$CA15,CE$12),"StaticData")</f>
        <v>-0.370111415</v>
      </c>
      <c r="CD15" s="435">
        <f>IF(RealTime,CB15,static_data())</f>
        <v>-0.370111415</v>
      </c>
      <c r="CE15" s="435">
        <f>IF(RealTime,CC15,static_data())</f>
        <v>-0.370111415</v>
      </c>
      <c r="CF15" s="43">
        <f t="shared" si="16"/>
        <v>-0.370111415</v>
      </c>
      <c r="CG15" s="47">
        <f>(CF15-'reference set'!BA25)*100</f>
        <v>-0.46039929999999729</v>
      </c>
    </row>
    <row r="16" spans="1:85" ht="13.5" thickBot="1">
      <c r="A16" s="331">
        <v>2</v>
      </c>
      <c r="B16" s="102" t="s">
        <v>5099</v>
      </c>
      <c r="C16" s="128">
        <v>100.3</v>
      </c>
      <c r="D16" s="128">
        <v>100.31</v>
      </c>
      <c r="E16" s="132">
        <f t="shared" ref="E16:E34" si="19">IF(OR(C16=0,D16=0),NA(),AVERAGE(C16,D16))</f>
        <v>100.30500000000001</v>
      </c>
      <c r="F16" s="222">
        <v>42725</v>
      </c>
      <c r="G16" s="146" t="str">
        <f t="shared" si="17"/>
        <v>F7</v>
      </c>
      <c r="H16" s="125" t="str">
        <f t="shared" ref="H16:H34" si="20">IF(LEN(B16)&gt;0,UPPER(TEXT(F16,"MMM YY")),"")</f>
        <v>DEC 16</v>
      </c>
      <c r="I16" s="336" t="str">
        <f t="shared" si="18"/>
        <v>LIF EURIBOR 3M;DEC 16</v>
      </c>
      <c r="J16" s="669">
        <f>'eur disaggregated'!K95</f>
        <v>0</v>
      </c>
      <c r="L16" s="268" t="s">
        <v>699</v>
      </c>
      <c r="M16" s="98" t="s">
        <v>158</v>
      </c>
      <c r="N16" s="96" t="s">
        <v>228</v>
      </c>
      <c r="O16" s="581"/>
      <c r="Q16" s="155" t="s">
        <v>5</v>
      </c>
      <c r="R16" s="102" t="s">
        <v>504</v>
      </c>
      <c r="S16" s="130" t="s">
        <v>5</v>
      </c>
      <c r="T16" s="163">
        <f>IF(ISNUMBER(S16),S16,CHOOSE(MATCH(RIGHT(S16,1),{"D","W","M"},0),NextBusDay(today,LEFT(S16,LEN(S16)-1)),NextBusDay(ValueDate+7*LEFT(S16,LEN(S16)-1)),NextBusDay(EDATE(ValueDate,LEFT(S16,LEN(S16)-1)))))</f>
        <v>42703</v>
      </c>
      <c r="U16" s="288" t="b">
        <v>1</v>
      </c>
      <c r="V16" s="284" t="str">
        <v>1W</v>
      </c>
      <c r="W16" s="137" t="str">
        <v>D</v>
      </c>
      <c r="X16" s="130" t="str">
        <f t="shared" si="0"/>
        <v>D4</v>
      </c>
      <c r="Y16" s="173">
        <f t="shared" si="1"/>
        <v>1</v>
      </c>
      <c r="Z16" s="175" t="str">
        <f t="shared" si="11"/>
        <v>1W</v>
      </c>
      <c r="AA16" s="163">
        <v>42703</v>
      </c>
      <c r="AB16" s="173" t="str">
        <f t="shared" si="12"/>
        <v>1W</v>
      </c>
      <c r="AC16" s="335"/>
      <c r="AD16" s="6"/>
      <c r="AE16" s="198" t="s">
        <v>24</v>
      </c>
      <c r="AF16" s="158" t="str">
        <f t="shared" si="4"/>
        <v>3W</v>
      </c>
      <c r="AG16" s="134" t="s">
        <v>3919</v>
      </c>
      <c r="AH16" s="70">
        <f>IF(RealTime,_xll.RtGet(RtChannel,$AG16,AH$12),"StaticData")</f>
        <v>-0.23404408000000002</v>
      </c>
      <c r="AI16" s="71">
        <f>IF(RealTime,_xll.RtGet(RtChannel,$AG16,AI$12),"StaticData")</f>
        <v>-0.23404408000000002</v>
      </c>
      <c r="AJ16" s="435">
        <f>IF(RealTime,AH16,static_data())</f>
        <v>-0.23404408000000002</v>
      </c>
      <c r="AK16" s="435">
        <f>IF(RealTime,AI16,static_data())</f>
        <v>-0.23404408000000002</v>
      </c>
      <c r="AL16" s="43">
        <f t="shared" si="13"/>
        <v>-0.23404408000000002</v>
      </c>
      <c r="AO16" s="137" t="s">
        <v>24</v>
      </c>
      <c r="AP16" s="137">
        <f t="shared" si="5"/>
        <v>1</v>
      </c>
      <c r="AQ16" s="158" t="str">
        <f t="shared" si="6"/>
        <v>3W</v>
      </c>
      <c r="AR16" s="134" t="str">
        <f>CHOOSE($AP16,AR$3&amp;$AQ16&amp;AS$3,AR$4&amp;strrep(strrep(AQ16,"M",""),"-","X")&amp;AS$4,AR$5&amp;UPPER(FutCode2(AQ16))&amp;AS$5,AR$6&amp;$AQ16&amp;AS$6,"")</f>
        <v>EUR3MDP3W=</v>
      </c>
      <c r="AS16" s="70">
        <f>IF(RealTime,_xll.RtGet(RtChannel,$AR16,AS$12),"StaticData")</f>
        <v>-0.32085013500000004</v>
      </c>
      <c r="AT16" s="70">
        <f>IF(RealTime,_xll.RtGet(RtChannel,$AR16,AT$12),"StaticData")</f>
        <v>-0.32085013500000004</v>
      </c>
      <c r="AU16" s="436">
        <f>IF(RealTime,AS16,static_data())</f>
        <v>-0.32085013500000004</v>
      </c>
      <c r="AV16" s="435">
        <f>IF(RealTime,AT16,static_data())</f>
        <v>-0.32085013500000004</v>
      </c>
      <c r="AW16" s="43">
        <f t="shared" si="7"/>
        <v>-0.32085013500000004</v>
      </c>
      <c r="AY16" s="198" t="s">
        <v>24</v>
      </c>
      <c r="AZ16" s="158" t="str">
        <f t="shared" si="8"/>
        <v>3W</v>
      </c>
      <c r="BA16" s="134" t="s">
        <v>3988</v>
      </c>
      <c r="BB16" s="70">
        <f>IF(RealTime,_xll.RtGet(RtChannel,$BA16,BB$12),"StaticData")</f>
        <v>-0.112612505</v>
      </c>
      <c r="BC16" s="71">
        <f>IF(RealTime,_xll.RtGet(RtChannel,$BA16,BC$12),"StaticData")</f>
        <v>-0.112612505</v>
      </c>
      <c r="BD16" s="435">
        <f>IF(RealTime,BB16,static_data())</f>
        <v>-0.112612505</v>
      </c>
      <c r="BE16" s="435">
        <f>IF(RealTime,BC16,static_data())</f>
        <v>-0.112612505</v>
      </c>
      <c r="BF16" s="43">
        <f t="shared" si="9"/>
        <v>-0.112612505</v>
      </c>
      <c r="BH16" s="158" t="str">
        <v>1W</v>
      </c>
      <c r="BI16" s="174" t="s">
        <v>253</v>
      </c>
      <c r="BJ16" s="70">
        <f>IF(RealTime,_xll.RtGet(RtChannel,$BI16,BJ$12),"StaticData")</f>
        <v>-0.37</v>
      </c>
      <c r="BK16" s="71">
        <f>IF(RealTime,_xll.RtGet(RtChannel,$BI16,BK$12),"StaticData")</f>
        <v>-0.37</v>
      </c>
      <c r="BL16" s="435">
        <f>IF(RealTime,BJ16,static_data())</f>
        <v>-0.37</v>
      </c>
      <c r="BM16" s="435">
        <f>IF(RealTime,BK16,static_data())</f>
        <v>-0.37</v>
      </c>
      <c r="BN16" s="43">
        <f t="shared" si="10"/>
        <v>-0.37</v>
      </c>
      <c r="BP16" s="136" t="s">
        <v>5</v>
      </c>
      <c r="BQ16" s="137" t="str">
        <f t="shared" si="14"/>
        <v>1W</v>
      </c>
      <c r="BR16" s="102" t="s">
        <v>4978</v>
      </c>
      <c r="BS16" s="70">
        <f>IF(RealTime,_xll.RtGet(RtChannel,$BR16,BS$12),"StaticData")</f>
        <v>-0.34900000000000003</v>
      </c>
      <c r="BT16" s="70">
        <f>IF(RealTime,_xll.RtGet(RtChannel,$BR16,BT$12),"StaticData")</f>
        <v>-0.34900000000000003</v>
      </c>
      <c r="BU16" s="436">
        <f>IF(RealTime,BS16,static_data())</f>
        <v>-0.34900000000000003</v>
      </c>
      <c r="BV16" s="543">
        <f>IF(RealTime,BT16,static_data())</f>
        <v>-0.34900000000000003</v>
      </c>
      <c r="BW16" s="43">
        <f t="shared" ref="BW16:BW41" si="21">+AVERAGE(BU16:BV16)</f>
        <v>-0.34900000000000003</v>
      </c>
      <c r="BY16" s="198" t="s">
        <v>5</v>
      </c>
      <c r="BZ16" s="137" t="str">
        <f t="shared" si="15"/>
        <v>1W</v>
      </c>
      <c r="CA16" s="308" t="s">
        <v>4980</v>
      </c>
      <c r="CB16" s="70">
        <f>IF(RealTime,_xll.RtGet(RtChannel,$CA16,CD$12),"StaticData")</f>
        <v>-0.37010000000000004</v>
      </c>
      <c r="CC16" s="71">
        <f>IF(RealTime,_xll.RtGet(RtChannel,$CA16,CE$12),"StaticData")</f>
        <v>-0.37010000000000004</v>
      </c>
      <c r="CD16" s="435">
        <f>IF(RealTime,CB16,static_data())</f>
        <v>-0.37010000000000004</v>
      </c>
      <c r="CE16" s="435">
        <f>IF(RealTime,CC16,static_data())</f>
        <v>-0.37010000000000004</v>
      </c>
      <c r="CF16" s="43">
        <f t="shared" si="16"/>
        <v>-0.37010000000000004</v>
      </c>
      <c r="CG16" s="47">
        <f>(CF16-'reference set'!BA26)*100</f>
        <v>-0.46000000000000485</v>
      </c>
    </row>
    <row r="17" spans="1:85" ht="13.5" thickBot="1">
      <c r="A17" s="331">
        <v>3</v>
      </c>
      <c r="B17" s="102" t="s">
        <v>5103</v>
      </c>
      <c r="C17" s="128">
        <v>0</v>
      </c>
      <c r="D17" s="128">
        <v>0</v>
      </c>
      <c r="E17" s="132" t="e">
        <f t="shared" si="19"/>
        <v>#N/A</v>
      </c>
      <c r="F17" s="222">
        <v>42753</v>
      </c>
      <c r="G17" s="146" t="str">
        <f t="shared" si="17"/>
        <v>G7</v>
      </c>
      <c r="H17" s="125" t="str">
        <f t="shared" si="20"/>
        <v>JAN 17</v>
      </c>
      <c r="I17" s="336" t="str">
        <f t="shared" si="18"/>
        <v>LIF EURIBOR 3M;JAN 17</v>
      </c>
      <c r="J17" s="669">
        <f>'eur disaggregated'!K96</f>
        <v>0</v>
      </c>
      <c r="L17" s="264" t="s">
        <v>1066</v>
      </c>
      <c r="M17" s="368">
        <f>IF(LEN(L17)&gt;0,ithMonthsWeekday(DATE("20" &amp; RIGHT(L17,2),EngMonthNum(LEFT(L17,3)),1),3,3),"")</f>
        <v>42907</v>
      </c>
      <c r="N17" s="206" t="str">
        <f t="shared" ref="N17:N22" si="22">FutCode(M17)</f>
        <v>M7</v>
      </c>
      <c r="O17" s="141">
        <v>0</v>
      </c>
      <c r="Q17" s="155" t="s">
        <v>6</v>
      </c>
      <c r="R17" s="102" t="s">
        <v>504</v>
      </c>
      <c r="S17" s="130" t="s">
        <v>6</v>
      </c>
      <c r="T17" s="163">
        <f>IF(ISNUMBER(S17),S17,CHOOSE(MATCH(RIGHT(S17,1),{"D","W","M"},0),NextBusDay(today,LEFT(S17,LEN(S17)-1)),NextBusDay(ValueDate+7*LEFT(S17,LEN(S17)-1)),NextBusDay(EDATE(ValueDate,LEFT(S17,LEN(S17)-1)))))</f>
        <v>42710</v>
      </c>
      <c r="U17" s="288" t="b">
        <v>1</v>
      </c>
      <c r="V17" s="284" t="str">
        <v>2W</v>
      </c>
      <c r="W17" s="137" t="str">
        <v>D</v>
      </c>
      <c r="X17" s="130" t="str">
        <f t="shared" si="0"/>
        <v>D5</v>
      </c>
      <c r="Y17" s="173">
        <f t="shared" si="1"/>
        <v>1</v>
      </c>
      <c r="Z17" s="175" t="str">
        <f t="shared" ref="Z17:Z44" si="23">CHOOSE(Y17,V17,TEXT(DataSTUB,"dd/mm/yy"),UPPER(TEXT(V17,"MMM YY")),V17,"")</f>
        <v>2W</v>
      </c>
      <c r="AA17" s="163">
        <v>42710</v>
      </c>
      <c r="AB17" s="173" t="str">
        <f t="shared" ref="AB17:AB44" si="24">IF($W17="F",UPPER(TEXT(FutCode(V17),"MMM YY")),V17)</f>
        <v>2W</v>
      </c>
      <c r="AC17" s="335"/>
      <c r="AD17" s="6"/>
      <c r="AE17" s="198" t="s">
        <v>7</v>
      </c>
      <c r="AF17" s="158" t="str">
        <f t="shared" si="4"/>
        <v>1M</v>
      </c>
      <c r="AG17" s="134" t="s">
        <v>3920</v>
      </c>
      <c r="AH17" s="70">
        <f>IF(RealTime,_xll.RtGet(RtChannel,$AG17,AH$12),"StaticData")</f>
        <v>-0.23450000000000001</v>
      </c>
      <c r="AI17" s="71">
        <f>IF(RealTime,_xll.RtGet(RtChannel,$AG17,AI$12),"StaticData")</f>
        <v>-0.23450000000000001</v>
      </c>
      <c r="AJ17" s="435">
        <f>IF(RealTime,AH17,static_data())</f>
        <v>-0.23450000000000001</v>
      </c>
      <c r="AK17" s="435">
        <f>IF(RealTime,AI17,static_data())</f>
        <v>-0.23450000000000001</v>
      </c>
      <c r="AL17" s="43">
        <f t="shared" si="13"/>
        <v>-0.23450000000000001</v>
      </c>
      <c r="AO17" s="137" t="s">
        <v>7</v>
      </c>
      <c r="AP17" s="137">
        <f t="shared" si="5"/>
        <v>1</v>
      </c>
      <c r="AQ17" s="158" t="str">
        <f t="shared" si="6"/>
        <v>1M</v>
      </c>
      <c r="AR17" s="134" t="str">
        <f>CHOOSE($AP17,AR$3&amp;$AQ17&amp;AS$3,AR$4&amp;strrep(strrep(AQ17,"M",""),"-","X")&amp;AS$4,AR$5&amp;UPPER(FutCode2(AQ17))&amp;AS$5,AR$6&amp;$AQ17&amp;AS$6,"")</f>
        <v>EUR3MDP1M=</v>
      </c>
      <c r="AS17" s="70">
        <f>IF(RealTime,_xll.RtGet(RtChannel,$AR17,AS$12),"StaticData")</f>
        <v>-0.32130000000000003</v>
      </c>
      <c r="AT17" s="70">
        <f>IF(RealTime,_xll.RtGet(RtChannel,$AR17,AT$12),"StaticData")</f>
        <v>-0.32130000000000003</v>
      </c>
      <c r="AU17" s="436">
        <f>IF(RealTime,AS17,static_data())</f>
        <v>-0.32130000000000003</v>
      </c>
      <c r="AV17" s="435">
        <f>IF(RealTime,AT17,static_data())</f>
        <v>-0.32130000000000003</v>
      </c>
      <c r="AW17" s="43">
        <f t="shared" si="7"/>
        <v>-0.32130000000000003</v>
      </c>
      <c r="AY17" s="198" t="s">
        <v>7</v>
      </c>
      <c r="AZ17" s="158" t="str">
        <f t="shared" si="8"/>
        <v>1M</v>
      </c>
      <c r="BA17" s="134" t="s">
        <v>3989</v>
      </c>
      <c r="BB17" s="70">
        <f>IF(RealTime,_xll.RtGet(RtChannel,$BA17,BB$12),"StaticData")</f>
        <v>-0.11261092</v>
      </c>
      <c r="BC17" s="71">
        <f>IF(RealTime,_xll.RtGet(RtChannel,$BA17,BC$12),"StaticData")</f>
        <v>-0.11261092</v>
      </c>
      <c r="BD17" s="435">
        <f>IF(RealTime,BB17,static_data())</f>
        <v>-0.11261092</v>
      </c>
      <c r="BE17" s="435">
        <f>IF(RealTime,BC17,static_data())</f>
        <v>-0.11261092</v>
      </c>
      <c r="BF17" s="43">
        <f t="shared" si="9"/>
        <v>-0.11261092</v>
      </c>
      <c r="BH17" s="158" t="str">
        <v>2W</v>
      </c>
      <c r="BI17" s="134" t="str">
        <f t="shared" ref="BI17:BI78" si="25">CHOOSE($Y17,BI$3&amp;$AB17&amp;BJ$3,BI$4&amp;"STUB"&amp;BJ$4,BI$5&amp;$AB17&amp;BJ$5,BI$6&amp;$AB17&amp;BJ$6,"")</f>
        <v>EURX2WD=</v>
      </c>
      <c r="BJ17" s="70">
        <f>IF(RealTime,_xll.RtGet(RtChannel,$BI17,BJ$12),"StaticData")</f>
        <v>-0.37</v>
      </c>
      <c r="BK17" s="71">
        <f>IF(RealTime,_xll.RtGet(RtChannel,$BI17,BK$12),"StaticData")</f>
        <v>-0.37</v>
      </c>
      <c r="BL17" s="435">
        <f>IF(RealTime,BJ17,static_data())</f>
        <v>-0.37</v>
      </c>
      <c r="BM17" s="435">
        <f>IF(RealTime,BK17,static_data())</f>
        <v>-0.37</v>
      </c>
      <c r="BN17" s="43">
        <f t="shared" si="10"/>
        <v>-0.37</v>
      </c>
      <c r="BP17" s="136" t="s">
        <v>6</v>
      </c>
      <c r="BQ17" s="137" t="str">
        <f t="shared" si="14"/>
        <v>2W</v>
      </c>
      <c r="BR17" s="134" t="str">
        <f t="shared" ref="BR17:BR74" si="26">"EURONOIS"&amp;BP17&amp;"="</f>
        <v>EURONOIS2W=</v>
      </c>
      <c r="BS17" s="70">
        <f>IF(RealTime,_xll.RtGet(RtChannel,$BR17,BS$12),"StaticData")</f>
        <v>-0.34700000000000003</v>
      </c>
      <c r="BT17" s="70">
        <f>IF(RealTime,_xll.RtGet(RtChannel,$BR17,BT$12),"StaticData")</f>
        <v>-0.34700000000000003</v>
      </c>
      <c r="BU17" s="436">
        <f>IF(RealTime,BS17,static_data())</f>
        <v>-0.34700000000000003</v>
      </c>
      <c r="BV17" s="543">
        <f>IF(RealTime,BT17,static_data())</f>
        <v>-0.34700000000000003</v>
      </c>
      <c r="BW17" s="43">
        <f t="shared" si="21"/>
        <v>-0.34700000000000003</v>
      </c>
      <c r="BY17" s="198" t="s">
        <v>6</v>
      </c>
      <c r="BZ17" s="137" t="str">
        <f t="shared" si="15"/>
        <v>2W</v>
      </c>
      <c r="CA17" s="134" t="str">
        <f t="shared" ref="CA17:CA19" si="27">"EUR1MDP"&amp;BY17&amp;"="</f>
        <v>EUR1MDP2W=</v>
      </c>
      <c r="CB17" s="70">
        <f>IF(RealTime,_xll.RtGet(RtChannel,$CA17,CD$12),"StaticData")</f>
        <v>-0.36910000000000004</v>
      </c>
      <c r="CC17" s="71">
        <f>IF(RealTime,_xll.RtGet(RtChannel,$CA17,CE$12),"StaticData")</f>
        <v>-0.36910000000000004</v>
      </c>
      <c r="CD17" s="435">
        <f>IF(RealTime,CB17,static_data())</f>
        <v>-0.36910000000000004</v>
      </c>
      <c r="CE17" s="435">
        <f>IF(RealTime,CC17,static_data())</f>
        <v>-0.36910000000000004</v>
      </c>
      <c r="CF17" s="43">
        <f t="shared" si="16"/>
        <v>-0.36910000000000004</v>
      </c>
      <c r="CG17" s="47">
        <f>(CF17-'reference set'!BA27)*100</f>
        <v>-0.37000000000000366</v>
      </c>
    </row>
    <row r="18" spans="1:85">
      <c r="A18" s="331">
        <v>4</v>
      </c>
      <c r="B18" s="102" t="s">
        <v>1029</v>
      </c>
      <c r="C18" s="128">
        <v>100.29</v>
      </c>
      <c r="D18" s="128">
        <v>100.295</v>
      </c>
      <c r="E18" s="132">
        <f t="shared" si="19"/>
        <v>100.2925</v>
      </c>
      <c r="F18" s="222">
        <v>42781</v>
      </c>
      <c r="G18" s="146" t="str">
        <f t="shared" si="17"/>
        <v>H7</v>
      </c>
      <c r="H18" s="125" t="str">
        <f t="shared" si="20"/>
        <v>FEB 17</v>
      </c>
      <c r="I18" s="336" t="str">
        <f t="shared" si="18"/>
        <v>LIF EURIBOR 3M;FEB 17</v>
      </c>
      <c r="J18" s="669">
        <f>'eur disaggregated'!K97</f>
        <v>0</v>
      </c>
      <c r="L18" s="265" t="s">
        <v>1069</v>
      </c>
      <c r="M18" s="158">
        <f>IF(LEN(L18)&gt;0,ithMonthsWeekday(DATE("20" &amp; RIGHT(L18,2),EngMonthNum(LEFT(L18,3)),1),3,3),"")</f>
        <v>42998</v>
      </c>
      <c r="N18" s="206" t="str">
        <f t="shared" si="22"/>
        <v>U7</v>
      </c>
      <c r="O18" s="141">
        <v>0</v>
      </c>
      <c r="Q18" s="155" t="s">
        <v>24</v>
      </c>
      <c r="R18" s="102" t="s">
        <v>504</v>
      </c>
      <c r="S18" s="130" t="s">
        <v>24</v>
      </c>
      <c r="T18" s="163">
        <f>IF(ISNUMBER(S18),S18,CHOOSE(MATCH(RIGHT(S18,1),{"D","W","M"},0),NextBusDay(today,LEFT(S18,LEN(S18)-1)),NextBusDay(ValueDate+7*LEFT(S18,LEN(S18)-1)),NextBusDay(EDATE(ValueDate,LEFT(S18,LEN(S18)-1)))))</f>
        <v>42717</v>
      </c>
      <c r="U18" s="288" t="b">
        <v>1</v>
      </c>
      <c r="V18" s="284" t="str">
        <v>3W</v>
      </c>
      <c r="W18" s="137" t="str">
        <v>D</v>
      </c>
      <c r="X18" s="130" t="str">
        <f t="shared" si="0"/>
        <v>D6</v>
      </c>
      <c r="Y18" s="173">
        <f t="shared" si="1"/>
        <v>1</v>
      </c>
      <c r="Z18" s="175" t="str">
        <f t="shared" si="23"/>
        <v>3W</v>
      </c>
      <c r="AA18" s="163">
        <v>42717</v>
      </c>
      <c r="AB18" s="173" t="str">
        <f t="shared" si="24"/>
        <v>3W</v>
      </c>
      <c r="AC18" s="335"/>
      <c r="AD18" s="6"/>
      <c r="AE18" s="198" t="s">
        <v>8</v>
      </c>
      <c r="AF18" s="158" t="str">
        <f t="shared" si="4"/>
        <v>2M</v>
      </c>
      <c r="AG18" s="134" t="s">
        <v>3921</v>
      </c>
      <c r="AH18" s="70">
        <f>IF(RealTime,_xll.RtGet(RtChannel,$AG18,AH$12),"StaticData")</f>
        <v>-0.2286</v>
      </c>
      <c r="AI18" s="71">
        <f>IF(RealTime,_xll.RtGet(RtChannel,$AG18,AI$12),"StaticData")</f>
        <v>-0.2286</v>
      </c>
      <c r="AJ18" s="435">
        <f>IF(RealTime,AH18,static_data())</f>
        <v>-0.2286</v>
      </c>
      <c r="AK18" s="435">
        <f>IF(RealTime,AI18,static_data())</f>
        <v>-0.2286</v>
      </c>
      <c r="AL18" s="43">
        <f t="shared" si="13"/>
        <v>-0.2286</v>
      </c>
      <c r="AO18" s="137" t="s">
        <v>8</v>
      </c>
      <c r="AP18" s="137">
        <f t="shared" si="5"/>
        <v>1</v>
      </c>
      <c r="AQ18" s="158" t="str">
        <f t="shared" si="6"/>
        <v>2M</v>
      </c>
      <c r="AR18" s="134" t="str">
        <f>CHOOSE($AP18,AR$3&amp;$AQ18&amp;AS$3,AR$4&amp;strrep(strrep(AQ18,"M",""),"-","X")&amp;AS$4,AR$5&amp;UPPER(FutCode2(AQ18))&amp;AS$5,AR$6&amp;$AQ18&amp;AS$6,"")</f>
        <v>EUR3MDP2M=</v>
      </c>
      <c r="AS18" s="70">
        <f>IF(RealTime,_xll.RtGet(RtChannel,$AR18,AS$12),"StaticData")</f>
        <v>-0.31609999999999999</v>
      </c>
      <c r="AT18" s="70">
        <f>IF(RealTime,_xll.RtGet(RtChannel,$AR18,AT$12),"StaticData")</f>
        <v>-0.31609999999999999</v>
      </c>
      <c r="AU18" s="436">
        <f>IF(RealTime,AS18,static_data())</f>
        <v>-0.31609999999999999</v>
      </c>
      <c r="AV18" s="435">
        <f>IF(RealTime,AT18,static_data())</f>
        <v>-0.31609999999999999</v>
      </c>
      <c r="AW18" s="43">
        <f t="shared" si="7"/>
        <v>-0.31609999999999999</v>
      </c>
      <c r="AY18" s="198" t="s">
        <v>8</v>
      </c>
      <c r="AZ18" s="158" t="str">
        <f t="shared" si="8"/>
        <v>2M</v>
      </c>
      <c r="BA18" s="134" t="s">
        <v>3990</v>
      </c>
      <c r="BB18" s="70">
        <f>IF(RealTime,_xll.RtGet(RtChannel,$BA18,BB$12),"StaticData")</f>
        <v>-0.112605283</v>
      </c>
      <c r="BC18" s="71">
        <f>IF(RealTime,_xll.RtGet(RtChannel,$BA18,BC$12),"StaticData")</f>
        <v>-0.112605283</v>
      </c>
      <c r="BD18" s="435">
        <f>IF(RealTime,BB18,static_data())</f>
        <v>-0.112605283</v>
      </c>
      <c r="BE18" s="435">
        <f>IF(RealTime,BC18,static_data())</f>
        <v>-0.112605283</v>
      </c>
      <c r="BF18" s="43">
        <f t="shared" si="9"/>
        <v>-0.112605283</v>
      </c>
      <c r="BH18" s="158" t="str">
        <v>3W</v>
      </c>
      <c r="BI18" s="134" t="str">
        <f t="shared" si="25"/>
        <v>EURX3WD=</v>
      </c>
      <c r="BJ18" s="70">
        <f>IF(RealTime,_xll.RtGet(RtChannel,$BI18,BJ$12),"StaticData")</f>
        <v>-0.37</v>
      </c>
      <c r="BK18" s="71">
        <f>IF(RealTime,_xll.RtGet(RtChannel,$BI18,BK$12),"StaticData")</f>
        <v>-0.37</v>
      </c>
      <c r="BL18" s="435">
        <f>IF(RealTime,BJ18,static_data())</f>
        <v>-0.37</v>
      </c>
      <c r="BM18" s="435">
        <f>IF(RealTime,BK18,static_data())</f>
        <v>-0.37</v>
      </c>
      <c r="BN18" s="43">
        <f t="shared" si="10"/>
        <v>-0.37</v>
      </c>
      <c r="BP18" s="136" t="s">
        <v>24</v>
      </c>
      <c r="BQ18" s="137" t="str">
        <f t="shared" si="14"/>
        <v>3W</v>
      </c>
      <c r="BR18" s="134" t="str">
        <f t="shared" si="26"/>
        <v>EURONOIS3W=</v>
      </c>
      <c r="BS18" s="70">
        <f>IF(RealTime,_xll.RtGet(RtChannel,$BR18,BS$12),"StaticData")</f>
        <v>-0.34800000000000003</v>
      </c>
      <c r="BT18" s="70">
        <f>IF(RealTime,_xll.RtGet(RtChannel,$BR18,BT$12),"StaticData")</f>
        <v>-0.34800000000000003</v>
      </c>
      <c r="BU18" s="436">
        <f>IF(RealTime,BS18,static_data())</f>
        <v>-0.34800000000000003</v>
      </c>
      <c r="BV18" s="543">
        <f>IF(RealTime,BT18,static_data())</f>
        <v>-0.34800000000000003</v>
      </c>
      <c r="BW18" s="43">
        <f t="shared" si="21"/>
        <v>-0.34800000000000003</v>
      </c>
      <c r="BY18" s="198" t="s">
        <v>24</v>
      </c>
      <c r="BZ18" s="137" t="str">
        <f t="shared" si="15"/>
        <v>3W</v>
      </c>
      <c r="CA18" s="134" t="str">
        <f t="shared" si="27"/>
        <v>EUR1MDP3W=</v>
      </c>
      <c r="CB18" s="70">
        <f>IF(RealTime,_xll.RtGet(RtChannel,$CA18,CD$12),"StaticData")</f>
        <v>-0.371</v>
      </c>
      <c r="CC18" s="71">
        <f>IF(RealTime,_xll.RtGet(RtChannel,$CA18,CE$12),"StaticData")</f>
        <v>-0.371</v>
      </c>
      <c r="CD18" s="435">
        <f>IF(RealTime,CB18,static_data())</f>
        <v>-0.371</v>
      </c>
      <c r="CE18" s="435">
        <f>IF(RealTime,CC18,static_data())</f>
        <v>-0.371</v>
      </c>
      <c r="CF18" s="43">
        <f t="shared" si="16"/>
        <v>-0.371</v>
      </c>
      <c r="CG18" s="47">
        <f>(CF18-'reference set'!BA28)*100</f>
        <v>-0.29000000000000137</v>
      </c>
    </row>
    <row r="19" spans="1:85">
      <c r="A19" s="331">
        <v>5</v>
      </c>
      <c r="B19" s="102" t="s">
        <v>5153</v>
      </c>
      <c r="C19" s="128">
        <v>0</v>
      </c>
      <c r="D19" s="128">
        <v>0</v>
      </c>
      <c r="E19" s="132" t="e">
        <f t="shared" si="19"/>
        <v>#N/A</v>
      </c>
      <c r="F19" s="222">
        <v>42809</v>
      </c>
      <c r="G19" s="146" t="str">
        <f t="shared" si="17"/>
        <v>J7</v>
      </c>
      <c r="H19" s="125" t="str">
        <f t="shared" si="20"/>
        <v>MAR 17</v>
      </c>
      <c r="I19" s="336" t="str">
        <f t="shared" si="18"/>
        <v>LIF EURIBOR 3M;MAR 17</v>
      </c>
      <c r="J19" s="669">
        <f>'eur disaggregated'!K98</f>
        <v>0</v>
      </c>
      <c r="L19" s="265" t="s">
        <v>3865</v>
      </c>
      <c r="M19" s="158">
        <f>IF(LEN(L19)&gt;0,ithMonthsWeekday(DATE("20" &amp; RIGHT(L19,2),EngMonthNum(LEFT(L19,3)),1),3,3),"")</f>
        <v>43089</v>
      </c>
      <c r="N19" s="206" t="str">
        <f t="shared" si="22"/>
        <v>Z7</v>
      </c>
      <c r="O19" s="141">
        <v>0</v>
      </c>
      <c r="Q19" s="155" t="s">
        <v>7</v>
      </c>
      <c r="R19" s="102" t="s">
        <v>504</v>
      </c>
      <c r="S19" s="130" t="s">
        <v>7</v>
      </c>
      <c r="T19" s="163">
        <f>IF(ISNUMBER(S19),S19,CHOOSE(MATCH(RIGHT(S19,1),{"D","W","M"},0),NextBusDay(today,LEFT(S19,LEN(S19)-1)),NextBusDay(ValueDate+7*LEFT(S19,LEN(S19)-1)),NextBusDay(EDATE(ValueDate,LEFT(S19,LEN(S19)-1)))))</f>
        <v>42726</v>
      </c>
      <c r="U19" s="288" t="b">
        <v>1</v>
      </c>
      <c r="V19" s="284" t="str">
        <v>1M</v>
      </c>
      <c r="W19" s="137" t="str">
        <v>D</v>
      </c>
      <c r="X19" s="130" t="str">
        <f t="shared" si="0"/>
        <v>D7</v>
      </c>
      <c r="Y19" s="173">
        <f t="shared" si="1"/>
        <v>1</v>
      </c>
      <c r="Z19" s="175" t="str">
        <f t="shared" si="23"/>
        <v>1M</v>
      </c>
      <c r="AA19" s="163">
        <v>42726</v>
      </c>
      <c r="AB19" s="173" t="str">
        <f t="shared" si="24"/>
        <v>1M</v>
      </c>
      <c r="AC19" s="335"/>
      <c r="AD19" s="6"/>
      <c r="AE19" s="198" t="s">
        <v>25</v>
      </c>
      <c r="AF19" s="158" t="str">
        <f t="shared" si="4"/>
        <v>3M</v>
      </c>
      <c r="AG19" s="134" t="s">
        <v>3922</v>
      </c>
      <c r="AH19" s="70">
        <f>IF(RealTime,_xll.RtGet(RtChannel,$AG19,AH$12),"StaticData")</f>
        <v>-0.22440000000000002</v>
      </c>
      <c r="AI19" s="71">
        <f>IF(RealTime,_xll.RtGet(RtChannel,$AG19,AI$12),"StaticData")</f>
        <v>-0.22440000000000002</v>
      </c>
      <c r="AJ19" s="435">
        <f>IF(RealTime,AH19,static_data())</f>
        <v>-0.22440000000000002</v>
      </c>
      <c r="AK19" s="435">
        <f>IF(RealTime,AI19,static_data())</f>
        <v>-0.22440000000000002</v>
      </c>
      <c r="AL19" s="43">
        <f t="shared" si="13"/>
        <v>-0.22440000000000002</v>
      </c>
      <c r="AO19" s="137" t="s">
        <v>25</v>
      </c>
      <c r="AP19" s="137">
        <f t="shared" si="5"/>
        <v>1</v>
      </c>
      <c r="AQ19" s="158" t="str">
        <f t="shared" si="6"/>
        <v>3M</v>
      </c>
      <c r="AR19" s="134" t="str">
        <f>CHOOSE($AP19,AR$3&amp;$AQ19&amp;AS$3,AR$4&amp;strrep(strrep(AQ19,"M",""),"-","X")&amp;AS$4,AR$5&amp;UPPER(FutCode2(AQ19))&amp;AS$5,AR$6&amp;$AQ19&amp;AS$6,"")</f>
        <v>EUR3MDP3M=</v>
      </c>
      <c r="AS19" s="70">
        <f>IF(RealTime,_xll.RtGet(RtChannel,$AR19,AS$12),"StaticData")</f>
        <v>-0.3125</v>
      </c>
      <c r="AT19" s="70">
        <f>IF(RealTime,_xll.RtGet(RtChannel,$AR19,AT$12),"StaticData")</f>
        <v>-0.3125</v>
      </c>
      <c r="AU19" s="436">
        <f>IF(RealTime,AS19,static_data())</f>
        <v>-0.3125</v>
      </c>
      <c r="AV19" s="435">
        <f>IF(RealTime,AT19,static_data())</f>
        <v>-0.3125</v>
      </c>
      <c r="AW19" s="43">
        <f t="shared" si="7"/>
        <v>-0.3125</v>
      </c>
      <c r="AY19" s="198" t="s">
        <v>25</v>
      </c>
      <c r="AZ19" s="158" t="str">
        <f t="shared" si="8"/>
        <v>3M</v>
      </c>
      <c r="BA19" s="134" t="s">
        <v>3991</v>
      </c>
      <c r="BB19" s="70">
        <f>IF(RealTime,_xll.RtGet(RtChannel,$BA19,BB$12),"StaticData")</f>
        <v>-0.11260000000000001</v>
      </c>
      <c r="BC19" s="71">
        <f>IF(RealTime,_xll.RtGet(RtChannel,$BA19,BC$12),"StaticData")</f>
        <v>-0.11260000000000001</v>
      </c>
      <c r="BD19" s="435">
        <f>IF(RealTime,BB19,static_data())</f>
        <v>-0.11260000000000001</v>
      </c>
      <c r="BE19" s="435">
        <f>IF(RealTime,BC19,static_data())</f>
        <v>-0.11260000000000001</v>
      </c>
      <c r="BF19" s="43">
        <f t="shared" si="9"/>
        <v>-0.11260000000000001</v>
      </c>
      <c r="BH19" s="158" t="str">
        <v>1M</v>
      </c>
      <c r="BI19" s="134" t="str">
        <f t="shared" si="25"/>
        <v>EURX1MD=</v>
      </c>
      <c r="BJ19" s="70">
        <f>IF(RealTime,_xll.RtGet(RtChannel,$BI19,BJ$12),"StaticData")</f>
        <v>-0.37</v>
      </c>
      <c r="BK19" s="71">
        <f>IF(RealTime,_xll.RtGet(RtChannel,$BI19,BK$12),"StaticData")</f>
        <v>-0.37</v>
      </c>
      <c r="BL19" s="435">
        <f>IF(RealTime,BJ19,static_data())</f>
        <v>-0.37</v>
      </c>
      <c r="BM19" s="435">
        <f>IF(RealTime,BK19,static_data())</f>
        <v>-0.37</v>
      </c>
      <c r="BN19" s="43">
        <f t="shared" si="10"/>
        <v>-0.37</v>
      </c>
      <c r="BP19" s="136" t="s">
        <v>7</v>
      </c>
      <c r="BQ19" s="137" t="str">
        <f t="shared" si="14"/>
        <v>1M</v>
      </c>
      <c r="BR19" s="134" t="str">
        <f t="shared" si="26"/>
        <v>EURONOIS1M=</v>
      </c>
      <c r="BS19" s="70">
        <f>IF(RealTime,_xll.RtGet(RtChannel,$BR19,BS$12),"StaticData")</f>
        <v>-0.34900000000000003</v>
      </c>
      <c r="BT19" s="70">
        <f>IF(RealTime,_xll.RtGet(RtChannel,$BR19,BT$12),"StaticData")</f>
        <v>-0.34900000000000003</v>
      </c>
      <c r="BU19" s="436">
        <f>IF(RealTime,BS19,static_data())</f>
        <v>-0.34900000000000003</v>
      </c>
      <c r="BV19" s="543">
        <f>IF(RealTime,BT19,static_data())</f>
        <v>-0.34900000000000003</v>
      </c>
      <c r="BW19" s="43">
        <f t="shared" si="21"/>
        <v>-0.34900000000000003</v>
      </c>
      <c r="BY19" s="198" t="s">
        <v>7</v>
      </c>
      <c r="BZ19" s="137" t="str">
        <f t="shared" si="15"/>
        <v>1M</v>
      </c>
      <c r="CA19" s="135" t="str">
        <f t="shared" si="27"/>
        <v>EUR1MDP1M=</v>
      </c>
      <c r="CB19" s="70">
        <f>IF(RealTime,_xll.RtGet(RtChannel,$CA19,CD$12),"StaticData")</f>
        <v>-0.373</v>
      </c>
      <c r="CC19" s="71">
        <f>IF(RealTime,_xll.RtGet(RtChannel,$CA19,CE$12),"StaticData")</f>
        <v>-0.373</v>
      </c>
      <c r="CD19" s="435">
        <f>IF(RealTime,CB19,static_data())</f>
        <v>-0.373</v>
      </c>
      <c r="CE19" s="435">
        <f>IF(RealTime,CC19,static_data())</f>
        <v>-0.373</v>
      </c>
      <c r="CF19" s="43">
        <f t="shared" si="16"/>
        <v>-0.373</v>
      </c>
      <c r="CG19" s="47">
        <f>(CF19-'reference set'!BA29)*100</f>
        <v>-0.20000000000000018</v>
      </c>
    </row>
    <row r="20" spans="1:85">
      <c r="A20" s="331">
        <v>6</v>
      </c>
      <c r="B20" s="102" t="s">
        <v>5181</v>
      </c>
      <c r="C20" s="128">
        <v>0</v>
      </c>
      <c r="D20" s="128">
        <v>0</v>
      </c>
      <c r="E20" s="132" t="e">
        <f t="shared" si="19"/>
        <v>#N/A</v>
      </c>
      <c r="F20" s="222">
        <v>42845</v>
      </c>
      <c r="G20" s="146" t="str">
        <f t="shared" si="17"/>
        <v>K7</v>
      </c>
      <c r="H20" s="125" t="str">
        <f t="shared" si="20"/>
        <v>APR 17</v>
      </c>
      <c r="I20" s="336" t="str">
        <f t="shared" si="18"/>
        <v>LIF EURIBOR 3M;APR 17</v>
      </c>
      <c r="J20" s="669">
        <f>'eur disaggregated'!K99</f>
        <v>0</v>
      </c>
      <c r="L20" s="265" t="s">
        <v>3866</v>
      </c>
      <c r="M20" s="158">
        <f>IF(LEN(L20)&gt;0,ithMonthsWeekday(DATE("20" &amp; RIGHT(L20,2),EngMonthNum(LEFT(L20,3)),1),3,3),"")</f>
        <v>43180</v>
      </c>
      <c r="N20" s="206" t="str">
        <f t="shared" si="22"/>
        <v>H8</v>
      </c>
      <c r="O20" s="141">
        <v>0</v>
      </c>
      <c r="Q20" s="155" t="s">
        <v>8</v>
      </c>
      <c r="R20" s="102" t="s">
        <v>504</v>
      </c>
      <c r="S20" s="130" t="s">
        <v>8</v>
      </c>
      <c r="T20" s="163">
        <f>IF(ISNUMBER(S20),S20,CHOOSE(MATCH(RIGHT(S20,1),{"D","W","M"},0),NextBusDay(today,LEFT(S20,LEN(S20)-1)),NextBusDay(ValueDate+7*LEFT(S20,LEN(S20)-1)),NextBusDay(EDATE(ValueDate,LEFT(S20,LEN(S20)-1)))))</f>
        <v>42758</v>
      </c>
      <c r="U20" s="288" t="b">
        <v>1</v>
      </c>
      <c r="V20" s="284" t="str">
        <v>2M</v>
      </c>
      <c r="W20" s="137" t="str">
        <v>D</v>
      </c>
      <c r="X20" s="130" t="str">
        <f t="shared" si="0"/>
        <v>D8</v>
      </c>
      <c r="Y20" s="173">
        <f t="shared" si="1"/>
        <v>1</v>
      </c>
      <c r="Z20" s="175" t="str">
        <f t="shared" si="23"/>
        <v>2M</v>
      </c>
      <c r="AA20" s="163">
        <v>42758</v>
      </c>
      <c r="AB20" s="173" t="str">
        <f t="shared" si="24"/>
        <v>2M</v>
      </c>
      <c r="AC20" s="335"/>
      <c r="AD20" s="6"/>
      <c r="AE20" s="198" t="s">
        <v>26</v>
      </c>
      <c r="AF20" s="158" t="str">
        <f t="shared" si="4"/>
        <v>4M</v>
      </c>
      <c r="AG20" s="134" t="s">
        <v>3923</v>
      </c>
      <c r="AH20" s="70">
        <f>IF(RealTime,_xll.RtGet(RtChannel,$AG20,AH$12),"StaticData")</f>
        <v>-0.22160000000000002</v>
      </c>
      <c r="AI20" s="71">
        <f>IF(RealTime,_xll.RtGet(RtChannel,$AG20,AI$12),"StaticData")</f>
        <v>-0.22160000000000002</v>
      </c>
      <c r="AJ20" s="435">
        <f>IF(RealTime,AH20,static_data())</f>
        <v>-0.22160000000000002</v>
      </c>
      <c r="AK20" s="435">
        <f>IF(RealTime,AI20,static_data())</f>
        <v>-0.22160000000000002</v>
      </c>
      <c r="AL20" s="43">
        <f t="shared" si="13"/>
        <v>-0.22160000000000002</v>
      </c>
      <c r="AO20" s="137" t="s">
        <v>1350</v>
      </c>
      <c r="AP20" s="137">
        <f t="shared" si="5"/>
        <v>2</v>
      </c>
      <c r="AQ20" s="158" t="str">
        <f t="shared" si="6"/>
        <v>1M-4M</v>
      </c>
      <c r="AR20" s="134" t="str">
        <f>CHOOSE($AP20,AR$3&amp;$AQ20&amp;AS$3,AR$4&amp;strrep(strrep(AQ20,"M",""),"-","X")&amp;AS$4,AR$5&amp;UPPER(FutCode2(AQ20))&amp;AS$5,AR$6&amp;$AQ20&amp;AS$6,"")</f>
        <v>EUR3MFRA1X4F=</v>
      </c>
      <c r="AS20" s="70">
        <f>IF(RealTime,_xll.RtGet(RtChannel,$AR20,AS$12),"StaticData")</f>
        <v>-0.307</v>
      </c>
      <c r="AT20" s="70">
        <f>IF(RealTime,_xll.RtGet(RtChannel,$AR20,AT$12),"StaticData")</f>
        <v>-0.307</v>
      </c>
      <c r="AU20" s="436">
        <f>IF(RealTime,AS20,static_data())</f>
        <v>-0.307</v>
      </c>
      <c r="AV20" s="435">
        <f>IF(RealTime,AT20,static_data())</f>
        <v>-0.307</v>
      </c>
      <c r="AW20" s="43">
        <f t="shared" si="7"/>
        <v>-0.307</v>
      </c>
      <c r="AY20" s="198" t="s">
        <v>26</v>
      </c>
      <c r="AZ20" s="158" t="str">
        <f t="shared" si="8"/>
        <v>4M</v>
      </c>
      <c r="BA20" s="134" t="s">
        <v>3992</v>
      </c>
      <c r="BB20" s="70">
        <f>IF(RealTime,_xll.RtGet(RtChannel,$BA20,BB$12),"StaticData")</f>
        <v>-0.11106135600000001</v>
      </c>
      <c r="BC20" s="71">
        <f>IF(RealTime,_xll.RtGet(RtChannel,$BA20,BC$12),"StaticData")</f>
        <v>-0.11106135600000001</v>
      </c>
      <c r="BD20" s="435">
        <f>IF(RealTime,BB20,static_data())</f>
        <v>-0.11106135600000001</v>
      </c>
      <c r="BE20" s="435">
        <f>IF(RealTime,BC20,static_data())</f>
        <v>-0.11106135600000001</v>
      </c>
      <c r="BF20" s="43">
        <f t="shared" si="9"/>
        <v>-0.11106135600000001</v>
      </c>
      <c r="BH20" s="158" t="str">
        <v>2M</v>
      </c>
      <c r="BI20" s="134" t="str">
        <f t="shared" si="25"/>
        <v>EURX2MD=</v>
      </c>
      <c r="BJ20" s="70">
        <f>IF(RealTime,_xll.RtGet(RtChannel,$BI20,BJ$12),"StaticData")</f>
        <v>-0.33</v>
      </c>
      <c r="BK20" s="71">
        <f>IF(RealTime,_xll.RtGet(RtChannel,$BI20,BK$12),"StaticData")</f>
        <v>-0.33</v>
      </c>
      <c r="BL20" s="435">
        <f>IF(RealTime,BJ20,static_data())</f>
        <v>-0.33</v>
      </c>
      <c r="BM20" s="435">
        <f>IF(RealTime,BK20,static_data())</f>
        <v>-0.33</v>
      </c>
      <c r="BN20" s="43">
        <f t="shared" si="10"/>
        <v>-0.33</v>
      </c>
      <c r="BP20" s="136" t="s">
        <v>8</v>
      </c>
      <c r="BQ20" s="137" t="str">
        <f t="shared" si="14"/>
        <v>2M</v>
      </c>
      <c r="BR20" s="134" t="str">
        <f t="shared" si="26"/>
        <v>EURONOIS2M=</v>
      </c>
      <c r="BS20" s="70">
        <f>IF(RealTime,_xll.RtGet(RtChannel,$BR20,BS$12),"StaticData")</f>
        <v>-0.34806234400000002</v>
      </c>
      <c r="BT20" s="70">
        <f>IF(RealTime,_xll.RtGet(RtChannel,$BR20,BT$12),"StaticData")</f>
        <v>-0.34806234400000002</v>
      </c>
      <c r="BU20" s="436">
        <f>IF(RealTime,BS20,static_data())</f>
        <v>-0.34806234400000002</v>
      </c>
      <c r="BV20" s="543">
        <f>IF(RealTime,BT20,static_data())</f>
        <v>-0.34806234400000002</v>
      </c>
      <c r="BW20" s="43">
        <f t="shared" si="21"/>
        <v>-0.34806234400000002</v>
      </c>
      <c r="BY20" s="198" t="s">
        <v>8</v>
      </c>
      <c r="BZ20" s="137" t="str">
        <f t="shared" si="15"/>
        <v>2M</v>
      </c>
      <c r="CA20" s="134" t="str">
        <f t="shared" ref="CA20:CA77" si="28">"EUR1MSW"&amp;BY20&amp;"="</f>
        <v>EUR1MSW2M=</v>
      </c>
      <c r="CB20" s="70">
        <f>IF(RealTime,_xll.RtGet(RtChannel,$CA20,CD$12),"StaticData")</f>
        <v>-0.374</v>
      </c>
      <c r="CC20" s="71">
        <f>IF(RealTime,_xll.RtGet(RtChannel,$CA20,CE$12),"StaticData")</f>
        <v>-0.374</v>
      </c>
      <c r="CD20" s="435">
        <f>IF(RealTime,CB20,static_data())</f>
        <v>-0.374</v>
      </c>
      <c r="CE20" s="435">
        <f>IF(RealTime,CC20,static_data())</f>
        <v>-0.374</v>
      </c>
      <c r="CF20" s="43">
        <f t="shared" si="16"/>
        <v>-0.374</v>
      </c>
      <c r="CG20" s="47">
        <f>(CF20-'reference set'!BA30)*100</f>
        <v>-0.20000000000000018</v>
      </c>
    </row>
    <row r="21" spans="1:85" ht="13.5" thickBot="1">
      <c r="A21" s="331">
        <v>7</v>
      </c>
      <c r="B21" s="102" t="s">
        <v>1030</v>
      </c>
      <c r="C21" s="128">
        <v>100.27500000000001</v>
      </c>
      <c r="D21" s="128">
        <v>100.28</v>
      </c>
      <c r="E21" s="132">
        <f t="shared" si="19"/>
        <v>100.2775</v>
      </c>
      <c r="F21" s="222">
        <v>42907</v>
      </c>
      <c r="G21" s="146" t="str">
        <f t="shared" si="17"/>
        <v>M7</v>
      </c>
      <c r="H21" s="125" t="str">
        <f t="shared" si="20"/>
        <v>JUN 17</v>
      </c>
      <c r="I21" s="336" t="str">
        <f t="shared" si="18"/>
        <v>LIF EURIBOR 3M;JUN 17</v>
      </c>
      <c r="J21" s="669">
        <f>'eur disaggregated'!K100</f>
        <v>0</v>
      </c>
      <c r="L21" s="265" t="s">
        <v>3889</v>
      </c>
      <c r="M21" s="158">
        <f>IF(LEN(L21)&gt;0,ithMonthsWeekday(DATE("20" &amp; RIGHT(L21,2),EngMonthNum(LEFT(L21,3)),1),3,3),"")</f>
        <v>43271</v>
      </c>
      <c r="N21" s="206" t="str">
        <f t="shared" si="22"/>
        <v>M8</v>
      </c>
      <c r="O21" s="141">
        <v>0</v>
      </c>
      <c r="Q21" s="155" t="s">
        <v>25</v>
      </c>
      <c r="R21" s="102" t="s">
        <v>504</v>
      </c>
      <c r="S21" s="130" t="s">
        <v>25</v>
      </c>
      <c r="T21" s="163">
        <f>IF(ISNUMBER(S21),S21,CHOOSE(MATCH(RIGHT(S21,1),{"D","W","M"},0),NextBusDay(today,LEFT(S21,LEN(S21)-1)),NextBusDay(ValueDate+7*LEFT(S21,LEN(S21)-1)),NextBusDay(EDATE(ValueDate,LEFT(S21,LEN(S21)-1)))))</f>
        <v>42788</v>
      </c>
      <c r="U21" s="288" t="b">
        <v>1</v>
      </c>
      <c r="V21" s="284" t="str">
        <v>3M</v>
      </c>
      <c r="W21" s="137" t="str">
        <v>D</v>
      </c>
      <c r="X21" s="130" t="str">
        <f t="shared" si="0"/>
        <v>D9</v>
      </c>
      <c r="Y21" s="173">
        <f t="shared" si="1"/>
        <v>1</v>
      </c>
      <c r="Z21" s="175" t="str">
        <f t="shared" si="23"/>
        <v>3M</v>
      </c>
      <c r="AA21" s="163">
        <v>42788</v>
      </c>
      <c r="AB21" s="173" t="str">
        <f t="shared" si="24"/>
        <v>3M</v>
      </c>
      <c r="AC21" s="335"/>
      <c r="AD21" s="6"/>
      <c r="AE21" s="198" t="s">
        <v>27</v>
      </c>
      <c r="AF21" s="158" t="str">
        <f t="shared" si="4"/>
        <v>5M</v>
      </c>
      <c r="AG21" s="134" t="s">
        <v>3924</v>
      </c>
      <c r="AH21" s="70">
        <f>IF(RealTime,_xll.RtGet(RtChannel,$AG21,AH$12),"StaticData")</f>
        <v>-0.2177</v>
      </c>
      <c r="AI21" s="71">
        <f>IF(RealTime,_xll.RtGet(RtChannel,$AG21,AI$12),"StaticData")</f>
        <v>-0.2177</v>
      </c>
      <c r="AJ21" s="435">
        <f>IF(RealTime,AH21,static_data())</f>
        <v>-0.2177</v>
      </c>
      <c r="AK21" s="435">
        <f>IF(RealTime,AI21,static_data())</f>
        <v>-0.2177</v>
      </c>
      <c r="AL21" s="43">
        <f t="shared" si="13"/>
        <v>-0.2177</v>
      </c>
      <c r="AO21" s="137" t="s">
        <v>1351</v>
      </c>
      <c r="AP21" s="137">
        <f t="shared" si="5"/>
        <v>2</v>
      </c>
      <c r="AQ21" s="158" t="str">
        <f t="shared" si="6"/>
        <v>2M-5M</v>
      </c>
      <c r="AR21" s="134" t="str">
        <f>CHOOSE($AP21,AR$3&amp;$AQ21&amp;AS$3,AR$4&amp;strrep(strrep(AQ21,"M",""),"-","X")&amp;AS$4,AR$5&amp;UPPER(FutCode2(AQ21))&amp;AS$5,AR$6&amp;$AQ21&amp;AS$6,"")</f>
        <v>EUR3MFRA2X5F=</v>
      </c>
      <c r="AS21" s="70">
        <f>IF(RealTime,_xll.RtGet(RtChannel,$AR21,AS$12),"StaticData")</f>
        <v>-0.30199999999999999</v>
      </c>
      <c r="AT21" s="70">
        <f>IF(RealTime,_xll.RtGet(RtChannel,$AR21,AT$12),"StaticData")</f>
        <v>-0.30199999999999999</v>
      </c>
      <c r="AU21" s="436">
        <f>IF(RealTime,AS21,static_data())</f>
        <v>-0.30199999999999999</v>
      </c>
      <c r="AV21" s="435">
        <f>IF(RealTime,AT21,static_data())</f>
        <v>-0.30199999999999999</v>
      </c>
      <c r="AW21" s="43">
        <f t="shared" si="7"/>
        <v>-0.30199999999999999</v>
      </c>
      <c r="AY21" s="198" t="s">
        <v>27</v>
      </c>
      <c r="AZ21" s="158" t="str">
        <f t="shared" si="8"/>
        <v>5M</v>
      </c>
      <c r="BA21" s="134" t="s">
        <v>3993</v>
      </c>
      <c r="BB21" s="70">
        <f>IF(RealTime,_xll.RtGet(RtChannel,$BA21,BB$12),"StaticData")</f>
        <v>-0.10671071400000001</v>
      </c>
      <c r="BC21" s="71">
        <f>IF(RealTime,_xll.RtGet(RtChannel,$BA21,BC$12),"StaticData")</f>
        <v>-0.10671071400000001</v>
      </c>
      <c r="BD21" s="435">
        <f>IF(RealTime,BB21,static_data())</f>
        <v>-0.10671071400000001</v>
      </c>
      <c r="BE21" s="435">
        <f>IF(RealTime,BC21,static_data())</f>
        <v>-0.10671071400000001</v>
      </c>
      <c r="BF21" s="43">
        <f t="shared" si="9"/>
        <v>-0.10671071400000001</v>
      </c>
      <c r="BH21" s="158" t="str">
        <v>3M</v>
      </c>
      <c r="BI21" s="134" t="str">
        <f t="shared" si="25"/>
        <v>EURX3MD=</v>
      </c>
      <c r="BJ21" s="70">
        <f>IF(RealTime,_xll.RtGet(RtChannel,$BI21,BJ$12),"StaticData")</f>
        <v>-0.30000000000000004</v>
      </c>
      <c r="BK21" s="71">
        <f>IF(RealTime,_xll.RtGet(RtChannel,$BI21,BK$12),"StaticData")</f>
        <v>-0.30000000000000004</v>
      </c>
      <c r="BL21" s="435">
        <f>IF(RealTime,BJ21,static_data())</f>
        <v>-0.30000000000000004</v>
      </c>
      <c r="BM21" s="435">
        <f>IF(RealTime,BK21,static_data())</f>
        <v>-0.30000000000000004</v>
      </c>
      <c r="BN21" s="43">
        <f t="shared" si="10"/>
        <v>-0.30000000000000004</v>
      </c>
      <c r="BP21" s="136" t="s">
        <v>25</v>
      </c>
      <c r="BQ21" s="137" t="str">
        <f t="shared" si="14"/>
        <v>3M</v>
      </c>
      <c r="BR21" s="134" t="str">
        <f t="shared" si="26"/>
        <v>EURONOIS3M=</v>
      </c>
      <c r="BS21" s="70">
        <f>IF(RealTime,_xll.RtGet(RtChannel,$BR21,BS$12),"StaticData")</f>
        <v>-0.34842114200000002</v>
      </c>
      <c r="BT21" s="70">
        <f>IF(RealTime,_xll.RtGet(RtChannel,$BR21,BT$12),"StaticData")</f>
        <v>-0.34842114200000002</v>
      </c>
      <c r="BU21" s="436">
        <f>IF(RealTime,BS21,static_data())</f>
        <v>-0.34842114200000002</v>
      </c>
      <c r="BV21" s="543">
        <f>IF(RealTime,BT21,static_data())</f>
        <v>-0.34842114200000002</v>
      </c>
      <c r="BW21" s="43">
        <f t="shared" si="21"/>
        <v>-0.34842114200000002</v>
      </c>
      <c r="BY21" s="198" t="s">
        <v>25</v>
      </c>
      <c r="BZ21" s="137" t="str">
        <f t="shared" si="15"/>
        <v>3M</v>
      </c>
      <c r="CA21" s="134" t="str">
        <f t="shared" si="28"/>
        <v>EUR1MSW3M=</v>
      </c>
      <c r="CB21" s="70">
        <f>IF(RealTime,_xll.RtGet(RtChannel,$CA21,CD$12),"StaticData")</f>
        <v>-0.374</v>
      </c>
      <c r="CC21" s="71">
        <f>IF(RealTime,_xll.RtGet(RtChannel,$CA21,CE$12),"StaticData")</f>
        <v>-0.374</v>
      </c>
      <c r="CD21" s="435">
        <f>IF(RealTime,CB21,static_data())</f>
        <v>-0.374</v>
      </c>
      <c r="CE21" s="435">
        <f>IF(RealTime,CC21,static_data())</f>
        <v>-0.374</v>
      </c>
      <c r="CF21" s="43">
        <f t="shared" si="16"/>
        <v>-0.374</v>
      </c>
      <c r="CG21" s="47">
        <f>(CF21-'reference set'!BA31)*100</f>
        <v>-0.20000000000000018</v>
      </c>
    </row>
    <row r="22" spans="1:85" ht="13.5" thickBot="1">
      <c r="A22" s="331">
        <v>8</v>
      </c>
      <c r="B22" s="102" t="s">
        <v>1031</v>
      </c>
      <c r="C22" s="128">
        <v>100.26</v>
      </c>
      <c r="D22" s="128">
        <v>100.265</v>
      </c>
      <c r="E22" s="132">
        <f t="shared" si="19"/>
        <v>100.2625</v>
      </c>
      <c r="F22" s="222">
        <v>42998</v>
      </c>
      <c r="G22" s="146" t="str">
        <f t="shared" si="17"/>
        <v>U7</v>
      </c>
      <c r="H22" s="125" t="str">
        <f t="shared" si="20"/>
        <v>SEP 17</v>
      </c>
      <c r="I22" s="336" t="str">
        <f t="shared" si="18"/>
        <v>LIF EURIBOR 3M;SEP 17</v>
      </c>
      <c r="J22" s="669">
        <f>'eur disaggregated'!K101</f>
        <v>0</v>
      </c>
      <c r="L22" s="265" t="s">
        <v>3890</v>
      </c>
      <c r="M22" s="368">
        <f>IF(LEN(L22)&gt;0,ithMonthsWeekday(DATE("20" &amp; RIGHT(L22,2),EngMonthNum(LEFT(L22,3)),1),3,3),"")</f>
        <v>43362</v>
      </c>
      <c r="N22" s="206" t="str">
        <f t="shared" si="22"/>
        <v>U8</v>
      </c>
      <c r="O22" s="141">
        <v>5.0000000000000001E-3</v>
      </c>
      <c r="Q22" s="155" t="s">
        <v>26</v>
      </c>
      <c r="R22" s="102" t="s">
        <v>504</v>
      </c>
      <c r="S22" s="130" t="s">
        <v>26</v>
      </c>
      <c r="T22" s="163">
        <f>IF(ISNUMBER(S22),S22,CHOOSE(MATCH(RIGHT(S22,1),{"D","W","M"},0),NextBusDay(today,LEFT(S22,LEN(S22)-1)),NextBusDay(ValueDate+7*LEFT(S22,LEN(S22)-1)),NextBusDay(EDATE(ValueDate,LEFT(S22,LEN(S22)-1)))))</f>
        <v>42816</v>
      </c>
      <c r="U22" s="288" t="b">
        <v>1</v>
      </c>
      <c r="V22" s="284" t="str">
        <v>4M</v>
      </c>
      <c r="W22" s="137" t="str">
        <v>D</v>
      </c>
      <c r="X22" s="130" t="str">
        <f t="shared" si="0"/>
        <v>D10</v>
      </c>
      <c r="Y22" s="173">
        <f t="shared" si="1"/>
        <v>1</v>
      </c>
      <c r="Z22" s="175" t="str">
        <f t="shared" si="23"/>
        <v>4M</v>
      </c>
      <c r="AA22" s="163">
        <v>42816</v>
      </c>
      <c r="AB22" s="173" t="str">
        <f t="shared" si="24"/>
        <v>4M</v>
      </c>
      <c r="AC22" s="335"/>
      <c r="AD22" s="6"/>
      <c r="AE22" s="198" t="s">
        <v>28</v>
      </c>
      <c r="AF22" s="158" t="str">
        <f t="shared" si="4"/>
        <v>6M</v>
      </c>
      <c r="AG22" s="134" t="s">
        <v>3925</v>
      </c>
      <c r="AH22" s="70">
        <f>IF(RealTime,_xll.RtGet(RtChannel,$AG22,AH$12),"StaticData")</f>
        <v>-0.21450000000000002</v>
      </c>
      <c r="AI22" s="71">
        <f>IF(RealTime,_xll.RtGet(RtChannel,$AG22,AI$12),"StaticData")</f>
        <v>-0.21450000000000002</v>
      </c>
      <c r="AJ22" s="435">
        <f>IF(RealTime,AH22,static_data())</f>
        <v>-0.21450000000000002</v>
      </c>
      <c r="AK22" s="435">
        <f>IF(RealTime,AI22,static_data())</f>
        <v>-0.21450000000000002</v>
      </c>
      <c r="AL22" s="43">
        <f t="shared" si="13"/>
        <v>-0.21450000000000002</v>
      </c>
      <c r="AO22" s="137" t="s">
        <v>1213</v>
      </c>
      <c r="AP22" s="137">
        <f t="shared" si="5"/>
        <v>2</v>
      </c>
      <c r="AQ22" s="158" t="str">
        <f t="shared" si="6"/>
        <v>3M-6M</v>
      </c>
      <c r="AR22" s="134" t="str">
        <f>CHOOSE($AP22,AR$3&amp;$AQ22&amp;AS$3,AR$4&amp;strrep(strrep(AQ22,"M",""),"-","X")&amp;AS$4,AR$5&amp;UPPER(FutCode2(AQ22))&amp;AS$5,AR$6&amp;$AQ22&amp;AS$6,"")</f>
        <v>EUR3MFRA3X6F=</v>
      </c>
      <c r="AS22" s="70">
        <f>IF(RealTime,_xll.RtGet(RtChannel,$AR22,AS$12),"StaticData")</f>
        <v>-0.29699999999999999</v>
      </c>
      <c r="AT22" s="70">
        <f>IF(RealTime,_xll.RtGet(RtChannel,$AR22,AT$12),"StaticData")</f>
        <v>-0.29699999999999999</v>
      </c>
      <c r="AU22" s="436">
        <f>IF(RealTime,AS22,static_data())</f>
        <v>-0.29699999999999999</v>
      </c>
      <c r="AV22" s="435">
        <f>IF(RealTime,AT22,static_data())</f>
        <v>-0.29699999999999999</v>
      </c>
      <c r="AW22" s="43">
        <f t="shared" si="7"/>
        <v>-0.29699999999999999</v>
      </c>
      <c r="AY22" s="198" t="s">
        <v>28</v>
      </c>
      <c r="AZ22" s="158" t="str">
        <f t="shared" si="8"/>
        <v>6M</v>
      </c>
      <c r="BA22" s="134" t="s">
        <v>3994</v>
      </c>
      <c r="BB22" s="70">
        <f>IF(RealTime,_xll.RtGet(RtChannel,$BA22,BB$12),"StaticData")</f>
        <v>-0.10260000000000001</v>
      </c>
      <c r="BC22" s="71">
        <f>IF(RealTime,_xll.RtGet(RtChannel,$BA22,BC$12),"StaticData")</f>
        <v>-0.10260000000000001</v>
      </c>
      <c r="BD22" s="435">
        <f>IF(RealTime,BB22,static_data())</f>
        <v>-0.10260000000000001</v>
      </c>
      <c r="BE22" s="435">
        <f>IF(RealTime,BC22,static_data())</f>
        <v>-0.10260000000000001</v>
      </c>
      <c r="BF22" s="43">
        <f t="shared" si="9"/>
        <v>-0.10260000000000001</v>
      </c>
      <c r="BH22" s="158" t="str">
        <v>4M</v>
      </c>
      <c r="BI22" s="134" t="str">
        <f t="shared" si="25"/>
        <v>EURX4MD=</v>
      </c>
      <c r="BJ22" s="70">
        <f>IF(RealTime,_xll.RtGet(RtChannel,$BI22,BJ$12),"StaticData")</f>
        <v>-0.27</v>
      </c>
      <c r="BK22" s="71">
        <f>IF(RealTime,_xll.RtGet(RtChannel,$BI22,BK$12),"StaticData")</f>
        <v>-0.27</v>
      </c>
      <c r="BL22" s="435">
        <f>IF(RealTime,BJ22,static_data())</f>
        <v>-0.27</v>
      </c>
      <c r="BM22" s="435">
        <f>IF(RealTime,BK22,static_data())</f>
        <v>-0.27</v>
      </c>
      <c r="BN22" s="43">
        <f t="shared" si="10"/>
        <v>-0.27</v>
      </c>
      <c r="BP22" s="136" t="s">
        <v>26</v>
      </c>
      <c r="BQ22" s="137" t="str">
        <f t="shared" si="14"/>
        <v>4M</v>
      </c>
      <c r="BR22" s="134" t="str">
        <f t="shared" si="26"/>
        <v>EURONOIS4M=</v>
      </c>
      <c r="BS22" s="70">
        <f>IF(RealTime,_xll.RtGet(RtChannel,$BR22,BS$12),"StaticData")</f>
        <v>-0.34998089400000004</v>
      </c>
      <c r="BT22" s="70">
        <f>IF(RealTime,_xll.RtGet(RtChannel,$BR22,BT$12),"StaticData")</f>
        <v>-0.34998089400000004</v>
      </c>
      <c r="BU22" s="436">
        <f>IF(RealTime,BS22,static_data())</f>
        <v>-0.34998089400000004</v>
      </c>
      <c r="BV22" s="543">
        <f>IF(RealTime,BT22,static_data())</f>
        <v>-0.34998089400000004</v>
      </c>
      <c r="BW22" s="43">
        <f t="shared" si="21"/>
        <v>-0.34998089400000004</v>
      </c>
      <c r="BY22" s="198" t="s">
        <v>26</v>
      </c>
      <c r="BZ22" s="137" t="str">
        <f t="shared" si="15"/>
        <v>4M</v>
      </c>
      <c r="CA22" s="134" t="str">
        <f t="shared" si="28"/>
        <v>EUR1MSW4M=</v>
      </c>
      <c r="CB22" s="70">
        <f>IF(RealTime,_xll.RtGet(RtChannel,$CA22,CD$12),"StaticData")</f>
        <v>-0.374</v>
      </c>
      <c r="CC22" s="71">
        <f>IF(RealTime,_xll.RtGet(RtChannel,$CA22,CE$12),"StaticData")</f>
        <v>-0.374</v>
      </c>
      <c r="CD22" s="435">
        <f>IF(RealTime,CB22,static_data())</f>
        <v>-0.374</v>
      </c>
      <c r="CE22" s="435">
        <f>IF(RealTime,CC22,static_data())</f>
        <v>-0.374</v>
      </c>
      <c r="CF22" s="43">
        <f t="shared" si="16"/>
        <v>-0.374</v>
      </c>
      <c r="CG22" s="47">
        <f>(CF22-'reference set'!BA32)*100</f>
        <v>-0.20000000000000018</v>
      </c>
    </row>
    <row r="23" spans="1:85">
      <c r="A23" s="331">
        <v>9</v>
      </c>
      <c r="B23" s="102" t="s">
        <v>3855</v>
      </c>
      <c r="C23" s="128">
        <v>100.24000000000001</v>
      </c>
      <c r="D23" s="128">
        <v>100.245</v>
      </c>
      <c r="E23" s="132">
        <f t="shared" si="19"/>
        <v>100.24250000000001</v>
      </c>
      <c r="F23" s="222">
        <v>43089</v>
      </c>
      <c r="G23" s="146" t="str">
        <f t="shared" si="17"/>
        <v>Z7</v>
      </c>
      <c r="H23" s="125" t="str">
        <f t="shared" si="20"/>
        <v>DEC 17</v>
      </c>
      <c r="I23" s="336" t="str">
        <f t="shared" si="18"/>
        <v>LIF EURIBOR 3M;DEC 17</v>
      </c>
      <c r="J23" s="669">
        <f>'eur disaggregated'!K102</f>
        <v>0</v>
      </c>
      <c r="Q23" s="155" t="s">
        <v>27</v>
      </c>
      <c r="R23" s="102" t="s">
        <v>504</v>
      </c>
      <c r="S23" s="130" t="s">
        <v>27</v>
      </c>
      <c r="T23" s="163">
        <f>IF(ISNUMBER(S23),S23,CHOOSE(MATCH(RIGHT(S23,1),{"D","W","M"},0),NextBusDay(today,LEFT(S23,LEN(S23)-1)),NextBusDay(ValueDate+7*LEFT(S23,LEN(S23)-1)),NextBusDay(EDATE(ValueDate,LEFT(S23,LEN(S23)-1)))))</f>
        <v>42849</v>
      </c>
      <c r="U23" s="288" t="b">
        <v>1</v>
      </c>
      <c r="V23" s="284" t="str">
        <v>5M</v>
      </c>
      <c r="W23" s="137" t="str">
        <v>D</v>
      </c>
      <c r="X23" s="130" t="str">
        <f t="shared" si="0"/>
        <v>D11</v>
      </c>
      <c r="Y23" s="173">
        <f t="shared" si="1"/>
        <v>1</v>
      </c>
      <c r="Z23" s="175" t="str">
        <f t="shared" si="23"/>
        <v>5M</v>
      </c>
      <c r="AA23" s="163">
        <v>42849</v>
      </c>
      <c r="AB23" s="173" t="str">
        <f t="shared" si="24"/>
        <v>5M</v>
      </c>
      <c r="AC23" s="335"/>
      <c r="AD23" s="6"/>
      <c r="AE23" s="198" t="s">
        <v>1221</v>
      </c>
      <c r="AF23" s="158" t="str">
        <f t="shared" si="4"/>
        <v>1M-7M</v>
      </c>
      <c r="AG23" s="134" t="s">
        <v>3926</v>
      </c>
      <c r="AH23" s="70">
        <f>IF(RealTime,_xll.RtGet(RtChannel,$AG23,AH$12),"StaticData")</f>
        <v>-0.20700000000000002</v>
      </c>
      <c r="AI23" s="71">
        <f>IF(RealTime,_xll.RtGet(RtChannel,$AG23,AI$12),"StaticData")</f>
        <v>-0.20700000000000002</v>
      </c>
      <c r="AJ23" s="435">
        <f>IF(RealTime,AH23,static_data())</f>
        <v>-0.20700000000000002</v>
      </c>
      <c r="AK23" s="435">
        <f>IF(RealTime,AI23,static_data())</f>
        <v>-0.20700000000000002</v>
      </c>
      <c r="AL23" s="43">
        <f t="shared" si="13"/>
        <v>-0.20700000000000002</v>
      </c>
      <c r="AO23" s="137" t="s">
        <v>1352</v>
      </c>
      <c r="AP23" s="137">
        <f t="shared" si="5"/>
        <v>2</v>
      </c>
      <c r="AQ23" s="158" t="str">
        <f t="shared" si="6"/>
        <v>4M-7M</v>
      </c>
      <c r="AR23" s="134" t="str">
        <f>CHOOSE($AP23,AR$3&amp;$AQ23&amp;AS$3,AR$4&amp;strrep(strrep(AQ23,"M",""),"-","X")&amp;AS$4,AR$5&amp;UPPER(FutCode2(AQ23))&amp;AS$5,AR$6&amp;$AQ23&amp;AS$6,"")</f>
        <v>EUR3MFRA4X7F=</v>
      </c>
      <c r="AS23" s="70">
        <f>IF(RealTime,_xll.RtGet(RtChannel,$AR23,AS$12),"StaticData")</f>
        <v>-0.29199999999999998</v>
      </c>
      <c r="AT23" s="70">
        <f>IF(RealTime,_xll.RtGet(RtChannel,$AR23,AT$12),"StaticData")</f>
        <v>-0.29199999999999998</v>
      </c>
      <c r="AU23" s="436">
        <f>IF(RealTime,AS23,static_data())</f>
        <v>-0.29199999999999998</v>
      </c>
      <c r="AV23" s="435">
        <f>IF(RealTime,AT23,static_data())</f>
        <v>-0.29199999999999998</v>
      </c>
      <c r="AW23" s="43">
        <f t="shared" si="7"/>
        <v>-0.29199999999999998</v>
      </c>
      <c r="AY23" s="198" t="s">
        <v>29</v>
      </c>
      <c r="AZ23" s="158" t="str">
        <f t="shared" si="8"/>
        <v>7M</v>
      </c>
      <c r="BA23" s="134" t="s">
        <v>3995</v>
      </c>
      <c r="BB23" s="70">
        <f>IF(RealTime,_xll.RtGet(RtChannel,$BA23,BB$12),"StaticData")</f>
        <v>-9.8515149999999996E-2</v>
      </c>
      <c r="BC23" s="71">
        <f>IF(RealTime,_xll.RtGet(RtChannel,$BA23,BC$12),"StaticData")</f>
        <v>-9.8515149999999996E-2</v>
      </c>
      <c r="BD23" s="435">
        <f>IF(RealTime,BB23,static_data())</f>
        <v>-9.8515149999999996E-2</v>
      </c>
      <c r="BE23" s="435">
        <f>IF(RealTime,BC23,static_data())</f>
        <v>-9.8515149999999996E-2</v>
      </c>
      <c r="BF23" s="43">
        <f t="shared" si="9"/>
        <v>-9.8515149999999996E-2</v>
      </c>
      <c r="BH23" s="158" t="str">
        <v>5M</v>
      </c>
      <c r="BI23" s="134" t="str">
        <f t="shared" si="25"/>
        <v>EURX5MD=</v>
      </c>
      <c r="BJ23" s="70">
        <f>IF(RealTime,_xll.RtGet(RtChannel,$BI23,BJ$12),"StaticData")</f>
        <v>-0.24</v>
      </c>
      <c r="BK23" s="71">
        <f>IF(RealTime,_xll.RtGet(RtChannel,$BI23,BK$12),"StaticData")</f>
        <v>-0.24</v>
      </c>
      <c r="BL23" s="435">
        <f>IF(RealTime,BJ23,static_data())</f>
        <v>-0.24</v>
      </c>
      <c r="BM23" s="435">
        <f>IF(RealTime,BK23,static_data())</f>
        <v>-0.24</v>
      </c>
      <c r="BN23" s="43">
        <f t="shared" si="10"/>
        <v>-0.24</v>
      </c>
      <c r="BP23" s="136" t="s">
        <v>27</v>
      </c>
      <c r="BQ23" s="137" t="str">
        <f t="shared" si="14"/>
        <v>5M</v>
      </c>
      <c r="BR23" s="134" t="str">
        <f t="shared" si="26"/>
        <v>EURONOIS5M=</v>
      </c>
      <c r="BS23" s="70">
        <f>IF(RealTime,_xll.RtGet(RtChannel,$BR23,BS$12),"StaticData")</f>
        <v>-0.35113541700000001</v>
      </c>
      <c r="BT23" s="70">
        <f>IF(RealTime,_xll.RtGet(RtChannel,$BR23,BT$12),"StaticData")</f>
        <v>-0.35113541700000001</v>
      </c>
      <c r="BU23" s="436">
        <f>IF(RealTime,BS23,static_data())</f>
        <v>-0.35113541700000001</v>
      </c>
      <c r="BV23" s="543">
        <f>IF(RealTime,BT23,static_data())</f>
        <v>-0.35113541700000001</v>
      </c>
      <c r="BW23" s="43">
        <f t="shared" si="21"/>
        <v>-0.35113541700000001</v>
      </c>
      <c r="BY23" s="198" t="s">
        <v>27</v>
      </c>
      <c r="BZ23" s="137" t="str">
        <f t="shared" si="15"/>
        <v>5M</v>
      </c>
      <c r="CA23" s="134" t="str">
        <f t="shared" si="28"/>
        <v>EUR1MSW5M=</v>
      </c>
      <c r="CB23" s="70">
        <f>IF(RealTime,_xll.RtGet(RtChannel,$CA23,CD$12),"StaticData")</f>
        <v>-0.374</v>
      </c>
      <c r="CC23" s="71">
        <f>IF(RealTime,_xll.RtGet(RtChannel,$CA23,CE$12),"StaticData")</f>
        <v>-0.374</v>
      </c>
      <c r="CD23" s="435">
        <f>IF(RealTime,CB23,static_data())</f>
        <v>-0.374</v>
      </c>
      <c r="CE23" s="435">
        <f>IF(RealTime,CC23,static_data())</f>
        <v>-0.374</v>
      </c>
      <c r="CF23" s="43">
        <f t="shared" si="16"/>
        <v>-0.374</v>
      </c>
      <c r="CG23" s="47">
        <f>(CF23-'reference set'!BA33)*100</f>
        <v>-0.10000000000000009</v>
      </c>
    </row>
    <row r="24" spans="1:85">
      <c r="A24" s="331">
        <v>10</v>
      </c>
      <c r="B24" s="102" t="s">
        <v>3856</v>
      </c>
      <c r="C24" s="128">
        <v>100.215</v>
      </c>
      <c r="D24" s="128">
        <v>100.22</v>
      </c>
      <c r="E24" s="132">
        <f t="shared" si="19"/>
        <v>100.2175</v>
      </c>
      <c r="F24" s="222">
        <v>43180</v>
      </c>
      <c r="G24" s="146" t="str">
        <f t="shared" si="17"/>
        <v>H8</v>
      </c>
      <c r="H24" s="125" t="str">
        <f t="shared" si="20"/>
        <v>MAR 18</v>
      </c>
      <c r="I24" s="336" t="str">
        <f t="shared" si="18"/>
        <v>LIF EURIBOR 3M;MAR 18</v>
      </c>
      <c r="J24" s="669">
        <f>'eur disaggregated'!K103</f>
        <v>0</v>
      </c>
      <c r="Q24" s="156" t="s">
        <v>28</v>
      </c>
      <c r="R24" s="102" t="s">
        <v>504</v>
      </c>
      <c r="S24" s="130" t="s">
        <v>28</v>
      </c>
      <c r="T24" s="163">
        <f>IF(ISNUMBER(S24),S24,CHOOSE(MATCH(RIGHT(S24,1),{"D","W","M"},0),NextBusDay(today,LEFT(S24,LEN(S24)-1)),NextBusDay(ValueDate+7*LEFT(S24,LEN(S24)-1)),NextBusDay(EDATE(ValueDate,LEFT(S24,LEN(S24)-1)))))</f>
        <v>42877</v>
      </c>
      <c r="U24" s="288" t="b">
        <v>1</v>
      </c>
      <c r="V24" s="284" t="str">
        <v>6M</v>
      </c>
      <c r="W24" s="137" t="str">
        <v>D</v>
      </c>
      <c r="X24" s="130" t="str">
        <f t="shared" si="0"/>
        <v>D12</v>
      </c>
      <c r="Y24" s="173">
        <f t="shared" si="1"/>
        <v>1</v>
      </c>
      <c r="Z24" s="175" t="str">
        <f t="shared" si="23"/>
        <v>6M</v>
      </c>
      <c r="AA24" s="163">
        <v>42877</v>
      </c>
      <c r="AB24" s="173" t="str">
        <f t="shared" si="24"/>
        <v>6M</v>
      </c>
      <c r="AC24" s="335"/>
      <c r="AD24" s="6"/>
      <c r="AE24" s="198" t="s">
        <v>1222</v>
      </c>
      <c r="AF24" s="158" t="str">
        <f t="shared" si="4"/>
        <v>2M-8M</v>
      </c>
      <c r="AG24" s="134" t="s">
        <v>3927</v>
      </c>
      <c r="AH24" s="70">
        <f>IF(RealTime,_xll.RtGet(RtChannel,$AG24,AH$12),"StaticData")</f>
        <v>-0.19900000000000001</v>
      </c>
      <c r="AI24" s="71">
        <f>IF(RealTime,_xll.RtGet(RtChannel,$AG24,AI$12),"StaticData")</f>
        <v>-0.19900000000000001</v>
      </c>
      <c r="AJ24" s="435">
        <f>IF(RealTime,AH24,static_data())</f>
        <v>-0.19900000000000001</v>
      </c>
      <c r="AK24" s="435">
        <f>IF(RealTime,AI24,static_data())</f>
        <v>-0.19900000000000001</v>
      </c>
      <c r="AL24" s="43">
        <f t="shared" si="13"/>
        <v>-0.19900000000000001</v>
      </c>
      <c r="AO24" s="137" t="s">
        <v>1353</v>
      </c>
      <c r="AP24" s="137">
        <f t="shared" si="5"/>
        <v>2</v>
      </c>
      <c r="AQ24" s="158" t="str">
        <f t="shared" si="6"/>
        <v>5M-8M</v>
      </c>
      <c r="AR24" s="134" t="str">
        <f>CHOOSE($AP24,AR$3&amp;$AQ24&amp;AS$3,AR$4&amp;strrep(strrep(AQ24,"M",""),"-","X")&amp;AS$4,AR$5&amp;UPPER(FutCode2(AQ24))&amp;AS$5,AR$6&amp;$AQ24&amp;AS$6,"")</f>
        <v>EUR3MFRA5X8F=</v>
      </c>
      <c r="AS24" s="70">
        <f>IF(RealTime,_xll.RtGet(RtChannel,$AR24,AS$12),"StaticData")</f>
        <v>-0.28700000000000003</v>
      </c>
      <c r="AT24" s="70">
        <f>IF(RealTime,_xll.RtGet(RtChannel,$AR24,AT$12),"StaticData")</f>
        <v>-0.28700000000000003</v>
      </c>
      <c r="AU24" s="436">
        <f>IF(RealTime,AS24,static_data())</f>
        <v>-0.28700000000000003</v>
      </c>
      <c r="AV24" s="435">
        <f>IF(RealTime,AT24,static_data())</f>
        <v>-0.28700000000000003</v>
      </c>
      <c r="AW24" s="43">
        <f t="shared" si="7"/>
        <v>-0.28700000000000003</v>
      </c>
      <c r="AY24" s="198" t="s">
        <v>30</v>
      </c>
      <c r="AZ24" s="158" t="str">
        <f t="shared" si="8"/>
        <v>8M</v>
      </c>
      <c r="BA24" s="134" t="s">
        <v>3996</v>
      </c>
      <c r="BB24" s="70">
        <f>IF(RealTime,_xll.RtGet(RtChannel,$BA24,BB$12),"StaticData")</f>
        <v>-9.4329575000000013E-2</v>
      </c>
      <c r="BC24" s="71">
        <f>IF(RealTime,_xll.RtGet(RtChannel,$BA24,BC$12),"StaticData")</f>
        <v>-9.4329575000000013E-2</v>
      </c>
      <c r="BD24" s="435">
        <f>IF(RealTime,BB24,static_data())</f>
        <v>-9.4329575000000013E-2</v>
      </c>
      <c r="BE24" s="435">
        <f>IF(RealTime,BC24,static_data())</f>
        <v>-9.4329575000000013E-2</v>
      </c>
      <c r="BF24" s="43">
        <f t="shared" si="9"/>
        <v>-9.4329575000000013E-2</v>
      </c>
      <c r="BH24" s="158" t="str">
        <v>6M</v>
      </c>
      <c r="BI24" s="134" t="str">
        <f t="shared" si="25"/>
        <v>EURX6MD=</v>
      </c>
      <c r="BJ24" s="70">
        <f>IF(RealTime,_xll.RtGet(RtChannel,$BI24,BJ$12),"StaticData")</f>
        <v>-0.21</v>
      </c>
      <c r="BK24" s="71">
        <f>IF(RealTime,_xll.RtGet(RtChannel,$BI24,BK$12),"StaticData")</f>
        <v>-0.21</v>
      </c>
      <c r="BL24" s="435">
        <f>IF(RealTime,BJ24,static_data())</f>
        <v>-0.21</v>
      </c>
      <c r="BM24" s="435">
        <f>IF(RealTime,BK24,static_data())</f>
        <v>-0.21</v>
      </c>
      <c r="BN24" s="43">
        <f t="shared" si="10"/>
        <v>-0.21</v>
      </c>
      <c r="BP24" s="136" t="s">
        <v>28</v>
      </c>
      <c r="BQ24" s="137" t="str">
        <f t="shared" si="14"/>
        <v>6M</v>
      </c>
      <c r="BR24" s="134" t="str">
        <f t="shared" si="26"/>
        <v>EURONOIS6M=</v>
      </c>
      <c r="BS24" s="70">
        <f>IF(RealTime,_xll.RtGet(RtChannel,$BR24,BS$12),"StaticData")</f>
        <v>-0.35219644999999999</v>
      </c>
      <c r="BT24" s="70">
        <f>IF(RealTime,_xll.RtGet(RtChannel,$BR24,BT$12),"StaticData")</f>
        <v>-0.35219644999999999</v>
      </c>
      <c r="BU24" s="436">
        <f>IF(RealTime,BS24,static_data())</f>
        <v>-0.35219644999999999</v>
      </c>
      <c r="BV24" s="543">
        <f>IF(RealTime,BT24,static_data())</f>
        <v>-0.35219644999999999</v>
      </c>
      <c r="BW24" s="43">
        <f t="shared" si="21"/>
        <v>-0.35219644999999999</v>
      </c>
      <c r="BY24" s="198" t="s">
        <v>28</v>
      </c>
      <c r="BZ24" s="137" t="str">
        <f t="shared" si="15"/>
        <v>6M</v>
      </c>
      <c r="CA24" s="134" t="str">
        <f t="shared" si="28"/>
        <v>EUR1MSW6M=</v>
      </c>
      <c r="CB24" s="70">
        <f>IF(RealTime,_xll.RtGet(RtChannel,$CA24,CD$12),"StaticData")</f>
        <v>-0.374</v>
      </c>
      <c r="CC24" s="71">
        <f>IF(RealTime,_xll.RtGet(RtChannel,$CA24,CE$12),"StaticData")</f>
        <v>-0.374</v>
      </c>
      <c r="CD24" s="435">
        <f>IF(RealTime,CB24,static_data())</f>
        <v>-0.374</v>
      </c>
      <c r="CE24" s="435">
        <f>IF(RealTime,CC24,static_data())</f>
        <v>-0.374</v>
      </c>
      <c r="CF24" s="43">
        <f t="shared" si="16"/>
        <v>-0.374</v>
      </c>
      <c r="CG24" s="47">
        <f>(CF24-'reference set'!BA34)*100</f>
        <v>-0.10000000000000009</v>
      </c>
    </row>
    <row r="25" spans="1:85">
      <c r="A25" s="331">
        <v>11</v>
      </c>
      <c r="B25" s="102" t="s">
        <v>3857</v>
      </c>
      <c r="C25" s="128">
        <v>100.185</v>
      </c>
      <c r="D25" s="128">
        <v>100.19</v>
      </c>
      <c r="E25" s="132">
        <f t="shared" si="19"/>
        <v>100.1875</v>
      </c>
      <c r="F25" s="222">
        <v>43271</v>
      </c>
      <c r="G25" s="146" t="str">
        <f t="shared" si="17"/>
        <v>M8</v>
      </c>
      <c r="H25" s="125" t="str">
        <f t="shared" si="20"/>
        <v>JUN 18</v>
      </c>
      <c r="I25" s="336" t="str">
        <f t="shared" si="18"/>
        <v>LIF EURIBOR 3M;JUN 18</v>
      </c>
      <c r="J25" s="669">
        <f>'eur disaggregated'!K104</f>
        <v>0</v>
      </c>
      <c r="Q25" s="155" t="s">
        <v>29</v>
      </c>
      <c r="R25" s="102" t="s">
        <v>504</v>
      </c>
      <c r="S25" s="130" t="s">
        <v>29</v>
      </c>
      <c r="T25" s="163">
        <f>IF(ISNUMBER(S25),S25,CHOOSE(MATCH(RIGHT(S25,1),{"D","W","M"},0),NextBusDay(today,LEFT(S25,LEN(S25)-1)),NextBusDay(ValueDate+7*LEFT(S25,LEN(S25)-1)),NextBusDay(EDATE(ValueDate,LEFT(S25,LEN(S25)-1)))))</f>
        <v>42908</v>
      </c>
      <c r="U25" s="289" t="b">
        <f>T25&lt;DataSTUB</f>
        <v>0</v>
      </c>
      <c r="V25" s="284" t="str">
        <v>#20170621</v>
      </c>
      <c r="W25" s="137" t="str">
        <v>S</v>
      </c>
      <c r="X25" s="130" t="str">
        <f t="shared" si="0"/>
        <v>S1</v>
      </c>
      <c r="Y25" s="173">
        <f t="shared" si="1"/>
        <v>2</v>
      </c>
      <c r="Z25" s="175" t="str">
        <f t="shared" si="23"/>
        <v>21/06/17</v>
      </c>
      <c r="AA25" s="163">
        <v>42907</v>
      </c>
      <c r="AB25" s="173" t="str">
        <f t="shared" si="24"/>
        <v>#20170621</v>
      </c>
      <c r="AC25" s="335"/>
      <c r="AD25" s="6"/>
      <c r="AE25" s="198" t="s">
        <v>1223</v>
      </c>
      <c r="AF25" s="158" t="str">
        <f t="shared" si="4"/>
        <v>3M-9M</v>
      </c>
      <c r="AG25" s="134" t="s">
        <v>3928</v>
      </c>
      <c r="AH25" s="70">
        <f>IF(RealTime,_xll.RtGet(RtChannel,$AG25,AH$12),"StaticData")</f>
        <v>-0.192</v>
      </c>
      <c r="AI25" s="71">
        <f>IF(RealTime,_xll.RtGet(RtChannel,$AG25,AI$12),"StaticData")</f>
        <v>-0.192</v>
      </c>
      <c r="AJ25" s="435">
        <f>IF(RealTime,AH25,static_data())</f>
        <v>-0.192</v>
      </c>
      <c r="AK25" s="435">
        <f>IF(RealTime,AI25,static_data())</f>
        <v>-0.192</v>
      </c>
      <c r="AL25" s="43">
        <f t="shared" si="13"/>
        <v>-0.192</v>
      </c>
      <c r="AO25" s="137" t="s">
        <v>1214</v>
      </c>
      <c r="AP25" s="137">
        <f t="shared" si="5"/>
        <v>2</v>
      </c>
      <c r="AQ25" s="158" t="str">
        <f t="shared" si="6"/>
        <v>6M-9M</v>
      </c>
      <c r="AR25" s="134" t="str">
        <f>CHOOSE($AP25,AR$3&amp;$AQ25&amp;AS$3,AR$4&amp;strrep(strrep(AQ25,"M",""),"-","X")&amp;AS$4,AR$5&amp;UPPER(FutCode2(AQ25))&amp;AS$5,AR$6&amp;$AQ25&amp;AS$6,"")</f>
        <v>EUR3MFRA6X9F=</v>
      </c>
      <c r="AS25" s="70">
        <f>IF(RealTime,_xll.RtGet(RtChannel,$AR25,AS$12),"StaticData")</f>
        <v>-0.28300000000000003</v>
      </c>
      <c r="AT25" s="70">
        <f>IF(RealTime,_xll.RtGet(RtChannel,$AR25,AT$12),"StaticData")</f>
        <v>-0.28300000000000003</v>
      </c>
      <c r="AU25" s="436">
        <f>IF(RealTime,AS25,static_data())</f>
        <v>-0.28300000000000003</v>
      </c>
      <c r="AV25" s="435">
        <f>IF(RealTime,AT25,static_data())</f>
        <v>-0.28300000000000003</v>
      </c>
      <c r="AW25" s="43">
        <f t="shared" si="7"/>
        <v>-0.28300000000000003</v>
      </c>
      <c r="AY25" s="198" t="s">
        <v>49</v>
      </c>
      <c r="AZ25" s="158" t="str">
        <f t="shared" si="8"/>
        <v>9M</v>
      </c>
      <c r="BA25" s="134" t="s">
        <v>3997</v>
      </c>
      <c r="BB25" s="70">
        <f>IF(RealTime,_xll.RtGet(RtChannel,$BA25,BB$12),"StaticData")</f>
        <v>-9.0400000000000008E-2</v>
      </c>
      <c r="BC25" s="71">
        <f>IF(RealTime,_xll.RtGet(RtChannel,$BA25,BC$12),"StaticData")</f>
        <v>-9.0400000000000008E-2</v>
      </c>
      <c r="BD25" s="435">
        <f>IF(RealTime,BB25,static_data())</f>
        <v>-9.0400000000000008E-2</v>
      </c>
      <c r="BE25" s="435">
        <f>IF(RealTime,BC25,static_data())</f>
        <v>-9.0400000000000008E-2</v>
      </c>
      <c r="BF25" s="43">
        <f t="shared" si="9"/>
        <v>-9.0400000000000008E-2</v>
      </c>
      <c r="BH25" s="158" t="str">
        <v>#20170621</v>
      </c>
      <c r="BI25" s="134" t="str">
        <f t="shared" si="25"/>
        <v>EURXSTUBD=</v>
      </c>
      <c r="BJ25" s="70">
        <f>IF(RealTime,_xll.RtGet(RtChannel,$BI25,BJ$12),"StaticData")</f>
        <v>-0.19096774200000002</v>
      </c>
      <c r="BK25" s="71">
        <f>IF(RealTime,_xll.RtGet(RtChannel,$BI25,BK$12),"StaticData")</f>
        <v>-0.17096774200000001</v>
      </c>
      <c r="BL25" s="435">
        <f>IF(RealTime,BJ25,static_data())</f>
        <v>-0.19096774200000002</v>
      </c>
      <c r="BM25" s="435">
        <f>IF(RealTime,BK25,static_data())</f>
        <v>-0.17096774200000001</v>
      </c>
      <c r="BN25" s="43">
        <f t="shared" si="10"/>
        <v>-0.18096774200000001</v>
      </c>
      <c r="BP25" s="136" t="s">
        <v>29</v>
      </c>
      <c r="BQ25" s="137" t="str">
        <f t="shared" si="14"/>
        <v>7M</v>
      </c>
      <c r="BR25" s="134" t="str">
        <f t="shared" si="26"/>
        <v>EURONOIS7M=</v>
      </c>
      <c r="BS25" s="70">
        <f>IF(RealTime,_xll.RtGet(RtChannel,$BR25,BS$12),"StaticData")</f>
        <v>-0.35331696400000001</v>
      </c>
      <c r="BT25" s="70">
        <f>IF(RealTime,_xll.RtGet(RtChannel,$BR25,BT$12),"StaticData")</f>
        <v>-0.35331696400000001</v>
      </c>
      <c r="BU25" s="436">
        <f>IF(RealTime,BS25,static_data())</f>
        <v>-0.35331696400000001</v>
      </c>
      <c r="BV25" s="543">
        <f>IF(RealTime,BT25,static_data())</f>
        <v>-0.35331696400000001</v>
      </c>
      <c r="BW25" s="43">
        <f t="shared" si="21"/>
        <v>-0.35331696400000001</v>
      </c>
      <c r="BY25" s="198" t="s">
        <v>29</v>
      </c>
      <c r="BZ25" s="137" t="str">
        <f t="shared" si="15"/>
        <v>7M</v>
      </c>
      <c r="CA25" s="134" t="str">
        <f t="shared" si="28"/>
        <v>EUR1MSW7M=</v>
      </c>
      <c r="CB25" s="70">
        <f>IF(RealTime,_xll.RtGet(RtChannel,$CA25,CD$12),"StaticData")</f>
        <v>-0.374</v>
      </c>
      <c r="CC25" s="71">
        <f>IF(RealTime,_xll.RtGet(RtChannel,$CA25,CE$12),"StaticData")</f>
        <v>-0.374</v>
      </c>
      <c r="CD25" s="435">
        <f>IF(RealTime,CB25,static_data())</f>
        <v>-0.374</v>
      </c>
      <c r="CE25" s="435">
        <f>IF(RealTime,CC25,static_data())</f>
        <v>-0.374</v>
      </c>
      <c r="CF25" s="43">
        <f t="shared" si="16"/>
        <v>-0.374</v>
      </c>
      <c r="CG25" s="47">
        <f>(CF25-'reference set'!BA35)*100</f>
        <v>-0.10000000000000009</v>
      </c>
    </row>
    <row r="26" spans="1:85">
      <c r="A26" s="331">
        <v>12</v>
      </c>
      <c r="B26" s="102" t="s">
        <v>3858</v>
      </c>
      <c r="C26" s="128">
        <v>100.15</v>
      </c>
      <c r="D26" s="128">
        <v>100.155</v>
      </c>
      <c r="E26" s="132">
        <f t="shared" si="19"/>
        <v>100.1525</v>
      </c>
      <c r="F26" s="222">
        <v>43362</v>
      </c>
      <c r="G26" s="146" t="str">
        <f t="shared" si="17"/>
        <v>U8</v>
      </c>
      <c r="H26" s="125" t="str">
        <f t="shared" si="20"/>
        <v>SEP 18</v>
      </c>
      <c r="I26" s="336" t="str">
        <f t="shared" si="18"/>
        <v>LIF EURIBOR 3M;SEP 18</v>
      </c>
      <c r="J26" s="669">
        <f>'eur disaggregated'!K105</f>
        <v>0</v>
      </c>
      <c r="L26" s="401"/>
      <c r="M26" s="401"/>
      <c r="Q26" s="155" t="s">
        <v>30</v>
      </c>
      <c r="R26" s="102" t="s">
        <v>504</v>
      </c>
      <c r="S26" s="130" t="s">
        <v>30</v>
      </c>
      <c r="T26" s="163">
        <f>IF(ISNUMBER(S26),S26,CHOOSE(MATCH(RIGHT(S26,1),{"D","W","M"},0),NextBusDay(today,LEFT(S26,LEN(S26)-1)),NextBusDay(ValueDate+7*LEFT(S26,LEN(S26)-1)),NextBusDay(EDATE(ValueDate,LEFT(S26,LEN(S26)-1)))))</f>
        <v>42940</v>
      </c>
      <c r="U26" s="290" t="b">
        <f>T26&lt;DataSTUB</f>
        <v>0</v>
      </c>
      <c r="V26" s="284">
        <v>42907</v>
      </c>
      <c r="W26" s="137" t="str">
        <v>F</v>
      </c>
      <c r="X26" s="130" t="str">
        <f t="shared" si="0"/>
        <v>F1</v>
      </c>
      <c r="Y26" s="173">
        <f t="shared" si="1"/>
        <v>3</v>
      </c>
      <c r="Z26" s="175" t="str">
        <f t="shared" si="23"/>
        <v>JUN 17</v>
      </c>
      <c r="AA26" s="163">
        <v>42907</v>
      </c>
      <c r="AB26" s="173" t="str">
        <f t="shared" si="24"/>
        <v>M7</v>
      </c>
      <c r="AC26" s="335"/>
      <c r="AD26" s="6"/>
      <c r="AE26" s="198" t="s">
        <v>1224</v>
      </c>
      <c r="AF26" s="158" t="str">
        <f t="shared" si="4"/>
        <v>4M-10M</v>
      </c>
      <c r="AG26" s="134" t="s">
        <v>3929</v>
      </c>
      <c r="AH26" s="70">
        <f>IF(RealTime,_xll.RtGet(RtChannel,$AG26,AH$12),"StaticData")</f>
        <v>-0.185</v>
      </c>
      <c r="AI26" s="71">
        <f>IF(RealTime,_xll.RtGet(RtChannel,$AG26,AI$12),"StaticData")</f>
        <v>-0.185</v>
      </c>
      <c r="AJ26" s="435">
        <f>IF(RealTime,AH26,static_data())</f>
        <v>-0.185</v>
      </c>
      <c r="AK26" s="435">
        <f>IF(RealTime,AI26,static_data())</f>
        <v>-0.185</v>
      </c>
      <c r="AL26" s="43">
        <f t="shared" si="13"/>
        <v>-0.185</v>
      </c>
      <c r="AO26" s="137" t="s">
        <v>1354</v>
      </c>
      <c r="AP26" s="137">
        <f t="shared" si="5"/>
        <v>2</v>
      </c>
      <c r="AQ26" s="158" t="str">
        <f t="shared" si="6"/>
        <v>7M-10M</v>
      </c>
      <c r="AR26" s="134" t="str">
        <f>CHOOSE($AP26,AR$3&amp;$AQ26&amp;AS$3,AR$4&amp;strrep(strrep(AQ26,"M",""),"-","X")&amp;AS$4,AR$5&amp;UPPER(FutCode2(AQ26))&amp;AS$5,AR$6&amp;$AQ26&amp;AS$6,"")</f>
        <v>EUR3MFRA7X10F=</v>
      </c>
      <c r="AS26" s="70">
        <f>IF(RealTime,_xll.RtGet(RtChannel,$AR26,AS$12),"StaticData")</f>
        <v>-0.27800000000000002</v>
      </c>
      <c r="AT26" s="70">
        <f>IF(RealTime,_xll.RtGet(RtChannel,$AR26,AT$12),"StaticData")</f>
        <v>-0.27800000000000002</v>
      </c>
      <c r="AU26" s="436">
        <f>IF(RealTime,AS26,static_data())</f>
        <v>-0.27800000000000002</v>
      </c>
      <c r="AV26" s="435">
        <f>IF(RealTime,AT26,static_data())</f>
        <v>-0.27800000000000002</v>
      </c>
      <c r="AW26" s="43">
        <f t="shared" si="7"/>
        <v>-0.27800000000000002</v>
      </c>
      <c r="AY26" s="198" t="s">
        <v>50</v>
      </c>
      <c r="AZ26" s="158" t="str">
        <f t="shared" si="8"/>
        <v>10M</v>
      </c>
      <c r="BA26" s="134" t="s">
        <v>3998</v>
      </c>
      <c r="BB26" s="70">
        <f>IF(RealTime,_xll.RtGet(RtChannel,$BA26,BB$12),"StaticData")</f>
        <v>-8.5904514000000001E-2</v>
      </c>
      <c r="BC26" s="71">
        <f>IF(RealTime,_xll.RtGet(RtChannel,$BA26,BC$12),"StaticData")</f>
        <v>-8.5904514000000001E-2</v>
      </c>
      <c r="BD26" s="435">
        <f>IF(RealTime,BB26,static_data())</f>
        <v>-8.5904514000000001E-2</v>
      </c>
      <c r="BE26" s="435">
        <f>IF(RealTime,BC26,static_data())</f>
        <v>-8.5904514000000001E-2</v>
      </c>
      <c r="BF26" s="43">
        <f t="shared" si="9"/>
        <v>-8.5904514000000001E-2</v>
      </c>
      <c r="BH26" s="158">
        <v>42907</v>
      </c>
      <c r="BI26" s="134" t="str">
        <f t="shared" si="25"/>
        <v>EUR_CURVE_FUT3M_M7</v>
      </c>
      <c r="BJ26" s="70">
        <f>IF(RealTime,_xll.RtGet(RtChannel,$BI26,BJ$12),"StaticData")</f>
        <v>100.27500000000001</v>
      </c>
      <c r="BK26" s="71">
        <f>IF(RealTime,_xll.RtGet(RtChannel,$BI26,BK$12),"StaticData")</f>
        <v>100.28</v>
      </c>
      <c r="BL26" s="435">
        <f>IF(RealTime,BJ26,static_data())</f>
        <v>100.27500000000001</v>
      </c>
      <c r="BM26" s="435">
        <f>IF(RealTime,BK26,static_data())</f>
        <v>100.28</v>
      </c>
      <c r="BN26" s="43">
        <f t="shared" si="10"/>
        <v>-0.27750000000000341</v>
      </c>
      <c r="BP26" s="136" t="s">
        <v>30</v>
      </c>
      <c r="BQ26" s="137" t="str">
        <f t="shared" si="14"/>
        <v>8M</v>
      </c>
      <c r="BR26" s="134" t="str">
        <f t="shared" si="26"/>
        <v>EURONOIS8M=</v>
      </c>
      <c r="BS26" s="70">
        <f>IF(RealTime,_xll.RtGet(RtChannel,$BR26,BS$12),"StaticData")</f>
        <v>-0.35393896700000005</v>
      </c>
      <c r="BT26" s="70">
        <f>IF(RealTime,_xll.RtGet(RtChannel,$BR26,BT$12),"StaticData")</f>
        <v>-0.35393896700000005</v>
      </c>
      <c r="BU26" s="436">
        <f>IF(RealTime,BS26,static_data())</f>
        <v>-0.35393896700000005</v>
      </c>
      <c r="BV26" s="543">
        <f>IF(RealTime,BT26,static_data())</f>
        <v>-0.35393896700000005</v>
      </c>
      <c r="BW26" s="43">
        <f t="shared" si="21"/>
        <v>-0.35393896700000005</v>
      </c>
      <c r="BY26" s="198" t="s">
        <v>30</v>
      </c>
      <c r="BZ26" s="137" t="str">
        <f t="shared" si="15"/>
        <v>8M</v>
      </c>
      <c r="CA26" s="134" t="str">
        <f t="shared" si="28"/>
        <v>EUR1MSW8M=</v>
      </c>
      <c r="CB26" s="70">
        <f>IF(RealTime,_xll.RtGet(RtChannel,$CA26,CD$12),"StaticData")</f>
        <v>-0.373</v>
      </c>
      <c r="CC26" s="71">
        <f>IF(RealTime,_xll.RtGet(RtChannel,$CA26,CE$12),"StaticData")</f>
        <v>-0.373</v>
      </c>
      <c r="CD26" s="435">
        <f>IF(RealTime,CB26,static_data())</f>
        <v>-0.373</v>
      </c>
      <c r="CE26" s="435">
        <f>IF(RealTime,CC26,static_data())</f>
        <v>-0.373</v>
      </c>
      <c r="CF26" s="43">
        <f t="shared" si="16"/>
        <v>-0.373</v>
      </c>
      <c r="CG26" s="47">
        <f>(CF26-'reference set'!BA36)*100</f>
        <v>-0.10000000000000009</v>
      </c>
    </row>
    <row r="27" spans="1:85">
      <c r="A27" s="331">
        <v>13</v>
      </c>
      <c r="B27" s="102" t="s">
        <v>3859</v>
      </c>
      <c r="C27" s="128">
        <v>100.105</v>
      </c>
      <c r="D27" s="128">
        <v>100.11</v>
      </c>
      <c r="E27" s="132">
        <f t="shared" si="19"/>
        <v>100.1075</v>
      </c>
      <c r="F27" s="222">
        <v>43453</v>
      </c>
      <c r="G27" s="146" t="str">
        <f t="shared" si="17"/>
        <v>Z8</v>
      </c>
      <c r="H27" s="125" t="str">
        <f t="shared" si="20"/>
        <v>DEC 18</v>
      </c>
      <c r="I27" s="336" t="str">
        <f t="shared" si="18"/>
        <v>LIF EURIBOR 3M;DEC 18</v>
      </c>
      <c r="J27" s="669">
        <f>'eur disaggregated'!K106</f>
        <v>0</v>
      </c>
      <c r="L27" s="401"/>
      <c r="M27" s="401"/>
      <c r="Q27" s="156" t="s">
        <v>49</v>
      </c>
      <c r="R27" s="102" t="s">
        <v>504</v>
      </c>
      <c r="S27" s="130" t="s">
        <v>49</v>
      </c>
      <c r="T27" s="163">
        <f>IF(ISNUMBER(S27),S27,CHOOSE(MATCH(RIGHT(S27,1),{"D","W","M"},0),NextBusDay(today,LEFT(S27,LEN(S27)-1)),NextBusDay(ValueDate+7*LEFT(S27,LEN(S27)-1)),NextBusDay(EDATE(ValueDate,LEFT(S27,LEN(S27)-1)))))</f>
        <v>42969</v>
      </c>
      <c r="U27" s="291" t="b">
        <f>T27&lt;DataSTUB</f>
        <v>0</v>
      </c>
      <c r="V27" s="284">
        <v>42998</v>
      </c>
      <c r="W27" s="137" t="str">
        <v>F</v>
      </c>
      <c r="X27" s="130" t="str">
        <f t="shared" si="0"/>
        <v>F2</v>
      </c>
      <c r="Y27" s="173">
        <f t="shared" si="1"/>
        <v>3</v>
      </c>
      <c r="Z27" s="175" t="str">
        <f t="shared" si="23"/>
        <v>SEP 17</v>
      </c>
      <c r="AA27" s="163">
        <v>42998</v>
      </c>
      <c r="AB27" s="173" t="str">
        <f t="shared" si="24"/>
        <v>U7</v>
      </c>
      <c r="AC27" s="335"/>
      <c r="AD27" s="6"/>
      <c r="AE27" s="198" t="s">
        <v>1225</v>
      </c>
      <c r="AF27" s="158" t="str">
        <f t="shared" si="4"/>
        <v>5M-11M</v>
      </c>
      <c r="AG27" s="134" t="s">
        <v>3930</v>
      </c>
      <c r="AH27" s="70">
        <f>IF(RealTime,_xll.RtGet(RtChannel,$AG27,AH$12),"StaticData")</f>
        <v>-0.17599999999999999</v>
      </c>
      <c r="AI27" s="71">
        <f>IF(RealTime,_xll.RtGet(RtChannel,$AG27,AI$12),"StaticData")</f>
        <v>-0.17599999999999999</v>
      </c>
      <c r="AJ27" s="435">
        <f>IF(RealTime,AH27,static_data())</f>
        <v>-0.17599999999999999</v>
      </c>
      <c r="AK27" s="435">
        <f>IF(RealTime,AI27,static_data())</f>
        <v>-0.17599999999999999</v>
      </c>
      <c r="AL27" s="43">
        <f t="shared" si="13"/>
        <v>-0.17599999999999999</v>
      </c>
      <c r="AO27" s="137" t="s">
        <v>1355</v>
      </c>
      <c r="AP27" s="137">
        <f t="shared" si="5"/>
        <v>2</v>
      </c>
      <c r="AQ27" s="158" t="str">
        <f t="shared" si="6"/>
        <v>8M-11M</v>
      </c>
      <c r="AR27" s="134" t="str">
        <f>CHOOSE($AP27,AR$3&amp;$AQ27&amp;AS$3,AR$4&amp;strrep(strrep(AQ27,"M",""),"-","X")&amp;AS$4,AR$5&amp;UPPER(FutCode2(AQ27))&amp;AS$5,AR$6&amp;$AQ27&amp;AS$6,"")</f>
        <v>EUR3MFRA8X11F=</v>
      </c>
      <c r="AS27" s="70">
        <f>IF(RealTime,_xll.RtGet(RtChannel,$AR27,AS$12),"StaticData")</f>
        <v>-0.27200000000000002</v>
      </c>
      <c r="AT27" s="70">
        <f>IF(RealTime,_xll.RtGet(RtChannel,$AR27,AT$12),"StaticData")</f>
        <v>-0.27200000000000002</v>
      </c>
      <c r="AU27" s="436">
        <f>IF(RealTime,AS27,static_data())</f>
        <v>-0.27200000000000002</v>
      </c>
      <c r="AV27" s="435">
        <f>IF(RealTime,AT27,static_data())</f>
        <v>-0.27200000000000002</v>
      </c>
      <c r="AW27" s="43">
        <f t="shared" si="7"/>
        <v>-0.27200000000000002</v>
      </c>
      <c r="AY27" s="198" t="s">
        <v>51</v>
      </c>
      <c r="AZ27" s="158" t="str">
        <f t="shared" si="8"/>
        <v>11M</v>
      </c>
      <c r="BA27" s="134" t="s">
        <v>3999</v>
      </c>
      <c r="BB27" s="70">
        <f>IF(RealTime,_xll.RtGet(RtChannel,$BA27,BB$12),"StaticData")</f>
        <v>-8.103046500000001E-2</v>
      </c>
      <c r="BC27" s="71">
        <f>IF(RealTime,_xll.RtGet(RtChannel,$BA27,BC$12),"StaticData")</f>
        <v>-8.103046500000001E-2</v>
      </c>
      <c r="BD27" s="435">
        <f>IF(RealTime,BB27,static_data())</f>
        <v>-8.103046500000001E-2</v>
      </c>
      <c r="BE27" s="435">
        <f>IF(RealTime,BC27,static_data())</f>
        <v>-8.103046500000001E-2</v>
      </c>
      <c r="BF27" s="43">
        <f t="shared" si="9"/>
        <v>-8.103046500000001E-2</v>
      </c>
      <c r="BH27" s="158">
        <v>42998</v>
      </c>
      <c r="BI27" s="134" t="str">
        <f t="shared" si="25"/>
        <v>EUR_CURVE_FUT3M_U7</v>
      </c>
      <c r="BJ27" s="70">
        <f>IF(RealTime,_xll.RtGet(RtChannel,$BI27,BJ$12),"StaticData")</f>
        <v>100.26</v>
      </c>
      <c r="BK27" s="71">
        <f>IF(RealTime,_xll.RtGet(RtChannel,$BI27,BK$12),"StaticData")</f>
        <v>100.265</v>
      </c>
      <c r="BL27" s="435">
        <f>IF(RealTime,BJ27,static_data())</f>
        <v>100.26</v>
      </c>
      <c r="BM27" s="435">
        <f>IF(RealTime,BK27,static_data())</f>
        <v>100.265</v>
      </c>
      <c r="BN27" s="43">
        <f t="shared" si="10"/>
        <v>-0.26250000000000284</v>
      </c>
      <c r="BP27" s="136" t="s">
        <v>49</v>
      </c>
      <c r="BQ27" s="137" t="str">
        <f t="shared" si="14"/>
        <v>9M</v>
      </c>
      <c r="BR27" s="134" t="str">
        <f t="shared" si="26"/>
        <v>EURONOIS9M=</v>
      </c>
      <c r="BS27" s="70">
        <f>IF(RealTime,_xll.RtGet(RtChannel,$BR27,BS$12),"StaticData")</f>
        <v>-0.35436553600000004</v>
      </c>
      <c r="BT27" s="70">
        <f>IF(RealTime,_xll.RtGet(RtChannel,$BR27,BT$12),"StaticData")</f>
        <v>-0.35436553600000004</v>
      </c>
      <c r="BU27" s="436">
        <f>IF(RealTime,BS27,static_data())</f>
        <v>-0.35436553600000004</v>
      </c>
      <c r="BV27" s="543">
        <f>IF(RealTime,BT27,static_data())</f>
        <v>-0.35436553600000004</v>
      </c>
      <c r="BW27" s="43">
        <f t="shared" si="21"/>
        <v>-0.35436553600000004</v>
      </c>
      <c r="BY27" s="198" t="s">
        <v>49</v>
      </c>
      <c r="BZ27" s="137" t="str">
        <f t="shared" si="15"/>
        <v>9M</v>
      </c>
      <c r="CA27" s="134" t="str">
        <f t="shared" si="28"/>
        <v>EUR1MSW9M=</v>
      </c>
      <c r="CB27" s="70">
        <f>IF(RealTime,_xll.RtGet(RtChannel,$CA27,CD$12),"StaticData")</f>
        <v>-0.373</v>
      </c>
      <c r="CC27" s="71">
        <f>IF(RealTime,_xll.RtGet(RtChannel,$CA27,CE$12),"StaticData")</f>
        <v>-0.373</v>
      </c>
      <c r="CD27" s="435">
        <f>IF(RealTime,CB27,static_data())</f>
        <v>-0.373</v>
      </c>
      <c r="CE27" s="435">
        <f>IF(RealTime,CC27,static_data())</f>
        <v>-0.373</v>
      </c>
      <c r="CF27" s="43">
        <f t="shared" si="16"/>
        <v>-0.373</v>
      </c>
      <c r="CG27" s="47">
        <f>(CF27-'reference set'!BA37)*100</f>
        <v>-0.10000000000000009</v>
      </c>
    </row>
    <row r="28" spans="1:85">
      <c r="A28" s="331">
        <v>14</v>
      </c>
      <c r="B28" s="102" t="s">
        <v>3860</v>
      </c>
      <c r="C28" s="128">
        <v>100.06</v>
      </c>
      <c r="D28" s="128">
        <v>100.065</v>
      </c>
      <c r="E28" s="132">
        <f t="shared" si="19"/>
        <v>100.0625</v>
      </c>
      <c r="F28" s="222">
        <v>43544</v>
      </c>
      <c r="G28" s="146" t="str">
        <f t="shared" si="17"/>
        <v>H9</v>
      </c>
      <c r="H28" s="125" t="str">
        <f t="shared" si="20"/>
        <v>MAR 19</v>
      </c>
      <c r="I28" s="336" t="str">
        <f t="shared" si="18"/>
        <v>LIF EURIBOR 3M;MAR 19</v>
      </c>
      <c r="J28" s="669">
        <f>'eur disaggregated'!K107</f>
        <v>0</v>
      </c>
      <c r="L28" s="401"/>
      <c r="M28" s="401"/>
      <c r="Q28" s="169" t="str">
        <f>"#"&amp;TEXT(DataSTUB,"YYYYMMDD")</f>
        <v>#20170621</v>
      </c>
      <c r="R28" s="102" t="s">
        <v>507</v>
      </c>
      <c r="S28" s="163" t="s">
        <v>92</v>
      </c>
      <c r="T28" s="161">
        <f>DataSTUB</f>
        <v>42907</v>
      </c>
      <c r="U28" s="288" t="b">
        <v>1</v>
      </c>
      <c r="V28" s="284">
        <v>43089</v>
      </c>
      <c r="W28" s="137" t="str">
        <v>F</v>
      </c>
      <c r="X28" s="130" t="str">
        <f t="shared" si="0"/>
        <v>F3</v>
      </c>
      <c r="Y28" s="173">
        <f t="shared" si="1"/>
        <v>3</v>
      </c>
      <c r="Z28" s="175" t="str">
        <f t="shared" si="23"/>
        <v>DEC 17</v>
      </c>
      <c r="AA28" s="163">
        <v>43089</v>
      </c>
      <c r="AB28" s="173" t="str">
        <f t="shared" si="24"/>
        <v>Z7</v>
      </c>
      <c r="AC28" s="335"/>
      <c r="AD28" s="6"/>
      <c r="AE28" s="198" t="s">
        <v>1194</v>
      </c>
      <c r="AF28" s="158" t="str">
        <f t="shared" si="4"/>
        <v>6M-12M</v>
      </c>
      <c r="AG28" s="134" t="s">
        <v>3931</v>
      </c>
      <c r="AH28" s="70">
        <f>IF(RealTime,_xll.RtGet(RtChannel,$AG28,AH$12),"StaticData")</f>
        <v>-0.16900000000000001</v>
      </c>
      <c r="AI28" s="70">
        <f>IF(RealTime,_xll.RtGet(RtChannel,$AG28,AI$12),"StaticData")</f>
        <v>-0.16900000000000001</v>
      </c>
      <c r="AJ28" s="436">
        <f>IF(RealTime,AH28,static_data())</f>
        <v>-0.16900000000000001</v>
      </c>
      <c r="AK28" s="435">
        <f>IF(RealTime,AI28,static_data())</f>
        <v>-0.16900000000000001</v>
      </c>
      <c r="AL28" s="43">
        <f t="shared" si="13"/>
        <v>-0.16900000000000001</v>
      </c>
      <c r="AO28" s="137" t="s">
        <v>1215</v>
      </c>
      <c r="AP28" s="137">
        <f t="shared" si="5"/>
        <v>2</v>
      </c>
      <c r="AQ28" s="158" t="str">
        <f t="shared" si="6"/>
        <v>9M-12M</v>
      </c>
      <c r="AR28" s="134" t="str">
        <f>CHOOSE($AP28,AR$3&amp;$AQ28&amp;AS$3,AR$4&amp;strrep(strrep(AQ28,"M",""),"-","X")&amp;AS$4,AR$5&amp;UPPER(FutCode2(AQ28))&amp;AS$5,AR$6&amp;$AQ28&amp;AS$6,"")</f>
        <v>EUR3MFRA9X12F=</v>
      </c>
      <c r="AS28" s="70">
        <f>IF(RealTime,_xll.RtGet(RtChannel,$AR28,AS$12),"StaticData")</f>
        <v>-0.26600000000000001</v>
      </c>
      <c r="AT28" s="70">
        <f>IF(RealTime,_xll.RtGet(RtChannel,$AR28,AT$12),"StaticData")</f>
        <v>-0.26600000000000001</v>
      </c>
      <c r="AU28" s="436">
        <f>IF(RealTime,AS28,static_data())</f>
        <v>-0.26600000000000001</v>
      </c>
      <c r="AV28" s="435">
        <f>IF(RealTime,AT28,static_data())</f>
        <v>-0.26600000000000001</v>
      </c>
      <c r="AW28" s="43">
        <f t="shared" si="7"/>
        <v>-0.26600000000000001</v>
      </c>
      <c r="AY28" s="198" t="s">
        <v>52</v>
      </c>
      <c r="AZ28" s="158" t="str">
        <f t="shared" si="8"/>
        <v>12M</v>
      </c>
      <c r="BA28" s="134" t="s">
        <v>4000</v>
      </c>
      <c r="BB28" s="70">
        <f>IF(RealTime,_xll.RtGet(RtChannel,$BA28,BB$12),"StaticData")</f>
        <v>-7.5900000000000009E-2</v>
      </c>
      <c r="BC28" s="70">
        <f>IF(RealTime,_xll.RtGet(RtChannel,$BA28,BC$12),"StaticData")</f>
        <v>-7.5900000000000009E-2</v>
      </c>
      <c r="BD28" s="436">
        <f>IF(RealTime,BB28,static_data())</f>
        <v>-7.5900000000000009E-2</v>
      </c>
      <c r="BE28" s="435">
        <f>IF(RealTime,BC28,static_data())</f>
        <v>-7.5900000000000009E-2</v>
      </c>
      <c r="BF28" s="43">
        <f t="shared" si="9"/>
        <v>-7.5900000000000009E-2</v>
      </c>
      <c r="BH28" s="158">
        <v>43089</v>
      </c>
      <c r="BI28" s="134" t="str">
        <f t="shared" si="25"/>
        <v>EUR_CURVE_FUT3M_Z7</v>
      </c>
      <c r="BJ28" s="70">
        <f>IF(RealTime,_xll.RtGet(RtChannel,$BI28,BJ$12),"StaticData")</f>
        <v>100.24000000000001</v>
      </c>
      <c r="BK28" s="70">
        <f>IF(RealTime,_xll.RtGet(RtChannel,$BI28,BK$12),"StaticData")</f>
        <v>100.245</v>
      </c>
      <c r="BL28" s="435">
        <f>IF(RealTime,BJ28,static_data())</f>
        <v>100.24000000000001</v>
      </c>
      <c r="BM28" s="435">
        <f>IF(RealTime,BK28,static_data())</f>
        <v>100.245</v>
      </c>
      <c r="BN28" s="43">
        <f t="shared" si="10"/>
        <v>-0.24250000000000682</v>
      </c>
      <c r="BP28" s="136" t="s">
        <v>50</v>
      </c>
      <c r="BQ28" s="137" t="str">
        <f t="shared" si="14"/>
        <v>10M</v>
      </c>
      <c r="BR28" s="134" t="str">
        <f t="shared" si="26"/>
        <v>EURONOIS10M=</v>
      </c>
      <c r="BS28" s="70">
        <f>IF(RealTime,_xll.RtGet(RtChannel,$BR28,BS$12),"StaticData")</f>
        <v>-0.35446380900000002</v>
      </c>
      <c r="BT28" s="70">
        <f>IF(RealTime,_xll.RtGet(RtChannel,$BR28,BT$12),"StaticData")</f>
        <v>-0.35446380900000002</v>
      </c>
      <c r="BU28" s="436">
        <f>IF(RealTime,BS28,static_data())</f>
        <v>-0.35446380900000002</v>
      </c>
      <c r="BV28" s="543">
        <f>IF(RealTime,BT28,static_data())</f>
        <v>-0.35446380900000002</v>
      </c>
      <c r="BW28" s="43">
        <f t="shared" si="21"/>
        <v>-0.35446380900000002</v>
      </c>
      <c r="BY28" s="198" t="s">
        <v>50</v>
      </c>
      <c r="BZ28" s="137" t="str">
        <f t="shared" si="15"/>
        <v>10M</v>
      </c>
      <c r="CA28" s="134" t="str">
        <f t="shared" si="28"/>
        <v>EUR1MSW10M=</v>
      </c>
      <c r="CB28" s="70">
        <f>IF(RealTime,_xll.RtGet(RtChannel,$CA28,CD$12),"StaticData")</f>
        <v>-0.372</v>
      </c>
      <c r="CC28" s="71">
        <f>IF(RealTime,_xll.RtGet(RtChannel,$CA28,CE$12),"StaticData")</f>
        <v>-0.372</v>
      </c>
      <c r="CD28" s="435">
        <f>IF(RealTime,CB28,static_data())</f>
        <v>-0.372</v>
      </c>
      <c r="CE28" s="435">
        <f>IF(RealTime,CC28,static_data())</f>
        <v>-0.372</v>
      </c>
      <c r="CF28" s="43">
        <f t="shared" si="16"/>
        <v>-0.372</v>
      </c>
      <c r="CG28" s="47">
        <f>(CF28-'reference set'!BA38)*100</f>
        <v>-0.10000000000000009</v>
      </c>
    </row>
    <row r="29" spans="1:85">
      <c r="A29" s="331">
        <v>15</v>
      </c>
      <c r="B29" s="102" t="s">
        <v>3861</v>
      </c>
      <c r="C29" s="128">
        <v>100.015</v>
      </c>
      <c r="D29" s="128">
        <v>100.02</v>
      </c>
      <c r="E29" s="132">
        <f t="shared" si="19"/>
        <v>100.0175</v>
      </c>
      <c r="F29" s="222">
        <v>43635</v>
      </c>
      <c r="G29" s="146" t="str">
        <f t="shared" si="17"/>
        <v>M9</v>
      </c>
      <c r="H29" s="125" t="str">
        <f t="shared" si="20"/>
        <v>JUN 19</v>
      </c>
      <c r="I29" s="336" t="str">
        <f t="shared" si="18"/>
        <v>LIF EURIBOR 3M;JUN 19</v>
      </c>
      <c r="J29" s="669">
        <f>'eur disaggregated'!K108</f>
        <v>0</v>
      </c>
      <c r="L29" s="401"/>
      <c r="M29" s="401"/>
      <c r="Q29" s="170">
        <f>M17</f>
        <v>42907</v>
      </c>
      <c r="R29" s="102" t="s">
        <v>505</v>
      </c>
      <c r="S29" s="266"/>
      <c r="T29" s="161">
        <f>IF(ISNUMBER(Q29),Q29,"")</f>
        <v>42907</v>
      </c>
      <c r="U29" s="288" t="b">
        <v>1</v>
      </c>
      <c r="V29" s="284">
        <v>43180</v>
      </c>
      <c r="W29" s="137" t="str">
        <v>F</v>
      </c>
      <c r="X29" s="130" t="str">
        <f t="shared" si="0"/>
        <v>F4</v>
      </c>
      <c r="Y29" s="173">
        <f t="shared" si="1"/>
        <v>3</v>
      </c>
      <c r="Z29" s="175" t="str">
        <f t="shared" si="23"/>
        <v>MAR 18</v>
      </c>
      <c r="AA29" s="163">
        <v>43180</v>
      </c>
      <c r="AB29" s="173" t="str">
        <f t="shared" si="24"/>
        <v>H8</v>
      </c>
      <c r="AC29" s="146">
        <f t="shared" ref="AC29:AC34" si="29">IF(ISNUMBER(V29),INDEX($O$17:$O$22,MATCH(FutCode(V29),$N$17:$N$22,0),1),"")</f>
        <v>0</v>
      </c>
      <c r="AD29" s="6"/>
      <c r="AE29" s="198" t="s">
        <v>1226</v>
      </c>
      <c r="AF29" s="158" t="str">
        <f t="shared" si="4"/>
        <v>7M-13M</v>
      </c>
      <c r="AG29" s="134" t="s">
        <v>3932</v>
      </c>
      <c r="AH29" s="70">
        <f>IF(RealTime,_xll.RtGet(RtChannel,$AG29,AH$12),"StaticData")</f>
        <v>-0.161</v>
      </c>
      <c r="AI29" s="71">
        <f>IF(RealTime,_xll.RtGet(RtChannel,$AG29,AI$12),"StaticData")</f>
        <v>-0.161</v>
      </c>
      <c r="AJ29" s="435">
        <f>IF(RealTime,AH29,static_data())</f>
        <v>-0.161</v>
      </c>
      <c r="AK29" s="435">
        <f>IF(RealTime,AI29,static_data())</f>
        <v>-0.161</v>
      </c>
      <c r="AL29" s="43">
        <f t="shared" si="13"/>
        <v>-0.161</v>
      </c>
      <c r="AO29" s="137" t="s">
        <v>3887</v>
      </c>
      <c r="AP29" s="137">
        <f t="shared" si="5"/>
        <v>2</v>
      </c>
      <c r="AQ29" s="158" t="str">
        <f t="shared" si="6"/>
        <v>10M-13M</v>
      </c>
      <c r="AR29" s="134" t="str">
        <f>CHOOSE($AP29,AR$3&amp;$AQ29&amp;AS$3,AR$4&amp;strrep(strrep(AQ29,"M",""),"-","X")&amp;AS$4,AR$5&amp;UPPER(FutCode2(AQ29))&amp;AS$5,AR$6&amp;$AQ29&amp;AS$6,"")</f>
        <v>EUR3MFRA10X13F=</v>
      </c>
      <c r="AS29" s="70">
        <f>IF(RealTime,_xll.RtGet(RtChannel,$AR29,AS$12),"StaticData")</f>
        <v>-0.26100000000000001</v>
      </c>
      <c r="AT29" s="70">
        <f>IF(RealTime,_xll.RtGet(RtChannel,$AR29,AT$12),"StaticData")</f>
        <v>-0.26100000000000001</v>
      </c>
      <c r="AU29" s="436">
        <f>IF(RealTime,AS29,static_data())</f>
        <v>-0.26100000000000001</v>
      </c>
      <c r="AV29" s="435">
        <f>IF(RealTime,AT29,static_data())</f>
        <v>-0.26100000000000001</v>
      </c>
      <c r="AW29" s="43">
        <f t="shared" si="7"/>
        <v>-0.26100000000000001</v>
      </c>
      <c r="AY29" s="198" t="s">
        <v>2817</v>
      </c>
      <c r="AZ29" s="158" t="str">
        <f t="shared" si="8"/>
        <v>1M-13M</v>
      </c>
      <c r="BA29" s="134" t="s">
        <v>4001</v>
      </c>
      <c r="BB29" s="70">
        <f>IF(RealTime,_xll.RtGet(RtChannel,$BA29,BB$12),"StaticData")</f>
        <v>-6.7000000000000004E-2</v>
      </c>
      <c r="BC29" s="71">
        <f>IF(RealTime,_xll.RtGet(RtChannel,$BA29,BC$12),"StaticData")</f>
        <v>-6.7000000000000004E-2</v>
      </c>
      <c r="BD29" s="435">
        <f>IF(RealTime,BB29,static_data())</f>
        <v>-6.7000000000000004E-2</v>
      </c>
      <c r="BE29" s="435">
        <f>IF(RealTime,BC29,static_data())</f>
        <v>-6.7000000000000004E-2</v>
      </c>
      <c r="BF29" s="43">
        <f t="shared" si="9"/>
        <v>-6.7000000000000004E-2</v>
      </c>
      <c r="BH29" s="158">
        <v>43180</v>
      </c>
      <c r="BI29" s="134" t="str">
        <f t="shared" si="25"/>
        <v>EUR_CURVE_FUT3M_H8</v>
      </c>
      <c r="BJ29" s="70">
        <f>IF(RealTime,_xll.RtGet(RtChannel,$BI29,BJ$12),"StaticData")</f>
        <v>100.215</v>
      </c>
      <c r="BK29" s="71">
        <f>IF(RealTime,_xll.RtGet(RtChannel,$BI29,BK$12),"StaticData")</f>
        <v>100.22</v>
      </c>
      <c r="BL29" s="435">
        <f>IF(RealTime,BJ29,static_data())</f>
        <v>100.215</v>
      </c>
      <c r="BM29" s="435">
        <f>IF(RealTime,BK29,static_data())</f>
        <v>100.22</v>
      </c>
      <c r="BN29" s="43">
        <f t="shared" si="10"/>
        <v>-0.21750000000000114</v>
      </c>
      <c r="BP29" s="136" t="s">
        <v>51</v>
      </c>
      <c r="BQ29" s="137" t="str">
        <f t="shared" si="14"/>
        <v>11M</v>
      </c>
      <c r="BR29" s="134" t="str">
        <f t="shared" si="26"/>
        <v>EURONOIS11M=</v>
      </c>
      <c r="BS29" s="70">
        <f>IF(RealTime,_xll.RtGet(RtChannel,$BR29,BS$12),"StaticData")</f>
        <v>-0.35418229100000004</v>
      </c>
      <c r="BT29" s="70">
        <f>IF(RealTime,_xll.RtGet(RtChannel,$BR29,BT$12),"StaticData")</f>
        <v>-0.35418229100000004</v>
      </c>
      <c r="BU29" s="436">
        <f>IF(RealTime,BS29,static_data())</f>
        <v>-0.35418229100000004</v>
      </c>
      <c r="BV29" s="543">
        <f>IF(RealTime,BT29,static_data())</f>
        <v>-0.35418229100000004</v>
      </c>
      <c r="BW29" s="43">
        <f t="shared" si="21"/>
        <v>-0.35418229100000004</v>
      </c>
      <c r="BY29" s="198" t="s">
        <v>51</v>
      </c>
      <c r="BZ29" s="137" t="str">
        <f t="shared" si="15"/>
        <v>11M</v>
      </c>
      <c r="CA29" s="134" t="str">
        <f t="shared" si="28"/>
        <v>EUR1MSW11M=</v>
      </c>
      <c r="CB29" s="70">
        <f>IF(RealTime,_xll.RtGet(RtChannel,$CA29,CD$12),"StaticData")</f>
        <v>-0.371</v>
      </c>
      <c r="CC29" s="71">
        <f>IF(RealTime,_xll.RtGet(RtChannel,$CA29,CE$12),"StaticData")</f>
        <v>-0.371</v>
      </c>
      <c r="CD29" s="435">
        <f>IF(RealTime,CB29,static_data())</f>
        <v>-0.371</v>
      </c>
      <c r="CE29" s="435">
        <f>IF(RealTime,CC29,static_data())</f>
        <v>-0.371</v>
      </c>
      <c r="CF29" s="43">
        <f t="shared" si="16"/>
        <v>-0.371</v>
      </c>
      <c r="CG29" s="47">
        <f>(CF29-'reference set'!BA39)*100</f>
        <v>-0.10000000000000009</v>
      </c>
    </row>
    <row r="30" spans="1:85">
      <c r="A30" s="331">
        <v>16</v>
      </c>
      <c r="B30" s="102" t="s">
        <v>3862</v>
      </c>
      <c r="C30" s="128">
        <v>99.965000000000003</v>
      </c>
      <c r="D30" s="128">
        <v>99.97</v>
      </c>
      <c r="E30" s="132">
        <f t="shared" si="19"/>
        <v>99.967500000000001</v>
      </c>
      <c r="F30" s="222">
        <v>43726</v>
      </c>
      <c r="G30" s="146" t="str">
        <f t="shared" si="17"/>
        <v>U9</v>
      </c>
      <c r="H30" s="125" t="str">
        <f t="shared" si="20"/>
        <v>SEP 19</v>
      </c>
      <c r="I30" s="336" t="str">
        <f t="shared" si="18"/>
        <v>LIF EURIBOR 3M;SEP 19</v>
      </c>
      <c r="J30" s="669">
        <f>'eur disaggregated'!K109</f>
        <v>0</v>
      </c>
      <c r="L30" s="401"/>
      <c r="M30" s="401"/>
      <c r="Q30" s="170">
        <f t="shared" ref="Q30:Q34" si="30">M18</f>
        <v>42998</v>
      </c>
      <c r="R30" s="102" t="s">
        <v>505</v>
      </c>
      <c r="S30" s="266"/>
      <c r="T30" s="163">
        <f t="shared" ref="T30:T34" si="31">Q30</f>
        <v>42998</v>
      </c>
      <c r="U30" s="288" t="b">
        <v>1</v>
      </c>
      <c r="V30" s="284">
        <v>43271</v>
      </c>
      <c r="W30" s="137" t="str">
        <v>F</v>
      </c>
      <c r="X30" s="130" t="str">
        <f t="shared" si="0"/>
        <v>F5</v>
      </c>
      <c r="Y30" s="173">
        <f t="shared" si="1"/>
        <v>3</v>
      </c>
      <c r="Z30" s="175" t="str">
        <f t="shared" si="23"/>
        <v>JUN 18</v>
      </c>
      <c r="AA30" s="163">
        <v>43271</v>
      </c>
      <c r="AB30" s="173" t="str">
        <f t="shared" si="24"/>
        <v>M8</v>
      </c>
      <c r="AC30" s="146">
        <f t="shared" si="29"/>
        <v>0</v>
      </c>
      <c r="AD30" s="6"/>
      <c r="AE30" s="198" t="s">
        <v>1227</v>
      </c>
      <c r="AF30" s="158" t="str">
        <f t="shared" si="4"/>
        <v>8M-14M</v>
      </c>
      <c r="AG30" s="134" t="s">
        <v>3933</v>
      </c>
      <c r="AH30" s="70">
        <f>IF(RealTime,_xll.RtGet(RtChannel,$AG30,AH$12),"StaticData")</f>
        <v>-0.152</v>
      </c>
      <c r="AI30" s="71">
        <f>IF(RealTime,_xll.RtGet(RtChannel,$AG30,AI$12),"StaticData")</f>
        <v>-0.152</v>
      </c>
      <c r="AJ30" s="435">
        <f>IF(RealTime,AH30,static_data())</f>
        <v>-0.152</v>
      </c>
      <c r="AK30" s="435">
        <f>IF(RealTime,AI30,static_data())</f>
        <v>-0.152</v>
      </c>
      <c r="AL30" s="43">
        <f t="shared" si="13"/>
        <v>-0.152</v>
      </c>
      <c r="AO30" s="137" t="s">
        <v>3888</v>
      </c>
      <c r="AP30" s="137">
        <f t="shared" si="5"/>
        <v>2</v>
      </c>
      <c r="AQ30" s="158" t="str">
        <f t="shared" si="6"/>
        <v>11M-14M</v>
      </c>
      <c r="AR30" s="134" t="str">
        <f>CHOOSE($AP30,AR$3&amp;$AQ30&amp;AS$3,AR$4&amp;strrep(strrep(AQ30,"M",""),"-","X")&amp;AS$4,AR$5&amp;UPPER(FutCode2(AQ30))&amp;AS$5,AR$6&amp;$AQ30&amp;AS$6,"")</f>
        <v>EUR3MFRA11X14F=</v>
      </c>
      <c r="AS30" s="70">
        <f>IF(RealTime,_xll.RtGet(RtChannel,$AR30,AS$12),"StaticData")</f>
        <v>-0.254</v>
      </c>
      <c r="AT30" s="70">
        <f>IF(RealTime,_xll.RtGet(RtChannel,$AR30,AT$12),"StaticData")</f>
        <v>-0.254</v>
      </c>
      <c r="AU30" s="436">
        <f>IF(RealTime,AS30,static_data())</f>
        <v>-0.254</v>
      </c>
      <c r="AV30" s="435">
        <f>IF(RealTime,AT30,static_data())</f>
        <v>-0.254</v>
      </c>
      <c r="AW30" s="43">
        <f t="shared" si="7"/>
        <v>-0.254</v>
      </c>
      <c r="AY30" s="198" t="s">
        <v>2819</v>
      </c>
      <c r="AZ30" s="158" t="str">
        <f t="shared" si="8"/>
        <v>2M-14M</v>
      </c>
      <c r="BA30" s="134" t="s">
        <v>4002</v>
      </c>
      <c r="BB30" s="70">
        <f>IF(RealTime,_xll.RtGet(RtChannel,$BA30,BB$12),"StaticData")</f>
        <v>-5.7000000000000002E-2</v>
      </c>
      <c r="BC30" s="71">
        <f>IF(RealTime,_xll.RtGet(RtChannel,$BA30,BC$12),"StaticData")</f>
        <v>-5.7000000000000002E-2</v>
      </c>
      <c r="BD30" s="435">
        <f>IF(RealTime,BB30,static_data())</f>
        <v>-5.7000000000000002E-2</v>
      </c>
      <c r="BE30" s="435">
        <f>IF(RealTime,BC30,static_data())</f>
        <v>-5.7000000000000002E-2</v>
      </c>
      <c r="BF30" s="43">
        <f t="shared" si="9"/>
        <v>-5.7000000000000002E-2</v>
      </c>
      <c r="BH30" s="158">
        <v>43271</v>
      </c>
      <c r="BI30" s="134" t="str">
        <f t="shared" si="25"/>
        <v>EUR_CURVE_FUT3M_M8</v>
      </c>
      <c r="BJ30" s="70">
        <f>IF(RealTime,_xll.RtGet(RtChannel,$BI30,BJ$12),"StaticData")</f>
        <v>100.185</v>
      </c>
      <c r="BK30" s="71">
        <f>IF(RealTime,_xll.RtGet(RtChannel,$BI30,BK$12),"StaticData")</f>
        <v>100.19</v>
      </c>
      <c r="BL30" s="435">
        <f>IF(RealTime,BJ30,static_data())</f>
        <v>100.185</v>
      </c>
      <c r="BM30" s="435">
        <f>IF(RealTime,BK30,static_data())</f>
        <v>100.19</v>
      </c>
      <c r="BN30" s="43">
        <f t="shared" si="10"/>
        <v>-0.1875</v>
      </c>
      <c r="BP30" s="136" t="s">
        <v>56</v>
      </c>
      <c r="BQ30" s="137" t="str">
        <f t="shared" si="14"/>
        <v>1Y</v>
      </c>
      <c r="BR30" s="134" t="str">
        <f t="shared" si="26"/>
        <v>EURONOIS1Y=</v>
      </c>
      <c r="BS30" s="70">
        <f>IF(RealTime,_xll.RtGet(RtChannel,$BR30,BS$12),"StaticData")</f>
        <v>-0.35417621300000002</v>
      </c>
      <c r="BT30" s="70">
        <f>IF(RealTime,_xll.RtGet(RtChannel,$BR30,BT$12),"StaticData")</f>
        <v>-0.35417621300000002</v>
      </c>
      <c r="BU30" s="436">
        <f>IF(RealTime,BS30,static_data())</f>
        <v>-0.35417621300000002</v>
      </c>
      <c r="BV30" s="543">
        <f>IF(RealTime,BT30,static_data())</f>
        <v>-0.35417621300000002</v>
      </c>
      <c r="BW30" s="43">
        <f t="shared" si="21"/>
        <v>-0.35417621300000002</v>
      </c>
      <c r="BY30" s="198" t="s">
        <v>52</v>
      </c>
      <c r="BZ30" s="137" t="str">
        <f t="shared" si="15"/>
        <v>12M</v>
      </c>
      <c r="CA30" s="135" t="str">
        <f t="shared" si="28"/>
        <v>EUR1MSW12M=</v>
      </c>
      <c r="CB30" s="70">
        <f>IF(RealTime,_xll.RtGet(RtChannel,$CA30,CD$12),"StaticData")</f>
        <v>-0.37</v>
      </c>
      <c r="CC30" s="71">
        <f>IF(RealTime,_xll.RtGet(RtChannel,$CA30,CE$12),"StaticData")</f>
        <v>-0.37</v>
      </c>
      <c r="CD30" s="435">
        <f>IF(RealTime,CB30,static_data())</f>
        <v>-0.37</v>
      </c>
      <c r="CE30" s="435">
        <f>IF(RealTime,CC30,static_data())</f>
        <v>-0.37</v>
      </c>
      <c r="CF30" s="43">
        <f t="shared" si="16"/>
        <v>-0.37</v>
      </c>
      <c r="CG30" s="47">
        <f>(CF30-'reference set'!BA40)*100</f>
        <v>-0.10000000000000009</v>
      </c>
    </row>
    <row r="31" spans="1:85">
      <c r="A31" s="331">
        <v>17</v>
      </c>
      <c r="B31" s="102" t="s">
        <v>3864</v>
      </c>
      <c r="C31" s="128">
        <v>99.91</v>
      </c>
      <c r="D31" s="128">
        <v>99.915000000000006</v>
      </c>
      <c r="E31" s="132">
        <f t="shared" si="19"/>
        <v>99.912499999999994</v>
      </c>
      <c r="F31" s="222">
        <v>43817</v>
      </c>
      <c r="G31" s="146" t="str">
        <f t="shared" si="17"/>
        <v>Z9</v>
      </c>
      <c r="H31" s="125" t="str">
        <f t="shared" si="20"/>
        <v>DEC 19</v>
      </c>
      <c r="I31" s="336" t="str">
        <f t="shared" si="18"/>
        <v>LIF EURIBOR 3M;DEC 19</v>
      </c>
      <c r="J31" s="669">
        <f>'eur disaggregated'!K110</f>
        <v>0</v>
      </c>
      <c r="L31" s="401"/>
      <c r="M31" s="401"/>
      <c r="Q31" s="170">
        <f t="shared" si="30"/>
        <v>43089</v>
      </c>
      <c r="R31" s="102" t="s">
        <v>505</v>
      </c>
      <c r="S31" s="266"/>
      <c r="T31" s="163">
        <f t="shared" si="31"/>
        <v>43089</v>
      </c>
      <c r="U31" s="288" t="b">
        <v>1</v>
      </c>
      <c r="V31" s="284">
        <v>43362</v>
      </c>
      <c r="W31" s="137" t="str">
        <v>F</v>
      </c>
      <c r="X31" s="130" t="str">
        <f t="shared" si="0"/>
        <v>F6</v>
      </c>
      <c r="Y31" s="173">
        <f t="shared" si="1"/>
        <v>3</v>
      </c>
      <c r="Z31" s="175" t="str">
        <f t="shared" si="23"/>
        <v>SEP 18</v>
      </c>
      <c r="AA31" s="163">
        <v>43362</v>
      </c>
      <c r="AB31" s="173" t="str">
        <f t="shared" si="24"/>
        <v>U8</v>
      </c>
      <c r="AC31" s="146">
        <f t="shared" si="29"/>
        <v>5.0000000000000001E-3</v>
      </c>
      <c r="AD31" s="6"/>
      <c r="AE31" s="198" t="s">
        <v>1195</v>
      </c>
      <c r="AF31" s="158" t="str">
        <f t="shared" si="4"/>
        <v>9M-15M</v>
      </c>
      <c r="AG31" s="134" t="s">
        <v>3934</v>
      </c>
      <c r="AH31" s="70">
        <f>IF(RealTime,_xll.RtGet(RtChannel,$AG31,AH$12),"StaticData")</f>
        <v>-0.14499999999999999</v>
      </c>
      <c r="AI31" s="71">
        <f>IF(RealTime,_xll.RtGet(RtChannel,$AG31,AI$12),"StaticData")</f>
        <v>-0.14499999999999999</v>
      </c>
      <c r="AJ31" s="435">
        <f>IF(RealTime,AH31,static_data())</f>
        <v>-0.14499999999999999</v>
      </c>
      <c r="AK31" s="435">
        <f>IF(RealTime,AI31,static_data())</f>
        <v>-0.14499999999999999</v>
      </c>
      <c r="AL31" s="43">
        <f t="shared" si="13"/>
        <v>-0.14499999999999999</v>
      </c>
      <c r="AO31" s="137" t="s">
        <v>2179</v>
      </c>
      <c r="AP31" s="137">
        <f t="shared" si="5"/>
        <v>2</v>
      </c>
      <c r="AQ31" s="158" t="str">
        <f t="shared" si="6"/>
        <v>12M-15M</v>
      </c>
      <c r="AR31" s="134" t="str">
        <f>CHOOSE($AP31,AR$3&amp;$AQ31&amp;AS$3,AR$4&amp;strrep(strrep(AQ31,"M",""),"-","X")&amp;AS$4,AR$5&amp;UPPER(FutCode2(AQ31))&amp;AS$5,AR$6&amp;$AQ31&amp;AS$6,"")</f>
        <v>EUR3MFRA12X15F=</v>
      </c>
      <c r="AS31" s="70">
        <f>IF(RealTime,_xll.RtGet(RtChannel,$AR31,AS$12),"StaticData")</f>
        <v>-0.249</v>
      </c>
      <c r="AT31" s="70">
        <f>IF(RealTime,_xll.RtGet(RtChannel,$AR31,AT$12),"StaticData")</f>
        <v>-0.249</v>
      </c>
      <c r="AU31" s="436">
        <f>IF(RealTime,AS31,static_data())</f>
        <v>-0.249</v>
      </c>
      <c r="AV31" s="435">
        <f>IF(RealTime,AT31,static_data())</f>
        <v>-0.249</v>
      </c>
      <c r="AW31" s="43">
        <f t="shared" si="7"/>
        <v>-0.249</v>
      </c>
      <c r="AY31" s="198" t="s">
        <v>2821</v>
      </c>
      <c r="AZ31" s="158" t="str">
        <f t="shared" si="8"/>
        <v>3M-15M</v>
      </c>
      <c r="BA31" s="134" t="s">
        <v>4003</v>
      </c>
      <c r="BB31" s="70">
        <f>IF(RealTime,_xll.RtGet(RtChannel,$BA31,BB$12),"StaticData")</f>
        <v>-4.8000000000000001E-2</v>
      </c>
      <c r="BC31" s="71">
        <f>IF(RealTime,_xll.RtGet(RtChannel,$BA31,BC$12),"StaticData")</f>
        <v>-4.8000000000000001E-2</v>
      </c>
      <c r="BD31" s="435">
        <f>IF(RealTime,BB31,static_data())</f>
        <v>-4.8000000000000001E-2</v>
      </c>
      <c r="BE31" s="435">
        <f>IF(RealTime,BC31,static_data())</f>
        <v>-4.8000000000000001E-2</v>
      </c>
      <c r="BF31" s="43">
        <f t="shared" si="9"/>
        <v>-4.8000000000000001E-2</v>
      </c>
      <c r="BH31" s="158">
        <v>43362</v>
      </c>
      <c r="BI31" s="134" t="str">
        <f t="shared" si="25"/>
        <v>EUR_CURVE_FUT3M_U8</v>
      </c>
      <c r="BJ31" s="70">
        <f>IF(RealTime,_xll.RtGet(RtChannel,$BI31,BJ$12),"StaticData")</f>
        <v>100.15</v>
      </c>
      <c r="BK31" s="71">
        <f>IF(RealTime,_xll.RtGet(RtChannel,$BI31,BK$12),"StaticData")</f>
        <v>100.155</v>
      </c>
      <c r="BL31" s="435">
        <f>IF(RealTime,BJ31,static_data())</f>
        <v>100.15</v>
      </c>
      <c r="BM31" s="435">
        <f>IF(RealTime,BK31,static_data())</f>
        <v>100.155</v>
      </c>
      <c r="BN31" s="43">
        <f t="shared" si="10"/>
        <v>-0.15250000000000341</v>
      </c>
      <c r="BP31" s="136" t="s">
        <v>57</v>
      </c>
      <c r="BQ31" s="137" t="str">
        <f t="shared" si="14"/>
        <v>13M</v>
      </c>
      <c r="BR31" s="134" t="str">
        <f t="shared" si="26"/>
        <v>EURONOIS13M=</v>
      </c>
      <c r="BS31" s="70">
        <f>IF(RealTime,_xll.RtGet(RtChannel,$BR31,BS$12),"StaticData")</f>
        <v>-0.354294208</v>
      </c>
      <c r="BT31" s="70">
        <f>IF(RealTime,_xll.RtGet(RtChannel,$BR31,BT$12),"StaticData")</f>
        <v>-0.354294208</v>
      </c>
      <c r="BU31" s="436">
        <f>IF(RealTime,BS31,static_data())</f>
        <v>-0.354294208</v>
      </c>
      <c r="BV31" s="543">
        <f>IF(RealTime,BT31,static_data())</f>
        <v>-0.354294208</v>
      </c>
      <c r="BW31" s="43">
        <f t="shared" si="21"/>
        <v>-0.354294208</v>
      </c>
      <c r="BY31" s="198" t="s">
        <v>53</v>
      </c>
      <c r="BZ31" s="137" t="str">
        <f t="shared" si="15"/>
        <v>15M</v>
      </c>
      <c r="CA31" s="434" t="str">
        <f t="shared" si="28"/>
        <v>EUR1MSW15M=</v>
      </c>
      <c r="CB31" s="70">
        <f>IF(RealTime,_xll.RtGet(RtChannel,$CA31,CD$12),"StaticData")</f>
        <v>-0.37170990400000004</v>
      </c>
      <c r="CC31" s="71">
        <f>IF(RealTime,_xll.RtGet(RtChannel,$CA31,CE$12),"StaticData")</f>
        <v>-0.37170990400000004</v>
      </c>
      <c r="CD31" s="435">
        <f>IF(RealTime,CB31,static_data())</f>
        <v>-0.37170990400000004</v>
      </c>
      <c r="CE31" s="435">
        <f>IF(RealTime,CC31,static_data())</f>
        <v>-0.37170990400000004</v>
      </c>
      <c r="CF31" s="43">
        <f t="shared" si="16"/>
        <v>-0.37170990400000004</v>
      </c>
      <c r="CG31" s="47">
        <f>(CF31-'reference set'!BA41)*100</f>
        <v>-6.4271300000001697E-2</v>
      </c>
    </row>
    <row r="32" spans="1:85">
      <c r="A32" s="331">
        <v>18</v>
      </c>
      <c r="B32" s="102" t="s">
        <v>3915</v>
      </c>
      <c r="C32" s="128">
        <v>99.855000000000004</v>
      </c>
      <c r="D32" s="128">
        <v>99.86</v>
      </c>
      <c r="E32" s="132">
        <f t="shared" si="19"/>
        <v>99.857500000000002</v>
      </c>
      <c r="F32" s="222">
        <v>43908</v>
      </c>
      <c r="G32" s="146" t="str">
        <f t="shared" si="17"/>
        <v>H0</v>
      </c>
      <c r="H32" s="125" t="str">
        <f t="shared" si="20"/>
        <v>MAR 20</v>
      </c>
      <c r="I32" s="336" t="str">
        <f t="shared" si="18"/>
        <v>LIF EURIBOR 3M;MAR 20</v>
      </c>
      <c r="J32" s="669">
        <f>'eur disaggregated'!K111</f>
        <v>0</v>
      </c>
      <c r="L32" s="401"/>
      <c r="M32" s="401"/>
      <c r="Q32" s="170">
        <f t="shared" si="30"/>
        <v>43180</v>
      </c>
      <c r="R32" s="102" t="s">
        <v>505</v>
      </c>
      <c r="S32" s="266"/>
      <c r="T32" s="163">
        <f t="shared" si="31"/>
        <v>43180</v>
      </c>
      <c r="U32" s="288" t="b">
        <v>1</v>
      </c>
      <c r="V32" s="284" t="str">
        <v>3Y</v>
      </c>
      <c r="W32" s="137" t="str">
        <v>W</v>
      </c>
      <c r="X32" s="130" t="str">
        <f t="shared" si="0"/>
        <v>W1</v>
      </c>
      <c r="Y32" s="173">
        <f t="shared" si="1"/>
        <v>4</v>
      </c>
      <c r="Z32" s="175" t="str">
        <f t="shared" si="23"/>
        <v>3Y</v>
      </c>
      <c r="AA32" s="163">
        <v>43791</v>
      </c>
      <c r="AB32" s="173" t="str">
        <f t="shared" si="24"/>
        <v>3Y</v>
      </c>
      <c r="AC32" s="146">
        <v>0</v>
      </c>
      <c r="AD32" s="6"/>
      <c r="AE32" s="198" t="s">
        <v>1228</v>
      </c>
      <c r="AF32" s="158" t="str">
        <f t="shared" si="4"/>
        <v>10M-16M</v>
      </c>
      <c r="AG32" s="134" t="s">
        <v>3935</v>
      </c>
      <c r="AH32" s="70">
        <f>IF(RealTime,_xll.RtGet(RtChannel,$AG32,AH$12),"StaticData")</f>
        <v>-0.13700000000000001</v>
      </c>
      <c r="AI32" s="71">
        <f>IF(RealTime,_xll.RtGet(RtChannel,$AG32,AI$12),"StaticData")</f>
        <v>-0.13700000000000001</v>
      </c>
      <c r="AJ32" s="435">
        <f>IF(RealTime,AH32,static_data())</f>
        <v>-0.13700000000000001</v>
      </c>
      <c r="AK32" s="435">
        <f>IF(RealTime,AI32,static_data())</f>
        <v>-0.13700000000000001</v>
      </c>
      <c r="AL32" s="43">
        <f t="shared" si="13"/>
        <v>-0.13700000000000001</v>
      </c>
      <c r="AO32" s="137" t="s">
        <v>3865</v>
      </c>
      <c r="AP32" s="137">
        <f t="shared" si="5"/>
        <v>3</v>
      </c>
      <c r="AQ32" s="158" t="str">
        <f t="shared" si="6"/>
        <v>DEC 17</v>
      </c>
      <c r="AR32" s="134" t="str">
        <f>CHOOSE($AP32,AR$3&amp;$AQ32&amp;AS$3,AR$4&amp;strrep(strrep(AQ32,"M",""),"-","X")&amp;AS$4,AR$5&amp;UPPER(FutCode2(AQ32))&amp;AS$5,AR$6&amp;$AQ32&amp;AS$6,"")</f>
        <v>EUR3MFUTZ7</v>
      </c>
      <c r="AS32" s="70">
        <f>IF(RealTime,_xll.RtGet(RtChannel,$AR32,AS$12),"StaticData")</f>
        <v>100.24250000000001</v>
      </c>
      <c r="AT32" s="70">
        <f>IF(RealTime,_xll.RtGet(RtChannel,$AR32,AT$12),"StaticData")</f>
        <v>100.24250000000001</v>
      </c>
      <c r="AU32" s="436">
        <f>IF(RealTime,AS32,static_data())</f>
        <v>100.24250000000001</v>
      </c>
      <c r="AV32" s="435">
        <f>IF(RealTime,AT32,static_data())</f>
        <v>100.24250000000001</v>
      </c>
      <c r="AW32" s="43">
        <f t="shared" si="7"/>
        <v>-0.24250000000000682</v>
      </c>
      <c r="AY32" s="198" t="s">
        <v>2823</v>
      </c>
      <c r="AZ32" s="158" t="str">
        <f t="shared" si="8"/>
        <v>4M-16M</v>
      </c>
      <c r="BA32" s="134" t="s">
        <v>4004</v>
      </c>
      <c r="BB32" s="70">
        <f>IF(RealTime,_xll.RtGet(RtChannel,$BA32,BB$12),"StaticData")</f>
        <v>-0.04</v>
      </c>
      <c r="BC32" s="71">
        <f>IF(RealTime,_xll.RtGet(RtChannel,$BA32,BC$12),"StaticData")</f>
        <v>-0.04</v>
      </c>
      <c r="BD32" s="435">
        <f>IF(RealTime,BB32,static_data())</f>
        <v>-0.04</v>
      </c>
      <c r="BE32" s="435">
        <f>IF(RealTime,BC32,static_data())</f>
        <v>-0.04</v>
      </c>
      <c r="BF32" s="43">
        <f t="shared" si="9"/>
        <v>-0.04</v>
      </c>
      <c r="BH32" s="158" t="str">
        <v>3Y</v>
      </c>
      <c r="BI32" s="134" t="str">
        <f t="shared" si="25"/>
        <v>EUR6MSW3Y=</v>
      </c>
      <c r="BJ32" s="70">
        <f>IF(RealTime,_xll.RtGet(RtChannel,$BI32,BJ$12),"StaticData")</f>
        <v>-0.06</v>
      </c>
      <c r="BK32" s="71">
        <f>IF(RealTime,_xll.RtGet(RtChannel,$BI32,BK$12),"StaticData")</f>
        <v>-0.06</v>
      </c>
      <c r="BL32" s="435">
        <f>IF(RealTime,BJ32,static_data())</f>
        <v>-0.06</v>
      </c>
      <c r="BM32" s="435">
        <f>IF(RealTime,BK32,static_data())</f>
        <v>-0.06</v>
      </c>
      <c r="BN32" s="43">
        <f t="shared" si="10"/>
        <v>-0.06</v>
      </c>
      <c r="BP32" s="136" t="s">
        <v>58</v>
      </c>
      <c r="BQ32" s="137" t="str">
        <f t="shared" si="14"/>
        <v>14M</v>
      </c>
      <c r="BR32" s="134" t="str">
        <f t="shared" si="26"/>
        <v>EURONOIS14M=</v>
      </c>
      <c r="BS32" s="70">
        <f>IF(RealTime,_xll.RtGet(RtChannel,$BR32,BS$12),"StaticData")</f>
        <v>-0.35382575700000002</v>
      </c>
      <c r="BT32" s="70">
        <f>IF(RealTime,_xll.RtGet(RtChannel,$BR32,BT$12),"StaticData")</f>
        <v>-0.35382575700000002</v>
      </c>
      <c r="BU32" s="436">
        <f>IF(RealTime,BS32,static_data())</f>
        <v>-0.35382575700000002</v>
      </c>
      <c r="BV32" s="543">
        <f>IF(RealTime,BT32,static_data())</f>
        <v>-0.35382575700000002</v>
      </c>
      <c r="BW32" s="43">
        <f t="shared" si="21"/>
        <v>-0.35382575700000002</v>
      </c>
      <c r="BY32" s="198" t="s">
        <v>54</v>
      </c>
      <c r="BZ32" s="137" t="str">
        <f t="shared" si="15"/>
        <v>18M</v>
      </c>
      <c r="CA32" s="134" t="str">
        <f t="shared" si="28"/>
        <v>EUR1MSW18M=</v>
      </c>
      <c r="CB32" s="70">
        <f>IF(RealTime,_xll.RtGet(RtChannel,$CA32,CD$12),"StaticData")</f>
        <v>-0.36428020900000002</v>
      </c>
      <c r="CC32" s="71">
        <f>IF(RealTime,_xll.RtGet(RtChannel,$CA32,CE$12),"StaticData")</f>
        <v>-0.36428020900000002</v>
      </c>
      <c r="CD32" s="435">
        <f>IF(RealTime,CB32,static_data())</f>
        <v>-0.36428020900000002</v>
      </c>
      <c r="CE32" s="435">
        <f>IF(RealTime,CC32,static_data())</f>
        <v>-0.36428020900000002</v>
      </c>
      <c r="CF32" s="43">
        <f t="shared" si="16"/>
        <v>-0.36428020900000002</v>
      </c>
      <c r="CG32" s="47">
        <f>(CF32-'reference set'!BA42)*100</f>
        <v>-2.8788000000001812E-2</v>
      </c>
    </row>
    <row r="33" spans="1:85">
      <c r="A33" s="331">
        <v>19</v>
      </c>
      <c r="B33" s="102" t="s">
        <v>5060</v>
      </c>
      <c r="C33" s="128">
        <v>99.795000000000002</v>
      </c>
      <c r="D33" s="128">
        <v>99.8</v>
      </c>
      <c r="E33" s="132">
        <f t="shared" si="19"/>
        <v>99.797499999999999</v>
      </c>
      <c r="F33" s="222">
        <v>43999</v>
      </c>
      <c r="G33" s="146" t="str">
        <f t="shared" si="17"/>
        <v>M0</v>
      </c>
      <c r="H33" s="125" t="str">
        <f t="shared" si="20"/>
        <v>JUN 20</v>
      </c>
      <c r="I33" s="336" t="str">
        <f t="shared" si="18"/>
        <v>LIF EURIBOR 3M;JUN 20</v>
      </c>
      <c r="J33" s="669">
        <f>'eur disaggregated'!K112</f>
        <v>0</v>
      </c>
      <c r="L33" s="401"/>
      <c r="M33" s="401"/>
      <c r="Q33" s="170">
        <f t="shared" si="30"/>
        <v>43271</v>
      </c>
      <c r="R33" s="102" t="s">
        <v>505</v>
      </c>
      <c r="S33" s="266"/>
      <c r="T33" s="163">
        <f t="shared" si="31"/>
        <v>43271</v>
      </c>
      <c r="U33" s="288" t="b">
        <v>1</v>
      </c>
      <c r="V33" s="284" t="str">
        <v>4Y</v>
      </c>
      <c r="W33" s="137" t="str">
        <v>W</v>
      </c>
      <c r="X33" s="130" t="str">
        <f t="shared" si="0"/>
        <v>W2</v>
      </c>
      <c r="Y33" s="173">
        <f t="shared" si="1"/>
        <v>4</v>
      </c>
      <c r="Z33" s="175" t="str">
        <f t="shared" si="23"/>
        <v>4Y</v>
      </c>
      <c r="AA33" s="163">
        <v>44158</v>
      </c>
      <c r="AB33" s="173" t="str">
        <f t="shared" si="24"/>
        <v>4Y</v>
      </c>
      <c r="AC33" s="146" t="str">
        <f t="shared" si="29"/>
        <v/>
      </c>
      <c r="AD33" s="6"/>
      <c r="AE33" s="198" t="s">
        <v>1229</v>
      </c>
      <c r="AF33" s="158" t="str">
        <f t="shared" si="4"/>
        <v>11M-17M</v>
      </c>
      <c r="AG33" s="134" t="s">
        <v>3936</v>
      </c>
      <c r="AH33" s="70">
        <f>IF(RealTime,_xll.RtGet(RtChannel,$AG33,AH$12),"StaticData")</f>
        <v>-0.126</v>
      </c>
      <c r="AI33" s="71">
        <f>IF(RealTime,_xll.RtGet(RtChannel,$AG33,AI$12),"StaticData")</f>
        <v>-0.126</v>
      </c>
      <c r="AJ33" s="435">
        <f>IF(RealTime,AH33,static_data())</f>
        <v>-0.126</v>
      </c>
      <c r="AK33" s="435">
        <f>IF(RealTime,AI33,static_data())</f>
        <v>-0.126</v>
      </c>
      <c r="AL33" s="43">
        <f t="shared" si="13"/>
        <v>-0.126</v>
      </c>
      <c r="AO33" s="137" t="s">
        <v>3866</v>
      </c>
      <c r="AP33" s="137">
        <f t="shared" si="5"/>
        <v>3</v>
      </c>
      <c r="AQ33" s="158" t="str">
        <f t="shared" si="6"/>
        <v>MAR 18</v>
      </c>
      <c r="AR33" s="134" t="str">
        <f>CHOOSE($AP33,AR$3&amp;$AQ33&amp;AS$3,AR$4&amp;strrep(strrep(AQ33,"M",""),"-","X")&amp;AS$4,AR$5&amp;UPPER(FutCode2(AQ33))&amp;AS$5,AR$6&amp;$AQ33&amp;AS$6,"")</f>
        <v>EUR3MFUTH8</v>
      </c>
      <c r="AS33" s="70">
        <f>IF(RealTime,_xll.RtGet(RtChannel,$AR33,AS$12),"StaticData")</f>
        <v>100.2175</v>
      </c>
      <c r="AT33" s="70">
        <f>IF(RealTime,_xll.RtGet(RtChannel,$AR33,AT$12),"StaticData")</f>
        <v>100.2175</v>
      </c>
      <c r="AU33" s="436">
        <f>IF(RealTime,AS33,static_data())</f>
        <v>100.2175</v>
      </c>
      <c r="AV33" s="435">
        <f>IF(RealTime,AT33,static_data())</f>
        <v>100.2175</v>
      </c>
      <c r="AW33" s="43">
        <f t="shared" si="7"/>
        <v>-0.21750000000000114</v>
      </c>
      <c r="AY33" s="198" t="s">
        <v>2825</v>
      </c>
      <c r="AZ33" s="158" t="str">
        <f t="shared" si="8"/>
        <v>5M-17M</v>
      </c>
      <c r="BA33" s="134" t="s">
        <v>4005</v>
      </c>
      <c r="BB33" s="70">
        <f>IF(RealTime,_xll.RtGet(RtChannel,$BA33,BB$12),"StaticData")</f>
        <v>-2.9000000000000001E-2</v>
      </c>
      <c r="BC33" s="71">
        <f>IF(RealTime,_xll.RtGet(RtChannel,$BA33,BC$12),"StaticData")</f>
        <v>-2.9000000000000001E-2</v>
      </c>
      <c r="BD33" s="435">
        <f>IF(RealTime,BB33,static_data())</f>
        <v>-2.9000000000000001E-2</v>
      </c>
      <c r="BE33" s="435">
        <f>IF(RealTime,BC33,static_data())</f>
        <v>-2.9000000000000001E-2</v>
      </c>
      <c r="BF33" s="43">
        <f t="shared" si="9"/>
        <v>-2.9000000000000001E-2</v>
      </c>
      <c r="BH33" s="158" t="str">
        <v>4Y</v>
      </c>
      <c r="BI33" s="134" t="str">
        <f t="shared" si="25"/>
        <v>EUR6MSW4Y=</v>
      </c>
      <c r="BJ33" s="70">
        <f>IF(RealTime,_xll.RtGet(RtChannel,$BI33,BJ$12),"StaticData")</f>
        <v>3.2000000000000001E-2</v>
      </c>
      <c r="BK33" s="71">
        <f>IF(RealTime,_xll.RtGet(RtChannel,$BI33,BK$12),"StaticData")</f>
        <v>3.2000000000000001E-2</v>
      </c>
      <c r="BL33" s="435">
        <f>IF(RealTime,BJ33,static_data())</f>
        <v>3.2000000000000001E-2</v>
      </c>
      <c r="BM33" s="435">
        <f>IF(RealTime,BK33,static_data())</f>
        <v>3.2000000000000001E-2</v>
      </c>
      <c r="BN33" s="43">
        <f t="shared" si="10"/>
        <v>3.2000000000000001E-2</v>
      </c>
      <c r="BP33" s="136" t="s">
        <v>53</v>
      </c>
      <c r="BQ33" s="137" t="str">
        <f t="shared" si="14"/>
        <v>15M</v>
      </c>
      <c r="BR33" s="134" t="str">
        <f t="shared" si="26"/>
        <v>EURONOIS15M=</v>
      </c>
      <c r="BS33" s="70">
        <f>IF(RealTime,_xll.RtGet(RtChannel,$BR33,BS$12),"StaticData")</f>
        <v>-0.35299999999999998</v>
      </c>
      <c r="BT33" s="70">
        <f>IF(RealTime,_xll.RtGet(RtChannel,$BR33,BT$12),"StaticData")</f>
        <v>-0.35299999999999998</v>
      </c>
      <c r="BU33" s="436">
        <f>IF(RealTime,BS33,static_data())</f>
        <v>-0.35299999999999998</v>
      </c>
      <c r="BV33" s="543">
        <f>IF(RealTime,BT33,static_data())</f>
        <v>-0.35299999999999998</v>
      </c>
      <c r="BW33" s="43">
        <f t="shared" si="21"/>
        <v>-0.35299999999999998</v>
      </c>
      <c r="BY33" s="198" t="s">
        <v>55</v>
      </c>
      <c r="BZ33" s="137" t="str">
        <f t="shared" si="15"/>
        <v>21M</v>
      </c>
      <c r="CA33" s="134" t="str">
        <f t="shared" si="28"/>
        <v>EUR1MSW21M=</v>
      </c>
      <c r="CB33" s="70">
        <f>IF(RealTime,_xll.RtGet(RtChannel,$CA33,CD$12),"StaticData")</f>
        <v>-0.35680023100000002</v>
      </c>
      <c r="CC33" s="71">
        <f>IF(RealTime,_xll.RtGet(RtChannel,$CA33,CE$12),"StaticData")</f>
        <v>-0.35680023100000002</v>
      </c>
      <c r="CD33" s="435">
        <f>IF(RealTime,CB33,static_data())</f>
        <v>-0.35680023100000002</v>
      </c>
      <c r="CE33" s="435">
        <f>IF(RealTime,CC33,static_data())</f>
        <v>-0.35680023100000002</v>
      </c>
      <c r="CF33" s="43">
        <f t="shared" si="16"/>
        <v>-0.35680023100000002</v>
      </c>
      <c r="CG33" s="47">
        <f>(CF33-'reference set'!BA43)*100</f>
        <v>-2.6325900000001567E-2</v>
      </c>
    </row>
    <row r="34" spans="1:85" ht="13.5" thickBot="1">
      <c r="A34" s="331">
        <v>20</v>
      </c>
      <c r="B34" s="151" t="s">
        <v>5104</v>
      </c>
      <c r="C34" s="129">
        <v>99.725000000000009</v>
      </c>
      <c r="D34" s="129">
        <v>99.73</v>
      </c>
      <c r="E34" s="133">
        <f t="shared" si="19"/>
        <v>99.727500000000006</v>
      </c>
      <c r="F34" s="222">
        <v>44090</v>
      </c>
      <c r="G34" s="147" t="str">
        <f t="shared" si="17"/>
        <v>U0</v>
      </c>
      <c r="H34" s="126" t="str">
        <f t="shared" si="20"/>
        <v>SEP 20</v>
      </c>
      <c r="I34" s="282" t="str">
        <f t="shared" si="18"/>
        <v>LIF EURIBOR 3M;SEP 20</v>
      </c>
      <c r="J34" s="669">
        <f>'eur disaggregated'!K113</f>
        <v>0</v>
      </c>
      <c r="L34" s="401"/>
      <c r="M34" s="401"/>
      <c r="N34" s="68"/>
      <c r="Q34" s="171">
        <f t="shared" si="30"/>
        <v>43362</v>
      </c>
      <c r="R34" s="102" t="s">
        <v>505</v>
      </c>
      <c r="S34" s="266"/>
      <c r="T34" s="163">
        <f t="shared" si="31"/>
        <v>43362</v>
      </c>
      <c r="U34" s="288" t="b">
        <v>1</v>
      </c>
      <c r="V34" s="284" t="str">
        <v>5Y</v>
      </c>
      <c r="W34" s="137" t="str">
        <v>W</v>
      </c>
      <c r="X34" s="130" t="str">
        <f t="shared" si="0"/>
        <v>W3</v>
      </c>
      <c r="Y34" s="173">
        <f t="shared" si="1"/>
        <v>4</v>
      </c>
      <c r="Z34" s="175" t="str">
        <f t="shared" si="23"/>
        <v>5Y</v>
      </c>
      <c r="AA34" s="163">
        <v>44522</v>
      </c>
      <c r="AB34" s="173" t="str">
        <f t="shared" si="24"/>
        <v>5Y</v>
      </c>
      <c r="AC34" s="147" t="str">
        <f t="shared" si="29"/>
        <v/>
      </c>
      <c r="AD34" s="6"/>
      <c r="AE34" s="198" t="s">
        <v>1196</v>
      </c>
      <c r="AF34" s="158" t="str">
        <f t="shared" si="4"/>
        <v>12M-18M</v>
      </c>
      <c r="AG34" s="134" t="s">
        <v>3937</v>
      </c>
      <c r="AH34" s="70">
        <f>IF(RealTime,_xll.RtGet(RtChannel,$AG34,AH$12),"StaticData")</f>
        <v>-0.11600000000000001</v>
      </c>
      <c r="AI34" s="71">
        <f>IF(RealTime,_xll.RtGet(RtChannel,$AG34,AI$12),"StaticData")</f>
        <v>-0.11600000000000001</v>
      </c>
      <c r="AJ34" s="435">
        <f>IF(RealTime,AH34,static_data())</f>
        <v>-0.11600000000000001</v>
      </c>
      <c r="AK34" s="435">
        <f>IF(RealTime,AI34,static_data())</f>
        <v>-0.11600000000000001</v>
      </c>
      <c r="AL34" s="43">
        <f t="shared" si="13"/>
        <v>-0.11600000000000001</v>
      </c>
      <c r="AO34" s="137" t="s">
        <v>3889</v>
      </c>
      <c r="AP34" s="137">
        <f t="shared" si="5"/>
        <v>3</v>
      </c>
      <c r="AQ34" s="158" t="str">
        <f t="shared" si="6"/>
        <v>JUN 18</v>
      </c>
      <c r="AR34" s="134" t="str">
        <f>CHOOSE($AP34,AR$3&amp;$AQ34&amp;AS$3,AR$4&amp;strrep(strrep(AQ34,"M",""),"-","X")&amp;AS$4,AR$5&amp;UPPER(FutCode2(AQ34))&amp;AS$5,AR$6&amp;$AQ34&amp;AS$6,"")</f>
        <v>EUR3MFUTM8</v>
      </c>
      <c r="AS34" s="70">
        <f>IF(RealTime,_xll.RtGet(RtChannel,$AR34,AS$12),"StaticData")</f>
        <v>100.187500001</v>
      </c>
      <c r="AT34" s="70">
        <f>IF(RealTime,_xll.RtGet(RtChannel,$AR34,AT$12),"StaticData")</f>
        <v>100.187500001</v>
      </c>
      <c r="AU34" s="436">
        <f>IF(RealTime,AS34,static_data())</f>
        <v>100.187500001</v>
      </c>
      <c r="AV34" s="435">
        <f>IF(RealTime,AT34,static_data())</f>
        <v>100.187500001</v>
      </c>
      <c r="AW34" s="43">
        <f t="shared" si="7"/>
        <v>-0.18750000100000364</v>
      </c>
      <c r="AY34" s="198" t="s">
        <v>2827</v>
      </c>
      <c r="AZ34" s="158" t="str">
        <f t="shared" si="8"/>
        <v>6M-18M</v>
      </c>
      <c r="BA34" s="134" t="s">
        <v>4006</v>
      </c>
      <c r="BB34" s="70">
        <f>IF(RealTime,_xll.RtGet(RtChannel,$BA34,BB$12),"StaticData")</f>
        <v>-1.9E-2</v>
      </c>
      <c r="BC34" s="71">
        <f>IF(RealTime,_xll.RtGet(RtChannel,$BA34,BC$12),"StaticData")</f>
        <v>-1.9E-2</v>
      </c>
      <c r="BD34" s="435">
        <f>IF(RealTime,BB34,static_data())</f>
        <v>-1.9E-2</v>
      </c>
      <c r="BE34" s="435">
        <f>IF(RealTime,BC34,static_data())</f>
        <v>-1.9E-2</v>
      </c>
      <c r="BF34" s="43">
        <f t="shared" si="9"/>
        <v>-1.9E-2</v>
      </c>
      <c r="BH34" s="158" t="str">
        <v>5Y</v>
      </c>
      <c r="BI34" s="134" t="str">
        <f t="shared" si="25"/>
        <v>EUR6MSW5Y=</v>
      </c>
      <c r="BJ34" s="70">
        <f>IF(RealTime,_xll.RtGet(RtChannel,$BI34,BJ$12),"StaticData")</f>
        <v>0.13800000000000001</v>
      </c>
      <c r="BK34" s="71">
        <f>IF(RealTime,_xll.RtGet(RtChannel,$BI34,BK$12),"StaticData")</f>
        <v>0.13800000000000001</v>
      </c>
      <c r="BL34" s="435">
        <f>IF(RealTime,BJ34,static_data())</f>
        <v>0.13800000000000001</v>
      </c>
      <c r="BM34" s="435">
        <f>IF(RealTime,BK34,static_data())</f>
        <v>0.13800000000000001</v>
      </c>
      <c r="BN34" s="43">
        <f t="shared" si="10"/>
        <v>0.13800000000000001</v>
      </c>
      <c r="BP34" s="136" t="s">
        <v>59</v>
      </c>
      <c r="BQ34" s="137" t="str">
        <f t="shared" si="14"/>
        <v>16M</v>
      </c>
      <c r="BR34" s="134" t="str">
        <f t="shared" si="26"/>
        <v>EURONOIS16M=</v>
      </c>
      <c r="BS34" s="70">
        <f>IF(RealTime,_xll.RtGet(RtChannel,$BR34,BS$12),"StaticData")</f>
        <v>-0.35223000100000001</v>
      </c>
      <c r="BT34" s="70">
        <f>IF(RealTime,_xll.RtGet(RtChannel,$BR34,BT$12),"StaticData")</f>
        <v>-0.35223000100000001</v>
      </c>
      <c r="BU34" s="436">
        <f>IF(RealTime,BS34,static_data())</f>
        <v>-0.35223000100000001</v>
      </c>
      <c r="BV34" s="543">
        <f>IF(RealTime,BT34,static_data())</f>
        <v>-0.35223000100000001</v>
      </c>
      <c r="BW34" s="43">
        <f t="shared" si="21"/>
        <v>-0.35223000100000001</v>
      </c>
      <c r="BY34" s="198" t="s">
        <v>9</v>
      </c>
      <c r="BZ34" s="137" t="str">
        <f t="shared" si="15"/>
        <v>2Y</v>
      </c>
      <c r="CA34" s="134" t="str">
        <f t="shared" si="28"/>
        <v>EUR1MSW2Y=</v>
      </c>
      <c r="CB34" s="70">
        <f>IF(RealTime,_xll.RtGet(RtChannel,$CA34,CD$12),"StaticData")</f>
        <v>-0.34700000000000003</v>
      </c>
      <c r="CC34" s="71">
        <f>IF(RealTime,_xll.RtGet(RtChannel,$CA34,CE$12),"StaticData")</f>
        <v>-0.34700000000000003</v>
      </c>
      <c r="CD34" s="435">
        <f>IF(RealTime,CB34,static_data())</f>
        <v>-0.34700000000000003</v>
      </c>
      <c r="CE34" s="435">
        <f>IF(RealTime,CC34,static_data())</f>
        <v>-0.34700000000000003</v>
      </c>
      <c r="CF34" s="43">
        <f t="shared" si="16"/>
        <v>-0.34700000000000003</v>
      </c>
      <c r="CG34" s="47">
        <f>(CF34-'reference set'!BA44)*100</f>
        <v>-5.5511151231257827E-15</v>
      </c>
    </row>
    <row r="35" spans="1:85">
      <c r="B35" s="202"/>
      <c r="L35" s="401"/>
      <c r="M35" s="401"/>
      <c r="N35" s="68"/>
      <c r="Q35" s="170"/>
      <c r="R35" s="102" t="s">
        <v>505</v>
      </c>
      <c r="S35" s="266"/>
      <c r="T35" s="163"/>
      <c r="U35" s="288" t="b">
        <v>0</v>
      </c>
      <c r="V35" s="284" t="str">
        <v>6Y</v>
      </c>
      <c r="W35" s="137" t="str">
        <v>W</v>
      </c>
      <c r="X35" s="130" t="str">
        <f t="shared" si="0"/>
        <v>W4</v>
      </c>
      <c r="Y35" s="173">
        <f t="shared" si="1"/>
        <v>4</v>
      </c>
      <c r="Z35" s="175" t="str">
        <f t="shared" si="23"/>
        <v>6Y</v>
      </c>
      <c r="AA35" s="163">
        <v>44887</v>
      </c>
      <c r="AB35" s="173" t="str">
        <f t="shared" si="24"/>
        <v>6Y</v>
      </c>
      <c r="AC35" s="335"/>
      <c r="AD35" s="6"/>
      <c r="AE35" s="198" t="s">
        <v>1230</v>
      </c>
      <c r="AF35" s="158" t="str">
        <f t="shared" si="4"/>
        <v>13M-19M</v>
      </c>
      <c r="AG35" s="134" t="s">
        <v>3938</v>
      </c>
      <c r="AH35" s="70">
        <f>IF(RealTime,_xll.RtGet(RtChannel,$AG35,AH$12),"StaticData")</f>
        <v>-0.106</v>
      </c>
      <c r="AI35" s="71">
        <f>IF(RealTime,_xll.RtGet(RtChannel,$AG35,AI$12),"StaticData")</f>
        <v>-0.106</v>
      </c>
      <c r="AJ35" s="435">
        <f>IF(RealTime,AH35,static_data())</f>
        <v>-0.106</v>
      </c>
      <c r="AK35" s="435">
        <f>IF(RealTime,AI35,static_data())</f>
        <v>-0.106</v>
      </c>
      <c r="AL35" s="43">
        <f t="shared" si="13"/>
        <v>-0.106</v>
      </c>
      <c r="AO35" s="137" t="s">
        <v>3890</v>
      </c>
      <c r="AP35" s="137">
        <f t="shared" si="5"/>
        <v>3</v>
      </c>
      <c r="AQ35" s="158" t="str">
        <f t="shared" si="6"/>
        <v>SEP 18</v>
      </c>
      <c r="AR35" s="134" t="str">
        <f>CHOOSE($AP35,AR$3&amp;$AQ35&amp;AS$3,AR$4&amp;strrep(strrep(AQ35,"M",""),"-","X")&amp;AS$4,AR$5&amp;UPPER(FutCode2(AQ35))&amp;AS$5,AR$6&amp;$AQ35&amp;AS$6,"")</f>
        <v>EUR3MFUTU8</v>
      </c>
      <c r="AS35" s="70">
        <f>IF(RealTime,_xll.RtGet(RtChannel,$AR35,AS$12),"StaticData")</f>
        <v>100.1525</v>
      </c>
      <c r="AT35" s="70">
        <f>IF(RealTime,_xll.RtGet(RtChannel,$AR35,AT$12),"StaticData")</f>
        <v>100.1525</v>
      </c>
      <c r="AU35" s="436">
        <f>IF(RealTime,AS35,static_data())</f>
        <v>100.1525</v>
      </c>
      <c r="AV35" s="435">
        <f>IF(RealTime,AT35,static_data())</f>
        <v>100.1525</v>
      </c>
      <c r="AW35" s="43">
        <f t="shared" si="7"/>
        <v>-0.15250000000000341</v>
      </c>
      <c r="AY35" s="198" t="s">
        <v>2829</v>
      </c>
      <c r="AZ35" s="158" t="str">
        <f t="shared" si="8"/>
        <v>7M-19M</v>
      </c>
      <c r="BA35" s="134" t="s">
        <v>4007</v>
      </c>
      <c r="BB35" s="70">
        <f>IF(RealTime,_xll.RtGet(RtChannel,$BA35,BB$12),"StaticData")</f>
        <v>-9.0000000000000011E-3</v>
      </c>
      <c r="BC35" s="71">
        <f>IF(RealTime,_xll.RtGet(RtChannel,$BA35,BC$12),"StaticData")</f>
        <v>-9.0000000000000011E-3</v>
      </c>
      <c r="BD35" s="435">
        <f>IF(RealTime,BB35,static_data())</f>
        <v>-9.0000000000000011E-3</v>
      </c>
      <c r="BE35" s="435">
        <f>IF(RealTime,BC35,static_data())</f>
        <v>-9.0000000000000011E-3</v>
      </c>
      <c r="BF35" s="43">
        <f t="shared" si="9"/>
        <v>-9.0000000000000011E-3</v>
      </c>
      <c r="BH35" s="158" t="str">
        <v>6Y</v>
      </c>
      <c r="BI35" s="134" t="str">
        <f t="shared" si="25"/>
        <v>EUR6MSW6Y=</v>
      </c>
      <c r="BJ35" s="70">
        <f>IF(RealTime,_xll.RtGet(RtChannel,$BI35,BJ$12),"StaticData")</f>
        <v>0.25</v>
      </c>
      <c r="BK35" s="71">
        <f>IF(RealTime,_xll.RtGet(RtChannel,$BI35,BK$12),"StaticData")</f>
        <v>0.25</v>
      </c>
      <c r="BL35" s="435">
        <f>IF(RealTime,BJ35,static_data())</f>
        <v>0.25</v>
      </c>
      <c r="BM35" s="435">
        <f>IF(RealTime,BK35,static_data())</f>
        <v>0.25</v>
      </c>
      <c r="BN35" s="43">
        <f t="shared" si="10"/>
        <v>0.25</v>
      </c>
      <c r="BP35" s="136" t="s">
        <v>60</v>
      </c>
      <c r="BQ35" s="137" t="str">
        <f t="shared" si="14"/>
        <v>17M</v>
      </c>
      <c r="BR35" s="134" t="str">
        <f t="shared" si="26"/>
        <v>EURONOIS17M=</v>
      </c>
      <c r="BS35" s="70">
        <f>IF(RealTime,_xll.RtGet(RtChannel,$BR35,BS$12),"StaticData")</f>
        <v>-0.35122310900000003</v>
      </c>
      <c r="BT35" s="70">
        <f>IF(RealTime,_xll.RtGet(RtChannel,$BR35,BT$12),"StaticData")</f>
        <v>-0.35122310900000003</v>
      </c>
      <c r="BU35" s="436">
        <f>IF(RealTime,BS35,static_data())</f>
        <v>-0.35122310900000003</v>
      </c>
      <c r="BV35" s="543">
        <f>IF(RealTime,BT35,static_data())</f>
        <v>-0.35122310900000003</v>
      </c>
      <c r="BW35" s="43">
        <f t="shared" si="21"/>
        <v>-0.35122310900000003</v>
      </c>
      <c r="BY35" s="198" t="s">
        <v>97</v>
      </c>
      <c r="BZ35" s="137" t="str">
        <f t="shared" si="15"/>
        <v>2Y3M</v>
      </c>
      <c r="CA35" s="134" t="str">
        <f t="shared" si="28"/>
        <v>EUR1MSW2Y3M=</v>
      </c>
      <c r="CB35" s="70">
        <f>IF(RealTime,_xll.RtGet(RtChannel,$CA35,CD$12),"StaticData")</f>
        <v>-0.33504729</v>
      </c>
      <c r="CC35" s="71">
        <f>IF(RealTime,_xll.RtGet(RtChannel,$CA35,CE$12),"StaticData")</f>
        <v>-0.33504729</v>
      </c>
      <c r="CD35" s="435">
        <f>IF(RealTime,CB35,static_data())</f>
        <v>-0.33504729</v>
      </c>
      <c r="CE35" s="435">
        <f>IF(RealTime,CC35,static_data())</f>
        <v>-0.33504729</v>
      </c>
      <c r="CF35" s="43">
        <f t="shared" si="16"/>
        <v>-0.33504729</v>
      </c>
      <c r="CG35" s="47">
        <f>(CF35-'reference set'!BA45)*100</f>
        <v>2.6389700000001293E-2</v>
      </c>
    </row>
    <row r="36" spans="1:85">
      <c r="L36" s="401"/>
      <c r="M36" s="401"/>
      <c r="N36" s="68"/>
      <c r="Q36" s="170"/>
      <c r="R36" s="102" t="s">
        <v>505</v>
      </c>
      <c r="S36" s="266"/>
      <c r="T36" s="163"/>
      <c r="U36" s="288" t="b">
        <v>0</v>
      </c>
      <c r="V36" s="284" t="str">
        <v>7Y</v>
      </c>
      <c r="W36" s="137" t="str">
        <v>W</v>
      </c>
      <c r="X36" s="130" t="str">
        <f t="shared" si="0"/>
        <v>W5</v>
      </c>
      <c r="Y36" s="173">
        <f t="shared" si="1"/>
        <v>4</v>
      </c>
      <c r="Z36" s="175" t="str">
        <f t="shared" si="23"/>
        <v>7Y</v>
      </c>
      <c r="AA36" s="163">
        <v>45252</v>
      </c>
      <c r="AB36" s="173" t="str">
        <f t="shared" si="24"/>
        <v>7Y</v>
      </c>
      <c r="AC36" s="335"/>
      <c r="AD36" s="6"/>
      <c r="AE36" s="198" t="s">
        <v>1231</v>
      </c>
      <c r="AF36" s="158" t="str">
        <f t="shared" si="4"/>
        <v>14M-20M</v>
      </c>
      <c r="AG36" s="134" t="s">
        <v>3939</v>
      </c>
      <c r="AH36" s="70">
        <f>IF(RealTime,_xll.RtGet(RtChannel,$AG36,AH$12),"StaticData")</f>
        <v>-9.4E-2</v>
      </c>
      <c r="AI36" s="71">
        <f>IF(RealTime,_xll.RtGet(RtChannel,$AG36,AI$12),"StaticData")</f>
        <v>-9.4E-2</v>
      </c>
      <c r="AJ36" s="435">
        <f>IF(RealTime,AH36,static_data())</f>
        <v>-9.4E-2</v>
      </c>
      <c r="AK36" s="435">
        <f>IF(RealTime,AI36,static_data())</f>
        <v>-9.4E-2</v>
      </c>
      <c r="AL36" s="43">
        <f t="shared" si="13"/>
        <v>-9.4E-2</v>
      </c>
      <c r="AO36" s="137" t="s">
        <v>4821</v>
      </c>
      <c r="AP36" s="137">
        <f t="shared" si="5"/>
        <v>3</v>
      </c>
      <c r="AQ36" s="158" t="str">
        <f t="shared" si="6"/>
        <v>DEC 18</v>
      </c>
      <c r="AR36" s="134" t="str">
        <f>CHOOSE($AP36,AR$3&amp;$AQ36&amp;AS$3,AR$4&amp;strrep(strrep(AQ36,"M",""),"-","X")&amp;AS$4,AR$5&amp;UPPER(FutCode2(AQ36))&amp;AS$5,AR$6&amp;$AQ36&amp;AS$6,"")</f>
        <v>EUR3MFUTZ8</v>
      </c>
      <c r="AS36" s="70">
        <f>IF(RealTime,_xll.RtGet(RtChannel,$AR36,AS$12),"StaticData")</f>
        <v>100.1075</v>
      </c>
      <c r="AT36" s="70">
        <f>IF(RealTime,_xll.RtGet(RtChannel,$AR36,AT$12),"StaticData")</f>
        <v>100.1075</v>
      </c>
      <c r="AU36" s="436">
        <f>IF(RealTime,AS36,static_data())</f>
        <v>100.1075</v>
      </c>
      <c r="AV36" s="435">
        <f>IF(RealTime,AT36,static_data())</f>
        <v>100.1075</v>
      </c>
      <c r="AW36" s="43">
        <f t="shared" si="7"/>
        <v>-0.10750000000000171</v>
      </c>
      <c r="AY36" s="198" t="s">
        <v>2831</v>
      </c>
      <c r="AZ36" s="158" t="str">
        <f t="shared" si="8"/>
        <v>8M-20M</v>
      </c>
      <c r="BA36" s="134" t="s">
        <v>4008</v>
      </c>
      <c r="BB36" s="70">
        <f>IF(RealTime,_xll.RtGet(RtChannel,$BA36,BB$12),"StaticData")</f>
        <v>3.0000000000000001E-3</v>
      </c>
      <c r="BC36" s="71">
        <f>IF(RealTime,_xll.RtGet(RtChannel,$BA36,BC$12),"StaticData")</f>
        <v>3.0000000000000001E-3</v>
      </c>
      <c r="BD36" s="435">
        <f>IF(RealTime,BB36,static_data())</f>
        <v>3.0000000000000001E-3</v>
      </c>
      <c r="BE36" s="435">
        <f>IF(RealTime,BC36,static_data())</f>
        <v>3.0000000000000001E-3</v>
      </c>
      <c r="BF36" s="43">
        <f t="shared" si="9"/>
        <v>3.0000000000000001E-3</v>
      </c>
      <c r="BH36" s="158" t="str">
        <v>7Y</v>
      </c>
      <c r="BI36" s="134" t="str">
        <f t="shared" si="25"/>
        <v>EUR6MSW7Y=</v>
      </c>
      <c r="BJ36" s="70">
        <f>IF(RealTime,_xll.RtGet(RtChannel,$BI36,BJ$12),"StaticData")</f>
        <v>0.36399999999999999</v>
      </c>
      <c r="BK36" s="71">
        <f>IF(RealTime,_xll.RtGet(RtChannel,$BI36,BK$12),"StaticData")</f>
        <v>0.36399999999999999</v>
      </c>
      <c r="BL36" s="435">
        <f>IF(RealTime,BJ36,static_data())</f>
        <v>0.36399999999999999</v>
      </c>
      <c r="BM36" s="435">
        <f>IF(RealTime,BK36,static_data())</f>
        <v>0.36399999999999999</v>
      </c>
      <c r="BN36" s="43">
        <f t="shared" si="10"/>
        <v>0.36399999999999999</v>
      </c>
      <c r="BP36" s="136" t="s">
        <v>54</v>
      </c>
      <c r="BQ36" s="137" t="str">
        <f t="shared" si="14"/>
        <v>18M</v>
      </c>
      <c r="BR36" s="134" t="str">
        <f t="shared" si="26"/>
        <v>EURONOIS18M=</v>
      </c>
      <c r="BS36" s="70">
        <f>IF(RealTime,_xll.RtGet(RtChannel,$BR36,BS$12),"StaticData")</f>
        <v>-0.35000000000000003</v>
      </c>
      <c r="BT36" s="70">
        <f>IF(RealTime,_xll.RtGet(RtChannel,$BR36,BT$12),"StaticData")</f>
        <v>-0.35000000000000003</v>
      </c>
      <c r="BU36" s="436">
        <f>IF(RealTime,BS36,static_data())</f>
        <v>-0.35000000000000003</v>
      </c>
      <c r="BV36" s="543">
        <f>IF(RealTime,BT36,static_data())</f>
        <v>-0.35000000000000003</v>
      </c>
      <c r="BW36" s="43">
        <f t="shared" si="21"/>
        <v>-0.35000000000000003</v>
      </c>
      <c r="BY36" s="198" t="s">
        <v>98</v>
      </c>
      <c r="BZ36" s="137" t="str">
        <f t="shared" si="15"/>
        <v>2Y6M</v>
      </c>
      <c r="CA36" s="134" t="str">
        <f t="shared" si="28"/>
        <v>EUR1MSW2Y6M=</v>
      </c>
      <c r="CB36" s="70">
        <f>IF(RealTime,_xll.RtGet(RtChannel,$CA36,CD$12),"StaticData")</f>
        <v>-0.32048437900000004</v>
      </c>
      <c r="CC36" s="71">
        <f>IF(RealTime,_xll.RtGet(RtChannel,$CA36,CE$12),"StaticData")</f>
        <v>-0.32048437900000004</v>
      </c>
      <c r="CD36" s="435">
        <f>IF(RealTime,CB36,static_data())</f>
        <v>-0.32048437900000004</v>
      </c>
      <c r="CE36" s="435">
        <f>IF(RealTime,CC36,static_data())</f>
        <v>-0.32048437900000004</v>
      </c>
      <c r="CF36" s="43">
        <f t="shared" si="16"/>
        <v>-0.32048437900000004</v>
      </c>
      <c r="CG36" s="47">
        <f>(CF36-'reference set'!BA46)*100</f>
        <v>6.513999999996356E-3</v>
      </c>
    </row>
    <row r="37" spans="1:85">
      <c r="L37" s="401"/>
      <c r="M37" s="401"/>
      <c r="Q37" s="170"/>
      <c r="R37" s="102" t="s">
        <v>505</v>
      </c>
      <c r="S37" s="266"/>
      <c r="T37" s="163"/>
      <c r="U37" s="288" t="b">
        <v>0</v>
      </c>
      <c r="V37" s="284" t="str">
        <v>8Y</v>
      </c>
      <c r="W37" s="137" t="str">
        <v>W</v>
      </c>
      <c r="X37" s="130" t="str">
        <f t="shared" si="0"/>
        <v>W6</v>
      </c>
      <c r="Y37" s="173">
        <f t="shared" si="1"/>
        <v>4</v>
      </c>
      <c r="Z37" s="175" t="str">
        <f t="shared" si="23"/>
        <v>8Y</v>
      </c>
      <c r="AA37" s="163">
        <v>45618</v>
      </c>
      <c r="AB37" s="173" t="str">
        <f t="shared" si="24"/>
        <v>8Y</v>
      </c>
      <c r="AC37" s="335"/>
      <c r="AD37" s="6"/>
      <c r="AE37" s="198" t="s">
        <v>1232</v>
      </c>
      <c r="AF37" s="158" t="str">
        <f t="shared" si="4"/>
        <v>15M-21M</v>
      </c>
      <c r="AG37" s="134" t="s">
        <v>3940</v>
      </c>
      <c r="AH37" s="70">
        <f>IF(RealTime,_xll.RtGet(RtChannel,$AG37,AH$12),"StaticData")</f>
        <v>-8.1000000000000003E-2</v>
      </c>
      <c r="AI37" s="71">
        <f>IF(RealTime,_xll.RtGet(RtChannel,$AG37,AI$12),"StaticData")</f>
        <v>-8.1000000000000003E-2</v>
      </c>
      <c r="AJ37" s="435">
        <f>IF(RealTime,AH37,static_data())</f>
        <v>-8.1000000000000003E-2</v>
      </c>
      <c r="AK37" s="435">
        <f>IF(RealTime,AI37,static_data())</f>
        <v>-8.1000000000000003E-2</v>
      </c>
      <c r="AL37" s="43">
        <f t="shared" si="13"/>
        <v>-8.1000000000000003E-2</v>
      </c>
      <c r="AO37" s="137" t="s">
        <v>5100</v>
      </c>
      <c r="AP37" s="137">
        <f t="shared" si="5"/>
        <v>3</v>
      </c>
      <c r="AQ37" s="432" t="str">
        <f t="shared" si="6"/>
        <v>MAR 19</v>
      </c>
      <c r="AR37" s="134" t="str">
        <f>CHOOSE($AP37,AR$3&amp;$AQ37&amp;AS$3,AR$4&amp;strrep(strrep(AQ37,"M",""),"-","X")&amp;AS$4,AR$5&amp;UPPER(FutCode2(AQ37))&amp;AS$5,AR$6&amp;$AQ37&amp;AS$6,"")</f>
        <v>EUR3MFUTH9</v>
      </c>
      <c r="AS37" s="70">
        <f>IF(RealTime,_xll.RtGet(RtChannel,$AR37,AS$12),"StaticData")</f>
        <v>100.0625</v>
      </c>
      <c r="AT37" s="70">
        <f>IF(RealTime,_xll.RtGet(RtChannel,$AR37,AT$12),"StaticData")</f>
        <v>100.0625</v>
      </c>
      <c r="AU37" s="436">
        <f>IF(RealTime,AS37,static_data())</f>
        <v>100.0625</v>
      </c>
      <c r="AV37" s="435">
        <f>IF(RealTime,AT37,static_data())</f>
        <v>100.0625</v>
      </c>
      <c r="AW37" s="43">
        <f t="shared" si="7"/>
        <v>-6.25E-2</v>
      </c>
      <c r="AY37" s="198" t="s">
        <v>2833</v>
      </c>
      <c r="AZ37" s="158" t="str">
        <f t="shared" si="8"/>
        <v>9M-21M</v>
      </c>
      <c r="BA37" s="134" t="s">
        <v>4009</v>
      </c>
      <c r="BB37" s="70">
        <f>IF(RealTime,_xll.RtGet(RtChannel,$BA37,BB$12),"StaticData")</f>
        <v>1.4E-2</v>
      </c>
      <c r="BC37" s="71">
        <f>IF(RealTime,_xll.RtGet(RtChannel,$BA37,BC$12),"StaticData")</f>
        <v>1.4E-2</v>
      </c>
      <c r="BD37" s="435">
        <f>IF(RealTime,BB37,static_data())</f>
        <v>1.4E-2</v>
      </c>
      <c r="BE37" s="435">
        <f>IF(RealTime,BC37,static_data())</f>
        <v>1.4E-2</v>
      </c>
      <c r="BF37" s="43">
        <f t="shared" si="9"/>
        <v>1.4E-2</v>
      </c>
      <c r="BH37" s="158" t="str">
        <v>8Y</v>
      </c>
      <c r="BI37" s="134" t="str">
        <f t="shared" si="25"/>
        <v>EUR6MSW8Y=</v>
      </c>
      <c r="BJ37" s="70">
        <f>IF(RealTime,_xll.RtGet(RtChannel,$BI37,BJ$12),"StaticData")</f>
        <v>0.47700000000000004</v>
      </c>
      <c r="BK37" s="71">
        <f>IF(RealTime,_xll.RtGet(RtChannel,$BI37,BK$12),"StaticData")</f>
        <v>0.47700000000000004</v>
      </c>
      <c r="BL37" s="435">
        <f>IF(RealTime,BJ37,static_data())</f>
        <v>0.47700000000000004</v>
      </c>
      <c r="BM37" s="435">
        <f>IF(RealTime,BK37,static_data())</f>
        <v>0.47700000000000004</v>
      </c>
      <c r="BN37" s="43">
        <f t="shared" si="10"/>
        <v>0.47700000000000004</v>
      </c>
      <c r="BP37" s="136" t="s">
        <v>61</v>
      </c>
      <c r="BQ37" s="137" t="str">
        <f t="shared" si="14"/>
        <v>19M</v>
      </c>
      <c r="BR37" s="134" t="str">
        <f t="shared" si="26"/>
        <v>EURONOIS19M=</v>
      </c>
      <c r="BS37" s="70">
        <f>IF(RealTime,_xll.RtGet(RtChannel,$BR37,BS$12),"StaticData")</f>
        <v>-0.34823548700000001</v>
      </c>
      <c r="BT37" s="70">
        <f>IF(RealTime,_xll.RtGet(RtChannel,$BR37,BT$12),"StaticData")</f>
        <v>-0.34823548700000001</v>
      </c>
      <c r="BU37" s="436">
        <f>IF(RealTime,BS37,static_data())</f>
        <v>-0.34823548700000001</v>
      </c>
      <c r="BV37" s="543">
        <f>IF(RealTime,BT37,static_data())</f>
        <v>-0.34823548700000001</v>
      </c>
      <c r="BW37" s="43">
        <f t="shared" si="21"/>
        <v>-0.34823548700000001</v>
      </c>
      <c r="BY37" s="198" t="s">
        <v>99</v>
      </c>
      <c r="BZ37" s="137" t="str">
        <f t="shared" si="15"/>
        <v>2Y9M</v>
      </c>
      <c r="CA37" s="134" t="str">
        <f t="shared" si="28"/>
        <v>EUR1MSW2Y9M=</v>
      </c>
      <c r="CB37" s="70">
        <f>IF(RealTime,_xll.RtGet(RtChannel,$CA37,CD$12),"StaticData")</f>
        <v>-0.304954691</v>
      </c>
      <c r="CC37" s="71">
        <f>IF(RealTime,_xll.RtGet(RtChannel,$CA37,CE$12),"StaticData")</f>
        <v>-0.304954691</v>
      </c>
      <c r="CD37" s="435">
        <f>IF(RealTime,CB37,static_data())</f>
        <v>-0.304954691</v>
      </c>
      <c r="CE37" s="435">
        <f>IF(RealTime,CC37,static_data())</f>
        <v>-0.304954691</v>
      </c>
      <c r="CF37" s="43">
        <f t="shared" si="16"/>
        <v>-0.304954691</v>
      </c>
      <c r="CG37" s="47">
        <f>(CF37-'reference set'!BA47)*100</f>
        <v>4.3729799999997487E-2</v>
      </c>
    </row>
    <row r="38" spans="1:85">
      <c r="B38" s="2"/>
      <c r="E38" s="9" t="s">
        <v>73</v>
      </c>
      <c r="F38" s="12" t="s">
        <v>74</v>
      </c>
      <c r="G38" s="14" t="s">
        <v>75</v>
      </c>
      <c r="H38" s="2"/>
      <c r="I38" s="68"/>
      <c r="L38" s="401"/>
      <c r="M38" s="401"/>
      <c r="Q38" s="171"/>
      <c r="R38" s="102" t="s">
        <v>505</v>
      </c>
      <c r="S38" s="266"/>
      <c r="T38" s="369"/>
      <c r="U38" s="288" t="b">
        <v>0</v>
      </c>
      <c r="V38" s="284" t="str">
        <v>9Y</v>
      </c>
      <c r="W38" s="137" t="str">
        <v>W</v>
      </c>
      <c r="X38" s="130" t="str">
        <f t="shared" si="0"/>
        <v>W7</v>
      </c>
      <c r="Y38" s="173">
        <f t="shared" si="1"/>
        <v>4</v>
      </c>
      <c r="Z38" s="175" t="str">
        <f t="shared" si="23"/>
        <v>9Y</v>
      </c>
      <c r="AA38" s="163">
        <v>45985</v>
      </c>
      <c r="AB38" s="173" t="str">
        <f t="shared" si="24"/>
        <v>9Y</v>
      </c>
      <c r="AC38" s="335"/>
      <c r="AD38" s="6"/>
      <c r="AE38" s="198" t="s">
        <v>1233</v>
      </c>
      <c r="AF38" s="158" t="str">
        <f t="shared" si="4"/>
        <v>16M-22M</v>
      </c>
      <c r="AG38" s="134" t="s">
        <v>3941</v>
      </c>
      <c r="AH38" s="70">
        <f>IF(RealTime,_xll.RtGet(RtChannel,$AG38,AH$12),"StaticData")</f>
        <v>-6.9000000000000006E-2</v>
      </c>
      <c r="AI38" s="71">
        <f>IF(RealTime,_xll.RtGet(RtChannel,$AG38,AI$12),"StaticData")</f>
        <v>-6.9000000000000006E-2</v>
      </c>
      <c r="AJ38" s="435">
        <f>IF(RealTime,AH38,static_data())</f>
        <v>-6.9000000000000006E-2</v>
      </c>
      <c r="AK38" s="435">
        <f>IF(RealTime,AI38,static_data())</f>
        <v>-6.9000000000000006E-2</v>
      </c>
      <c r="AL38" s="43">
        <f t="shared" si="13"/>
        <v>-6.9000000000000006E-2</v>
      </c>
      <c r="AO38" s="137" t="s">
        <v>10</v>
      </c>
      <c r="AP38" s="137">
        <f t="shared" si="5"/>
        <v>4</v>
      </c>
      <c r="AQ38" s="158" t="str">
        <f t="shared" si="6"/>
        <v>3Y</v>
      </c>
      <c r="AR38" s="134" t="str">
        <f>CHOOSE($AP38,AR$3&amp;$AQ38&amp;AS$3,AR$4&amp;strrep(strrep(AQ38,"M",""),"-","X")&amp;AS$4,AR$5&amp;UPPER(FutCode2(AQ38))&amp;AS$5,AR$6&amp;$AQ38&amp;AS$6,"")</f>
        <v>EUR3MSW3Y=</v>
      </c>
      <c r="AS38" s="70">
        <f>IF(RealTime,_xll.RtGet(RtChannel,$AR38,AS$12),"StaticData")</f>
        <v>-0.185</v>
      </c>
      <c r="AT38" s="70">
        <f>IF(RealTime,_xll.RtGet(RtChannel,$AR38,AT$12),"StaticData")</f>
        <v>-0.185</v>
      </c>
      <c r="AU38" s="436">
        <f>IF(RealTime,AS38,static_data())</f>
        <v>-0.185</v>
      </c>
      <c r="AV38" s="435">
        <f>IF(RealTime,AT38,static_data())</f>
        <v>-0.185</v>
      </c>
      <c r="AW38" s="43">
        <f t="shared" si="7"/>
        <v>-0.185</v>
      </c>
      <c r="AY38" s="198" t="s">
        <v>2835</v>
      </c>
      <c r="AZ38" s="158" t="str">
        <f t="shared" si="8"/>
        <v>10M-22M</v>
      </c>
      <c r="BA38" s="134" t="s">
        <v>4010</v>
      </c>
      <c r="BB38" s="70">
        <f>IF(RealTime,_xll.RtGet(RtChannel,$BA38,BB$12),"StaticData")</f>
        <v>2.6000000000000002E-2</v>
      </c>
      <c r="BC38" s="71">
        <f>IF(RealTime,_xll.RtGet(RtChannel,$BA38,BC$12),"StaticData")</f>
        <v>2.6000000000000002E-2</v>
      </c>
      <c r="BD38" s="435">
        <f>IF(RealTime,BB38,static_data())</f>
        <v>2.6000000000000002E-2</v>
      </c>
      <c r="BE38" s="435">
        <f>IF(RealTime,BC38,static_data())</f>
        <v>2.6000000000000002E-2</v>
      </c>
      <c r="BF38" s="43">
        <f t="shared" si="9"/>
        <v>2.6000000000000002E-2</v>
      </c>
      <c r="BH38" s="158" t="str">
        <v>9Y</v>
      </c>
      <c r="BI38" s="134" t="str">
        <f t="shared" si="25"/>
        <v>EUR6MSW9Y=</v>
      </c>
      <c r="BJ38" s="70">
        <f>IF(RealTime,_xll.RtGet(RtChannel,$BI38,BJ$12),"StaticData")</f>
        <v>0.58499999999999996</v>
      </c>
      <c r="BK38" s="71">
        <f>IF(RealTime,_xll.RtGet(RtChannel,$BI38,BK$12),"StaticData")</f>
        <v>0.58499999999999996</v>
      </c>
      <c r="BL38" s="435">
        <f>IF(RealTime,BJ38,static_data())</f>
        <v>0.58499999999999996</v>
      </c>
      <c r="BM38" s="435">
        <f>IF(RealTime,BK38,static_data())</f>
        <v>0.58499999999999996</v>
      </c>
      <c r="BN38" s="43">
        <f t="shared" si="10"/>
        <v>0.58499999999999996</v>
      </c>
      <c r="BP38" s="136" t="s">
        <v>62</v>
      </c>
      <c r="BQ38" s="137" t="str">
        <f t="shared" si="14"/>
        <v>20M</v>
      </c>
      <c r="BR38" s="134" t="str">
        <f t="shared" si="26"/>
        <v>EURONOIS20M=</v>
      </c>
      <c r="BS38" s="70">
        <f>IF(RealTime,_xll.RtGet(RtChannel,$BR38,BS$12),"StaticData")</f>
        <v>-0.34614169500000003</v>
      </c>
      <c r="BT38" s="70">
        <f>IF(RealTime,_xll.RtGet(RtChannel,$BR38,BT$12),"StaticData")</f>
        <v>-0.34614169500000003</v>
      </c>
      <c r="BU38" s="436">
        <f>IF(RealTime,BS38,static_data())</f>
        <v>-0.34614169500000003</v>
      </c>
      <c r="BV38" s="543">
        <f>IF(RealTime,BT38,static_data())</f>
        <v>-0.34614169500000003</v>
      </c>
      <c r="BW38" s="43">
        <f t="shared" si="21"/>
        <v>-0.34614169500000003</v>
      </c>
      <c r="BY38" s="198" t="s">
        <v>10</v>
      </c>
      <c r="BZ38" s="137" t="str">
        <f t="shared" si="15"/>
        <v>3Y</v>
      </c>
      <c r="CA38" s="134" t="str">
        <f t="shared" si="28"/>
        <v>EUR1MSW3Y=</v>
      </c>
      <c r="CB38" s="70">
        <f>IF(RealTime,_xll.RtGet(RtChannel,$CA38,CD$12),"StaticData")</f>
        <v>-0.28800000000000003</v>
      </c>
      <c r="CC38" s="71">
        <f>IF(RealTime,_xll.RtGet(RtChannel,$CA38,CE$12),"StaticData")</f>
        <v>-0.28800000000000003</v>
      </c>
      <c r="CD38" s="435">
        <f>IF(RealTime,CB38,static_data())</f>
        <v>-0.28800000000000003</v>
      </c>
      <c r="CE38" s="435">
        <f>IF(RealTime,CC38,static_data())</f>
        <v>-0.28800000000000003</v>
      </c>
      <c r="CF38" s="43">
        <f t="shared" si="16"/>
        <v>-0.28800000000000003</v>
      </c>
      <c r="CG38" s="47">
        <f>(CF38-'reference set'!BA48)*100</f>
        <v>9.9999999999994538E-2</v>
      </c>
    </row>
    <row r="39" spans="1:85">
      <c r="B39" s="9" t="s">
        <v>76</v>
      </c>
      <c r="C39" s="60" t="str">
        <f>$N$3</f>
        <v>Z6</v>
      </c>
      <c r="D39" s="63" t="str">
        <f>CONCATENATE(B39,C39)</f>
        <v>FGBLZ6</v>
      </c>
      <c r="E39" s="63">
        <f>IF(RealTime,_xll.RtGet("IDN_SELECTFEED",D39,E$38),static_data())</f>
        <v>160.58000000000001</v>
      </c>
      <c r="F39" s="64">
        <f>IF(RealTime,_xll.RtGet("IDN_SELECTFEED",D39,F$38),static_data())</f>
        <v>160.59</v>
      </c>
      <c r="G39" s="64">
        <f t="shared" ref="G39:G44" si="32">SafeMid(E39,F39)</f>
        <v>160.58500000000001</v>
      </c>
      <c r="H39" s="2" t="s">
        <v>224</v>
      </c>
      <c r="I39" s="336" t="s">
        <v>731</v>
      </c>
      <c r="L39" s="401"/>
      <c r="M39" s="401"/>
      <c r="Q39" s="155" t="s">
        <v>10</v>
      </c>
      <c r="R39" s="102" t="s">
        <v>508</v>
      </c>
      <c r="S39" s="164"/>
      <c r="T39" s="163">
        <f t="shared" ref="T39:T78" si="33">NextBusDay(EDATE(ValueDate,12*LEFT(Q39,LEN(Q39)-1)))</f>
        <v>43791</v>
      </c>
      <c r="U39" s="288" t="b">
        <v>1</v>
      </c>
      <c r="V39" s="284" t="str">
        <v>10Y</v>
      </c>
      <c r="W39" s="137" t="str">
        <v>W</v>
      </c>
      <c r="X39" s="130" t="str">
        <f t="shared" si="0"/>
        <v>W8</v>
      </c>
      <c r="Y39" s="173">
        <f t="shared" si="1"/>
        <v>4</v>
      </c>
      <c r="Z39" s="175" t="str">
        <f t="shared" si="23"/>
        <v>10Y</v>
      </c>
      <c r="AA39" s="163">
        <v>46349</v>
      </c>
      <c r="AB39" s="173" t="str">
        <f t="shared" si="24"/>
        <v>10Y</v>
      </c>
      <c r="AC39" s="335"/>
      <c r="AD39" s="6"/>
      <c r="AE39" s="198" t="s">
        <v>1234</v>
      </c>
      <c r="AF39" s="158" t="str">
        <f t="shared" si="4"/>
        <v>17M-23M</v>
      </c>
      <c r="AG39" s="134" t="s">
        <v>3942</v>
      </c>
      <c r="AH39" s="70">
        <f>IF(RealTime,_xll.RtGet(RtChannel,$AG39,AH$12),"StaticData")</f>
        <v>-5.5E-2</v>
      </c>
      <c r="AI39" s="71">
        <f>IF(RealTime,_xll.RtGet(RtChannel,$AG39,AI$12),"StaticData")</f>
        <v>-5.5E-2</v>
      </c>
      <c r="AJ39" s="435">
        <f>IF(RealTime,AH39,static_data())</f>
        <v>-5.5E-2</v>
      </c>
      <c r="AK39" s="435">
        <f>IF(RealTime,AI39,static_data())</f>
        <v>-5.5E-2</v>
      </c>
      <c r="AL39" s="43">
        <f t="shared" si="13"/>
        <v>-5.5E-2</v>
      </c>
      <c r="AO39" s="137" t="s">
        <v>11</v>
      </c>
      <c r="AP39" s="137">
        <f t="shared" si="5"/>
        <v>4</v>
      </c>
      <c r="AQ39" s="158" t="str">
        <f t="shared" si="6"/>
        <v>4Y</v>
      </c>
      <c r="AR39" s="134" t="str">
        <f>CHOOSE($AP39,AR$3&amp;$AQ39&amp;AS$3,AR$4&amp;strrep(strrep(AQ39,"M",""),"-","X")&amp;AS$4,AR$5&amp;UPPER(FutCode2(AQ39))&amp;AS$5,AR$6&amp;$AQ39&amp;AS$6,"")</f>
        <v>EUR3MSW4Y=</v>
      </c>
      <c r="AS39" s="70">
        <f>IF(RealTime,_xll.RtGet(RtChannel,$AR39,AS$12),"StaticData")</f>
        <v>-0.10100000000000001</v>
      </c>
      <c r="AT39" s="70">
        <f>IF(RealTime,_xll.RtGet(RtChannel,$AR39,AT$12),"StaticData")</f>
        <v>-0.10100000000000001</v>
      </c>
      <c r="AU39" s="436">
        <f>IF(RealTime,AS39,static_data())</f>
        <v>-0.10100000000000001</v>
      </c>
      <c r="AV39" s="435">
        <f>IF(RealTime,AT39,static_data())</f>
        <v>-0.10100000000000001</v>
      </c>
      <c r="AW39" s="43">
        <f t="shared" si="7"/>
        <v>-0.10100000000000001</v>
      </c>
      <c r="AY39" s="198" t="s">
        <v>2837</v>
      </c>
      <c r="AZ39" s="158" t="str">
        <f t="shared" si="8"/>
        <v>11M-23M</v>
      </c>
      <c r="BA39" s="134" t="s">
        <v>4011</v>
      </c>
      <c r="BB39" s="70">
        <f>IF(RealTime,_xll.RtGet(RtChannel,$BA39,BB$12),"StaticData")</f>
        <v>3.9E-2</v>
      </c>
      <c r="BC39" s="71">
        <f>IF(RealTime,_xll.RtGet(RtChannel,$BA39,BC$12),"StaticData")</f>
        <v>3.9E-2</v>
      </c>
      <c r="BD39" s="435">
        <f>IF(RealTime,BB39,static_data())</f>
        <v>3.9E-2</v>
      </c>
      <c r="BE39" s="435">
        <f>IF(RealTime,BC39,static_data())</f>
        <v>3.9E-2</v>
      </c>
      <c r="BF39" s="43">
        <f t="shared" si="9"/>
        <v>3.9E-2</v>
      </c>
      <c r="BH39" s="158" t="str">
        <v>10Y</v>
      </c>
      <c r="BI39" s="134" t="str">
        <f t="shared" si="25"/>
        <v>EUR6MSW10Y=</v>
      </c>
      <c r="BJ39" s="70">
        <f>IF(RealTime,_xll.RtGet(RtChannel,$BI39,BJ$12),"StaticData")</f>
        <v>0.68200000000000005</v>
      </c>
      <c r="BK39" s="71">
        <f>IF(RealTime,_xll.RtGet(RtChannel,$BI39,BK$12),"StaticData")</f>
        <v>0.68200000000000005</v>
      </c>
      <c r="BL39" s="435">
        <f>IF(RealTime,BJ39,static_data())</f>
        <v>0.68200000000000005</v>
      </c>
      <c r="BM39" s="435">
        <f>IF(RealTime,BK39,static_data())</f>
        <v>0.68200000000000005</v>
      </c>
      <c r="BN39" s="43">
        <f t="shared" si="10"/>
        <v>0.68200000000000005</v>
      </c>
      <c r="BP39" s="136" t="s">
        <v>55</v>
      </c>
      <c r="BQ39" s="137" t="str">
        <f t="shared" si="14"/>
        <v>21M</v>
      </c>
      <c r="BR39" s="134" t="str">
        <f t="shared" si="26"/>
        <v>EURONOIS21M=</v>
      </c>
      <c r="BS39" s="70">
        <f>IF(RealTime,_xll.RtGet(RtChannel,$BR39,BS$12),"StaticData")</f>
        <v>-0.34400000000000003</v>
      </c>
      <c r="BT39" s="70">
        <f>IF(RealTime,_xll.RtGet(RtChannel,$BR39,BT$12),"StaticData")</f>
        <v>-0.34400000000000003</v>
      </c>
      <c r="BU39" s="436">
        <f>IF(RealTime,BS39,static_data())</f>
        <v>-0.34400000000000003</v>
      </c>
      <c r="BV39" s="543">
        <f>IF(RealTime,BT39,static_data())</f>
        <v>-0.34400000000000003</v>
      </c>
      <c r="BW39" s="43">
        <f t="shared" si="21"/>
        <v>-0.34400000000000003</v>
      </c>
      <c r="BY39" s="198" t="s">
        <v>11</v>
      </c>
      <c r="BZ39" s="137" t="str">
        <f t="shared" si="15"/>
        <v>4Y</v>
      </c>
      <c r="CA39" s="134" t="str">
        <f t="shared" si="28"/>
        <v>EUR1MSW4Y=</v>
      </c>
      <c r="CB39" s="70">
        <f>IF(RealTime,_xll.RtGet(RtChannel,$CA39,CD$12),"StaticData")</f>
        <v>-0.20899999999999999</v>
      </c>
      <c r="CC39" s="71">
        <f>IF(RealTime,_xll.RtGet(RtChannel,$CA39,CE$12),"StaticData")</f>
        <v>-0.20899999999999999</v>
      </c>
      <c r="CD39" s="435">
        <f>IF(RealTime,CB39,static_data())</f>
        <v>-0.20899999999999999</v>
      </c>
      <c r="CE39" s="435">
        <f>IF(RealTime,CC39,static_data())</f>
        <v>-0.20899999999999999</v>
      </c>
      <c r="CF39" s="43">
        <f t="shared" si="16"/>
        <v>-0.20899999999999999</v>
      </c>
      <c r="CG39" s="47">
        <f>(CF39-'reference set'!BA49)*100</f>
        <v>0.40000000000000036</v>
      </c>
    </row>
    <row r="40" spans="1:85">
      <c r="B40" s="15" t="s">
        <v>77</v>
      </c>
      <c r="C40" s="61" t="str">
        <f t="shared" ref="C40:C44" si="34">C$39</f>
        <v>Z6</v>
      </c>
      <c r="D40" s="65" t="str">
        <f t="shared" ref="D40:D44" si="35">CONCATENATE(B40,C40)</f>
        <v>FGBMZ6</v>
      </c>
      <c r="E40" s="65">
        <f>IF(RealTime,_xll.RtGet("IDN_SELECTFEED",D40,E$38),static_data())</f>
        <v>130.79</v>
      </c>
      <c r="F40" s="66">
        <f>IF(RealTime,_xll.RtGet("IDN_SELECTFEED",D40,F$38),static_data())</f>
        <v>130.80000000000001</v>
      </c>
      <c r="G40" s="66">
        <f t="shared" si="32"/>
        <v>130.79500000000002</v>
      </c>
      <c r="H40" s="2" t="s">
        <v>224</v>
      </c>
      <c r="I40" s="336" t="s">
        <v>729</v>
      </c>
      <c r="L40" s="401"/>
      <c r="M40" s="401"/>
      <c r="Q40" s="155" t="s">
        <v>11</v>
      </c>
      <c r="R40" s="102" t="s">
        <v>508</v>
      </c>
      <c r="S40" s="164"/>
      <c r="T40" s="163">
        <f t="shared" si="33"/>
        <v>44158</v>
      </c>
      <c r="U40" s="288" t="b">
        <v>1</v>
      </c>
      <c r="V40" s="284" t="str">
        <v>11Y</v>
      </c>
      <c r="W40" s="137" t="str">
        <v>W</v>
      </c>
      <c r="X40" s="130" t="str">
        <f t="shared" si="0"/>
        <v>W9</v>
      </c>
      <c r="Y40" s="173">
        <f t="shared" si="1"/>
        <v>4</v>
      </c>
      <c r="Z40" s="175" t="str">
        <f t="shared" si="23"/>
        <v>11Y</v>
      </c>
      <c r="AA40" s="163">
        <v>46713</v>
      </c>
      <c r="AB40" s="173" t="str">
        <f t="shared" si="24"/>
        <v>11Y</v>
      </c>
      <c r="AC40" s="335"/>
      <c r="AD40" s="6"/>
      <c r="AE40" s="198" t="s">
        <v>1235</v>
      </c>
      <c r="AF40" s="158" t="str">
        <f t="shared" si="4"/>
        <v>18M-24M</v>
      </c>
      <c r="AG40" s="134" t="s">
        <v>3943</v>
      </c>
      <c r="AH40" s="70">
        <f>IF(RealTime,_xll.RtGet(RtChannel,$AG40,AH$12),"StaticData")</f>
        <v>-4.2000000000000003E-2</v>
      </c>
      <c r="AI40" s="71">
        <f>IF(RealTime,_xll.RtGet(RtChannel,$AG40,AI$12),"StaticData")</f>
        <v>-4.2000000000000003E-2</v>
      </c>
      <c r="AJ40" s="435">
        <f>IF(RealTime,AH40,static_data())</f>
        <v>-4.2000000000000003E-2</v>
      </c>
      <c r="AK40" s="435">
        <f>IF(RealTime,AI40,static_data())</f>
        <v>-4.2000000000000003E-2</v>
      </c>
      <c r="AL40" s="43">
        <f t="shared" si="13"/>
        <v>-4.2000000000000003E-2</v>
      </c>
      <c r="AO40" s="137" t="s">
        <v>12</v>
      </c>
      <c r="AP40" s="137">
        <f t="shared" si="5"/>
        <v>4</v>
      </c>
      <c r="AQ40" s="158" t="str">
        <f t="shared" si="6"/>
        <v>5Y</v>
      </c>
      <c r="AR40" s="134" t="str">
        <f>CHOOSE($AP40,AR$3&amp;$AQ40&amp;AS$3,AR$4&amp;strrep(strrep(AQ40,"M",""),"-","X")&amp;AS$4,AR$5&amp;UPPER(FutCode2(AQ40))&amp;AS$5,AR$6&amp;$AQ40&amp;AS$6,"")</f>
        <v>EUR3MSW5Y=</v>
      </c>
      <c r="AS40" s="70">
        <f>IF(RealTime,_xll.RtGet(RtChannel,$AR40,AS$12),"StaticData")</f>
        <v>0</v>
      </c>
      <c r="AT40" s="70">
        <f>IF(RealTime,_xll.RtGet(RtChannel,$AR40,AT$12),"StaticData")</f>
        <v>0</v>
      </c>
      <c r="AU40" s="436">
        <f>IF(RealTime,AS40,static_data())</f>
        <v>0</v>
      </c>
      <c r="AV40" s="435">
        <f>IF(RealTime,AT40,static_data())</f>
        <v>0</v>
      </c>
      <c r="AW40" s="43">
        <f t="shared" si="7"/>
        <v>0</v>
      </c>
      <c r="AY40" s="198" t="s">
        <v>3886</v>
      </c>
      <c r="AZ40" s="158" t="str">
        <f t="shared" si="8"/>
        <v>12M-24M</v>
      </c>
      <c r="BA40" s="134" t="s">
        <v>4012</v>
      </c>
      <c r="BB40" s="70">
        <f>IF(RealTime,_xll.RtGet(RtChannel,$BA40,BB$12),"StaticData")</f>
        <v>5.2000000000000005E-2</v>
      </c>
      <c r="BC40" s="71">
        <f>IF(RealTime,_xll.RtGet(RtChannel,$BA40,BC$12),"StaticData")</f>
        <v>5.2000000000000005E-2</v>
      </c>
      <c r="BD40" s="435">
        <f>IF(RealTime,BB40,static_data())</f>
        <v>5.2000000000000005E-2</v>
      </c>
      <c r="BE40" s="435">
        <f>IF(RealTime,BC40,static_data())</f>
        <v>5.2000000000000005E-2</v>
      </c>
      <c r="BF40" s="43">
        <f t="shared" si="9"/>
        <v>5.2000000000000005E-2</v>
      </c>
      <c r="BH40" s="158" t="str">
        <v>11Y</v>
      </c>
      <c r="BI40" s="134" t="str">
        <f t="shared" si="25"/>
        <v>EUR6MSW11Y=</v>
      </c>
      <c r="BJ40" s="70">
        <f>IF(RealTime,_xll.RtGet(RtChannel,$BI40,BJ$12),"StaticData")</f>
        <v>0.76879012099999999</v>
      </c>
      <c r="BK40" s="71">
        <f>IF(RealTime,_xll.RtGet(RtChannel,$BI40,BK$12),"StaticData")</f>
        <v>0.76879012099999999</v>
      </c>
      <c r="BL40" s="435">
        <f>IF(RealTime,BJ40,static_data())</f>
        <v>0.76879012099999999</v>
      </c>
      <c r="BM40" s="435">
        <f>IF(RealTime,BK40,static_data())</f>
        <v>0.76879012099999999</v>
      </c>
      <c r="BN40" s="43">
        <f t="shared" si="10"/>
        <v>0.76879012099999999</v>
      </c>
      <c r="BP40" s="136" t="s">
        <v>63</v>
      </c>
      <c r="BQ40" s="137" t="str">
        <f t="shared" si="14"/>
        <v>22M</v>
      </c>
      <c r="BR40" s="134" t="str">
        <f t="shared" si="26"/>
        <v>EURONOIS22M=</v>
      </c>
      <c r="BS40" s="70">
        <f>IF(RealTime,_xll.RtGet(RtChannel,$BR40,BS$12),"StaticData")</f>
        <v>-0.34166496500000004</v>
      </c>
      <c r="BT40" s="70">
        <f>IF(RealTime,_xll.RtGet(RtChannel,$BR40,BT$12),"StaticData")</f>
        <v>-0.34166496500000004</v>
      </c>
      <c r="BU40" s="436">
        <f>IF(RealTime,BS40,static_data())</f>
        <v>-0.34166496500000004</v>
      </c>
      <c r="BV40" s="543">
        <f>IF(RealTime,BT40,static_data())</f>
        <v>-0.34166496500000004</v>
      </c>
      <c r="BW40" s="43">
        <f t="shared" si="21"/>
        <v>-0.34166496500000004</v>
      </c>
      <c r="BY40" s="198" t="s">
        <v>12</v>
      </c>
      <c r="BZ40" s="137" t="str">
        <f t="shared" si="15"/>
        <v>5Y</v>
      </c>
      <c r="CA40" s="134" t="str">
        <f t="shared" si="28"/>
        <v>EUR1MSW5Y=</v>
      </c>
      <c r="CB40" s="70">
        <f>IF(RealTime,_xll.RtGet(RtChannel,$CA40,CD$12),"StaticData")</f>
        <v>-0.113</v>
      </c>
      <c r="CC40" s="71">
        <f>IF(RealTime,_xll.RtGet(RtChannel,$CA40,CE$12),"StaticData")</f>
        <v>-0.113</v>
      </c>
      <c r="CD40" s="435">
        <f>IF(RealTime,CB40,static_data())</f>
        <v>-0.113</v>
      </c>
      <c r="CE40" s="435">
        <f>IF(RealTime,CC40,static_data())</f>
        <v>-0.113</v>
      </c>
      <c r="CF40" s="43">
        <f t="shared" si="16"/>
        <v>-0.113</v>
      </c>
      <c r="CG40" s="47">
        <f>(CF40-'reference set'!BA50)*100</f>
        <v>0.5999999999999992</v>
      </c>
    </row>
    <row r="41" spans="1:85" ht="13.5" thickBot="1">
      <c r="B41" s="19" t="s">
        <v>78</v>
      </c>
      <c r="C41" s="62" t="str">
        <f t="shared" si="34"/>
        <v>Z6</v>
      </c>
      <c r="D41" s="393" t="str">
        <f t="shared" si="35"/>
        <v>FGBSZ6</v>
      </c>
      <c r="E41" s="393">
        <f>IF(RealTime,_xll.RtGet("IDN_SELECTFEED",D41,E$38),static_data())</f>
        <v>112.05</v>
      </c>
      <c r="F41" s="67">
        <f>IF(RealTime,_xll.RtGet("IDN_SELECTFEED",D41,F$38),static_data())</f>
        <v>112.05500000000001</v>
      </c>
      <c r="G41" s="67">
        <f t="shared" si="32"/>
        <v>112.05250000000001</v>
      </c>
      <c r="H41" s="2" t="s">
        <v>224</v>
      </c>
      <c r="L41" s="401"/>
      <c r="M41" s="401"/>
      <c r="Q41" s="155" t="s">
        <v>12</v>
      </c>
      <c r="R41" s="102" t="s">
        <v>508</v>
      </c>
      <c r="S41" s="164"/>
      <c r="T41" s="163">
        <f t="shared" si="33"/>
        <v>44522</v>
      </c>
      <c r="U41" s="288" t="b">
        <v>1</v>
      </c>
      <c r="V41" s="284" t="str">
        <v>12Y</v>
      </c>
      <c r="W41" s="137" t="str">
        <v>W</v>
      </c>
      <c r="X41" s="130" t="str">
        <f t="shared" si="0"/>
        <v>W10</v>
      </c>
      <c r="Y41" s="173">
        <f t="shared" si="1"/>
        <v>4</v>
      </c>
      <c r="Z41" s="175" t="str">
        <f t="shared" si="23"/>
        <v>12Y</v>
      </c>
      <c r="AA41" s="163">
        <v>47079</v>
      </c>
      <c r="AB41" s="173" t="str">
        <f t="shared" si="24"/>
        <v>12Y</v>
      </c>
      <c r="AC41" s="335"/>
      <c r="AD41" s="6"/>
      <c r="AE41" s="198" t="s">
        <v>3891</v>
      </c>
      <c r="AF41" s="158" t="str">
        <f t="shared" si="4"/>
        <v>24M-30M</v>
      </c>
      <c r="AG41" s="134" t="s">
        <v>3944</v>
      </c>
      <c r="AH41" s="70">
        <f>IF(RealTime,_xll.RtGet(RtChannel,$AG41,AH$12),"StaticData")</f>
        <v>4.1106315000000004E-2</v>
      </c>
      <c r="AI41" s="71">
        <f>IF(RealTime,_xll.RtGet(RtChannel,$AG41,AI$12),"StaticData")</f>
        <v>4.1106315000000004E-2</v>
      </c>
      <c r="AJ41" s="435">
        <f>IF(RealTime,AH41,static_data())</f>
        <v>4.1106315000000004E-2</v>
      </c>
      <c r="AK41" s="435">
        <f>IF(RealTime,AI41,static_data())</f>
        <v>4.1106315000000004E-2</v>
      </c>
      <c r="AL41" s="43">
        <f t="shared" si="13"/>
        <v>4.1106315000000004E-2</v>
      </c>
      <c r="AO41" s="137" t="s">
        <v>13</v>
      </c>
      <c r="AP41" s="137">
        <f t="shared" si="5"/>
        <v>4</v>
      </c>
      <c r="AQ41" s="158" t="str">
        <f t="shared" si="6"/>
        <v>6Y</v>
      </c>
      <c r="AR41" s="134" t="str">
        <f>CHOOSE($AP41,AR$3&amp;$AQ41&amp;AS$3,AR$4&amp;strrep(strrep(AQ41,"M",""),"-","X")&amp;AS$4,AR$5&amp;UPPER(FutCode2(AQ41))&amp;AS$5,AR$6&amp;$AQ41&amp;AS$6,"")</f>
        <v>EUR3MSW6Y=</v>
      </c>
      <c r="AS41" s="70">
        <f>IF(RealTime,_xll.RtGet(RtChannel,$AR41,AS$12),"StaticData")</f>
        <v>0.112</v>
      </c>
      <c r="AT41" s="70">
        <f>IF(RealTime,_xll.RtGet(RtChannel,$AR41,AT$12),"StaticData")</f>
        <v>0.112</v>
      </c>
      <c r="AU41" s="436">
        <f>IF(RealTime,AS41,static_data())</f>
        <v>0.112</v>
      </c>
      <c r="AV41" s="435">
        <f>IF(RealTime,AT41,static_data())</f>
        <v>0.112</v>
      </c>
      <c r="AW41" s="43">
        <f t="shared" si="7"/>
        <v>0.112</v>
      </c>
      <c r="AY41" s="198" t="s">
        <v>10</v>
      </c>
      <c r="AZ41" s="158" t="str">
        <f t="shared" si="8"/>
        <v>3Y</v>
      </c>
      <c r="BA41" s="134" t="s">
        <v>4013</v>
      </c>
      <c r="BB41" s="70">
        <f>IF(RealTime,_xll.RtGet(RtChannel,$BA41,BB$12),"StaticData")</f>
        <v>6.9000000000000006E-2</v>
      </c>
      <c r="BC41" s="71">
        <f>IF(RealTime,_xll.RtGet(RtChannel,$BA41,BC$12),"StaticData")</f>
        <v>6.9000000000000006E-2</v>
      </c>
      <c r="BD41" s="435">
        <f>IF(RealTime,BB41,static_data())</f>
        <v>6.9000000000000006E-2</v>
      </c>
      <c r="BE41" s="435">
        <f>IF(RealTime,BC41,static_data())</f>
        <v>6.9000000000000006E-2</v>
      </c>
      <c r="BF41" s="43">
        <f t="shared" si="9"/>
        <v>6.9000000000000006E-2</v>
      </c>
      <c r="BH41" s="158" t="str">
        <v>12Y</v>
      </c>
      <c r="BI41" s="134" t="str">
        <f t="shared" si="25"/>
        <v>EUR6MSW12Y=</v>
      </c>
      <c r="BJ41" s="70">
        <f>IF(RealTime,_xll.RtGet(RtChannel,$BI41,BJ$12),"StaticData")</f>
        <v>0.84599999999999997</v>
      </c>
      <c r="BK41" s="71">
        <f>IF(RealTime,_xll.RtGet(RtChannel,$BI41,BK$12),"StaticData")</f>
        <v>0.84599999999999997</v>
      </c>
      <c r="BL41" s="435">
        <f>IF(RealTime,BJ41,static_data())</f>
        <v>0.84599999999999997</v>
      </c>
      <c r="BM41" s="435">
        <f>IF(RealTime,BK41,static_data())</f>
        <v>0.84599999999999997</v>
      </c>
      <c r="BN41" s="43">
        <f t="shared" si="10"/>
        <v>0.84599999999999997</v>
      </c>
      <c r="BP41" s="136" t="s">
        <v>64</v>
      </c>
      <c r="BQ41" s="137" t="str">
        <f t="shared" si="14"/>
        <v>23M</v>
      </c>
      <c r="BR41" s="134" t="str">
        <f t="shared" si="26"/>
        <v>EURONOIS23M=</v>
      </c>
      <c r="BS41" s="70">
        <f>IF(RealTime,_xll.RtGet(RtChannel,$BR41,BS$12),"StaticData")</f>
        <v>-0.33958778300000003</v>
      </c>
      <c r="BT41" s="70">
        <f>IF(RealTime,_xll.RtGet(RtChannel,$BR41,BT$12),"StaticData")</f>
        <v>-0.33958778300000003</v>
      </c>
      <c r="BU41" s="436">
        <f>IF(RealTime,BS41,static_data())</f>
        <v>-0.33958778300000003</v>
      </c>
      <c r="BV41" s="543">
        <f>IF(RealTime,BT41,static_data())</f>
        <v>-0.33958778300000003</v>
      </c>
      <c r="BW41" s="43">
        <f t="shared" si="21"/>
        <v>-0.33958778300000003</v>
      </c>
      <c r="BY41" s="198" t="s">
        <v>13</v>
      </c>
      <c r="BZ41" s="137" t="str">
        <f t="shared" si="15"/>
        <v>6Y</v>
      </c>
      <c r="CA41" s="134" t="str">
        <f t="shared" si="28"/>
        <v>EUR1MSW6Y=</v>
      </c>
      <c r="CB41" s="70">
        <f>IF(RealTime,_xll.RtGet(RtChannel,$CA41,CD$12),"StaticData")</f>
        <v>-2E-3</v>
      </c>
      <c r="CC41" s="71">
        <f>IF(RealTime,_xll.RtGet(RtChannel,$CA41,CE$12),"StaticData")</f>
        <v>-2E-3</v>
      </c>
      <c r="CD41" s="435">
        <f>IF(RealTime,CB41,static_data())</f>
        <v>-2E-3</v>
      </c>
      <c r="CE41" s="435">
        <f>IF(RealTime,CC41,static_data())</f>
        <v>-2E-3</v>
      </c>
      <c r="CF41" s="43">
        <f t="shared" si="16"/>
        <v>-2E-3</v>
      </c>
      <c r="CG41" s="47">
        <f>(CF41-'reference set'!BA51)*100</f>
        <v>0.89999999999999991</v>
      </c>
    </row>
    <row r="42" spans="1:85" ht="13.5" thickTop="1">
      <c r="A42" s="401"/>
      <c r="B42" s="15" t="s">
        <v>1046</v>
      </c>
      <c r="C42" s="61" t="str">
        <f t="shared" si="34"/>
        <v>Z6</v>
      </c>
      <c r="D42" s="65" t="str">
        <f t="shared" si="35"/>
        <v>FBTPZ6</v>
      </c>
      <c r="E42" s="65">
        <f>IF(RealTime,_xll.RtGet("IDN_SELECTFEED",D42,E$38),static_data())</f>
        <v>133.88</v>
      </c>
      <c r="F42" s="66">
        <f>IF(RealTime,_xll.RtGet("IDN_SELECTFEED",D42,F$38),static_data())</f>
        <v>133.89000000000001</v>
      </c>
      <c r="G42" s="66">
        <f t="shared" si="32"/>
        <v>133.88499999999999</v>
      </c>
      <c r="H42" s="2" t="s">
        <v>224</v>
      </c>
      <c r="I42" s="336" t="s">
        <v>1047</v>
      </c>
      <c r="L42" s="401"/>
      <c r="M42" s="401"/>
      <c r="Q42" s="155" t="s">
        <v>13</v>
      </c>
      <c r="R42" s="102" t="s">
        <v>508</v>
      </c>
      <c r="S42" s="164"/>
      <c r="T42" s="163">
        <f t="shared" si="33"/>
        <v>44887</v>
      </c>
      <c r="U42" s="288" t="b">
        <v>1</v>
      </c>
      <c r="V42" s="284" t="str">
        <v>13Y</v>
      </c>
      <c r="W42" s="137" t="str">
        <v>W</v>
      </c>
      <c r="X42" s="130" t="str">
        <f t="shared" si="0"/>
        <v>W11</v>
      </c>
      <c r="Y42" s="173">
        <f t="shared" si="1"/>
        <v>4</v>
      </c>
      <c r="Z42" s="175" t="str">
        <f t="shared" si="23"/>
        <v>13Y</v>
      </c>
      <c r="AA42" s="163">
        <v>47444</v>
      </c>
      <c r="AB42" s="173" t="str">
        <f t="shared" si="24"/>
        <v>13Y</v>
      </c>
      <c r="AC42" s="335"/>
      <c r="AD42" s="6"/>
      <c r="AE42" s="198" t="s">
        <v>10</v>
      </c>
      <c r="AF42" s="158" t="str">
        <f t="shared" si="4"/>
        <v>3Y</v>
      </c>
      <c r="AG42" s="134" t="s">
        <v>3945</v>
      </c>
      <c r="AH42" s="70">
        <f>IF(RealTime,_xll.RtGet(RtChannel,$AG42,AH$12),"StaticData")</f>
        <v>-0.06</v>
      </c>
      <c r="AI42" s="71">
        <f>IF(RealTime,_xll.RtGet(RtChannel,$AG42,AI$12),"StaticData")</f>
        <v>-0.06</v>
      </c>
      <c r="AJ42" s="435">
        <f>IF(RealTime,AH42,static_data())</f>
        <v>-0.06</v>
      </c>
      <c r="AK42" s="435">
        <f>IF(RealTime,AI42,static_data())</f>
        <v>-0.06</v>
      </c>
      <c r="AL42" s="43">
        <f t="shared" si="13"/>
        <v>-0.06</v>
      </c>
      <c r="AO42" s="137" t="s">
        <v>14</v>
      </c>
      <c r="AP42" s="137">
        <f t="shared" si="5"/>
        <v>4</v>
      </c>
      <c r="AQ42" s="158" t="str">
        <f t="shared" si="6"/>
        <v>7Y</v>
      </c>
      <c r="AR42" s="134" t="str">
        <f>CHOOSE($AP42,AR$3&amp;$AQ42&amp;AS$3,AR$4&amp;strrep(strrep(AQ42,"M",""),"-","X")&amp;AS$4,AR$5&amp;UPPER(FutCode2(AQ42))&amp;AS$5,AR$6&amp;$AQ42&amp;AS$6,"")</f>
        <v>EUR3MSW7Y=</v>
      </c>
      <c r="AS42" s="70">
        <f>IF(RealTime,_xll.RtGet(RtChannel,$AR42,AS$12),"StaticData")</f>
        <v>0.22800000000000001</v>
      </c>
      <c r="AT42" s="70">
        <f>IF(RealTime,_xll.RtGet(RtChannel,$AR42,AT$12),"StaticData")</f>
        <v>0.22800000000000001</v>
      </c>
      <c r="AU42" s="436">
        <f>IF(RealTime,AS42,static_data())</f>
        <v>0.22800000000000001</v>
      </c>
      <c r="AV42" s="435">
        <f>IF(RealTime,AT42,static_data())</f>
        <v>0.22800000000000001</v>
      </c>
      <c r="AW42" s="43">
        <f t="shared" si="7"/>
        <v>0.22800000000000001</v>
      </c>
      <c r="AY42" s="198" t="s">
        <v>11</v>
      </c>
      <c r="AZ42" s="158" t="str">
        <f t="shared" si="8"/>
        <v>4Y</v>
      </c>
      <c r="BA42" s="134" t="s">
        <v>4014</v>
      </c>
      <c r="BB42" s="70">
        <f>IF(RealTime,_xll.RtGet(RtChannel,$BA42,BB$12),"StaticData")</f>
        <v>0.16400000000000001</v>
      </c>
      <c r="BC42" s="71">
        <f>IF(RealTime,_xll.RtGet(RtChannel,$BA42,BC$12),"StaticData")</f>
        <v>0.16400000000000001</v>
      </c>
      <c r="BD42" s="435">
        <f>IF(RealTime,BB42,static_data())</f>
        <v>0.16400000000000001</v>
      </c>
      <c r="BE42" s="435">
        <f>IF(RealTime,BC42,static_data())</f>
        <v>0.16400000000000001</v>
      </c>
      <c r="BF42" s="43">
        <f t="shared" si="9"/>
        <v>0.16400000000000001</v>
      </c>
      <c r="BH42" s="158" t="str">
        <v>13Y</v>
      </c>
      <c r="BI42" s="134" t="str">
        <f t="shared" si="25"/>
        <v>EUR6MSW13Y=</v>
      </c>
      <c r="BJ42" s="70">
        <f>IF(RealTime,_xll.RtGet(RtChannel,$BI42,BJ$12),"StaticData")</f>
        <v>0.91248333400000003</v>
      </c>
      <c r="BK42" s="71">
        <f>IF(RealTime,_xll.RtGet(RtChannel,$BI42,BK$12),"StaticData")</f>
        <v>0.91248333400000003</v>
      </c>
      <c r="BL42" s="435">
        <f>IF(RealTime,BJ42,static_data())</f>
        <v>0.91248333400000003</v>
      </c>
      <c r="BM42" s="435">
        <f>IF(RealTime,BK42,static_data())</f>
        <v>0.91248333400000003</v>
      </c>
      <c r="BN42" s="43">
        <f t="shared" si="10"/>
        <v>0.91248333400000003</v>
      </c>
      <c r="BP42" s="136" t="s">
        <v>9</v>
      </c>
      <c r="BQ42" s="137" t="str">
        <f t="shared" si="14"/>
        <v>2Y</v>
      </c>
      <c r="BR42" s="134" t="str">
        <f t="shared" si="26"/>
        <v>EURONOIS2Y=</v>
      </c>
      <c r="BS42" s="70">
        <f>IF(RealTime,_xll.RtGet(RtChannel,$BR42,BS$12),"StaticData")</f>
        <v>-0.33700000000000002</v>
      </c>
      <c r="BT42" s="70">
        <f>IF(RealTime,_xll.RtGet(RtChannel,$BR42,BT$12),"StaticData")</f>
        <v>-0.33700000000000002</v>
      </c>
      <c r="BU42" s="436">
        <f>IF(RealTime,BS42,static_data())</f>
        <v>-0.33700000000000002</v>
      </c>
      <c r="BV42" s="543">
        <f>IF(RealTime,BT42,static_data())</f>
        <v>-0.33700000000000002</v>
      </c>
      <c r="BW42" s="43">
        <f>+AVERAGE(BU42:BV42)</f>
        <v>-0.33700000000000002</v>
      </c>
      <c r="BY42" s="198" t="s">
        <v>14</v>
      </c>
      <c r="BZ42" s="137" t="str">
        <f t="shared" si="15"/>
        <v>7Y</v>
      </c>
      <c r="CA42" s="134" t="str">
        <f t="shared" si="28"/>
        <v>EUR1MSW7Y=</v>
      </c>
      <c r="CB42" s="70">
        <f>IF(RealTime,_xll.RtGet(RtChannel,$CA42,CD$12),"StaticData")</f>
        <v>0.115</v>
      </c>
      <c r="CC42" s="71">
        <f>IF(RealTime,_xll.RtGet(RtChannel,$CA42,CE$12),"StaticData")</f>
        <v>0.115</v>
      </c>
      <c r="CD42" s="435">
        <f>IF(RealTime,CB42,static_data())</f>
        <v>0.115</v>
      </c>
      <c r="CE42" s="435">
        <f>IF(RealTime,CC42,static_data())</f>
        <v>0.115</v>
      </c>
      <c r="CF42" s="43">
        <f t="shared" si="16"/>
        <v>0.115</v>
      </c>
      <c r="CG42" s="47">
        <f>(CF42-'reference set'!BA52)*100</f>
        <v>1.0000000000000009</v>
      </c>
    </row>
    <row r="43" spans="1:85">
      <c r="A43" s="401"/>
      <c r="B43" s="400" t="s">
        <v>78</v>
      </c>
      <c r="C43" s="399" t="str">
        <f t="shared" si="34"/>
        <v>Z6</v>
      </c>
      <c r="D43" s="398" t="str">
        <f t="shared" si="35"/>
        <v>FGBSZ6</v>
      </c>
      <c r="E43" s="398">
        <f>IF(RealTime,_xll.RtGet("IDN_SELECTFEED",D43,E$38),static_data())</f>
        <v>112.05</v>
      </c>
      <c r="F43" s="397">
        <f>IF(RealTime,_xll.RtGet("IDN_SELECTFEED",D43,F$38),static_data())</f>
        <v>112.05500000000001</v>
      </c>
      <c r="G43" s="397">
        <f t="shared" si="32"/>
        <v>112.05250000000001</v>
      </c>
      <c r="H43" s="2" t="s">
        <v>224</v>
      </c>
      <c r="I43" s="336" t="s">
        <v>1048</v>
      </c>
      <c r="L43" s="401"/>
      <c r="M43" s="401"/>
      <c r="Q43" s="155" t="s">
        <v>14</v>
      </c>
      <c r="R43" s="102" t="s">
        <v>508</v>
      </c>
      <c r="S43" s="164"/>
      <c r="T43" s="163">
        <f t="shared" si="33"/>
        <v>45252</v>
      </c>
      <c r="U43" s="288" t="b">
        <v>1</v>
      </c>
      <c r="V43" s="284" t="str">
        <v>14Y</v>
      </c>
      <c r="W43" s="137" t="str">
        <v>W</v>
      </c>
      <c r="X43" s="130" t="str">
        <f t="shared" si="0"/>
        <v>W12</v>
      </c>
      <c r="Y43" s="173">
        <f t="shared" si="1"/>
        <v>4</v>
      </c>
      <c r="Z43" s="175" t="str">
        <f t="shared" si="23"/>
        <v>14Y</v>
      </c>
      <c r="AA43" s="163">
        <v>47809</v>
      </c>
      <c r="AB43" s="173" t="str">
        <f t="shared" si="24"/>
        <v>14Y</v>
      </c>
      <c r="AC43" s="335"/>
      <c r="AD43" s="6"/>
      <c r="AE43" s="198" t="s">
        <v>11</v>
      </c>
      <c r="AF43" s="158" t="str">
        <f t="shared" si="4"/>
        <v>4Y</v>
      </c>
      <c r="AG43" s="134" t="s">
        <v>3946</v>
      </c>
      <c r="AH43" s="70">
        <f>IF(RealTime,_xll.RtGet(RtChannel,$AG43,AH$12),"StaticData")</f>
        <v>3.2000000000000001E-2</v>
      </c>
      <c r="AI43" s="71">
        <f>IF(RealTime,_xll.RtGet(RtChannel,$AG43,AI$12),"StaticData")</f>
        <v>3.2000000000000001E-2</v>
      </c>
      <c r="AJ43" s="435">
        <f>IF(RealTime,AH43,static_data())</f>
        <v>3.2000000000000001E-2</v>
      </c>
      <c r="AK43" s="435">
        <f>IF(RealTime,AI43,static_data())</f>
        <v>3.2000000000000001E-2</v>
      </c>
      <c r="AL43" s="43">
        <f t="shared" si="13"/>
        <v>3.2000000000000001E-2</v>
      </c>
      <c r="AO43" s="137" t="s">
        <v>15</v>
      </c>
      <c r="AP43" s="137">
        <f t="shared" si="5"/>
        <v>4</v>
      </c>
      <c r="AQ43" s="158" t="str">
        <f t="shared" si="6"/>
        <v>8Y</v>
      </c>
      <c r="AR43" s="134" t="str">
        <f>CHOOSE($AP43,AR$3&amp;$AQ43&amp;AS$3,AR$4&amp;strrep(strrep(AQ43,"M",""),"-","X")&amp;AS$4,AR$5&amp;UPPER(FutCode2(AQ43))&amp;AS$5,AR$6&amp;$AQ43&amp;AS$6,"")</f>
        <v>EUR3MSW8Y=</v>
      </c>
      <c r="AS43" s="70">
        <f>IF(RealTime,_xll.RtGet(RtChannel,$AR43,AS$12),"StaticData")</f>
        <v>0.34400000000000003</v>
      </c>
      <c r="AT43" s="70">
        <f>IF(RealTime,_xll.RtGet(RtChannel,$AR43,AT$12),"StaticData")</f>
        <v>0.34400000000000003</v>
      </c>
      <c r="AU43" s="436">
        <f>IF(RealTime,AS43,static_data())</f>
        <v>0.34400000000000003</v>
      </c>
      <c r="AV43" s="435">
        <f>IF(RealTime,AT43,static_data())</f>
        <v>0.34400000000000003</v>
      </c>
      <c r="AW43" s="43">
        <f t="shared" si="7"/>
        <v>0.34400000000000003</v>
      </c>
      <c r="AY43" s="198" t="s">
        <v>12</v>
      </c>
      <c r="AZ43" s="158" t="str">
        <f t="shared" si="8"/>
        <v>5Y</v>
      </c>
      <c r="BA43" s="134" t="s">
        <v>4015</v>
      </c>
      <c r="BB43" s="70">
        <f>IF(RealTime,_xll.RtGet(RtChannel,$BA43,BB$12),"StaticData")</f>
        <v>0.27200000000000002</v>
      </c>
      <c r="BC43" s="71">
        <f>IF(RealTime,_xll.RtGet(RtChannel,$BA43,BC$12),"StaticData")</f>
        <v>0.27200000000000002</v>
      </c>
      <c r="BD43" s="435">
        <f>IF(RealTime,BB43,static_data())</f>
        <v>0.27200000000000002</v>
      </c>
      <c r="BE43" s="435">
        <f>IF(RealTime,BC43,static_data())</f>
        <v>0.27200000000000002</v>
      </c>
      <c r="BF43" s="43">
        <f t="shared" si="9"/>
        <v>0.27200000000000002</v>
      </c>
      <c r="BH43" s="158" t="str">
        <v>14Y</v>
      </c>
      <c r="BI43" s="134" t="str">
        <f t="shared" si="25"/>
        <v>EUR6MSW14Y=</v>
      </c>
      <c r="BJ43" s="70">
        <f>IF(RealTime,_xll.RtGet(RtChannel,$BI43,BJ$12),"StaticData")</f>
        <v>0.96917744100000003</v>
      </c>
      <c r="BK43" s="71">
        <f>IF(RealTime,_xll.RtGet(RtChannel,$BI43,BK$12),"StaticData")</f>
        <v>0.96917744100000003</v>
      </c>
      <c r="BL43" s="435">
        <f>IF(RealTime,BJ43,static_data())</f>
        <v>0.96917744100000003</v>
      </c>
      <c r="BM43" s="435">
        <f>IF(RealTime,BK43,static_data())</f>
        <v>0.96917744100000003</v>
      </c>
      <c r="BN43" s="43">
        <f t="shared" si="10"/>
        <v>0.96917744100000003</v>
      </c>
      <c r="BP43" s="136" t="s">
        <v>10</v>
      </c>
      <c r="BQ43" s="137" t="str">
        <f t="shared" si="14"/>
        <v>3Y</v>
      </c>
      <c r="BR43" s="134" t="str">
        <f t="shared" si="26"/>
        <v>EURONOIS3Y=</v>
      </c>
      <c r="BS43" s="70">
        <f>IF(RealTime,_xll.RtGet(RtChannel,$BR43,BS$12),"StaticData")</f>
        <v>-0.28100000000000003</v>
      </c>
      <c r="BT43" s="70">
        <f>IF(RealTime,_xll.RtGet(RtChannel,$BR43,BT$12),"StaticData")</f>
        <v>-0.28100000000000003</v>
      </c>
      <c r="BU43" s="436">
        <f>IF(RealTime,BS43,static_data())</f>
        <v>-0.28100000000000003</v>
      </c>
      <c r="BV43" s="543">
        <f>IF(RealTime,BT43,static_data())</f>
        <v>-0.28100000000000003</v>
      </c>
      <c r="BW43" s="43">
        <f t="shared" ref="BW43:BW70" si="36">+AVERAGE(BU43:BV43)</f>
        <v>-0.28100000000000003</v>
      </c>
      <c r="BY43" s="198" t="s">
        <v>15</v>
      </c>
      <c r="BZ43" s="137" t="str">
        <f t="shared" si="15"/>
        <v>8Y</v>
      </c>
      <c r="CA43" s="134" t="str">
        <f t="shared" si="28"/>
        <v>EUR1MSW8Y=</v>
      </c>
      <c r="CB43" s="70">
        <f>IF(RealTime,_xll.RtGet(RtChannel,$CA43,CD$12),"StaticData")</f>
        <v>0.23300000000000001</v>
      </c>
      <c r="CC43" s="71">
        <f>IF(RealTime,_xll.RtGet(RtChannel,$CA43,CE$12),"StaticData")</f>
        <v>0.23300000000000001</v>
      </c>
      <c r="CD43" s="435">
        <f>IF(RealTime,CB43,static_data())</f>
        <v>0.23300000000000001</v>
      </c>
      <c r="CE43" s="435">
        <f>IF(RealTime,CC43,static_data())</f>
        <v>0.23300000000000001</v>
      </c>
      <c r="CF43" s="43">
        <f t="shared" si="16"/>
        <v>0.23300000000000001</v>
      </c>
      <c r="CG43" s="47">
        <f>(CF43-'reference set'!BA53)*100</f>
        <v>1.100000000000001</v>
      </c>
    </row>
    <row r="44" spans="1:85">
      <c r="B44" s="400" t="s">
        <v>4997</v>
      </c>
      <c r="C44" s="399" t="str">
        <f t="shared" si="34"/>
        <v>Z6</v>
      </c>
      <c r="D44" s="398" t="str">
        <f t="shared" si="35"/>
        <v>FGBXZ6</v>
      </c>
      <c r="E44" s="398">
        <f>IF(RealTime,_xll.RtGet("IDN_SELECTFEED",D44,E$38),static_data())</f>
        <v>175.98</v>
      </c>
      <c r="F44" s="397">
        <f>IF(RealTime,_xll.RtGet("IDN_SELECTFEED",D44,F$38),static_data())</f>
        <v>176.02</v>
      </c>
      <c r="G44" s="397">
        <f t="shared" si="32"/>
        <v>176</v>
      </c>
      <c r="H44" s="2" t="s">
        <v>224</v>
      </c>
      <c r="L44" s="401"/>
      <c r="M44" s="401"/>
      <c r="Q44" s="155" t="s">
        <v>15</v>
      </c>
      <c r="R44" s="102" t="s">
        <v>508</v>
      </c>
      <c r="S44" s="164"/>
      <c r="T44" s="163">
        <f t="shared" si="33"/>
        <v>45618</v>
      </c>
      <c r="U44" s="288" t="b">
        <v>1</v>
      </c>
      <c r="V44" s="284" t="str">
        <v>15Y</v>
      </c>
      <c r="W44" s="137" t="str">
        <v>W</v>
      </c>
      <c r="X44" s="130" t="str">
        <f t="shared" si="0"/>
        <v>W13</v>
      </c>
      <c r="Y44" s="173">
        <f t="shared" si="1"/>
        <v>4</v>
      </c>
      <c r="Z44" s="175" t="str">
        <f t="shared" si="23"/>
        <v>15Y</v>
      </c>
      <c r="AA44" s="163">
        <v>48176</v>
      </c>
      <c r="AB44" s="173" t="str">
        <f t="shared" si="24"/>
        <v>15Y</v>
      </c>
      <c r="AC44" s="335"/>
      <c r="AD44" s="6"/>
      <c r="AE44" s="198" t="s">
        <v>12</v>
      </c>
      <c r="AF44" s="158" t="str">
        <f t="shared" si="4"/>
        <v>5Y</v>
      </c>
      <c r="AG44" s="134" t="s">
        <v>3947</v>
      </c>
      <c r="AH44" s="70">
        <f>IF(RealTime,_xll.RtGet(RtChannel,$AG44,AH$12),"StaticData")</f>
        <v>0.13800000000000001</v>
      </c>
      <c r="AI44" s="71">
        <f>IF(RealTime,_xll.RtGet(RtChannel,$AG44,AI$12),"StaticData")</f>
        <v>0.13800000000000001</v>
      </c>
      <c r="AJ44" s="435">
        <f>IF(RealTime,AH44,static_data())</f>
        <v>0.13800000000000001</v>
      </c>
      <c r="AK44" s="435">
        <f>IF(RealTime,AI44,static_data())</f>
        <v>0.13800000000000001</v>
      </c>
      <c r="AL44" s="43">
        <f t="shared" si="13"/>
        <v>0.13800000000000001</v>
      </c>
      <c r="AO44" s="137" t="s">
        <v>16</v>
      </c>
      <c r="AP44" s="137">
        <f t="shared" si="5"/>
        <v>4</v>
      </c>
      <c r="AQ44" s="158" t="str">
        <f t="shared" si="6"/>
        <v>9Y</v>
      </c>
      <c r="AR44" s="134" t="str">
        <f>CHOOSE($AP44,AR$3&amp;$AQ44&amp;AS$3,AR$4&amp;strrep(strrep(AQ44,"M",""),"-","X")&amp;AS$4,AR$5&amp;UPPER(FutCode2(AQ44))&amp;AS$5,AR$6&amp;$AQ44&amp;AS$6,"")</f>
        <v>EUR3MSW9Y=</v>
      </c>
      <c r="AS44" s="70">
        <f>IF(RealTime,_xll.RtGet(RtChannel,$AR44,AS$12),"StaticData")</f>
        <v>0.45800000000000002</v>
      </c>
      <c r="AT44" s="70">
        <f>IF(RealTime,_xll.RtGet(RtChannel,$AR44,AT$12),"StaticData")</f>
        <v>0.45800000000000002</v>
      </c>
      <c r="AU44" s="436">
        <f>IF(RealTime,AS44,static_data())</f>
        <v>0.45800000000000002</v>
      </c>
      <c r="AV44" s="435">
        <f>IF(RealTime,AT44,static_data())</f>
        <v>0.45800000000000002</v>
      </c>
      <c r="AW44" s="43">
        <f t="shared" si="7"/>
        <v>0.45800000000000002</v>
      </c>
      <c r="AY44" s="198" t="s">
        <v>13</v>
      </c>
      <c r="AZ44" s="158" t="str">
        <f t="shared" si="8"/>
        <v>6Y</v>
      </c>
      <c r="BA44" s="134" t="s">
        <v>4016</v>
      </c>
      <c r="BB44" s="70">
        <f>IF(RealTime,_xll.RtGet(RtChannel,$BA44,BB$12),"StaticData")</f>
        <v>0.38400000000000001</v>
      </c>
      <c r="BC44" s="71">
        <f>IF(RealTime,_xll.RtGet(RtChannel,$BA44,BC$12),"StaticData")</f>
        <v>0.38400000000000001</v>
      </c>
      <c r="BD44" s="435">
        <f>IF(RealTime,BB44,static_data())</f>
        <v>0.38400000000000001</v>
      </c>
      <c r="BE44" s="435">
        <f>IF(RealTime,BC44,static_data())</f>
        <v>0.38400000000000001</v>
      </c>
      <c r="BF44" s="43">
        <f t="shared" si="9"/>
        <v>0.38400000000000001</v>
      </c>
      <c r="BH44" s="158" t="str">
        <v>15Y</v>
      </c>
      <c r="BI44" s="134" t="str">
        <f t="shared" si="25"/>
        <v>EUR6MSW15Y=</v>
      </c>
      <c r="BJ44" s="70">
        <f>IF(RealTime,_xll.RtGet(RtChannel,$BI44,BJ$12),"StaticData")</f>
        <v>1.0170000000000001</v>
      </c>
      <c r="BK44" s="71">
        <f>IF(RealTime,_xll.RtGet(RtChannel,$BI44,BK$12),"StaticData")</f>
        <v>1.0170000000000001</v>
      </c>
      <c r="BL44" s="435">
        <f>IF(RealTime,BJ44,static_data())</f>
        <v>1.0170000000000001</v>
      </c>
      <c r="BM44" s="435">
        <f>IF(RealTime,BK44,static_data())</f>
        <v>1.0170000000000001</v>
      </c>
      <c r="BN44" s="43">
        <f t="shared" si="10"/>
        <v>1.0170000000000001</v>
      </c>
      <c r="BP44" s="136" t="s">
        <v>11</v>
      </c>
      <c r="BQ44" s="137" t="str">
        <f t="shared" si="14"/>
        <v>4Y</v>
      </c>
      <c r="BR44" s="134" t="str">
        <f t="shared" si="26"/>
        <v>EURONOIS4Y=</v>
      </c>
      <c r="BS44" s="70">
        <f>IF(RealTime,_xll.RtGet(RtChannel,$BR44,BS$12),"StaticData")</f>
        <v>-0.20500000000000002</v>
      </c>
      <c r="BT44" s="70">
        <f>IF(RealTime,_xll.RtGet(RtChannel,$BR44,BT$12),"StaticData")</f>
        <v>-0.20500000000000002</v>
      </c>
      <c r="BU44" s="436">
        <f>IF(RealTime,BS44,static_data())</f>
        <v>-0.20500000000000002</v>
      </c>
      <c r="BV44" s="543">
        <f>IF(RealTime,BT44,static_data())</f>
        <v>-0.20500000000000002</v>
      </c>
      <c r="BW44" s="43">
        <f t="shared" si="36"/>
        <v>-0.20500000000000002</v>
      </c>
      <c r="BY44" s="198" t="s">
        <v>16</v>
      </c>
      <c r="BZ44" s="137" t="str">
        <f t="shared" si="15"/>
        <v>9Y</v>
      </c>
      <c r="CA44" s="134" t="str">
        <f t="shared" si="28"/>
        <v>EUR1MSW9Y=</v>
      </c>
      <c r="CB44" s="70">
        <f>IF(RealTime,_xll.RtGet(RtChannel,$CA44,CD$12),"StaticData")</f>
        <v>0.34800000000000003</v>
      </c>
      <c r="CC44" s="71">
        <f>IF(RealTime,_xll.RtGet(RtChannel,$CA44,CE$12),"StaticData")</f>
        <v>0.34800000000000003</v>
      </c>
      <c r="CD44" s="435">
        <f>IF(RealTime,CB44,static_data())</f>
        <v>0.34800000000000003</v>
      </c>
      <c r="CE44" s="435">
        <f>IF(RealTime,CC44,static_data())</f>
        <v>0.34800000000000003</v>
      </c>
      <c r="CF44" s="43">
        <f t="shared" si="16"/>
        <v>0.34800000000000003</v>
      </c>
      <c r="CG44" s="47">
        <f>(CF44-'reference set'!BA54)*100</f>
        <v>1.2000000000000011</v>
      </c>
    </row>
    <row r="45" spans="1:85">
      <c r="L45" s="401"/>
      <c r="M45" s="401"/>
      <c r="Q45" s="155" t="s">
        <v>16</v>
      </c>
      <c r="R45" s="102" t="s">
        <v>508</v>
      </c>
      <c r="S45" s="164"/>
      <c r="T45" s="163">
        <f t="shared" si="33"/>
        <v>45985</v>
      </c>
      <c r="U45" s="288" t="b">
        <v>1</v>
      </c>
      <c r="V45" s="284" t="str">
        <v>16Y</v>
      </c>
      <c r="W45" s="137" t="str">
        <v>W</v>
      </c>
      <c r="X45" s="130" t="str">
        <f t="shared" si="0"/>
        <v>W14</v>
      </c>
      <c r="Y45" s="173">
        <f t="shared" ref="Y45:Y78" si="37">IF(LEN(W45)&gt;0,FIND(W45,InstrCodes),LEN(InstrCodes)+1)</f>
        <v>4</v>
      </c>
      <c r="Z45" s="175" t="str">
        <f t="shared" ref="Z45:Z76" si="38">CHOOSE(Y45,V45,TEXT(DataSTUB,"dd/mm/yy"),UPPER(TEXT(V45,"MMM YY")),V45,"")</f>
        <v>16Y</v>
      </c>
      <c r="AA45" s="163">
        <v>48540</v>
      </c>
      <c r="AB45" s="173" t="str">
        <f t="shared" ref="AB45:AB78" si="39">IF($W45="F",UPPER(TEXT(FutCode(V45),"MMM YY")),V45)</f>
        <v>16Y</v>
      </c>
      <c r="AC45" s="335"/>
      <c r="AD45" s="6"/>
      <c r="AE45" s="198" t="s">
        <v>13</v>
      </c>
      <c r="AF45" s="158" t="str">
        <f t="shared" si="4"/>
        <v>6Y</v>
      </c>
      <c r="AG45" s="134" t="s">
        <v>3948</v>
      </c>
      <c r="AH45" s="70">
        <f>IF(RealTime,_xll.RtGet(RtChannel,$AG45,AH$12),"StaticData")</f>
        <v>0.25</v>
      </c>
      <c r="AI45" s="71">
        <f>IF(RealTime,_xll.RtGet(RtChannel,$AG45,AI$12),"StaticData")</f>
        <v>0.25</v>
      </c>
      <c r="AJ45" s="435">
        <f>IF(RealTime,AH45,static_data())</f>
        <v>0.25</v>
      </c>
      <c r="AK45" s="435">
        <f>IF(RealTime,AI45,static_data())</f>
        <v>0.25</v>
      </c>
      <c r="AL45" s="43">
        <f t="shared" si="13"/>
        <v>0.25</v>
      </c>
      <c r="AO45" s="137" t="s">
        <v>17</v>
      </c>
      <c r="AP45" s="137">
        <f t="shared" si="5"/>
        <v>4</v>
      </c>
      <c r="AQ45" s="158" t="str">
        <f t="shared" si="6"/>
        <v>10Y</v>
      </c>
      <c r="AR45" s="134" t="str">
        <f>CHOOSE($AP45,AR$3&amp;$AQ45&amp;AS$3,AR$4&amp;strrep(strrep(AQ45,"M",""),"-","X")&amp;AS$4,AR$5&amp;UPPER(FutCode2(AQ45))&amp;AS$5,AR$6&amp;$AQ45&amp;AS$6,"")</f>
        <v>EUR3MSW10Y=</v>
      </c>
      <c r="AS45" s="70">
        <f>IF(RealTime,_xll.RtGet(RtChannel,$AR45,AS$12),"StaticData")</f>
        <v>0.56200000000000006</v>
      </c>
      <c r="AT45" s="70">
        <f>IF(RealTime,_xll.RtGet(RtChannel,$AR45,AT$12),"StaticData")</f>
        <v>0.56200000000000006</v>
      </c>
      <c r="AU45" s="436">
        <f>IF(RealTime,AS45,static_data())</f>
        <v>0.56200000000000006</v>
      </c>
      <c r="AV45" s="435">
        <f>IF(RealTime,AT45,static_data())</f>
        <v>0.56200000000000006</v>
      </c>
      <c r="AW45" s="43">
        <f t="shared" si="7"/>
        <v>0.56200000000000006</v>
      </c>
      <c r="AY45" s="198" t="s">
        <v>14</v>
      </c>
      <c r="AZ45" s="158" t="str">
        <f t="shared" si="8"/>
        <v>7Y</v>
      </c>
      <c r="BA45" s="134" t="s">
        <v>4017</v>
      </c>
      <c r="BB45" s="70">
        <f>IF(RealTime,_xll.RtGet(RtChannel,$BA45,BB$12),"StaticData")</f>
        <v>0.497</v>
      </c>
      <c r="BC45" s="71">
        <f>IF(RealTime,_xll.RtGet(RtChannel,$BA45,BC$12),"StaticData")</f>
        <v>0.497</v>
      </c>
      <c r="BD45" s="435">
        <f>IF(RealTime,BB45,static_data())</f>
        <v>0.497</v>
      </c>
      <c r="BE45" s="435">
        <f>IF(RealTime,BC45,static_data())</f>
        <v>0.497</v>
      </c>
      <c r="BF45" s="43">
        <f t="shared" si="9"/>
        <v>0.497</v>
      </c>
      <c r="BH45" s="158" t="str">
        <v>16Y</v>
      </c>
      <c r="BI45" s="134" t="str">
        <f t="shared" si="25"/>
        <v>EUR6MSW16Y=</v>
      </c>
      <c r="BJ45" s="70">
        <f>IF(RealTime,_xll.RtGet(RtChannel,$BI45,BJ$12),"StaticData")</f>
        <v>1.056238027</v>
      </c>
      <c r="BK45" s="71">
        <f>IF(RealTime,_xll.RtGet(RtChannel,$BI45,BK$12),"StaticData")</f>
        <v>1.056238027</v>
      </c>
      <c r="BL45" s="435">
        <f>IF(RealTime,BJ45,static_data())</f>
        <v>1.056238027</v>
      </c>
      <c r="BM45" s="435">
        <f>IF(RealTime,BK45,static_data())</f>
        <v>1.056238027</v>
      </c>
      <c r="BN45" s="43">
        <f t="shared" si="10"/>
        <v>1.056238027</v>
      </c>
      <c r="BP45" s="136" t="s">
        <v>12</v>
      </c>
      <c r="BQ45" s="137" t="str">
        <f t="shared" si="14"/>
        <v>5Y</v>
      </c>
      <c r="BR45" s="134" t="str">
        <f t="shared" si="26"/>
        <v>EURONOIS5Y=</v>
      </c>
      <c r="BS45" s="70">
        <f>IF(RealTime,_xll.RtGet(RtChannel,$BR45,BS$12),"StaticData")</f>
        <v>-0.107</v>
      </c>
      <c r="BT45" s="70">
        <f>IF(RealTime,_xll.RtGet(RtChannel,$BR45,BT$12),"StaticData")</f>
        <v>-0.107</v>
      </c>
      <c r="BU45" s="436">
        <f>IF(RealTime,BS45,static_data())</f>
        <v>-0.107</v>
      </c>
      <c r="BV45" s="543">
        <f>IF(RealTime,BT45,static_data())</f>
        <v>-0.107</v>
      </c>
      <c r="BW45" s="43">
        <f t="shared" si="36"/>
        <v>-0.107</v>
      </c>
      <c r="BY45" s="198" t="s">
        <v>17</v>
      </c>
      <c r="BZ45" s="137" t="str">
        <f t="shared" si="15"/>
        <v>10Y</v>
      </c>
      <c r="CA45" s="134" t="str">
        <f t="shared" si="28"/>
        <v>EUR1MSW10Y=</v>
      </c>
      <c r="CB45" s="70">
        <f>IF(RealTime,_xll.RtGet(RtChannel,$CA45,CD$12),"StaticData")</f>
        <v>0.45400000000000001</v>
      </c>
      <c r="CC45" s="71">
        <f>IF(RealTime,_xll.RtGet(RtChannel,$CA45,CE$12),"StaticData")</f>
        <v>0.45400000000000001</v>
      </c>
      <c r="CD45" s="435">
        <f>IF(RealTime,CB45,static_data())</f>
        <v>0.45400000000000001</v>
      </c>
      <c r="CE45" s="435">
        <f>IF(RealTime,CC45,static_data())</f>
        <v>0.45400000000000001</v>
      </c>
      <c r="CF45" s="43">
        <f t="shared" si="16"/>
        <v>0.45400000000000001</v>
      </c>
      <c r="CG45" s="47">
        <f>(CF45-'reference set'!BA55)*100</f>
        <v>1.2000000000000011</v>
      </c>
    </row>
    <row r="46" spans="1:85">
      <c r="L46" s="401"/>
      <c r="M46" s="401"/>
      <c r="Q46" s="155" t="s">
        <v>17</v>
      </c>
      <c r="R46" s="102" t="s">
        <v>508</v>
      </c>
      <c r="S46" s="164"/>
      <c r="T46" s="163">
        <f t="shared" si="33"/>
        <v>46349</v>
      </c>
      <c r="U46" s="288" t="b">
        <v>1</v>
      </c>
      <c r="V46" s="284" t="str">
        <v>17Y</v>
      </c>
      <c r="W46" s="137" t="str">
        <v>W</v>
      </c>
      <c r="X46" s="130" t="str">
        <f t="shared" si="0"/>
        <v>W15</v>
      </c>
      <c r="Y46" s="173">
        <f t="shared" si="37"/>
        <v>4</v>
      </c>
      <c r="Z46" s="175" t="str">
        <f t="shared" si="38"/>
        <v>17Y</v>
      </c>
      <c r="AA46" s="163">
        <v>48905</v>
      </c>
      <c r="AB46" s="173" t="str">
        <f t="shared" si="39"/>
        <v>17Y</v>
      </c>
      <c r="AC46" s="335"/>
      <c r="AD46" s="6"/>
      <c r="AE46" s="198" t="s">
        <v>14</v>
      </c>
      <c r="AF46" s="158" t="str">
        <f t="shared" si="4"/>
        <v>7Y</v>
      </c>
      <c r="AG46" s="134" t="s">
        <v>3949</v>
      </c>
      <c r="AH46" s="70">
        <f>IF(RealTime,_xll.RtGet(RtChannel,$AG46,AH$12),"StaticData")</f>
        <v>0.36399999999999999</v>
      </c>
      <c r="AI46" s="71">
        <f>IF(RealTime,_xll.RtGet(RtChannel,$AG46,AI$12),"StaticData")</f>
        <v>0.36399999999999999</v>
      </c>
      <c r="AJ46" s="435">
        <f>IF(RealTime,AH46,static_data())</f>
        <v>0.36399999999999999</v>
      </c>
      <c r="AK46" s="435">
        <f>IF(RealTime,AI46,static_data())</f>
        <v>0.36399999999999999</v>
      </c>
      <c r="AL46" s="43">
        <f t="shared" si="13"/>
        <v>0.36399999999999999</v>
      </c>
      <c r="AO46" s="137" t="s">
        <v>31</v>
      </c>
      <c r="AP46" s="137">
        <f t="shared" si="5"/>
        <v>4</v>
      </c>
      <c r="AQ46" s="158" t="str">
        <f t="shared" si="6"/>
        <v>11Y</v>
      </c>
      <c r="AR46" s="134" t="str">
        <f>CHOOSE($AP46,AR$3&amp;$AQ46&amp;AS$3,AR$4&amp;strrep(strrep(AQ46,"M",""),"-","X")&amp;AS$4,AR$5&amp;UPPER(FutCode2(AQ46))&amp;AS$5,AR$6&amp;$AQ46&amp;AS$6,"")</f>
        <v>EUR3MSW11Y=</v>
      </c>
      <c r="AS46" s="70">
        <f>IF(RealTime,_xll.RtGet(RtChannel,$AR46,AS$12),"StaticData")</f>
        <v>0.65547676100000007</v>
      </c>
      <c r="AT46" s="70">
        <f>IF(RealTime,_xll.RtGet(RtChannel,$AR46,AT$12),"StaticData")</f>
        <v>0.65547676100000007</v>
      </c>
      <c r="AU46" s="436">
        <f>IF(RealTime,AS46,static_data())</f>
        <v>0.65547676100000007</v>
      </c>
      <c r="AV46" s="435">
        <f>IF(RealTime,AT46,static_data())</f>
        <v>0.65547676100000007</v>
      </c>
      <c r="AW46" s="43">
        <f t="shared" si="7"/>
        <v>0.65547676100000007</v>
      </c>
      <c r="AY46" s="198" t="s">
        <v>15</v>
      </c>
      <c r="AZ46" s="158" t="str">
        <f t="shared" si="8"/>
        <v>8Y</v>
      </c>
      <c r="BA46" s="134" t="s">
        <v>4018</v>
      </c>
      <c r="BB46" s="70">
        <f>IF(RealTime,_xll.RtGet(RtChannel,$BA46,BB$12),"StaticData")</f>
        <v>0.60799999999999998</v>
      </c>
      <c r="BC46" s="71">
        <f>IF(RealTime,_xll.RtGet(RtChannel,$BA46,BC$12),"StaticData")</f>
        <v>0.60799999999999998</v>
      </c>
      <c r="BD46" s="435">
        <f>IF(RealTime,BB46,static_data())</f>
        <v>0.60799999999999998</v>
      </c>
      <c r="BE46" s="435">
        <f>IF(RealTime,BC46,static_data())</f>
        <v>0.60799999999999998</v>
      </c>
      <c r="BF46" s="43">
        <f t="shared" si="9"/>
        <v>0.60799999999999998</v>
      </c>
      <c r="BH46" s="158" t="str">
        <v>17Y</v>
      </c>
      <c r="BI46" s="134" t="str">
        <f t="shared" si="25"/>
        <v>EUR6MSW17Y=</v>
      </c>
      <c r="BJ46" s="70">
        <f>IF(RealTime,_xll.RtGet(RtChannel,$BI46,BJ$12),"StaticData")</f>
        <v>1.0880167160000001</v>
      </c>
      <c r="BK46" s="71">
        <f>IF(RealTime,_xll.RtGet(RtChannel,$BI46,BK$12),"StaticData")</f>
        <v>1.0880167160000001</v>
      </c>
      <c r="BL46" s="435">
        <f>IF(RealTime,BJ46,static_data())</f>
        <v>1.0880167160000001</v>
      </c>
      <c r="BM46" s="435">
        <f>IF(RealTime,BK46,static_data())</f>
        <v>1.0880167160000001</v>
      </c>
      <c r="BN46" s="43">
        <f t="shared" si="10"/>
        <v>1.0880167160000001</v>
      </c>
      <c r="BP46" s="136" t="s">
        <v>13</v>
      </c>
      <c r="BQ46" s="137" t="str">
        <f t="shared" si="14"/>
        <v>6Y</v>
      </c>
      <c r="BR46" s="134" t="str">
        <f t="shared" si="26"/>
        <v>EURONOIS6Y=</v>
      </c>
      <c r="BS46" s="70">
        <f>IF(RealTime,_xll.RtGet(RtChannel,$BR46,BS$12),"StaticData")</f>
        <v>3.0000000000000001E-3</v>
      </c>
      <c r="BT46" s="70">
        <f>IF(RealTime,_xll.RtGet(RtChannel,$BR46,BT$12),"StaticData")</f>
        <v>3.0000000000000001E-3</v>
      </c>
      <c r="BU46" s="436">
        <f>IF(RealTime,BS46,static_data())</f>
        <v>3.0000000000000001E-3</v>
      </c>
      <c r="BV46" s="543">
        <f>IF(RealTime,BT46,static_data())</f>
        <v>3.0000000000000001E-3</v>
      </c>
      <c r="BW46" s="43">
        <f t="shared" si="36"/>
        <v>3.0000000000000001E-3</v>
      </c>
      <c r="BY46" s="198" t="s">
        <v>31</v>
      </c>
      <c r="BZ46" s="137" t="str">
        <f t="shared" si="15"/>
        <v>11Y</v>
      </c>
      <c r="CA46" s="134" t="str">
        <f t="shared" si="28"/>
        <v>EUR1MSW11Y=</v>
      </c>
      <c r="CB46" s="70">
        <f>IF(RealTime,_xll.RtGet(RtChannel,$CA46,CD$12),"StaticData")</f>
        <v>0.54869200699999998</v>
      </c>
      <c r="CC46" s="71">
        <f>IF(RealTime,_xll.RtGet(RtChannel,$CA46,CE$12),"StaticData")</f>
        <v>0.54869200699999998</v>
      </c>
      <c r="CD46" s="435">
        <f>IF(RealTime,CB46,static_data())</f>
        <v>0.54869200699999998</v>
      </c>
      <c r="CE46" s="435">
        <f>IF(RealTime,CC46,static_data())</f>
        <v>0.54869200699999998</v>
      </c>
      <c r="CF46" s="43">
        <f t="shared" si="16"/>
        <v>0.54869200699999998</v>
      </c>
      <c r="CG46" s="47">
        <f>(CF46-'reference set'!BA56)*100</f>
        <v>1.2099839000000001</v>
      </c>
    </row>
    <row r="47" spans="1:85">
      <c r="B47" s="2"/>
      <c r="C47" s="2"/>
      <c r="E47" s="10" t="s">
        <v>73</v>
      </c>
      <c r="F47" s="11" t="s">
        <v>74</v>
      </c>
      <c r="G47" s="14" t="s">
        <v>75</v>
      </c>
      <c r="L47" s="401"/>
      <c r="M47" s="401"/>
      <c r="Q47" s="155" t="s">
        <v>31</v>
      </c>
      <c r="R47" s="102" t="s">
        <v>508</v>
      </c>
      <c r="S47" s="164"/>
      <c r="T47" s="163">
        <f t="shared" si="33"/>
        <v>46713</v>
      </c>
      <c r="U47" s="288" t="b">
        <v>1</v>
      </c>
      <c r="V47" s="284" t="str">
        <v>18Y</v>
      </c>
      <c r="W47" s="137" t="str">
        <v>W</v>
      </c>
      <c r="X47" s="130" t="str">
        <f t="shared" si="0"/>
        <v>W16</v>
      </c>
      <c r="Y47" s="173">
        <f t="shared" si="37"/>
        <v>4</v>
      </c>
      <c r="Z47" s="175" t="str">
        <f t="shared" si="38"/>
        <v>18Y</v>
      </c>
      <c r="AA47" s="163">
        <v>49270</v>
      </c>
      <c r="AB47" s="173" t="str">
        <f t="shared" si="39"/>
        <v>18Y</v>
      </c>
      <c r="AC47" s="335"/>
      <c r="AD47" s="6"/>
      <c r="AE47" s="198" t="s">
        <v>15</v>
      </c>
      <c r="AF47" s="158" t="str">
        <f t="shared" si="4"/>
        <v>8Y</v>
      </c>
      <c r="AG47" s="134" t="s">
        <v>3950</v>
      </c>
      <c r="AH47" s="70">
        <f>IF(RealTime,_xll.RtGet(RtChannel,$AG47,AH$12),"StaticData")</f>
        <v>0.47700000000000004</v>
      </c>
      <c r="AI47" s="71">
        <f>IF(RealTime,_xll.RtGet(RtChannel,$AG47,AI$12),"StaticData")</f>
        <v>0.47700000000000004</v>
      </c>
      <c r="AJ47" s="435">
        <f>IF(RealTime,AH47,static_data())</f>
        <v>0.47700000000000004</v>
      </c>
      <c r="AK47" s="435">
        <f>IF(RealTime,AI47,static_data())</f>
        <v>0.47700000000000004</v>
      </c>
      <c r="AL47" s="43">
        <f t="shared" si="13"/>
        <v>0.47700000000000004</v>
      </c>
      <c r="AO47" s="137" t="s">
        <v>18</v>
      </c>
      <c r="AP47" s="137">
        <f t="shared" si="5"/>
        <v>4</v>
      </c>
      <c r="AQ47" s="158" t="str">
        <f t="shared" si="6"/>
        <v>12Y</v>
      </c>
      <c r="AR47" s="134" t="str">
        <f>CHOOSE($AP47,AR$3&amp;$AQ47&amp;AS$3,AR$4&amp;strrep(strrep(AQ47,"M",""),"-","X")&amp;AS$4,AR$5&amp;UPPER(FutCode2(AQ47))&amp;AS$5,AR$6&amp;$AQ47&amp;AS$6,"")</f>
        <v>EUR3MSW12Y=</v>
      </c>
      <c r="AS47" s="70">
        <f>IF(RealTime,_xll.RtGet(RtChannel,$AR47,AS$12),"StaticData")</f>
        <v>0.73899999999999999</v>
      </c>
      <c r="AT47" s="70">
        <f>IF(RealTime,_xll.RtGet(RtChannel,$AR47,AT$12),"StaticData")</f>
        <v>0.73899999999999999</v>
      </c>
      <c r="AU47" s="436">
        <f>IF(RealTime,AS47,static_data())</f>
        <v>0.73899999999999999</v>
      </c>
      <c r="AV47" s="435">
        <f>IF(RealTime,AT47,static_data())</f>
        <v>0.73899999999999999</v>
      </c>
      <c r="AW47" s="43">
        <f t="shared" si="7"/>
        <v>0.73899999999999999</v>
      </c>
      <c r="AY47" s="198" t="s">
        <v>16</v>
      </c>
      <c r="AZ47" s="158" t="str">
        <f t="shared" si="8"/>
        <v>9Y</v>
      </c>
      <c r="BA47" s="134" t="s">
        <v>4019</v>
      </c>
      <c r="BB47" s="70">
        <f>IF(RealTime,_xll.RtGet(RtChannel,$BA47,BB$12),"StaticData")</f>
        <v>0.71399999999999997</v>
      </c>
      <c r="BC47" s="71">
        <f>IF(RealTime,_xll.RtGet(RtChannel,$BA47,BC$12),"StaticData")</f>
        <v>0.71399999999999997</v>
      </c>
      <c r="BD47" s="435">
        <f>IF(RealTime,BB47,static_data())</f>
        <v>0.71399999999999997</v>
      </c>
      <c r="BE47" s="435">
        <f>IF(RealTime,BC47,static_data())</f>
        <v>0.71399999999999997</v>
      </c>
      <c r="BF47" s="43">
        <f t="shared" si="9"/>
        <v>0.71399999999999997</v>
      </c>
      <c r="BH47" s="158" t="str">
        <v>18Y</v>
      </c>
      <c r="BI47" s="134" t="str">
        <f t="shared" si="25"/>
        <v>EUR6MSW18Y=</v>
      </c>
      <c r="BJ47" s="70">
        <f>IF(RealTime,_xll.RtGet(RtChannel,$BI47,BJ$12),"StaticData")</f>
        <v>1.113386862</v>
      </c>
      <c r="BK47" s="71">
        <f>IF(RealTime,_xll.RtGet(RtChannel,$BI47,BK$12),"StaticData")</f>
        <v>1.113386862</v>
      </c>
      <c r="BL47" s="435">
        <f>IF(RealTime,BJ47,static_data())</f>
        <v>1.113386862</v>
      </c>
      <c r="BM47" s="435">
        <f>IF(RealTime,BK47,static_data())</f>
        <v>1.113386862</v>
      </c>
      <c r="BN47" s="43">
        <f t="shared" si="10"/>
        <v>1.113386862</v>
      </c>
      <c r="BP47" s="136" t="s">
        <v>14</v>
      </c>
      <c r="BQ47" s="137" t="str">
        <f t="shared" si="14"/>
        <v>7Y</v>
      </c>
      <c r="BR47" s="134" t="str">
        <f t="shared" si="26"/>
        <v>EURONOIS7Y=</v>
      </c>
      <c r="BS47" s="70">
        <f>IF(RealTime,_xll.RtGet(RtChannel,$BR47,BS$12),"StaticData")</f>
        <v>0.11900000000000001</v>
      </c>
      <c r="BT47" s="70">
        <f>IF(RealTime,_xll.RtGet(RtChannel,$BR47,BT$12),"StaticData")</f>
        <v>0.11900000000000001</v>
      </c>
      <c r="BU47" s="436">
        <f>IF(RealTime,BS47,static_data())</f>
        <v>0.11900000000000001</v>
      </c>
      <c r="BV47" s="543">
        <f>IF(RealTime,BT47,static_data())</f>
        <v>0.11900000000000001</v>
      </c>
      <c r="BW47" s="43">
        <f t="shared" si="36"/>
        <v>0.11900000000000001</v>
      </c>
      <c r="BY47" s="198" t="s">
        <v>18</v>
      </c>
      <c r="BZ47" s="137" t="str">
        <f t="shared" si="15"/>
        <v>12Y</v>
      </c>
      <c r="CA47" s="134" t="str">
        <f t="shared" si="28"/>
        <v>EUR1MSW12Y=</v>
      </c>
      <c r="CB47" s="70">
        <f>IF(RealTime,_xll.RtGet(RtChannel,$CA47,CD$12),"StaticData")</f>
        <v>0.63300000000000001</v>
      </c>
      <c r="CC47" s="71">
        <f>IF(RealTime,_xll.RtGet(RtChannel,$CA47,CE$12),"StaticData")</f>
        <v>0.63300000000000001</v>
      </c>
      <c r="CD47" s="435">
        <f>IF(RealTime,CB47,static_data())</f>
        <v>0.63300000000000001</v>
      </c>
      <c r="CE47" s="435">
        <f>IF(RealTime,CC47,static_data())</f>
        <v>0.63300000000000001</v>
      </c>
      <c r="CF47" s="43">
        <f t="shared" si="16"/>
        <v>0.63300000000000001</v>
      </c>
      <c r="CG47" s="47">
        <f>(CF47-'reference set'!BA57)*100</f>
        <v>1.2000000000000011</v>
      </c>
    </row>
    <row r="48" spans="1:85">
      <c r="B48" s="9" t="s">
        <v>76</v>
      </c>
      <c r="C48" s="29" t="str">
        <f>$N$4</f>
        <v>H7</v>
      </c>
      <c r="D48" s="8" t="str">
        <f>CONCATENATE(B48,C48)</f>
        <v>FGBLH7</v>
      </c>
      <c r="E48" s="3">
        <f>IF(RealTime,_xll.RtGet("IDN_SELECTFEED",D48,E$38),static_data())</f>
        <v>162.33000000000001</v>
      </c>
      <c r="F48" s="3">
        <f>IF(RealTime,_xll.RtGet("IDN_SELECTFEED",D48,F$38),static_data())</f>
        <v>162.35</v>
      </c>
      <c r="G48" s="8">
        <f t="shared" ref="G48:G53" si="40">SafeMid(E48,F48)</f>
        <v>162.34</v>
      </c>
      <c r="H48" s="2" t="s">
        <v>553</v>
      </c>
      <c r="I48" s="336" t="s">
        <v>732</v>
      </c>
      <c r="L48" s="401"/>
      <c r="M48" s="401"/>
      <c r="Q48" s="155" t="s">
        <v>18</v>
      </c>
      <c r="R48" s="102" t="s">
        <v>508</v>
      </c>
      <c r="S48" s="164"/>
      <c r="T48" s="163">
        <f t="shared" si="33"/>
        <v>47079</v>
      </c>
      <c r="U48" s="288" t="b">
        <v>1</v>
      </c>
      <c r="V48" s="284" t="str">
        <v>19Y</v>
      </c>
      <c r="W48" s="137" t="str">
        <v>W</v>
      </c>
      <c r="X48" s="130" t="str">
        <f t="shared" si="0"/>
        <v>W17</v>
      </c>
      <c r="Y48" s="173">
        <f t="shared" si="37"/>
        <v>4</v>
      </c>
      <c r="Z48" s="175" t="str">
        <f t="shared" si="38"/>
        <v>19Y</v>
      </c>
      <c r="AA48" s="163">
        <v>49635</v>
      </c>
      <c r="AB48" s="173" t="str">
        <f t="shared" si="39"/>
        <v>19Y</v>
      </c>
      <c r="AC48" s="335"/>
      <c r="AD48" s="6"/>
      <c r="AE48" s="198" t="s">
        <v>16</v>
      </c>
      <c r="AF48" s="158" t="str">
        <f t="shared" si="4"/>
        <v>9Y</v>
      </c>
      <c r="AG48" s="134" t="s">
        <v>3951</v>
      </c>
      <c r="AH48" s="70">
        <f>IF(RealTime,_xll.RtGet(RtChannel,$AG48,AH$12),"StaticData")</f>
        <v>0.58499999999999996</v>
      </c>
      <c r="AI48" s="71">
        <f>IF(RealTime,_xll.RtGet(RtChannel,$AG48,AI$12),"StaticData")</f>
        <v>0.58499999999999996</v>
      </c>
      <c r="AJ48" s="435">
        <f>IF(RealTime,AH48,static_data())</f>
        <v>0.58499999999999996</v>
      </c>
      <c r="AK48" s="435">
        <f>IF(RealTime,AI48,static_data())</f>
        <v>0.58499999999999996</v>
      </c>
      <c r="AL48" s="43">
        <f t="shared" si="13"/>
        <v>0.58499999999999996</v>
      </c>
      <c r="AO48" s="137" t="s">
        <v>32</v>
      </c>
      <c r="AP48" s="137">
        <f t="shared" si="5"/>
        <v>4</v>
      </c>
      <c r="AQ48" s="158" t="str">
        <f t="shared" si="6"/>
        <v>13Y</v>
      </c>
      <c r="AR48" s="134" t="str">
        <f>CHOOSE($AP48,AR$3&amp;$AQ48&amp;AS$3,AR$4&amp;strrep(strrep(AQ48,"M",""),"-","X")&amp;AS$4,AR$5&amp;UPPER(FutCode2(AQ48))&amp;AS$5,AR$6&amp;$AQ48&amp;AS$6,"")</f>
        <v>EUR3MSW13Y=</v>
      </c>
      <c r="AS48" s="70">
        <f>IF(RealTime,_xll.RtGet(RtChannel,$AR48,AS$12),"StaticData")</f>
        <v>0.81152931300000009</v>
      </c>
      <c r="AT48" s="70">
        <f>IF(RealTime,_xll.RtGet(RtChannel,$AR48,AT$12),"StaticData")</f>
        <v>0.81152931300000009</v>
      </c>
      <c r="AU48" s="436">
        <f>IF(RealTime,AS48,static_data())</f>
        <v>0.81152931300000009</v>
      </c>
      <c r="AV48" s="435">
        <f>IF(RealTime,AT48,static_data())</f>
        <v>0.81152931300000009</v>
      </c>
      <c r="AW48" s="43">
        <f t="shared" si="7"/>
        <v>0.81152931300000009</v>
      </c>
      <c r="AY48" s="198" t="s">
        <v>17</v>
      </c>
      <c r="AZ48" s="158" t="str">
        <f t="shared" si="8"/>
        <v>10Y</v>
      </c>
      <c r="BA48" s="134" t="s">
        <v>4020</v>
      </c>
      <c r="BB48" s="70">
        <f>IF(RealTime,_xll.RtGet(RtChannel,$BA48,BB$12),"StaticData")</f>
        <v>0.80700000000000005</v>
      </c>
      <c r="BC48" s="71">
        <f>IF(RealTime,_xll.RtGet(RtChannel,$BA48,BC$12),"StaticData")</f>
        <v>0.80700000000000005</v>
      </c>
      <c r="BD48" s="435">
        <f>IF(RealTime,BB48,static_data())</f>
        <v>0.80700000000000005</v>
      </c>
      <c r="BE48" s="435">
        <f>IF(RealTime,BC48,static_data())</f>
        <v>0.80700000000000005</v>
      </c>
      <c r="BF48" s="43">
        <f t="shared" si="9"/>
        <v>0.80700000000000005</v>
      </c>
      <c r="BH48" s="158" t="str">
        <v>19Y</v>
      </c>
      <c r="BI48" s="134" t="str">
        <f t="shared" si="25"/>
        <v>EUR6MSW19Y=</v>
      </c>
      <c r="BJ48" s="70">
        <f>IF(RealTime,_xll.RtGet(RtChannel,$BI48,BJ$12),"StaticData")</f>
        <v>1.1333180630000002</v>
      </c>
      <c r="BK48" s="71">
        <f>IF(RealTime,_xll.RtGet(RtChannel,$BI48,BK$12),"StaticData")</f>
        <v>1.1333180630000002</v>
      </c>
      <c r="BL48" s="435">
        <f>IF(RealTime,BJ48,static_data())</f>
        <v>1.1333180630000002</v>
      </c>
      <c r="BM48" s="435">
        <f>IF(RealTime,BK48,static_data())</f>
        <v>1.1333180630000002</v>
      </c>
      <c r="BN48" s="43">
        <f t="shared" si="10"/>
        <v>1.1333180630000002</v>
      </c>
      <c r="BP48" s="136" t="s">
        <v>15</v>
      </c>
      <c r="BQ48" s="137" t="str">
        <f t="shared" si="14"/>
        <v>8Y</v>
      </c>
      <c r="BR48" s="134" t="str">
        <f t="shared" si="26"/>
        <v>EURONOIS8Y=</v>
      </c>
      <c r="BS48" s="70">
        <f>IF(RealTime,_xll.RtGet(RtChannel,$BR48,BS$12),"StaticData")</f>
        <v>0.23600000000000002</v>
      </c>
      <c r="BT48" s="70">
        <f>IF(RealTime,_xll.RtGet(RtChannel,$BR48,BT$12),"StaticData")</f>
        <v>0.23600000000000002</v>
      </c>
      <c r="BU48" s="436">
        <f>IF(RealTime,BS48,static_data())</f>
        <v>0.23600000000000002</v>
      </c>
      <c r="BV48" s="543">
        <f>IF(RealTime,BT48,static_data())</f>
        <v>0.23600000000000002</v>
      </c>
      <c r="BW48" s="43">
        <f t="shared" si="36"/>
        <v>0.23600000000000002</v>
      </c>
      <c r="BY48" s="198" t="s">
        <v>32</v>
      </c>
      <c r="BZ48" s="137" t="str">
        <f t="shared" si="15"/>
        <v>13Y</v>
      </c>
      <c r="CA48" s="134" t="str">
        <f t="shared" si="28"/>
        <v>EUR1MSW13Y=</v>
      </c>
      <c r="CB48" s="70">
        <f>IF(RealTime,_xll.RtGet(RtChannel,$CA48,CD$12),"StaticData")</f>
        <v>0.70696389400000004</v>
      </c>
      <c r="CC48" s="71">
        <f>IF(RealTime,_xll.RtGet(RtChannel,$CA48,CE$12),"StaticData")</f>
        <v>0.70696389400000004</v>
      </c>
      <c r="CD48" s="435">
        <f>IF(RealTime,CB48,static_data())</f>
        <v>0.70696389400000004</v>
      </c>
      <c r="CE48" s="435">
        <f>IF(RealTime,CC48,static_data())</f>
        <v>0.70696389400000004</v>
      </c>
      <c r="CF48" s="43">
        <f t="shared" si="16"/>
        <v>0.70696389400000004</v>
      </c>
      <c r="CG48" s="47">
        <f>(CF48-'reference set'!BA58)*100</f>
        <v>1.2372835000000082</v>
      </c>
    </row>
    <row r="49" spans="1:85">
      <c r="A49" s="401"/>
      <c r="B49" s="15" t="s">
        <v>77</v>
      </c>
      <c r="C49" s="18" t="str">
        <f>C$48</f>
        <v>H7</v>
      </c>
      <c r="D49" s="7" t="str">
        <f>CONCATENATE(B49,C49)</f>
        <v>FGBMH7</v>
      </c>
      <c r="E49" s="3">
        <f>IF(RealTime,_xll.RtGet("IDN_SELECTFEED",D49,E$38),static_data())</f>
        <v>132.27000000000001</v>
      </c>
      <c r="F49" s="3">
        <f>IF(RealTime,_xll.RtGet("IDN_SELECTFEED",D49,F$38),static_data())</f>
        <v>132.29</v>
      </c>
      <c r="G49" s="7">
        <f t="shared" si="40"/>
        <v>132.28</v>
      </c>
      <c r="H49" s="2" t="s">
        <v>553</v>
      </c>
      <c r="I49" s="336" t="s">
        <v>730</v>
      </c>
      <c r="L49" s="401"/>
      <c r="M49" s="401"/>
      <c r="Q49" s="155" t="s">
        <v>32</v>
      </c>
      <c r="R49" s="102" t="s">
        <v>508</v>
      </c>
      <c r="S49" s="164"/>
      <c r="T49" s="163">
        <f t="shared" si="33"/>
        <v>47444</v>
      </c>
      <c r="U49" s="288" t="b">
        <v>1</v>
      </c>
      <c r="V49" s="284" t="str">
        <v>20Y</v>
      </c>
      <c r="W49" s="137" t="str">
        <v>W</v>
      </c>
      <c r="X49" s="130" t="str">
        <f t="shared" si="0"/>
        <v>W18</v>
      </c>
      <c r="Y49" s="173">
        <f t="shared" si="37"/>
        <v>4</v>
      </c>
      <c r="Z49" s="175" t="str">
        <f t="shared" si="38"/>
        <v>20Y</v>
      </c>
      <c r="AA49" s="163">
        <v>50003</v>
      </c>
      <c r="AB49" s="173" t="str">
        <f t="shared" si="39"/>
        <v>20Y</v>
      </c>
      <c r="AC49" s="335"/>
      <c r="AD49" s="6"/>
      <c r="AE49" s="198" t="s">
        <v>17</v>
      </c>
      <c r="AF49" s="158" t="str">
        <f t="shared" si="4"/>
        <v>10Y</v>
      </c>
      <c r="AG49" s="134" t="s">
        <v>3952</v>
      </c>
      <c r="AH49" s="70">
        <f>IF(RealTime,_xll.RtGet(RtChannel,$AG49,AH$12),"StaticData")</f>
        <v>0.68200000000000005</v>
      </c>
      <c r="AI49" s="71">
        <f>IF(RealTime,_xll.RtGet(RtChannel,$AG49,AI$12),"StaticData")</f>
        <v>0.68200000000000005</v>
      </c>
      <c r="AJ49" s="435">
        <f>IF(RealTime,AH49,static_data())</f>
        <v>0.68200000000000005</v>
      </c>
      <c r="AK49" s="435">
        <f>IF(RealTime,AI49,static_data())</f>
        <v>0.68200000000000005</v>
      </c>
      <c r="AL49" s="43">
        <f t="shared" si="13"/>
        <v>0.68200000000000005</v>
      </c>
      <c r="AO49" s="137" t="s">
        <v>33</v>
      </c>
      <c r="AP49" s="137">
        <f t="shared" si="5"/>
        <v>4</v>
      </c>
      <c r="AQ49" s="158" t="str">
        <f t="shared" si="6"/>
        <v>14Y</v>
      </c>
      <c r="AR49" s="134" t="str">
        <f>CHOOSE($AP49,AR$3&amp;$AQ49&amp;AS$3,AR$4&amp;strrep(strrep(AQ49,"M",""),"-","X")&amp;AS$4,AR$5&amp;UPPER(FutCode2(AQ49))&amp;AS$5,AR$6&amp;$AQ49&amp;AS$6,"")</f>
        <v>EUR3MSW14Y=</v>
      </c>
      <c r="AS49" s="70">
        <f>IF(RealTime,_xll.RtGet(RtChannel,$AR49,AS$12),"StaticData")</f>
        <v>0.87391950200000001</v>
      </c>
      <c r="AT49" s="70">
        <f>IF(RealTime,_xll.RtGet(RtChannel,$AR49,AT$12),"StaticData")</f>
        <v>0.87391950200000001</v>
      </c>
      <c r="AU49" s="436">
        <f>IF(RealTime,AS49,static_data())</f>
        <v>0.87391950200000001</v>
      </c>
      <c r="AV49" s="435">
        <f>IF(RealTime,AT49,static_data())</f>
        <v>0.87391950200000001</v>
      </c>
      <c r="AW49" s="43">
        <f t="shared" si="7"/>
        <v>0.87391950200000001</v>
      </c>
      <c r="AY49" s="198" t="s">
        <v>31</v>
      </c>
      <c r="AZ49" s="158" t="str">
        <f t="shared" si="8"/>
        <v>11Y</v>
      </c>
      <c r="BA49" s="134" t="s">
        <v>4021</v>
      </c>
      <c r="BB49" s="70">
        <f>IF(RealTime,_xll.RtGet(RtChannel,$BA49,BB$12),"StaticData")</f>
        <v>0.887186947</v>
      </c>
      <c r="BC49" s="71">
        <f>IF(RealTime,_xll.RtGet(RtChannel,$BA49,BC$12),"StaticData")</f>
        <v>0.887186947</v>
      </c>
      <c r="BD49" s="435">
        <f>IF(RealTime,BB49,static_data())</f>
        <v>0.887186947</v>
      </c>
      <c r="BE49" s="435">
        <f>IF(RealTime,BC49,static_data())</f>
        <v>0.887186947</v>
      </c>
      <c r="BF49" s="43">
        <f t="shared" si="9"/>
        <v>0.887186947</v>
      </c>
      <c r="BH49" s="158" t="str">
        <v>20Y</v>
      </c>
      <c r="BI49" s="134" t="str">
        <f t="shared" si="25"/>
        <v>EUR6MSW20Y=</v>
      </c>
      <c r="BJ49" s="70">
        <f>IF(RealTime,_xll.RtGet(RtChannel,$BI49,BJ$12),"StaticData")</f>
        <v>1.149</v>
      </c>
      <c r="BK49" s="71">
        <f>IF(RealTime,_xll.RtGet(RtChannel,$BI49,BK$12),"StaticData")</f>
        <v>1.149</v>
      </c>
      <c r="BL49" s="435">
        <f>IF(RealTime,BJ49,static_data())</f>
        <v>1.149</v>
      </c>
      <c r="BM49" s="435">
        <f>IF(RealTime,BK49,static_data())</f>
        <v>1.149</v>
      </c>
      <c r="BN49" s="43">
        <f t="shared" si="10"/>
        <v>1.149</v>
      </c>
      <c r="BP49" s="136" t="s">
        <v>16</v>
      </c>
      <c r="BQ49" s="137" t="str">
        <f t="shared" si="14"/>
        <v>9Y</v>
      </c>
      <c r="BR49" s="134" t="str">
        <f t="shared" si="26"/>
        <v>EURONOIS9Y=</v>
      </c>
      <c r="BS49" s="70">
        <f>IF(RealTime,_xll.RtGet(RtChannel,$BR49,BS$12),"StaticData")</f>
        <v>0.34900000000000003</v>
      </c>
      <c r="BT49" s="70">
        <f>IF(RealTime,_xll.RtGet(RtChannel,$BR49,BT$12),"StaticData")</f>
        <v>0.34900000000000003</v>
      </c>
      <c r="BU49" s="436">
        <f>IF(RealTime,BS49,static_data())</f>
        <v>0.34900000000000003</v>
      </c>
      <c r="BV49" s="543">
        <f>IF(RealTime,BT49,static_data())</f>
        <v>0.34900000000000003</v>
      </c>
      <c r="BW49" s="43">
        <f t="shared" si="36"/>
        <v>0.34900000000000003</v>
      </c>
      <c r="BY49" s="198" t="s">
        <v>33</v>
      </c>
      <c r="BZ49" s="137" t="str">
        <f t="shared" si="15"/>
        <v>14Y</v>
      </c>
      <c r="CA49" s="134" t="str">
        <f t="shared" si="28"/>
        <v>EUR1MSW14Y=</v>
      </c>
      <c r="CB49" s="70">
        <f>IF(RealTime,_xll.RtGet(RtChannel,$CA49,CD$12),"StaticData")</f>
        <v>0.771427961</v>
      </c>
      <c r="CC49" s="71">
        <f>IF(RealTime,_xll.RtGet(RtChannel,$CA49,CE$12),"StaticData")</f>
        <v>0.771427961</v>
      </c>
      <c r="CD49" s="435">
        <f>IF(RealTime,CB49,static_data())</f>
        <v>0.771427961</v>
      </c>
      <c r="CE49" s="435">
        <f>IF(RealTime,CC49,static_data())</f>
        <v>0.771427961</v>
      </c>
      <c r="CF49" s="43">
        <f t="shared" si="16"/>
        <v>0.771427961</v>
      </c>
      <c r="CG49" s="47">
        <f>(CF49-'reference set'!BA59)*100</f>
        <v>1.2603311999999978</v>
      </c>
    </row>
    <row r="50" spans="1:85" ht="13.5" thickBot="1">
      <c r="A50" s="401"/>
      <c r="B50" s="19" t="s">
        <v>78</v>
      </c>
      <c r="C50" s="20" t="str">
        <f>C$48</f>
        <v>H7</v>
      </c>
      <c r="D50" s="21" t="str">
        <f>CONCATENATE(B50,C50)</f>
        <v>FGBSH7</v>
      </c>
      <c r="E50" s="392">
        <f>IF(RealTime,_xll.RtGet("IDN_SELECTFEED",D50,E$38),static_data())</f>
        <v>111.98</v>
      </c>
      <c r="F50" s="67">
        <f>IF(RealTime,_xll.RtGet("IDN_SELECTFEED",D50,F$38),static_data())</f>
        <v>111.99000000000001</v>
      </c>
      <c r="G50" s="21">
        <f t="shared" si="40"/>
        <v>111.98500000000001</v>
      </c>
      <c r="H50" s="2" t="s">
        <v>553</v>
      </c>
      <c r="Q50" s="155" t="s">
        <v>33</v>
      </c>
      <c r="R50" s="102" t="s">
        <v>508</v>
      </c>
      <c r="S50" s="164"/>
      <c r="T50" s="163">
        <f t="shared" si="33"/>
        <v>47809</v>
      </c>
      <c r="U50" s="288" t="b">
        <v>1</v>
      </c>
      <c r="V50" s="284" t="str">
        <v>21Y</v>
      </c>
      <c r="W50" s="137" t="str">
        <v>W</v>
      </c>
      <c r="X50" s="130" t="str">
        <f t="shared" si="0"/>
        <v>W19</v>
      </c>
      <c r="Y50" s="173">
        <f t="shared" si="37"/>
        <v>4</v>
      </c>
      <c r="Z50" s="175" t="str">
        <f t="shared" si="38"/>
        <v>21Y</v>
      </c>
      <c r="AA50" s="163">
        <v>50367</v>
      </c>
      <c r="AB50" s="173" t="str">
        <f t="shared" si="39"/>
        <v>21Y</v>
      </c>
      <c r="AC50" s="335"/>
      <c r="AD50" s="6"/>
      <c r="AE50" s="198" t="s">
        <v>31</v>
      </c>
      <c r="AF50" s="158" t="str">
        <f t="shared" si="4"/>
        <v>11Y</v>
      </c>
      <c r="AG50" s="134" t="s">
        <v>3953</v>
      </c>
      <c r="AH50" s="70">
        <f>IF(RealTime,_xll.RtGet(RtChannel,$AG50,AH$12),"StaticData")</f>
        <v>0.76879012099999999</v>
      </c>
      <c r="AI50" s="71">
        <f>IF(RealTime,_xll.RtGet(RtChannel,$AG50,AI$12),"StaticData")</f>
        <v>0.76879012099999999</v>
      </c>
      <c r="AJ50" s="435">
        <f>IF(RealTime,AH50,static_data())</f>
        <v>0.76879012099999999</v>
      </c>
      <c r="AK50" s="435">
        <f>IF(RealTime,AI50,static_data())</f>
        <v>0.76879012099999999</v>
      </c>
      <c r="AL50" s="43">
        <f t="shared" si="13"/>
        <v>0.76879012099999999</v>
      </c>
      <c r="AO50" s="137" t="s">
        <v>19</v>
      </c>
      <c r="AP50" s="137">
        <f t="shared" si="5"/>
        <v>4</v>
      </c>
      <c r="AQ50" s="158" t="str">
        <f t="shared" si="6"/>
        <v>15Y</v>
      </c>
      <c r="AR50" s="134" t="str">
        <f>CHOOSE($AP50,AR$3&amp;$AQ50&amp;AS$3,AR$4&amp;strrep(strrep(AQ50,"M",""),"-","X")&amp;AS$4,AR$5&amp;UPPER(FutCode2(AQ50))&amp;AS$5,AR$6&amp;$AQ50&amp;AS$6,"")</f>
        <v>EUR3MSW15Y=</v>
      </c>
      <c r="AS50" s="70">
        <f>IF(RealTime,_xll.RtGet(RtChannel,$AR50,AS$12),"StaticData")</f>
        <v>0.92700000000000005</v>
      </c>
      <c r="AT50" s="70">
        <f>IF(RealTime,_xll.RtGet(RtChannel,$AR50,AT$12),"StaticData")</f>
        <v>0.92700000000000005</v>
      </c>
      <c r="AU50" s="436">
        <f>IF(RealTime,AS50,static_data())</f>
        <v>0.92700000000000005</v>
      </c>
      <c r="AV50" s="435">
        <f>IF(RealTime,AT50,static_data())</f>
        <v>0.92700000000000005</v>
      </c>
      <c r="AW50" s="43">
        <f t="shared" si="7"/>
        <v>0.92700000000000005</v>
      </c>
      <c r="AY50" s="198" t="s">
        <v>18</v>
      </c>
      <c r="AZ50" s="158" t="str">
        <f t="shared" si="8"/>
        <v>12Y</v>
      </c>
      <c r="BA50" s="134" t="s">
        <v>4022</v>
      </c>
      <c r="BB50" s="70">
        <f>IF(RealTime,_xll.RtGet(RtChannel,$BA50,BB$12),"StaticData")</f>
        <v>0.95700000000000007</v>
      </c>
      <c r="BC50" s="71">
        <f>IF(RealTime,_xll.RtGet(RtChannel,$BA50,BC$12),"StaticData")</f>
        <v>0.95700000000000007</v>
      </c>
      <c r="BD50" s="435">
        <f>IF(RealTime,BB50,static_data())</f>
        <v>0.95700000000000007</v>
      </c>
      <c r="BE50" s="435">
        <f>IF(RealTime,BC50,static_data())</f>
        <v>0.95700000000000007</v>
      </c>
      <c r="BF50" s="43">
        <f t="shared" si="9"/>
        <v>0.95700000000000007</v>
      </c>
      <c r="BH50" s="158" t="str">
        <v>21Y</v>
      </c>
      <c r="BI50" s="134" t="str">
        <f t="shared" si="25"/>
        <v>EUR6MSW21Y=</v>
      </c>
      <c r="BJ50" s="70">
        <f>IF(RealTime,_xll.RtGet(RtChannel,$BI50,BJ$12),"StaticData")</f>
        <v>1.160757542</v>
      </c>
      <c r="BK50" s="71">
        <f>IF(RealTime,_xll.RtGet(RtChannel,$BI50,BK$12),"StaticData")</f>
        <v>1.160757542</v>
      </c>
      <c r="BL50" s="435">
        <f>IF(RealTime,BJ50,static_data())</f>
        <v>1.160757542</v>
      </c>
      <c r="BM50" s="435">
        <f>IF(RealTime,BK50,static_data())</f>
        <v>1.160757542</v>
      </c>
      <c r="BN50" s="43">
        <f t="shared" si="10"/>
        <v>1.160757542</v>
      </c>
      <c r="BP50" s="136" t="s">
        <v>17</v>
      </c>
      <c r="BQ50" s="137" t="str">
        <f t="shared" si="14"/>
        <v>10Y</v>
      </c>
      <c r="BR50" s="134" t="str">
        <f t="shared" si="26"/>
        <v>EURONOIS10Y=</v>
      </c>
      <c r="BS50" s="70">
        <f>IF(RealTime,_xll.RtGet(RtChannel,$BR50,BS$12),"StaticData")</f>
        <v>0.45400000000000001</v>
      </c>
      <c r="BT50" s="70">
        <f>IF(RealTime,_xll.RtGet(RtChannel,$BR50,BT$12),"StaticData")</f>
        <v>0.45400000000000001</v>
      </c>
      <c r="BU50" s="436">
        <f>IF(RealTime,BS50,static_data())</f>
        <v>0.45400000000000001</v>
      </c>
      <c r="BV50" s="543">
        <f>IF(RealTime,BT50,static_data())</f>
        <v>0.45400000000000001</v>
      </c>
      <c r="BW50" s="43">
        <f t="shared" si="36"/>
        <v>0.45400000000000001</v>
      </c>
      <c r="BY50" s="198" t="s">
        <v>19</v>
      </c>
      <c r="BZ50" s="137" t="str">
        <f t="shared" si="15"/>
        <v>15Y</v>
      </c>
      <c r="CA50" s="134" t="str">
        <f t="shared" si="28"/>
        <v>EUR1MSW15Y=</v>
      </c>
      <c r="CB50" s="70">
        <f>IF(RealTime,_xll.RtGet(RtChannel,$CA50,CD$12),"StaticData")</f>
        <v>0.82700000000000007</v>
      </c>
      <c r="CC50" s="71">
        <f>IF(RealTime,_xll.RtGet(RtChannel,$CA50,CE$12),"StaticData")</f>
        <v>0.82700000000000007</v>
      </c>
      <c r="CD50" s="435">
        <f>IF(RealTime,CB50,static_data())</f>
        <v>0.82700000000000007</v>
      </c>
      <c r="CE50" s="435">
        <f>IF(RealTime,CC50,static_data())</f>
        <v>0.82700000000000007</v>
      </c>
      <c r="CF50" s="43">
        <f t="shared" si="16"/>
        <v>0.82700000000000007</v>
      </c>
      <c r="CG50" s="47">
        <f>(CF50-'reference set'!BA60)*100</f>
        <v>1.3000000000000123</v>
      </c>
    </row>
    <row r="51" spans="1:85" ht="13.5" thickTop="1">
      <c r="A51" s="401"/>
      <c r="B51" s="15" t="s">
        <v>1046</v>
      </c>
      <c r="C51" s="18" t="str">
        <f t="shared" ref="C51:C53" si="41">C$48</f>
        <v>H7</v>
      </c>
      <c r="D51" s="7" t="str">
        <f t="shared" ref="D51:D53" si="42">CONCATENATE(B51,C51)</f>
        <v>FBTPH7</v>
      </c>
      <c r="E51" s="3">
        <f>IF(RealTime,_xll.RtGet("IDN_SELECTFEED",D51,E$38),static_data())</f>
        <v>131.92000000000002</v>
      </c>
      <c r="F51" s="3">
        <f>IF(RealTime,_xll.RtGet("IDN_SELECTFEED",D51,F$38),static_data())</f>
        <v>131.94</v>
      </c>
      <c r="G51" s="7">
        <f t="shared" si="40"/>
        <v>131.93</v>
      </c>
      <c r="H51" s="2" t="s">
        <v>553</v>
      </c>
      <c r="I51" s="336" t="s">
        <v>1049</v>
      </c>
      <c r="Q51" s="155" t="s">
        <v>19</v>
      </c>
      <c r="R51" s="102" t="s">
        <v>508</v>
      </c>
      <c r="S51" s="164"/>
      <c r="T51" s="163">
        <f t="shared" si="33"/>
        <v>48176</v>
      </c>
      <c r="U51" s="288" t="b">
        <v>1</v>
      </c>
      <c r="V51" s="284" t="str">
        <v>22Y</v>
      </c>
      <c r="W51" s="137" t="str">
        <v>W</v>
      </c>
      <c r="X51" s="130" t="str">
        <f t="shared" si="0"/>
        <v>W20</v>
      </c>
      <c r="Y51" s="173">
        <f t="shared" si="37"/>
        <v>4</v>
      </c>
      <c r="Z51" s="175" t="str">
        <f t="shared" si="38"/>
        <v>22Y</v>
      </c>
      <c r="AA51" s="163">
        <v>50731</v>
      </c>
      <c r="AB51" s="173" t="str">
        <f t="shared" si="39"/>
        <v>22Y</v>
      </c>
      <c r="AC51" s="335"/>
      <c r="AD51" s="6"/>
      <c r="AE51" s="198" t="s">
        <v>18</v>
      </c>
      <c r="AF51" s="158" t="str">
        <f t="shared" si="4"/>
        <v>12Y</v>
      </c>
      <c r="AG51" s="134" t="s">
        <v>3954</v>
      </c>
      <c r="AH51" s="70">
        <f>IF(RealTime,_xll.RtGet(RtChannel,$AG51,AH$12),"StaticData")</f>
        <v>0.84599999999999997</v>
      </c>
      <c r="AI51" s="71">
        <f>IF(RealTime,_xll.RtGet(RtChannel,$AG51,AI$12),"StaticData")</f>
        <v>0.84599999999999997</v>
      </c>
      <c r="AJ51" s="435">
        <f>IF(RealTime,AH51,static_data())</f>
        <v>0.84599999999999997</v>
      </c>
      <c r="AK51" s="435">
        <f>IF(RealTime,AI51,static_data())</f>
        <v>0.84599999999999997</v>
      </c>
      <c r="AL51" s="43">
        <f t="shared" si="13"/>
        <v>0.84599999999999997</v>
      </c>
      <c r="AO51" s="137" t="s">
        <v>34</v>
      </c>
      <c r="AP51" s="137">
        <f t="shared" si="5"/>
        <v>4</v>
      </c>
      <c r="AQ51" s="158" t="str">
        <f t="shared" si="6"/>
        <v>16Y</v>
      </c>
      <c r="AR51" s="134" t="str">
        <f>CHOOSE($AP51,AR$3&amp;$AQ51&amp;AS$3,AR$4&amp;strrep(strrep(AQ51,"M",""),"-","X")&amp;AS$4,AR$5&amp;UPPER(FutCode2(AQ51))&amp;AS$5,AR$6&amp;$AQ51&amp;AS$6,"")</f>
        <v>EUR3MSW16Y=</v>
      </c>
      <c r="AS51" s="70">
        <f>IF(RealTime,_xll.RtGet(RtChannel,$AR51,AS$12),"StaticData")</f>
        <v>0.97089252999999998</v>
      </c>
      <c r="AT51" s="70">
        <f>IF(RealTime,_xll.RtGet(RtChannel,$AR51,AT$12),"StaticData")</f>
        <v>0.97089252999999998</v>
      </c>
      <c r="AU51" s="436">
        <f>IF(RealTime,AS51,static_data())</f>
        <v>0.97089252999999998</v>
      </c>
      <c r="AV51" s="435">
        <f>IF(RealTime,AT51,static_data())</f>
        <v>0.97089252999999998</v>
      </c>
      <c r="AW51" s="43">
        <f t="shared" si="7"/>
        <v>0.97089252999999998</v>
      </c>
      <c r="AY51" s="198" t="s">
        <v>32</v>
      </c>
      <c r="AZ51" s="158" t="str">
        <f t="shared" si="8"/>
        <v>13Y</v>
      </c>
      <c r="BA51" s="134" t="s">
        <v>4023</v>
      </c>
      <c r="BB51" s="70">
        <f>IF(RealTime,_xll.RtGet(RtChannel,$BA51,BB$12),"StaticData")</f>
        <v>1.017136847</v>
      </c>
      <c r="BC51" s="71">
        <f>IF(RealTime,_xll.RtGet(RtChannel,$BA51,BC$12),"StaticData")</f>
        <v>1.017136847</v>
      </c>
      <c r="BD51" s="435">
        <f>IF(RealTime,BB51,static_data())</f>
        <v>1.017136847</v>
      </c>
      <c r="BE51" s="435">
        <f>IF(RealTime,BC51,static_data())</f>
        <v>1.017136847</v>
      </c>
      <c r="BF51" s="43">
        <f t="shared" si="9"/>
        <v>1.017136847</v>
      </c>
      <c r="BH51" s="158" t="str">
        <v>22Y</v>
      </c>
      <c r="BI51" s="134" t="str">
        <f t="shared" si="25"/>
        <v>EUR6MSW22Y=</v>
      </c>
      <c r="BJ51" s="70">
        <f>IF(RealTime,_xll.RtGet(RtChannel,$BI51,BJ$12),"StaticData")</f>
        <v>1.1696028300000001</v>
      </c>
      <c r="BK51" s="71">
        <f>IF(RealTime,_xll.RtGet(RtChannel,$BI51,BK$12),"StaticData")</f>
        <v>1.1696028300000001</v>
      </c>
      <c r="BL51" s="435">
        <f>IF(RealTime,BJ51,static_data())</f>
        <v>1.1696028300000001</v>
      </c>
      <c r="BM51" s="435">
        <f>IF(RealTime,BK51,static_data())</f>
        <v>1.1696028300000001</v>
      </c>
      <c r="BN51" s="43">
        <f t="shared" si="10"/>
        <v>1.1696028300000001</v>
      </c>
      <c r="BP51" s="136" t="s">
        <v>31</v>
      </c>
      <c r="BQ51" s="137" t="str">
        <f t="shared" si="14"/>
        <v>11Y</v>
      </c>
      <c r="BR51" s="134" t="str">
        <f t="shared" si="26"/>
        <v>EURONOIS11Y=</v>
      </c>
      <c r="BS51" s="70">
        <f>IF(RealTime,_xll.RtGet(RtChannel,$BR51,BS$12),"StaticData")</f>
        <v>0.54800000000000004</v>
      </c>
      <c r="BT51" s="70">
        <f>IF(RealTime,_xll.RtGet(RtChannel,$BR51,BT$12),"StaticData")</f>
        <v>0.54800000000000004</v>
      </c>
      <c r="BU51" s="436">
        <f>IF(RealTime,BS51,static_data())</f>
        <v>0.54800000000000004</v>
      </c>
      <c r="BV51" s="543">
        <f>IF(RealTime,BT51,static_data())</f>
        <v>0.54800000000000004</v>
      </c>
      <c r="BW51" s="43">
        <f t="shared" si="36"/>
        <v>0.54800000000000004</v>
      </c>
      <c r="BY51" s="198" t="s">
        <v>34</v>
      </c>
      <c r="BZ51" s="137" t="str">
        <f t="shared" si="15"/>
        <v>16Y</v>
      </c>
      <c r="CA51" s="134" t="str">
        <f t="shared" si="28"/>
        <v>EUR1MSW16Y=</v>
      </c>
      <c r="CB51" s="70">
        <f>IF(RealTime,_xll.RtGet(RtChannel,$CA51,CD$12),"StaticData")</f>
        <v>0.87354075800000008</v>
      </c>
      <c r="CC51" s="71">
        <f>IF(RealTime,_xll.RtGet(RtChannel,$CA51,CE$12),"StaticData")</f>
        <v>0.87354075800000008</v>
      </c>
      <c r="CD51" s="435">
        <f>IF(RealTime,CB51,static_data())</f>
        <v>0.87354075800000008</v>
      </c>
      <c r="CE51" s="435">
        <f>IF(RealTime,CC51,static_data())</f>
        <v>0.87354075800000008</v>
      </c>
      <c r="CF51" s="43">
        <f t="shared" si="16"/>
        <v>0.87354075800000008</v>
      </c>
      <c r="CG51" s="47">
        <f>(CF51-'reference set'!BA61)*100</f>
        <v>1.304610000000006</v>
      </c>
    </row>
    <row r="52" spans="1:85">
      <c r="A52" s="401"/>
      <c r="B52" s="400" t="s">
        <v>78</v>
      </c>
      <c r="C52" s="396" t="str">
        <f t="shared" si="41"/>
        <v>H7</v>
      </c>
      <c r="D52" s="394" t="str">
        <f t="shared" si="42"/>
        <v>FGBSH7</v>
      </c>
      <c r="E52" s="395">
        <f>IF(RealTime,_xll.RtGet("IDN_SELECTFEED",D52,E$38),static_data())</f>
        <v>111.98</v>
      </c>
      <c r="F52" s="395">
        <f>IF(RealTime,_xll.RtGet("IDN_SELECTFEED",D52,F$38),static_data())</f>
        <v>111.99000000000001</v>
      </c>
      <c r="G52" s="394">
        <f t="shared" si="40"/>
        <v>111.98500000000001</v>
      </c>
      <c r="H52" s="2" t="s">
        <v>553</v>
      </c>
      <c r="I52" s="336" t="s">
        <v>1050</v>
      </c>
      <c r="Q52" s="155" t="s">
        <v>34</v>
      </c>
      <c r="R52" s="102" t="s">
        <v>508</v>
      </c>
      <c r="S52" s="164"/>
      <c r="T52" s="163">
        <f t="shared" si="33"/>
        <v>48540</v>
      </c>
      <c r="U52" s="288" t="b">
        <v>1</v>
      </c>
      <c r="V52" s="284" t="str">
        <v>23Y</v>
      </c>
      <c r="W52" s="137" t="str">
        <v>W</v>
      </c>
      <c r="X52" s="130" t="str">
        <f t="shared" si="0"/>
        <v>W21</v>
      </c>
      <c r="Y52" s="173">
        <f t="shared" si="37"/>
        <v>4</v>
      </c>
      <c r="Z52" s="175" t="str">
        <f t="shared" si="38"/>
        <v>23Y</v>
      </c>
      <c r="AA52" s="163">
        <v>51096</v>
      </c>
      <c r="AB52" s="173" t="str">
        <f t="shared" si="39"/>
        <v>23Y</v>
      </c>
      <c r="AC52" s="335"/>
      <c r="AD52" s="6"/>
      <c r="AE52" s="198" t="s">
        <v>32</v>
      </c>
      <c r="AF52" s="158" t="str">
        <f t="shared" si="4"/>
        <v>13Y</v>
      </c>
      <c r="AG52" s="134" t="s">
        <v>3955</v>
      </c>
      <c r="AH52" s="70">
        <f>IF(RealTime,_xll.RtGet(RtChannel,$AG52,AH$12),"StaticData")</f>
        <v>0.91248333400000003</v>
      </c>
      <c r="AI52" s="71">
        <f>IF(RealTime,_xll.RtGet(RtChannel,$AG52,AI$12),"StaticData")</f>
        <v>0.91248333400000003</v>
      </c>
      <c r="AJ52" s="435">
        <f>IF(RealTime,AH52,static_data())</f>
        <v>0.91248333400000003</v>
      </c>
      <c r="AK52" s="435">
        <f>IF(RealTime,AI52,static_data())</f>
        <v>0.91248333400000003</v>
      </c>
      <c r="AL52" s="43">
        <f t="shared" si="13"/>
        <v>0.91248333400000003</v>
      </c>
      <c r="AO52" s="137" t="s">
        <v>35</v>
      </c>
      <c r="AP52" s="137">
        <f t="shared" si="5"/>
        <v>4</v>
      </c>
      <c r="AQ52" s="158" t="str">
        <f t="shared" si="6"/>
        <v>17Y</v>
      </c>
      <c r="AR52" s="134" t="str">
        <f>CHOOSE($AP52,AR$3&amp;$AQ52&amp;AS$3,AR$4&amp;strrep(strrep(AQ52,"M",""),"-","X")&amp;AS$4,AR$5&amp;UPPER(FutCode2(AQ52))&amp;AS$5,AR$6&amp;$AQ52&amp;AS$6,"")</f>
        <v>EUR3MSW17Y=</v>
      </c>
      <c r="AS52" s="70">
        <f>IF(RealTime,_xll.RtGet(RtChannel,$AR52,AS$12),"StaticData")</f>
        <v>1.006846275</v>
      </c>
      <c r="AT52" s="70">
        <f>IF(RealTime,_xll.RtGet(RtChannel,$AR52,AT$12),"StaticData")</f>
        <v>1.006846275</v>
      </c>
      <c r="AU52" s="436">
        <f>IF(RealTime,AS52,static_data())</f>
        <v>1.006846275</v>
      </c>
      <c r="AV52" s="435">
        <f>IF(RealTime,AT52,static_data())</f>
        <v>1.006846275</v>
      </c>
      <c r="AW52" s="43">
        <f t="shared" si="7"/>
        <v>1.006846275</v>
      </c>
      <c r="AY52" s="198" t="s">
        <v>33</v>
      </c>
      <c r="AZ52" s="158" t="str">
        <f t="shared" si="8"/>
        <v>14Y</v>
      </c>
      <c r="BA52" s="134" t="s">
        <v>4024</v>
      </c>
      <c r="BB52" s="70">
        <f>IF(RealTime,_xll.RtGet(RtChannel,$BA52,BB$12),"StaticData")</f>
        <v>1.068621249</v>
      </c>
      <c r="BC52" s="71">
        <f>IF(RealTime,_xll.RtGet(RtChannel,$BA52,BC$12),"StaticData")</f>
        <v>1.068621249</v>
      </c>
      <c r="BD52" s="435">
        <f>IF(RealTime,BB52,static_data())</f>
        <v>1.068621249</v>
      </c>
      <c r="BE52" s="435">
        <f>IF(RealTime,BC52,static_data())</f>
        <v>1.068621249</v>
      </c>
      <c r="BF52" s="43">
        <f t="shared" si="9"/>
        <v>1.068621249</v>
      </c>
      <c r="BH52" s="158" t="str">
        <v>23Y</v>
      </c>
      <c r="BI52" s="134" t="str">
        <f t="shared" si="25"/>
        <v>EUR6MSW23Y=</v>
      </c>
      <c r="BJ52" s="70">
        <f>IF(RealTime,_xll.RtGet(RtChannel,$BI52,BJ$12),"StaticData")</f>
        <v>1.1761748830000001</v>
      </c>
      <c r="BK52" s="71">
        <f>IF(RealTime,_xll.RtGet(RtChannel,$BI52,BK$12),"StaticData")</f>
        <v>1.1761748830000001</v>
      </c>
      <c r="BL52" s="435">
        <f>IF(RealTime,BJ52,static_data())</f>
        <v>1.1761748830000001</v>
      </c>
      <c r="BM52" s="435">
        <f>IF(RealTime,BK52,static_data())</f>
        <v>1.1761748830000001</v>
      </c>
      <c r="BN52" s="43">
        <f t="shared" si="10"/>
        <v>1.1761748830000001</v>
      </c>
      <c r="BP52" s="136" t="s">
        <v>18</v>
      </c>
      <c r="BQ52" s="137" t="str">
        <f t="shared" si="14"/>
        <v>12Y</v>
      </c>
      <c r="BR52" s="134" t="str">
        <f t="shared" si="26"/>
        <v>EURONOIS12Y=</v>
      </c>
      <c r="BS52" s="70">
        <f>IF(RealTime,_xll.RtGet(RtChannel,$BR52,BS$12),"StaticData")</f>
        <v>0.63100000000000001</v>
      </c>
      <c r="BT52" s="70">
        <f>IF(RealTime,_xll.RtGet(RtChannel,$BR52,BT$12),"StaticData")</f>
        <v>0.63100000000000001</v>
      </c>
      <c r="BU52" s="436">
        <f>IF(RealTime,BS52,static_data())</f>
        <v>0.63100000000000001</v>
      </c>
      <c r="BV52" s="543">
        <f>IF(RealTime,BT52,static_data())</f>
        <v>0.63100000000000001</v>
      </c>
      <c r="BW52" s="43">
        <f t="shared" si="36"/>
        <v>0.63100000000000001</v>
      </c>
      <c r="BY52" s="198" t="s">
        <v>35</v>
      </c>
      <c r="BZ52" s="137" t="str">
        <f t="shared" si="15"/>
        <v>17Y</v>
      </c>
      <c r="CA52" s="134" t="str">
        <f t="shared" si="28"/>
        <v>EUR1MSW17Y=</v>
      </c>
      <c r="CB52" s="70">
        <f>IF(RealTime,_xll.RtGet(RtChannel,$CA52,CD$12),"StaticData")</f>
        <v>0.91223364700000009</v>
      </c>
      <c r="CC52" s="71">
        <f>IF(RealTime,_xll.RtGet(RtChannel,$CA52,CE$12),"StaticData")</f>
        <v>0.91223364700000009</v>
      </c>
      <c r="CD52" s="435">
        <f>IF(RealTime,CB52,static_data())</f>
        <v>0.91223364700000009</v>
      </c>
      <c r="CE52" s="435">
        <f>IF(RealTime,CC52,static_data())</f>
        <v>0.91223364700000009</v>
      </c>
      <c r="CF52" s="43">
        <f t="shared" si="16"/>
        <v>0.91223364700000009</v>
      </c>
      <c r="CG52" s="47">
        <f>(CF52-'reference set'!BA62)*100</f>
        <v>1.3514656000000125</v>
      </c>
    </row>
    <row r="53" spans="1:85">
      <c r="A53" s="401"/>
      <c r="B53" s="400" t="s">
        <v>4997</v>
      </c>
      <c r="C53" s="396" t="str">
        <f t="shared" si="41"/>
        <v>H7</v>
      </c>
      <c r="D53" s="394" t="str">
        <f t="shared" si="42"/>
        <v>FGBXH7</v>
      </c>
      <c r="E53" s="395">
        <f>IF(RealTime,_xll.RtGet("IDN_SELECTFEED",D53,E$38),static_data())</f>
        <v>174.06</v>
      </c>
      <c r="F53" s="395">
        <f>IF(RealTime,_xll.RtGet("IDN_SELECTFEED",D53,F$38),static_data())</f>
        <v>174.12</v>
      </c>
      <c r="G53" s="394">
        <f t="shared" si="40"/>
        <v>174.09</v>
      </c>
      <c r="H53" s="2" t="s">
        <v>553</v>
      </c>
      <c r="Q53" s="155" t="s">
        <v>35</v>
      </c>
      <c r="R53" s="102" t="s">
        <v>508</v>
      </c>
      <c r="S53" s="164"/>
      <c r="T53" s="163">
        <f t="shared" si="33"/>
        <v>48905</v>
      </c>
      <c r="U53" s="288" t="b">
        <v>1</v>
      </c>
      <c r="V53" s="284" t="str">
        <v>24Y</v>
      </c>
      <c r="W53" s="137" t="str">
        <v>W</v>
      </c>
      <c r="X53" s="130" t="str">
        <f t="shared" si="0"/>
        <v>W22</v>
      </c>
      <c r="Y53" s="173">
        <f t="shared" si="37"/>
        <v>4</v>
      </c>
      <c r="Z53" s="175" t="str">
        <f t="shared" si="38"/>
        <v>24Y</v>
      </c>
      <c r="AA53" s="163">
        <v>51462</v>
      </c>
      <c r="AB53" s="173" t="str">
        <f t="shared" si="39"/>
        <v>24Y</v>
      </c>
      <c r="AC53" s="335"/>
      <c r="AD53" s="6"/>
      <c r="AE53" s="198" t="s">
        <v>33</v>
      </c>
      <c r="AF53" s="158" t="str">
        <f t="shared" si="4"/>
        <v>14Y</v>
      </c>
      <c r="AG53" s="134" t="s">
        <v>3956</v>
      </c>
      <c r="AH53" s="70">
        <f>IF(RealTime,_xll.RtGet(RtChannel,$AG53,AH$12),"StaticData")</f>
        <v>0.96917744100000003</v>
      </c>
      <c r="AI53" s="71">
        <f>IF(RealTime,_xll.RtGet(RtChannel,$AG53,AI$12),"StaticData")</f>
        <v>0.96917744100000003</v>
      </c>
      <c r="AJ53" s="435">
        <f>IF(RealTime,AH53,static_data())</f>
        <v>0.96917744100000003</v>
      </c>
      <c r="AK53" s="435">
        <f>IF(RealTime,AI53,static_data())</f>
        <v>0.96917744100000003</v>
      </c>
      <c r="AL53" s="43">
        <f t="shared" si="13"/>
        <v>0.96917744100000003</v>
      </c>
      <c r="AO53" s="137" t="s">
        <v>36</v>
      </c>
      <c r="AP53" s="137">
        <f t="shared" si="5"/>
        <v>4</v>
      </c>
      <c r="AQ53" s="158" t="str">
        <f t="shared" si="6"/>
        <v>18Y</v>
      </c>
      <c r="AR53" s="134" t="str">
        <f>CHOOSE($AP53,AR$3&amp;$AQ53&amp;AS$3,AR$4&amp;strrep(strrep(AQ53,"M",""),"-","X")&amp;AS$4,AR$5&amp;UPPER(FutCode2(AQ53))&amp;AS$5,AR$6&amp;$AQ53&amp;AS$6,"")</f>
        <v>EUR3MSW18Y=</v>
      </c>
      <c r="AS53" s="70">
        <f>IF(RealTime,_xll.RtGet(RtChannel,$AR53,AS$12),"StaticData")</f>
        <v>1.035952159</v>
      </c>
      <c r="AT53" s="70">
        <f>IF(RealTime,_xll.RtGet(RtChannel,$AR53,AT$12),"StaticData")</f>
        <v>1.035952159</v>
      </c>
      <c r="AU53" s="436">
        <f>IF(RealTime,AS53,static_data())</f>
        <v>1.035952159</v>
      </c>
      <c r="AV53" s="435">
        <f>IF(RealTime,AT53,static_data())</f>
        <v>1.035952159</v>
      </c>
      <c r="AW53" s="43">
        <f t="shared" si="7"/>
        <v>1.035952159</v>
      </c>
      <c r="AY53" s="198" t="s">
        <v>19</v>
      </c>
      <c r="AZ53" s="158" t="str">
        <f t="shared" si="8"/>
        <v>15Y</v>
      </c>
      <c r="BA53" s="134" t="s">
        <v>4025</v>
      </c>
      <c r="BB53" s="70">
        <f>IF(RealTime,_xll.RtGet(RtChannel,$BA53,BB$12),"StaticData")</f>
        <v>1.1120000000000001</v>
      </c>
      <c r="BC53" s="71">
        <f>IF(RealTime,_xll.RtGet(RtChannel,$BA53,BC$12),"StaticData")</f>
        <v>1.1120000000000001</v>
      </c>
      <c r="BD53" s="435">
        <f>IF(RealTime,BB53,static_data())</f>
        <v>1.1120000000000001</v>
      </c>
      <c r="BE53" s="435">
        <f>IF(RealTime,BC53,static_data())</f>
        <v>1.1120000000000001</v>
      </c>
      <c r="BF53" s="43">
        <f t="shared" si="9"/>
        <v>1.1120000000000001</v>
      </c>
      <c r="BH53" s="158" t="str">
        <v>24Y</v>
      </c>
      <c r="BI53" s="134" t="str">
        <f t="shared" si="25"/>
        <v>EUR6MSW24Y=</v>
      </c>
      <c r="BJ53" s="70">
        <f>IF(RealTime,_xll.RtGet(RtChannel,$BI53,BJ$12),"StaticData")</f>
        <v>1.1811911370000001</v>
      </c>
      <c r="BK53" s="71">
        <f>IF(RealTime,_xll.RtGet(RtChannel,$BI53,BK$12),"StaticData")</f>
        <v>1.1811911370000001</v>
      </c>
      <c r="BL53" s="435">
        <f>IF(RealTime,BJ53,static_data())</f>
        <v>1.1811911370000001</v>
      </c>
      <c r="BM53" s="435">
        <f>IF(RealTime,BK53,static_data())</f>
        <v>1.1811911370000001</v>
      </c>
      <c r="BN53" s="43">
        <f t="shared" si="10"/>
        <v>1.1811911370000001</v>
      </c>
      <c r="BP53" s="136" t="s">
        <v>32</v>
      </c>
      <c r="BQ53" s="137" t="str">
        <f t="shared" si="14"/>
        <v>13Y</v>
      </c>
      <c r="BR53" s="134" t="str">
        <f t="shared" si="26"/>
        <v>EURONOIS13Y=</v>
      </c>
      <c r="BS53" s="70">
        <f>IF(RealTime,_xll.RtGet(RtChannel,$BR53,BS$12),"StaticData")</f>
        <v>0.70400698500000003</v>
      </c>
      <c r="BT53" s="70">
        <f>IF(RealTime,_xll.RtGet(RtChannel,$BR53,BT$12),"StaticData")</f>
        <v>0.70400698500000003</v>
      </c>
      <c r="BU53" s="436">
        <f>IF(RealTime,BS53,static_data())</f>
        <v>0.70400698500000003</v>
      </c>
      <c r="BV53" s="543">
        <f>IF(RealTime,BT53,static_data())</f>
        <v>0.70400698500000003</v>
      </c>
      <c r="BW53" s="43">
        <f t="shared" si="36"/>
        <v>0.70400698500000003</v>
      </c>
      <c r="BY53" s="198" t="s">
        <v>36</v>
      </c>
      <c r="BZ53" s="137" t="str">
        <f t="shared" si="15"/>
        <v>18Y</v>
      </c>
      <c r="CA53" s="134" t="str">
        <f t="shared" si="28"/>
        <v>EUR1MSW18Y=</v>
      </c>
      <c r="CB53" s="70">
        <f>IF(RealTime,_xll.RtGet(RtChannel,$CA53,CD$12),"StaticData")</f>
        <v>0.94404319800000003</v>
      </c>
      <c r="CC53" s="71">
        <f>IF(RealTime,_xll.RtGet(RtChannel,$CA53,CE$12),"StaticData")</f>
        <v>0.94404319800000003</v>
      </c>
      <c r="CD53" s="435">
        <f>IF(RealTime,CB53,static_data())</f>
        <v>0.94404319800000003</v>
      </c>
      <c r="CE53" s="435">
        <f>IF(RealTime,CC53,static_data())</f>
        <v>0.94404319800000003</v>
      </c>
      <c r="CF53" s="43">
        <f t="shared" si="16"/>
        <v>0.94404319800000003</v>
      </c>
      <c r="CG53" s="47">
        <f>(CF53-'reference set'!BA63)*100</f>
        <v>1.3886858999999974</v>
      </c>
    </row>
    <row r="54" spans="1:85">
      <c r="A54" s="401"/>
      <c r="E54" s="5"/>
      <c r="F54" s="5"/>
      <c r="Q54" s="155" t="s">
        <v>36</v>
      </c>
      <c r="R54" s="102" t="s">
        <v>508</v>
      </c>
      <c r="S54" s="164"/>
      <c r="T54" s="163">
        <f t="shared" si="33"/>
        <v>49270</v>
      </c>
      <c r="U54" s="288" t="b">
        <v>1</v>
      </c>
      <c r="V54" s="284" t="str">
        <v>25Y</v>
      </c>
      <c r="W54" s="137" t="str">
        <v>W</v>
      </c>
      <c r="X54" s="130" t="str">
        <f t="shared" si="0"/>
        <v>W23</v>
      </c>
      <c r="Y54" s="173">
        <f t="shared" si="37"/>
        <v>4</v>
      </c>
      <c r="Z54" s="175" t="str">
        <f t="shared" si="38"/>
        <v>25Y</v>
      </c>
      <c r="AA54" s="163">
        <v>51827</v>
      </c>
      <c r="AB54" s="173" t="str">
        <f t="shared" si="39"/>
        <v>25Y</v>
      </c>
      <c r="AC54" s="335"/>
      <c r="AD54" s="6"/>
      <c r="AE54" s="198" t="s">
        <v>19</v>
      </c>
      <c r="AF54" s="158" t="str">
        <f t="shared" si="4"/>
        <v>15Y</v>
      </c>
      <c r="AG54" s="134" t="s">
        <v>3957</v>
      </c>
      <c r="AH54" s="70">
        <f>IF(RealTime,_xll.RtGet(RtChannel,$AG54,AH$12),"StaticData")</f>
        <v>1.0170000000000001</v>
      </c>
      <c r="AI54" s="71">
        <f>IF(RealTime,_xll.RtGet(RtChannel,$AG54,AI$12),"StaticData")</f>
        <v>1.0170000000000001</v>
      </c>
      <c r="AJ54" s="435">
        <f>IF(RealTime,AH54,static_data())</f>
        <v>1.0170000000000001</v>
      </c>
      <c r="AK54" s="435">
        <f>IF(RealTime,AI54,static_data())</f>
        <v>1.0170000000000001</v>
      </c>
      <c r="AL54" s="43">
        <f t="shared" si="13"/>
        <v>1.0170000000000001</v>
      </c>
      <c r="AO54" s="137" t="s">
        <v>37</v>
      </c>
      <c r="AP54" s="137">
        <f t="shared" si="5"/>
        <v>4</v>
      </c>
      <c r="AQ54" s="158" t="str">
        <f t="shared" si="6"/>
        <v>19Y</v>
      </c>
      <c r="AR54" s="134" t="str">
        <f>CHOOSE($AP54,AR$3&amp;$AQ54&amp;AS$3,AR$4&amp;strrep(strrep(AQ54,"M",""),"-","X")&amp;AS$4,AR$5&amp;UPPER(FutCode2(AQ54))&amp;AS$5,AR$6&amp;$AQ54&amp;AS$6,"")</f>
        <v>EUR3MSW19Y=</v>
      </c>
      <c r="AS54" s="70">
        <f>IF(RealTime,_xll.RtGet(RtChannel,$AR54,AS$12),"StaticData")</f>
        <v>1.059246618</v>
      </c>
      <c r="AT54" s="70">
        <f>IF(RealTime,_xll.RtGet(RtChannel,$AR54,AT$12),"StaticData")</f>
        <v>1.059246618</v>
      </c>
      <c r="AU54" s="436">
        <f>IF(RealTime,AS54,static_data())</f>
        <v>1.059246618</v>
      </c>
      <c r="AV54" s="435">
        <f>IF(RealTime,AT54,static_data())</f>
        <v>1.059246618</v>
      </c>
      <c r="AW54" s="43">
        <f t="shared" si="7"/>
        <v>1.059246618</v>
      </c>
      <c r="AY54" s="198" t="s">
        <v>34</v>
      </c>
      <c r="AZ54" s="158" t="str">
        <f t="shared" si="8"/>
        <v>16Y</v>
      </c>
      <c r="BA54" s="134" t="s">
        <v>4026</v>
      </c>
      <c r="BB54" s="70">
        <f>IF(RealTime,_xll.RtGet(RtChannel,$BA54,BB$12),"StaticData")</f>
        <v>1.1473398620000002</v>
      </c>
      <c r="BC54" s="71">
        <f>IF(RealTime,_xll.RtGet(RtChannel,$BA54,BC$12),"StaticData")</f>
        <v>1.1473398620000002</v>
      </c>
      <c r="BD54" s="435">
        <f>IF(RealTime,BB54,static_data())</f>
        <v>1.1473398620000002</v>
      </c>
      <c r="BE54" s="435">
        <f>IF(RealTime,BC54,static_data())</f>
        <v>1.1473398620000002</v>
      </c>
      <c r="BF54" s="43">
        <f t="shared" si="9"/>
        <v>1.1473398620000002</v>
      </c>
      <c r="BH54" s="158" t="str">
        <v>25Y</v>
      </c>
      <c r="BI54" s="134" t="str">
        <f t="shared" si="25"/>
        <v>EUR6MSW25Y=</v>
      </c>
      <c r="BJ54" s="70">
        <f>IF(RealTime,_xll.RtGet(RtChannel,$BI54,BJ$12),"StaticData")</f>
        <v>1.1850000000000001</v>
      </c>
      <c r="BK54" s="71">
        <f>IF(RealTime,_xll.RtGet(RtChannel,$BI54,BK$12),"StaticData")</f>
        <v>1.1850000000000001</v>
      </c>
      <c r="BL54" s="435">
        <f>IF(RealTime,BJ54,static_data())</f>
        <v>1.1850000000000001</v>
      </c>
      <c r="BM54" s="435">
        <f>IF(RealTime,BK54,static_data())</f>
        <v>1.1850000000000001</v>
      </c>
      <c r="BN54" s="43">
        <f t="shared" si="10"/>
        <v>1.1850000000000001</v>
      </c>
      <c r="BP54" s="136" t="s">
        <v>33</v>
      </c>
      <c r="BQ54" s="137" t="str">
        <f t="shared" si="14"/>
        <v>14Y</v>
      </c>
      <c r="BR54" s="134" t="str">
        <f t="shared" si="26"/>
        <v>EURONOIS14Y=</v>
      </c>
      <c r="BS54" s="70">
        <f>IF(RealTime,_xll.RtGet(RtChannel,$BR54,BS$12),"StaticData")</f>
        <v>0.76784660999999998</v>
      </c>
      <c r="BT54" s="70">
        <f>IF(RealTime,_xll.RtGet(RtChannel,$BR54,BT$12),"StaticData")</f>
        <v>0.76784660999999998</v>
      </c>
      <c r="BU54" s="436">
        <f>IF(RealTime,BS54,static_data())</f>
        <v>0.76784660999999998</v>
      </c>
      <c r="BV54" s="543">
        <f>IF(RealTime,BT54,static_data())</f>
        <v>0.76784660999999998</v>
      </c>
      <c r="BW54" s="43">
        <f t="shared" si="36"/>
        <v>0.76784660999999998</v>
      </c>
      <c r="BY54" s="198" t="s">
        <v>37</v>
      </c>
      <c r="BZ54" s="137" t="str">
        <f t="shared" si="15"/>
        <v>19Y</v>
      </c>
      <c r="CA54" s="134" t="str">
        <f t="shared" si="28"/>
        <v>EUR1MSW19Y=</v>
      </c>
      <c r="CB54" s="70">
        <f>IF(RealTime,_xll.RtGet(RtChannel,$CA54,CD$12),"StaticData")</f>
        <v>0.96990550100000006</v>
      </c>
      <c r="CC54" s="71">
        <f>IF(RealTime,_xll.RtGet(RtChannel,$CA54,CE$12),"StaticData")</f>
        <v>0.96990550100000006</v>
      </c>
      <c r="CD54" s="435">
        <f>IF(RealTime,CB54,static_data())</f>
        <v>0.96990550100000006</v>
      </c>
      <c r="CE54" s="435">
        <f>IF(RealTime,CC54,static_data())</f>
        <v>0.96990550100000006</v>
      </c>
      <c r="CF54" s="43">
        <f t="shared" si="16"/>
        <v>0.96990550100000006</v>
      </c>
      <c r="CG54" s="47">
        <f>(CF54-'reference set'!BA64)*100</f>
        <v>1.4468641000000004</v>
      </c>
    </row>
    <row r="55" spans="1:85">
      <c r="A55" s="401"/>
      <c r="E55" s="5"/>
      <c r="F55" s="5"/>
      <c r="Q55" s="155" t="s">
        <v>37</v>
      </c>
      <c r="R55" s="102" t="s">
        <v>508</v>
      </c>
      <c r="S55" s="164"/>
      <c r="T55" s="163">
        <f t="shared" si="33"/>
        <v>49635</v>
      </c>
      <c r="U55" s="288" t="b">
        <v>1</v>
      </c>
      <c r="V55" s="284" t="str">
        <v>26Y</v>
      </c>
      <c r="W55" s="137" t="str">
        <v>W</v>
      </c>
      <c r="X55" s="130" t="str">
        <f t="shared" si="0"/>
        <v>W24</v>
      </c>
      <c r="Y55" s="173">
        <f t="shared" si="37"/>
        <v>4</v>
      </c>
      <c r="Z55" s="175" t="str">
        <f t="shared" si="38"/>
        <v>26Y</v>
      </c>
      <c r="AA55" s="163">
        <v>52194</v>
      </c>
      <c r="AB55" s="173" t="str">
        <f t="shared" si="39"/>
        <v>26Y</v>
      </c>
      <c r="AC55" s="335"/>
      <c r="AD55" s="6"/>
      <c r="AE55" s="198" t="s">
        <v>34</v>
      </c>
      <c r="AF55" s="158" t="str">
        <f t="shared" si="4"/>
        <v>16Y</v>
      </c>
      <c r="AG55" s="134" t="s">
        <v>3958</v>
      </c>
      <c r="AH55" s="70">
        <f>IF(RealTime,_xll.RtGet(RtChannel,$AG55,AH$12),"StaticData")</f>
        <v>1.056238027</v>
      </c>
      <c r="AI55" s="71">
        <f>IF(RealTime,_xll.RtGet(RtChannel,$AG55,AI$12),"StaticData")</f>
        <v>1.056238027</v>
      </c>
      <c r="AJ55" s="435">
        <f>IF(RealTime,AH55,static_data())</f>
        <v>1.056238027</v>
      </c>
      <c r="AK55" s="435">
        <f>IF(RealTime,AI55,static_data())</f>
        <v>1.056238027</v>
      </c>
      <c r="AL55" s="43">
        <f t="shared" si="13"/>
        <v>1.056238027</v>
      </c>
      <c r="AO55" s="137" t="s">
        <v>20</v>
      </c>
      <c r="AP55" s="137">
        <f t="shared" si="5"/>
        <v>4</v>
      </c>
      <c r="AQ55" s="158" t="str">
        <f t="shared" si="6"/>
        <v>20Y</v>
      </c>
      <c r="AR55" s="134" t="str">
        <f>CHOOSE($AP55,AR$3&amp;$AQ55&amp;AS$3,AR$4&amp;strrep(strrep(AQ55,"M",""),"-","X")&amp;AS$4,AR$5&amp;UPPER(FutCode2(AQ55))&amp;AS$5,AR$6&amp;$AQ55&amp;AS$6,"")</f>
        <v>EUR3MSW20Y=</v>
      </c>
      <c r="AS55" s="70">
        <f>IF(RealTime,_xll.RtGet(RtChannel,$AR55,AS$12),"StaticData")</f>
        <v>1.0780000000000001</v>
      </c>
      <c r="AT55" s="70">
        <f>IF(RealTime,_xll.RtGet(RtChannel,$AR55,AT$12),"StaticData")</f>
        <v>1.0780000000000001</v>
      </c>
      <c r="AU55" s="436">
        <f>IF(RealTime,AS55,static_data())</f>
        <v>1.0780000000000001</v>
      </c>
      <c r="AV55" s="435">
        <f>IF(RealTime,AT55,static_data())</f>
        <v>1.0780000000000001</v>
      </c>
      <c r="AW55" s="43">
        <f t="shared" si="7"/>
        <v>1.0780000000000001</v>
      </c>
      <c r="AY55" s="198" t="s">
        <v>35</v>
      </c>
      <c r="AZ55" s="158" t="str">
        <f t="shared" si="8"/>
        <v>17Y</v>
      </c>
      <c r="BA55" s="134" t="s">
        <v>4027</v>
      </c>
      <c r="BB55" s="70">
        <f>IF(RealTime,_xll.RtGet(RtChannel,$BA55,BB$12),"StaticData")</f>
        <v>1.175596181</v>
      </c>
      <c r="BC55" s="71">
        <f>IF(RealTime,_xll.RtGet(RtChannel,$BA55,BC$12),"StaticData")</f>
        <v>1.175596181</v>
      </c>
      <c r="BD55" s="435">
        <f>IF(RealTime,BB55,static_data())</f>
        <v>1.175596181</v>
      </c>
      <c r="BE55" s="435">
        <f>IF(RealTime,BC55,static_data())</f>
        <v>1.175596181</v>
      </c>
      <c r="BF55" s="43">
        <f t="shared" si="9"/>
        <v>1.175596181</v>
      </c>
      <c r="BH55" s="158" t="str">
        <v>26Y</v>
      </c>
      <c r="BI55" s="134" t="str">
        <f t="shared" si="25"/>
        <v>EUR6MSW26Y=</v>
      </c>
      <c r="BJ55" s="70">
        <f>IF(RealTime,_xll.RtGet(RtChannel,$BI55,BJ$12),"StaticData")</f>
        <v>1.1882457980000001</v>
      </c>
      <c r="BK55" s="71">
        <f>IF(RealTime,_xll.RtGet(RtChannel,$BI55,BK$12),"StaticData")</f>
        <v>1.1882457980000001</v>
      </c>
      <c r="BL55" s="435">
        <f>IF(RealTime,BJ55,static_data())</f>
        <v>1.1882457980000001</v>
      </c>
      <c r="BM55" s="435">
        <f>IF(RealTime,BK55,static_data())</f>
        <v>1.1882457980000001</v>
      </c>
      <c r="BN55" s="43">
        <f t="shared" si="10"/>
        <v>1.1882457980000001</v>
      </c>
      <c r="BP55" s="136" t="s">
        <v>19</v>
      </c>
      <c r="BQ55" s="137" t="str">
        <f t="shared" si="14"/>
        <v>15Y</v>
      </c>
      <c r="BR55" s="134" t="str">
        <f t="shared" si="26"/>
        <v>EURONOIS15Y=</v>
      </c>
      <c r="BS55" s="70">
        <f>IF(RealTime,_xll.RtGet(RtChannel,$BR55,BS$12),"StaticData")</f>
        <v>0.82300000000000006</v>
      </c>
      <c r="BT55" s="70">
        <f>IF(RealTime,_xll.RtGet(RtChannel,$BR55,BT$12),"StaticData")</f>
        <v>0.82300000000000006</v>
      </c>
      <c r="BU55" s="436">
        <f>IF(RealTime,BS55,static_data())</f>
        <v>0.82300000000000006</v>
      </c>
      <c r="BV55" s="543">
        <f>IF(RealTime,BT55,static_data())</f>
        <v>0.82300000000000006</v>
      </c>
      <c r="BW55" s="43">
        <f t="shared" si="36"/>
        <v>0.82300000000000006</v>
      </c>
      <c r="BY55" s="198" t="s">
        <v>20</v>
      </c>
      <c r="BZ55" s="137" t="str">
        <f t="shared" si="15"/>
        <v>20Y</v>
      </c>
      <c r="CA55" s="134" t="str">
        <f t="shared" si="28"/>
        <v>EUR1MSW20Y=</v>
      </c>
      <c r="CB55" s="70">
        <f>IF(RealTime,_xll.RtGet(RtChannel,$CA55,CD$12),"StaticData")</f>
        <v>0.99099999999999999</v>
      </c>
      <c r="CC55" s="71">
        <f>IF(RealTime,_xll.RtGet(RtChannel,$CA55,CE$12),"StaticData")</f>
        <v>0.99099999999999999</v>
      </c>
      <c r="CD55" s="435">
        <f>IF(RealTime,CB55,static_data())</f>
        <v>0.99099999999999999</v>
      </c>
      <c r="CE55" s="435">
        <f>IF(RealTime,CC55,static_data())</f>
        <v>0.99099999999999999</v>
      </c>
      <c r="CF55" s="43">
        <f t="shared" si="16"/>
        <v>0.99099999999999999</v>
      </c>
      <c r="CG55" s="47">
        <f>(CF55-'reference set'!BA65)*100</f>
        <v>1.5000000000000013</v>
      </c>
    </row>
    <row r="56" spans="1:85">
      <c r="A56" s="401"/>
      <c r="E56" s="5"/>
      <c r="F56" s="5"/>
      <c r="Q56" s="155" t="s">
        <v>20</v>
      </c>
      <c r="R56" s="102" t="s">
        <v>508</v>
      </c>
      <c r="S56" s="164"/>
      <c r="T56" s="163">
        <f t="shared" si="33"/>
        <v>50003</v>
      </c>
      <c r="U56" s="288" t="b">
        <v>1</v>
      </c>
      <c r="V56" s="284" t="str">
        <v>27Y</v>
      </c>
      <c r="W56" s="137" t="str">
        <v>W</v>
      </c>
      <c r="X56" s="130" t="str">
        <f t="shared" si="0"/>
        <v>W25</v>
      </c>
      <c r="Y56" s="173">
        <f t="shared" si="37"/>
        <v>4</v>
      </c>
      <c r="Z56" s="175" t="str">
        <f t="shared" si="38"/>
        <v>27Y</v>
      </c>
      <c r="AA56" s="163">
        <v>52558</v>
      </c>
      <c r="AB56" s="173" t="str">
        <f t="shared" si="39"/>
        <v>27Y</v>
      </c>
      <c r="AC56" s="335"/>
      <c r="AD56" s="6"/>
      <c r="AE56" s="198" t="s">
        <v>35</v>
      </c>
      <c r="AF56" s="158" t="str">
        <f t="shared" si="4"/>
        <v>17Y</v>
      </c>
      <c r="AG56" s="134" t="s">
        <v>3959</v>
      </c>
      <c r="AH56" s="70">
        <f>IF(RealTime,_xll.RtGet(RtChannel,$AG56,AH$12),"StaticData")</f>
        <v>1.0880167160000001</v>
      </c>
      <c r="AI56" s="71">
        <f>IF(RealTime,_xll.RtGet(RtChannel,$AG56,AI$12),"StaticData")</f>
        <v>1.0880167160000001</v>
      </c>
      <c r="AJ56" s="435">
        <f>IF(RealTime,AH56,static_data())</f>
        <v>1.0880167160000001</v>
      </c>
      <c r="AK56" s="435">
        <f>IF(RealTime,AI56,static_data())</f>
        <v>1.0880167160000001</v>
      </c>
      <c r="AL56" s="43">
        <f t="shared" si="13"/>
        <v>1.0880167160000001</v>
      </c>
      <c r="AO56" s="137" t="s">
        <v>38</v>
      </c>
      <c r="AP56" s="137">
        <f t="shared" si="5"/>
        <v>4</v>
      </c>
      <c r="AQ56" s="158" t="str">
        <f t="shared" si="6"/>
        <v>21Y</v>
      </c>
      <c r="AR56" s="134" t="str">
        <f>CHOOSE($AP56,AR$3&amp;$AQ56&amp;AS$3,AR$4&amp;strrep(strrep(AQ56,"M",""),"-","X")&amp;AS$4,AR$5&amp;UPPER(FutCode2(AQ56))&amp;AS$5,AR$6&amp;$AQ56&amp;AS$6,"")</f>
        <v>EUR3MSW21Y=</v>
      </c>
      <c r="AS56" s="70">
        <f>IF(RealTime,_xll.RtGet(RtChannel,$AR56,AS$12),"StaticData")</f>
        <v>1.0925542560000001</v>
      </c>
      <c r="AT56" s="70">
        <f>IF(RealTime,_xll.RtGet(RtChannel,$AR56,AT$12),"StaticData")</f>
        <v>1.0925542560000001</v>
      </c>
      <c r="AU56" s="436">
        <f>IF(RealTime,AS56,static_data())</f>
        <v>1.0925542560000001</v>
      </c>
      <c r="AV56" s="435">
        <f>IF(RealTime,AT56,static_data())</f>
        <v>1.0925542560000001</v>
      </c>
      <c r="AW56" s="43">
        <f t="shared" si="7"/>
        <v>1.0925542560000001</v>
      </c>
      <c r="AY56" s="198" t="s">
        <v>36</v>
      </c>
      <c r="AZ56" s="158" t="str">
        <f t="shared" si="8"/>
        <v>18Y</v>
      </c>
      <c r="BA56" s="134" t="s">
        <v>4028</v>
      </c>
      <c r="BB56" s="70">
        <f>IF(RealTime,_xll.RtGet(RtChannel,$BA56,BB$12),"StaticData")</f>
        <v>1.1978043700000001</v>
      </c>
      <c r="BC56" s="71">
        <f>IF(RealTime,_xll.RtGet(RtChannel,$BA56,BC$12),"StaticData")</f>
        <v>1.1978043700000001</v>
      </c>
      <c r="BD56" s="435">
        <f>IF(RealTime,BB56,static_data())</f>
        <v>1.1978043700000001</v>
      </c>
      <c r="BE56" s="435">
        <f>IF(RealTime,BC56,static_data())</f>
        <v>1.1978043700000001</v>
      </c>
      <c r="BF56" s="43">
        <f t="shared" si="9"/>
        <v>1.1978043700000001</v>
      </c>
      <c r="BH56" s="158" t="str">
        <v>27Y</v>
      </c>
      <c r="BI56" s="134" t="str">
        <f t="shared" si="25"/>
        <v>EUR6MSW27Y=</v>
      </c>
      <c r="BJ56" s="70">
        <f>IF(RealTime,_xll.RtGet(RtChannel,$BI56,BJ$12),"StaticData")</f>
        <v>1.1909685060000001</v>
      </c>
      <c r="BK56" s="71">
        <f>IF(RealTime,_xll.RtGet(RtChannel,$BI56,BK$12),"StaticData")</f>
        <v>1.1909685060000001</v>
      </c>
      <c r="BL56" s="435">
        <f>IF(RealTime,BJ56,static_data())</f>
        <v>1.1909685060000001</v>
      </c>
      <c r="BM56" s="435">
        <f>IF(RealTime,BK56,static_data())</f>
        <v>1.1909685060000001</v>
      </c>
      <c r="BN56" s="43">
        <f t="shared" si="10"/>
        <v>1.1909685060000001</v>
      </c>
      <c r="BP56" s="136" t="s">
        <v>34</v>
      </c>
      <c r="BQ56" s="137" t="str">
        <f t="shared" si="14"/>
        <v>16Y</v>
      </c>
      <c r="BR56" s="134" t="str">
        <f t="shared" si="26"/>
        <v>EURONOIS16Y=</v>
      </c>
      <c r="BS56" s="70">
        <f>IF(RealTime,_xll.RtGet(RtChannel,$BR56,BS$12),"StaticData")</f>
        <v>0.86908227800000004</v>
      </c>
      <c r="BT56" s="70">
        <f>IF(RealTime,_xll.RtGet(RtChannel,$BR56,BT$12),"StaticData")</f>
        <v>0.86908227800000004</v>
      </c>
      <c r="BU56" s="436">
        <f>IF(RealTime,BS56,static_data())</f>
        <v>0.86908227800000004</v>
      </c>
      <c r="BV56" s="543">
        <f>IF(RealTime,BT56,static_data())</f>
        <v>0.86908227800000004</v>
      </c>
      <c r="BW56" s="43">
        <f t="shared" si="36"/>
        <v>0.86908227800000004</v>
      </c>
      <c r="BY56" s="198" t="s">
        <v>38</v>
      </c>
      <c r="BZ56" s="137" t="str">
        <f t="shared" si="15"/>
        <v>21Y</v>
      </c>
      <c r="CA56" s="134" t="str">
        <f t="shared" si="28"/>
        <v>EUR1MSW21Y=</v>
      </c>
      <c r="CB56" s="70">
        <f>IF(RealTime,_xll.RtGet(RtChannel,$CA56,CD$12),"StaticData")</f>
        <v>1.0075749920000001</v>
      </c>
      <c r="CC56" s="71">
        <f>IF(RealTime,_xll.RtGet(RtChannel,$CA56,CE$12),"StaticData")</f>
        <v>1.0075749920000001</v>
      </c>
      <c r="CD56" s="435">
        <f>IF(RealTime,CB56,static_data())</f>
        <v>1.0075749920000001</v>
      </c>
      <c r="CE56" s="435">
        <f>IF(RealTime,CC56,static_data())</f>
        <v>1.0075749920000001</v>
      </c>
      <c r="CF56" s="43">
        <f t="shared" si="16"/>
        <v>1.0075749920000001</v>
      </c>
      <c r="CG56" s="47">
        <f>(CF56-'reference set'!BA66)*100</f>
        <v>1.5120656000000121</v>
      </c>
    </row>
    <row r="57" spans="1:85">
      <c r="A57" s="401"/>
      <c r="Q57" s="155" t="s">
        <v>38</v>
      </c>
      <c r="R57" s="102" t="s">
        <v>508</v>
      </c>
      <c r="S57" s="164"/>
      <c r="T57" s="163">
        <f t="shared" si="33"/>
        <v>50367</v>
      </c>
      <c r="U57" s="288" t="b">
        <v>1</v>
      </c>
      <c r="V57" s="284" t="str">
        <v>28Y</v>
      </c>
      <c r="W57" s="137" t="str">
        <v>W</v>
      </c>
      <c r="X57" s="130" t="str">
        <f t="shared" si="0"/>
        <v>W26</v>
      </c>
      <c r="Y57" s="173">
        <f t="shared" si="37"/>
        <v>4</v>
      </c>
      <c r="Z57" s="175" t="str">
        <f t="shared" si="38"/>
        <v>28Y</v>
      </c>
      <c r="AA57" s="163">
        <v>52923</v>
      </c>
      <c r="AB57" s="173" t="str">
        <f t="shared" si="39"/>
        <v>28Y</v>
      </c>
      <c r="AC57" s="335"/>
      <c r="AD57" s="6"/>
      <c r="AE57" s="198" t="s">
        <v>36</v>
      </c>
      <c r="AF57" s="158" t="str">
        <f t="shared" si="4"/>
        <v>18Y</v>
      </c>
      <c r="AG57" s="134" t="s">
        <v>3960</v>
      </c>
      <c r="AH57" s="70">
        <f>IF(RealTime,_xll.RtGet(RtChannel,$AG57,AH$12),"StaticData")</f>
        <v>1.113386862</v>
      </c>
      <c r="AI57" s="71">
        <f>IF(RealTime,_xll.RtGet(RtChannel,$AG57,AI$12),"StaticData")</f>
        <v>1.113386862</v>
      </c>
      <c r="AJ57" s="435">
        <f>IF(RealTime,AH57,static_data())</f>
        <v>1.113386862</v>
      </c>
      <c r="AK57" s="435">
        <f>IF(RealTime,AI57,static_data())</f>
        <v>1.113386862</v>
      </c>
      <c r="AL57" s="43">
        <f t="shared" si="13"/>
        <v>1.113386862</v>
      </c>
      <c r="AO57" s="137" t="s">
        <v>39</v>
      </c>
      <c r="AP57" s="137">
        <f t="shared" si="5"/>
        <v>4</v>
      </c>
      <c r="AQ57" s="158" t="str">
        <f t="shared" si="6"/>
        <v>22Y</v>
      </c>
      <c r="AR57" s="134" t="str">
        <f>CHOOSE($AP57,AR$3&amp;$AQ57&amp;AS$3,AR$4&amp;strrep(strrep(AQ57,"M",""),"-","X")&amp;AS$4,AR$5&amp;UPPER(FutCode2(AQ57))&amp;AS$5,AR$6&amp;$AQ57&amp;AS$6,"")</f>
        <v>EUR3MSW22Y=</v>
      </c>
      <c r="AS57" s="70">
        <f>IF(RealTime,_xll.RtGet(RtChannel,$AR57,AS$12),"StaticData")</f>
        <v>1.1039757320000001</v>
      </c>
      <c r="AT57" s="70">
        <f>IF(RealTime,_xll.RtGet(RtChannel,$AR57,AT$12),"StaticData")</f>
        <v>1.1039757320000001</v>
      </c>
      <c r="AU57" s="436">
        <f>IF(RealTime,AS57,static_data())</f>
        <v>1.1039757320000001</v>
      </c>
      <c r="AV57" s="435">
        <f>IF(RealTime,AT57,static_data())</f>
        <v>1.1039757320000001</v>
      </c>
      <c r="AW57" s="43">
        <f t="shared" si="7"/>
        <v>1.1039757320000001</v>
      </c>
      <c r="AY57" s="198" t="s">
        <v>37</v>
      </c>
      <c r="AZ57" s="158" t="str">
        <f t="shared" si="8"/>
        <v>19Y</v>
      </c>
      <c r="BA57" s="134" t="s">
        <v>4029</v>
      </c>
      <c r="BB57" s="70">
        <f>IF(RealTime,_xll.RtGet(RtChannel,$BA57,BB$12),"StaticData")</f>
        <v>1.2148926760000001</v>
      </c>
      <c r="BC57" s="71">
        <f>IF(RealTime,_xll.RtGet(RtChannel,$BA57,BC$12),"StaticData")</f>
        <v>1.2148926760000001</v>
      </c>
      <c r="BD57" s="435">
        <f>IF(RealTime,BB57,static_data())</f>
        <v>1.2148926760000001</v>
      </c>
      <c r="BE57" s="435">
        <f>IF(RealTime,BC57,static_data())</f>
        <v>1.2148926760000001</v>
      </c>
      <c r="BF57" s="43">
        <f t="shared" si="9"/>
        <v>1.2148926760000001</v>
      </c>
      <c r="BH57" s="158" t="str">
        <v>28Y</v>
      </c>
      <c r="BI57" s="134" t="str">
        <f t="shared" si="25"/>
        <v>EUR6MSW28Y=</v>
      </c>
      <c r="BJ57" s="70">
        <f>IF(RealTime,_xll.RtGet(RtChannel,$BI57,BJ$12),"StaticData")</f>
        <v>1.1932717020000001</v>
      </c>
      <c r="BK57" s="71">
        <f>IF(RealTime,_xll.RtGet(RtChannel,$BI57,BK$12),"StaticData")</f>
        <v>1.1932717020000001</v>
      </c>
      <c r="BL57" s="435">
        <f>IF(RealTime,BJ57,static_data())</f>
        <v>1.1932717020000001</v>
      </c>
      <c r="BM57" s="435">
        <f>IF(RealTime,BK57,static_data())</f>
        <v>1.1932717020000001</v>
      </c>
      <c r="BN57" s="43">
        <f t="shared" si="10"/>
        <v>1.1932717020000001</v>
      </c>
      <c r="BP57" s="136" t="s">
        <v>35</v>
      </c>
      <c r="BQ57" s="137" t="str">
        <f t="shared" si="14"/>
        <v>17Y</v>
      </c>
      <c r="BR57" s="134" t="str">
        <f t="shared" si="26"/>
        <v>EURONOIS17Y=</v>
      </c>
      <c r="BS57" s="70">
        <f>IF(RealTime,_xll.RtGet(RtChannel,$BR57,BS$12),"StaticData")</f>
        <v>0.90753701900000006</v>
      </c>
      <c r="BT57" s="70">
        <f>IF(RealTime,_xll.RtGet(RtChannel,$BR57,BT$12),"StaticData")</f>
        <v>0.90753701900000006</v>
      </c>
      <c r="BU57" s="436">
        <f>IF(RealTime,BS57,static_data())</f>
        <v>0.90753701900000006</v>
      </c>
      <c r="BV57" s="543">
        <f>IF(RealTime,BT57,static_data())</f>
        <v>0.90753701900000006</v>
      </c>
      <c r="BW57" s="43">
        <f t="shared" si="36"/>
        <v>0.90753701900000006</v>
      </c>
      <c r="BY57" s="198" t="s">
        <v>39</v>
      </c>
      <c r="BZ57" s="137" t="str">
        <f t="shared" si="15"/>
        <v>22Y</v>
      </c>
      <c r="CA57" s="134" t="str">
        <f t="shared" si="28"/>
        <v>EUR1MSW22Y=</v>
      </c>
      <c r="CB57" s="70">
        <f>IF(RealTime,_xll.RtGet(RtChannel,$CA57,CD$12),"StaticData")</f>
        <v>1.0207472180000001</v>
      </c>
      <c r="CC57" s="71">
        <f>IF(RealTime,_xll.RtGet(RtChannel,$CA57,CE$12),"StaticData")</f>
        <v>1.0207472180000001</v>
      </c>
      <c r="CD57" s="435">
        <f>IF(RealTime,CB57,static_data())</f>
        <v>1.0207472180000001</v>
      </c>
      <c r="CE57" s="435">
        <f>IF(RealTime,CC57,static_data())</f>
        <v>1.0207472180000001</v>
      </c>
      <c r="CF57" s="43">
        <f t="shared" si="16"/>
        <v>1.0207472180000001</v>
      </c>
      <c r="CG57" s="47">
        <f>(CF57-'reference set'!BA67)*100</f>
        <v>1.5117035000000056</v>
      </c>
    </row>
    <row r="58" spans="1:85">
      <c r="A58" s="401"/>
      <c r="Q58" s="155" t="s">
        <v>39</v>
      </c>
      <c r="R58" s="102" t="s">
        <v>508</v>
      </c>
      <c r="S58" s="164"/>
      <c r="T58" s="163">
        <f t="shared" si="33"/>
        <v>50731</v>
      </c>
      <c r="U58" s="288" t="b">
        <v>1</v>
      </c>
      <c r="V58" s="284" t="str">
        <v>29Y</v>
      </c>
      <c r="W58" s="137" t="str">
        <v>W</v>
      </c>
      <c r="X58" s="130" t="str">
        <f t="shared" si="0"/>
        <v>W27</v>
      </c>
      <c r="Y58" s="173">
        <f t="shared" si="37"/>
        <v>4</v>
      </c>
      <c r="Z58" s="175" t="str">
        <f t="shared" si="38"/>
        <v>29Y</v>
      </c>
      <c r="AA58" s="163">
        <v>53288</v>
      </c>
      <c r="AB58" s="173" t="str">
        <f t="shared" si="39"/>
        <v>29Y</v>
      </c>
      <c r="AC58" s="335"/>
      <c r="AD58" s="6"/>
      <c r="AE58" s="198" t="s">
        <v>37</v>
      </c>
      <c r="AF58" s="158" t="str">
        <f t="shared" si="4"/>
        <v>19Y</v>
      </c>
      <c r="AG58" s="134" t="s">
        <v>3961</v>
      </c>
      <c r="AH58" s="70">
        <f>IF(RealTime,_xll.RtGet(RtChannel,$AG58,AH$12),"StaticData")</f>
        <v>1.1333180630000002</v>
      </c>
      <c r="AI58" s="71">
        <f>IF(RealTime,_xll.RtGet(RtChannel,$AG58,AI$12),"StaticData")</f>
        <v>1.1333180630000002</v>
      </c>
      <c r="AJ58" s="435">
        <f>IF(RealTime,AH58,static_data())</f>
        <v>1.1333180630000002</v>
      </c>
      <c r="AK58" s="435">
        <f>IF(RealTime,AI58,static_data())</f>
        <v>1.1333180630000002</v>
      </c>
      <c r="AL58" s="43">
        <f t="shared" si="13"/>
        <v>1.1333180630000002</v>
      </c>
      <c r="AO58" s="137" t="s">
        <v>40</v>
      </c>
      <c r="AP58" s="137">
        <f t="shared" si="5"/>
        <v>4</v>
      </c>
      <c r="AQ58" s="158" t="str">
        <f t="shared" si="6"/>
        <v>23Y</v>
      </c>
      <c r="AR58" s="134" t="str">
        <f>CHOOSE($AP58,AR$3&amp;$AQ58&amp;AS$3,AR$4&amp;strrep(strrep(AQ58,"M",""),"-","X")&amp;AS$4,AR$5&amp;UPPER(FutCode2(AQ58))&amp;AS$5,AR$6&amp;$AQ58&amp;AS$6,"")</f>
        <v>EUR3MSW23Y=</v>
      </c>
      <c r="AS58" s="70">
        <f>IF(RealTime,_xll.RtGet(RtChannel,$AR58,AS$12),"StaticData")</f>
        <v>1.1129306330000002</v>
      </c>
      <c r="AT58" s="70">
        <f>IF(RealTime,_xll.RtGet(RtChannel,$AR58,AT$12),"StaticData")</f>
        <v>1.1129306330000002</v>
      </c>
      <c r="AU58" s="436">
        <f>IF(RealTime,AS58,static_data())</f>
        <v>1.1129306330000002</v>
      </c>
      <c r="AV58" s="435">
        <f>IF(RealTime,AT58,static_data())</f>
        <v>1.1129306330000002</v>
      </c>
      <c r="AW58" s="43">
        <f t="shared" si="7"/>
        <v>1.1129306330000002</v>
      </c>
      <c r="AY58" s="198" t="s">
        <v>20</v>
      </c>
      <c r="AZ58" s="158" t="str">
        <f t="shared" si="8"/>
        <v>20Y</v>
      </c>
      <c r="BA58" s="134" t="s">
        <v>4030</v>
      </c>
      <c r="BB58" s="70">
        <f>IF(RealTime,_xll.RtGet(RtChannel,$BA58,BB$12),"StaticData")</f>
        <v>1.228</v>
      </c>
      <c r="BC58" s="71">
        <f>IF(RealTime,_xll.RtGet(RtChannel,$BA58,BC$12),"StaticData")</f>
        <v>1.228</v>
      </c>
      <c r="BD58" s="435">
        <f>IF(RealTime,BB58,static_data())</f>
        <v>1.228</v>
      </c>
      <c r="BE58" s="435">
        <f>IF(RealTime,BC58,static_data())</f>
        <v>1.228</v>
      </c>
      <c r="BF58" s="43">
        <f t="shared" si="9"/>
        <v>1.228</v>
      </c>
      <c r="BH58" s="158" t="str">
        <v>29Y</v>
      </c>
      <c r="BI58" s="134" t="str">
        <f t="shared" si="25"/>
        <v>EUR6MSW29Y=</v>
      </c>
      <c r="BJ58" s="70">
        <f>IF(RealTime,_xll.RtGet(RtChannel,$BI58,BJ$12),"StaticData")</f>
        <v>1.1949238660000001</v>
      </c>
      <c r="BK58" s="71">
        <f>IF(RealTime,_xll.RtGet(RtChannel,$BI58,BK$12),"StaticData")</f>
        <v>1.1949238660000001</v>
      </c>
      <c r="BL58" s="435">
        <f>IF(RealTime,BJ58,static_data())</f>
        <v>1.1949238660000001</v>
      </c>
      <c r="BM58" s="435">
        <f>IF(RealTime,BK58,static_data())</f>
        <v>1.1949238660000001</v>
      </c>
      <c r="BN58" s="43">
        <f t="shared" si="10"/>
        <v>1.1949238660000001</v>
      </c>
      <c r="BP58" s="136" t="s">
        <v>36</v>
      </c>
      <c r="BQ58" s="137" t="str">
        <f t="shared" si="14"/>
        <v>18Y</v>
      </c>
      <c r="BR58" s="134" t="str">
        <f t="shared" si="26"/>
        <v>EURONOIS18Y=</v>
      </c>
      <c r="BS58" s="70">
        <f>IF(RealTime,_xll.RtGet(RtChannel,$BR58,BS$12),"StaticData")</f>
        <v>0.93919380500000005</v>
      </c>
      <c r="BT58" s="70">
        <f>IF(RealTime,_xll.RtGet(RtChannel,$BR58,BT$12),"StaticData")</f>
        <v>0.93919380500000005</v>
      </c>
      <c r="BU58" s="436">
        <f>IF(RealTime,BS58,static_data())</f>
        <v>0.93919380500000005</v>
      </c>
      <c r="BV58" s="543">
        <f>IF(RealTime,BT58,static_data())</f>
        <v>0.93919380500000005</v>
      </c>
      <c r="BW58" s="43">
        <f t="shared" si="36"/>
        <v>0.93919380500000005</v>
      </c>
      <c r="BY58" s="198" t="s">
        <v>40</v>
      </c>
      <c r="BZ58" s="137" t="str">
        <f t="shared" si="15"/>
        <v>23Y</v>
      </c>
      <c r="CA58" s="134" t="str">
        <f t="shared" si="28"/>
        <v>EUR1MSW23Y=</v>
      </c>
      <c r="CB58" s="70">
        <f>IF(RealTime,_xll.RtGet(RtChannel,$CA58,CD$12),"StaticData")</f>
        <v>1.0312464020000001</v>
      </c>
      <c r="CC58" s="71">
        <f>IF(RealTime,_xll.RtGet(RtChannel,$CA58,CE$12),"StaticData")</f>
        <v>1.0312464020000001</v>
      </c>
      <c r="CD58" s="435">
        <f>IF(RealTime,CB58,static_data())</f>
        <v>1.0312464020000001</v>
      </c>
      <c r="CE58" s="435">
        <f>IF(RealTime,CC58,static_data())</f>
        <v>1.0312464020000001</v>
      </c>
      <c r="CF58" s="43">
        <f t="shared" si="16"/>
        <v>1.0312464020000001</v>
      </c>
      <c r="CG58" s="47">
        <f>(CF58-'reference set'!BA68)*100</f>
        <v>1.5073086000000124</v>
      </c>
    </row>
    <row r="59" spans="1:85">
      <c r="A59" s="401"/>
      <c r="Q59" s="155" t="s">
        <v>40</v>
      </c>
      <c r="R59" s="102" t="s">
        <v>508</v>
      </c>
      <c r="S59" s="164"/>
      <c r="T59" s="163">
        <f t="shared" si="33"/>
        <v>51096</v>
      </c>
      <c r="U59" s="288" t="b">
        <v>1</v>
      </c>
      <c r="V59" s="284" t="str">
        <v>30Y</v>
      </c>
      <c r="W59" s="137" t="str">
        <v>W</v>
      </c>
      <c r="X59" s="130" t="str">
        <f t="shared" si="0"/>
        <v>W28</v>
      </c>
      <c r="Y59" s="173">
        <f t="shared" si="37"/>
        <v>4</v>
      </c>
      <c r="Z59" s="175" t="str">
        <f t="shared" si="38"/>
        <v>30Y</v>
      </c>
      <c r="AA59" s="163">
        <v>53653</v>
      </c>
      <c r="AB59" s="173" t="str">
        <f t="shared" si="39"/>
        <v>30Y</v>
      </c>
      <c r="AC59" s="335"/>
      <c r="AD59" s="6"/>
      <c r="AE59" s="198" t="s">
        <v>20</v>
      </c>
      <c r="AF59" s="158" t="str">
        <f t="shared" si="4"/>
        <v>20Y</v>
      </c>
      <c r="AG59" s="134" t="s">
        <v>3962</v>
      </c>
      <c r="AH59" s="70">
        <f>IF(RealTime,_xll.RtGet(RtChannel,$AG59,AH$12),"StaticData")</f>
        <v>1.149</v>
      </c>
      <c r="AI59" s="71">
        <f>IF(RealTime,_xll.RtGet(RtChannel,$AG59,AI$12),"StaticData")</f>
        <v>1.149</v>
      </c>
      <c r="AJ59" s="435">
        <f>IF(RealTime,AH59,static_data())</f>
        <v>1.149</v>
      </c>
      <c r="AK59" s="435">
        <f>IF(RealTime,AI59,static_data())</f>
        <v>1.149</v>
      </c>
      <c r="AL59" s="43">
        <f t="shared" si="13"/>
        <v>1.149</v>
      </c>
      <c r="AO59" s="137" t="s">
        <v>41</v>
      </c>
      <c r="AP59" s="137">
        <f t="shared" si="5"/>
        <v>4</v>
      </c>
      <c r="AQ59" s="158" t="str">
        <f t="shared" si="6"/>
        <v>24Y</v>
      </c>
      <c r="AR59" s="134" t="str">
        <f>CHOOSE($AP59,AR$3&amp;$AQ59&amp;AS$3,AR$4&amp;strrep(strrep(AQ59,"M",""),"-","X")&amp;AS$4,AR$5&amp;UPPER(FutCode2(AQ59))&amp;AS$5,AR$6&amp;$AQ59&amp;AS$6,"")</f>
        <v>EUR3MSW24Y=</v>
      </c>
      <c r="AS59" s="70">
        <f>IF(RealTime,_xll.RtGet(RtChannel,$AR59,AS$12),"StaticData")</f>
        <v>1.120149227</v>
      </c>
      <c r="AT59" s="70">
        <f>IF(RealTime,_xll.RtGet(RtChannel,$AR59,AT$12),"StaticData")</f>
        <v>1.120149227</v>
      </c>
      <c r="AU59" s="436">
        <f>IF(RealTime,AS59,static_data())</f>
        <v>1.120149227</v>
      </c>
      <c r="AV59" s="435">
        <f>IF(RealTime,AT59,static_data())</f>
        <v>1.120149227</v>
      </c>
      <c r="AW59" s="43">
        <f t="shared" si="7"/>
        <v>1.120149227</v>
      </c>
      <c r="AY59" s="198" t="s">
        <v>38</v>
      </c>
      <c r="AZ59" s="158" t="str">
        <f t="shared" si="8"/>
        <v>21Y</v>
      </c>
      <c r="BA59" s="134" t="s">
        <v>4031</v>
      </c>
      <c r="BB59" s="70">
        <f>IF(RealTime,_xll.RtGet(RtChannel,$BA59,BB$12),"StaticData")</f>
        <v>1.237440104</v>
      </c>
      <c r="BC59" s="71">
        <f>IF(RealTime,_xll.RtGet(RtChannel,$BA59,BC$12),"StaticData")</f>
        <v>1.237440104</v>
      </c>
      <c r="BD59" s="435">
        <f>IF(RealTime,BB59,static_data())</f>
        <v>1.237440104</v>
      </c>
      <c r="BE59" s="435">
        <f>IF(RealTime,BC59,static_data())</f>
        <v>1.237440104</v>
      </c>
      <c r="BF59" s="43">
        <f t="shared" si="9"/>
        <v>1.237440104</v>
      </c>
      <c r="BH59" s="158" t="str">
        <v>30Y</v>
      </c>
      <c r="BI59" s="134" t="str">
        <f t="shared" si="25"/>
        <v>EUR6MSW30Y=</v>
      </c>
      <c r="BJ59" s="70">
        <f>IF(RealTime,_xll.RtGet(RtChannel,$BI59,BJ$12),"StaticData")</f>
        <v>1.196</v>
      </c>
      <c r="BK59" s="71">
        <f>IF(RealTime,_xll.RtGet(RtChannel,$BI59,BK$12),"StaticData")</f>
        <v>1.196</v>
      </c>
      <c r="BL59" s="435">
        <f>IF(RealTime,BJ59,static_data())</f>
        <v>1.196</v>
      </c>
      <c r="BM59" s="435">
        <f>IF(RealTime,BK59,static_data())</f>
        <v>1.196</v>
      </c>
      <c r="BN59" s="43">
        <f t="shared" si="10"/>
        <v>1.196</v>
      </c>
      <c r="BP59" s="136" t="s">
        <v>37</v>
      </c>
      <c r="BQ59" s="137" t="str">
        <f t="shared" si="14"/>
        <v>19Y</v>
      </c>
      <c r="BR59" s="134" t="str">
        <f t="shared" si="26"/>
        <v>EURONOIS19Y=</v>
      </c>
      <c r="BS59" s="70">
        <f>IF(RealTime,_xll.RtGet(RtChannel,$BR59,BS$12),"StaticData")</f>
        <v>0.96499198300000011</v>
      </c>
      <c r="BT59" s="70">
        <f>IF(RealTime,_xll.RtGet(RtChannel,$BR59,BT$12),"StaticData")</f>
        <v>0.96499198300000011</v>
      </c>
      <c r="BU59" s="436">
        <f>IF(RealTime,BS59,static_data())</f>
        <v>0.96499198300000011</v>
      </c>
      <c r="BV59" s="543">
        <f>IF(RealTime,BT59,static_data())</f>
        <v>0.96499198300000011</v>
      </c>
      <c r="BW59" s="43">
        <f t="shared" si="36"/>
        <v>0.96499198300000011</v>
      </c>
      <c r="BY59" s="198" t="s">
        <v>41</v>
      </c>
      <c r="BZ59" s="137" t="str">
        <f t="shared" si="15"/>
        <v>24Y</v>
      </c>
      <c r="CA59" s="134" t="str">
        <f t="shared" si="28"/>
        <v>EUR1MSW24Y=</v>
      </c>
      <c r="CB59" s="70">
        <f>IF(RealTime,_xll.RtGet(RtChannel,$CA59,CD$12),"StaticData")</f>
        <v>1.0398523320000002</v>
      </c>
      <c r="CC59" s="71">
        <f>IF(RealTime,_xll.RtGet(RtChannel,$CA59,CE$12),"StaticData")</f>
        <v>1.0398523320000002</v>
      </c>
      <c r="CD59" s="435">
        <f>IF(RealTime,CB59,static_data())</f>
        <v>1.0398523320000002</v>
      </c>
      <c r="CE59" s="435">
        <f>IF(RealTime,CC59,static_data())</f>
        <v>1.0398523320000002</v>
      </c>
      <c r="CF59" s="43">
        <f t="shared" si="16"/>
        <v>1.0398523320000002</v>
      </c>
      <c r="CG59" s="47">
        <f>(CF59-'reference set'!BA69)*100</f>
        <v>1.4993398000000102</v>
      </c>
    </row>
    <row r="60" spans="1:85">
      <c r="Q60" s="155" t="s">
        <v>41</v>
      </c>
      <c r="R60" s="102" t="s">
        <v>508</v>
      </c>
      <c r="S60" s="164"/>
      <c r="T60" s="163">
        <f t="shared" si="33"/>
        <v>51462</v>
      </c>
      <c r="U60" s="288" t="b">
        <v>1</v>
      </c>
      <c r="V60" s="284" t="str">
        <v>31Y</v>
      </c>
      <c r="W60" s="137" t="str">
        <v>W</v>
      </c>
      <c r="X60" s="130" t="str">
        <f t="shared" si="0"/>
        <v>W29</v>
      </c>
      <c r="Y60" s="173">
        <f t="shared" si="37"/>
        <v>4</v>
      </c>
      <c r="Z60" s="175" t="str">
        <f t="shared" si="38"/>
        <v>31Y</v>
      </c>
      <c r="AA60" s="163">
        <v>54018</v>
      </c>
      <c r="AB60" s="173" t="str">
        <f t="shared" si="39"/>
        <v>31Y</v>
      </c>
      <c r="AC60" s="335"/>
      <c r="AD60" s="6"/>
      <c r="AE60" s="198" t="s">
        <v>38</v>
      </c>
      <c r="AF60" s="158" t="str">
        <f t="shared" si="4"/>
        <v>21Y</v>
      </c>
      <c r="AG60" s="134" t="s">
        <v>3963</v>
      </c>
      <c r="AH60" s="70">
        <f>IF(RealTime,_xll.RtGet(RtChannel,$AG60,AH$12),"StaticData")</f>
        <v>1.160757542</v>
      </c>
      <c r="AI60" s="71">
        <f>IF(RealTime,_xll.RtGet(RtChannel,$AG60,AI$12),"StaticData")</f>
        <v>1.160757542</v>
      </c>
      <c r="AJ60" s="435">
        <f>IF(RealTime,AH60,static_data())</f>
        <v>1.160757542</v>
      </c>
      <c r="AK60" s="435">
        <f>IF(RealTime,AI60,static_data())</f>
        <v>1.160757542</v>
      </c>
      <c r="AL60" s="43">
        <f t="shared" si="13"/>
        <v>1.160757542</v>
      </c>
      <c r="AO60" s="137" t="s">
        <v>21</v>
      </c>
      <c r="AP60" s="137">
        <f t="shared" si="5"/>
        <v>4</v>
      </c>
      <c r="AQ60" s="158" t="str">
        <f t="shared" si="6"/>
        <v>25Y</v>
      </c>
      <c r="AR60" s="134" t="str">
        <f>CHOOSE($AP60,AR$3&amp;$AQ60&amp;AS$3,AR$4&amp;strrep(strrep(AQ60,"M",""),"-","X")&amp;AS$4,AR$5&amp;UPPER(FutCode2(AQ60))&amp;AS$5,AR$6&amp;$AQ60&amp;AS$6,"")</f>
        <v>EUR3MSW25Y=</v>
      </c>
      <c r="AS60" s="70">
        <f>IF(RealTime,_xll.RtGet(RtChannel,$AR60,AS$12),"StaticData")</f>
        <v>1.1260000000000001</v>
      </c>
      <c r="AT60" s="70">
        <f>IF(RealTime,_xll.RtGet(RtChannel,$AR60,AT$12),"StaticData")</f>
        <v>1.1260000000000001</v>
      </c>
      <c r="AU60" s="436">
        <f>IF(RealTime,AS60,static_data())</f>
        <v>1.1260000000000001</v>
      </c>
      <c r="AV60" s="435">
        <f>IF(RealTime,AT60,static_data())</f>
        <v>1.1260000000000001</v>
      </c>
      <c r="AW60" s="43">
        <f t="shared" si="7"/>
        <v>1.1260000000000001</v>
      </c>
      <c r="AY60" s="198" t="s">
        <v>39</v>
      </c>
      <c r="AZ60" s="158" t="str">
        <f t="shared" si="8"/>
        <v>22Y</v>
      </c>
      <c r="BA60" s="134" t="s">
        <v>4032</v>
      </c>
      <c r="BB60" s="70">
        <f>IF(RealTime,_xll.RtGet(RtChannel,$BA60,BB$12),"StaticData")</f>
        <v>1.2441663220000001</v>
      </c>
      <c r="BC60" s="71">
        <f>IF(RealTime,_xll.RtGet(RtChannel,$BA60,BC$12),"StaticData")</f>
        <v>1.2441663220000001</v>
      </c>
      <c r="BD60" s="435">
        <f>IF(RealTime,BB60,static_data())</f>
        <v>1.2441663220000001</v>
      </c>
      <c r="BE60" s="435">
        <f>IF(RealTime,BC60,static_data())</f>
        <v>1.2441663220000001</v>
      </c>
      <c r="BF60" s="43">
        <f t="shared" si="9"/>
        <v>1.2441663220000001</v>
      </c>
      <c r="BH60" s="158" t="str">
        <v>31Y</v>
      </c>
      <c r="BI60" s="134" t="str">
        <f t="shared" si="25"/>
        <v>EUR6MSW31Y=</v>
      </c>
      <c r="BJ60" s="70">
        <f>IF(RealTime,_xll.RtGet(RtChannel,$BI60,BJ$12),"StaticData")</f>
        <v>1.196491172</v>
      </c>
      <c r="BK60" s="71">
        <f>IF(RealTime,_xll.RtGet(RtChannel,$BI60,BK$12),"StaticData")</f>
        <v>1.196491172</v>
      </c>
      <c r="BL60" s="435">
        <f>IF(RealTime,BJ60,static_data())</f>
        <v>1.196491172</v>
      </c>
      <c r="BM60" s="435">
        <f>IF(RealTime,BK60,static_data())</f>
        <v>1.196491172</v>
      </c>
      <c r="BN60" s="43">
        <f t="shared" si="10"/>
        <v>1.196491172</v>
      </c>
      <c r="BP60" s="136" t="s">
        <v>20</v>
      </c>
      <c r="BQ60" s="137" t="str">
        <f t="shared" si="14"/>
        <v>20Y</v>
      </c>
      <c r="BR60" s="134" t="str">
        <f t="shared" si="26"/>
        <v>EURONOIS20Y=</v>
      </c>
      <c r="BS60" s="70">
        <f>IF(RealTime,_xll.RtGet(RtChannel,$BR60,BS$12),"StaticData")</f>
        <v>0.98599999999999999</v>
      </c>
      <c r="BT60" s="70">
        <f>IF(RealTime,_xll.RtGet(RtChannel,$BR60,BT$12),"StaticData")</f>
        <v>0.98599999999999999</v>
      </c>
      <c r="BU60" s="436">
        <f>IF(RealTime,BS60,static_data())</f>
        <v>0.98599999999999999</v>
      </c>
      <c r="BV60" s="543">
        <f>IF(RealTime,BT60,static_data())</f>
        <v>0.98599999999999999</v>
      </c>
      <c r="BW60" s="43">
        <f t="shared" si="36"/>
        <v>0.98599999999999999</v>
      </c>
      <c r="BY60" s="198" t="s">
        <v>21</v>
      </c>
      <c r="BZ60" s="137" t="str">
        <f t="shared" si="15"/>
        <v>25Y</v>
      </c>
      <c r="CA60" s="134" t="str">
        <f t="shared" si="28"/>
        <v>EUR1MSW25Y=</v>
      </c>
      <c r="CB60" s="70">
        <f>IF(RealTime,_xll.RtGet(RtChannel,$CA60,CD$12),"StaticData")</f>
        <v>1.0469999999999999</v>
      </c>
      <c r="CC60" s="71">
        <f>IF(RealTime,_xll.RtGet(RtChannel,$CA60,CE$12),"StaticData")</f>
        <v>1.0469999999999999</v>
      </c>
      <c r="CD60" s="435">
        <f>IF(RealTime,CB60,static_data())</f>
        <v>1.0469999999999999</v>
      </c>
      <c r="CE60" s="435">
        <f>IF(RealTime,CC60,static_data())</f>
        <v>1.0469999999999999</v>
      </c>
      <c r="CF60" s="43">
        <f t="shared" si="16"/>
        <v>1.0469999999999999</v>
      </c>
      <c r="CG60" s="47">
        <f>(CF60-'reference set'!BA70)*100</f>
        <v>1.4999999999999902</v>
      </c>
    </row>
    <row r="61" spans="1:85">
      <c r="Q61" s="155" t="s">
        <v>21</v>
      </c>
      <c r="R61" s="102" t="s">
        <v>508</v>
      </c>
      <c r="S61" s="164"/>
      <c r="T61" s="163">
        <f t="shared" si="33"/>
        <v>51827</v>
      </c>
      <c r="U61" s="288" t="b">
        <v>1</v>
      </c>
      <c r="V61" s="284" t="str">
        <v>32Y</v>
      </c>
      <c r="W61" s="137" t="str">
        <v>W</v>
      </c>
      <c r="X61" s="130" t="str">
        <f t="shared" si="0"/>
        <v>W30</v>
      </c>
      <c r="Y61" s="173">
        <f t="shared" si="37"/>
        <v>4</v>
      </c>
      <c r="Z61" s="175" t="str">
        <f t="shared" si="38"/>
        <v>32Y</v>
      </c>
      <c r="AA61" s="163">
        <v>54385</v>
      </c>
      <c r="AB61" s="173" t="str">
        <f t="shared" si="39"/>
        <v>32Y</v>
      </c>
      <c r="AC61" s="335"/>
      <c r="AD61" s="6"/>
      <c r="AE61" s="198" t="s">
        <v>39</v>
      </c>
      <c r="AF61" s="158" t="str">
        <f t="shared" si="4"/>
        <v>22Y</v>
      </c>
      <c r="AG61" s="134" t="s">
        <v>3964</v>
      </c>
      <c r="AH61" s="70">
        <f>IF(RealTime,_xll.RtGet(RtChannel,$AG61,AH$12),"StaticData")</f>
        <v>1.1696028300000001</v>
      </c>
      <c r="AI61" s="71">
        <f>IF(RealTime,_xll.RtGet(RtChannel,$AG61,AI$12),"StaticData")</f>
        <v>1.1696028300000001</v>
      </c>
      <c r="AJ61" s="435">
        <f>IF(RealTime,AH61,static_data())</f>
        <v>1.1696028300000001</v>
      </c>
      <c r="AK61" s="435">
        <f>IF(RealTime,AI61,static_data())</f>
        <v>1.1696028300000001</v>
      </c>
      <c r="AL61" s="43">
        <f t="shared" si="13"/>
        <v>1.1696028300000001</v>
      </c>
      <c r="AO61" s="137" t="s">
        <v>42</v>
      </c>
      <c r="AP61" s="137">
        <f t="shared" si="5"/>
        <v>4</v>
      </c>
      <c r="AQ61" s="158" t="str">
        <f t="shared" si="6"/>
        <v>26Y</v>
      </c>
      <c r="AR61" s="134" t="str">
        <f>CHOOSE($AP61,AR$3&amp;$AQ61&amp;AS$3,AR$4&amp;strrep(strrep(AQ61,"M",""),"-","X")&amp;AS$4,AR$5&amp;UPPER(FutCode2(AQ61))&amp;AS$5,AR$6&amp;$AQ61&amp;AS$6,"")</f>
        <v>EUR3MSW26Y=</v>
      </c>
      <c r="AS61" s="70">
        <f>IF(RealTime,_xll.RtGet(RtChannel,$AR61,AS$12),"StaticData")</f>
        <v>1.1311609710000001</v>
      </c>
      <c r="AT61" s="70">
        <f>IF(RealTime,_xll.RtGet(RtChannel,$AR61,AT$12),"StaticData")</f>
        <v>1.1311609710000001</v>
      </c>
      <c r="AU61" s="436">
        <f>IF(RealTime,AS61,static_data())</f>
        <v>1.1311609710000001</v>
      </c>
      <c r="AV61" s="435">
        <f>IF(RealTime,AT61,static_data())</f>
        <v>1.1311609710000001</v>
      </c>
      <c r="AW61" s="43">
        <f t="shared" si="7"/>
        <v>1.1311609710000001</v>
      </c>
      <c r="AY61" s="198" t="s">
        <v>40</v>
      </c>
      <c r="AZ61" s="158" t="str">
        <f t="shared" si="8"/>
        <v>23Y</v>
      </c>
      <c r="BA61" s="134" t="s">
        <v>4033</v>
      </c>
      <c r="BB61" s="70">
        <f>IF(RealTime,_xll.RtGet(RtChannel,$BA61,BB$12),"StaticData")</f>
        <v>1.248773637</v>
      </c>
      <c r="BC61" s="71">
        <f>IF(RealTime,_xll.RtGet(RtChannel,$BA61,BC$12),"StaticData")</f>
        <v>1.248773637</v>
      </c>
      <c r="BD61" s="435">
        <f>IF(RealTime,BB61,static_data())</f>
        <v>1.248773637</v>
      </c>
      <c r="BE61" s="435">
        <f>IF(RealTime,BC61,static_data())</f>
        <v>1.248773637</v>
      </c>
      <c r="BF61" s="43">
        <f t="shared" si="9"/>
        <v>1.248773637</v>
      </c>
      <c r="BH61" s="158" t="str">
        <v>32Y</v>
      </c>
      <c r="BI61" s="134" t="str">
        <f t="shared" si="25"/>
        <v>EUR6MSW32Y=</v>
      </c>
      <c r="BJ61" s="70">
        <f>IF(RealTime,_xll.RtGet(RtChannel,$BI61,BJ$12),"StaticData")</f>
        <v>1.1965369160000001</v>
      </c>
      <c r="BK61" s="71">
        <f>IF(RealTime,_xll.RtGet(RtChannel,$BI61,BK$12),"StaticData")</f>
        <v>1.1965369160000001</v>
      </c>
      <c r="BL61" s="435">
        <f>IF(RealTime,BJ61,static_data())</f>
        <v>1.1965369160000001</v>
      </c>
      <c r="BM61" s="435">
        <f>IF(RealTime,BK61,static_data())</f>
        <v>1.1965369160000001</v>
      </c>
      <c r="BN61" s="43">
        <f t="shared" si="10"/>
        <v>1.1965369160000001</v>
      </c>
      <c r="BP61" s="136" t="s">
        <v>38</v>
      </c>
      <c r="BQ61" s="137" t="str">
        <f t="shared" si="14"/>
        <v>21Y</v>
      </c>
      <c r="BR61" s="134" t="str">
        <f t="shared" si="26"/>
        <v>EURONOIS21Y=</v>
      </c>
      <c r="BS61" s="70">
        <f>IF(RealTime,_xll.RtGet(RtChannel,$BR61,BS$12),"StaticData")</f>
        <v>1.0026954190000001</v>
      </c>
      <c r="BT61" s="70">
        <f>IF(RealTime,_xll.RtGet(RtChannel,$BR61,BT$12),"StaticData")</f>
        <v>1.0026954190000001</v>
      </c>
      <c r="BU61" s="436">
        <f>IF(RealTime,BS61,static_data())</f>
        <v>1.0026954190000001</v>
      </c>
      <c r="BV61" s="543">
        <f>IF(RealTime,BT61,static_data())</f>
        <v>1.0026954190000001</v>
      </c>
      <c r="BW61" s="43">
        <f t="shared" si="36"/>
        <v>1.0026954190000001</v>
      </c>
      <c r="BY61" s="198" t="s">
        <v>42</v>
      </c>
      <c r="BZ61" s="137" t="str">
        <f t="shared" si="15"/>
        <v>26Y</v>
      </c>
      <c r="CA61" s="134" t="str">
        <f t="shared" si="28"/>
        <v>EUR1MSW26Y=</v>
      </c>
      <c r="CB61" s="70">
        <f>IF(RealTime,_xll.RtGet(RtChannel,$CA61,CD$12),"StaticData")</f>
        <v>1.0534187500000001</v>
      </c>
      <c r="CC61" s="71">
        <f>IF(RealTime,_xll.RtGet(RtChannel,$CA61,CE$12),"StaticData")</f>
        <v>1.0534187500000001</v>
      </c>
      <c r="CD61" s="435">
        <f>IF(RealTime,CB61,static_data())</f>
        <v>1.0534187500000001</v>
      </c>
      <c r="CE61" s="435">
        <f>IF(RealTime,CC61,static_data())</f>
        <v>1.0534187500000001</v>
      </c>
      <c r="CF61" s="43">
        <f t="shared" si="16"/>
        <v>1.0534187500000001</v>
      </c>
      <c r="CG61" s="47">
        <f>(CF61-'reference set'!BA71)*100</f>
        <v>1.5111948000000153</v>
      </c>
    </row>
    <row r="62" spans="1:85">
      <c r="Q62" s="155" t="s">
        <v>42</v>
      </c>
      <c r="R62" s="102" t="s">
        <v>508</v>
      </c>
      <c r="S62" s="164"/>
      <c r="T62" s="163">
        <f t="shared" si="33"/>
        <v>52194</v>
      </c>
      <c r="U62" s="288" t="b">
        <v>1</v>
      </c>
      <c r="V62" s="284" t="str">
        <v>33Y</v>
      </c>
      <c r="W62" s="137" t="str">
        <v>W</v>
      </c>
      <c r="X62" s="130" t="str">
        <f t="shared" si="0"/>
        <v>W31</v>
      </c>
      <c r="Y62" s="173">
        <f t="shared" si="37"/>
        <v>4</v>
      </c>
      <c r="Z62" s="175" t="str">
        <f t="shared" si="38"/>
        <v>33Y</v>
      </c>
      <c r="AA62" s="163">
        <v>54749</v>
      </c>
      <c r="AB62" s="173" t="str">
        <f t="shared" si="39"/>
        <v>33Y</v>
      </c>
      <c r="AC62" s="335"/>
      <c r="AD62" s="6"/>
      <c r="AE62" s="198" t="s">
        <v>40</v>
      </c>
      <c r="AF62" s="158" t="str">
        <f t="shared" si="4"/>
        <v>23Y</v>
      </c>
      <c r="AG62" s="134" t="s">
        <v>3965</v>
      </c>
      <c r="AH62" s="70">
        <f>IF(RealTime,_xll.RtGet(RtChannel,$AG62,AH$12),"StaticData")</f>
        <v>1.1761748830000001</v>
      </c>
      <c r="AI62" s="71">
        <f>IF(RealTime,_xll.RtGet(RtChannel,$AG62,AI$12),"StaticData")</f>
        <v>1.1761748830000001</v>
      </c>
      <c r="AJ62" s="435">
        <f>IF(RealTime,AH62,static_data())</f>
        <v>1.1761748830000001</v>
      </c>
      <c r="AK62" s="435">
        <f>IF(RealTime,AI62,static_data())</f>
        <v>1.1761748830000001</v>
      </c>
      <c r="AL62" s="43">
        <f t="shared" si="13"/>
        <v>1.1761748830000001</v>
      </c>
      <c r="AO62" s="137" t="s">
        <v>43</v>
      </c>
      <c r="AP62" s="137">
        <f t="shared" si="5"/>
        <v>4</v>
      </c>
      <c r="AQ62" s="158" t="str">
        <f t="shared" si="6"/>
        <v>27Y</v>
      </c>
      <c r="AR62" s="134" t="str">
        <f>CHOOSE($AP62,AR$3&amp;$AQ62&amp;AS$3,AR$4&amp;strrep(strrep(AQ62,"M",""),"-","X")&amp;AS$4,AR$5&amp;UPPER(FutCode2(AQ62))&amp;AS$5,AR$6&amp;$AQ62&amp;AS$6,"")</f>
        <v>EUR3MSW27Y=</v>
      </c>
      <c r="AS62" s="70">
        <f>IF(RealTime,_xll.RtGet(RtChannel,$AR62,AS$12),"StaticData")</f>
        <v>1.135686806</v>
      </c>
      <c r="AT62" s="70">
        <f>IF(RealTime,_xll.RtGet(RtChannel,$AR62,AT$12),"StaticData")</f>
        <v>1.135686806</v>
      </c>
      <c r="AU62" s="436">
        <f>IF(RealTime,AS62,static_data())</f>
        <v>1.135686806</v>
      </c>
      <c r="AV62" s="435">
        <f>IF(RealTime,AT62,static_data())</f>
        <v>1.135686806</v>
      </c>
      <c r="AW62" s="43">
        <f t="shared" si="7"/>
        <v>1.135686806</v>
      </c>
      <c r="AY62" s="198" t="s">
        <v>41</v>
      </c>
      <c r="AZ62" s="158" t="str">
        <f t="shared" si="8"/>
        <v>24Y</v>
      </c>
      <c r="BA62" s="134" t="s">
        <v>4034</v>
      </c>
      <c r="BB62" s="70">
        <f>IF(RealTime,_xll.RtGet(RtChannel,$BA62,BB$12),"StaticData")</f>
        <v>1.251949306</v>
      </c>
      <c r="BC62" s="71">
        <f>IF(RealTime,_xll.RtGet(RtChannel,$BA62,BC$12),"StaticData")</f>
        <v>1.251949306</v>
      </c>
      <c r="BD62" s="435">
        <f>IF(RealTime,BB62,static_data())</f>
        <v>1.251949306</v>
      </c>
      <c r="BE62" s="435">
        <f>IF(RealTime,BC62,static_data())</f>
        <v>1.251949306</v>
      </c>
      <c r="BF62" s="43">
        <f t="shared" si="9"/>
        <v>1.251949306</v>
      </c>
      <c r="BH62" s="158" t="str">
        <v>33Y</v>
      </c>
      <c r="BI62" s="134" t="str">
        <f t="shared" si="25"/>
        <v>EUR6MSW33Y=</v>
      </c>
      <c r="BJ62" s="70">
        <f>IF(RealTime,_xll.RtGet(RtChannel,$BI62,BJ$12),"StaticData")</f>
        <v>1.1960474440000002</v>
      </c>
      <c r="BK62" s="71">
        <f>IF(RealTime,_xll.RtGet(RtChannel,$BI62,BK$12),"StaticData")</f>
        <v>1.1960474440000002</v>
      </c>
      <c r="BL62" s="435">
        <f>IF(RealTime,BJ62,static_data())</f>
        <v>1.1960474440000002</v>
      </c>
      <c r="BM62" s="435">
        <f>IF(RealTime,BK62,static_data())</f>
        <v>1.1960474440000002</v>
      </c>
      <c r="BN62" s="43">
        <f t="shared" si="10"/>
        <v>1.1960474440000002</v>
      </c>
      <c r="BP62" s="136" t="s">
        <v>39</v>
      </c>
      <c r="BQ62" s="137" t="str">
        <f t="shared" si="14"/>
        <v>22Y</v>
      </c>
      <c r="BR62" s="134" t="str">
        <f t="shared" si="26"/>
        <v>EURONOIS22Y=</v>
      </c>
      <c r="BS62" s="70">
        <f>IF(RealTime,_xll.RtGet(RtChannel,$BR62,BS$12),"StaticData")</f>
        <v>1.0160598250000001</v>
      </c>
      <c r="BT62" s="70">
        <f>IF(RealTime,_xll.RtGet(RtChannel,$BR62,BT$12),"StaticData")</f>
        <v>1.0160598250000001</v>
      </c>
      <c r="BU62" s="436">
        <f>IF(RealTime,BS62,static_data())</f>
        <v>1.0160598250000001</v>
      </c>
      <c r="BV62" s="543">
        <f>IF(RealTime,BT62,static_data())</f>
        <v>1.0160598250000001</v>
      </c>
      <c r="BW62" s="43">
        <f t="shared" si="36"/>
        <v>1.0160598250000001</v>
      </c>
      <c r="BY62" s="198" t="s">
        <v>43</v>
      </c>
      <c r="BZ62" s="137" t="str">
        <f t="shared" si="15"/>
        <v>27Y</v>
      </c>
      <c r="CA62" s="134" t="str">
        <f t="shared" si="28"/>
        <v>EUR1MSW27Y=</v>
      </c>
      <c r="CB62" s="70">
        <f>IF(RealTime,_xll.RtGet(RtChannel,$CA62,CD$12),"StaticData")</f>
        <v>1.0591606790000001</v>
      </c>
      <c r="CC62" s="71">
        <f>IF(RealTime,_xll.RtGet(RtChannel,$CA62,CE$12),"StaticData")</f>
        <v>1.0591606790000001</v>
      </c>
      <c r="CD62" s="435">
        <f>IF(RealTime,CB62,static_data())</f>
        <v>1.0591606790000001</v>
      </c>
      <c r="CE62" s="435">
        <f>IF(RealTime,CC62,static_data())</f>
        <v>1.0591606790000001</v>
      </c>
      <c r="CF62" s="43">
        <f t="shared" si="16"/>
        <v>1.0591606790000001</v>
      </c>
      <c r="CG62" s="47">
        <f>(CF62-'reference set'!BA72)*100</f>
        <v>1.525864400000021</v>
      </c>
    </row>
    <row r="63" spans="1:85">
      <c r="Q63" s="155" t="s">
        <v>43</v>
      </c>
      <c r="R63" s="102" t="s">
        <v>508</v>
      </c>
      <c r="S63" s="164"/>
      <c r="T63" s="163">
        <f t="shared" si="33"/>
        <v>52558</v>
      </c>
      <c r="U63" s="288" t="b">
        <v>1</v>
      </c>
      <c r="V63" s="284" t="str">
        <v>34Y</v>
      </c>
      <c r="W63" s="137" t="str">
        <v>W</v>
      </c>
      <c r="X63" s="130" t="str">
        <f t="shared" si="0"/>
        <v>W32</v>
      </c>
      <c r="Y63" s="173">
        <f t="shared" si="37"/>
        <v>4</v>
      </c>
      <c r="Z63" s="175" t="str">
        <f t="shared" si="38"/>
        <v>34Y</v>
      </c>
      <c r="AA63" s="163">
        <v>55114</v>
      </c>
      <c r="AB63" s="173" t="str">
        <f t="shared" si="39"/>
        <v>34Y</v>
      </c>
      <c r="AC63" s="335"/>
      <c r="AD63" s="6"/>
      <c r="AE63" s="198" t="s">
        <v>41</v>
      </c>
      <c r="AF63" s="158" t="str">
        <f t="shared" si="4"/>
        <v>24Y</v>
      </c>
      <c r="AG63" s="134" t="s">
        <v>3966</v>
      </c>
      <c r="AH63" s="70">
        <f>IF(RealTime,_xll.RtGet(RtChannel,$AG63,AH$12),"StaticData")</f>
        <v>1.1811911370000001</v>
      </c>
      <c r="AI63" s="71">
        <f>IF(RealTime,_xll.RtGet(RtChannel,$AG63,AI$12),"StaticData")</f>
        <v>1.1811911370000001</v>
      </c>
      <c r="AJ63" s="435">
        <f>IF(RealTime,AH63,static_data())</f>
        <v>1.1811911370000001</v>
      </c>
      <c r="AK63" s="435">
        <f>IF(RealTime,AI63,static_data())</f>
        <v>1.1811911370000001</v>
      </c>
      <c r="AL63" s="43">
        <f t="shared" si="13"/>
        <v>1.1811911370000001</v>
      </c>
      <c r="AO63" s="137" t="s">
        <v>44</v>
      </c>
      <c r="AP63" s="137">
        <f t="shared" si="5"/>
        <v>4</v>
      </c>
      <c r="AQ63" s="158" t="str">
        <f t="shared" si="6"/>
        <v>28Y</v>
      </c>
      <c r="AR63" s="134" t="str">
        <f>CHOOSE($AP63,AR$3&amp;$AQ63&amp;AS$3,AR$4&amp;strrep(strrep(AQ63,"M",""),"-","X")&amp;AS$4,AR$5&amp;UPPER(FutCode2(AQ63))&amp;AS$5,AR$6&amp;$AQ63&amp;AS$6,"")</f>
        <v>EUR3MSW28Y=</v>
      </c>
      <c r="AS63" s="70">
        <f>IF(RealTime,_xll.RtGet(RtChannel,$AR63,AS$12),"StaticData")</f>
        <v>1.1397416300000001</v>
      </c>
      <c r="AT63" s="70">
        <f>IF(RealTime,_xll.RtGet(RtChannel,$AR63,AT$12),"StaticData")</f>
        <v>1.1397416300000001</v>
      </c>
      <c r="AU63" s="436">
        <f>IF(RealTime,AS63,static_data())</f>
        <v>1.1397416300000001</v>
      </c>
      <c r="AV63" s="435">
        <f>IF(RealTime,AT63,static_data())</f>
        <v>1.1397416300000001</v>
      </c>
      <c r="AW63" s="43">
        <f t="shared" si="7"/>
        <v>1.1397416300000001</v>
      </c>
      <c r="AY63" s="198" t="s">
        <v>21</v>
      </c>
      <c r="AZ63" s="158" t="str">
        <f t="shared" si="8"/>
        <v>25Y</v>
      </c>
      <c r="BA63" s="134" t="s">
        <v>4035</v>
      </c>
      <c r="BB63" s="70">
        <f>IF(RealTime,_xll.RtGet(RtChannel,$BA63,BB$12),"StaticData")</f>
        <v>1.254</v>
      </c>
      <c r="BC63" s="71">
        <f>IF(RealTime,_xll.RtGet(RtChannel,$BA63,BC$12),"StaticData")</f>
        <v>1.254</v>
      </c>
      <c r="BD63" s="435">
        <f>IF(RealTime,BB63,static_data())</f>
        <v>1.254</v>
      </c>
      <c r="BE63" s="435">
        <f>IF(RealTime,BC63,static_data())</f>
        <v>1.254</v>
      </c>
      <c r="BF63" s="43">
        <f t="shared" si="9"/>
        <v>1.254</v>
      </c>
      <c r="BH63" s="158" t="str">
        <v>34Y</v>
      </c>
      <c r="BI63" s="134" t="str">
        <f t="shared" si="25"/>
        <v>EUR6MSW34Y=</v>
      </c>
      <c r="BJ63" s="70">
        <f>IF(RealTime,_xll.RtGet(RtChannel,$BI63,BJ$12),"StaticData")</f>
        <v>1.1951774399999999</v>
      </c>
      <c r="BK63" s="71">
        <f>IF(RealTime,_xll.RtGet(RtChannel,$BI63,BK$12),"StaticData")</f>
        <v>1.1951774399999999</v>
      </c>
      <c r="BL63" s="435">
        <f>IF(RealTime,BJ63,static_data())</f>
        <v>1.1951774399999999</v>
      </c>
      <c r="BM63" s="435">
        <f>IF(RealTime,BK63,static_data())</f>
        <v>1.1951774399999999</v>
      </c>
      <c r="BN63" s="43">
        <f t="shared" si="10"/>
        <v>1.1951774399999999</v>
      </c>
      <c r="BP63" s="136" t="s">
        <v>40</v>
      </c>
      <c r="BQ63" s="137" t="str">
        <f t="shared" si="14"/>
        <v>23Y</v>
      </c>
      <c r="BR63" s="134" t="str">
        <f t="shared" si="26"/>
        <v>EURONOIS23Y=</v>
      </c>
      <c r="BS63" s="70">
        <f>IF(RealTime,_xll.RtGet(RtChannel,$BR63,BS$12),"StaticData")</f>
        <v>1.0268020600000001</v>
      </c>
      <c r="BT63" s="70">
        <f>IF(RealTime,_xll.RtGet(RtChannel,$BR63,BT$12),"StaticData")</f>
        <v>1.0268020600000001</v>
      </c>
      <c r="BU63" s="436">
        <f>IF(RealTime,BS63,static_data())</f>
        <v>1.0268020600000001</v>
      </c>
      <c r="BV63" s="543">
        <f>IF(RealTime,BT63,static_data())</f>
        <v>1.0268020600000001</v>
      </c>
      <c r="BW63" s="43">
        <f t="shared" si="36"/>
        <v>1.0268020600000001</v>
      </c>
      <c r="BY63" s="198" t="s">
        <v>44</v>
      </c>
      <c r="BZ63" s="137" t="str">
        <f t="shared" si="15"/>
        <v>28Y</v>
      </c>
      <c r="CA63" s="134" t="str">
        <f t="shared" si="28"/>
        <v>EUR1MSW28Y=</v>
      </c>
      <c r="CB63" s="70">
        <f>IF(RealTime,_xll.RtGet(RtChannel,$CA63,CD$12),"StaticData")</f>
        <v>1.0644036780000001</v>
      </c>
      <c r="CC63" s="71">
        <f>IF(RealTime,_xll.RtGet(RtChannel,$CA63,CE$12),"StaticData")</f>
        <v>1.0644036780000001</v>
      </c>
      <c r="CD63" s="435">
        <f>IF(RealTime,CB63,static_data())</f>
        <v>1.0644036780000001</v>
      </c>
      <c r="CE63" s="435">
        <f>IF(RealTime,CC63,static_data())</f>
        <v>1.0644036780000001</v>
      </c>
      <c r="CF63" s="43">
        <f t="shared" si="16"/>
        <v>1.0644036780000001</v>
      </c>
      <c r="CG63" s="47">
        <f>(CF63-'reference set'!BA73)*100</f>
        <v>1.5470835000000127</v>
      </c>
    </row>
    <row r="64" spans="1:85">
      <c r="Q64" s="155" t="s">
        <v>44</v>
      </c>
      <c r="R64" s="102" t="s">
        <v>508</v>
      </c>
      <c r="S64" s="164"/>
      <c r="T64" s="163">
        <f t="shared" si="33"/>
        <v>52923</v>
      </c>
      <c r="U64" s="288" t="b">
        <v>1</v>
      </c>
      <c r="V64" s="284" t="str">
        <v>35Y</v>
      </c>
      <c r="W64" s="137" t="str">
        <v>W</v>
      </c>
      <c r="X64" s="130" t="str">
        <f t="shared" si="0"/>
        <v>W33</v>
      </c>
      <c r="Y64" s="173">
        <f t="shared" si="37"/>
        <v>4</v>
      </c>
      <c r="Z64" s="175" t="str">
        <f t="shared" si="38"/>
        <v>35Y</v>
      </c>
      <c r="AA64" s="163">
        <v>55479</v>
      </c>
      <c r="AB64" s="173" t="str">
        <f t="shared" si="39"/>
        <v>35Y</v>
      </c>
      <c r="AC64" s="335"/>
      <c r="AD64" s="6"/>
      <c r="AE64" s="198" t="s">
        <v>21</v>
      </c>
      <c r="AF64" s="158" t="str">
        <f t="shared" si="4"/>
        <v>25Y</v>
      </c>
      <c r="AG64" s="134" t="s">
        <v>3967</v>
      </c>
      <c r="AH64" s="70">
        <f>IF(RealTime,_xll.RtGet(RtChannel,$AG64,AH$12),"StaticData")</f>
        <v>1.1850000000000001</v>
      </c>
      <c r="AI64" s="71">
        <f>IF(RealTime,_xll.RtGet(RtChannel,$AG64,AI$12),"StaticData")</f>
        <v>1.1850000000000001</v>
      </c>
      <c r="AJ64" s="435">
        <f>IF(RealTime,AH64,static_data())</f>
        <v>1.1850000000000001</v>
      </c>
      <c r="AK64" s="435">
        <f>IF(RealTime,AI64,static_data())</f>
        <v>1.1850000000000001</v>
      </c>
      <c r="AL64" s="43">
        <f t="shared" si="13"/>
        <v>1.1850000000000001</v>
      </c>
      <c r="AO64" s="137" t="s">
        <v>45</v>
      </c>
      <c r="AP64" s="137">
        <f t="shared" si="5"/>
        <v>4</v>
      </c>
      <c r="AQ64" s="158" t="str">
        <f t="shared" si="6"/>
        <v>29Y</v>
      </c>
      <c r="AR64" s="134" t="str">
        <f>CHOOSE($AP64,AR$3&amp;$AQ64&amp;AS$3,AR$4&amp;strrep(strrep(AQ64,"M",""),"-","X")&amp;AS$4,AR$5&amp;UPPER(FutCode2(AQ64))&amp;AS$5,AR$6&amp;$AQ64&amp;AS$6,"")</f>
        <v>EUR3MSW29Y=</v>
      </c>
      <c r="AS64" s="70">
        <f>IF(RealTime,_xll.RtGet(RtChannel,$AR64,AS$12),"StaticData")</f>
        <v>1.143141545</v>
      </c>
      <c r="AT64" s="70">
        <f>IF(RealTime,_xll.RtGet(RtChannel,$AR64,AT$12),"StaticData")</f>
        <v>1.143141545</v>
      </c>
      <c r="AU64" s="436">
        <f>IF(RealTime,AS64,static_data())</f>
        <v>1.143141545</v>
      </c>
      <c r="AV64" s="435">
        <f>IF(RealTime,AT64,static_data())</f>
        <v>1.143141545</v>
      </c>
      <c r="AW64" s="43">
        <f t="shared" si="7"/>
        <v>1.143141545</v>
      </c>
      <c r="AY64" s="198" t="s">
        <v>42</v>
      </c>
      <c r="AZ64" s="158" t="str">
        <f t="shared" si="8"/>
        <v>26Y</v>
      </c>
      <c r="BA64" s="134" t="s">
        <v>4036</v>
      </c>
      <c r="BB64" s="70">
        <f>IF(RealTime,_xll.RtGet(RtChannel,$BA64,BB$12),"StaticData")</f>
        <v>1.2555407980000002</v>
      </c>
      <c r="BC64" s="71">
        <f>IF(RealTime,_xll.RtGet(RtChannel,$BA64,BC$12),"StaticData")</f>
        <v>1.2555407980000002</v>
      </c>
      <c r="BD64" s="435">
        <f>IF(RealTime,BB64,static_data())</f>
        <v>1.2555407980000002</v>
      </c>
      <c r="BE64" s="435">
        <f>IF(RealTime,BC64,static_data())</f>
        <v>1.2555407980000002</v>
      </c>
      <c r="BF64" s="43">
        <f t="shared" si="9"/>
        <v>1.2555407980000002</v>
      </c>
      <c r="BH64" s="158" t="str">
        <v>35Y</v>
      </c>
      <c r="BI64" s="134" t="str">
        <f t="shared" si="25"/>
        <v>EUR6MSW35Y=</v>
      </c>
      <c r="BJ64" s="70">
        <f>IF(RealTime,_xll.RtGet(RtChannel,$BI64,BJ$12),"StaticData")</f>
        <v>1.194</v>
      </c>
      <c r="BK64" s="71">
        <f>IF(RealTime,_xll.RtGet(RtChannel,$BI64,BK$12),"StaticData")</f>
        <v>1.194</v>
      </c>
      <c r="BL64" s="435">
        <f>IF(RealTime,BJ64,static_data())</f>
        <v>1.194</v>
      </c>
      <c r="BM64" s="435">
        <f>IF(RealTime,BK64,static_data())</f>
        <v>1.194</v>
      </c>
      <c r="BN64" s="43">
        <f t="shared" si="10"/>
        <v>1.194</v>
      </c>
      <c r="BP64" s="136" t="s">
        <v>41</v>
      </c>
      <c r="BQ64" s="137" t="str">
        <f t="shared" si="14"/>
        <v>24Y</v>
      </c>
      <c r="BR64" s="134" t="str">
        <f t="shared" si="26"/>
        <v>EURONOIS24Y=</v>
      </c>
      <c r="BS64" s="70">
        <f>IF(RealTime,_xll.RtGet(RtChannel,$BR64,BS$12),"StaticData")</f>
        <v>1.035577118</v>
      </c>
      <c r="BT64" s="70">
        <f>IF(RealTime,_xll.RtGet(RtChannel,$BR64,BT$12),"StaticData")</f>
        <v>1.035577118</v>
      </c>
      <c r="BU64" s="436">
        <f>IF(RealTime,BS64,static_data())</f>
        <v>1.035577118</v>
      </c>
      <c r="BV64" s="543">
        <f>IF(RealTime,BT64,static_data())</f>
        <v>1.035577118</v>
      </c>
      <c r="BW64" s="43">
        <f t="shared" si="36"/>
        <v>1.035577118</v>
      </c>
      <c r="BY64" s="198" t="s">
        <v>45</v>
      </c>
      <c r="BZ64" s="137" t="str">
        <f t="shared" si="15"/>
        <v>29Y</v>
      </c>
      <c r="CA64" s="134" t="str">
        <f t="shared" si="28"/>
        <v>EUR1MSW29Y=</v>
      </c>
      <c r="CB64" s="70">
        <f>IF(RealTime,_xll.RtGet(RtChannel,$CA64,CD$12),"StaticData")</f>
        <v>1.068979127</v>
      </c>
      <c r="CC64" s="71">
        <f>IF(RealTime,_xll.RtGet(RtChannel,$CA64,CE$12),"StaticData")</f>
        <v>1.068979127</v>
      </c>
      <c r="CD64" s="435">
        <f>IF(RealTime,CB64,static_data())</f>
        <v>1.068979127</v>
      </c>
      <c r="CE64" s="435">
        <f>IF(RealTime,CC64,static_data())</f>
        <v>1.068979127</v>
      </c>
      <c r="CF64" s="43">
        <f t="shared" si="16"/>
        <v>1.068979127</v>
      </c>
      <c r="CG64" s="47">
        <f>(CF64-'reference set'!BA74)*100</f>
        <v>1.5712084000000015</v>
      </c>
    </row>
    <row r="65" spans="17:85">
      <c r="Q65" s="155" t="s">
        <v>45</v>
      </c>
      <c r="R65" s="102" t="s">
        <v>508</v>
      </c>
      <c r="S65" s="164"/>
      <c r="T65" s="163">
        <f t="shared" si="33"/>
        <v>53288</v>
      </c>
      <c r="U65" s="288" t="b">
        <v>1</v>
      </c>
      <c r="V65" s="284" t="str">
        <v>36Y</v>
      </c>
      <c r="W65" s="137" t="str">
        <v>W</v>
      </c>
      <c r="X65" s="130" t="str">
        <f t="shared" si="0"/>
        <v>W34</v>
      </c>
      <c r="Y65" s="173">
        <f t="shared" si="37"/>
        <v>4</v>
      </c>
      <c r="Z65" s="175" t="str">
        <f t="shared" si="38"/>
        <v>36Y</v>
      </c>
      <c r="AA65" s="163">
        <v>55845</v>
      </c>
      <c r="AB65" s="173" t="str">
        <f t="shared" si="39"/>
        <v>36Y</v>
      </c>
      <c r="AC65" s="335"/>
      <c r="AD65" s="6"/>
      <c r="AE65" s="198" t="s">
        <v>42</v>
      </c>
      <c r="AF65" s="158" t="str">
        <f t="shared" si="4"/>
        <v>26Y</v>
      </c>
      <c r="AG65" s="134" t="s">
        <v>3968</v>
      </c>
      <c r="AH65" s="70">
        <f>IF(RealTime,_xll.RtGet(RtChannel,$AG65,AH$12),"StaticData")</f>
        <v>1.1882457980000001</v>
      </c>
      <c r="AI65" s="71">
        <f>IF(RealTime,_xll.RtGet(RtChannel,$AG65,AI$12),"StaticData")</f>
        <v>1.1882457980000001</v>
      </c>
      <c r="AJ65" s="435">
        <f>IF(RealTime,AH65,static_data())</f>
        <v>1.1882457980000001</v>
      </c>
      <c r="AK65" s="435">
        <f>IF(RealTime,AI65,static_data())</f>
        <v>1.1882457980000001</v>
      </c>
      <c r="AL65" s="43">
        <f t="shared" si="13"/>
        <v>1.1882457980000001</v>
      </c>
      <c r="AO65" s="137" t="s">
        <v>22</v>
      </c>
      <c r="AP65" s="137">
        <f t="shared" si="5"/>
        <v>4</v>
      </c>
      <c r="AQ65" s="158" t="str">
        <f t="shared" si="6"/>
        <v>30Y</v>
      </c>
      <c r="AR65" s="134" t="str">
        <f>CHOOSE($AP65,AR$3&amp;$AQ65&amp;AS$3,AR$4&amp;strrep(strrep(AQ65,"M",""),"-","X")&amp;AS$4,AR$5&amp;UPPER(FutCode2(AQ65))&amp;AS$5,AR$6&amp;$AQ65&amp;AS$6,"")</f>
        <v>EUR3MSW30Y=</v>
      </c>
      <c r="AS65" s="70">
        <f>IF(RealTime,_xll.RtGet(RtChannel,$AR65,AS$12),"StaticData")</f>
        <v>1.1460000000000001</v>
      </c>
      <c r="AT65" s="70">
        <f>IF(RealTime,_xll.RtGet(RtChannel,$AR65,AT$12),"StaticData")</f>
        <v>1.1460000000000001</v>
      </c>
      <c r="AU65" s="436">
        <f>IF(RealTime,AS65,static_data())</f>
        <v>1.1460000000000001</v>
      </c>
      <c r="AV65" s="435">
        <f>IF(RealTime,AT65,static_data())</f>
        <v>1.1460000000000001</v>
      </c>
      <c r="AW65" s="43">
        <f t="shared" si="7"/>
        <v>1.1460000000000001</v>
      </c>
      <c r="AY65" s="198" t="s">
        <v>43</v>
      </c>
      <c r="AZ65" s="158" t="str">
        <f t="shared" si="8"/>
        <v>27Y</v>
      </c>
      <c r="BA65" s="134" t="s">
        <v>4037</v>
      </c>
      <c r="BB65" s="70">
        <f>IF(RealTime,_xll.RtGet(RtChannel,$BA65,BB$12),"StaticData")</f>
        <v>1.256670749</v>
      </c>
      <c r="BC65" s="71">
        <f>IF(RealTime,_xll.RtGet(RtChannel,$BA65,BC$12),"StaticData")</f>
        <v>1.256670749</v>
      </c>
      <c r="BD65" s="435">
        <f>IF(RealTime,BB65,static_data())</f>
        <v>1.256670749</v>
      </c>
      <c r="BE65" s="435">
        <f>IF(RealTime,BC65,static_data())</f>
        <v>1.256670749</v>
      </c>
      <c r="BF65" s="43">
        <f t="shared" si="9"/>
        <v>1.256670749</v>
      </c>
      <c r="BH65" s="158" t="str">
        <v>36Y</v>
      </c>
      <c r="BI65" s="134" t="str">
        <f t="shared" si="25"/>
        <v>EUR6MSW36Y=</v>
      </c>
      <c r="BJ65" s="70">
        <f>IF(RealTime,_xll.RtGet(RtChannel,$BI65,BJ$12),"StaticData")</f>
        <v>1.1926288540000001</v>
      </c>
      <c r="BK65" s="71">
        <f>IF(RealTime,_xll.RtGet(RtChannel,$BI65,BK$12),"StaticData")</f>
        <v>1.1926288540000001</v>
      </c>
      <c r="BL65" s="435">
        <f>IF(RealTime,BJ65,static_data())</f>
        <v>1.1926288540000001</v>
      </c>
      <c r="BM65" s="435">
        <f>IF(RealTime,BK65,static_data())</f>
        <v>1.1926288540000001</v>
      </c>
      <c r="BN65" s="43">
        <f t="shared" si="10"/>
        <v>1.1926288540000001</v>
      </c>
      <c r="BP65" s="136" t="s">
        <v>21</v>
      </c>
      <c r="BQ65" s="137" t="str">
        <f t="shared" si="14"/>
        <v>25Y</v>
      </c>
      <c r="BR65" s="134" t="str">
        <f t="shared" si="26"/>
        <v>EURONOIS25Y=</v>
      </c>
      <c r="BS65" s="70">
        <f>IF(RealTime,_xll.RtGet(RtChannel,$BR65,BS$12),"StaticData")</f>
        <v>1.0429999999999999</v>
      </c>
      <c r="BT65" s="70">
        <f>IF(RealTime,_xll.RtGet(RtChannel,$BR65,BT$12),"StaticData")</f>
        <v>1.0429999999999999</v>
      </c>
      <c r="BU65" s="436">
        <f>IF(RealTime,BS65,static_data())</f>
        <v>1.0429999999999999</v>
      </c>
      <c r="BV65" s="543">
        <f>IF(RealTime,BT65,static_data())</f>
        <v>1.0429999999999999</v>
      </c>
      <c r="BW65" s="43">
        <f t="shared" si="36"/>
        <v>1.0429999999999999</v>
      </c>
      <c r="BY65" s="198" t="s">
        <v>22</v>
      </c>
      <c r="BZ65" s="137" t="str">
        <f t="shared" si="15"/>
        <v>30Y</v>
      </c>
      <c r="CA65" s="134" t="str">
        <f t="shared" si="28"/>
        <v>EUR1MSW30Y=</v>
      </c>
      <c r="CB65" s="70">
        <f>IF(RealTime,_xll.RtGet(RtChannel,$CA65,CD$12),"StaticData")</f>
        <v>1.073</v>
      </c>
      <c r="CC65" s="71">
        <f>IF(RealTime,_xll.RtGet(RtChannel,$CA65,CE$12),"StaticData")</f>
        <v>1.073</v>
      </c>
      <c r="CD65" s="435">
        <f>IF(RealTime,CB65,static_data())</f>
        <v>1.073</v>
      </c>
      <c r="CE65" s="435">
        <f>IF(RealTime,CC65,static_data())</f>
        <v>1.073</v>
      </c>
      <c r="CF65" s="43">
        <f t="shared" si="16"/>
        <v>1.073</v>
      </c>
      <c r="CG65" s="47">
        <f>(CF65-'reference set'!BA75)*100</f>
        <v>1.6000000000000014</v>
      </c>
    </row>
    <row r="66" spans="17:85">
      <c r="Q66" s="155" t="s">
        <v>22</v>
      </c>
      <c r="R66" s="102" t="s">
        <v>508</v>
      </c>
      <c r="S66" s="164"/>
      <c r="T66" s="163">
        <f t="shared" si="33"/>
        <v>53653</v>
      </c>
      <c r="U66" s="288" t="b">
        <v>1</v>
      </c>
      <c r="V66" s="284" t="str">
        <v>37Y</v>
      </c>
      <c r="W66" s="137" t="str">
        <v>W</v>
      </c>
      <c r="X66" s="130" t="str">
        <f t="shared" si="0"/>
        <v>W35</v>
      </c>
      <c r="Y66" s="173">
        <f t="shared" si="37"/>
        <v>4</v>
      </c>
      <c r="Z66" s="175" t="str">
        <f t="shared" si="38"/>
        <v>37Y</v>
      </c>
      <c r="AA66" s="163">
        <v>56212</v>
      </c>
      <c r="AB66" s="173" t="str">
        <f t="shared" si="39"/>
        <v>37Y</v>
      </c>
      <c r="AC66" s="335"/>
      <c r="AD66" s="6"/>
      <c r="AE66" s="198" t="s">
        <v>43</v>
      </c>
      <c r="AF66" s="158" t="str">
        <f t="shared" si="4"/>
        <v>27Y</v>
      </c>
      <c r="AG66" s="134" t="s">
        <v>3969</v>
      </c>
      <c r="AH66" s="70">
        <f>IF(RealTime,_xll.RtGet(RtChannel,$AG66,AH$12),"StaticData")</f>
        <v>1.1909685060000001</v>
      </c>
      <c r="AI66" s="71">
        <f>IF(RealTime,_xll.RtGet(RtChannel,$AG66,AI$12),"StaticData")</f>
        <v>1.1909685060000001</v>
      </c>
      <c r="AJ66" s="435">
        <f>IF(RealTime,AH66,static_data())</f>
        <v>1.1909685060000001</v>
      </c>
      <c r="AK66" s="435">
        <f>IF(RealTime,AI66,static_data())</f>
        <v>1.1909685060000001</v>
      </c>
      <c r="AL66" s="43">
        <f t="shared" si="13"/>
        <v>1.1909685060000001</v>
      </c>
      <c r="AO66" s="137" t="s">
        <v>163</v>
      </c>
      <c r="AP66" s="137">
        <f t="shared" si="5"/>
        <v>4</v>
      </c>
      <c r="AQ66" s="158" t="str">
        <f t="shared" si="6"/>
        <v>31Y</v>
      </c>
      <c r="AR66" s="134" t="str">
        <f>CHOOSE($AP66,AR$3&amp;$AQ66&amp;AS$3,AR$4&amp;strrep(strrep(AQ66,"M",""),"-","X")&amp;AS$4,AR$5&amp;UPPER(FutCode2(AQ66))&amp;AS$5,AR$6&amp;$AQ66&amp;AS$6,"")</f>
        <v>EUR3MSW31Y=</v>
      </c>
      <c r="AS66" s="70">
        <f>IF(RealTime,_xll.RtGet(RtChannel,$AR66,AS$12),"StaticData")</f>
        <v>1.1483292</v>
      </c>
      <c r="AT66" s="70">
        <f>IF(RealTime,_xll.RtGet(RtChannel,$AR66,AT$12),"StaticData")</f>
        <v>1.1483292</v>
      </c>
      <c r="AU66" s="436">
        <f>IF(RealTime,AS66,static_data())</f>
        <v>1.1483292</v>
      </c>
      <c r="AV66" s="435">
        <f>IF(RealTime,AT66,static_data())</f>
        <v>1.1483292</v>
      </c>
      <c r="AW66" s="43">
        <f t="shared" si="7"/>
        <v>1.1483292</v>
      </c>
      <c r="AY66" s="198" t="s">
        <v>44</v>
      </c>
      <c r="AZ66" s="158" t="str">
        <f t="shared" si="8"/>
        <v>28Y</v>
      </c>
      <c r="BA66" s="134" t="s">
        <v>4038</v>
      </c>
      <c r="BB66" s="70">
        <f>IF(RealTime,_xll.RtGet(RtChannel,$BA66,BB$12),"StaticData")</f>
        <v>1.2575300580000002</v>
      </c>
      <c r="BC66" s="71">
        <f>IF(RealTime,_xll.RtGet(RtChannel,$BA66,BC$12),"StaticData")</f>
        <v>1.2575300580000002</v>
      </c>
      <c r="BD66" s="435">
        <f>IF(RealTime,BB66,static_data())</f>
        <v>1.2575300580000002</v>
      </c>
      <c r="BE66" s="435">
        <f>IF(RealTime,BC66,static_data())</f>
        <v>1.2575300580000002</v>
      </c>
      <c r="BF66" s="43">
        <f t="shared" si="9"/>
        <v>1.2575300580000002</v>
      </c>
      <c r="BH66" s="158" t="str">
        <v>37Y</v>
      </c>
      <c r="BI66" s="134" t="str">
        <f t="shared" si="25"/>
        <v>EUR6MSW37Y=</v>
      </c>
      <c r="BJ66" s="70">
        <f>IF(RealTime,_xll.RtGet(RtChannel,$BI66,BJ$12),"StaticData")</f>
        <v>1.190861108</v>
      </c>
      <c r="BK66" s="71">
        <f>IF(RealTime,_xll.RtGet(RtChannel,$BI66,BK$12),"StaticData")</f>
        <v>1.190861108</v>
      </c>
      <c r="BL66" s="435">
        <f>IF(RealTime,BJ66,static_data())</f>
        <v>1.190861108</v>
      </c>
      <c r="BM66" s="435">
        <f>IF(RealTime,BK66,static_data())</f>
        <v>1.190861108</v>
      </c>
      <c r="BN66" s="43">
        <f t="shared" si="10"/>
        <v>1.190861108</v>
      </c>
      <c r="BP66" s="136" t="s">
        <v>42</v>
      </c>
      <c r="BQ66" s="137" t="str">
        <f t="shared" si="14"/>
        <v>26Y</v>
      </c>
      <c r="BR66" s="134" t="str">
        <f t="shared" si="26"/>
        <v>EURONOIS26Y=</v>
      </c>
      <c r="BS66" s="70">
        <f>IF(RealTime,_xll.RtGet(RtChannel,$BR66,BS$12),"StaticData")</f>
        <v>1.0496823399999999</v>
      </c>
      <c r="BT66" s="70">
        <f>IF(RealTime,_xll.RtGet(RtChannel,$BR66,BT$12),"StaticData")</f>
        <v>1.0496823399999999</v>
      </c>
      <c r="BU66" s="436">
        <f>IF(RealTime,BS66,static_data())</f>
        <v>1.0496823399999999</v>
      </c>
      <c r="BV66" s="543">
        <f>IF(RealTime,BT66,static_data())</f>
        <v>1.0496823399999999</v>
      </c>
      <c r="BW66" s="43">
        <f t="shared" si="36"/>
        <v>1.0496823399999999</v>
      </c>
      <c r="BY66" s="198" t="s">
        <v>163</v>
      </c>
      <c r="BZ66" s="137" t="str">
        <f t="shared" si="15"/>
        <v>31Y</v>
      </c>
      <c r="CA66" s="134" t="str">
        <f t="shared" si="28"/>
        <v>EUR1MSW31Y=</v>
      </c>
      <c r="CB66" s="70">
        <f>IF(RealTime,_xll.RtGet(RtChannel,$CA66,CD$12),"StaticData")</f>
        <v>1.076482202</v>
      </c>
      <c r="CC66" s="71">
        <f>IF(RealTime,_xll.RtGet(RtChannel,$CA66,CE$12),"StaticData")</f>
        <v>1.076482202</v>
      </c>
      <c r="CD66" s="435">
        <f>IF(RealTime,CB66,static_data())</f>
        <v>1.076482202</v>
      </c>
      <c r="CE66" s="435">
        <f>IF(RealTime,CC66,static_data())</f>
        <v>1.076482202</v>
      </c>
      <c r="CF66" s="43">
        <f t="shared" si="16"/>
        <v>1.076482202</v>
      </c>
      <c r="CG66" s="47">
        <f>(CF66-'reference set'!BA76)*100</f>
        <v>1.6279686000000071</v>
      </c>
    </row>
    <row r="67" spans="17:85">
      <c r="Q67" s="155" t="s">
        <v>163</v>
      </c>
      <c r="R67" s="102" t="s">
        <v>508</v>
      </c>
      <c r="S67" s="164"/>
      <c r="T67" s="163">
        <f t="shared" si="33"/>
        <v>54018</v>
      </c>
      <c r="U67" s="288" t="b">
        <v>1</v>
      </c>
      <c r="V67" s="284" t="str">
        <v>38Y</v>
      </c>
      <c r="W67" s="137" t="str">
        <v>W</v>
      </c>
      <c r="X67" s="130" t="str">
        <f t="shared" si="0"/>
        <v>W36</v>
      </c>
      <c r="Y67" s="173">
        <f t="shared" si="37"/>
        <v>4</v>
      </c>
      <c r="Z67" s="175" t="str">
        <f t="shared" si="38"/>
        <v>38Y</v>
      </c>
      <c r="AA67" s="163">
        <v>56576</v>
      </c>
      <c r="AB67" s="173" t="str">
        <f t="shared" si="39"/>
        <v>38Y</v>
      </c>
      <c r="AC67" s="335"/>
      <c r="AD67" s="6"/>
      <c r="AE67" s="198" t="s">
        <v>44</v>
      </c>
      <c r="AF67" s="158" t="str">
        <f t="shared" si="4"/>
        <v>28Y</v>
      </c>
      <c r="AG67" s="134" t="s">
        <v>3970</v>
      </c>
      <c r="AH67" s="70">
        <f>IF(RealTime,_xll.RtGet(RtChannel,$AG67,AH$12),"StaticData")</f>
        <v>1.1932717020000001</v>
      </c>
      <c r="AI67" s="71">
        <f>IF(RealTime,_xll.RtGet(RtChannel,$AG67,AI$12),"StaticData")</f>
        <v>1.1932717020000001</v>
      </c>
      <c r="AJ67" s="435">
        <f>IF(RealTime,AH67,static_data())</f>
        <v>1.1932717020000001</v>
      </c>
      <c r="AK67" s="435">
        <f>IF(RealTime,AI67,static_data())</f>
        <v>1.1932717020000001</v>
      </c>
      <c r="AL67" s="43">
        <f t="shared" si="13"/>
        <v>1.1932717020000001</v>
      </c>
      <c r="AO67" s="137" t="s">
        <v>164</v>
      </c>
      <c r="AP67" s="137">
        <f t="shared" si="5"/>
        <v>4</v>
      </c>
      <c r="AQ67" s="158" t="str">
        <f t="shared" si="6"/>
        <v>32Y</v>
      </c>
      <c r="AR67" s="134" t="str">
        <f>CHOOSE($AP67,AR$3&amp;$AQ67&amp;AS$3,AR$4&amp;strrep(strrep(AQ67,"M",""),"-","X")&amp;AS$4,AR$5&amp;UPPER(FutCode2(AQ67))&amp;AS$5,AR$6&amp;$AQ67&amp;AS$6,"")</f>
        <v>EUR3MSW32Y=</v>
      </c>
      <c r="AS67" s="70">
        <f>IF(RealTime,_xll.RtGet(RtChannel,$AR67,AS$12),"StaticData")</f>
        <v>1.150210776</v>
      </c>
      <c r="AT67" s="70">
        <f>IF(RealTime,_xll.RtGet(RtChannel,$AR67,AT$12),"StaticData")</f>
        <v>1.150210776</v>
      </c>
      <c r="AU67" s="436">
        <f>IF(RealTime,AS67,static_data())</f>
        <v>1.150210776</v>
      </c>
      <c r="AV67" s="435">
        <f>IF(RealTime,AT67,static_data())</f>
        <v>1.150210776</v>
      </c>
      <c r="AW67" s="43">
        <f t="shared" si="7"/>
        <v>1.150210776</v>
      </c>
      <c r="AY67" s="198" t="s">
        <v>45</v>
      </c>
      <c r="AZ67" s="158" t="str">
        <f t="shared" si="8"/>
        <v>29Y</v>
      </c>
      <c r="BA67" s="134" t="s">
        <v>4039</v>
      </c>
      <c r="BB67" s="70">
        <f>IF(RealTime,_xll.RtGet(RtChannel,$BA67,BB$12),"StaticData")</f>
        <v>1.2579301230000002</v>
      </c>
      <c r="BC67" s="71">
        <f>IF(RealTime,_xll.RtGet(RtChannel,$BA67,BC$12),"StaticData")</f>
        <v>1.2579301230000002</v>
      </c>
      <c r="BD67" s="435">
        <f>IF(RealTime,BB67,static_data())</f>
        <v>1.2579301230000002</v>
      </c>
      <c r="BE67" s="435">
        <f>IF(RealTime,BC67,static_data())</f>
        <v>1.2579301230000002</v>
      </c>
      <c r="BF67" s="43">
        <f t="shared" si="9"/>
        <v>1.2579301230000002</v>
      </c>
      <c r="BH67" s="158" t="str">
        <v>38Y</v>
      </c>
      <c r="BI67" s="134" t="str">
        <f t="shared" si="25"/>
        <v>EUR6MSW38Y=</v>
      </c>
      <c r="BJ67" s="70">
        <f>IF(RealTime,_xll.RtGet(RtChannel,$BI67,BJ$12),"StaticData")</f>
        <v>1.188718108</v>
      </c>
      <c r="BK67" s="71">
        <f>IF(RealTime,_xll.RtGet(RtChannel,$BI67,BK$12),"StaticData")</f>
        <v>1.188718108</v>
      </c>
      <c r="BL67" s="435">
        <f>IF(RealTime,BJ67,static_data())</f>
        <v>1.188718108</v>
      </c>
      <c r="BM67" s="435">
        <f>IF(RealTime,BK67,static_data())</f>
        <v>1.188718108</v>
      </c>
      <c r="BN67" s="43">
        <f t="shared" si="10"/>
        <v>1.188718108</v>
      </c>
      <c r="BP67" s="136" t="s">
        <v>43</v>
      </c>
      <c r="BQ67" s="137" t="str">
        <f t="shared" si="14"/>
        <v>27Y</v>
      </c>
      <c r="BR67" s="134" t="str">
        <f t="shared" si="26"/>
        <v>EURONOIS27Y=</v>
      </c>
      <c r="BS67" s="70">
        <f>IF(RealTime,_xll.RtGet(RtChannel,$BR67,BS$12),"StaticData")</f>
        <v>1.0556614720000002</v>
      </c>
      <c r="BT67" s="70">
        <f>IF(RealTime,_xll.RtGet(RtChannel,$BR67,BT$12),"StaticData")</f>
        <v>1.0556614720000002</v>
      </c>
      <c r="BU67" s="436">
        <f>IF(RealTime,BS67,static_data())</f>
        <v>1.0556614720000002</v>
      </c>
      <c r="BV67" s="543">
        <f>IF(RealTime,BT67,static_data())</f>
        <v>1.0556614720000002</v>
      </c>
      <c r="BW67" s="43">
        <f t="shared" si="36"/>
        <v>1.0556614720000002</v>
      </c>
      <c r="BY67" s="198" t="s">
        <v>164</v>
      </c>
      <c r="BZ67" s="137" t="str">
        <f t="shared" si="15"/>
        <v>32Y</v>
      </c>
      <c r="CA67" s="134" t="str">
        <f t="shared" si="28"/>
        <v>EUR1MSW32Y=</v>
      </c>
      <c r="CB67" s="70">
        <f>IF(RealTime,_xll.RtGet(RtChannel,$CA67,CD$12),"StaticData")</f>
        <v>1.079503425</v>
      </c>
      <c r="CC67" s="71">
        <f>IF(RealTime,_xll.RtGet(RtChannel,$CA67,CE$12),"StaticData")</f>
        <v>1.079503425</v>
      </c>
      <c r="CD67" s="435">
        <f>IF(RealTime,CB67,static_data())</f>
        <v>1.079503425</v>
      </c>
      <c r="CE67" s="435">
        <f>IF(RealTime,CC67,static_data())</f>
        <v>1.079503425</v>
      </c>
      <c r="CF67" s="43">
        <f t="shared" si="16"/>
        <v>1.079503425</v>
      </c>
      <c r="CG67" s="47">
        <f>(CF67-'reference set'!BA77)*100</f>
        <v>1.6547883999999957</v>
      </c>
    </row>
    <row r="68" spans="17:85">
      <c r="Q68" s="155" t="s">
        <v>164</v>
      </c>
      <c r="R68" s="102" t="s">
        <v>508</v>
      </c>
      <c r="S68" s="164"/>
      <c r="T68" s="163">
        <f t="shared" si="33"/>
        <v>54385</v>
      </c>
      <c r="U68" s="288" t="b">
        <v>1</v>
      </c>
      <c r="V68" s="284" t="str">
        <v>39Y</v>
      </c>
      <c r="W68" s="137" t="str">
        <v>W</v>
      </c>
      <c r="X68" s="130" t="str">
        <f t="shared" si="0"/>
        <v>W37</v>
      </c>
      <c r="Y68" s="173">
        <f t="shared" si="37"/>
        <v>4</v>
      </c>
      <c r="Z68" s="175" t="str">
        <f t="shared" si="38"/>
        <v>39Y</v>
      </c>
      <c r="AA68" s="163">
        <v>56940</v>
      </c>
      <c r="AB68" s="173" t="str">
        <f t="shared" si="39"/>
        <v>39Y</v>
      </c>
      <c r="AC68" s="335"/>
      <c r="AD68" s="6"/>
      <c r="AE68" s="198" t="s">
        <v>45</v>
      </c>
      <c r="AF68" s="158" t="str">
        <f t="shared" si="4"/>
        <v>29Y</v>
      </c>
      <c r="AG68" s="134" t="s">
        <v>3971</v>
      </c>
      <c r="AH68" s="70">
        <f>IF(RealTime,_xll.RtGet(RtChannel,$AG68,AH$12),"StaticData")</f>
        <v>1.1949238660000001</v>
      </c>
      <c r="AI68" s="71">
        <f>IF(RealTime,_xll.RtGet(RtChannel,$AG68,AI$12),"StaticData")</f>
        <v>1.1949238660000001</v>
      </c>
      <c r="AJ68" s="435">
        <f>IF(RealTime,AH68,static_data())</f>
        <v>1.1949238660000001</v>
      </c>
      <c r="AK68" s="435">
        <f>IF(RealTime,AI68,static_data())</f>
        <v>1.1949238660000001</v>
      </c>
      <c r="AL68" s="43">
        <f t="shared" si="13"/>
        <v>1.1949238660000001</v>
      </c>
      <c r="AO68" s="137" t="s">
        <v>165</v>
      </c>
      <c r="AP68" s="137">
        <f t="shared" si="5"/>
        <v>4</v>
      </c>
      <c r="AQ68" s="158" t="str">
        <f t="shared" si="6"/>
        <v>33Y</v>
      </c>
      <c r="AR68" s="134" t="str">
        <f>CHOOSE($AP68,AR$3&amp;$AQ68&amp;AS$3,AR$4&amp;strrep(strrep(AQ68,"M",""),"-","X")&amp;AS$4,AR$5&amp;UPPER(FutCode2(AQ68))&amp;AS$5,AR$6&amp;$AQ68&amp;AS$6,"")</f>
        <v>EUR3MSW33Y=</v>
      </c>
      <c r="AS68" s="70">
        <f>IF(RealTime,_xll.RtGet(RtChannel,$AR68,AS$12),"StaticData")</f>
        <v>1.1514514530000002</v>
      </c>
      <c r="AT68" s="70">
        <f>IF(RealTime,_xll.RtGet(RtChannel,$AR68,AT$12),"StaticData")</f>
        <v>1.1514514530000002</v>
      </c>
      <c r="AU68" s="436">
        <f>IF(RealTime,AS68,static_data())</f>
        <v>1.1514514530000002</v>
      </c>
      <c r="AV68" s="435">
        <f>IF(RealTime,AT68,static_data())</f>
        <v>1.1514514530000002</v>
      </c>
      <c r="AW68" s="43">
        <f t="shared" si="7"/>
        <v>1.1514514530000002</v>
      </c>
      <c r="AY68" s="198" t="s">
        <v>22</v>
      </c>
      <c r="AZ68" s="158" t="str">
        <f t="shared" si="8"/>
        <v>30Y</v>
      </c>
      <c r="BA68" s="134" t="s">
        <v>4040</v>
      </c>
      <c r="BB68" s="70">
        <f>IF(RealTime,_xll.RtGet(RtChannel,$BA68,BB$12),"StaticData")</f>
        <v>1.258</v>
      </c>
      <c r="BC68" s="71">
        <f>IF(RealTime,_xll.RtGet(RtChannel,$BA68,BC$12),"StaticData")</f>
        <v>1.258</v>
      </c>
      <c r="BD68" s="435">
        <f>IF(RealTime,BB68,static_data())</f>
        <v>1.258</v>
      </c>
      <c r="BE68" s="435">
        <f>IF(RealTime,BC68,static_data())</f>
        <v>1.258</v>
      </c>
      <c r="BF68" s="43">
        <f t="shared" si="9"/>
        <v>1.258</v>
      </c>
      <c r="BH68" s="158" t="str">
        <v>39Y</v>
      </c>
      <c r="BI68" s="134" t="str">
        <f t="shared" si="25"/>
        <v>EUR6MSW39Y=</v>
      </c>
      <c r="BJ68" s="70">
        <f>IF(RealTime,_xll.RtGet(RtChannel,$BI68,BJ$12),"StaticData")</f>
        <v>1.1861086190000001</v>
      </c>
      <c r="BK68" s="71">
        <f>IF(RealTime,_xll.RtGet(RtChannel,$BI68,BK$12),"StaticData")</f>
        <v>1.1861086190000001</v>
      </c>
      <c r="BL68" s="435">
        <f>IF(RealTime,BJ68,static_data())</f>
        <v>1.1861086190000001</v>
      </c>
      <c r="BM68" s="435">
        <f>IF(RealTime,BK68,static_data())</f>
        <v>1.1861086190000001</v>
      </c>
      <c r="BN68" s="43">
        <f t="shared" si="10"/>
        <v>1.1861086190000001</v>
      </c>
      <c r="BP68" s="136" t="s">
        <v>44</v>
      </c>
      <c r="BQ68" s="137" t="str">
        <f t="shared" si="14"/>
        <v>28Y</v>
      </c>
      <c r="BR68" s="134" t="str">
        <f t="shared" si="26"/>
        <v>EURONOIS28Y=</v>
      </c>
      <c r="BS68" s="70">
        <f>IF(RealTime,_xll.RtGet(RtChannel,$BR68,BS$12),"StaticData")</f>
        <v>1.06103456</v>
      </c>
      <c r="BT68" s="70">
        <f>IF(RealTime,_xll.RtGet(RtChannel,$BR68,BT$12),"StaticData")</f>
        <v>1.06103456</v>
      </c>
      <c r="BU68" s="436">
        <f>IF(RealTime,BS68,static_data())</f>
        <v>1.06103456</v>
      </c>
      <c r="BV68" s="543">
        <f>IF(RealTime,BT68,static_data())</f>
        <v>1.06103456</v>
      </c>
      <c r="BW68" s="43">
        <f t="shared" si="36"/>
        <v>1.06103456</v>
      </c>
      <c r="BY68" s="198" t="s">
        <v>165</v>
      </c>
      <c r="BZ68" s="137" t="str">
        <f t="shared" si="15"/>
        <v>33Y</v>
      </c>
      <c r="CA68" s="134" t="str">
        <f t="shared" si="28"/>
        <v>EUR1MSW33Y=</v>
      </c>
      <c r="CB68" s="70">
        <f>IF(RealTime,_xll.RtGet(RtChannel,$CA68,CD$12),"StaticData")</f>
        <v>1.081857415</v>
      </c>
      <c r="CC68" s="71">
        <f>IF(RealTime,_xll.RtGet(RtChannel,$CA68,CE$12),"StaticData")</f>
        <v>1.081857415</v>
      </c>
      <c r="CD68" s="435">
        <f>IF(RealTime,CB68,static_data())</f>
        <v>1.081857415</v>
      </c>
      <c r="CE68" s="435">
        <f>IF(RealTime,CC68,static_data())</f>
        <v>1.081857415</v>
      </c>
      <c r="CF68" s="43">
        <f t="shared" si="16"/>
        <v>1.081857415</v>
      </c>
      <c r="CG68" s="47">
        <f>(CF68-'reference set'!BA78)*100</f>
        <v>1.6788274999999908</v>
      </c>
    </row>
    <row r="69" spans="17:85">
      <c r="Q69" s="155" t="s">
        <v>165</v>
      </c>
      <c r="R69" s="102" t="s">
        <v>508</v>
      </c>
      <c r="S69" s="164"/>
      <c r="T69" s="163">
        <f t="shared" si="33"/>
        <v>54749</v>
      </c>
      <c r="U69" s="288" t="b">
        <v>1</v>
      </c>
      <c r="V69" s="284" t="str">
        <v>40Y</v>
      </c>
      <c r="W69" s="137" t="str">
        <v>W</v>
      </c>
      <c r="X69" s="130" t="str">
        <f t="shared" si="0"/>
        <v>W38</v>
      </c>
      <c r="Y69" s="173">
        <f t="shared" si="37"/>
        <v>4</v>
      </c>
      <c r="Z69" s="175" t="str">
        <f t="shared" si="38"/>
        <v>40Y</v>
      </c>
      <c r="AA69" s="163">
        <v>57306</v>
      </c>
      <c r="AB69" s="173" t="str">
        <f t="shared" si="39"/>
        <v>40Y</v>
      </c>
      <c r="AC69" s="335"/>
      <c r="AD69" s="6"/>
      <c r="AE69" s="198" t="s">
        <v>22</v>
      </c>
      <c r="AF69" s="158" t="str">
        <f t="shared" si="4"/>
        <v>30Y</v>
      </c>
      <c r="AG69" s="134" t="s">
        <v>3972</v>
      </c>
      <c r="AH69" s="70">
        <f>IF(RealTime,_xll.RtGet(RtChannel,$AG69,AH$12),"StaticData")</f>
        <v>1.196</v>
      </c>
      <c r="AI69" s="71">
        <f>IF(RealTime,_xll.RtGet(RtChannel,$AG69,AI$12),"StaticData")</f>
        <v>1.196</v>
      </c>
      <c r="AJ69" s="435">
        <f>IF(RealTime,AH69,static_data())</f>
        <v>1.196</v>
      </c>
      <c r="AK69" s="435">
        <f>IF(RealTime,AI69,static_data())</f>
        <v>1.196</v>
      </c>
      <c r="AL69" s="43">
        <f t="shared" si="13"/>
        <v>1.196</v>
      </c>
      <c r="AO69" s="137" t="s">
        <v>166</v>
      </c>
      <c r="AP69" s="137">
        <f t="shared" si="5"/>
        <v>4</v>
      </c>
      <c r="AQ69" s="158" t="str">
        <f t="shared" si="6"/>
        <v>34Y</v>
      </c>
      <c r="AR69" s="134" t="str">
        <f>CHOOSE($AP69,AR$3&amp;$AQ69&amp;AS$3,AR$4&amp;strrep(strrep(AQ69,"M",""),"-","X")&amp;AS$4,AR$5&amp;UPPER(FutCode2(AQ69))&amp;AS$5,AR$6&amp;$AQ69&amp;AS$6,"")</f>
        <v>EUR3MSW34Y=</v>
      </c>
      <c r="AS69" s="70">
        <f>IF(RealTime,_xll.RtGet(RtChannel,$AR69,AS$12),"StaticData")</f>
        <v>1.152138345</v>
      </c>
      <c r="AT69" s="70">
        <f>IF(RealTime,_xll.RtGet(RtChannel,$AR69,AT$12),"StaticData")</f>
        <v>1.152138345</v>
      </c>
      <c r="AU69" s="436">
        <f>IF(RealTime,AS69,static_data())</f>
        <v>1.152138345</v>
      </c>
      <c r="AV69" s="435">
        <f>IF(RealTime,AT69,static_data())</f>
        <v>1.152138345</v>
      </c>
      <c r="AW69" s="43">
        <f t="shared" si="7"/>
        <v>1.152138345</v>
      </c>
      <c r="AY69" s="198" t="s">
        <v>163</v>
      </c>
      <c r="AZ69" s="158" t="str">
        <f t="shared" si="8"/>
        <v>31Y</v>
      </c>
      <c r="BA69" s="134" t="s">
        <v>4041</v>
      </c>
      <c r="BB69" s="70">
        <f>IF(RealTime,_xll.RtGet(RtChannel,$BA69,BB$12),"StaticData")</f>
        <v>1.2577532</v>
      </c>
      <c r="BC69" s="71">
        <f>IF(RealTime,_xll.RtGet(RtChannel,$BA69,BC$12),"StaticData")</f>
        <v>1.2577532</v>
      </c>
      <c r="BD69" s="435">
        <f>IF(RealTime,BB69,static_data())</f>
        <v>1.2577532</v>
      </c>
      <c r="BE69" s="435">
        <f>IF(RealTime,BC69,static_data())</f>
        <v>1.2577532</v>
      </c>
      <c r="BF69" s="43">
        <f t="shared" si="9"/>
        <v>1.2577532</v>
      </c>
      <c r="BH69" s="158" t="str">
        <v>40Y</v>
      </c>
      <c r="BI69" s="134" t="str">
        <f t="shared" si="25"/>
        <v>EUR6MSW40Y=</v>
      </c>
      <c r="BJ69" s="70">
        <f>IF(RealTime,_xll.RtGet(RtChannel,$BI69,BJ$12),"StaticData")</f>
        <v>1.1830000000000001</v>
      </c>
      <c r="BK69" s="71">
        <f>IF(RealTime,_xll.RtGet(RtChannel,$BI69,BK$12),"StaticData")</f>
        <v>1.1830000000000001</v>
      </c>
      <c r="BL69" s="435">
        <f>IF(RealTime,BJ69,static_data())</f>
        <v>1.1830000000000001</v>
      </c>
      <c r="BM69" s="435">
        <f>IF(RealTime,BK69,static_data())</f>
        <v>1.1830000000000001</v>
      </c>
      <c r="BN69" s="43">
        <f t="shared" si="10"/>
        <v>1.1830000000000001</v>
      </c>
      <c r="BP69" s="136" t="s">
        <v>45</v>
      </c>
      <c r="BQ69" s="137" t="str">
        <f t="shared" si="14"/>
        <v>29Y</v>
      </c>
      <c r="BR69" s="134" t="str">
        <f t="shared" si="26"/>
        <v>EURONOIS29Y=</v>
      </c>
      <c r="BS69" s="70">
        <f>IF(RealTime,_xll.RtGet(RtChannel,$BR69,BS$12),"StaticData")</f>
        <v>1.065806679</v>
      </c>
      <c r="BT69" s="70">
        <f>IF(RealTime,_xll.RtGet(RtChannel,$BR69,BT$12),"StaticData")</f>
        <v>1.065806679</v>
      </c>
      <c r="BU69" s="436">
        <f>IF(RealTime,BS69,static_data())</f>
        <v>1.065806679</v>
      </c>
      <c r="BV69" s="543">
        <f>IF(RealTime,BT69,static_data())</f>
        <v>1.065806679</v>
      </c>
      <c r="BW69" s="43">
        <f t="shared" si="36"/>
        <v>1.065806679</v>
      </c>
      <c r="BY69" s="198" t="s">
        <v>166</v>
      </c>
      <c r="BZ69" s="137" t="str">
        <f t="shared" si="15"/>
        <v>34Y</v>
      </c>
      <c r="CA69" s="134" t="str">
        <f t="shared" si="28"/>
        <v>EUR1MSW34Y=</v>
      </c>
      <c r="CB69" s="70">
        <f>IF(RealTime,_xll.RtGet(RtChannel,$CA69,CD$12),"StaticData")</f>
        <v>1.083631403</v>
      </c>
      <c r="CC69" s="71">
        <f>IF(RealTime,_xll.RtGet(RtChannel,$CA69,CE$12),"StaticData")</f>
        <v>1.083631403</v>
      </c>
      <c r="CD69" s="435">
        <f>IF(RealTime,CB69,static_data())</f>
        <v>1.083631403</v>
      </c>
      <c r="CE69" s="435">
        <f>IF(RealTime,CC69,static_data())</f>
        <v>1.083631403</v>
      </c>
      <c r="CF69" s="43">
        <f t="shared" si="16"/>
        <v>1.083631403</v>
      </c>
      <c r="CG69" s="47">
        <f>(CF69-'reference set'!BA79)*100</f>
        <v>1.7020374999999976</v>
      </c>
    </row>
    <row r="70" spans="17:85">
      <c r="Q70" s="155" t="s">
        <v>166</v>
      </c>
      <c r="R70" s="102" t="s">
        <v>508</v>
      </c>
      <c r="S70" s="164"/>
      <c r="T70" s="163">
        <f t="shared" si="33"/>
        <v>55114</v>
      </c>
      <c r="U70" s="288" t="b">
        <v>1</v>
      </c>
      <c r="V70" s="284" t="str">
        <v>50Y</v>
      </c>
      <c r="W70" s="137" t="str">
        <v>W</v>
      </c>
      <c r="X70" s="130" t="str">
        <f t="shared" si="0"/>
        <v>W39</v>
      </c>
      <c r="Y70" s="173">
        <f t="shared" si="37"/>
        <v>4</v>
      </c>
      <c r="Z70" s="175" t="str">
        <f t="shared" si="38"/>
        <v>50Y</v>
      </c>
      <c r="AA70" s="163">
        <v>60958</v>
      </c>
      <c r="AB70" s="173" t="str">
        <f t="shared" si="39"/>
        <v>50Y</v>
      </c>
      <c r="AC70" s="335"/>
      <c r="AD70" s="6"/>
      <c r="AE70" s="198" t="s">
        <v>163</v>
      </c>
      <c r="AF70" s="158" t="str">
        <f t="shared" si="4"/>
        <v>31Y</v>
      </c>
      <c r="AG70" s="134" t="s">
        <v>3973</v>
      </c>
      <c r="AH70" s="70">
        <f>IF(RealTime,_xll.RtGet(RtChannel,$AG70,AH$12),"StaticData")</f>
        <v>1.196491172</v>
      </c>
      <c r="AI70" s="71">
        <f>IF(RealTime,_xll.RtGet(RtChannel,$AG70,AI$12),"StaticData")</f>
        <v>1.196491172</v>
      </c>
      <c r="AJ70" s="435">
        <f>IF(RealTime,AH70,static_data())</f>
        <v>1.196491172</v>
      </c>
      <c r="AK70" s="435">
        <f>IF(RealTime,AI70,static_data())</f>
        <v>1.196491172</v>
      </c>
      <c r="AL70" s="43">
        <f t="shared" si="13"/>
        <v>1.196491172</v>
      </c>
      <c r="AO70" s="137" t="s">
        <v>167</v>
      </c>
      <c r="AP70" s="137">
        <f t="shared" si="5"/>
        <v>4</v>
      </c>
      <c r="AQ70" s="158" t="str">
        <f t="shared" si="6"/>
        <v>35Y</v>
      </c>
      <c r="AR70" s="134" t="str">
        <f>CHOOSE($AP70,AR$3&amp;$AQ70&amp;AS$3,AR$4&amp;strrep(strrep(AQ70,"M",""),"-","X")&amp;AS$4,AR$5&amp;UPPER(FutCode2(AQ70))&amp;AS$5,AR$6&amp;$AQ70&amp;AS$6,"")</f>
        <v>EUR3MSW35Y=</v>
      </c>
      <c r="AS70" s="70">
        <f>IF(RealTime,_xll.RtGet(RtChannel,$AR70,AS$12),"StaticData")</f>
        <v>1.1522565040000001</v>
      </c>
      <c r="AT70" s="70">
        <f>IF(RealTime,_xll.RtGet(RtChannel,$AR70,AT$12),"StaticData")</f>
        <v>1.1522565040000001</v>
      </c>
      <c r="AU70" s="436">
        <f>IF(RealTime,AS70,static_data())</f>
        <v>1.1522565040000001</v>
      </c>
      <c r="AV70" s="435">
        <f>IF(RealTime,AT70,static_data())</f>
        <v>1.1522565040000001</v>
      </c>
      <c r="AW70" s="43">
        <f t="shared" si="7"/>
        <v>1.1522565040000001</v>
      </c>
      <c r="AY70" s="198" t="s">
        <v>164</v>
      </c>
      <c r="AZ70" s="158" t="str">
        <f t="shared" si="8"/>
        <v>32Y</v>
      </c>
      <c r="BA70" s="134" t="s">
        <v>4042</v>
      </c>
      <c r="BB70" s="70">
        <f>IF(RealTime,_xll.RtGet(RtChannel,$BA70,BB$12),"StaticData")</f>
        <v>1.2572516970000001</v>
      </c>
      <c r="BC70" s="71">
        <f>IF(RealTime,_xll.RtGet(RtChannel,$BA70,BC$12),"StaticData")</f>
        <v>1.2572516970000001</v>
      </c>
      <c r="BD70" s="435">
        <f>IF(RealTime,BB70,static_data())</f>
        <v>1.2572516970000001</v>
      </c>
      <c r="BE70" s="435">
        <f>IF(RealTime,BC70,static_data())</f>
        <v>1.2572516970000001</v>
      </c>
      <c r="BF70" s="43">
        <f t="shared" si="9"/>
        <v>1.2572516970000001</v>
      </c>
      <c r="BH70" s="158" t="str">
        <v>50Y</v>
      </c>
      <c r="BI70" s="134" t="str">
        <f t="shared" si="25"/>
        <v>EUR6MSW50Y=</v>
      </c>
      <c r="BJ70" s="70">
        <f>IF(RealTime,_xll.RtGet(RtChannel,$BI70,BJ$12),"StaticData")</f>
        <v>1.129</v>
      </c>
      <c r="BK70" s="71">
        <f>IF(RealTime,_xll.RtGet(RtChannel,$BI70,BK$12),"StaticData")</f>
        <v>1.129</v>
      </c>
      <c r="BL70" s="435">
        <f>IF(RealTime,BJ70,static_data())</f>
        <v>1.129</v>
      </c>
      <c r="BM70" s="435">
        <f>IF(RealTime,BK70,static_data())</f>
        <v>1.129</v>
      </c>
      <c r="BN70" s="43">
        <f t="shared" si="10"/>
        <v>1.129</v>
      </c>
      <c r="BP70" s="136" t="s">
        <v>22</v>
      </c>
      <c r="BQ70" s="137" t="str">
        <f t="shared" si="14"/>
        <v>30Y</v>
      </c>
      <c r="BR70" s="134" t="str">
        <f t="shared" si="26"/>
        <v>EURONOIS30Y=</v>
      </c>
      <c r="BS70" s="70">
        <f>IF(RealTime,_xll.RtGet(RtChannel,$BR70,BS$12),"StaticData")</f>
        <v>1.07</v>
      </c>
      <c r="BT70" s="70">
        <f>IF(RealTime,_xll.RtGet(RtChannel,$BR70,BT$12),"StaticData")</f>
        <v>1.07</v>
      </c>
      <c r="BU70" s="436">
        <f>IF(RealTime,BS70,static_data())</f>
        <v>1.07</v>
      </c>
      <c r="BV70" s="543">
        <f>IF(RealTime,BT70,static_data())</f>
        <v>1.07</v>
      </c>
      <c r="BW70" s="43">
        <f t="shared" si="36"/>
        <v>1.07</v>
      </c>
      <c r="BY70" s="198" t="s">
        <v>167</v>
      </c>
      <c r="BZ70" s="137" t="str">
        <f t="shared" si="15"/>
        <v>35Y</v>
      </c>
      <c r="CA70" s="134" t="str">
        <f t="shared" si="28"/>
        <v>EUR1MSW35Y=</v>
      </c>
      <c r="CB70" s="70">
        <f>IF(RealTime,_xll.RtGet(RtChannel,$CA70,CD$12),"StaticData")</f>
        <v>1.084800129</v>
      </c>
      <c r="CC70" s="71">
        <f>IF(RealTime,_xll.RtGet(RtChannel,$CA70,CE$12),"StaticData")</f>
        <v>1.084800129</v>
      </c>
      <c r="CD70" s="435">
        <f>IF(RealTime,CB70,static_data())</f>
        <v>1.084800129</v>
      </c>
      <c r="CE70" s="435">
        <f>IF(RealTime,CC70,static_data())</f>
        <v>1.084800129</v>
      </c>
      <c r="CF70" s="43">
        <f t="shared" si="16"/>
        <v>1.084800129</v>
      </c>
      <c r="CG70" s="47">
        <f>(CF70-'reference set'!BA80)*100</f>
        <v>1.7232979000000093</v>
      </c>
    </row>
    <row r="71" spans="17:85">
      <c r="Q71" s="155" t="s">
        <v>167</v>
      </c>
      <c r="R71" s="102" t="s">
        <v>508</v>
      </c>
      <c r="S71" s="164"/>
      <c r="T71" s="163">
        <f t="shared" si="33"/>
        <v>55479</v>
      </c>
      <c r="U71" s="288" t="b">
        <v>1</v>
      </c>
      <c r="V71" s="284" t="str">
        <v>60Y</v>
      </c>
      <c r="W71" s="137" t="str">
        <v>W</v>
      </c>
      <c r="X71" s="130" t="str">
        <f t="shared" si="0"/>
        <v>W40</v>
      </c>
      <c r="Y71" s="173">
        <f t="shared" si="37"/>
        <v>4</v>
      </c>
      <c r="Z71" s="175" t="str">
        <f t="shared" si="38"/>
        <v>60Y</v>
      </c>
      <c r="AA71" s="163">
        <v>64612</v>
      </c>
      <c r="AB71" s="173" t="str">
        <f t="shared" si="39"/>
        <v>60Y</v>
      </c>
      <c r="AC71" s="335"/>
      <c r="AD71" s="6"/>
      <c r="AE71" s="198" t="s">
        <v>164</v>
      </c>
      <c r="AF71" s="158" t="str">
        <f t="shared" si="4"/>
        <v>32Y</v>
      </c>
      <c r="AG71" s="134" t="s">
        <v>3974</v>
      </c>
      <c r="AH71" s="70">
        <f>IF(RealTime,_xll.RtGet(RtChannel,$AG71,AH$12),"StaticData")</f>
        <v>1.1965369160000001</v>
      </c>
      <c r="AI71" s="71">
        <f>IF(RealTime,_xll.RtGet(RtChannel,$AG71,AI$12),"StaticData")</f>
        <v>1.1965369160000001</v>
      </c>
      <c r="AJ71" s="435">
        <f>IF(RealTime,AH71,static_data())</f>
        <v>1.1965369160000001</v>
      </c>
      <c r="AK71" s="435">
        <f>IF(RealTime,AI71,static_data())</f>
        <v>1.1965369160000001</v>
      </c>
      <c r="AL71" s="43">
        <f t="shared" si="13"/>
        <v>1.1965369160000001</v>
      </c>
      <c r="AO71" s="137" t="s">
        <v>168</v>
      </c>
      <c r="AP71" s="137">
        <f t="shared" si="5"/>
        <v>4</v>
      </c>
      <c r="AQ71" s="158" t="str">
        <f t="shared" si="6"/>
        <v>36Y</v>
      </c>
      <c r="AR71" s="134" t="str">
        <f>CHOOSE($AP71,AR$3&amp;$AQ71&amp;AS$3,AR$4&amp;strrep(strrep(AQ71,"M",""),"-","X")&amp;AS$4,AR$5&amp;UPPER(FutCode2(AQ71))&amp;AS$5,AR$6&amp;$AQ71&amp;AS$6,"")</f>
        <v>EUR3MSW36Y=</v>
      </c>
      <c r="AS71" s="70">
        <f>IF(RealTime,_xll.RtGet(RtChannel,$AR71,AS$12),"StaticData")</f>
        <v>1.1518618040000002</v>
      </c>
      <c r="AT71" s="70">
        <f>IF(RealTime,_xll.RtGet(RtChannel,$AR71,AT$12),"StaticData")</f>
        <v>1.1518618040000002</v>
      </c>
      <c r="AU71" s="436">
        <f>IF(RealTime,AS71,static_data())</f>
        <v>1.1518618040000002</v>
      </c>
      <c r="AV71" s="435">
        <f>IF(RealTime,AT71,static_data())</f>
        <v>1.1518618040000002</v>
      </c>
      <c r="AW71" s="43">
        <f t="shared" si="7"/>
        <v>1.1518618040000002</v>
      </c>
      <c r="AY71" s="198" t="s">
        <v>165</v>
      </c>
      <c r="AZ71" s="158" t="str">
        <f t="shared" si="8"/>
        <v>33Y</v>
      </c>
      <c r="BA71" s="134" t="s">
        <v>4043</v>
      </c>
      <c r="BB71" s="70">
        <f>IF(RealTime,_xll.RtGet(RtChannel,$BA71,BB$12),"StaticData")</f>
        <v>1.2563005520000001</v>
      </c>
      <c r="BC71" s="71">
        <f>IF(RealTime,_xll.RtGet(RtChannel,$BA71,BC$12),"StaticData")</f>
        <v>1.2563005520000001</v>
      </c>
      <c r="BD71" s="435">
        <f>IF(RealTime,BB71,static_data())</f>
        <v>1.2563005520000001</v>
      </c>
      <c r="BE71" s="435">
        <f>IF(RealTime,BC71,static_data())</f>
        <v>1.2563005520000001</v>
      </c>
      <c r="BF71" s="43">
        <f t="shared" si="9"/>
        <v>1.2563005520000001</v>
      </c>
      <c r="BH71" s="158" t="str">
        <v>60Y</v>
      </c>
      <c r="BI71" s="134" t="str">
        <f t="shared" si="25"/>
        <v>EUR6MSW60Y=</v>
      </c>
      <c r="BJ71" s="70">
        <f>IF(RealTime,_xll.RtGet(RtChannel,$BI71,BJ$12),"StaticData")</f>
        <v>1.0940000000000001</v>
      </c>
      <c r="BK71" s="71">
        <f>IF(RealTime,_xll.RtGet(RtChannel,$BI71,BK$12),"StaticData")</f>
        <v>1.0940000000000001</v>
      </c>
      <c r="BL71" s="435">
        <f>IF(RealTime,BJ71,static_data())</f>
        <v>1.0940000000000001</v>
      </c>
      <c r="BM71" s="435">
        <f>IF(RealTime,BK71,static_data())</f>
        <v>1.0940000000000001</v>
      </c>
      <c r="BN71" s="43">
        <f t="shared" si="10"/>
        <v>1.0940000000000001</v>
      </c>
      <c r="BP71" s="136" t="s">
        <v>167</v>
      </c>
      <c r="BQ71" s="137" t="str">
        <f t="shared" si="14"/>
        <v>35Y</v>
      </c>
      <c r="BR71" s="134" t="str">
        <f t="shared" si="26"/>
        <v>EURONOIS35Y=</v>
      </c>
      <c r="BS71" s="70">
        <f>IF(RealTime,_xll.RtGet(RtChannel,$BR71,BS$12),"StaticData")</f>
        <v>1.082320358</v>
      </c>
      <c r="BT71" s="70">
        <f>IF(RealTime,_xll.RtGet(RtChannel,$BR71,BT$12),"StaticData")</f>
        <v>1.082320358</v>
      </c>
      <c r="BU71" s="436">
        <f>IF(RealTime,BS71,static_data())</f>
        <v>1.082320358</v>
      </c>
      <c r="BV71" s="543">
        <f>IF(RealTime,BT71,static_data())</f>
        <v>1.082320358</v>
      </c>
      <c r="BW71" s="43">
        <f>+AVERAGE(BU71:BV71)</f>
        <v>1.082320358</v>
      </c>
      <c r="BY71" s="198" t="s">
        <v>168</v>
      </c>
      <c r="BZ71" s="137" t="str">
        <f t="shared" si="15"/>
        <v>36Y</v>
      </c>
      <c r="CA71" s="134" t="str">
        <f t="shared" si="28"/>
        <v>EUR1MSW36Y=</v>
      </c>
      <c r="CB71" s="70">
        <f>IF(RealTime,_xll.RtGet(RtChannel,$CA71,CD$12),"StaticData")</f>
        <v>1.08541105</v>
      </c>
      <c r="CC71" s="71">
        <f>IF(RealTime,_xll.RtGet(RtChannel,$CA71,CE$12),"StaticData")</f>
        <v>1.08541105</v>
      </c>
      <c r="CD71" s="435">
        <f>IF(RealTime,CB71,static_data())</f>
        <v>1.08541105</v>
      </c>
      <c r="CE71" s="435">
        <f>IF(RealTime,CC71,static_data())</f>
        <v>1.08541105</v>
      </c>
      <c r="CF71" s="43">
        <f t="shared" si="16"/>
        <v>1.08541105</v>
      </c>
      <c r="CG71" s="47">
        <f>(CF71-'reference set'!BA81)*100</f>
        <v>1.7432698000000135</v>
      </c>
    </row>
    <row r="72" spans="17:85">
      <c r="Q72" s="155" t="s">
        <v>168</v>
      </c>
      <c r="R72" s="102" t="s">
        <v>508</v>
      </c>
      <c r="S72" s="164"/>
      <c r="T72" s="163">
        <f t="shared" si="33"/>
        <v>55845</v>
      </c>
      <c r="U72" s="288" t="b">
        <v>1</v>
      </c>
      <c r="V72" s="284" t="str">
        <v/>
      </c>
      <c r="W72" s="137" t="str">
        <v/>
      </c>
      <c r="X72" s="130" t="str">
        <f t="shared" si="0"/>
        <v/>
      </c>
      <c r="Y72" s="173">
        <f t="shared" si="37"/>
        <v>5</v>
      </c>
      <c r="Z72" s="175" t="str">
        <f t="shared" si="38"/>
        <v/>
      </c>
      <c r="AA72" s="163" t="str">
        <v/>
      </c>
      <c r="AB72" s="173" t="str">
        <f t="shared" si="39"/>
        <v/>
      </c>
      <c r="AC72" s="335"/>
      <c r="AD72" s="6"/>
      <c r="AE72" s="198" t="s">
        <v>165</v>
      </c>
      <c r="AF72" s="158" t="str">
        <f t="shared" si="4"/>
        <v>33Y</v>
      </c>
      <c r="AG72" s="134" t="s">
        <v>3975</v>
      </c>
      <c r="AH72" s="70">
        <f>IF(RealTime,_xll.RtGet(RtChannel,$AG72,AH$12),"StaticData")</f>
        <v>1.1960474440000002</v>
      </c>
      <c r="AI72" s="71">
        <f>IF(RealTime,_xll.RtGet(RtChannel,$AG72,AI$12),"StaticData")</f>
        <v>1.1960474440000002</v>
      </c>
      <c r="AJ72" s="435">
        <f>IF(RealTime,AH72,static_data())</f>
        <v>1.1960474440000002</v>
      </c>
      <c r="AK72" s="435">
        <f>IF(RealTime,AI72,static_data())</f>
        <v>1.1960474440000002</v>
      </c>
      <c r="AL72" s="43">
        <f t="shared" si="13"/>
        <v>1.1960474440000002</v>
      </c>
      <c r="AO72" s="137" t="s">
        <v>169</v>
      </c>
      <c r="AP72" s="137">
        <f t="shared" si="5"/>
        <v>4</v>
      </c>
      <c r="AQ72" s="158" t="str">
        <f t="shared" si="6"/>
        <v>37Y</v>
      </c>
      <c r="AR72" s="134" t="str">
        <f>CHOOSE($AP72,AR$3&amp;$AQ72&amp;AS$3,AR$4&amp;strrep(strrep(AQ72,"M",""),"-","X")&amp;AS$4,AR$5&amp;UPPER(FutCode2(AQ72))&amp;AS$5,AR$6&amp;$AQ72&amp;AS$6,"")</f>
        <v>EUR3MSW37Y=</v>
      </c>
      <c r="AS72" s="70">
        <f>IF(RealTime,_xll.RtGet(RtChannel,$AR72,AS$12),"StaticData")</f>
        <v>1.1507952190000001</v>
      </c>
      <c r="AT72" s="70">
        <f>IF(RealTime,_xll.RtGet(RtChannel,$AR72,AT$12),"StaticData")</f>
        <v>1.1507952190000001</v>
      </c>
      <c r="AU72" s="436">
        <f>IF(RealTime,AS72,static_data())</f>
        <v>1.1507952190000001</v>
      </c>
      <c r="AV72" s="435">
        <f>IF(RealTime,AT72,static_data())</f>
        <v>1.1507952190000001</v>
      </c>
      <c r="AW72" s="43">
        <f t="shared" si="7"/>
        <v>1.1507952190000001</v>
      </c>
      <c r="AY72" s="198" t="s">
        <v>166</v>
      </c>
      <c r="AZ72" s="158" t="str">
        <f t="shared" si="8"/>
        <v>34Y</v>
      </c>
      <c r="BA72" s="134" t="s">
        <v>4044</v>
      </c>
      <c r="BB72" s="70">
        <f>IF(RealTime,_xll.RtGet(RtChannel,$BA72,BB$12),"StaticData")</f>
        <v>1.2549508700000001</v>
      </c>
      <c r="BC72" s="71">
        <f>IF(RealTime,_xll.RtGet(RtChannel,$BA72,BC$12),"StaticData")</f>
        <v>1.2549508700000001</v>
      </c>
      <c r="BD72" s="435">
        <f>IF(RealTime,BB72,static_data())</f>
        <v>1.2549508700000001</v>
      </c>
      <c r="BE72" s="435">
        <f>IF(RealTime,BC72,static_data())</f>
        <v>1.2549508700000001</v>
      </c>
      <c r="BF72" s="43">
        <f t="shared" si="9"/>
        <v>1.2549508700000001</v>
      </c>
      <c r="BH72" s="158" t="str">
        <v/>
      </c>
      <c r="BI72" s="134" t="str">
        <f t="shared" si="25"/>
        <v/>
      </c>
      <c r="BJ72" s="70" t="str">
        <f>IF(RealTime,_xll.RtGet(RtChannel,$BI72,BJ$12),"StaticData")</f>
        <v>#N/A No instrument defined.</v>
      </c>
      <c r="BK72" s="71" t="str">
        <f>IF(RealTime,_xll.RtGet(RtChannel,$BI72,BK$12),"StaticData")</f>
        <v>#N/A No instrument defined.</v>
      </c>
      <c r="BL72" s="435" t="str">
        <f>IF(RealTime,BJ72,static_data())</f>
        <v>#N/A No instrument defined.</v>
      </c>
      <c r="BM72" s="435" t="str">
        <f>IF(RealTime,BK72,static_data())</f>
        <v>#N/A No instrument defined.</v>
      </c>
      <c r="BN72" s="43" t="str">
        <f t="shared" si="10"/>
        <v/>
      </c>
      <c r="BP72" s="136" t="s">
        <v>46</v>
      </c>
      <c r="BQ72" s="137" t="str">
        <f t="shared" si="14"/>
        <v>40Y</v>
      </c>
      <c r="BR72" s="134" t="str">
        <f t="shared" si="26"/>
        <v>EURONOIS40Y=</v>
      </c>
      <c r="BS72" s="70">
        <f>IF(RealTime,_xll.RtGet(RtChannel,$BR72,BS$12),"StaticData")</f>
        <v>1.079</v>
      </c>
      <c r="BT72" s="70">
        <f>IF(RealTime,_xll.RtGet(RtChannel,$BR72,BT$12),"StaticData")</f>
        <v>1.079</v>
      </c>
      <c r="BU72" s="436">
        <f>IF(RealTime,BS72,static_data())</f>
        <v>1.079</v>
      </c>
      <c r="BV72" s="543">
        <f>IF(RealTime,BT72,static_data())</f>
        <v>1.079</v>
      </c>
      <c r="BW72" s="43">
        <f>+AVERAGE(BU72:BV72)</f>
        <v>1.079</v>
      </c>
      <c r="BY72" s="198" t="s">
        <v>169</v>
      </c>
      <c r="BZ72" s="137" t="str">
        <f t="shared" si="15"/>
        <v>37Y</v>
      </c>
      <c r="CA72" s="134" t="str">
        <f t="shared" si="28"/>
        <v>EUR1MSW37Y=</v>
      </c>
      <c r="CB72" s="70">
        <f>IF(RealTime,_xll.RtGet(RtChannel,$CA72,CD$12),"StaticData")</f>
        <v>1.0853059250000001</v>
      </c>
      <c r="CC72" s="71">
        <f>IF(RealTime,_xll.RtGet(RtChannel,$CA72,CE$12),"StaticData")</f>
        <v>1.0853059250000001</v>
      </c>
      <c r="CD72" s="435">
        <f>IF(RealTime,CB72,static_data())</f>
        <v>1.0853059250000001</v>
      </c>
      <c r="CE72" s="435">
        <f>IF(RealTime,CC72,static_data())</f>
        <v>1.0853059250000001</v>
      </c>
      <c r="CF72" s="43">
        <f t="shared" si="16"/>
        <v>1.0853059250000001</v>
      </c>
      <c r="CG72" s="47">
        <f>(CF72-'reference set'!BA82)*100</f>
        <v>1.7604007000000088</v>
      </c>
    </row>
    <row r="73" spans="17:85">
      <c r="Q73" s="155" t="s">
        <v>169</v>
      </c>
      <c r="R73" s="102" t="s">
        <v>508</v>
      </c>
      <c r="S73" s="164"/>
      <c r="T73" s="163">
        <f t="shared" si="33"/>
        <v>56212</v>
      </c>
      <c r="U73" s="288" t="b">
        <v>1</v>
      </c>
      <c r="V73" s="284" t="str">
        <v/>
      </c>
      <c r="W73" s="137" t="str">
        <v/>
      </c>
      <c r="X73" s="130" t="str">
        <f t="shared" si="0"/>
        <v/>
      </c>
      <c r="Y73" s="173">
        <f t="shared" si="37"/>
        <v>5</v>
      </c>
      <c r="Z73" s="175" t="str">
        <f t="shared" si="38"/>
        <v/>
      </c>
      <c r="AA73" s="163" t="str">
        <v/>
      </c>
      <c r="AB73" s="173" t="str">
        <f t="shared" si="39"/>
        <v/>
      </c>
      <c r="AC73" s="335"/>
      <c r="AD73" s="6"/>
      <c r="AE73" s="198" t="s">
        <v>166</v>
      </c>
      <c r="AF73" s="158" t="str">
        <f t="shared" si="4"/>
        <v>34Y</v>
      </c>
      <c r="AG73" s="134" t="s">
        <v>3976</v>
      </c>
      <c r="AH73" s="70">
        <f>IF(RealTime,_xll.RtGet(RtChannel,$AG73,AH$12),"StaticData")</f>
        <v>1.1951774399999999</v>
      </c>
      <c r="AI73" s="71">
        <f>IF(RealTime,_xll.RtGet(RtChannel,$AG73,AI$12),"StaticData")</f>
        <v>1.1951774399999999</v>
      </c>
      <c r="AJ73" s="435">
        <f>IF(RealTime,AH73,static_data())</f>
        <v>1.1951774399999999</v>
      </c>
      <c r="AK73" s="435">
        <f>IF(RealTime,AI73,static_data())</f>
        <v>1.1951774399999999</v>
      </c>
      <c r="AL73" s="43">
        <f t="shared" si="13"/>
        <v>1.1951774399999999</v>
      </c>
      <c r="AO73" s="137" t="s">
        <v>170</v>
      </c>
      <c r="AP73" s="137">
        <f t="shared" si="5"/>
        <v>4</v>
      </c>
      <c r="AQ73" s="158" t="str">
        <f t="shared" si="6"/>
        <v>38Y</v>
      </c>
      <c r="AR73" s="134" t="str">
        <f>CHOOSE($AP73,AR$3&amp;$AQ73&amp;AS$3,AR$4&amp;strrep(strrep(AQ73,"M",""),"-","X")&amp;AS$4,AR$5&amp;UPPER(FutCode2(AQ73))&amp;AS$5,AR$6&amp;$AQ73&amp;AS$6,"")</f>
        <v>EUR3MSW38Y=</v>
      </c>
      <c r="AS73" s="70">
        <f>IF(RealTime,_xll.RtGet(RtChannel,$AR73,AS$12),"StaticData")</f>
        <v>1.149134879</v>
      </c>
      <c r="AT73" s="70">
        <f>IF(RealTime,_xll.RtGet(RtChannel,$AR73,AT$12),"StaticData")</f>
        <v>1.149134879</v>
      </c>
      <c r="AU73" s="436">
        <f>IF(RealTime,AS73,static_data())</f>
        <v>1.149134879</v>
      </c>
      <c r="AV73" s="435">
        <f>IF(RealTime,AT73,static_data())</f>
        <v>1.149134879</v>
      </c>
      <c r="AW73" s="43">
        <f t="shared" si="7"/>
        <v>1.149134879</v>
      </c>
      <c r="AY73" s="198" t="s">
        <v>167</v>
      </c>
      <c r="AZ73" s="158" t="str">
        <f t="shared" si="8"/>
        <v>35Y</v>
      </c>
      <c r="BA73" s="134" t="s">
        <v>4045</v>
      </c>
      <c r="BB73" s="70">
        <f>IF(RealTime,_xll.RtGet(RtChannel,$BA73,BB$12),"StaticData")</f>
        <v>1.2531760970000001</v>
      </c>
      <c r="BC73" s="71">
        <f>IF(RealTime,_xll.RtGet(RtChannel,$BA73,BC$12),"StaticData")</f>
        <v>1.2531760970000001</v>
      </c>
      <c r="BD73" s="435">
        <f>IF(RealTime,BB73,static_data())</f>
        <v>1.2531760970000001</v>
      </c>
      <c r="BE73" s="435">
        <f>IF(RealTime,BC73,static_data())</f>
        <v>1.2531760970000001</v>
      </c>
      <c r="BF73" s="43">
        <f t="shared" si="9"/>
        <v>1.2531760970000001</v>
      </c>
      <c r="BH73" s="158" t="str">
        <v/>
      </c>
      <c r="BI73" s="134" t="str">
        <f t="shared" si="25"/>
        <v/>
      </c>
      <c r="BJ73" s="70" t="str">
        <f>IF(RealTime,_xll.RtGet(RtChannel,$BI73,BJ$12),"StaticData")</f>
        <v>#N/A No instrument defined.</v>
      </c>
      <c r="BK73" s="71" t="str">
        <f>IF(RealTime,_xll.RtGet(RtChannel,$BI73,BK$12),"StaticData")</f>
        <v>#N/A No instrument defined.</v>
      </c>
      <c r="BL73" s="435" t="str">
        <f>IF(RealTime,BJ73,static_data())</f>
        <v>#N/A No instrument defined.</v>
      </c>
      <c r="BM73" s="435" t="str">
        <f>IF(RealTime,BK73,static_data())</f>
        <v>#N/A No instrument defined.</v>
      </c>
      <c r="BN73" s="43" t="str">
        <f t="shared" si="10"/>
        <v/>
      </c>
      <c r="BP73" s="136" t="s">
        <v>47</v>
      </c>
      <c r="BQ73" s="137" t="str">
        <f t="shared" si="14"/>
        <v>50Y</v>
      </c>
      <c r="BR73" s="134" t="str">
        <f t="shared" si="26"/>
        <v>EURONOIS50Y=</v>
      </c>
      <c r="BS73" s="70">
        <f>IF(RealTime,_xll.RtGet(RtChannel,$BR73,BS$12),"StaticData")</f>
        <v>1.0389999999999999</v>
      </c>
      <c r="BT73" s="70">
        <f>IF(RealTime,_xll.RtGet(RtChannel,$BR73,BT$12),"StaticData")</f>
        <v>1.0389999999999999</v>
      </c>
      <c r="BU73" s="437">
        <f>IF(RealTime,BS73,static_data())</f>
        <v>1.0389999999999999</v>
      </c>
      <c r="BV73" s="438">
        <f>IF(RealTime,BT73,static_data())</f>
        <v>1.0389999999999999</v>
      </c>
      <c r="BW73" s="43">
        <f>+AVERAGE(BU73:BV73)</f>
        <v>1.0389999999999999</v>
      </c>
      <c r="BY73" s="198" t="s">
        <v>170</v>
      </c>
      <c r="BZ73" s="137" t="str">
        <f t="shared" si="15"/>
        <v>38Y</v>
      </c>
      <c r="CA73" s="134" t="str">
        <f t="shared" si="28"/>
        <v>EUR1MSW38Y=</v>
      </c>
      <c r="CB73" s="70">
        <f>IF(RealTime,_xll.RtGet(RtChannel,$CA73,CD$12),"StaticData")</f>
        <v>1.08454155</v>
      </c>
      <c r="CC73" s="71">
        <f>IF(RealTime,_xll.RtGet(RtChannel,$CA73,CE$12),"StaticData")</f>
        <v>1.08454155</v>
      </c>
      <c r="CD73" s="435">
        <f>IF(RealTime,CB73,static_data())</f>
        <v>1.08454155</v>
      </c>
      <c r="CE73" s="435">
        <f>IF(RealTime,CC73,static_data())</f>
        <v>1.08454155</v>
      </c>
      <c r="CF73" s="43">
        <f t="shared" si="16"/>
        <v>1.08454155</v>
      </c>
      <c r="CG73" s="47">
        <f>(CF73-'reference set'!BA83)*100</f>
        <v>1.7755382000000042</v>
      </c>
    </row>
    <row r="74" spans="17:85">
      <c r="Q74" s="155" t="s">
        <v>170</v>
      </c>
      <c r="R74" s="102" t="s">
        <v>508</v>
      </c>
      <c r="S74" s="164"/>
      <c r="T74" s="163">
        <f t="shared" si="33"/>
        <v>56576</v>
      </c>
      <c r="U74" s="288" t="b">
        <v>1</v>
      </c>
      <c r="V74" s="284" t="str">
        <v/>
      </c>
      <c r="W74" s="137" t="str">
        <v/>
      </c>
      <c r="X74" s="130" t="str">
        <f t="shared" si="0"/>
        <v/>
      </c>
      <c r="Y74" s="173">
        <f t="shared" si="37"/>
        <v>5</v>
      </c>
      <c r="Z74" s="175" t="str">
        <f t="shared" si="38"/>
        <v/>
      </c>
      <c r="AA74" s="163" t="str">
        <v/>
      </c>
      <c r="AB74" s="173" t="str">
        <f t="shared" si="39"/>
        <v/>
      </c>
      <c r="AC74" s="335"/>
      <c r="AD74" s="6"/>
      <c r="AE74" s="198" t="s">
        <v>167</v>
      </c>
      <c r="AF74" s="158" t="str">
        <f t="shared" si="4"/>
        <v>35Y</v>
      </c>
      <c r="AG74" s="134" t="s">
        <v>3977</v>
      </c>
      <c r="AH74" s="70">
        <f>IF(RealTime,_xll.RtGet(RtChannel,$AG74,AH$12),"StaticData")</f>
        <v>1.194</v>
      </c>
      <c r="AI74" s="71">
        <f>IF(RealTime,_xll.RtGet(RtChannel,$AG74,AI$12),"StaticData")</f>
        <v>1.194</v>
      </c>
      <c r="AJ74" s="435">
        <f>IF(RealTime,AH74,static_data())</f>
        <v>1.194</v>
      </c>
      <c r="AK74" s="435">
        <f>IF(RealTime,AI74,static_data())</f>
        <v>1.194</v>
      </c>
      <c r="AL74" s="43">
        <f t="shared" si="13"/>
        <v>1.194</v>
      </c>
      <c r="AO74" s="137" t="s">
        <v>171</v>
      </c>
      <c r="AP74" s="137">
        <f t="shared" si="5"/>
        <v>4</v>
      </c>
      <c r="AQ74" s="158" t="str">
        <f t="shared" si="6"/>
        <v>39Y</v>
      </c>
      <c r="AR74" s="134" t="str">
        <f>CHOOSE($AP74,AR$3&amp;$AQ74&amp;AS$3,AR$4&amp;strrep(strrep(AQ74,"M",""),"-","X")&amp;AS$4,AR$5&amp;UPPER(FutCode2(AQ74))&amp;AS$5,AR$6&amp;$AQ74&amp;AS$6,"")</f>
        <v>EUR3MSW39Y=</v>
      </c>
      <c r="AS74" s="70">
        <f>IF(RealTime,_xll.RtGet(RtChannel,$AR74,AS$12),"StaticData")</f>
        <v>1.14685997</v>
      </c>
      <c r="AT74" s="70">
        <f>IF(RealTime,_xll.RtGet(RtChannel,$AR74,AT$12),"StaticData")</f>
        <v>1.14685997</v>
      </c>
      <c r="AU74" s="436">
        <f>IF(RealTime,AS74,static_data())</f>
        <v>1.14685997</v>
      </c>
      <c r="AV74" s="435">
        <f>IF(RealTime,AT74,static_data())</f>
        <v>1.14685997</v>
      </c>
      <c r="AW74" s="43">
        <f t="shared" si="7"/>
        <v>1.14685997</v>
      </c>
      <c r="AY74" s="198" t="s">
        <v>168</v>
      </c>
      <c r="AZ74" s="158" t="str">
        <f t="shared" si="8"/>
        <v>36Y</v>
      </c>
      <c r="BA74" s="134" t="s">
        <v>4046</v>
      </c>
      <c r="BB74" s="70">
        <f>IF(RealTime,_xll.RtGet(RtChannel,$BA74,BB$12),"StaticData")</f>
        <v>1.251015736</v>
      </c>
      <c r="BC74" s="71">
        <f>IF(RealTime,_xll.RtGet(RtChannel,$BA74,BC$12),"StaticData")</f>
        <v>1.251015736</v>
      </c>
      <c r="BD74" s="435">
        <f>IF(RealTime,BB74,static_data())</f>
        <v>1.251015736</v>
      </c>
      <c r="BE74" s="435">
        <f>IF(RealTime,BC74,static_data())</f>
        <v>1.251015736</v>
      </c>
      <c r="BF74" s="43">
        <f t="shared" si="9"/>
        <v>1.251015736</v>
      </c>
      <c r="BH74" s="158" t="str">
        <v/>
      </c>
      <c r="BI74" s="134" t="str">
        <f t="shared" si="25"/>
        <v/>
      </c>
      <c r="BJ74" s="70" t="str">
        <f>IF(RealTime,_xll.RtGet(RtChannel,$BI74,BJ$12),"StaticData")</f>
        <v>#N/A No instrument defined.</v>
      </c>
      <c r="BK74" s="71" t="str">
        <f>IF(RealTime,_xll.RtGet(RtChannel,$BI74,BK$12),"StaticData")</f>
        <v>#N/A No instrument defined.</v>
      </c>
      <c r="BL74" s="435" t="str">
        <f>IF(RealTime,BJ74,static_data())</f>
        <v>#N/A No instrument defined.</v>
      </c>
      <c r="BM74" s="435" t="str">
        <f>IF(RealTime,BK74,static_data())</f>
        <v>#N/A No instrument defined.</v>
      </c>
      <c r="BN74" s="43" t="str">
        <f t="shared" si="10"/>
        <v/>
      </c>
      <c r="BP74" s="140" t="s">
        <v>48</v>
      </c>
      <c r="BQ74" s="138" t="str">
        <f t="shared" si="14"/>
        <v>60Y</v>
      </c>
      <c r="BR74" s="135" t="str">
        <f t="shared" si="26"/>
        <v>EURONOIS60Y=</v>
      </c>
      <c r="BS74" s="72">
        <f>IF(RealTime,_xll.RtGet(RtChannel,$BR74,BS$12),"StaticData")</f>
        <v>1.014</v>
      </c>
      <c r="BT74" s="72">
        <f>IF(RealTime,_xll.RtGet(RtChannel,$BR74,BT$12),"StaticData")</f>
        <v>1.014</v>
      </c>
      <c r="BU74" s="76">
        <f>IF(RealTime,BS74,static_data())</f>
        <v>1.014</v>
      </c>
      <c r="BV74" s="73">
        <f>IF(RealTime,BT74,static_data())</f>
        <v>1.014</v>
      </c>
      <c r="BW74" s="44">
        <f>+AVERAGE(BU74:BV74)</f>
        <v>1.014</v>
      </c>
      <c r="BY74" s="198" t="s">
        <v>171</v>
      </c>
      <c r="BZ74" s="137" t="str">
        <f t="shared" si="15"/>
        <v>39Y</v>
      </c>
      <c r="CA74" s="134" t="str">
        <f t="shared" si="28"/>
        <v>EUR1MSW39Y=</v>
      </c>
      <c r="CB74" s="70">
        <f>IF(RealTime,_xll.RtGet(RtChannel,$CA74,CD$12),"StaticData")</f>
        <v>1.0830984560000001</v>
      </c>
      <c r="CC74" s="71">
        <f>IF(RealTime,_xll.RtGet(RtChannel,$CA74,CE$12),"StaticData")</f>
        <v>1.0830984560000001</v>
      </c>
      <c r="CD74" s="435">
        <f>IF(RealTime,CB74,static_data())</f>
        <v>1.0830984560000001</v>
      </c>
      <c r="CE74" s="435">
        <f>IF(RealTime,CC74,static_data())</f>
        <v>1.0830984560000001</v>
      </c>
      <c r="CF74" s="43">
        <f t="shared" si="16"/>
        <v>1.0830984560000001</v>
      </c>
      <c r="CG74" s="47">
        <f>(CF74-'reference set'!BA84)*100</f>
        <v>1.7885082000000052</v>
      </c>
    </row>
    <row r="75" spans="17:85">
      <c r="Q75" s="155" t="s">
        <v>171</v>
      </c>
      <c r="R75" s="102" t="s">
        <v>508</v>
      </c>
      <c r="S75" s="164"/>
      <c r="T75" s="163">
        <f t="shared" si="33"/>
        <v>56940</v>
      </c>
      <c r="U75" s="288" t="b">
        <v>1</v>
      </c>
      <c r="V75" s="284" t="str">
        <v/>
      </c>
      <c r="W75" s="137" t="str">
        <v/>
      </c>
      <c r="X75" s="130" t="str">
        <f t="shared" si="0"/>
        <v/>
      </c>
      <c r="Y75" s="173">
        <f t="shared" si="37"/>
        <v>5</v>
      </c>
      <c r="Z75" s="175" t="str">
        <f t="shared" si="38"/>
        <v/>
      </c>
      <c r="AA75" s="163" t="str">
        <v/>
      </c>
      <c r="AB75" s="173" t="str">
        <f t="shared" si="39"/>
        <v/>
      </c>
      <c r="AC75" s="335"/>
      <c r="AD75" s="6"/>
      <c r="AE75" s="198" t="s">
        <v>168</v>
      </c>
      <c r="AF75" s="158" t="str">
        <f t="shared" si="4"/>
        <v>36Y</v>
      </c>
      <c r="AG75" s="134" t="s">
        <v>3978</v>
      </c>
      <c r="AH75" s="70">
        <f>IF(RealTime,_xll.RtGet(RtChannel,$AG75,AH$12),"StaticData")</f>
        <v>1.1926288540000001</v>
      </c>
      <c r="AI75" s="71">
        <f>IF(RealTime,_xll.RtGet(RtChannel,$AG75,AI$12),"StaticData")</f>
        <v>1.1926288540000001</v>
      </c>
      <c r="AJ75" s="435">
        <f>IF(RealTime,AH75,static_data())</f>
        <v>1.1926288540000001</v>
      </c>
      <c r="AK75" s="435">
        <f>IF(RealTime,AI75,static_data())</f>
        <v>1.1926288540000001</v>
      </c>
      <c r="AL75" s="43">
        <f t="shared" si="13"/>
        <v>1.1926288540000001</v>
      </c>
      <c r="AO75" s="137" t="s">
        <v>46</v>
      </c>
      <c r="AP75" s="137">
        <f t="shared" si="5"/>
        <v>4</v>
      </c>
      <c r="AQ75" s="158" t="str">
        <f t="shared" si="6"/>
        <v>40Y</v>
      </c>
      <c r="AR75" s="134" t="str">
        <f>CHOOSE($AP75,AR$3&amp;$AQ75&amp;AS$3,AR$4&amp;strrep(strrep(AQ75,"M",""),"-","X")&amp;AS$4,AR$5&amp;UPPER(FutCode2(AQ75))&amp;AS$5,AR$6&amp;$AQ75&amp;AS$6,"")</f>
        <v>EUR3MSW40Y=</v>
      </c>
      <c r="AS75" s="70">
        <f>IF(RealTime,_xll.RtGet(RtChannel,$AR75,AS$12),"StaticData")</f>
        <v>1.1440000000000001</v>
      </c>
      <c r="AT75" s="70">
        <f>IF(RealTime,_xll.RtGet(RtChannel,$AR75,AT$12),"StaticData")</f>
        <v>1.1440000000000001</v>
      </c>
      <c r="AU75" s="436">
        <f>IF(RealTime,AS75,static_data())</f>
        <v>1.1440000000000001</v>
      </c>
      <c r="AV75" s="435">
        <f>IF(RealTime,AT75,static_data())</f>
        <v>1.1440000000000001</v>
      </c>
      <c r="AW75" s="43">
        <f t="shared" si="7"/>
        <v>1.1440000000000001</v>
      </c>
      <c r="AY75" s="198" t="s">
        <v>169</v>
      </c>
      <c r="AZ75" s="158" t="str">
        <f t="shared" si="8"/>
        <v>37Y</v>
      </c>
      <c r="BA75" s="134" t="s">
        <v>4047</v>
      </c>
      <c r="BB75" s="70">
        <f>IF(RealTime,_xll.RtGet(RtChannel,$BA75,BB$12),"StaticData")</f>
        <v>1.2482817800000001</v>
      </c>
      <c r="BC75" s="71">
        <f>IF(RealTime,_xll.RtGet(RtChannel,$BA75,BC$12),"StaticData")</f>
        <v>1.2482817800000001</v>
      </c>
      <c r="BD75" s="435">
        <f>IF(RealTime,BB75,static_data())</f>
        <v>1.2482817800000001</v>
      </c>
      <c r="BE75" s="435">
        <f>IF(RealTime,BC75,static_data())</f>
        <v>1.2482817800000001</v>
      </c>
      <c r="BF75" s="43">
        <f t="shared" si="9"/>
        <v>1.2482817800000001</v>
      </c>
      <c r="BH75" s="158" t="str">
        <v/>
      </c>
      <c r="BI75" s="134" t="str">
        <f t="shared" si="25"/>
        <v/>
      </c>
      <c r="BJ75" s="70" t="str">
        <f>IF(RealTime,_xll.RtGet(RtChannel,$BI75,BJ$12),"StaticData")</f>
        <v>#N/A No instrument defined.</v>
      </c>
      <c r="BK75" s="71" t="str">
        <f>IF(RealTime,_xll.RtGet(RtChannel,$BI75,BK$12),"StaticData")</f>
        <v>#N/A No instrument defined.</v>
      </c>
      <c r="BL75" s="435" t="str">
        <f>IF(RealTime,BJ75,static_data())</f>
        <v>#N/A No instrument defined.</v>
      </c>
      <c r="BM75" s="435" t="str">
        <f>IF(RealTime,BK75,static_data())</f>
        <v>#N/A No instrument defined.</v>
      </c>
      <c r="BN75" s="43" t="str">
        <f t="shared" si="10"/>
        <v/>
      </c>
      <c r="BY75" s="198" t="s">
        <v>46</v>
      </c>
      <c r="BZ75" s="137" t="str">
        <f t="shared" si="15"/>
        <v>40Y</v>
      </c>
      <c r="CA75" s="134" t="str">
        <f t="shared" si="28"/>
        <v>EUR1MSW40Y=</v>
      </c>
      <c r="CB75" s="70">
        <f>IF(RealTime,_xll.RtGet(RtChannel,$CA75,CD$12),"StaticData")</f>
        <v>1.081</v>
      </c>
      <c r="CC75" s="71">
        <f>IF(RealTime,_xll.RtGet(RtChannel,$CA75,CE$12),"StaticData")</f>
        <v>1.081</v>
      </c>
      <c r="CD75" s="435">
        <f>IF(RealTime,CB75,static_data())</f>
        <v>1.081</v>
      </c>
      <c r="CE75" s="435">
        <f>IF(RealTime,CC75,static_data())</f>
        <v>1.081</v>
      </c>
      <c r="CF75" s="43">
        <f t="shared" si="16"/>
        <v>1.081</v>
      </c>
      <c r="CG75" s="47">
        <f>(CF75-'reference set'!BA85)*100</f>
        <v>1.8000000000000016</v>
      </c>
    </row>
    <row r="76" spans="17:85">
      <c r="Q76" s="155" t="s">
        <v>46</v>
      </c>
      <c r="R76" s="102" t="s">
        <v>508</v>
      </c>
      <c r="S76" s="164"/>
      <c r="T76" s="163">
        <f t="shared" si="33"/>
        <v>57306</v>
      </c>
      <c r="U76" s="288" t="b">
        <v>1</v>
      </c>
      <c r="V76" s="284" t="str">
        <v/>
      </c>
      <c r="W76" s="137" t="str">
        <v/>
      </c>
      <c r="X76" s="130" t="str">
        <f t="shared" si="0"/>
        <v/>
      </c>
      <c r="Y76" s="173">
        <f t="shared" si="37"/>
        <v>5</v>
      </c>
      <c r="Z76" s="175" t="str">
        <f t="shared" si="38"/>
        <v/>
      </c>
      <c r="AA76" s="163" t="str">
        <v/>
      </c>
      <c r="AB76" s="173" t="str">
        <f t="shared" si="39"/>
        <v/>
      </c>
      <c r="AC76" s="335"/>
      <c r="AD76" s="6"/>
      <c r="AE76" s="198" t="s">
        <v>169</v>
      </c>
      <c r="AF76" s="158" t="str">
        <f t="shared" si="4"/>
        <v>37Y</v>
      </c>
      <c r="AG76" s="134" t="s">
        <v>3979</v>
      </c>
      <c r="AH76" s="70">
        <f>IF(RealTime,_xll.RtGet(RtChannel,$AG76,AH$12),"StaticData")</f>
        <v>1.190861108</v>
      </c>
      <c r="AI76" s="71">
        <f>IF(RealTime,_xll.RtGet(RtChannel,$AG76,AI$12),"StaticData")</f>
        <v>1.190861108</v>
      </c>
      <c r="AJ76" s="435">
        <f>IF(RealTime,AH76,static_data())</f>
        <v>1.190861108</v>
      </c>
      <c r="AK76" s="435">
        <f>IF(RealTime,AI76,static_data())</f>
        <v>1.190861108</v>
      </c>
      <c r="AL76" s="43">
        <f t="shared" si="13"/>
        <v>1.190861108</v>
      </c>
      <c r="AO76" s="137" t="s">
        <v>47</v>
      </c>
      <c r="AP76" s="137">
        <f t="shared" si="5"/>
        <v>4</v>
      </c>
      <c r="AQ76" s="158" t="str">
        <f t="shared" si="6"/>
        <v>50Y</v>
      </c>
      <c r="AR76" s="134" t="str">
        <f>CHOOSE($AP76,AR$3&amp;$AQ76&amp;AS$3,AR$4&amp;strrep(strrep(AQ76,"M",""),"-","X")&amp;AS$4,AR$5&amp;UPPER(FutCode2(AQ76))&amp;AS$5,AR$6&amp;$AQ76&amp;AS$6,"")</f>
        <v>EUR3MSW50Y=</v>
      </c>
      <c r="AS76" s="70">
        <f>IF(RealTime,_xll.RtGet(RtChannel,$AR76,AS$12),"StaticData")</f>
        <v>1.097</v>
      </c>
      <c r="AT76" s="70">
        <f>IF(RealTime,_xll.RtGet(RtChannel,$AR76,AT$12),"StaticData")</f>
        <v>1.097</v>
      </c>
      <c r="AU76" s="436">
        <f>IF(RealTime,AS76,static_data())</f>
        <v>1.097</v>
      </c>
      <c r="AV76" s="435">
        <f>IF(RealTime,AT76,static_data())</f>
        <v>1.097</v>
      </c>
      <c r="AW76" s="43">
        <f t="shared" si="7"/>
        <v>1.097</v>
      </c>
      <c r="AY76" s="198" t="s">
        <v>170</v>
      </c>
      <c r="AZ76" s="158" t="str">
        <f t="shared" si="8"/>
        <v>38Y</v>
      </c>
      <c r="BA76" s="134" t="s">
        <v>4048</v>
      </c>
      <c r="BB76" s="70">
        <f>IF(RealTime,_xll.RtGet(RtChannel,$BA76,BB$12),"StaticData")</f>
        <v>1.245058811</v>
      </c>
      <c r="BC76" s="71">
        <f>IF(RealTime,_xll.RtGet(RtChannel,$BA76,BC$12),"StaticData")</f>
        <v>1.245058811</v>
      </c>
      <c r="BD76" s="435">
        <f>IF(RealTime,BB76,static_data())</f>
        <v>1.245058811</v>
      </c>
      <c r="BE76" s="435">
        <f>IF(RealTime,BC76,static_data())</f>
        <v>1.245058811</v>
      </c>
      <c r="BF76" s="43">
        <f t="shared" si="9"/>
        <v>1.245058811</v>
      </c>
      <c r="BH76" s="158" t="str">
        <v/>
      </c>
      <c r="BI76" s="134" t="str">
        <f t="shared" si="25"/>
        <v/>
      </c>
      <c r="BJ76" s="70" t="str">
        <f>IF(RealTime,_xll.RtGet(RtChannel,$BI76,BJ$12),"StaticData")</f>
        <v>#N/A No instrument defined.</v>
      </c>
      <c r="BK76" s="71" t="str">
        <f>IF(RealTime,_xll.RtGet(RtChannel,$BI76,BK$12),"StaticData")</f>
        <v>#N/A No instrument defined.</v>
      </c>
      <c r="BL76" s="435" t="str">
        <f>IF(RealTime,BJ76,static_data())</f>
        <v>#N/A No instrument defined.</v>
      </c>
      <c r="BM76" s="435" t="str">
        <f>IF(RealTime,BK76,static_data())</f>
        <v>#N/A No instrument defined.</v>
      </c>
      <c r="BN76" s="43" t="str">
        <f t="shared" si="10"/>
        <v/>
      </c>
      <c r="BY76" s="198" t="s">
        <v>47</v>
      </c>
      <c r="BZ76" s="137" t="str">
        <f t="shared" si="15"/>
        <v>50Y</v>
      </c>
      <c r="CA76" s="134" t="str">
        <f t="shared" si="28"/>
        <v>EUR1MSW50Y=</v>
      </c>
      <c r="CB76" s="70">
        <f>IF(RealTime,_xll.RtGet(RtChannel,$CA76,CD$12),"StaticData")</f>
        <v>1.0389999999999999</v>
      </c>
      <c r="CC76" s="71">
        <f>IF(RealTime,_xll.RtGet(RtChannel,$CA76,CE$12),"StaticData")</f>
        <v>1.0389999999999999</v>
      </c>
      <c r="CD76" s="435">
        <f>IF(RealTime,CB76,static_data())</f>
        <v>1.0389999999999999</v>
      </c>
      <c r="CE76" s="435">
        <f>IF(RealTime,CC76,static_data())</f>
        <v>1.0389999999999999</v>
      </c>
      <c r="CF76" s="43">
        <f t="shared" si="16"/>
        <v>1.0389999999999999</v>
      </c>
      <c r="CG76" s="47">
        <f>(CF76-'reference set'!BA86)*100</f>
        <v>1.8000000000000016</v>
      </c>
    </row>
    <row r="77" spans="17:85">
      <c r="Q77" s="155" t="s">
        <v>47</v>
      </c>
      <c r="R77" s="102" t="s">
        <v>508</v>
      </c>
      <c r="S77" s="165"/>
      <c r="T77" s="163">
        <f t="shared" si="33"/>
        <v>60958</v>
      </c>
      <c r="U77" s="288" t="b">
        <v>1</v>
      </c>
      <c r="V77" s="284" t="str">
        <v/>
      </c>
      <c r="W77" s="137" t="str">
        <v/>
      </c>
      <c r="X77" s="130" t="str">
        <f t="shared" ref="X77:X78" si="43">IF(LEN(W77)&gt;0,IF(W77&lt;&gt;W76,W77&amp;"1",W77&amp;MID(X76,2,3)+1),"")</f>
        <v/>
      </c>
      <c r="Y77" s="173">
        <f t="shared" si="37"/>
        <v>5</v>
      </c>
      <c r="Z77" s="175" t="str">
        <f t="shared" ref="Z77:Z78" si="44">CHOOSE(Y77,V77,TEXT(DataSTUB,"dd/mm/yy"),UPPER(TEXT(V77,"MMM YY")),V77,"")</f>
        <v/>
      </c>
      <c r="AA77" s="163" t="str">
        <v/>
      </c>
      <c r="AB77" s="173" t="str">
        <f t="shared" si="39"/>
        <v/>
      </c>
      <c r="AC77" s="335"/>
      <c r="AD77" s="6"/>
      <c r="AE77" s="198" t="s">
        <v>170</v>
      </c>
      <c r="AF77" s="158" t="str">
        <f t="shared" ref="AF77:AF81" si="45">AE77</f>
        <v>38Y</v>
      </c>
      <c r="AG77" s="134" t="s">
        <v>3980</v>
      </c>
      <c r="AH77" s="70">
        <f>IF(RealTime,_xll.RtGet(RtChannel,$AG77,AH$12),"StaticData")</f>
        <v>1.188718108</v>
      </c>
      <c r="AI77" s="71">
        <f>IF(RealTime,_xll.RtGet(RtChannel,$AG77,AI$12),"StaticData")</f>
        <v>1.188718108</v>
      </c>
      <c r="AJ77" s="435">
        <f>IF(RealTime,AH77,static_data())</f>
        <v>1.188718108</v>
      </c>
      <c r="AK77" s="435">
        <f>IF(RealTime,AI77,static_data())</f>
        <v>1.188718108</v>
      </c>
      <c r="AL77" s="43">
        <f t="shared" si="13"/>
        <v>1.188718108</v>
      </c>
      <c r="AO77" s="138" t="s">
        <v>48</v>
      </c>
      <c r="AP77" s="138">
        <f t="shared" ref="AP77" si="46">IF(LEN(AO77)=0,"",IF(NOT(ISERROR(FIND(" ",AO77))),3,IF(NOT(ISERROR(FIND("-",AO77))),2,IF(NOT(ISERROR(FIND("Y",AO77))),4,1))))</f>
        <v>4</v>
      </c>
      <c r="AQ77" s="159" t="str">
        <f t="shared" ref="AQ77" si="47">AO77</f>
        <v>60Y</v>
      </c>
      <c r="AR77" s="134" t="str">
        <f>CHOOSE($AP77,AR$3&amp;$AQ77&amp;AS$3,AR$4&amp;strrep(strrep(AQ77,"M",""),"-","X")&amp;AS$4,AR$5&amp;UPPER(FutCode2(AQ77))&amp;AS$5,AR$6&amp;$AQ77&amp;AS$6,"")</f>
        <v>EUR3MSW60Y=</v>
      </c>
      <c r="AS77" s="70">
        <f>IF(RealTime,_xll.RtGet(RtChannel,$AR77,AS$12),"StaticData")</f>
        <v>1.0660000000000001</v>
      </c>
      <c r="AT77" s="70">
        <f>IF(RealTime,_xll.RtGet(RtChannel,$AR77,AT$12),"StaticData")</f>
        <v>1.0660000000000001</v>
      </c>
      <c r="AU77" s="437">
        <f>IF(RealTime,AS77,static_data())</f>
        <v>1.0660000000000001</v>
      </c>
      <c r="AV77" s="539">
        <f>IF(RealTime,AT77,static_data())</f>
        <v>1.0660000000000001</v>
      </c>
      <c r="AW77" s="44">
        <f t="shared" ref="AW77" si="48">IF(LEN(AO77)&gt;0,IF($AP77=3,100-AVERAGE(AU77:AV77),AVERAGE(AU77:AV77)),"")</f>
        <v>1.0660000000000001</v>
      </c>
      <c r="AY77" s="198" t="s">
        <v>171</v>
      </c>
      <c r="AZ77" s="158" t="str">
        <f t="shared" ref="AZ77:AZ80" si="49">AY77</f>
        <v>39Y</v>
      </c>
      <c r="BA77" s="134" t="s">
        <v>4049</v>
      </c>
      <c r="BB77" s="70">
        <f>IF(RealTime,_xll.RtGet(RtChannel,$BA77,BB$12),"StaticData")</f>
        <v>1.241294903</v>
      </c>
      <c r="BC77" s="71">
        <f>IF(RealTime,_xll.RtGet(RtChannel,$BA77,BC$12),"StaticData")</f>
        <v>1.241294903</v>
      </c>
      <c r="BD77" s="435">
        <f>IF(RealTime,BB77,static_data())</f>
        <v>1.241294903</v>
      </c>
      <c r="BE77" s="435">
        <f>IF(RealTime,BC77,static_data())</f>
        <v>1.241294903</v>
      </c>
      <c r="BF77" s="43">
        <f t="shared" ref="BF77:BF80" si="50">IF(LEN($AY77)&gt;0,AVERAGE(BD77:BE77),"")</f>
        <v>1.241294903</v>
      </c>
      <c r="BH77" s="158" t="str">
        <v/>
      </c>
      <c r="BI77" s="134" t="str">
        <f t="shared" si="25"/>
        <v/>
      </c>
      <c r="BJ77" s="70" t="str">
        <f>IF(RealTime,_xll.RtGet(RtChannel,$BI77,BJ$12),"StaticData")</f>
        <v>#N/A No instrument defined.</v>
      </c>
      <c r="BK77" s="71" t="str">
        <f>IF(RealTime,_xll.RtGet(RtChannel,$BI77,BK$12),"StaticData")</f>
        <v>#N/A No instrument defined.</v>
      </c>
      <c r="BL77" s="70" t="str">
        <f>IF(RealTime,BJ77,static_data())</f>
        <v>#N/A No instrument defined.</v>
      </c>
      <c r="BM77" s="70" t="str">
        <f>IF(RealTime,BK77,static_data())</f>
        <v>#N/A No instrument defined.</v>
      </c>
      <c r="BN77" s="43" t="str">
        <f t="shared" ref="BN77:BN78" si="51">IF(LEN($V77)&gt;0,IF($W77="F",100-AVERAGE(BL77:BM77),AVERAGE(BL77:BM77)),"")</f>
        <v/>
      </c>
      <c r="BY77" s="199" t="s">
        <v>48</v>
      </c>
      <c r="BZ77" s="138" t="str">
        <f t="shared" si="15"/>
        <v>60Y</v>
      </c>
      <c r="CA77" s="135" t="str">
        <f t="shared" si="28"/>
        <v>EUR1MSW60Y=</v>
      </c>
      <c r="CB77" s="72">
        <f>IF(RealTime,_xll.RtGet(RtChannel,$CA77,CD$12),"StaticData")</f>
        <v>1.0130000000000001</v>
      </c>
      <c r="CC77" s="73">
        <f>IF(RealTime,_xll.RtGet(RtChannel,$CA77,CE$12),"StaticData")</f>
        <v>1.0130000000000001</v>
      </c>
      <c r="CD77" s="72">
        <f>IF(RealTime,CB77,static_data())</f>
        <v>1.0130000000000001</v>
      </c>
      <c r="CE77" s="73">
        <f>IF(RealTime,CC77,static_data())</f>
        <v>1.0130000000000001</v>
      </c>
      <c r="CF77" s="44">
        <f t="shared" si="16"/>
        <v>1.0130000000000001</v>
      </c>
      <c r="CG77" s="48">
        <f>(CF77-'reference set'!BA87)*100</f>
        <v>1.8000000000000127</v>
      </c>
    </row>
    <row r="78" spans="17:85">
      <c r="Q78" s="156" t="s">
        <v>48</v>
      </c>
      <c r="R78" s="308" t="s">
        <v>508</v>
      </c>
      <c r="S78" s="166"/>
      <c r="T78" s="369">
        <f t="shared" si="33"/>
        <v>64612</v>
      </c>
      <c r="U78" s="292" t="b">
        <v>1</v>
      </c>
      <c r="V78" s="285" t="str">
        <v/>
      </c>
      <c r="W78" s="138" t="str">
        <v/>
      </c>
      <c r="X78" s="139" t="str">
        <f t="shared" si="43"/>
        <v/>
      </c>
      <c r="Y78" s="333">
        <f t="shared" si="37"/>
        <v>5</v>
      </c>
      <c r="Z78" s="176" t="str">
        <f t="shared" si="44"/>
        <v/>
      </c>
      <c r="AA78" s="369" t="str">
        <v/>
      </c>
      <c r="AB78" s="333" t="str">
        <f t="shared" si="39"/>
        <v/>
      </c>
      <c r="AC78" s="335"/>
      <c r="AD78" s="6"/>
      <c r="AE78" s="198" t="s">
        <v>171</v>
      </c>
      <c r="AF78" s="158" t="str">
        <f t="shared" si="45"/>
        <v>39Y</v>
      </c>
      <c r="AG78" s="134" t="s">
        <v>3981</v>
      </c>
      <c r="AH78" s="70">
        <f>IF(RealTime,_xll.RtGet(RtChannel,$AG78,AH$12),"StaticData")</f>
        <v>1.1861086190000001</v>
      </c>
      <c r="AI78" s="71">
        <f>IF(RealTime,_xll.RtGet(RtChannel,$AG78,AI$12),"StaticData")</f>
        <v>1.1861086190000001</v>
      </c>
      <c r="AJ78" s="435">
        <f>IF(RealTime,AH78,static_data())</f>
        <v>1.1861086190000001</v>
      </c>
      <c r="AK78" s="435">
        <f>IF(RealTime,AI78,static_data())</f>
        <v>1.1861086190000001</v>
      </c>
      <c r="AL78" s="43">
        <f t="shared" ref="AL78:AL81" si="52">IF(LEN(AE78)&gt;0,AVERAGE(AJ78:AK78),"")</f>
        <v>1.1861086190000001</v>
      </c>
      <c r="AY78" s="198" t="s">
        <v>46</v>
      </c>
      <c r="AZ78" s="158" t="str">
        <f t="shared" si="49"/>
        <v>40Y</v>
      </c>
      <c r="BA78" s="134" t="s">
        <v>4050</v>
      </c>
      <c r="BB78" s="70">
        <f>IF(RealTime,_xll.RtGet(RtChannel,$BA78,BB$12),"StaticData")</f>
        <v>1.2370000000000001</v>
      </c>
      <c r="BC78" s="71">
        <f>IF(RealTime,_xll.RtGet(RtChannel,$BA78,BC$12),"StaticData")</f>
        <v>1.2370000000000001</v>
      </c>
      <c r="BD78" s="435">
        <f>IF(RealTime,BB78,static_data())</f>
        <v>1.2370000000000001</v>
      </c>
      <c r="BE78" s="435">
        <f>IF(RealTime,BC78,static_data())</f>
        <v>1.2370000000000001</v>
      </c>
      <c r="BF78" s="43">
        <f t="shared" si="50"/>
        <v>1.2370000000000001</v>
      </c>
      <c r="BH78" s="159" t="str">
        <v/>
      </c>
      <c r="BI78" s="160" t="str">
        <f t="shared" si="25"/>
        <v/>
      </c>
      <c r="BJ78" s="72" t="str">
        <f>IF(RealTime,_xll.RtGet(RtChannel,$BI78,BJ$12),"StaticData")</f>
        <v>#N/A No instrument defined.</v>
      </c>
      <c r="BK78" s="73" t="str">
        <f>IF(RealTime,_xll.RtGet(RtChannel,$BI78,BK$12),"StaticData")</f>
        <v>#N/A No instrument defined.</v>
      </c>
      <c r="BL78" s="76" t="str">
        <f>IF(RealTime,BJ78,static_data())</f>
        <v>#N/A No instrument defined.</v>
      </c>
      <c r="BM78" s="73" t="str">
        <f>IF(RealTime,BK78,static_data())</f>
        <v>#N/A No instrument defined.</v>
      </c>
      <c r="BN78" s="44" t="str">
        <f t="shared" si="51"/>
        <v/>
      </c>
      <c r="BY78" s="6"/>
      <c r="BZ78" s="6"/>
      <c r="CA78" s="6"/>
      <c r="CB78" s="6"/>
      <c r="CC78" s="6"/>
      <c r="CD78" s="6"/>
      <c r="CE78" s="6"/>
      <c r="CF78" s="45"/>
    </row>
    <row r="79" spans="17:85">
      <c r="Q79" s="401"/>
      <c r="R79" s="401"/>
      <c r="T79" s="401"/>
      <c r="U79" s="401"/>
      <c r="V79" s="401"/>
      <c r="W79" s="401"/>
      <c r="X79" s="401"/>
      <c r="Y79" s="6"/>
      <c r="Z79" s="6"/>
      <c r="AA79" s="6"/>
      <c r="AB79" s="401"/>
      <c r="AD79" s="6"/>
      <c r="AE79" s="198" t="s">
        <v>46</v>
      </c>
      <c r="AF79" s="158" t="str">
        <f t="shared" si="45"/>
        <v>40Y</v>
      </c>
      <c r="AG79" s="134" t="s">
        <v>3982</v>
      </c>
      <c r="AH79" s="70">
        <f>IF(RealTime,_xll.RtGet(RtChannel,$AG79,AH$12),"StaticData")</f>
        <v>1.1830000000000001</v>
      </c>
      <c r="AI79" s="71">
        <f>IF(RealTime,_xll.RtGet(RtChannel,$AG79,AI$12),"StaticData")</f>
        <v>1.1830000000000001</v>
      </c>
      <c r="AJ79" s="435">
        <f>IF(RealTime,AH79,static_data())</f>
        <v>1.1830000000000001</v>
      </c>
      <c r="AK79" s="435">
        <f>IF(RealTime,AI79,static_data())</f>
        <v>1.1830000000000001</v>
      </c>
      <c r="AL79" s="43">
        <f t="shared" si="52"/>
        <v>1.1830000000000001</v>
      </c>
      <c r="AY79" s="198" t="s">
        <v>47</v>
      </c>
      <c r="AZ79" s="158" t="str">
        <f t="shared" si="49"/>
        <v>50Y</v>
      </c>
      <c r="BA79" s="134" t="s">
        <v>4051</v>
      </c>
      <c r="BB79" s="70">
        <f>IF(RealTime,_xll.RtGet(RtChannel,$BA79,BB$12),"StaticData")</f>
        <v>1.1779999999999999</v>
      </c>
      <c r="BC79" s="71">
        <f>IF(RealTime,_xll.RtGet(RtChannel,$BA79,BC$12),"StaticData")</f>
        <v>1.1779999999999999</v>
      </c>
      <c r="BD79" s="435">
        <f>IF(RealTime,BB79,static_data())</f>
        <v>1.1779999999999999</v>
      </c>
      <c r="BE79" s="435">
        <f>IF(RealTime,BC79,static_data())</f>
        <v>1.1779999999999999</v>
      </c>
      <c r="BF79" s="43">
        <f t="shared" si="50"/>
        <v>1.1779999999999999</v>
      </c>
      <c r="BN79" s="46"/>
      <c r="BY79" s="6"/>
      <c r="BZ79" s="6"/>
      <c r="CA79" s="6"/>
      <c r="CB79" s="6"/>
      <c r="CC79" s="6"/>
      <c r="CD79" s="6"/>
      <c r="CE79" s="6"/>
      <c r="CF79" s="45"/>
    </row>
    <row r="80" spans="17:85">
      <c r="Q80" s="401"/>
      <c r="R80" s="401"/>
      <c r="T80" s="401"/>
      <c r="U80" s="401"/>
      <c r="V80" s="401"/>
      <c r="W80" s="401"/>
      <c r="X80" s="401"/>
      <c r="Y80" s="6"/>
      <c r="Z80" s="6"/>
      <c r="AA80" s="6"/>
      <c r="AB80" s="401"/>
      <c r="AD80" s="6"/>
      <c r="AE80" s="198" t="s">
        <v>47</v>
      </c>
      <c r="AF80" s="158" t="str">
        <f t="shared" si="45"/>
        <v>50Y</v>
      </c>
      <c r="AG80" s="134" t="s">
        <v>3983</v>
      </c>
      <c r="AH80" s="70">
        <f>IF(RealTime,_xll.RtGet(RtChannel,$AG80,AH$12),"StaticData")</f>
        <v>1.129</v>
      </c>
      <c r="AI80" s="71">
        <f>IF(RealTime,_xll.RtGet(RtChannel,$AG80,AI$12),"StaticData")</f>
        <v>1.129</v>
      </c>
      <c r="AJ80" s="435">
        <f>IF(RealTime,AH80,static_data())</f>
        <v>1.129</v>
      </c>
      <c r="AK80" s="435">
        <f>IF(RealTime,AI80,static_data())</f>
        <v>1.129</v>
      </c>
      <c r="AL80" s="43">
        <f t="shared" si="52"/>
        <v>1.129</v>
      </c>
      <c r="AY80" s="199" t="s">
        <v>48</v>
      </c>
      <c r="AZ80" s="159" t="str">
        <f t="shared" si="49"/>
        <v>60Y</v>
      </c>
      <c r="BA80" s="160" t="s">
        <v>4052</v>
      </c>
      <c r="BB80" s="72">
        <f>IF(RealTime,_xll.RtGet(RtChannel,$BA80,BB$12),"StaticData")</f>
        <v>1.139</v>
      </c>
      <c r="BC80" s="73">
        <f>IF(RealTime,_xll.RtGet(RtChannel,$BA80,BC$12),"StaticData")</f>
        <v>1.139</v>
      </c>
      <c r="BD80" s="76">
        <f>IF(RealTime,BB80,static_data())</f>
        <v>1.139</v>
      </c>
      <c r="BE80" s="73">
        <f>IF(RealTime,BC80,static_data())</f>
        <v>1.139</v>
      </c>
      <c r="BF80" s="44">
        <f t="shared" si="50"/>
        <v>1.139</v>
      </c>
      <c r="BY80" s="6"/>
      <c r="BZ80" s="6"/>
      <c r="CA80" s="6"/>
      <c r="CB80" s="6"/>
      <c r="CC80" s="6"/>
      <c r="CD80" s="6"/>
      <c r="CE80" s="6"/>
      <c r="CF80" s="45"/>
    </row>
    <row r="81" spans="5:58">
      <c r="U81" s="401"/>
      <c r="AE81" s="199" t="s">
        <v>48</v>
      </c>
      <c r="AF81" s="159" t="str">
        <f t="shared" si="45"/>
        <v>60Y</v>
      </c>
      <c r="AG81" s="135" t="s">
        <v>3984</v>
      </c>
      <c r="AH81" s="72">
        <f>IF(RealTime,_xll.RtGet(RtChannel,$AG81,AH$12),"StaticData")</f>
        <v>1.0940000000000001</v>
      </c>
      <c r="AI81" s="73">
        <f>IF(RealTime,_xll.RtGet(RtChannel,$AG81,AI$12),"StaticData")</f>
        <v>1.0940000000000001</v>
      </c>
      <c r="AJ81" s="437">
        <f>IF(RealTime,AH81,static_data())</f>
        <v>1.0940000000000001</v>
      </c>
      <c r="AK81" s="438">
        <f>IF(RealTime,AI81,static_data())</f>
        <v>1.0940000000000001</v>
      </c>
      <c r="AL81" s="44">
        <f t="shared" si="52"/>
        <v>1.0940000000000001</v>
      </c>
      <c r="BF81" s="46"/>
    </row>
    <row r="82" spans="5:58">
      <c r="E82" s="5"/>
      <c r="F82" s="5"/>
      <c r="AF82" s="5"/>
    </row>
    <row r="83" spans="5:58">
      <c r="E83" s="5"/>
      <c r="F83" s="5"/>
      <c r="AF83" s="5"/>
    </row>
    <row r="84" spans="5:58">
      <c r="E84" s="5"/>
      <c r="F84" s="5"/>
      <c r="AF84" s="5"/>
    </row>
    <row r="85" spans="5:58">
      <c r="E85" s="5"/>
      <c r="F85" s="5"/>
      <c r="AF85" s="5"/>
    </row>
    <row r="86" spans="5:58">
      <c r="E86" s="5"/>
      <c r="F86" s="5"/>
      <c r="AF86" s="5"/>
    </row>
    <row r="87" spans="5:58">
      <c r="E87" s="5"/>
      <c r="F87" s="5"/>
      <c r="AF87" s="5"/>
    </row>
    <row r="88" spans="5:58">
      <c r="E88" s="5"/>
      <c r="F88" s="5"/>
      <c r="AF88" s="5"/>
    </row>
    <row r="89" spans="5:58">
      <c r="E89" s="5"/>
      <c r="F89" s="5"/>
      <c r="AF89" s="5"/>
    </row>
    <row r="90" spans="5:58">
      <c r="E90" s="5"/>
      <c r="F90" s="5"/>
      <c r="AF90" s="5"/>
    </row>
    <row r="91" spans="5:58">
      <c r="E91" s="5"/>
      <c r="F91" s="5"/>
      <c r="AF91" s="5"/>
    </row>
    <row r="92" spans="5:58">
      <c r="E92" s="5"/>
      <c r="F92" s="5"/>
      <c r="AF92" s="5"/>
    </row>
    <row r="93" spans="5:58">
      <c r="E93" s="5"/>
      <c r="F93" s="5"/>
      <c r="AF93" s="5"/>
    </row>
    <row r="94" spans="5:58">
      <c r="E94" s="5"/>
      <c r="F94" s="5"/>
      <c r="AF94" s="5"/>
    </row>
    <row r="95" spans="5:58">
      <c r="E95" s="5"/>
      <c r="F95" s="5"/>
      <c r="AF95" s="5"/>
    </row>
    <row r="96" spans="5:58">
      <c r="E96" s="5"/>
      <c r="F96" s="5"/>
      <c r="AF96" s="5"/>
    </row>
    <row r="97" spans="5:32">
      <c r="E97" s="5"/>
      <c r="F97" s="5"/>
      <c r="AF97" s="5"/>
    </row>
    <row r="98" spans="5:32">
      <c r="E98" s="5"/>
      <c r="F98" s="5"/>
      <c r="AF98" s="5"/>
    </row>
    <row r="99" spans="5:32">
      <c r="E99" s="5"/>
      <c r="F99" s="5"/>
      <c r="AF99" s="5"/>
    </row>
    <row r="100" spans="5:32">
      <c r="E100" s="5"/>
      <c r="F100" s="5"/>
      <c r="AF100" s="5"/>
    </row>
    <row r="101" spans="5:32">
      <c r="E101" s="5"/>
      <c r="F101" s="5"/>
      <c r="AF101" s="5"/>
    </row>
    <row r="102" spans="5:32">
      <c r="E102" s="5"/>
      <c r="F102" s="5"/>
      <c r="AF102" s="5"/>
    </row>
    <row r="103" spans="5:32">
      <c r="E103" s="5"/>
      <c r="F103" s="5"/>
      <c r="AF103" s="5"/>
    </row>
    <row r="104" spans="5:32">
      <c r="E104" s="5"/>
      <c r="F104" s="5"/>
      <c r="AF104" s="5"/>
    </row>
    <row r="105" spans="5:32">
      <c r="E105" s="5"/>
      <c r="F105" s="5"/>
      <c r="AF105" s="5"/>
    </row>
    <row r="106" spans="5:32">
      <c r="E106" s="5"/>
      <c r="F106" s="5"/>
      <c r="AF106" s="5"/>
    </row>
    <row r="107" spans="5:32">
      <c r="E107" s="5"/>
      <c r="F107" s="5"/>
      <c r="AF107" s="5"/>
    </row>
    <row r="108" spans="5:32">
      <c r="E108" s="5"/>
      <c r="F108" s="5"/>
      <c r="AF108" s="5"/>
    </row>
    <row r="109" spans="5:32">
      <c r="E109" s="5"/>
      <c r="F109" s="5"/>
      <c r="AF109" s="5"/>
    </row>
    <row r="110" spans="5:32">
      <c r="E110" s="5"/>
      <c r="F110" s="5"/>
      <c r="AF110" s="5"/>
    </row>
    <row r="111" spans="5:32">
      <c r="E111" s="5"/>
      <c r="F111" s="5"/>
      <c r="AF111" s="5"/>
    </row>
    <row r="112" spans="5:32">
      <c r="E112" s="5"/>
      <c r="F112" s="5"/>
      <c r="AF112" s="5"/>
    </row>
    <row r="113" spans="5:32">
      <c r="E113" s="5"/>
      <c r="F113" s="5"/>
      <c r="AF113" s="5"/>
    </row>
    <row r="114" spans="5:32">
      <c r="E114" s="5"/>
      <c r="F114" s="5"/>
      <c r="AF114" s="5"/>
    </row>
    <row r="115" spans="5:32">
      <c r="E115" s="5"/>
      <c r="F115" s="5"/>
      <c r="AF115" s="5"/>
    </row>
    <row r="116" spans="5:32">
      <c r="E116" s="5"/>
      <c r="F116" s="5"/>
      <c r="AF116" s="5"/>
    </row>
    <row r="117" spans="5:32">
      <c r="E117" s="5"/>
      <c r="F117" s="5"/>
      <c r="AF117" s="5"/>
    </row>
    <row r="118" spans="5:32">
      <c r="E118" s="5"/>
      <c r="F118" s="5"/>
      <c r="AF118" s="5"/>
    </row>
    <row r="119" spans="5:32">
      <c r="E119" s="5"/>
      <c r="F119" s="5"/>
      <c r="AF119" s="5"/>
    </row>
    <row r="120" spans="5:32">
      <c r="E120" s="5"/>
      <c r="F120" s="5"/>
      <c r="AF120" s="5"/>
    </row>
    <row r="121" spans="5:32">
      <c r="E121" s="5"/>
      <c r="F121" s="5"/>
      <c r="AF121" s="5"/>
    </row>
    <row r="122" spans="5:32">
      <c r="E122" s="5"/>
      <c r="F122" s="5"/>
      <c r="AF122" s="5"/>
    </row>
    <row r="123" spans="5:32">
      <c r="E123" s="5"/>
      <c r="F123" s="5"/>
      <c r="AF123" s="5"/>
    </row>
    <row r="124" spans="5:32">
      <c r="E124" s="5"/>
      <c r="F124" s="5"/>
      <c r="AF124" s="5"/>
    </row>
    <row r="125" spans="5:32">
      <c r="E125" s="5"/>
      <c r="F125" s="5"/>
      <c r="AF125" s="5"/>
    </row>
    <row r="126" spans="5:32">
      <c r="E126" s="5"/>
      <c r="F126" s="5"/>
      <c r="AF126" s="5"/>
    </row>
    <row r="127" spans="5:32">
      <c r="E127" s="5"/>
      <c r="F127" s="5"/>
      <c r="AF127" s="5"/>
    </row>
    <row r="128" spans="5:32">
      <c r="E128" s="5"/>
      <c r="F128" s="5"/>
      <c r="AF128" s="5"/>
    </row>
    <row r="129" spans="5:32">
      <c r="E129" s="5"/>
      <c r="F129" s="5"/>
      <c r="AF129" s="5"/>
    </row>
    <row r="130" spans="5:32">
      <c r="E130" s="5"/>
      <c r="F130" s="5"/>
      <c r="AF130" s="5"/>
    </row>
    <row r="131" spans="5:32">
      <c r="E131" s="5"/>
      <c r="F131" s="5"/>
      <c r="AF131" s="5"/>
    </row>
    <row r="132" spans="5:32">
      <c r="E132" s="5"/>
      <c r="F132" s="5"/>
      <c r="AF132" s="5"/>
    </row>
    <row r="133" spans="5:32">
      <c r="E133" s="5"/>
      <c r="F133" s="5"/>
      <c r="AF133" s="5"/>
    </row>
    <row r="134" spans="5:32">
      <c r="E134" s="5"/>
      <c r="F134" s="5"/>
      <c r="AF134" s="5"/>
    </row>
    <row r="135" spans="5:32">
      <c r="E135" s="5"/>
      <c r="F135" s="5"/>
      <c r="AF135" s="5"/>
    </row>
    <row r="136" spans="5:32">
      <c r="E136" s="5"/>
      <c r="F136" s="5"/>
      <c r="AF136" s="5"/>
    </row>
    <row r="137" spans="5:32">
      <c r="E137" s="5"/>
      <c r="F137" s="5"/>
      <c r="AF137" s="5"/>
    </row>
    <row r="138" spans="5:32">
      <c r="E138" s="5"/>
      <c r="F138" s="5"/>
      <c r="AF138" s="5"/>
    </row>
    <row r="139" spans="5:32">
      <c r="E139" s="5"/>
      <c r="F139" s="5"/>
      <c r="AF139" s="5"/>
    </row>
    <row r="140" spans="5:32">
      <c r="E140" s="5"/>
      <c r="F140" s="5"/>
      <c r="AF140" s="5"/>
    </row>
    <row r="141" spans="5:32">
      <c r="E141" s="5"/>
      <c r="F141" s="5"/>
      <c r="AF141" s="5"/>
    </row>
    <row r="142" spans="5:32">
      <c r="E142" s="5"/>
      <c r="F142" s="5"/>
      <c r="AF142" s="5"/>
    </row>
    <row r="143" spans="5:32">
      <c r="E143" s="5"/>
      <c r="F143" s="5"/>
      <c r="AF143" s="5"/>
    </row>
    <row r="144" spans="5:32">
      <c r="E144" s="5"/>
      <c r="F144" s="5"/>
      <c r="AF144" s="5"/>
    </row>
    <row r="145" spans="5:32">
      <c r="E145" s="5"/>
      <c r="F145" s="5"/>
      <c r="AF145" s="5"/>
    </row>
    <row r="146" spans="5:32">
      <c r="E146" s="5"/>
      <c r="F146" s="5"/>
      <c r="AF146" s="5"/>
    </row>
    <row r="147" spans="5:32">
      <c r="E147" s="5"/>
      <c r="F147" s="5"/>
      <c r="AF147" s="5"/>
    </row>
    <row r="148" spans="5:32">
      <c r="E148" s="5"/>
      <c r="F148" s="5"/>
      <c r="AF148" s="5"/>
    </row>
    <row r="149" spans="5:32">
      <c r="E149" s="5"/>
      <c r="F149" s="5"/>
      <c r="AF149" s="5"/>
    </row>
    <row r="150" spans="5:32">
      <c r="E150" s="5"/>
      <c r="F150" s="5"/>
      <c r="AF150" s="5"/>
    </row>
    <row r="151" spans="5:32">
      <c r="E151" s="5"/>
      <c r="F151" s="5"/>
      <c r="AF151" s="5"/>
    </row>
    <row r="152" spans="5:32">
      <c r="E152" s="5"/>
      <c r="F152" s="5"/>
      <c r="AF152" s="5"/>
    </row>
    <row r="153" spans="5:32">
      <c r="E153" s="5"/>
      <c r="F153" s="5"/>
      <c r="AF153" s="5"/>
    </row>
    <row r="154" spans="5:32">
      <c r="E154" s="5"/>
      <c r="F154" s="5"/>
      <c r="AF154" s="5"/>
    </row>
    <row r="155" spans="5:32">
      <c r="E155" s="5"/>
      <c r="F155" s="5"/>
      <c r="AF155" s="5"/>
    </row>
    <row r="156" spans="5:32">
      <c r="E156" s="5"/>
      <c r="F156" s="5"/>
      <c r="AF156" s="5"/>
    </row>
    <row r="157" spans="5:32">
      <c r="E157" s="5"/>
      <c r="F157" s="5"/>
      <c r="AF157" s="5"/>
    </row>
    <row r="158" spans="5:32">
      <c r="E158" s="5"/>
      <c r="F158" s="5"/>
      <c r="AF158" s="5"/>
    </row>
    <row r="159" spans="5:32">
      <c r="E159" s="5"/>
      <c r="F159" s="5"/>
      <c r="AF159" s="5"/>
    </row>
    <row r="160" spans="5:32">
      <c r="E160" s="5"/>
      <c r="F160" s="5"/>
      <c r="AF160" s="5"/>
    </row>
    <row r="161" spans="5:32">
      <c r="E161" s="5"/>
      <c r="F161" s="5"/>
      <c r="AF161" s="5"/>
    </row>
    <row r="162" spans="5:32">
      <c r="E162" s="5"/>
      <c r="F162" s="5"/>
      <c r="AF162" s="5"/>
    </row>
    <row r="163" spans="5:32">
      <c r="E163" s="5"/>
      <c r="F163" s="5"/>
      <c r="AF163" s="5"/>
    </row>
    <row r="164" spans="5:32">
      <c r="E164" s="5"/>
      <c r="F164" s="5"/>
      <c r="AF164" s="5"/>
    </row>
    <row r="165" spans="5:32">
      <c r="E165" s="5"/>
      <c r="F165" s="5"/>
      <c r="AF165" s="5"/>
    </row>
    <row r="166" spans="5:32">
      <c r="E166" s="5"/>
      <c r="F166" s="5"/>
      <c r="AF166" s="5"/>
    </row>
    <row r="167" spans="5:32">
      <c r="E167" s="5"/>
      <c r="F167" s="5"/>
      <c r="AF167" s="5"/>
    </row>
    <row r="168" spans="5:32">
      <c r="E168" s="5"/>
      <c r="F168" s="5"/>
      <c r="AF168" s="5"/>
    </row>
    <row r="169" spans="5:32">
      <c r="E169" s="5"/>
      <c r="F169" s="5"/>
      <c r="AF169" s="5"/>
    </row>
    <row r="170" spans="5:32">
      <c r="E170" s="5"/>
      <c r="F170" s="5"/>
      <c r="AF170" s="5"/>
    </row>
    <row r="171" spans="5:32">
      <c r="E171" s="5"/>
      <c r="F171" s="5"/>
      <c r="AF171" s="5"/>
    </row>
    <row r="172" spans="5:32">
      <c r="F172" s="5"/>
      <c r="AF172" s="5"/>
    </row>
    <row r="173" spans="5:32">
      <c r="F173" s="5"/>
      <c r="AF173" s="5"/>
    </row>
    <row r="174" spans="5:32">
      <c r="F174" s="5"/>
      <c r="AF174" s="5"/>
    </row>
    <row r="175" spans="5:32">
      <c r="AF175" s="5"/>
    </row>
    <row r="176" spans="5:32">
      <c r="AF176" s="142"/>
    </row>
    <row r="177" spans="32:32">
      <c r="AF177" s="142"/>
    </row>
  </sheetData>
  <mergeCells count="15">
    <mergeCell ref="B1:C1"/>
    <mergeCell ref="E1:G1"/>
    <mergeCell ref="L1:N1"/>
    <mergeCell ref="L2:N2"/>
    <mergeCell ref="J4:J5"/>
    <mergeCell ref="BZ11:CG11"/>
    <mergeCell ref="L14:O14"/>
    <mergeCell ref="O15:O16"/>
    <mergeCell ref="V11:AB11"/>
    <mergeCell ref="AG11:AL11"/>
    <mergeCell ref="AR11:AW11"/>
    <mergeCell ref="BA11:BF11"/>
    <mergeCell ref="BI11:BN11"/>
    <mergeCell ref="BQ11:BW11"/>
    <mergeCell ref="Q11:U11"/>
  </mergeCells>
  <conditionalFormatting sqref="V13:X78 Z13:AB78">
    <cfRule type="expression" dxfId="34" priority="8">
      <formula>NOT(LEN($V13)&gt;0)</formula>
    </cfRule>
  </conditionalFormatting>
  <conditionalFormatting sqref="AG13:AL81 AR13:AW77 BA13:BF80 BI13:BN78">
    <cfRule type="expression" dxfId="33" priority="7">
      <formula>NOT(LEN(#REF!)&gt;0)</formula>
    </cfRule>
  </conditionalFormatting>
  <conditionalFormatting sqref="AC29:AC34">
    <cfRule type="expression" dxfId="32" priority="5">
      <formula>NOT(LEN($V29)&gt;0)</formula>
    </cfRule>
    <cfRule type="expression" dxfId="31" priority="6">
      <formula>LEN(AC29)=0</formula>
    </cfRule>
  </conditionalFormatting>
  <conditionalFormatting sqref="F15:F34">
    <cfRule type="cellIs" dxfId="30" priority="4" operator="notEqual">
      <formula>#REF!</formula>
    </cfRule>
  </conditionalFormatting>
  <conditionalFormatting sqref="BU13:BV73">
    <cfRule type="expression" dxfId="29" priority="3">
      <formula>NOT(LEN(#REF!)&gt;0)</formula>
    </cfRule>
  </conditionalFormatting>
  <conditionalFormatting sqref="CD13:CE76">
    <cfRule type="expression" dxfId="28" priority="2">
      <formula>NOT(LEN(#REF!)&gt;0)</formula>
    </cfRule>
  </conditionalFormatting>
  <conditionalFormatting sqref="Y13:Y78">
    <cfRule type="expression" dxfId="2" priority="1">
      <formula>NOT(LEN($V13)&gt;0)</formula>
    </cfRule>
  </conditionalFormatting>
  <pageMargins left="0.75" right="0.75" top="1" bottom="1" header="0.5" footer="0.5"/>
  <pageSetup paperSize="9" orientation="portrait" r:id="rId1"/>
  <headerFooter alignWithMargins="0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CC174"/>
  <sheetViews>
    <sheetView workbookViewId="0"/>
  </sheetViews>
  <sheetFormatPr defaultColWidth="10.7109375" defaultRowHeight="12.75" outlineLevelCol="1"/>
  <cols>
    <col min="1" max="1" width="1.7109375" customWidth="1"/>
    <col min="2" max="2" width="17.5703125" style="113" bestFit="1" customWidth="1"/>
    <col min="3" max="3" width="3" style="113" bestFit="1" customWidth="1"/>
    <col min="4" max="4" width="4.85546875" style="113" bestFit="1" customWidth="1"/>
    <col min="5" max="5" width="11.5703125" style="113" bestFit="1" customWidth="1"/>
    <col min="6" max="7" width="10.7109375" style="113"/>
    <col min="8" max="8" width="11.140625" style="113" bestFit="1" customWidth="1"/>
    <col min="9" max="13" width="10.7109375" style="113"/>
    <col min="15" max="15" width="10.7109375" style="113"/>
    <col min="16" max="16" width="1.7109375" customWidth="1" outlineLevel="1"/>
    <col min="17" max="17" width="11.5703125" customWidth="1"/>
    <col min="18" max="18" width="10" customWidth="1"/>
    <col min="19" max="19" width="11" customWidth="1"/>
    <col min="20" max="20" width="11.28515625" customWidth="1"/>
    <col min="21" max="21" width="10" customWidth="1"/>
    <col min="22" max="22" width="11" bestFit="1" customWidth="1"/>
    <col min="23" max="24" width="11" customWidth="1"/>
    <col min="25" max="25" width="10" style="113" customWidth="1"/>
    <col min="26" max="27" width="10" customWidth="1"/>
    <col min="28" max="28" width="16.85546875" bestFit="1" customWidth="1"/>
    <col min="29" max="29" width="1.7109375" customWidth="1"/>
    <col min="30" max="30" width="11.140625" bestFit="1" customWidth="1"/>
    <col min="31" max="31" width="27.140625" customWidth="1"/>
    <col min="32" max="36" width="10.7109375" customWidth="1"/>
    <col min="37" max="37" width="0" hidden="1" customWidth="1"/>
    <col min="38" max="38" width="1.7109375" customWidth="1"/>
    <col min="39" max="39" width="11.140625" bestFit="1" customWidth="1"/>
    <col min="40" max="40" width="25.5703125" customWidth="1"/>
    <col min="41" max="45" width="10.7109375" customWidth="1"/>
    <col min="46" max="46" width="1.7109375" customWidth="1"/>
    <col min="47" max="47" width="11.140625" bestFit="1" customWidth="1"/>
    <col min="48" max="48" width="28.140625" customWidth="1"/>
    <col min="49" max="53" width="10.7109375" customWidth="1"/>
    <col min="54" max="54" width="1.7109375" customWidth="1"/>
    <col min="55" max="55" width="11.140625" bestFit="1" customWidth="1"/>
    <col min="56" max="56" width="20.42578125" customWidth="1"/>
    <col min="57" max="61" width="10.7109375" customWidth="1"/>
    <col min="62" max="62" width="1.7109375" customWidth="1"/>
    <col min="63" max="63" width="6.140625" bestFit="1" customWidth="1"/>
    <col min="64" max="64" width="10.7109375" customWidth="1"/>
    <col min="65" max="65" width="20.7109375" customWidth="1"/>
    <col min="66" max="70" width="10.7109375" customWidth="1"/>
    <col min="71" max="71" width="1.7109375" customWidth="1"/>
    <col min="72" max="72" width="6.140625" bestFit="1" customWidth="1"/>
    <col min="73" max="73" width="11.85546875" customWidth="1"/>
    <col min="74" max="74" width="20.28515625" customWidth="1"/>
    <col min="75" max="80" width="10.7109375" customWidth="1"/>
  </cols>
  <sheetData>
    <row r="1" spans="1:81" s="113" customFormat="1">
      <c r="B1" s="113" t="s">
        <v>737</v>
      </c>
      <c r="E1" s="113" t="s">
        <v>743</v>
      </c>
      <c r="I1" s="113" t="s">
        <v>700</v>
      </c>
      <c r="L1" s="113" t="s">
        <v>744</v>
      </c>
      <c r="X1" s="52"/>
      <c r="Y1" s="52"/>
    </row>
    <row r="2" spans="1:81" s="113" customFormat="1">
      <c r="B2" s="113" t="s">
        <v>255</v>
      </c>
      <c r="C2" s="113" t="s">
        <v>249</v>
      </c>
      <c r="E2" s="113">
        <v>3</v>
      </c>
      <c r="F2" s="113" t="s">
        <v>702</v>
      </c>
      <c r="I2" s="273">
        <v>41626</v>
      </c>
      <c r="L2" s="113">
        <v>41639</v>
      </c>
      <c r="M2" s="113" t="s">
        <v>705</v>
      </c>
      <c r="X2" s="52"/>
      <c r="Y2" s="52"/>
      <c r="AF2" s="113" t="s">
        <v>512</v>
      </c>
      <c r="AG2" s="113" t="s">
        <v>513</v>
      </c>
      <c r="AO2" s="113" t="s">
        <v>512</v>
      </c>
      <c r="AP2" s="113" t="s">
        <v>513</v>
      </c>
      <c r="AW2" s="113" t="s">
        <v>512</v>
      </c>
      <c r="AX2" s="113" t="s">
        <v>513</v>
      </c>
      <c r="BE2" s="113" t="s">
        <v>512</v>
      </c>
      <c r="BF2" s="113" t="s">
        <v>513</v>
      </c>
      <c r="BL2" s="113" t="s">
        <v>206</v>
      </c>
      <c r="BU2" s="113" t="s">
        <v>206</v>
      </c>
    </row>
    <row r="3" spans="1:81" s="113" customFormat="1">
      <c r="B3" s="113" t="s">
        <v>736</v>
      </c>
      <c r="C3" s="113" t="s">
        <v>183</v>
      </c>
      <c r="E3" s="273">
        <v>41518</v>
      </c>
      <c r="F3" s="113" t="s">
        <v>703</v>
      </c>
      <c r="I3" s="273">
        <v>41717</v>
      </c>
      <c r="L3" s="273">
        <v>41608</v>
      </c>
      <c r="M3" s="113" t="s">
        <v>706</v>
      </c>
      <c r="V3" s="113" t="s">
        <v>206</v>
      </c>
      <c r="X3" s="52"/>
      <c r="Y3" s="52"/>
      <c r="AF3" s="113" t="s">
        <v>509</v>
      </c>
      <c r="AH3" s="113" t="s">
        <v>724</v>
      </c>
      <c r="AO3" s="113" t="s">
        <v>515</v>
      </c>
      <c r="AQ3" s="113" t="s">
        <v>724</v>
      </c>
      <c r="AW3" s="113" t="s">
        <v>518</v>
      </c>
      <c r="AY3" s="113" t="s">
        <v>724</v>
      </c>
      <c r="BE3" s="113" t="s">
        <v>521</v>
      </c>
      <c r="BF3" s="113" t="s">
        <v>522</v>
      </c>
      <c r="BG3" s="113" t="s">
        <v>724</v>
      </c>
      <c r="BL3" s="113" t="s">
        <v>86</v>
      </c>
      <c r="BR3" s="54"/>
      <c r="BS3" s="51"/>
      <c r="BT3" s="51"/>
      <c r="BU3" s="113" t="s">
        <v>7</v>
      </c>
    </row>
    <row r="4" spans="1:81" s="113" customFormat="1">
      <c r="B4" s="113" t="s">
        <v>735</v>
      </c>
      <c r="C4" s="113">
        <v>20</v>
      </c>
      <c r="E4" s="273">
        <v>41535</v>
      </c>
      <c r="F4" s="113" t="s">
        <v>698</v>
      </c>
      <c r="I4" s="273">
        <v>41808</v>
      </c>
      <c r="J4" s="113" t="s">
        <v>701</v>
      </c>
      <c r="L4" s="273" t="s">
        <v>733</v>
      </c>
      <c r="V4" s="113" t="s">
        <v>28</v>
      </c>
      <c r="X4" s="52"/>
      <c r="Y4" s="52"/>
      <c r="AF4" s="113" t="s">
        <v>509</v>
      </c>
      <c r="AH4" s="113" t="s">
        <v>725</v>
      </c>
      <c r="AO4" s="113" t="s">
        <v>515</v>
      </c>
      <c r="AQ4" s="113" t="s">
        <v>725</v>
      </c>
      <c r="AW4" s="113" t="s">
        <v>518</v>
      </c>
      <c r="AY4" s="113" t="s">
        <v>725</v>
      </c>
      <c r="BE4" s="113" t="s">
        <v>521</v>
      </c>
      <c r="BF4" s="113" t="s">
        <v>522</v>
      </c>
      <c r="BG4" s="113" t="s">
        <v>725</v>
      </c>
      <c r="BR4" s="54"/>
      <c r="BS4" s="51"/>
      <c r="BT4" s="51"/>
    </row>
    <row r="5" spans="1:81" s="113" customFormat="1">
      <c r="B5" s="113" t="s">
        <v>734</v>
      </c>
      <c r="C5" s="113" t="e">
        <v>#NAME?</v>
      </c>
      <c r="E5" s="273">
        <v>41626</v>
      </c>
      <c r="F5" s="113" t="s">
        <v>704</v>
      </c>
      <c r="I5" s="273">
        <v>41899</v>
      </c>
      <c r="L5" s="273">
        <v>41639</v>
      </c>
      <c r="M5" s="113" t="s">
        <v>205</v>
      </c>
      <c r="N5" s="113" t="s">
        <v>192</v>
      </c>
      <c r="V5" s="113" t="s">
        <v>25</v>
      </c>
      <c r="X5" s="52"/>
      <c r="Y5" s="52"/>
      <c r="AF5" s="113" t="s">
        <v>510</v>
      </c>
      <c r="AH5" s="113" t="s">
        <v>697</v>
      </c>
      <c r="AO5" s="113" t="s">
        <v>516</v>
      </c>
      <c r="AQ5" s="113" t="s">
        <v>697</v>
      </c>
      <c r="AW5" s="113" t="s">
        <v>519</v>
      </c>
      <c r="AY5" s="113" t="s">
        <v>697</v>
      </c>
      <c r="BE5" s="113" t="s">
        <v>516</v>
      </c>
      <c r="BG5" s="113" t="s">
        <v>697</v>
      </c>
      <c r="BR5" s="54"/>
      <c r="BS5" s="51"/>
      <c r="BT5" s="51"/>
    </row>
    <row r="6" spans="1:81" s="113" customFormat="1">
      <c r="L6" s="113">
        <v>41729</v>
      </c>
      <c r="M6" s="113" t="s">
        <v>199</v>
      </c>
      <c r="N6" s="113" t="s">
        <v>213</v>
      </c>
      <c r="V6" s="113" t="s">
        <v>56</v>
      </c>
      <c r="X6" s="52"/>
      <c r="Y6" s="52"/>
      <c r="AF6" s="113" t="s">
        <v>511</v>
      </c>
      <c r="AG6" s="113" t="s">
        <v>514</v>
      </c>
      <c r="AH6" s="113" t="s">
        <v>726</v>
      </c>
      <c r="AO6" s="113" t="s">
        <v>517</v>
      </c>
      <c r="AQ6" s="113" t="s">
        <v>726</v>
      </c>
      <c r="AW6" s="113" t="s">
        <v>520</v>
      </c>
      <c r="AY6" s="113" t="s">
        <v>726</v>
      </c>
      <c r="BE6" s="113" t="s">
        <v>511</v>
      </c>
      <c r="BF6" s="113" t="s">
        <v>514</v>
      </c>
      <c r="BG6" s="113" t="s">
        <v>726</v>
      </c>
      <c r="BR6" s="54"/>
      <c r="BS6" s="51"/>
      <c r="BT6" s="51"/>
    </row>
    <row r="7" spans="1:81" s="113" customFormat="1">
      <c r="V7" s="113" t="s">
        <v>479</v>
      </c>
      <c r="X7" s="52"/>
      <c r="Y7" s="52"/>
    </row>
    <row r="8" spans="1:81" s="113" customFormat="1">
      <c r="I8" s="113" t="s">
        <v>228</v>
      </c>
      <c r="X8" s="52"/>
      <c r="Y8" s="52"/>
      <c r="BR8" s="54"/>
      <c r="BS8" s="51"/>
      <c r="BT8" s="51"/>
    </row>
    <row r="9" spans="1:81" s="113" customFormat="1">
      <c r="I9" s="113" t="s">
        <v>241</v>
      </c>
      <c r="X9" s="52"/>
      <c r="Y9" s="52"/>
    </row>
    <row r="10" spans="1:81" s="113" customFormat="1">
      <c r="X10" s="52"/>
      <c r="Y10" s="52"/>
    </row>
    <row r="11" spans="1:81">
      <c r="A11" s="113"/>
      <c r="B11" s="113" t="s">
        <v>156</v>
      </c>
      <c r="C11" s="113">
        <v>41591.750555555554</v>
      </c>
      <c r="N11" s="113"/>
      <c r="P11" s="113"/>
      <c r="Q11" s="113" t="s">
        <v>523</v>
      </c>
      <c r="R11" s="113"/>
      <c r="S11" s="113"/>
      <c r="T11" s="113"/>
      <c r="U11" s="113"/>
      <c r="V11" s="113" t="s">
        <v>242</v>
      </c>
      <c r="W11" s="113"/>
      <c r="X11" s="113"/>
      <c r="Z11" s="113"/>
      <c r="AA11" s="113"/>
      <c r="AB11" s="113"/>
      <c r="AC11" s="113"/>
      <c r="AD11" s="113"/>
      <c r="AE11" s="113"/>
      <c r="AF11" s="113" t="s">
        <v>28</v>
      </c>
      <c r="AG11" s="113"/>
      <c r="AH11" s="113"/>
      <c r="AI11" s="113"/>
      <c r="AJ11" s="113"/>
      <c r="AK11" s="113"/>
      <c r="AL11" s="113"/>
      <c r="AM11" s="113"/>
      <c r="AN11" s="113"/>
      <c r="AO11" s="113" t="s">
        <v>25</v>
      </c>
      <c r="AP11" s="113"/>
      <c r="AQ11" s="113"/>
      <c r="AR11" s="113"/>
      <c r="AS11" s="113"/>
      <c r="AT11" s="113"/>
      <c r="AU11" s="113"/>
      <c r="AV11" s="113"/>
      <c r="AW11" s="113" t="s">
        <v>56</v>
      </c>
      <c r="AX11" s="113"/>
      <c r="AY11" s="113"/>
      <c r="AZ11" s="113"/>
      <c r="BA11" s="113"/>
      <c r="BB11" s="113"/>
      <c r="BC11" s="113"/>
      <c r="BD11" s="113"/>
      <c r="BE11" s="113" t="s">
        <v>0</v>
      </c>
      <c r="BF11" s="113"/>
      <c r="BG11" s="113"/>
      <c r="BH11" s="113"/>
      <c r="BI11" s="113"/>
      <c r="BJ11" s="113"/>
      <c r="BK11" s="113"/>
      <c r="BL11" s="113"/>
      <c r="BM11" s="113" t="s">
        <v>86</v>
      </c>
      <c r="BN11" s="113"/>
      <c r="BO11" s="113"/>
      <c r="BP11" s="113"/>
      <c r="BQ11" s="113"/>
      <c r="BR11" s="113"/>
      <c r="BS11" s="113"/>
      <c r="BT11" s="113"/>
      <c r="BV11" t="s">
        <v>7</v>
      </c>
    </row>
    <row r="12" spans="1:81">
      <c r="A12" s="113"/>
      <c r="B12" s="113" t="s">
        <v>92</v>
      </c>
      <c r="C12" s="113">
        <v>41808</v>
      </c>
      <c r="E12" s="273"/>
      <c r="N12" s="113"/>
      <c r="P12" s="113"/>
      <c r="Q12" s="113" t="s">
        <v>506</v>
      </c>
      <c r="R12" s="113" t="s">
        <v>229</v>
      </c>
      <c r="S12" s="113"/>
      <c r="T12" s="113" t="s">
        <v>158</v>
      </c>
      <c r="U12" s="113" t="s">
        <v>524</v>
      </c>
      <c r="V12" s="113" t="s">
        <v>206</v>
      </c>
      <c r="W12" s="113" t="s">
        <v>229</v>
      </c>
      <c r="X12" s="52" t="s">
        <v>556</v>
      </c>
      <c r="Y12" s="52" t="s">
        <v>559</v>
      </c>
      <c r="Z12" s="113" t="s">
        <v>545</v>
      </c>
      <c r="AA12" s="113" t="s">
        <v>158</v>
      </c>
      <c r="AB12" s="113" t="s">
        <v>557</v>
      </c>
      <c r="AC12" s="113" t="s">
        <v>160</v>
      </c>
      <c r="AD12" s="113"/>
      <c r="AE12" s="113"/>
      <c r="AF12" s="113" t="s">
        <v>248</v>
      </c>
      <c r="AG12" s="113" t="s">
        <v>70</v>
      </c>
      <c r="AH12" s="113" t="s">
        <v>71</v>
      </c>
      <c r="AI12" s="113" t="s">
        <v>70</v>
      </c>
      <c r="AJ12" s="52" t="s">
        <v>71</v>
      </c>
      <c r="AK12" s="113" t="s">
        <v>72</v>
      </c>
      <c r="AL12" s="113"/>
      <c r="AM12" s="113"/>
      <c r="AN12" s="113"/>
      <c r="AO12" s="113" t="s">
        <v>248</v>
      </c>
      <c r="AP12" s="113" t="s">
        <v>70</v>
      </c>
      <c r="AQ12" s="113" t="s">
        <v>71</v>
      </c>
      <c r="AR12" s="113" t="s">
        <v>70</v>
      </c>
      <c r="AS12" s="52" t="s">
        <v>71</v>
      </c>
      <c r="AT12" s="113" t="s">
        <v>72</v>
      </c>
      <c r="AU12" s="113"/>
      <c r="AV12" s="113"/>
      <c r="AW12" s="113" t="s">
        <v>248</v>
      </c>
      <c r="AX12" s="113" t="s">
        <v>70</v>
      </c>
      <c r="AY12" s="113" t="s">
        <v>71</v>
      </c>
      <c r="AZ12" s="113" t="s">
        <v>70</v>
      </c>
      <c r="BA12" s="113" t="s">
        <v>71</v>
      </c>
      <c r="BB12" s="52" t="s">
        <v>72</v>
      </c>
      <c r="BC12" s="113"/>
      <c r="BD12" s="113"/>
      <c r="BE12" s="113" t="s">
        <v>248</v>
      </c>
      <c r="BF12" s="113" t="s">
        <v>70</v>
      </c>
      <c r="BG12" s="113" t="s">
        <v>71</v>
      </c>
      <c r="BH12" s="113" t="s">
        <v>70</v>
      </c>
      <c r="BI12" s="113" t="s">
        <v>71</v>
      </c>
      <c r="BJ12" s="113" t="s">
        <v>72</v>
      </c>
      <c r="BK12" s="113"/>
      <c r="BL12" s="113"/>
      <c r="BM12" s="113" t="s">
        <v>228</v>
      </c>
      <c r="BN12" s="113" t="s">
        <v>248</v>
      </c>
      <c r="BO12" s="113" t="s">
        <v>70</v>
      </c>
      <c r="BP12" s="113" t="s">
        <v>71</v>
      </c>
      <c r="BQ12" s="113" t="s">
        <v>70</v>
      </c>
      <c r="BR12" s="113" t="s">
        <v>71</v>
      </c>
      <c r="BS12" s="52" t="s">
        <v>72</v>
      </c>
      <c r="BT12" s="52"/>
      <c r="BV12" t="s">
        <v>228</v>
      </c>
      <c r="BW12" t="s">
        <v>248</v>
      </c>
      <c r="BX12" t="s">
        <v>70</v>
      </c>
      <c r="BY12" t="s">
        <v>71</v>
      </c>
      <c r="BZ12" t="s">
        <v>70</v>
      </c>
      <c r="CA12" t="s">
        <v>71</v>
      </c>
      <c r="CB12" t="s">
        <v>72</v>
      </c>
      <c r="CC12" t="s">
        <v>84</v>
      </c>
    </row>
    <row r="13" spans="1:81">
      <c r="A13" s="113"/>
      <c r="F13" s="113" t="s">
        <v>558</v>
      </c>
      <c r="N13" s="113"/>
      <c r="P13" s="113"/>
      <c r="Q13" s="113" t="s">
        <v>3</v>
      </c>
      <c r="R13" s="113" t="s">
        <v>504</v>
      </c>
      <c r="S13" s="113" t="s">
        <v>484</v>
      </c>
      <c r="T13" s="273">
        <v>41592.750555555554</v>
      </c>
      <c r="U13" s="113" t="b">
        <v>1</v>
      </c>
      <c r="V13" s="113" t="s">
        <v>3</v>
      </c>
      <c r="W13" s="113" t="s">
        <v>504</v>
      </c>
      <c r="X13" s="52" t="s">
        <v>560</v>
      </c>
      <c r="Y13" s="52">
        <v>1</v>
      </c>
      <c r="Z13" s="113" t="s">
        <v>3</v>
      </c>
      <c r="AA13" s="113">
        <v>41592.750555555554</v>
      </c>
      <c r="AB13" s="113" t="s">
        <v>3</v>
      </c>
      <c r="AC13" s="113"/>
      <c r="AD13" s="113"/>
      <c r="AE13" s="113" t="s">
        <v>3</v>
      </c>
      <c r="AF13" s="113" t="s">
        <v>245</v>
      </c>
      <c r="AG13" s="113">
        <v>0.09</v>
      </c>
      <c r="AH13" s="113">
        <v>0.09</v>
      </c>
      <c r="AI13" s="113">
        <v>0.09</v>
      </c>
      <c r="AJ13" s="52">
        <v>0.09</v>
      </c>
      <c r="AK13" s="113">
        <v>0.09</v>
      </c>
      <c r="AL13" s="113"/>
      <c r="AM13" s="113"/>
      <c r="AN13" s="113" t="s">
        <v>3</v>
      </c>
      <c r="AO13" s="113" t="s">
        <v>245</v>
      </c>
      <c r="AP13" s="113">
        <v>0.09</v>
      </c>
      <c r="AQ13" s="113">
        <v>0.09</v>
      </c>
      <c r="AR13" s="113">
        <v>0.09</v>
      </c>
      <c r="AS13" s="52">
        <v>0.09</v>
      </c>
      <c r="AT13" s="113">
        <v>0.09</v>
      </c>
      <c r="AU13" s="113"/>
      <c r="AV13" s="113" t="s">
        <v>3</v>
      </c>
      <c r="AW13" s="113" t="s">
        <v>245</v>
      </c>
      <c r="AX13" s="113">
        <v>0.09</v>
      </c>
      <c r="AY13" s="113">
        <v>0.09</v>
      </c>
      <c r="AZ13" s="113">
        <v>0.09</v>
      </c>
      <c r="BA13" s="113">
        <v>0.09</v>
      </c>
      <c r="BB13" s="52">
        <v>0.09</v>
      </c>
      <c r="BC13" s="113"/>
      <c r="BD13" s="113" t="s">
        <v>3</v>
      </c>
      <c r="BE13" s="113" t="s">
        <v>245</v>
      </c>
      <c r="BF13" s="113">
        <v>0.09</v>
      </c>
      <c r="BG13" s="113">
        <v>0.09</v>
      </c>
      <c r="BH13" s="113">
        <v>0.09</v>
      </c>
      <c r="BI13" s="113">
        <v>0.09</v>
      </c>
      <c r="BJ13" s="113">
        <v>0.09</v>
      </c>
      <c r="BK13" s="113"/>
      <c r="BL13" s="113" t="s">
        <v>3</v>
      </c>
      <c r="BM13" s="113" t="s">
        <v>3</v>
      </c>
      <c r="BN13" s="113" t="s">
        <v>245</v>
      </c>
      <c r="BO13" s="113">
        <v>0.09</v>
      </c>
      <c r="BP13" s="113">
        <v>0.09</v>
      </c>
      <c r="BQ13" s="113">
        <v>0.09</v>
      </c>
      <c r="BR13" s="113">
        <v>0.09</v>
      </c>
      <c r="BS13" s="52">
        <v>0.09</v>
      </c>
      <c r="BT13" s="54"/>
      <c r="BU13" t="s">
        <v>3</v>
      </c>
      <c r="BV13" t="s">
        <v>3</v>
      </c>
      <c r="BW13" t="s">
        <v>100</v>
      </c>
      <c r="BX13">
        <v>0.11523007700000001</v>
      </c>
      <c r="BY13">
        <v>0.11523007700000001</v>
      </c>
      <c r="BZ13">
        <v>0.11523007700000001</v>
      </c>
      <c r="CA13">
        <v>0.11523007700000001</v>
      </c>
      <c r="CB13">
        <v>0.11523007700000001</v>
      </c>
      <c r="CC13">
        <v>-3.2081399999998872E-2</v>
      </c>
    </row>
    <row r="14" spans="1:81">
      <c r="A14" s="113"/>
      <c r="B14" s="113" t="s">
        <v>191</v>
      </c>
      <c r="C14" s="113" t="s">
        <v>70</v>
      </c>
      <c r="D14" s="113" t="s">
        <v>71</v>
      </c>
      <c r="E14" s="153" t="s">
        <v>72</v>
      </c>
      <c r="F14" s="113" t="s">
        <v>481</v>
      </c>
      <c r="G14" s="113" t="s">
        <v>722</v>
      </c>
      <c r="H14" s="113" t="s">
        <v>723</v>
      </c>
      <c r="I14" s="113" t="s">
        <v>228</v>
      </c>
      <c r="J14" s="55" t="s">
        <v>194</v>
      </c>
      <c r="K14" s="274"/>
      <c r="L14" s="274" t="s">
        <v>738</v>
      </c>
      <c r="N14" s="80"/>
      <c r="P14" s="113"/>
      <c r="Q14" s="113" t="s">
        <v>4</v>
      </c>
      <c r="R14" s="113" t="s">
        <v>504</v>
      </c>
      <c r="S14" s="113" t="s">
        <v>485</v>
      </c>
      <c r="T14" s="273">
        <v>41593.750555555554</v>
      </c>
      <c r="U14" s="113" t="b">
        <v>1</v>
      </c>
      <c r="V14" s="113" t="s">
        <v>4</v>
      </c>
      <c r="W14" s="113" t="s">
        <v>504</v>
      </c>
      <c r="X14" s="52" t="s">
        <v>561</v>
      </c>
      <c r="Y14" s="52">
        <v>1</v>
      </c>
      <c r="Z14" s="113" t="s">
        <v>4</v>
      </c>
      <c r="AA14" s="113">
        <v>41593.750555555554</v>
      </c>
      <c r="AB14" s="113" t="s">
        <v>4</v>
      </c>
      <c r="AC14" s="113"/>
      <c r="AD14" s="113"/>
      <c r="AE14" s="113" t="s">
        <v>4</v>
      </c>
      <c r="AF14" s="113" t="s">
        <v>246</v>
      </c>
      <c r="AG14" s="113">
        <v>0.09</v>
      </c>
      <c r="AH14" s="113">
        <v>0.09</v>
      </c>
      <c r="AI14" s="113">
        <v>0.09</v>
      </c>
      <c r="AJ14" s="52">
        <v>0.09</v>
      </c>
      <c r="AK14" s="113">
        <v>0.09</v>
      </c>
      <c r="AL14" s="113"/>
      <c r="AM14" s="113"/>
      <c r="AN14" s="113" t="s">
        <v>4</v>
      </c>
      <c r="AO14" s="113" t="s">
        <v>246</v>
      </c>
      <c r="AP14" s="113">
        <v>0.09</v>
      </c>
      <c r="AQ14" s="113">
        <v>0.09</v>
      </c>
      <c r="AR14" s="113">
        <v>0.09</v>
      </c>
      <c r="AS14" s="52">
        <v>0.09</v>
      </c>
      <c r="AT14" s="113">
        <v>0.09</v>
      </c>
      <c r="AU14" s="113"/>
      <c r="AV14" s="113" t="s">
        <v>4</v>
      </c>
      <c r="AW14" s="113" t="s">
        <v>246</v>
      </c>
      <c r="AX14" s="113">
        <v>0.09</v>
      </c>
      <c r="AY14" s="113">
        <v>0.09</v>
      </c>
      <c r="AZ14" s="113">
        <v>0.09</v>
      </c>
      <c r="BA14" s="113">
        <v>0.09</v>
      </c>
      <c r="BB14" s="52">
        <v>0.09</v>
      </c>
      <c r="BC14" s="113"/>
      <c r="BD14" s="113" t="s">
        <v>4</v>
      </c>
      <c r="BE14" s="113" t="s">
        <v>246</v>
      </c>
      <c r="BF14" s="113">
        <v>0.09</v>
      </c>
      <c r="BG14" s="113">
        <v>0.09</v>
      </c>
      <c r="BH14" s="113">
        <v>0.09</v>
      </c>
      <c r="BI14" s="113">
        <v>0.09</v>
      </c>
      <c r="BJ14" s="113">
        <v>0.09</v>
      </c>
      <c r="BK14" s="113"/>
      <c r="BL14" s="113" t="s">
        <v>4</v>
      </c>
      <c r="BM14" s="113" t="s">
        <v>4</v>
      </c>
      <c r="BN14" s="113" t="s">
        <v>246</v>
      </c>
      <c r="BO14" s="113">
        <v>0.09</v>
      </c>
      <c r="BP14" s="113">
        <v>0.09</v>
      </c>
      <c r="BQ14" s="113">
        <v>0.09</v>
      </c>
      <c r="BR14" s="113">
        <v>0.09</v>
      </c>
      <c r="BS14" s="52">
        <v>0.09</v>
      </c>
      <c r="BT14" s="54"/>
      <c r="BU14" t="s">
        <v>4</v>
      </c>
      <c r="BV14" t="s">
        <v>4</v>
      </c>
      <c r="BW14" t="s">
        <v>101</v>
      </c>
      <c r="BX14">
        <v>0.11514102800000001</v>
      </c>
      <c r="BY14">
        <v>0.11514102800000001</v>
      </c>
      <c r="BZ14">
        <v>0.11514102800000001</v>
      </c>
      <c r="CA14">
        <v>0.11514102800000001</v>
      </c>
      <c r="CB14">
        <v>0.11514102800000001</v>
      </c>
      <c r="CC14">
        <v>-0.1080552999999998</v>
      </c>
    </row>
    <row r="15" spans="1:81">
      <c r="A15" s="113">
        <v>1</v>
      </c>
      <c r="B15" s="113" t="s">
        <v>1023</v>
      </c>
      <c r="C15" s="113">
        <v>99.76</v>
      </c>
      <c r="D15" s="113">
        <v>99.765000000000001</v>
      </c>
      <c r="E15" s="153">
        <v>99.762500000000003</v>
      </c>
      <c r="F15" s="113" t="e">
        <v>#VALUE!</v>
      </c>
      <c r="G15" s="113" t="s">
        <v>851</v>
      </c>
      <c r="H15" s="113" t="e">
        <v>#VALUE!</v>
      </c>
      <c r="I15" s="113" t="e">
        <v>#VALUE!</v>
      </c>
      <c r="J15" s="55" t="e">
        <v>#N/A</v>
      </c>
      <c r="K15" s="274"/>
      <c r="L15" s="274" t="s">
        <v>206</v>
      </c>
      <c r="M15" s="113">
        <v>4</v>
      </c>
      <c r="N15" s="80"/>
      <c r="O15" s="113" t="s">
        <v>160</v>
      </c>
      <c r="P15" s="113"/>
      <c r="Q15" s="113" t="s">
        <v>23</v>
      </c>
      <c r="R15" s="113" t="s">
        <v>504</v>
      </c>
      <c r="S15" s="113" t="s">
        <v>486</v>
      </c>
      <c r="T15" s="273">
        <v>41596.750555555554</v>
      </c>
      <c r="U15" s="113" t="b">
        <v>1</v>
      </c>
      <c r="V15" s="113" t="s">
        <v>23</v>
      </c>
      <c r="W15" s="113" t="s">
        <v>504</v>
      </c>
      <c r="X15" s="52" t="s">
        <v>562</v>
      </c>
      <c r="Y15" s="52">
        <v>1</v>
      </c>
      <c r="Z15" s="113" t="s">
        <v>23</v>
      </c>
      <c r="AA15" s="113">
        <v>41596.750555555554</v>
      </c>
      <c r="AB15" s="113" t="s">
        <v>23</v>
      </c>
      <c r="AC15" s="113"/>
      <c r="AD15" s="113"/>
      <c r="AE15" s="113" t="s">
        <v>23</v>
      </c>
      <c r="AF15" s="113" t="s">
        <v>247</v>
      </c>
      <c r="AG15" s="113">
        <v>0.58660000000000001</v>
      </c>
      <c r="AH15" s="113">
        <v>0.58660000000000001</v>
      </c>
      <c r="AI15" s="113">
        <v>0.58660000000000001</v>
      </c>
      <c r="AJ15" s="52">
        <v>0.58660000000000001</v>
      </c>
      <c r="AK15" s="113">
        <v>0.58660000000000001</v>
      </c>
      <c r="AL15" s="113"/>
      <c r="AM15" s="113"/>
      <c r="AN15" s="113" t="s">
        <v>23</v>
      </c>
      <c r="AO15" s="113" t="s">
        <v>250</v>
      </c>
      <c r="AP15" s="113">
        <v>0.34789999999999999</v>
      </c>
      <c r="AQ15" s="113">
        <v>0.34789999999999999</v>
      </c>
      <c r="AR15" s="113">
        <v>0.34789999999999999</v>
      </c>
      <c r="AS15" s="52">
        <v>0.34789999999999999</v>
      </c>
      <c r="AT15" s="113">
        <v>0.34789999999999999</v>
      </c>
      <c r="AU15" s="113"/>
      <c r="AV15" s="113" t="s">
        <v>23</v>
      </c>
      <c r="AW15" s="113" t="s">
        <v>251</v>
      </c>
      <c r="AX15" s="113">
        <v>0.53210000000000002</v>
      </c>
      <c r="AY15" s="113">
        <v>0.53210000000000002</v>
      </c>
      <c r="AZ15" s="113">
        <v>0.53210000000000002</v>
      </c>
      <c r="BA15" s="113">
        <v>0.53210000000000002</v>
      </c>
      <c r="BB15" s="52">
        <v>0.53210000000000002</v>
      </c>
      <c r="BC15" s="113"/>
      <c r="BD15" s="113" t="s">
        <v>23</v>
      </c>
      <c r="BE15" s="113" t="s">
        <v>252</v>
      </c>
      <c r="BF15" s="113">
        <v>0.09</v>
      </c>
      <c r="BG15" s="113">
        <v>0.09</v>
      </c>
      <c r="BH15" s="113">
        <v>0.09</v>
      </c>
      <c r="BI15" s="113">
        <v>0.09</v>
      </c>
      <c r="BJ15" s="113">
        <v>0.09</v>
      </c>
      <c r="BK15" s="113"/>
      <c r="BL15" s="113" t="s">
        <v>23</v>
      </c>
      <c r="BM15" s="113" t="s">
        <v>23</v>
      </c>
      <c r="BN15" s="113" t="s">
        <v>252</v>
      </c>
      <c r="BO15" s="113">
        <v>0.09</v>
      </c>
      <c r="BP15" s="113">
        <v>0.09</v>
      </c>
      <c r="BQ15" s="113">
        <v>0.09</v>
      </c>
      <c r="BR15" s="113">
        <v>0.09</v>
      </c>
      <c r="BS15" s="52">
        <v>0.09</v>
      </c>
      <c r="BT15" s="54"/>
      <c r="BU15" t="s">
        <v>23</v>
      </c>
      <c r="BV15" t="s">
        <v>23</v>
      </c>
      <c r="BW15" t="s">
        <v>102</v>
      </c>
      <c r="BX15">
        <v>0.115</v>
      </c>
      <c r="BY15">
        <v>0.115</v>
      </c>
      <c r="BZ15">
        <v>0.115</v>
      </c>
      <c r="CA15">
        <v>0.115</v>
      </c>
      <c r="CB15">
        <v>0.115</v>
      </c>
      <c r="CC15">
        <v>-0.19</v>
      </c>
    </row>
    <row r="16" spans="1:81">
      <c r="A16" s="113">
        <v>2</v>
      </c>
      <c r="B16" s="113" t="s">
        <v>1024</v>
      </c>
      <c r="C16" s="113">
        <v>99.74</v>
      </c>
      <c r="D16" s="113">
        <v>99.75</v>
      </c>
      <c r="E16" s="153">
        <v>99.745000000000005</v>
      </c>
      <c r="F16" s="113">
        <v>41598</v>
      </c>
      <c r="G16" s="113" t="s">
        <v>852</v>
      </c>
      <c r="H16" s="113" t="s">
        <v>853</v>
      </c>
      <c r="I16" s="113" t="s">
        <v>1053</v>
      </c>
      <c r="J16" s="55" t="e">
        <v>#N/A</v>
      </c>
      <c r="K16" s="274"/>
      <c r="L16" s="274" t="s">
        <v>699</v>
      </c>
      <c r="M16" s="113" t="s">
        <v>158</v>
      </c>
      <c r="N16" s="80" t="s">
        <v>228</v>
      </c>
      <c r="P16" s="113"/>
      <c r="Q16" s="113" t="s">
        <v>5</v>
      </c>
      <c r="R16" s="113" t="s">
        <v>504</v>
      </c>
      <c r="S16" s="113" t="s">
        <v>5</v>
      </c>
      <c r="T16" s="273">
        <v>41600.750555555554</v>
      </c>
      <c r="U16" s="113" t="b">
        <v>1</v>
      </c>
      <c r="V16" s="113" t="s">
        <v>5</v>
      </c>
      <c r="W16" s="113" t="s">
        <v>504</v>
      </c>
      <c r="X16" s="52" t="s">
        <v>563</v>
      </c>
      <c r="Y16" s="52">
        <v>1</v>
      </c>
      <c r="Z16" s="113" t="s">
        <v>5</v>
      </c>
      <c r="AA16" s="113">
        <v>41600.750555555554</v>
      </c>
      <c r="AB16" s="113" t="s">
        <v>5</v>
      </c>
      <c r="AC16" s="113"/>
      <c r="AD16" s="113"/>
      <c r="AE16" s="113" t="s">
        <v>5</v>
      </c>
      <c r="AF16" s="113" t="s">
        <v>256</v>
      </c>
      <c r="AG16" s="113">
        <v>0.30730000000000002</v>
      </c>
      <c r="AH16" s="113">
        <v>0.40730000000000005</v>
      </c>
      <c r="AI16" s="113">
        <v>0.30730000000000002</v>
      </c>
      <c r="AJ16" s="52">
        <v>0.40730000000000005</v>
      </c>
      <c r="AK16" s="113">
        <v>0.35730000000000006</v>
      </c>
      <c r="AL16" s="113"/>
      <c r="AM16" s="113"/>
      <c r="AN16" s="113" t="s">
        <v>5</v>
      </c>
      <c r="AO16" s="113" t="s">
        <v>257</v>
      </c>
      <c r="AP16" s="113">
        <v>0.20890000000000003</v>
      </c>
      <c r="AQ16" s="113">
        <v>0.30890000000000001</v>
      </c>
      <c r="AR16" s="113">
        <v>0.20890000000000003</v>
      </c>
      <c r="AS16" s="52">
        <v>0.30890000000000001</v>
      </c>
      <c r="AT16" s="113">
        <v>0.25890000000000002</v>
      </c>
      <c r="AU16" s="113"/>
      <c r="AV16" s="113" t="s">
        <v>5</v>
      </c>
      <c r="AW16" s="113" t="s">
        <v>258</v>
      </c>
      <c r="AX16" s="113">
        <v>0.47910000000000003</v>
      </c>
      <c r="AY16" s="113">
        <v>0.57910000000000006</v>
      </c>
      <c r="AZ16" s="113">
        <v>0.47910000000000003</v>
      </c>
      <c r="BA16" s="113">
        <v>0.57910000000000006</v>
      </c>
      <c r="BB16" s="52">
        <v>0.52910000000000001</v>
      </c>
      <c r="BC16" s="113"/>
      <c r="BD16" s="113" t="s">
        <v>5</v>
      </c>
      <c r="BE16" s="113" t="s">
        <v>253</v>
      </c>
      <c r="BF16" s="113">
        <v>0.1</v>
      </c>
      <c r="BG16" s="113">
        <v>0.1</v>
      </c>
      <c r="BH16" s="113">
        <v>0.1</v>
      </c>
      <c r="BI16" s="113">
        <v>0.1</v>
      </c>
      <c r="BJ16" s="113">
        <v>0.1</v>
      </c>
      <c r="BK16" s="113"/>
      <c r="BL16" s="113" t="s">
        <v>5</v>
      </c>
      <c r="BM16" s="113" t="s">
        <v>5</v>
      </c>
      <c r="BN16" s="113" t="s">
        <v>259</v>
      </c>
      <c r="BO16" s="113">
        <v>8.8999999999999996E-2</v>
      </c>
      <c r="BP16" s="113">
        <v>8.8999999999999996E-2</v>
      </c>
      <c r="BQ16" s="113">
        <v>8.8999999999999996E-2</v>
      </c>
      <c r="BR16" s="113">
        <v>8.8999999999999996E-2</v>
      </c>
      <c r="BS16" s="52">
        <v>8.8999999999999996E-2</v>
      </c>
      <c r="BT16" s="54"/>
      <c r="BU16" t="s">
        <v>5</v>
      </c>
      <c r="BV16" t="s">
        <v>5</v>
      </c>
      <c r="BW16" t="s">
        <v>103</v>
      </c>
      <c r="BX16">
        <v>0.114</v>
      </c>
      <c r="BY16">
        <v>0.114</v>
      </c>
      <c r="BZ16">
        <v>0.114</v>
      </c>
      <c r="CA16">
        <v>0.114</v>
      </c>
      <c r="CB16">
        <v>0.114</v>
      </c>
      <c r="CC16">
        <v>-0.67</v>
      </c>
    </row>
    <row r="17" spans="1:81">
      <c r="A17" s="113">
        <v>3</v>
      </c>
      <c r="B17" s="113" t="s">
        <v>184</v>
      </c>
      <c r="C17" s="113">
        <v>99.72</v>
      </c>
      <c r="D17" s="113">
        <v>99.724999999999994</v>
      </c>
      <c r="E17" s="153">
        <v>99.722499999999997</v>
      </c>
      <c r="F17" s="113">
        <v>41626</v>
      </c>
      <c r="G17" s="113" t="s">
        <v>192</v>
      </c>
      <c r="H17" s="113" t="s">
        <v>205</v>
      </c>
      <c r="I17" s="113" t="s">
        <v>707</v>
      </c>
      <c r="J17" s="55">
        <v>99.727500000000006</v>
      </c>
      <c r="K17" s="274"/>
      <c r="L17" s="274" t="s">
        <v>200</v>
      </c>
      <c r="M17" s="113">
        <v>41808</v>
      </c>
      <c r="N17" s="80" t="s">
        <v>214</v>
      </c>
      <c r="O17" s="113">
        <v>0</v>
      </c>
      <c r="P17" s="113"/>
      <c r="Q17" s="113" t="s">
        <v>6</v>
      </c>
      <c r="R17" s="113" t="s">
        <v>504</v>
      </c>
      <c r="S17" s="113" t="s">
        <v>6</v>
      </c>
      <c r="T17" s="273">
        <v>41607.750555555554</v>
      </c>
      <c r="U17" s="113" t="b">
        <v>1</v>
      </c>
      <c r="V17" s="113" t="s">
        <v>6</v>
      </c>
      <c r="W17" s="113" t="s">
        <v>504</v>
      </c>
      <c r="X17" s="52" t="s">
        <v>564</v>
      </c>
      <c r="Y17" s="52">
        <v>1</v>
      </c>
      <c r="Z17" s="113" t="s">
        <v>6</v>
      </c>
      <c r="AA17" s="113">
        <v>41607.750555555554</v>
      </c>
      <c r="AB17" s="113" t="s">
        <v>6</v>
      </c>
      <c r="AC17" s="113"/>
      <c r="AD17" s="113"/>
      <c r="AE17" s="113" t="s">
        <v>6</v>
      </c>
      <c r="AF17" s="113" t="s">
        <v>260</v>
      </c>
      <c r="AG17" s="113">
        <v>0.28720000000000001</v>
      </c>
      <c r="AH17" s="113">
        <v>0.38719999999999999</v>
      </c>
      <c r="AI17" s="113">
        <v>0.28720000000000001</v>
      </c>
      <c r="AJ17" s="52">
        <v>0.38719999999999999</v>
      </c>
      <c r="AK17" s="113">
        <v>0.3372</v>
      </c>
      <c r="AL17" s="113"/>
      <c r="AM17" s="113"/>
      <c r="AN17" s="113" t="s">
        <v>6</v>
      </c>
      <c r="AO17" s="113" t="s">
        <v>261</v>
      </c>
      <c r="AP17" s="113">
        <v>0.18529999999999999</v>
      </c>
      <c r="AQ17" s="113">
        <v>0.28530000000000005</v>
      </c>
      <c r="AR17" s="113">
        <v>0.18529999999999999</v>
      </c>
      <c r="AS17" s="52">
        <v>0.28530000000000005</v>
      </c>
      <c r="AT17" s="113">
        <v>0.23530000000000001</v>
      </c>
      <c r="AU17" s="113"/>
      <c r="AV17" s="113" t="s">
        <v>6</v>
      </c>
      <c r="AW17" s="113" t="s">
        <v>262</v>
      </c>
      <c r="AX17" s="113">
        <v>0.47660000000000002</v>
      </c>
      <c r="AY17" s="113">
        <v>0.57660000000000011</v>
      </c>
      <c r="AZ17" s="113">
        <v>0.47660000000000002</v>
      </c>
      <c r="BA17" s="113">
        <v>0.57660000000000011</v>
      </c>
      <c r="BB17" s="52">
        <v>0.52660000000000007</v>
      </c>
      <c r="BC17" s="113"/>
      <c r="BD17" s="113" t="s">
        <v>6</v>
      </c>
      <c r="BE17" s="113" t="s">
        <v>263</v>
      </c>
      <c r="BF17" s="113">
        <v>0.1</v>
      </c>
      <c r="BG17" s="113">
        <v>0.1</v>
      </c>
      <c r="BH17" s="113">
        <v>0.1</v>
      </c>
      <c r="BI17" s="113">
        <v>0.1</v>
      </c>
      <c r="BJ17" s="113">
        <v>0.1</v>
      </c>
      <c r="BK17" s="113"/>
      <c r="BL17" s="113" t="s">
        <v>6</v>
      </c>
      <c r="BM17" s="113" t="s">
        <v>6</v>
      </c>
      <c r="BN17" s="113" t="s">
        <v>264</v>
      </c>
      <c r="BO17" s="113">
        <v>0.09</v>
      </c>
      <c r="BP17" s="113">
        <v>0.09</v>
      </c>
      <c r="BQ17" s="113">
        <v>0.09</v>
      </c>
      <c r="BR17" s="113">
        <v>0.09</v>
      </c>
      <c r="BS17" s="52">
        <v>0.09</v>
      </c>
      <c r="BT17" s="54"/>
      <c r="BU17" t="s">
        <v>6</v>
      </c>
      <c r="BV17" t="s">
        <v>6</v>
      </c>
      <c r="BW17" t="s">
        <v>104</v>
      </c>
      <c r="BX17">
        <v>0.115</v>
      </c>
      <c r="BY17">
        <v>0.115</v>
      </c>
      <c r="BZ17">
        <v>0.115</v>
      </c>
      <c r="CA17">
        <v>0.115</v>
      </c>
      <c r="CB17">
        <v>0.115</v>
      </c>
      <c r="CC17">
        <v>-0.84999999999999942</v>
      </c>
    </row>
    <row r="18" spans="1:81">
      <c r="A18" s="113">
        <v>4</v>
      </c>
      <c r="B18" s="113" t="s">
        <v>1025</v>
      </c>
      <c r="C18" s="113">
        <v>0</v>
      </c>
      <c r="D18" s="113">
        <v>0</v>
      </c>
      <c r="E18" s="153" t="e">
        <v>#N/A</v>
      </c>
      <c r="F18" s="113">
        <v>41654</v>
      </c>
      <c r="G18" s="113" t="s">
        <v>574</v>
      </c>
      <c r="H18" s="113" t="s">
        <v>864</v>
      </c>
      <c r="I18" s="113" t="s">
        <v>1054</v>
      </c>
      <c r="J18" s="55" t="e">
        <v>#N/A</v>
      </c>
      <c r="K18" s="274"/>
      <c r="L18" s="274" t="s">
        <v>201</v>
      </c>
      <c r="M18" s="113">
        <v>41899</v>
      </c>
      <c r="N18" s="80" t="s">
        <v>215</v>
      </c>
      <c r="O18" s="113">
        <v>0</v>
      </c>
      <c r="P18" s="113"/>
      <c r="Q18" s="113" t="s">
        <v>24</v>
      </c>
      <c r="R18" s="113" t="s">
        <v>504</v>
      </c>
      <c r="S18" s="113" t="s">
        <v>24</v>
      </c>
      <c r="T18" s="273">
        <v>41614.750555555554</v>
      </c>
      <c r="U18" s="113" t="b">
        <v>1</v>
      </c>
      <c r="V18" s="113" t="s">
        <v>24</v>
      </c>
      <c r="W18" s="113" t="s">
        <v>504</v>
      </c>
      <c r="X18" s="52" t="s">
        <v>565</v>
      </c>
      <c r="Y18" s="52">
        <v>1</v>
      </c>
      <c r="Z18" s="113" t="s">
        <v>24</v>
      </c>
      <c r="AA18" s="113">
        <v>41614.750555555554</v>
      </c>
      <c r="AB18" s="113" t="s">
        <v>24</v>
      </c>
      <c r="AC18" s="113"/>
      <c r="AD18" s="113"/>
      <c r="AE18" s="113" t="s">
        <v>24</v>
      </c>
      <c r="AF18" s="113" t="s">
        <v>265</v>
      </c>
      <c r="AG18" s="113">
        <v>0.28760000000000002</v>
      </c>
      <c r="AH18" s="113">
        <v>0.3876</v>
      </c>
      <c r="AI18" s="113">
        <v>0.28760000000000002</v>
      </c>
      <c r="AJ18" s="52">
        <v>0.3876</v>
      </c>
      <c r="AK18" s="113">
        <v>0.33760000000000001</v>
      </c>
      <c r="AL18" s="113"/>
      <c r="AM18" s="113"/>
      <c r="AN18" s="113" t="s">
        <v>24</v>
      </c>
      <c r="AO18" s="113" t="s">
        <v>266</v>
      </c>
      <c r="AP18" s="113">
        <v>0.18479999999999999</v>
      </c>
      <c r="AQ18" s="113">
        <v>0.28480000000000005</v>
      </c>
      <c r="AR18" s="113">
        <v>0.18479999999999999</v>
      </c>
      <c r="AS18" s="52">
        <v>0.28480000000000005</v>
      </c>
      <c r="AT18" s="113">
        <v>0.23480000000000001</v>
      </c>
      <c r="AU18" s="113"/>
      <c r="AV18" s="113" t="s">
        <v>24</v>
      </c>
      <c r="AW18" s="113" t="s">
        <v>267</v>
      </c>
      <c r="AX18" s="113">
        <v>0.48120000000000002</v>
      </c>
      <c r="AY18" s="113">
        <v>0.58119999999999994</v>
      </c>
      <c r="AZ18" s="113">
        <v>0.48120000000000002</v>
      </c>
      <c r="BA18" s="113">
        <v>0.58119999999999994</v>
      </c>
      <c r="BB18" s="52">
        <v>0.53120000000000001</v>
      </c>
      <c r="BC18" s="113"/>
      <c r="BD18" s="113" t="s">
        <v>24</v>
      </c>
      <c r="BE18" s="113" t="s">
        <v>268</v>
      </c>
      <c r="BF18" s="113">
        <v>0.11</v>
      </c>
      <c r="BG18" s="113">
        <v>0.11</v>
      </c>
      <c r="BH18" s="113">
        <v>0.11</v>
      </c>
      <c r="BI18" s="113">
        <v>0.11</v>
      </c>
      <c r="BJ18" s="113">
        <v>0.11</v>
      </c>
      <c r="BK18" s="113"/>
      <c r="BL18" s="113" t="s">
        <v>24</v>
      </c>
      <c r="BM18" s="113" t="s">
        <v>24</v>
      </c>
      <c r="BN18" s="113" t="s">
        <v>269</v>
      </c>
      <c r="BO18" s="113">
        <v>9.8000000000000004E-2</v>
      </c>
      <c r="BP18" s="113">
        <v>9.8000000000000004E-2</v>
      </c>
      <c r="BQ18" s="113">
        <v>9.8000000000000004E-2</v>
      </c>
      <c r="BR18" s="113">
        <v>9.8000000000000004E-2</v>
      </c>
      <c r="BS18" s="52">
        <v>9.8000000000000004E-2</v>
      </c>
      <c r="BT18" s="54"/>
      <c r="BU18" t="s">
        <v>24</v>
      </c>
      <c r="BV18" t="s">
        <v>24</v>
      </c>
      <c r="BW18" t="s">
        <v>105</v>
      </c>
      <c r="BX18">
        <v>0.12300000000000001</v>
      </c>
      <c r="BY18">
        <v>0.12300000000000001</v>
      </c>
      <c r="BZ18">
        <v>0.12300000000000001</v>
      </c>
      <c r="CA18">
        <v>0.12300000000000001</v>
      </c>
      <c r="CB18">
        <v>0.12300000000000001</v>
      </c>
      <c r="CC18">
        <v>-0.22999999999999826</v>
      </c>
    </row>
    <row r="19" spans="1:81">
      <c r="A19" s="113">
        <v>5</v>
      </c>
      <c r="B19" s="113" t="s">
        <v>1026</v>
      </c>
      <c r="C19" s="113">
        <v>0</v>
      </c>
      <c r="D19" s="113">
        <v>0</v>
      </c>
      <c r="E19" s="153" t="e">
        <v>#N/A</v>
      </c>
      <c r="F19" s="113">
        <v>41689</v>
      </c>
      <c r="G19" s="113" t="s">
        <v>870</v>
      </c>
      <c r="H19" s="113" t="s">
        <v>871</v>
      </c>
      <c r="I19" s="113" t="s">
        <v>1055</v>
      </c>
      <c r="J19" s="55" t="e">
        <v>#N/A</v>
      </c>
      <c r="K19" s="274"/>
      <c r="L19" s="274" t="s">
        <v>202</v>
      </c>
      <c r="M19" s="113">
        <v>41990</v>
      </c>
      <c r="N19" s="80" t="s">
        <v>216</v>
      </c>
      <c r="O19" s="113">
        <v>0</v>
      </c>
      <c r="P19" s="113"/>
      <c r="Q19" s="113" t="s">
        <v>7</v>
      </c>
      <c r="R19" s="113" t="s">
        <v>504</v>
      </c>
      <c r="S19" s="113" t="s">
        <v>7</v>
      </c>
      <c r="T19" s="273">
        <v>41624</v>
      </c>
      <c r="U19" s="113" t="b">
        <v>1</v>
      </c>
      <c r="V19" s="113" t="s">
        <v>7</v>
      </c>
      <c r="W19" s="113" t="s">
        <v>504</v>
      </c>
      <c r="X19" s="52" t="s">
        <v>566</v>
      </c>
      <c r="Y19" s="52">
        <v>1</v>
      </c>
      <c r="Z19" s="113" t="s">
        <v>7</v>
      </c>
      <c r="AA19" s="113">
        <v>41624</v>
      </c>
      <c r="AB19" s="113" t="s">
        <v>7</v>
      </c>
      <c r="AC19" s="113"/>
      <c r="AD19" s="113"/>
      <c r="AE19" s="113" t="s">
        <v>7</v>
      </c>
      <c r="AF19" s="113" t="s">
        <v>270</v>
      </c>
      <c r="AG19" s="113">
        <v>0.30169999999999997</v>
      </c>
      <c r="AH19" s="113">
        <v>0.35169999999999996</v>
      </c>
      <c r="AI19" s="113">
        <v>0.30169999999999997</v>
      </c>
      <c r="AJ19" s="52">
        <v>0.35169999999999996</v>
      </c>
      <c r="AK19" s="113">
        <v>0.32669999999999999</v>
      </c>
      <c r="AL19" s="113"/>
      <c r="AM19" s="113"/>
      <c r="AN19" s="113" t="s">
        <v>7</v>
      </c>
      <c r="AO19" s="113" t="s">
        <v>271</v>
      </c>
      <c r="AP19" s="113">
        <v>0.19770000000000001</v>
      </c>
      <c r="AQ19" s="113">
        <v>0.24770000000000003</v>
      </c>
      <c r="AR19" s="113">
        <v>0.19770000000000001</v>
      </c>
      <c r="AS19" s="52">
        <v>0.24770000000000003</v>
      </c>
      <c r="AT19" s="113">
        <v>0.22270000000000001</v>
      </c>
      <c r="AU19" s="113"/>
      <c r="AV19" s="113" t="s">
        <v>7</v>
      </c>
      <c r="AW19" s="113" t="s">
        <v>272</v>
      </c>
      <c r="AX19" s="113">
        <v>0.50119999999999998</v>
      </c>
      <c r="AY19" s="113">
        <v>0.55120000000000002</v>
      </c>
      <c r="AZ19" s="113">
        <v>0.50119999999999998</v>
      </c>
      <c r="BA19" s="113">
        <v>0.55120000000000002</v>
      </c>
      <c r="BB19" s="52">
        <v>0.5262</v>
      </c>
      <c r="BC19" s="113"/>
      <c r="BD19" s="113" t="s">
        <v>7</v>
      </c>
      <c r="BE19" s="113" t="s">
        <v>273</v>
      </c>
      <c r="BF19" s="113">
        <v>0.12</v>
      </c>
      <c r="BG19" s="113">
        <v>0.12</v>
      </c>
      <c r="BH19" s="113">
        <v>0.12</v>
      </c>
      <c r="BI19" s="113">
        <v>0.12</v>
      </c>
      <c r="BJ19" s="113">
        <v>0.12</v>
      </c>
      <c r="BK19" s="113"/>
      <c r="BL19" s="113" t="s">
        <v>7</v>
      </c>
      <c r="BM19" s="113" t="s">
        <v>7</v>
      </c>
      <c r="BN19" s="113" t="s">
        <v>274</v>
      </c>
      <c r="BO19" s="113">
        <v>9.8000000000000004E-2</v>
      </c>
      <c r="BP19" s="113">
        <v>9.8000000000000004E-2</v>
      </c>
      <c r="BQ19" s="113">
        <v>9.8000000000000004E-2</v>
      </c>
      <c r="BR19" s="113">
        <v>9.8000000000000004E-2</v>
      </c>
      <c r="BS19" s="52">
        <v>9.8000000000000004E-2</v>
      </c>
      <c r="BT19" s="54"/>
      <c r="BU19" t="s">
        <v>7</v>
      </c>
      <c r="BV19" t="s">
        <v>7</v>
      </c>
      <c r="BW19" t="s">
        <v>106</v>
      </c>
      <c r="BX19">
        <v>0.12300000000000001</v>
      </c>
      <c r="BY19">
        <v>0.12300000000000001</v>
      </c>
      <c r="BZ19">
        <v>0.12300000000000001</v>
      </c>
      <c r="CA19">
        <v>0.12300000000000001</v>
      </c>
      <c r="CB19">
        <v>0.12300000000000001</v>
      </c>
      <c r="CC19">
        <v>-0.5999999999999992</v>
      </c>
    </row>
    <row r="20" spans="1:81">
      <c r="A20" s="113">
        <v>6</v>
      </c>
      <c r="B20" s="113" t="s">
        <v>185</v>
      </c>
      <c r="C20" s="113">
        <v>99.67</v>
      </c>
      <c r="D20" s="113">
        <v>99.674999999999997</v>
      </c>
      <c r="E20" s="153">
        <v>99.672499999999999</v>
      </c>
      <c r="F20" s="113">
        <v>41717</v>
      </c>
      <c r="G20" s="113" t="s">
        <v>213</v>
      </c>
      <c r="H20" s="113" t="s">
        <v>199</v>
      </c>
      <c r="I20" s="113" t="s">
        <v>708</v>
      </c>
      <c r="J20" s="55">
        <v>99.677499999999995</v>
      </c>
      <c r="K20" s="274"/>
      <c r="L20" s="274" t="s">
        <v>203</v>
      </c>
      <c r="M20" s="113">
        <v>42081</v>
      </c>
      <c r="N20" s="80" t="s">
        <v>217</v>
      </c>
      <c r="O20" s="113">
        <v>0</v>
      </c>
      <c r="P20" s="113"/>
      <c r="Q20" s="113" t="s">
        <v>8</v>
      </c>
      <c r="R20" s="113" t="s">
        <v>504</v>
      </c>
      <c r="S20" s="113" t="s">
        <v>8</v>
      </c>
      <c r="T20" s="273">
        <v>41654</v>
      </c>
      <c r="U20" s="113" t="b">
        <v>1</v>
      </c>
      <c r="V20" s="113" t="s">
        <v>8</v>
      </c>
      <c r="W20" s="113" t="s">
        <v>504</v>
      </c>
      <c r="X20" s="52" t="s">
        <v>567</v>
      </c>
      <c r="Y20" s="52">
        <v>1</v>
      </c>
      <c r="Z20" s="113" t="s">
        <v>8</v>
      </c>
      <c r="AA20" s="113">
        <v>41654</v>
      </c>
      <c r="AB20" s="113" t="s">
        <v>8</v>
      </c>
      <c r="AC20" s="113"/>
      <c r="AD20" s="113"/>
      <c r="AE20" s="113" t="s">
        <v>8</v>
      </c>
      <c r="AF20" s="113" t="s">
        <v>275</v>
      </c>
      <c r="AG20" s="113">
        <v>0.3095</v>
      </c>
      <c r="AH20" s="113">
        <v>0.35949999999999999</v>
      </c>
      <c r="AI20" s="113">
        <v>0.3095</v>
      </c>
      <c r="AJ20" s="52">
        <v>0.35949999999999999</v>
      </c>
      <c r="AK20" s="113">
        <v>0.33450000000000002</v>
      </c>
      <c r="AL20" s="113"/>
      <c r="AM20" s="113"/>
      <c r="AN20" s="113" t="s">
        <v>8</v>
      </c>
      <c r="AO20" s="113" t="s">
        <v>276</v>
      </c>
      <c r="AP20" s="113">
        <v>0.19850000000000001</v>
      </c>
      <c r="AQ20" s="113">
        <v>0.24850000000000003</v>
      </c>
      <c r="AR20" s="113">
        <v>0.19850000000000001</v>
      </c>
      <c r="AS20" s="52">
        <v>0.24850000000000003</v>
      </c>
      <c r="AT20" s="113">
        <v>0.22350000000000003</v>
      </c>
      <c r="AU20" s="113"/>
      <c r="AV20" s="113" t="s">
        <v>8</v>
      </c>
      <c r="AW20" s="113" t="s">
        <v>277</v>
      </c>
      <c r="AX20" s="113">
        <v>0.49930000000000002</v>
      </c>
      <c r="AY20" s="113">
        <v>0.54930000000000001</v>
      </c>
      <c r="AZ20" s="113">
        <v>0.49930000000000002</v>
      </c>
      <c r="BA20" s="113">
        <v>0.54930000000000001</v>
      </c>
      <c r="BB20" s="52">
        <v>0.52429999999999999</v>
      </c>
      <c r="BC20" s="113"/>
      <c r="BD20" s="113" t="s">
        <v>8</v>
      </c>
      <c r="BE20" s="113" t="s">
        <v>278</v>
      </c>
      <c r="BF20" s="113">
        <v>0.17</v>
      </c>
      <c r="BG20" s="113">
        <v>0.17</v>
      </c>
      <c r="BH20" s="113">
        <v>0.17</v>
      </c>
      <c r="BI20" s="113">
        <v>0.17</v>
      </c>
      <c r="BJ20" s="113">
        <v>0.17</v>
      </c>
      <c r="BK20" s="113"/>
      <c r="BL20" s="113" t="s">
        <v>8</v>
      </c>
      <c r="BM20" s="113" t="s">
        <v>8</v>
      </c>
      <c r="BN20" s="113" t="s">
        <v>279</v>
      </c>
      <c r="BO20" s="113">
        <v>0.111</v>
      </c>
      <c r="BP20" s="113">
        <v>0.111</v>
      </c>
      <c r="BQ20" s="113">
        <v>0.111</v>
      </c>
      <c r="BR20" s="113">
        <v>0.111</v>
      </c>
      <c r="BS20" s="52">
        <v>0.111</v>
      </c>
      <c r="BT20" s="54"/>
      <c r="BU20" t="s">
        <v>8</v>
      </c>
      <c r="BV20" t="s">
        <v>8</v>
      </c>
      <c r="BW20" t="s">
        <v>107</v>
      </c>
      <c r="BX20">
        <v>0.13600130200000002</v>
      </c>
      <c r="BY20">
        <v>0.13600130200000002</v>
      </c>
      <c r="BZ20">
        <v>0.13600130200000002</v>
      </c>
      <c r="CA20">
        <v>0.13600130200000002</v>
      </c>
      <c r="CB20">
        <v>0.13600130200000002</v>
      </c>
      <c r="CC20">
        <v>0.49993830000000239</v>
      </c>
    </row>
    <row r="21" spans="1:81">
      <c r="A21" s="113">
        <v>7</v>
      </c>
      <c r="B21" s="113" t="s">
        <v>186</v>
      </c>
      <c r="C21" s="113">
        <v>99.61</v>
      </c>
      <c r="D21" s="113">
        <v>99.614999999999995</v>
      </c>
      <c r="E21" s="153">
        <v>99.612499999999997</v>
      </c>
      <c r="F21" s="113">
        <v>41808</v>
      </c>
      <c r="G21" s="113" t="s">
        <v>214</v>
      </c>
      <c r="H21" s="113" t="s">
        <v>200</v>
      </c>
      <c r="I21" s="113" t="s">
        <v>709</v>
      </c>
      <c r="J21" s="55">
        <v>99.617500000000007</v>
      </c>
      <c r="K21" s="274"/>
      <c r="L21" s="274" t="s">
        <v>204</v>
      </c>
      <c r="M21" s="113">
        <v>42172</v>
      </c>
      <c r="N21" s="80" t="s">
        <v>218</v>
      </c>
      <c r="O21" s="113">
        <v>0</v>
      </c>
      <c r="P21" s="113"/>
      <c r="Q21" s="113" t="s">
        <v>25</v>
      </c>
      <c r="R21" s="113" t="s">
        <v>504</v>
      </c>
      <c r="S21" s="113" t="s">
        <v>25</v>
      </c>
      <c r="T21" s="273">
        <v>41687</v>
      </c>
      <c r="U21" s="113" t="b">
        <v>1</v>
      </c>
      <c r="V21" s="113" t="s">
        <v>25</v>
      </c>
      <c r="W21" s="113" t="s">
        <v>504</v>
      </c>
      <c r="X21" s="52" t="s">
        <v>568</v>
      </c>
      <c r="Y21" s="52">
        <v>1</v>
      </c>
      <c r="Z21" s="113" t="s">
        <v>25</v>
      </c>
      <c r="AA21" s="113">
        <v>41687</v>
      </c>
      <c r="AB21" s="113" t="s">
        <v>25</v>
      </c>
      <c r="AC21" s="113"/>
      <c r="AD21" s="113"/>
      <c r="AE21" s="113" t="s">
        <v>25</v>
      </c>
      <c r="AF21" s="113" t="s">
        <v>280</v>
      </c>
      <c r="AG21" s="113">
        <v>0.3024</v>
      </c>
      <c r="AH21" s="113">
        <v>0.35239999999999999</v>
      </c>
      <c r="AI21" s="113">
        <v>0.3024</v>
      </c>
      <c r="AJ21" s="52">
        <v>0.35239999999999999</v>
      </c>
      <c r="AK21" s="113">
        <v>0.32740000000000002</v>
      </c>
      <c r="AL21" s="113"/>
      <c r="AM21" s="113"/>
      <c r="AN21" s="113" t="s">
        <v>25</v>
      </c>
      <c r="AO21" s="113" t="s">
        <v>281</v>
      </c>
      <c r="AP21" s="113">
        <v>0.1943</v>
      </c>
      <c r="AQ21" s="113">
        <v>0.24430000000000002</v>
      </c>
      <c r="AR21" s="113">
        <v>0.1943</v>
      </c>
      <c r="AS21" s="52">
        <v>0.24430000000000002</v>
      </c>
      <c r="AT21" s="113">
        <v>0.21929999999999999</v>
      </c>
      <c r="AU21" s="113"/>
      <c r="AV21" s="113" t="s">
        <v>25</v>
      </c>
      <c r="AW21" s="113" t="s">
        <v>282</v>
      </c>
      <c r="AX21" s="113">
        <v>0.47360000000000002</v>
      </c>
      <c r="AY21" s="113">
        <v>0.52360000000000007</v>
      </c>
      <c r="AZ21" s="113">
        <v>0.47360000000000002</v>
      </c>
      <c r="BA21" s="113">
        <v>0.52360000000000007</v>
      </c>
      <c r="BB21" s="52">
        <v>0.49860000000000004</v>
      </c>
      <c r="BC21" s="113"/>
      <c r="BD21" s="113" t="s">
        <v>25</v>
      </c>
      <c r="BE21" s="113" t="s">
        <v>283</v>
      </c>
      <c r="BF21" s="113">
        <v>0.22</v>
      </c>
      <c r="BG21" s="113">
        <v>0.22</v>
      </c>
      <c r="BH21" s="113">
        <v>0.22</v>
      </c>
      <c r="BI21" s="113">
        <v>0.22</v>
      </c>
      <c r="BJ21" s="113">
        <v>0.22</v>
      </c>
      <c r="BK21" s="113"/>
      <c r="BL21" s="113" t="s">
        <v>25</v>
      </c>
      <c r="BM21" s="113" t="s">
        <v>25</v>
      </c>
      <c r="BN21" s="113" t="s">
        <v>284</v>
      </c>
      <c r="BO21" s="113">
        <v>0.10800000000000001</v>
      </c>
      <c r="BP21" s="113">
        <v>0.10800000000000001</v>
      </c>
      <c r="BQ21" s="113">
        <v>0.10800000000000001</v>
      </c>
      <c r="BR21" s="113">
        <v>0.10800000000000001</v>
      </c>
      <c r="BS21" s="52">
        <v>0.10800000000000001</v>
      </c>
      <c r="BT21" s="54"/>
      <c r="BU21" t="s">
        <v>25</v>
      </c>
      <c r="BV21" t="s">
        <v>25</v>
      </c>
      <c r="BW21" t="s">
        <v>108</v>
      </c>
      <c r="BX21">
        <v>0.136003559</v>
      </c>
      <c r="BY21">
        <v>0.136003559</v>
      </c>
      <c r="BZ21">
        <v>0.136003559</v>
      </c>
      <c r="CA21">
        <v>0.136003559</v>
      </c>
      <c r="CB21">
        <v>0.136003559</v>
      </c>
      <c r="CC21">
        <v>0.19995329999999978</v>
      </c>
    </row>
    <row r="22" spans="1:81">
      <c r="A22" s="113">
        <v>8</v>
      </c>
      <c r="B22" s="113" t="s">
        <v>187</v>
      </c>
      <c r="C22" s="113">
        <v>99.54</v>
      </c>
      <c r="D22" s="113">
        <v>99.545000000000002</v>
      </c>
      <c r="E22" s="153">
        <v>99.542500000000004</v>
      </c>
      <c r="F22" s="113">
        <v>41899</v>
      </c>
      <c r="G22" s="113" t="s">
        <v>215</v>
      </c>
      <c r="H22" s="113" t="s">
        <v>201</v>
      </c>
      <c r="I22" s="113" t="s">
        <v>710</v>
      </c>
      <c r="J22" s="55">
        <v>99.552499999999995</v>
      </c>
      <c r="K22" s="274"/>
      <c r="L22" s="274" t="s">
        <v>223</v>
      </c>
      <c r="M22" s="113">
        <v>42263</v>
      </c>
      <c r="N22" s="80" t="s">
        <v>219</v>
      </c>
      <c r="O22" s="113">
        <v>5.0000000000000001E-3</v>
      </c>
      <c r="P22" s="113"/>
      <c r="Q22" s="113" t="s">
        <v>26</v>
      </c>
      <c r="R22" s="113" t="s">
        <v>504</v>
      </c>
      <c r="S22" s="113" t="s">
        <v>26</v>
      </c>
      <c r="T22" s="273">
        <v>41715</v>
      </c>
      <c r="U22" s="113" t="b">
        <v>1</v>
      </c>
      <c r="V22" s="113" t="s">
        <v>26</v>
      </c>
      <c r="W22" s="113" t="s">
        <v>504</v>
      </c>
      <c r="X22" s="52" t="s">
        <v>569</v>
      </c>
      <c r="Y22" s="52">
        <v>1</v>
      </c>
      <c r="Z22" s="113" t="s">
        <v>26</v>
      </c>
      <c r="AA22" s="113">
        <v>41715</v>
      </c>
      <c r="AB22" s="113" t="s">
        <v>26</v>
      </c>
      <c r="AC22" s="113"/>
      <c r="AD22" s="113"/>
      <c r="AE22" s="113" t="s">
        <v>26</v>
      </c>
      <c r="AF22" s="113" t="s">
        <v>285</v>
      </c>
      <c r="AG22" s="113">
        <v>0.29910000000000003</v>
      </c>
      <c r="AH22" s="113">
        <v>0.34909999999999997</v>
      </c>
      <c r="AI22" s="113">
        <v>0.29910000000000003</v>
      </c>
      <c r="AJ22" s="52">
        <v>0.34909999999999997</v>
      </c>
      <c r="AK22" s="113">
        <v>0.3241</v>
      </c>
      <c r="AL22" s="113"/>
      <c r="AM22" s="113"/>
      <c r="AN22" s="113" t="s">
        <v>26</v>
      </c>
      <c r="AO22" s="113" t="s">
        <v>286</v>
      </c>
      <c r="AP22" s="113">
        <v>0.1903</v>
      </c>
      <c r="AQ22" s="113">
        <v>0.24030000000000001</v>
      </c>
      <c r="AR22" s="113">
        <v>0.1903</v>
      </c>
      <c r="AS22" s="52">
        <v>0.24030000000000001</v>
      </c>
      <c r="AT22" s="113">
        <v>0.21529999999999999</v>
      </c>
      <c r="AU22" s="113"/>
      <c r="AV22" s="113" t="s">
        <v>26</v>
      </c>
      <c r="AW22" s="113" t="s">
        <v>287</v>
      </c>
      <c r="AX22" s="113">
        <v>0.47160000000000002</v>
      </c>
      <c r="AY22" s="113">
        <v>0.52160000000000006</v>
      </c>
      <c r="AZ22" s="113">
        <v>0.47160000000000002</v>
      </c>
      <c r="BA22" s="113">
        <v>0.52160000000000006</v>
      </c>
      <c r="BB22" s="52">
        <v>0.49660000000000004</v>
      </c>
      <c r="BC22" s="113"/>
      <c r="BD22" s="113" t="s">
        <v>26</v>
      </c>
      <c r="BE22" s="113" t="s">
        <v>288</v>
      </c>
      <c r="BF22" s="113">
        <v>0.24</v>
      </c>
      <c r="BG22" s="113">
        <v>0.24</v>
      </c>
      <c r="BH22" s="113">
        <v>0.24</v>
      </c>
      <c r="BI22" s="113">
        <v>0.24</v>
      </c>
      <c r="BJ22" s="113">
        <v>0.24</v>
      </c>
      <c r="BK22" s="113"/>
      <c r="BL22" s="113" t="s">
        <v>26</v>
      </c>
      <c r="BM22" s="113" t="s">
        <v>26</v>
      </c>
      <c r="BN22" s="113" t="s">
        <v>289</v>
      </c>
      <c r="BO22" s="113">
        <v>0.10600000000000001</v>
      </c>
      <c r="BP22" s="113">
        <v>0.10600000000000001</v>
      </c>
      <c r="BQ22" s="113">
        <v>0.10600000000000001</v>
      </c>
      <c r="BR22" s="113">
        <v>0.10600000000000001</v>
      </c>
      <c r="BS22" s="52">
        <v>0.10600000000000001</v>
      </c>
      <c r="BT22" s="54"/>
      <c r="BU22" t="s">
        <v>26</v>
      </c>
      <c r="BV22" t="s">
        <v>26</v>
      </c>
      <c r="BW22" t="s">
        <v>109</v>
      </c>
      <c r="BX22">
        <v>0.13600573400000002</v>
      </c>
      <c r="BY22">
        <v>0.13600573400000002</v>
      </c>
      <c r="BZ22">
        <v>0.13600573400000002</v>
      </c>
      <c r="CA22">
        <v>0.13600573400000002</v>
      </c>
      <c r="CB22">
        <v>0.13600573400000002</v>
      </c>
      <c r="CC22">
        <v>-0.50003669999999778</v>
      </c>
    </row>
    <row r="23" spans="1:81">
      <c r="A23" s="113">
        <v>9</v>
      </c>
      <c r="B23" s="113" t="s">
        <v>188</v>
      </c>
      <c r="C23" s="113">
        <v>99.454999999999998</v>
      </c>
      <c r="D23" s="113">
        <v>99.46</v>
      </c>
      <c r="E23" s="153">
        <v>99.457499999999996</v>
      </c>
      <c r="F23" s="113">
        <v>41990</v>
      </c>
      <c r="G23" s="113" t="s">
        <v>216</v>
      </c>
      <c r="H23" s="113" t="s">
        <v>202</v>
      </c>
      <c r="I23" s="113" t="s">
        <v>711</v>
      </c>
      <c r="J23" s="55">
        <v>99.462500000000006</v>
      </c>
      <c r="K23" s="274"/>
      <c r="L23" s="274"/>
      <c r="N23" s="80"/>
      <c r="P23" s="113"/>
      <c r="Q23" s="113" t="s">
        <v>27</v>
      </c>
      <c r="R23" s="113" t="s">
        <v>504</v>
      </c>
      <c r="S23" s="113" t="s">
        <v>27</v>
      </c>
      <c r="T23" s="273">
        <v>41744</v>
      </c>
      <c r="U23" s="113" t="b">
        <v>1</v>
      </c>
      <c r="V23" s="113" t="s">
        <v>27</v>
      </c>
      <c r="W23" s="113" t="s">
        <v>504</v>
      </c>
      <c r="X23" s="52" t="s">
        <v>570</v>
      </c>
      <c r="Y23" s="52">
        <v>1</v>
      </c>
      <c r="Z23" s="113" t="s">
        <v>27</v>
      </c>
      <c r="AA23" s="113">
        <v>41744</v>
      </c>
      <c r="AB23" s="113" t="s">
        <v>27</v>
      </c>
      <c r="AC23" s="113"/>
      <c r="AD23" s="113"/>
      <c r="AE23" s="113" t="s">
        <v>27</v>
      </c>
      <c r="AF23" s="113" t="s">
        <v>290</v>
      </c>
      <c r="AG23" s="113">
        <v>0.29740000000000005</v>
      </c>
      <c r="AH23" s="113">
        <v>0.34739999999999999</v>
      </c>
      <c r="AI23" s="113">
        <v>0.29740000000000005</v>
      </c>
      <c r="AJ23" s="52">
        <v>0.34739999999999999</v>
      </c>
      <c r="AK23" s="113">
        <v>0.32240000000000002</v>
      </c>
      <c r="AL23" s="113"/>
      <c r="AM23" s="113"/>
      <c r="AN23" s="113" t="s">
        <v>27</v>
      </c>
      <c r="AO23" s="113" t="s">
        <v>291</v>
      </c>
      <c r="AP23" s="113">
        <v>0.19070000000000001</v>
      </c>
      <c r="AQ23" s="113">
        <v>0.24070000000000003</v>
      </c>
      <c r="AR23" s="113">
        <v>0.19070000000000001</v>
      </c>
      <c r="AS23" s="52">
        <v>0.24070000000000003</v>
      </c>
      <c r="AT23" s="113">
        <v>0.2157</v>
      </c>
      <c r="AU23" s="113"/>
      <c r="AV23" s="113" t="s">
        <v>27</v>
      </c>
      <c r="AW23" s="113" t="s">
        <v>292</v>
      </c>
      <c r="AX23" s="113">
        <v>0.47050000000000003</v>
      </c>
      <c r="AY23" s="113">
        <v>0.52049999999999996</v>
      </c>
      <c r="AZ23" s="113">
        <v>0.47050000000000003</v>
      </c>
      <c r="BA23" s="113">
        <v>0.52049999999999996</v>
      </c>
      <c r="BB23" s="52">
        <v>0.4955</v>
      </c>
      <c r="BC23" s="113"/>
      <c r="BD23" s="113" t="s">
        <v>27</v>
      </c>
      <c r="BE23" s="113" t="s">
        <v>293</v>
      </c>
      <c r="BF23" s="113">
        <v>0.28000000000000003</v>
      </c>
      <c r="BG23" s="113">
        <v>0.28000000000000003</v>
      </c>
      <c r="BH23" s="113">
        <v>0.28000000000000003</v>
      </c>
      <c r="BI23" s="113">
        <v>0.28000000000000003</v>
      </c>
      <c r="BJ23" s="113">
        <v>0.28000000000000003</v>
      </c>
      <c r="BK23" s="113"/>
      <c r="BL23" s="113" t="s">
        <v>27</v>
      </c>
      <c r="BM23" s="113" t="s">
        <v>27</v>
      </c>
      <c r="BN23" s="113" t="s">
        <v>294</v>
      </c>
      <c r="BO23" s="113">
        <v>0.105</v>
      </c>
      <c r="BP23" s="113">
        <v>0.105</v>
      </c>
      <c r="BQ23" s="113">
        <v>0.105</v>
      </c>
      <c r="BR23" s="113">
        <v>0.105</v>
      </c>
      <c r="BS23" s="52">
        <v>0.105</v>
      </c>
      <c r="BT23" s="54"/>
      <c r="BU23" t="s">
        <v>27</v>
      </c>
      <c r="BV23" t="s">
        <v>27</v>
      </c>
      <c r="BW23" t="s">
        <v>110</v>
      </c>
      <c r="BX23">
        <v>0.13600774900000001</v>
      </c>
      <c r="BY23">
        <v>0.13600774900000001</v>
      </c>
      <c r="BZ23">
        <v>0.13600774900000001</v>
      </c>
      <c r="CA23">
        <v>0.13600774900000001</v>
      </c>
      <c r="CB23">
        <v>0.13600774900000001</v>
      </c>
      <c r="CC23">
        <v>-1.1001135999999994</v>
      </c>
    </row>
    <row r="24" spans="1:81">
      <c r="A24" s="113">
        <v>10</v>
      </c>
      <c r="B24" s="113" t="s">
        <v>189</v>
      </c>
      <c r="C24" s="113">
        <v>99.35</v>
      </c>
      <c r="D24" s="113">
        <v>99.355000000000004</v>
      </c>
      <c r="E24" s="153">
        <v>99.352500000000006</v>
      </c>
      <c r="F24" s="113">
        <v>42081</v>
      </c>
      <c r="G24" s="113" t="s">
        <v>217</v>
      </c>
      <c r="H24" s="113" t="s">
        <v>203</v>
      </c>
      <c r="I24" s="113" t="s">
        <v>712</v>
      </c>
      <c r="J24" s="55">
        <v>99.357500000000002</v>
      </c>
      <c r="K24" s="274"/>
      <c r="L24" s="274"/>
      <c r="N24" s="80"/>
      <c r="P24" s="113"/>
      <c r="Q24" s="113" t="s">
        <v>28</v>
      </c>
      <c r="R24" s="113" t="s">
        <v>504</v>
      </c>
      <c r="S24" s="113" t="s">
        <v>28</v>
      </c>
      <c r="T24" s="273">
        <v>41774</v>
      </c>
      <c r="U24" s="113" t="b">
        <v>1</v>
      </c>
      <c r="V24" s="113" t="s">
        <v>28</v>
      </c>
      <c r="W24" s="113" t="s">
        <v>504</v>
      </c>
      <c r="X24" s="52" t="s">
        <v>571</v>
      </c>
      <c r="Y24" s="52">
        <v>1</v>
      </c>
      <c r="Z24" s="113" t="s">
        <v>28</v>
      </c>
      <c r="AA24" s="113">
        <v>41774</v>
      </c>
      <c r="AB24" s="113" t="s">
        <v>28</v>
      </c>
      <c r="AC24" s="113"/>
      <c r="AD24" s="113"/>
      <c r="AE24" s="113" t="s">
        <v>28</v>
      </c>
      <c r="AF24" s="113" t="s">
        <v>295</v>
      </c>
      <c r="AG24" s="113">
        <v>0.29570000000000002</v>
      </c>
      <c r="AH24" s="113">
        <v>0.34569999999999995</v>
      </c>
      <c r="AI24" s="113">
        <v>0.29570000000000002</v>
      </c>
      <c r="AJ24" s="52">
        <v>0.34569999999999995</v>
      </c>
      <c r="AK24" s="113">
        <v>0.32069999999999999</v>
      </c>
      <c r="AL24" s="113"/>
      <c r="AM24" s="113"/>
      <c r="AN24" s="113" t="s">
        <v>28</v>
      </c>
      <c r="AO24" s="113" t="s">
        <v>296</v>
      </c>
      <c r="AP24" s="113">
        <v>0.1895</v>
      </c>
      <c r="AQ24" s="113">
        <v>0.23950000000000002</v>
      </c>
      <c r="AR24" s="113">
        <v>0.1895</v>
      </c>
      <c r="AS24" s="52">
        <v>0.23950000000000002</v>
      </c>
      <c r="AT24" s="113">
        <v>0.21450000000000002</v>
      </c>
      <c r="AU24" s="113"/>
      <c r="AV24" s="113" t="s">
        <v>28</v>
      </c>
      <c r="AW24" s="113" t="s">
        <v>297</v>
      </c>
      <c r="AX24" s="113">
        <v>0.45660000000000001</v>
      </c>
      <c r="AY24" s="113">
        <v>0.50660000000000005</v>
      </c>
      <c r="AZ24" s="113">
        <v>0.45660000000000001</v>
      </c>
      <c r="BA24" s="113">
        <v>0.50660000000000005</v>
      </c>
      <c r="BB24" s="52">
        <v>0.48160000000000003</v>
      </c>
      <c r="BC24" s="113"/>
      <c r="BD24" s="113" t="s">
        <v>28</v>
      </c>
      <c r="BE24" s="113" t="s">
        <v>298</v>
      </c>
      <c r="BF24" s="113">
        <v>0.32</v>
      </c>
      <c r="BG24" s="113">
        <v>0.32</v>
      </c>
      <c r="BH24" s="113">
        <v>0.32</v>
      </c>
      <c r="BI24" s="113">
        <v>0.32</v>
      </c>
      <c r="BJ24" s="113">
        <v>0.32</v>
      </c>
      <c r="BK24" s="113"/>
      <c r="BL24" s="113" t="s">
        <v>28</v>
      </c>
      <c r="BM24" s="113" t="s">
        <v>28</v>
      </c>
      <c r="BN24" s="113" t="s">
        <v>299</v>
      </c>
      <c r="BO24" s="113">
        <v>0.10300000000000001</v>
      </c>
      <c r="BP24" s="113">
        <v>0.10300000000000001</v>
      </c>
      <c r="BQ24" s="113">
        <v>0.10300000000000001</v>
      </c>
      <c r="BR24" s="113">
        <v>0.10300000000000001</v>
      </c>
      <c r="BS24" s="52">
        <v>0.10300000000000001</v>
      </c>
      <c r="BT24" s="54"/>
      <c r="BU24" t="s">
        <v>28</v>
      </c>
      <c r="BV24" t="s">
        <v>28</v>
      </c>
      <c r="BW24" t="s">
        <v>111</v>
      </c>
      <c r="BX24">
        <v>0.13500996500000001</v>
      </c>
      <c r="BY24">
        <v>0.13500996500000001</v>
      </c>
      <c r="BZ24">
        <v>0.13500996500000001</v>
      </c>
      <c r="CA24">
        <v>0.13500996500000001</v>
      </c>
      <c r="CB24">
        <v>0.13500996500000001</v>
      </c>
      <c r="CC24">
        <v>-1.8001131000000004</v>
      </c>
    </row>
    <row r="25" spans="1:81">
      <c r="A25" s="113">
        <v>11</v>
      </c>
      <c r="B25" s="113" t="s">
        <v>190</v>
      </c>
      <c r="C25" s="113">
        <v>99.23</v>
      </c>
      <c r="D25" s="113">
        <v>99.234999999999999</v>
      </c>
      <c r="E25" s="153">
        <v>99.232500000000002</v>
      </c>
      <c r="F25" s="113">
        <v>42172</v>
      </c>
      <c r="G25" s="113" t="s">
        <v>218</v>
      </c>
      <c r="H25" s="113" t="s">
        <v>204</v>
      </c>
      <c r="I25" s="113" t="s">
        <v>713</v>
      </c>
      <c r="J25" s="55">
        <v>99.237499999999997</v>
      </c>
      <c r="K25" s="274"/>
      <c r="L25" s="274"/>
      <c r="N25" s="80"/>
      <c r="P25" s="113"/>
      <c r="Q25" s="113" t="s">
        <v>29</v>
      </c>
      <c r="R25" s="113" t="s">
        <v>504</v>
      </c>
      <c r="S25" s="113" t="s">
        <v>29</v>
      </c>
      <c r="T25" s="273">
        <v>41806</v>
      </c>
      <c r="U25" s="113" t="b">
        <v>1</v>
      </c>
      <c r="V25" s="113" t="s">
        <v>29</v>
      </c>
      <c r="W25" s="113" t="s">
        <v>504</v>
      </c>
      <c r="X25" s="52" t="s">
        <v>625</v>
      </c>
      <c r="Y25" s="52">
        <v>1</v>
      </c>
      <c r="Z25" s="113" t="s">
        <v>29</v>
      </c>
      <c r="AA25" s="113">
        <v>41806</v>
      </c>
      <c r="AB25" s="113" t="s">
        <v>29</v>
      </c>
      <c r="AC25" s="113"/>
      <c r="AD25" s="113"/>
      <c r="AE25" s="113" t="s">
        <v>29</v>
      </c>
      <c r="AF25" s="113" t="s">
        <v>626</v>
      </c>
      <c r="AG25" s="113">
        <v>0.29380000000000006</v>
      </c>
      <c r="AH25" s="113">
        <v>0.34379999999999999</v>
      </c>
      <c r="AI25" s="113">
        <v>0.29380000000000006</v>
      </c>
      <c r="AJ25" s="52">
        <v>0.34379999999999999</v>
      </c>
      <c r="AK25" s="113">
        <v>0.31880000000000003</v>
      </c>
      <c r="AL25" s="113"/>
      <c r="AM25" s="113"/>
      <c r="AN25" s="113" t="s">
        <v>29</v>
      </c>
      <c r="AO25" s="113" t="s">
        <v>627</v>
      </c>
      <c r="AP25" s="113">
        <v>0.19040000000000001</v>
      </c>
      <c r="AQ25" s="113">
        <v>0.24040000000000003</v>
      </c>
      <c r="AR25" s="113">
        <v>0.19040000000000001</v>
      </c>
      <c r="AS25" s="52">
        <v>0.24040000000000003</v>
      </c>
      <c r="AT25" s="113">
        <v>0.21540000000000004</v>
      </c>
      <c r="AU25" s="113"/>
      <c r="AV25" s="113" t="s">
        <v>29</v>
      </c>
      <c r="AW25" s="113" t="s">
        <v>628</v>
      </c>
      <c r="AX25" s="113">
        <v>0.44400000000000001</v>
      </c>
      <c r="AY25" s="113">
        <v>0.49399999999999999</v>
      </c>
      <c r="AZ25" s="113">
        <v>0.44400000000000001</v>
      </c>
      <c r="BA25" s="113">
        <v>0.49399999999999999</v>
      </c>
      <c r="BB25" s="52">
        <v>0.46899999999999997</v>
      </c>
      <c r="BC25" s="113"/>
      <c r="BD25" s="113" t="s">
        <v>29</v>
      </c>
      <c r="BE25" s="113" t="s">
        <v>629</v>
      </c>
      <c r="BF25" s="113">
        <v>0.35</v>
      </c>
      <c r="BG25" s="113">
        <v>0.35</v>
      </c>
      <c r="BH25" s="113">
        <v>0.35</v>
      </c>
      <c r="BI25" s="113">
        <v>0.35</v>
      </c>
      <c r="BJ25" s="113">
        <v>0.35</v>
      </c>
      <c r="BK25" s="113"/>
      <c r="BL25" s="113" t="s">
        <v>29</v>
      </c>
      <c r="BM25" s="113" t="s">
        <v>29</v>
      </c>
      <c r="BN25" s="113" t="s">
        <v>300</v>
      </c>
      <c r="BO25" s="113">
        <v>0.10300000000000001</v>
      </c>
      <c r="BP25" s="113">
        <v>0.10300000000000001</v>
      </c>
      <c r="BQ25" s="113">
        <v>0.10300000000000001</v>
      </c>
      <c r="BR25" s="113">
        <v>0.10300000000000001</v>
      </c>
      <c r="BS25" s="52">
        <v>0.10300000000000001</v>
      </c>
      <c r="BT25" s="54"/>
      <c r="BU25" t="s">
        <v>29</v>
      </c>
      <c r="BV25" t="s">
        <v>29</v>
      </c>
      <c r="BW25" t="s">
        <v>112</v>
      </c>
      <c r="BX25">
        <v>0.13601240900000003</v>
      </c>
      <c r="BY25">
        <v>0.13601240900000003</v>
      </c>
      <c r="BZ25">
        <v>0.13601240900000003</v>
      </c>
      <c r="CA25">
        <v>0.13601240900000003</v>
      </c>
      <c r="CB25">
        <v>0.13601240900000003</v>
      </c>
      <c r="CC25">
        <v>-2.6001164999999964</v>
      </c>
    </row>
    <row r="26" spans="1:81">
      <c r="A26" s="113">
        <v>12</v>
      </c>
      <c r="B26" s="113" t="s">
        <v>193</v>
      </c>
      <c r="C26" s="113">
        <v>99.094999999999999</v>
      </c>
      <c r="D26" s="113">
        <v>99.1</v>
      </c>
      <c r="E26" s="153">
        <v>99.097499999999997</v>
      </c>
      <c r="F26" s="113">
        <v>42263</v>
      </c>
      <c r="G26" s="113" t="s">
        <v>219</v>
      </c>
      <c r="H26" s="113" t="s">
        <v>223</v>
      </c>
      <c r="I26" s="113" t="s">
        <v>714</v>
      </c>
      <c r="J26" s="55">
        <v>99.107500000000002</v>
      </c>
      <c r="N26" s="80"/>
      <c r="P26" s="113"/>
      <c r="Q26" s="113" t="s">
        <v>30</v>
      </c>
      <c r="R26" s="113" t="s">
        <v>504</v>
      </c>
      <c r="S26" s="113" t="s">
        <v>30</v>
      </c>
      <c r="T26" s="273">
        <v>41835</v>
      </c>
      <c r="U26" s="113" t="b">
        <v>0</v>
      </c>
      <c r="V26" s="113" t="s">
        <v>630</v>
      </c>
      <c r="W26" s="113" t="s">
        <v>507</v>
      </c>
      <c r="X26" s="52" t="s">
        <v>572</v>
      </c>
      <c r="Y26" s="52">
        <v>2</v>
      </c>
      <c r="Z26" s="113" t="s">
        <v>631</v>
      </c>
      <c r="AA26" s="113">
        <v>41808</v>
      </c>
      <c r="AB26" s="113" t="s">
        <v>630</v>
      </c>
      <c r="AC26" s="113"/>
      <c r="AD26" s="113"/>
      <c r="AE26" s="113" t="s">
        <v>630</v>
      </c>
      <c r="AF26" s="113" t="s">
        <v>632</v>
      </c>
      <c r="AG26" s="113">
        <v>0.31859999999999999</v>
      </c>
      <c r="AH26" s="113">
        <v>0.31859999999999999</v>
      </c>
      <c r="AI26" s="113">
        <v>0.31859999999999999</v>
      </c>
      <c r="AJ26" s="52">
        <v>0.31859999999999999</v>
      </c>
      <c r="AK26" s="113">
        <v>0.31859999999999999</v>
      </c>
      <c r="AL26" s="113"/>
      <c r="AM26" s="113"/>
      <c r="AN26" s="113" t="s">
        <v>630</v>
      </c>
      <c r="AO26" s="113" t="s">
        <v>633</v>
      </c>
      <c r="AP26" s="113">
        <v>0.21540000000000004</v>
      </c>
      <c r="AQ26" s="113">
        <v>0.21540000000000004</v>
      </c>
      <c r="AR26" s="113">
        <v>0.21540000000000004</v>
      </c>
      <c r="AS26" s="52">
        <v>0.21540000000000004</v>
      </c>
      <c r="AT26" s="113">
        <v>0.21540000000000004</v>
      </c>
      <c r="AU26" s="113"/>
      <c r="AV26" s="113" t="s">
        <v>630</v>
      </c>
      <c r="AW26" s="113" t="s">
        <v>634</v>
      </c>
      <c r="AX26" s="113">
        <v>0.46820000000000001</v>
      </c>
      <c r="AY26" s="113">
        <v>0.46820000000000001</v>
      </c>
      <c r="AZ26" s="113">
        <v>0.46820000000000001</v>
      </c>
      <c r="BA26" s="113">
        <v>0.46820000000000001</v>
      </c>
      <c r="BB26" s="52">
        <v>0.46820000000000001</v>
      </c>
      <c r="BC26" s="113"/>
      <c r="BD26" s="113" t="s">
        <v>630</v>
      </c>
      <c r="BE26" s="113" t="s">
        <v>254</v>
      </c>
      <c r="BF26" s="113">
        <v>0.34275862099999999</v>
      </c>
      <c r="BG26" s="113">
        <v>0.362758621</v>
      </c>
      <c r="BH26" s="113">
        <v>0.34275862099999999</v>
      </c>
      <c r="BI26" s="113">
        <v>0.362758621</v>
      </c>
      <c r="BJ26" s="113">
        <v>0.35275862099999999</v>
      </c>
      <c r="BK26" s="113"/>
      <c r="BL26" s="113" t="s">
        <v>30</v>
      </c>
      <c r="BM26" s="113" t="s">
        <v>30</v>
      </c>
      <c r="BN26" s="113" t="s">
        <v>301</v>
      </c>
      <c r="BO26" s="113">
        <v>0.10300000000000001</v>
      </c>
      <c r="BP26" s="113">
        <v>0.10300000000000001</v>
      </c>
      <c r="BQ26" s="113">
        <v>0.10300000000000001</v>
      </c>
      <c r="BR26" s="113">
        <v>0.10300000000000001</v>
      </c>
      <c r="BS26" s="52">
        <v>0.10300000000000001</v>
      </c>
      <c r="BT26" s="54"/>
      <c r="BU26" t="s">
        <v>30</v>
      </c>
      <c r="BV26" t="s">
        <v>30</v>
      </c>
      <c r="BW26" t="s">
        <v>113</v>
      </c>
      <c r="BX26">
        <v>0.13701490800000002</v>
      </c>
      <c r="BY26">
        <v>0.13701490800000002</v>
      </c>
      <c r="BZ26">
        <v>0.13701490800000002</v>
      </c>
      <c r="CA26">
        <v>0.13701490800000002</v>
      </c>
      <c r="CB26">
        <v>0.13701490800000002</v>
      </c>
      <c r="CC26">
        <v>-3.7002309999999983</v>
      </c>
    </row>
    <row r="27" spans="1:81">
      <c r="A27" s="113">
        <v>13</v>
      </c>
      <c r="B27" s="113" t="s">
        <v>488</v>
      </c>
      <c r="C27" s="113">
        <v>98.95</v>
      </c>
      <c r="D27" s="113">
        <v>98.954999999999998</v>
      </c>
      <c r="E27" s="153">
        <v>98.952500000000001</v>
      </c>
      <c r="F27" s="113">
        <v>42354</v>
      </c>
      <c r="G27" s="113" t="s">
        <v>487</v>
      </c>
      <c r="H27" s="113" t="s">
        <v>489</v>
      </c>
      <c r="I27" s="113" t="s">
        <v>715</v>
      </c>
      <c r="J27" s="55" t="e">
        <v>#N/A</v>
      </c>
      <c r="N27" s="80"/>
      <c r="P27" s="113"/>
      <c r="Q27" s="113" t="s">
        <v>49</v>
      </c>
      <c r="R27" s="113" t="s">
        <v>504</v>
      </c>
      <c r="S27" s="113" t="s">
        <v>49</v>
      </c>
      <c r="T27" s="273">
        <v>41866</v>
      </c>
      <c r="U27" s="113" t="b">
        <v>0</v>
      </c>
      <c r="V27" s="113">
        <v>41808</v>
      </c>
      <c r="W27" s="113" t="s">
        <v>505</v>
      </c>
      <c r="X27" s="52" t="s">
        <v>482</v>
      </c>
      <c r="Y27" s="52">
        <v>3</v>
      </c>
      <c r="Z27" s="113" t="s">
        <v>200</v>
      </c>
      <c r="AA27" s="113">
        <v>41808</v>
      </c>
      <c r="AB27" s="113" t="s">
        <v>214</v>
      </c>
      <c r="AC27" s="113"/>
      <c r="AD27" s="113"/>
      <c r="AE27" s="113">
        <v>41808</v>
      </c>
      <c r="AF27" s="113" t="s">
        <v>694</v>
      </c>
      <c r="AG27" s="113">
        <v>99.637999999999991</v>
      </c>
      <c r="AH27" s="113">
        <v>99.643000000000001</v>
      </c>
      <c r="AI27" s="113">
        <v>99.637999999999991</v>
      </c>
      <c r="AJ27" s="52">
        <v>99.643000000000001</v>
      </c>
      <c r="AK27" s="113">
        <v>0.35949999999999704</v>
      </c>
      <c r="AL27" s="113"/>
      <c r="AM27" s="113"/>
      <c r="AN27" s="113">
        <v>41808</v>
      </c>
      <c r="AO27" s="113" t="s">
        <v>695</v>
      </c>
      <c r="AP27" s="113">
        <v>99.74</v>
      </c>
      <c r="AQ27" s="113">
        <v>99.745000000000005</v>
      </c>
      <c r="AR27" s="113">
        <v>99.74</v>
      </c>
      <c r="AS27" s="52">
        <v>99.745000000000005</v>
      </c>
      <c r="AT27" s="113">
        <v>0.25749999999999318</v>
      </c>
      <c r="AU27" s="113"/>
      <c r="AV27" s="113">
        <v>41808</v>
      </c>
      <c r="AW27" s="113" t="s">
        <v>696</v>
      </c>
      <c r="AX27" s="113">
        <v>99.472200000000001</v>
      </c>
      <c r="AY27" s="113">
        <v>99.477200000000011</v>
      </c>
      <c r="AZ27" s="113">
        <v>99.472200000000001</v>
      </c>
      <c r="BA27" s="113">
        <v>99.477200000000011</v>
      </c>
      <c r="BB27" s="52">
        <v>0.52529999999998722</v>
      </c>
      <c r="BC27" s="113"/>
      <c r="BD27" s="113">
        <v>41808</v>
      </c>
      <c r="BE27" s="113" t="s">
        <v>695</v>
      </c>
      <c r="BF27" s="113">
        <v>99.74</v>
      </c>
      <c r="BG27" s="113">
        <v>99.745000000000005</v>
      </c>
      <c r="BH27" s="113">
        <v>99.74</v>
      </c>
      <c r="BI27" s="113">
        <v>99.745000000000005</v>
      </c>
      <c r="BJ27" s="113">
        <v>0.25749999999999318</v>
      </c>
      <c r="BK27" s="113"/>
      <c r="BL27" s="113" t="s">
        <v>49</v>
      </c>
      <c r="BM27" s="113" t="s">
        <v>49</v>
      </c>
      <c r="BN27" s="113" t="s">
        <v>302</v>
      </c>
      <c r="BO27" s="113">
        <v>0.10300000000000001</v>
      </c>
      <c r="BP27" s="113">
        <v>0.10300000000000001</v>
      </c>
      <c r="BQ27" s="113">
        <v>0.10300000000000001</v>
      </c>
      <c r="BR27" s="113">
        <v>0.10300000000000001</v>
      </c>
      <c r="BS27" s="52">
        <v>0.10300000000000001</v>
      </c>
      <c r="BT27" s="54"/>
      <c r="BU27" t="s">
        <v>49</v>
      </c>
      <c r="BV27" t="s">
        <v>49</v>
      </c>
      <c r="BW27" t="s">
        <v>114</v>
      </c>
      <c r="BX27">
        <v>0.13901861200000001</v>
      </c>
      <c r="BY27">
        <v>0.13901861200000001</v>
      </c>
      <c r="BZ27">
        <v>0.13901861200000001</v>
      </c>
      <c r="CA27">
        <v>0.13901861200000001</v>
      </c>
      <c r="CB27">
        <v>0.13901861200000001</v>
      </c>
      <c r="CC27">
        <v>-4.7002863999999978</v>
      </c>
    </row>
    <row r="28" spans="1:81">
      <c r="A28" s="113">
        <v>14</v>
      </c>
      <c r="B28" s="113" t="s">
        <v>491</v>
      </c>
      <c r="C28" s="113">
        <v>98.78</v>
      </c>
      <c r="D28" s="113">
        <v>98.784999999999997</v>
      </c>
      <c r="E28" s="153">
        <v>98.782499999999999</v>
      </c>
      <c r="F28" s="113">
        <v>42445</v>
      </c>
      <c r="G28" s="113" t="s">
        <v>490</v>
      </c>
      <c r="H28" s="113" t="s">
        <v>492</v>
      </c>
      <c r="I28" s="113" t="s">
        <v>716</v>
      </c>
      <c r="J28" s="55" t="e">
        <v>#N/A</v>
      </c>
      <c r="N28" s="80"/>
      <c r="P28" s="113"/>
      <c r="Q28" s="113" t="s">
        <v>630</v>
      </c>
      <c r="R28" s="113" t="s">
        <v>507</v>
      </c>
      <c r="S28" s="113" t="s">
        <v>92</v>
      </c>
      <c r="T28" s="273">
        <v>41808</v>
      </c>
      <c r="U28" s="113" t="b">
        <v>1</v>
      </c>
      <c r="V28" s="113">
        <v>41899</v>
      </c>
      <c r="W28" s="113" t="s">
        <v>505</v>
      </c>
      <c r="X28" s="52" t="s">
        <v>483</v>
      </c>
      <c r="Y28" s="52">
        <v>3</v>
      </c>
      <c r="Z28" s="113" t="s">
        <v>201</v>
      </c>
      <c r="AA28" s="113">
        <v>41899</v>
      </c>
      <c r="AB28" s="113" t="s">
        <v>215</v>
      </c>
      <c r="AC28" s="113"/>
      <c r="AD28" s="113"/>
      <c r="AE28" s="113">
        <v>41899</v>
      </c>
      <c r="AF28" s="113" t="s">
        <v>546</v>
      </c>
      <c r="AG28" s="113">
        <v>99.601399999999998</v>
      </c>
      <c r="AH28" s="113">
        <v>99.606399999999994</v>
      </c>
      <c r="AI28" s="113">
        <v>99.601399999999998</v>
      </c>
      <c r="AJ28" s="52">
        <v>99.606399999999994</v>
      </c>
      <c r="AK28" s="113">
        <v>0.39610000000000412</v>
      </c>
      <c r="AL28" s="113"/>
      <c r="AM28" s="113"/>
      <c r="AN28" s="113">
        <v>41899</v>
      </c>
      <c r="AO28" s="113" t="s">
        <v>547</v>
      </c>
      <c r="AP28" s="113">
        <v>99.71</v>
      </c>
      <c r="AQ28" s="113">
        <v>99.715000000000003</v>
      </c>
      <c r="AR28" s="113">
        <v>99.71</v>
      </c>
      <c r="AS28" s="52">
        <v>99.715000000000003</v>
      </c>
      <c r="AT28" s="113">
        <v>0.28749999999999432</v>
      </c>
      <c r="AU28" s="113"/>
      <c r="AV28" s="113">
        <v>41899</v>
      </c>
      <c r="AW28" s="113" t="s">
        <v>548</v>
      </c>
      <c r="AX28" s="113">
        <v>99.442300000000003</v>
      </c>
      <c r="AY28" s="113">
        <v>99.447300000000013</v>
      </c>
      <c r="AZ28" s="113">
        <v>99.442300000000003</v>
      </c>
      <c r="BA28" s="113">
        <v>99.447300000000013</v>
      </c>
      <c r="BB28" s="52">
        <v>0.55519999999998504</v>
      </c>
      <c r="BC28" s="113"/>
      <c r="BD28" s="113">
        <v>41899</v>
      </c>
      <c r="BE28" s="113" t="s">
        <v>547</v>
      </c>
      <c r="BF28" s="113">
        <v>99.71</v>
      </c>
      <c r="BG28" s="113">
        <v>99.715000000000003</v>
      </c>
      <c r="BH28" s="113">
        <v>99.71</v>
      </c>
      <c r="BI28" s="113">
        <v>99.715000000000003</v>
      </c>
      <c r="BJ28" s="113">
        <v>0.28749999999999432</v>
      </c>
      <c r="BK28" s="113"/>
      <c r="BL28" s="113" t="s">
        <v>50</v>
      </c>
      <c r="BM28" s="113" t="s">
        <v>50</v>
      </c>
      <c r="BN28" s="113" t="s">
        <v>303</v>
      </c>
      <c r="BO28" s="113">
        <v>0.10400000000000001</v>
      </c>
      <c r="BP28" s="113">
        <v>0.10400000000000001</v>
      </c>
      <c r="BQ28" s="113">
        <v>0.10400000000000001</v>
      </c>
      <c r="BR28" s="113">
        <v>0.10400000000000001</v>
      </c>
      <c r="BS28" s="52">
        <v>0.10400000000000001</v>
      </c>
      <c r="BT28" s="54"/>
      <c r="BU28" t="s">
        <v>50</v>
      </c>
      <c r="BV28" t="s">
        <v>50</v>
      </c>
      <c r="BW28" t="s">
        <v>115</v>
      </c>
      <c r="BX28">
        <v>0.14102163700000001</v>
      </c>
      <c r="BY28">
        <v>0.14102163700000001</v>
      </c>
      <c r="BZ28">
        <v>0.14102163700000001</v>
      </c>
      <c r="CA28">
        <v>0.14102163700000001</v>
      </c>
      <c r="CB28">
        <v>0.14102163700000001</v>
      </c>
      <c r="CC28">
        <v>-5.8004562999999978</v>
      </c>
    </row>
    <row r="29" spans="1:81">
      <c r="A29" s="113">
        <v>15</v>
      </c>
      <c r="B29" s="113" t="s">
        <v>493</v>
      </c>
      <c r="C29" s="113">
        <v>98.605000000000004</v>
      </c>
      <c r="D29" s="113">
        <v>98.61</v>
      </c>
      <c r="E29" s="153">
        <v>98.607500000000002</v>
      </c>
      <c r="F29" s="113">
        <v>42536</v>
      </c>
      <c r="G29" s="113" t="s">
        <v>745</v>
      </c>
      <c r="H29" s="113" t="s">
        <v>494</v>
      </c>
      <c r="I29" s="113" t="s">
        <v>717</v>
      </c>
      <c r="J29" s="55" t="e">
        <v>#N/A</v>
      </c>
      <c r="N29" s="80"/>
      <c r="P29" s="113"/>
      <c r="Q29" s="273">
        <v>41808</v>
      </c>
      <c r="R29" s="113" t="s">
        <v>505</v>
      </c>
      <c r="S29" s="113"/>
      <c r="T29" s="273">
        <v>41808</v>
      </c>
      <c r="U29" s="113" t="b">
        <v>1</v>
      </c>
      <c r="V29" s="273">
        <v>41990</v>
      </c>
      <c r="W29" s="113" t="s">
        <v>505</v>
      </c>
      <c r="X29" s="52" t="s">
        <v>573</v>
      </c>
      <c r="Y29" s="52">
        <v>3</v>
      </c>
      <c r="Z29" s="274" t="s">
        <v>202</v>
      </c>
      <c r="AA29" s="113">
        <v>41990</v>
      </c>
      <c r="AB29" s="113" t="s">
        <v>216</v>
      </c>
      <c r="AC29" s="113">
        <v>0</v>
      </c>
      <c r="AD29" s="273"/>
      <c r="AE29" s="113">
        <v>41990</v>
      </c>
      <c r="AF29" s="113" t="s">
        <v>309</v>
      </c>
      <c r="AG29" s="113">
        <v>99.545500000000004</v>
      </c>
      <c r="AH29" s="113">
        <v>99.5505</v>
      </c>
      <c r="AI29" s="113">
        <v>99.545500000000004</v>
      </c>
      <c r="AJ29" s="52">
        <v>99.5505</v>
      </c>
      <c r="AK29" s="113">
        <v>0.45199999999999818</v>
      </c>
      <c r="AL29" s="273"/>
      <c r="AM29" s="113"/>
      <c r="AN29" s="113">
        <v>41990</v>
      </c>
      <c r="AO29" s="113" t="s">
        <v>310</v>
      </c>
      <c r="AP29" s="113">
        <v>99.674999999999997</v>
      </c>
      <c r="AQ29" s="113">
        <v>99.68</v>
      </c>
      <c r="AR29" s="113">
        <v>99.674999999999997</v>
      </c>
      <c r="AS29" s="52">
        <v>99.68</v>
      </c>
      <c r="AT29" s="273">
        <v>0.32250000000001933</v>
      </c>
      <c r="AU29" s="113"/>
      <c r="AV29" s="113">
        <v>41990</v>
      </c>
      <c r="AW29" s="113" t="s">
        <v>311</v>
      </c>
      <c r="AX29" s="113">
        <v>99.407300000000006</v>
      </c>
      <c r="AY29" s="113">
        <v>99.412300000000002</v>
      </c>
      <c r="AZ29" s="113">
        <v>99.407300000000006</v>
      </c>
      <c r="BA29" s="113">
        <v>99.412300000000002</v>
      </c>
      <c r="BB29" s="52">
        <v>0.59019999999999584</v>
      </c>
      <c r="BC29" s="113"/>
      <c r="BD29" s="113">
        <v>41990</v>
      </c>
      <c r="BE29" s="113" t="s">
        <v>310</v>
      </c>
      <c r="BF29" s="113">
        <v>99.674999999999997</v>
      </c>
      <c r="BG29" s="113">
        <v>99.68</v>
      </c>
      <c r="BH29" s="113">
        <v>99.674999999999997</v>
      </c>
      <c r="BI29" s="113">
        <v>99.68</v>
      </c>
      <c r="BJ29" s="113">
        <v>0.32250000000001933</v>
      </c>
      <c r="BK29" s="113"/>
      <c r="BL29" s="113" t="s">
        <v>51</v>
      </c>
      <c r="BM29" s="113" t="s">
        <v>51</v>
      </c>
      <c r="BN29" s="113" t="s">
        <v>304</v>
      </c>
      <c r="BO29" s="113">
        <v>0.10600000000000001</v>
      </c>
      <c r="BP29" s="113">
        <v>0.10600000000000001</v>
      </c>
      <c r="BQ29" s="113">
        <v>0.10600000000000001</v>
      </c>
      <c r="BR29" s="113">
        <v>0.10600000000000001</v>
      </c>
      <c r="BS29" s="52">
        <v>0.10600000000000001</v>
      </c>
      <c r="BT29" s="54"/>
      <c r="BU29" t="s">
        <v>51</v>
      </c>
      <c r="BV29" t="s">
        <v>51</v>
      </c>
      <c r="BW29" t="s">
        <v>116</v>
      </c>
      <c r="BX29">
        <v>0.14402484000000002</v>
      </c>
      <c r="BY29">
        <v>0.14402484000000002</v>
      </c>
      <c r="BZ29">
        <v>0.14402484000000002</v>
      </c>
      <c r="CA29">
        <v>0.14402484000000002</v>
      </c>
      <c r="CB29">
        <v>0.14402484000000002</v>
      </c>
      <c r="CC29">
        <v>-6.9005357999999992</v>
      </c>
    </row>
    <row r="30" spans="1:81">
      <c r="A30" s="113">
        <v>16</v>
      </c>
      <c r="B30" s="113" t="s">
        <v>1027</v>
      </c>
      <c r="C30" s="113">
        <v>98.42</v>
      </c>
      <c r="D30" s="113">
        <v>98.424999999999997</v>
      </c>
      <c r="E30" s="153">
        <v>98.422499999999999</v>
      </c>
      <c r="F30" s="113">
        <v>42634</v>
      </c>
      <c r="G30" s="113" t="s">
        <v>1056</v>
      </c>
      <c r="H30" s="113" t="s">
        <v>1057</v>
      </c>
      <c r="I30" s="113" t="s">
        <v>1058</v>
      </c>
      <c r="J30" s="55" t="e">
        <v>#N/A</v>
      </c>
      <c r="N30" s="80"/>
      <c r="P30" s="113"/>
      <c r="Q30" s="273">
        <v>41899</v>
      </c>
      <c r="R30" s="113" t="s">
        <v>505</v>
      </c>
      <c r="S30" s="113"/>
      <c r="T30" s="273">
        <v>41899</v>
      </c>
      <c r="U30" s="113" t="b">
        <v>1</v>
      </c>
      <c r="V30" s="273">
        <v>42081</v>
      </c>
      <c r="W30" s="113" t="s">
        <v>505</v>
      </c>
      <c r="X30" s="52" t="s">
        <v>574</v>
      </c>
      <c r="Y30" s="52">
        <v>3</v>
      </c>
      <c r="Z30" s="274" t="s">
        <v>203</v>
      </c>
      <c r="AA30" s="113">
        <v>42081</v>
      </c>
      <c r="AB30" s="113" t="s">
        <v>217</v>
      </c>
      <c r="AC30" s="113">
        <v>0</v>
      </c>
      <c r="AD30" s="273"/>
      <c r="AE30" s="113">
        <v>42081</v>
      </c>
      <c r="AF30" s="113" t="s">
        <v>313</v>
      </c>
      <c r="AG30" s="113">
        <v>99.49130000000001</v>
      </c>
      <c r="AH30" s="113">
        <v>99.496300000000005</v>
      </c>
      <c r="AI30" s="113">
        <v>99.49130000000001</v>
      </c>
      <c r="AJ30" s="52">
        <v>99.496300000000005</v>
      </c>
      <c r="AK30" s="113">
        <v>0.50619999999999266</v>
      </c>
      <c r="AL30" s="273"/>
      <c r="AM30" s="113"/>
      <c r="AN30" s="113">
        <v>42081</v>
      </c>
      <c r="AO30" s="113" t="s">
        <v>314</v>
      </c>
      <c r="AP30" s="113">
        <v>99.625</v>
      </c>
      <c r="AQ30" s="113">
        <v>99.63</v>
      </c>
      <c r="AR30" s="113">
        <v>99.625</v>
      </c>
      <c r="AS30" s="52">
        <v>99.63</v>
      </c>
      <c r="AT30" s="273">
        <v>0.37250000000000227</v>
      </c>
      <c r="AU30" s="113"/>
      <c r="AV30" s="113">
        <v>42081</v>
      </c>
      <c r="AW30" s="113" t="s">
        <v>315</v>
      </c>
      <c r="AX30" s="113">
        <v>99.357299999999995</v>
      </c>
      <c r="AY30" s="113">
        <v>99.362299999999991</v>
      </c>
      <c r="AZ30" s="113">
        <v>99.357299999999995</v>
      </c>
      <c r="BA30" s="113">
        <v>99.362299999999991</v>
      </c>
      <c r="BB30" s="52">
        <v>0.64020000000000721</v>
      </c>
      <c r="BC30" s="113"/>
      <c r="BD30" s="113">
        <v>42081</v>
      </c>
      <c r="BE30" s="113" t="s">
        <v>314</v>
      </c>
      <c r="BF30" s="113">
        <v>99.625</v>
      </c>
      <c r="BG30" s="113">
        <v>99.63</v>
      </c>
      <c r="BH30" s="113">
        <v>99.625</v>
      </c>
      <c r="BI30" s="113">
        <v>99.63</v>
      </c>
      <c r="BJ30" s="113">
        <v>0.37250000000000227</v>
      </c>
      <c r="BK30" s="113"/>
      <c r="BL30" s="113" t="s">
        <v>56</v>
      </c>
      <c r="BM30" s="113" t="s">
        <v>56</v>
      </c>
      <c r="BN30" s="113" t="s">
        <v>305</v>
      </c>
      <c r="BO30" s="113">
        <v>0.10700000000000001</v>
      </c>
      <c r="BP30" s="113">
        <v>0.10700000000000001</v>
      </c>
      <c r="BQ30" s="113">
        <v>0.10700000000000001</v>
      </c>
      <c r="BR30" s="113">
        <v>0.10700000000000001</v>
      </c>
      <c r="BS30" s="52">
        <v>0.10700000000000001</v>
      </c>
      <c r="BT30" s="54"/>
      <c r="BU30" t="s">
        <v>52</v>
      </c>
      <c r="BV30" t="s">
        <v>52</v>
      </c>
      <c r="BW30" t="s">
        <v>117</v>
      </c>
      <c r="BX30">
        <v>0.14702984200000002</v>
      </c>
      <c r="BY30">
        <v>0.14702984200000002</v>
      </c>
      <c r="BZ30">
        <v>0.14702984200000002</v>
      </c>
      <c r="CA30">
        <v>0.14702984200000002</v>
      </c>
      <c r="CB30">
        <v>0.14702984200000002</v>
      </c>
      <c r="CC30">
        <v>-8.0008239999999979</v>
      </c>
    </row>
    <row r="31" spans="1:81">
      <c r="A31" s="113">
        <v>17</v>
      </c>
      <c r="B31" s="113" t="s">
        <v>1028</v>
      </c>
      <c r="C31" s="113">
        <v>98.25</v>
      </c>
      <c r="D31" s="113">
        <v>98.26</v>
      </c>
      <c r="E31" s="153">
        <v>98.254999999999995</v>
      </c>
      <c r="F31" s="113">
        <v>42725</v>
      </c>
      <c r="G31" s="113" t="s">
        <v>1059</v>
      </c>
      <c r="H31" s="113" t="s">
        <v>1060</v>
      </c>
      <c r="I31" s="113" t="s">
        <v>1061</v>
      </c>
      <c r="J31" s="55" t="e">
        <v>#N/A</v>
      </c>
      <c r="N31" s="80"/>
      <c r="P31" s="113"/>
      <c r="Q31" s="273">
        <v>41990</v>
      </c>
      <c r="R31" s="113" t="s">
        <v>505</v>
      </c>
      <c r="S31" s="113"/>
      <c r="T31" s="273">
        <v>41990</v>
      </c>
      <c r="U31" s="113" t="b">
        <v>1</v>
      </c>
      <c r="V31" s="273">
        <v>42172</v>
      </c>
      <c r="W31" s="113" t="s">
        <v>505</v>
      </c>
      <c r="X31" s="52" t="s">
        <v>575</v>
      </c>
      <c r="Y31" s="52">
        <v>3</v>
      </c>
      <c r="Z31" s="274" t="s">
        <v>204</v>
      </c>
      <c r="AA31" s="113">
        <v>42172</v>
      </c>
      <c r="AB31" s="113" t="s">
        <v>218</v>
      </c>
      <c r="AC31" s="113">
        <v>0</v>
      </c>
      <c r="AD31" s="273"/>
      <c r="AE31" s="113">
        <v>42172</v>
      </c>
      <c r="AF31" s="113" t="s">
        <v>317</v>
      </c>
      <c r="AG31" s="113">
        <v>99.421900000000008</v>
      </c>
      <c r="AH31" s="113">
        <v>99.426900000000003</v>
      </c>
      <c r="AI31" s="113">
        <v>99.421900000000008</v>
      </c>
      <c r="AJ31" s="52">
        <v>99.426900000000003</v>
      </c>
      <c r="AK31" s="113">
        <v>0.57559999999999434</v>
      </c>
      <c r="AL31" s="273"/>
      <c r="AM31" s="113"/>
      <c r="AN31" s="113">
        <v>42172</v>
      </c>
      <c r="AO31" s="113" t="s">
        <v>318</v>
      </c>
      <c r="AP31" s="113">
        <v>99.555000000000007</v>
      </c>
      <c r="AQ31" s="113">
        <v>99.56</v>
      </c>
      <c r="AR31" s="113">
        <v>99.555000000000007</v>
      </c>
      <c r="AS31" s="52">
        <v>99.56</v>
      </c>
      <c r="AT31" s="273">
        <v>0.44249999999999545</v>
      </c>
      <c r="AU31" s="113"/>
      <c r="AV31" s="113">
        <v>42172</v>
      </c>
      <c r="AW31" s="113" t="s">
        <v>319</v>
      </c>
      <c r="AX31" s="113">
        <v>99.287400000000005</v>
      </c>
      <c r="AY31" s="113">
        <v>99.292400000000001</v>
      </c>
      <c r="AZ31" s="113">
        <v>99.287400000000005</v>
      </c>
      <c r="BA31" s="113">
        <v>99.292400000000001</v>
      </c>
      <c r="BB31" s="52">
        <v>0.71009999999999707</v>
      </c>
      <c r="BC31" s="113"/>
      <c r="BD31" s="113">
        <v>42172</v>
      </c>
      <c r="BE31" s="113" t="s">
        <v>318</v>
      </c>
      <c r="BF31" s="113">
        <v>99.555000000000007</v>
      </c>
      <c r="BG31" s="113">
        <v>99.56</v>
      </c>
      <c r="BH31" s="113">
        <v>99.555000000000007</v>
      </c>
      <c r="BI31" s="113">
        <v>99.56</v>
      </c>
      <c r="BJ31" s="113">
        <v>0.44249999999999545</v>
      </c>
      <c r="BK31" s="113"/>
      <c r="BL31" s="113" t="s">
        <v>57</v>
      </c>
      <c r="BM31" s="113" t="s">
        <v>57</v>
      </c>
      <c r="BN31" s="113" t="s">
        <v>306</v>
      </c>
      <c r="BO31" s="113">
        <v>0.11</v>
      </c>
      <c r="BP31" s="113">
        <v>0.11</v>
      </c>
      <c r="BQ31" s="113">
        <v>0.11</v>
      </c>
      <c r="BR31" s="113">
        <v>0.11</v>
      </c>
      <c r="BS31" s="52">
        <v>0.11</v>
      </c>
      <c r="BT31" s="54"/>
      <c r="BU31" t="s">
        <v>94</v>
      </c>
      <c r="BV31" t="s">
        <v>94</v>
      </c>
      <c r="BW31" t="s">
        <v>118</v>
      </c>
      <c r="BX31">
        <v>0.15820139700000005</v>
      </c>
      <c r="BY31">
        <v>0.15820139700000005</v>
      </c>
      <c r="BZ31">
        <v>0.15820139700000005</v>
      </c>
      <c r="CA31">
        <v>0.15820139700000005</v>
      </c>
      <c r="CB31">
        <v>0.15820139700000005</v>
      </c>
      <c r="CC31">
        <v>-11.795136999999997</v>
      </c>
    </row>
    <row r="32" spans="1:81">
      <c r="A32" s="113">
        <v>18</v>
      </c>
      <c r="B32" s="113" t="s">
        <v>1029</v>
      </c>
      <c r="C32" s="113">
        <v>98.11</v>
      </c>
      <c r="D32" s="113">
        <v>98.12</v>
      </c>
      <c r="E32" s="113">
        <v>98.114999999999995</v>
      </c>
      <c r="F32" s="113">
        <v>42809</v>
      </c>
      <c r="G32" s="113" t="s">
        <v>1062</v>
      </c>
      <c r="H32" s="113" t="s">
        <v>1063</v>
      </c>
      <c r="I32" s="113" t="s">
        <v>1064</v>
      </c>
      <c r="J32" s="113" t="e">
        <v>#N/A</v>
      </c>
      <c r="N32" s="113"/>
      <c r="P32" s="113"/>
      <c r="Q32" s="273">
        <v>42081</v>
      </c>
      <c r="R32" s="113" t="s">
        <v>505</v>
      </c>
      <c r="S32" s="113"/>
      <c r="T32" s="273">
        <v>42081</v>
      </c>
      <c r="U32" s="113" t="b">
        <v>1</v>
      </c>
      <c r="V32" s="273">
        <v>42263</v>
      </c>
      <c r="W32" s="113" t="s">
        <v>505</v>
      </c>
      <c r="X32" s="52" t="s">
        <v>718</v>
      </c>
      <c r="Y32" s="52">
        <v>3</v>
      </c>
      <c r="Z32" s="274" t="s">
        <v>223</v>
      </c>
      <c r="AA32" s="113">
        <v>42263</v>
      </c>
      <c r="AB32" s="113" t="s">
        <v>219</v>
      </c>
      <c r="AC32" s="113">
        <v>5.0000000000000001E-3</v>
      </c>
      <c r="AD32" s="273"/>
      <c r="AE32" s="113">
        <v>42263</v>
      </c>
      <c r="AF32" s="113" t="s">
        <v>719</v>
      </c>
      <c r="AG32" s="113">
        <v>99.344600000000014</v>
      </c>
      <c r="AH32" s="113">
        <v>99.349600000000009</v>
      </c>
      <c r="AI32" s="113">
        <v>99.344600000000014</v>
      </c>
      <c r="AJ32" s="52">
        <v>99.349600000000009</v>
      </c>
      <c r="AK32" s="52">
        <v>0.64789999999998826</v>
      </c>
      <c r="AL32" s="273"/>
      <c r="AM32" s="113"/>
      <c r="AN32" s="113">
        <v>42263</v>
      </c>
      <c r="AO32" s="113" t="s">
        <v>720</v>
      </c>
      <c r="AP32" s="113">
        <v>99.47</v>
      </c>
      <c r="AQ32" s="113">
        <v>99.474999999999994</v>
      </c>
      <c r="AR32" s="113">
        <v>99.47</v>
      </c>
      <c r="AS32" s="52">
        <v>99.474999999999994</v>
      </c>
      <c r="AT32" s="273">
        <v>0.52250000000000341</v>
      </c>
      <c r="AU32" s="113"/>
      <c r="AV32" s="113">
        <v>42263</v>
      </c>
      <c r="AW32" s="113" t="s">
        <v>721</v>
      </c>
      <c r="AX32" s="113">
        <v>99.202500000000001</v>
      </c>
      <c r="AY32" s="113">
        <v>99.207499999999996</v>
      </c>
      <c r="AZ32" s="113">
        <v>99.202500000000001</v>
      </c>
      <c r="BA32" s="113">
        <v>99.207499999999996</v>
      </c>
      <c r="BB32" s="52">
        <v>0.78999999999998749</v>
      </c>
      <c r="BC32" s="113"/>
      <c r="BD32" s="113">
        <v>42263</v>
      </c>
      <c r="BE32" s="113" t="s">
        <v>720</v>
      </c>
      <c r="BF32" s="113">
        <v>99.47</v>
      </c>
      <c r="BG32" s="113">
        <v>99.474999999999994</v>
      </c>
      <c r="BH32" s="113">
        <v>99.47</v>
      </c>
      <c r="BI32" s="113">
        <v>99.474999999999994</v>
      </c>
      <c r="BJ32" s="113">
        <v>0.52750000000000341</v>
      </c>
      <c r="BK32" s="113"/>
      <c r="BL32" s="113" t="s">
        <v>58</v>
      </c>
      <c r="BM32" s="113" t="s">
        <v>58</v>
      </c>
      <c r="BN32" s="113" t="s">
        <v>307</v>
      </c>
      <c r="BO32" s="113">
        <v>0.112</v>
      </c>
      <c r="BP32" s="113">
        <v>0.112</v>
      </c>
      <c r="BQ32" s="113">
        <v>0.112</v>
      </c>
      <c r="BR32" s="113">
        <v>0.112</v>
      </c>
      <c r="BS32" s="52">
        <v>0.112</v>
      </c>
      <c r="BT32" s="54"/>
      <c r="BU32" t="s">
        <v>95</v>
      </c>
      <c r="BV32" t="s">
        <v>95</v>
      </c>
      <c r="BW32" t="s">
        <v>119</v>
      </c>
      <c r="BX32">
        <v>0.16911089400000001</v>
      </c>
      <c r="BY32">
        <v>0.16911089400000001</v>
      </c>
      <c r="BZ32">
        <v>0.16911089400000001</v>
      </c>
      <c r="CA32">
        <v>0.16911089400000001</v>
      </c>
      <c r="CB32">
        <v>0.16911089400000001</v>
      </c>
      <c r="CC32">
        <v>-15.410696099999999</v>
      </c>
    </row>
    <row r="33" spans="1:81">
      <c r="A33" s="113">
        <v>19</v>
      </c>
      <c r="B33" s="113" t="s">
        <v>1030</v>
      </c>
      <c r="C33" s="113">
        <v>97.965000000000003</v>
      </c>
      <c r="D33" s="113">
        <v>97.974999999999994</v>
      </c>
      <c r="E33" s="113">
        <v>97.97</v>
      </c>
      <c r="F33" s="113">
        <v>42907</v>
      </c>
      <c r="G33" s="113" t="s">
        <v>1065</v>
      </c>
      <c r="H33" s="113" t="s">
        <v>1066</v>
      </c>
      <c r="I33" s="113" t="s">
        <v>1067</v>
      </c>
      <c r="J33" s="113" t="e">
        <v>#N/A</v>
      </c>
      <c r="N33" s="113"/>
      <c r="P33" s="113"/>
      <c r="Q33" s="273">
        <v>42172</v>
      </c>
      <c r="R33" s="113" t="s">
        <v>505</v>
      </c>
      <c r="S33" s="113"/>
      <c r="T33" s="273">
        <v>42172</v>
      </c>
      <c r="U33" s="113" t="b">
        <v>1</v>
      </c>
      <c r="V33" s="273" t="s">
        <v>10</v>
      </c>
      <c r="W33" s="113" t="s">
        <v>508</v>
      </c>
      <c r="X33" s="52" t="s">
        <v>576</v>
      </c>
      <c r="Y33" s="52">
        <v>4</v>
      </c>
      <c r="Z33" s="274" t="s">
        <v>10</v>
      </c>
      <c r="AA33" s="113">
        <v>42689</v>
      </c>
      <c r="AB33" s="113" t="s">
        <v>10</v>
      </c>
      <c r="AC33" s="113" t="s">
        <v>65</v>
      </c>
      <c r="AD33" s="273"/>
      <c r="AE33" s="113" t="s">
        <v>10</v>
      </c>
      <c r="AF33" s="113" t="s">
        <v>321</v>
      </c>
      <c r="AG33" s="113">
        <v>0.60299999999999998</v>
      </c>
      <c r="AH33" s="113">
        <v>0.60299999999999998</v>
      </c>
      <c r="AI33" s="113">
        <v>0.60299999999999998</v>
      </c>
      <c r="AJ33" s="52">
        <v>0.60299999999999998</v>
      </c>
      <c r="AK33" s="113">
        <v>0.60299999999999998</v>
      </c>
      <c r="AL33" s="273"/>
      <c r="AM33" s="113"/>
      <c r="AN33" s="113" t="s">
        <v>10</v>
      </c>
      <c r="AO33" s="113" t="s">
        <v>322</v>
      </c>
      <c r="AP33" s="113">
        <v>0.47900000000000004</v>
      </c>
      <c r="AQ33" s="113">
        <v>0.47900000000000004</v>
      </c>
      <c r="AR33" s="113">
        <v>0.47900000000000004</v>
      </c>
      <c r="AS33" s="52">
        <v>0.47900000000000004</v>
      </c>
      <c r="AT33" s="273">
        <v>0.47900000000000004</v>
      </c>
      <c r="AU33" s="113"/>
      <c r="AV33" s="113" t="s">
        <v>10</v>
      </c>
      <c r="AW33" s="113" t="s">
        <v>323</v>
      </c>
      <c r="AX33" s="113">
        <v>0.751</v>
      </c>
      <c r="AY33" s="113">
        <v>0.751</v>
      </c>
      <c r="AZ33" s="113">
        <v>0.751</v>
      </c>
      <c r="BA33" s="113">
        <v>0.751</v>
      </c>
      <c r="BB33" s="52">
        <v>0.751</v>
      </c>
      <c r="BC33" s="113"/>
      <c r="BD33" s="113" t="s">
        <v>10</v>
      </c>
      <c r="BE33" s="113" t="s">
        <v>321</v>
      </c>
      <c r="BF33" s="113">
        <v>0.60299999999999998</v>
      </c>
      <c r="BG33" s="113">
        <v>0.60299999999999998</v>
      </c>
      <c r="BH33" s="113">
        <v>0.60299999999999998</v>
      </c>
      <c r="BI33" s="113">
        <v>0.60299999999999998</v>
      </c>
      <c r="BJ33" s="113">
        <v>0.60299999999999998</v>
      </c>
      <c r="BK33" s="113"/>
      <c r="BL33" s="113" t="s">
        <v>53</v>
      </c>
      <c r="BM33" s="113" t="s">
        <v>53</v>
      </c>
      <c r="BN33" s="113" t="s">
        <v>308</v>
      </c>
      <c r="BO33" s="113">
        <v>0.113</v>
      </c>
      <c r="BP33" s="113">
        <v>0.113</v>
      </c>
      <c r="BQ33" s="113">
        <v>0.113</v>
      </c>
      <c r="BR33" s="113">
        <v>0.113</v>
      </c>
      <c r="BS33" s="52">
        <v>0.113</v>
      </c>
      <c r="BT33" s="54"/>
      <c r="BU33" t="s">
        <v>96</v>
      </c>
      <c r="BV33" t="s">
        <v>96</v>
      </c>
      <c r="BW33" t="s">
        <v>120</v>
      </c>
      <c r="BX33">
        <v>0.18629934500000003</v>
      </c>
      <c r="BY33">
        <v>0.18629934500000003</v>
      </c>
      <c r="BZ33">
        <v>0.18629934500000003</v>
      </c>
      <c r="CA33">
        <v>0.18629934500000003</v>
      </c>
      <c r="CB33">
        <v>0.18629934500000003</v>
      </c>
      <c r="CC33">
        <v>-18.972169199999996</v>
      </c>
    </row>
    <row r="34" spans="1:81">
      <c r="A34" s="113">
        <v>20</v>
      </c>
      <c r="B34" s="113" t="s">
        <v>1031</v>
      </c>
      <c r="C34" s="113">
        <v>97.834999999999994</v>
      </c>
      <c r="D34" s="113">
        <v>97.844999999999999</v>
      </c>
      <c r="E34" s="113">
        <v>97.84</v>
      </c>
      <c r="F34" s="113">
        <v>42998</v>
      </c>
      <c r="G34" s="113" t="s">
        <v>1068</v>
      </c>
      <c r="H34" s="113" t="s">
        <v>1069</v>
      </c>
      <c r="I34" s="113" t="s">
        <v>1070</v>
      </c>
      <c r="J34" s="113" t="e">
        <v>#N/A</v>
      </c>
      <c r="N34" s="113"/>
      <c r="P34" s="113"/>
      <c r="Q34" s="273">
        <v>42263</v>
      </c>
      <c r="R34" s="113" t="s">
        <v>505</v>
      </c>
      <c r="S34" s="113"/>
      <c r="T34" s="273">
        <v>42263</v>
      </c>
      <c r="U34" s="113" t="b">
        <v>1</v>
      </c>
      <c r="V34" s="273" t="s">
        <v>11</v>
      </c>
      <c r="W34" s="113" t="s">
        <v>508</v>
      </c>
      <c r="X34" s="52" t="s">
        <v>577</v>
      </c>
      <c r="Y34" s="52">
        <v>4</v>
      </c>
      <c r="Z34" s="274" t="s">
        <v>11</v>
      </c>
      <c r="AA34" s="113">
        <v>43054</v>
      </c>
      <c r="AB34" s="113" t="s">
        <v>11</v>
      </c>
      <c r="AC34" s="113" t="s">
        <v>65</v>
      </c>
      <c r="AD34" s="273"/>
      <c r="AE34" s="113" t="s">
        <v>11</v>
      </c>
      <c r="AF34" s="113" t="s">
        <v>325</v>
      </c>
      <c r="AG34" s="113">
        <v>0.83200000000000007</v>
      </c>
      <c r="AH34" s="113">
        <v>0.83200000000000007</v>
      </c>
      <c r="AI34" s="113">
        <v>0.83200000000000007</v>
      </c>
      <c r="AJ34" s="52">
        <v>0.83200000000000007</v>
      </c>
      <c r="AK34" s="113">
        <v>0.83200000000000007</v>
      </c>
      <c r="AL34" s="273"/>
      <c r="AM34" s="113"/>
      <c r="AN34" s="113" t="s">
        <v>11</v>
      </c>
      <c r="AO34" s="113" t="s">
        <v>326</v>
      </c>
      <c r="AP34" s="113">
        <v>0.70699999999999996</v>
      </c>
      <c r="AQ34" s="113">
        <v>0.70699999999999996</v>
      </c>
      <c r="AR34" s="113">
        <v>0.70699999999999996</v>
      </c>
      <c r="AS34" s="52">
        <v>0.70699999999999996</v>
      </c>
      <c r="AT34" s="273">
        <v>0.70699999999999996</v>
      </c>
      <c r="AU34" s="113"/>
      <c r="AV34" s="113" t="s">
        <v>11</v>
      </c>
      <c r="AW34" s="113" t="s">
        <v>327</v>
      </c>
      <c r="AX34" s="113">
        <v>0.97699999999999998</v>
      </c>
      <c r="AY34" s="113">
        <v>0.97699999999999998</v>
      </c>
      <c r="AZ34" s="113">
        <v>0.97699999999999998</v>
      </c>
      <c r="BA34" s="113">
        <v>0.97699999999999998</v>
      </c>
      <c r="BB34" s="52">
        <v>0.97699999999999998</v>
      </c>
      <c r="BC34" s="113"/>
      <c r="BD34" s="113" t="s">
        <v>11</v>
      </c>
      <c r="BE34" s="113" t="s">
        <v>325</v>
      </c>
      <c r="BF34" s="113">
        <v>0.83200000000000007</v>
      </c>
      <c r="BG34" s="113">
        <v>0.83200000000000007</v>
      </c>
      <c r="BH34" s="113">
        <v>0.83200000000000007</v>
      </c>
      <c r="BI34" s="113">
        <v>0.83200000000000007</v>
      </c>
      <c r="BJ34" s="113">
        <v>0.83200000000000007</v>
      </c>
      <c r="BK34" s="113"/>
      <c r="BL34" s="113" t="s">
        <v>59</v>
      </c>
      <c r="BM34" s="113" t="s">
        <v>59</v>
      </c>
      <c r="BN34" s="113" t="s">
        <v>312</v>
      </c>
      <c r="BO34" s="113">
        <v>0.11799999999999999</v>
      </c>
      <c r="BP34" s="113">
        <v>0.11799999999999999</v>
      </c>
      <c r="BQ34" s="113">
        <v>0.11799999999999999</v>
      </c>
      <c r="BR34" s="113">
        <v>0.11799999999999999</v>
      </c>
      <c r="BS34" s="52">
        <v>0.11799999999999999</v>
      </c>
      <c r="BT34" s="54"/>
      <c r="BU34" t="s">
        <v>9</v>
      </c>
      <c r="BV34" t="s">
        <v>9</v>
      </c>
      <c r="BW34" t="s">
        <v>121</v>
      </c>
      <c r="BX34">
        <v>0.20800000000000002</v>
      </c>
      <c r="BY34">
        <v>0.20800000000000002</v>
      </c>
      <c r="BZ34">
        <v>0.20800000000000002</v>
      </c>
      <c r="CA34">
        <v>0.20800000000000002</v>
      </c>
      <c r="CB34">
        <v>0.20800000000000002</v>
      </c>
      <c r="CC34">
        <v>-22.5</v>
      </c>
    </row>
    <row r="35" spans="1:81">
      <c r="A35" s="113"/>
      <c r="N35" s="113"/>
      <c r="P35" s="113"/>
      <c r="Q35" s="113"/>
      <c r="R35" s="113" t="s">
        <v>505</v>
      </c>
      <c r="S35" s="113"/>
      <c r="T35" s="113"/>
      <c r="U35" s="113" t="b">
        <v>0</v>
      </c>
      <c r="V35" s="113" t="s">
        <v>12</v>
      </c>
      <c r="W35" s="113" t="s">
        <v>508</v>
      </c>
      <c r="X35" s="52" t="s">
        <v>578</v>
      </c>
      <c r="Y35" s="52">
        <v>4</v>
      </c>
      <c r="Z35" s="113" t="s">
        <v>12</v>
      </c>
      <c r="AA35" s="113">
        <v>43419</v>
      </c>
      <c r="AB35" s="113" t="s">
        <v>12</v>
      </c>
      <c r="AC35" s="113"/>
      <c r="AD35" s="113"/>
      <c r="AE35" s="113" t="s">
        <v>12</v>
      </c>
      <c r="AF35" s="113" t="s">
        <v>329</v>
      </c>
      <c r="AG35" s="113">
        <v>1.0760000000000001</v>
      </c>
      <c r="AH35" s="113">
        <v>1.0760000000000001</v>
      </c>
      <c r="AI35" s="113">
        <v>1.0760000000000001</v>
      </c>
      <c r="AJ35" s="52">
        <v>1.0760000000000001</v>
      </c>
      <c r="AK35" s="113">
        <v>1.0760000000000001</v>
      </c>
      <c r="AL35" s="113"/>
      <c r="AM35" s="113"/>
      <c r="AN35" s="113" t="s">
        <v>12</v>
      </c>
      <c r="AO35" s="113" t="s">
        <v>330</v>
      </c>
      <c r="AP35" s="113">
        <v>0.95200000000000007</v>
      </c>
      <c r="AQ35" s="113">
        <v>0.95200000000000007</v>
      </c>
      <c r="AR35" s="113">
        <v>0.95200000000000007</v>
      </c>
      <c r="AS35" s="52">
        <v>0.95200000000000007</v>
      </c>
      <c r="AT35" s="113">
        <v>0.95200000000000007</v>
      </c>
      <c r="AU35" s="113"/>
      <c r="AV35" s="113" t="s">
        <v>12</v>
      </c>
      <c r="AW35" s="113" t="s">
        <v>331</v>
      </c>
      <c r="AX35" s="113">
        <v>1.218</v>
      </c>
      <c r="AY35" s="113">
        <v>1.218</v>
      </c>
      <c r="AZ35" s="113">
        <v>1.218</v>
      </c>
      <c r="BA35" s="113">
        <v>1.218</v>
      </c>
      <c r="BB35" s="52">
        <v>1.218</v>
      </c>
      <c r="BC35" s="113"/>
      <c r="BD35" s="113" t="s">
        <v>12</v>
      </c>
      <c r="BE35" s="113" t="s">
        <v>329</v>
      </c>
      <c r="BF35" s="113">
        <v>1.0760000000000001</v>
      </c>
      <c r="BG35" s="113">
        <v>1.0760000000000001</v>
      </c>
      <c r="BH35" s="113">
        <v>1.0760000000000001</v>
      </c>
      <c r="BI35" s="113">
        <v>1.0760000000000001</v>
      </c>
      <c r="BJ35" s="113">
        <v>1.0760000000000001</v>
      </c>
      <c r="BK35" s="113"/>
      <c r="BL35" s="113" t="s">
        <v>60</v>
      </c>
      <c r="BM35" s="113" t="s">
        <v>60</v>
      </c>
      <c r="BN35" s="113" t="s">
        <v>316</v>
      </c>
      <c r="BO35" s="113">
        <v>0.12100000000000001</v>
      </c>
      <c r="BP35" s="113">
        <v>0.12100000000000001</v>
      </c>
      <c r="BQ35" s="113">
        <v>0.12100000000000001</v>
      </c>
      <c r="BR35" s="113">
        <v>0.12100000000000001</v>
      </c>
      <c r="BS35" s="52">
        <v>0.12100000000000001</v>
      </c>
      <c r="BT35" s="54"/>
      <c r="BU35" t="s">
        <v>97</v>
      </c>
      <c r="BV35" t="s">
        <v>97</v>
      </c>
      <c r="BW35" t="s">
        <v>122</v>
      </c>
      <c r="BX35">
        <v>0.23498308200000004</v>
      </c>
      <c r="BY35">
        <v>0.23498308200000004</v>
      </c>
      <c r="BZ35">
        <v>0.23498308200000004</v>
      </c>
      <c r="CA35">
        <v>0.23498308200000004</v>
      </c>
      <c r="CB35">
        <v>0.23498308200000004</v>
      </c>
      <c r="CC35">
        <v>-25.791833499999996</v>
      </c>
    </row>
    <row r="36" spans="1:81">
      <c r="A36" s="113"/>
      <c r="N36" s="113"/>
      <c r="P36" s="113"/>
      <c r="Q36" s="113"/>
      <c r="R36" s="113" t="s">
        <v>505</v>
      </c>
      <c r="S36" s="113"/>
      <c r="T36" s="113"/>
      <c r="U36" s="113" t="b">
        <v>0</v>
      </c>
      <c r="V36" s="113" t="s">
        <v>13</v>
      </c>
      <c r="W36" s="113" t="s">
        <v>508</v>
      </c>
      <c r="X36" s="52" t="s">
        <v>579</v>
      </c>
      <c r="Y36" s="52">
        <v>4</v>
      </c>
      <c r="Z36" s="113" t="s">
        <v>13</v>
      </c>
      <c r="AA36" s="113">
        <v>43784</v>
      </c>
      <c r="AB36" s="113" t="s">
        <v>13</v>
      </c>
      <c r="AC36" s="113"/>
      <c r="AD36" s="113"/>
      <c r="AE36" s="113" t="s">
        <v>13</v>
      </c>
      <c r="AF36" s="113" t="s">
        <v>333</v>
      </c>
      <c r="AG36" s="113">
        <v>1.3069999999999999</v>
      </c>
      <c r="AH36" s="113">
        <v>1.3069999999999999</v>
      </c>
      <c r="AI36" s="113">
        <v>1.3069999999999999</v>
      </c>
      <c r="AJ36" s="52">
        <v>1.3069999999999999</v>
      </c>
      <c r="AK36" s="113">
        <v>1.3069999999999999</v>
      </c>
      <c r="AL36" s="113"/>
      <c r="AM36" s="113"/>
      <c r="AN36" s="113" t="s">
        <v>13</v>
      </c>
      <c r="AO36" s="113" t="s">
        <v>334</v>
      </c>
      <c r="AP36" s="113">
        <v>1.1860000000000002</v>
      </c>
      <c r="AQ36" s="113">
        <v>1.1860000000000002</v>
      </c>
      <c r="AR36" s="113">
        <v>1.1860000000000002</v>
      </c>
      <c r="AS36" s="52">
        <v>1.1860000000000002</v>
      </c>
      <c r="AT36" s="113">
        <v>1.1860000000000002</v>
      </c>
      <c r="AU36" s="113"/>
      <c r="AV36" s="113" t="s">
        <v>13</v>
      </c>
      <c r="AW36" s="113" t="s">
        <v>335</v>
      </c>
      <c r="AX36" s="113">
        <v>1.4469999999999998</v>
      </c>
      <c r="AY36" s="113">
        <v>1.4469999999999998</v>
      </c>
      <c r="AZ36" s="113">
        <v>1.4469999999999998</v>
      </c>
      <c r="BA36" s="113">
        <v>1.4469999999999998</v>
      </c>
      <c r="BB36" s="52">
        <v>1.4469999999999998</v>
      </c>
      <c r="BC36" s="113"/>
      <c r="BD36" s="113" t="s">
        <v>13</v>
      </c>
      <c r="BE36" s="113" t="s">
        <v>333</v>
      </c>
      <c r="BF36" s="113">
        <v>1.3069999999999999</v>
      </c>
      <c r="BG36" s="113">
        <v>1.3069999999999999</v>
      </c>
      <c r="BH36" s="113">
        <v>1.3069999999999999</v>
      </c>
      <c r="BI36" s="113">
        <v>1.3069999999999999</v>
      </c>
      <c r="BJ36" s="113">
        <v>1.3069999999999999</v>
      </c>
      <c r="BK36" s="113"/>
      <c r="BL36" s="113" t="s">
        <v>54</v>
      </c>
      <c r="BM36" s="113" t="s">
        <v>54</v>
      </c>
      <c r="BN36" s="113" t="s">
        <v>320</v>
      </c>
      <c r="BO36" s="113">
        <v>0.12100000000000001</v>
      </c>
      <c r="BP36" s="113">
        <v>0.12100000000000001</v>
      </c>
      <c r="BQ36" s="113">
        <v>0.12100000000000001</v>
      </c>
      <c r="BR36" s="113">
        <v>0.12100000000000001</v>
      </c>
      <c r="BS36" s="52">
        <v>0.12100000000000001</v>
      </c>
      <c r="BT36" s="54"/>
      <c r="BU36" t="s">
        <v>98</v>
      </c>
      <c r="BV36" t="s">
        <v>98</v>
      </c>
      <c r="BW36" t="s">
        <v>123</v>
      </c>
      <c r="BX36">
        <v>0.26684843300000005</v>
      </c>
      <c r="BY36">
        <v>0.26684843300000005</v>
      </c>
      <c r="BZ36">
        <v>0.26684843300000005</v>
      </c>
      <c r="CA36">
        <v>0.26684843300000005</v>
      </c>
      <c r="CB36">
        <v>0.26684843300000005</v>
      </c>
      <c r="CC36">
        <v>-28.942002999999993</v>
      </c>
    </row>
    <row r="37" spans="1:81">
      <c r="A37" s="113"/>
      <c r="N37" s="113"/>
      <c r="P37" s="113"/>
      <c r="Q37" s="113"/>
      <c r="R37" s="113" t="s">
        <v>505</v>
      </c>
      <c r="S37" s="113"/>
      <c r="T37" s="113"/>
      <c r="U37" s="113" t="b">
        <v>0</v>
      </c>
      <c r="V37" s="113" t="s">
        <v>14</v>
      </c>
      <c r="W37" s="113" t="s">
        <v>508</v>
      </c>
      <c r="X37" s="52" t="s">
        <v>580</v>
      </c>
      <c r="Y37" s="52">
        <v>4</v>
      </c>
      <c r="Z37" s="113" t="s">
        <v>14</v>
      </c>
      <c r="AA37" s="113">
        <v>44151</v>
      </c>
      <c r="AB37" s="113" t="s">
        <v>14</v>
      </c>
      <c r="AC37" s="113"/>
      <c r="AD37" s="113"/>
      <c r="AE37" s="113" t="s">
        <v>14</v>
      </c>
      <c r="AF37" s="113" t="s">
        <v>337</v>
      </c>
      <c r="AG37" s="113">
        <v>1.518</v>
      </c>
      <c r="AH37" s="113">
        <v>1.518</v>
      </c>
      <c r="AI37" s="113">
        <v>1.518</v>
      </c>
      <c r="AJ37" s="52">
        <v>1.518</v>
      </c>
      <c r="AK37" s="113">
        <v>1.518</v>
      </c>
      <c r="AL37" s="113"/>
      <c r="AM37" s="113"/>
      <c r="AN37" s="113" t="s">
        <v>14</v>
      </c>
      <c r="AO37" s="113" t="s">
        <v>338</v>
      </c>
      <c r="AP37" s="113">
        <v>1.4009999999999998</v>
      </c>
      <c r="AQ37" s="113">
        <v>1.4009999999999998</v>
      </c>
      <c r="AR37" s="113">
        <v>1.4009999999999998</v>
      </c>
      <c r="AS37" s="52">
        <v>1.4009999999999998</v>
      </c>
      <c r="AT37" s="113">
        <v>1.4009999999999998</v>
      </c>
      <c r="AU37" s="113"/>
      <c r="AV37" s="113" t="s">
        <v>14</v>
      </c>
      <c r="AW37" s="113" t="s">
        <v>339</v>
      </c>
      <c r="AX37" s="113">
        <v>1.655</v>
      </c>
      <c r="AY37" s="113">
        <v>1.655</v>
      </c>
      <c r="AZ37" s="113">
        <v>1.655</v>
      </c>
      <c r="BA37" s="113">
        <v>1.655</v>
      </c>
      <c r="BB37" s="52">
        <v>1.655</v>
      </c>
      <c r="BC37" s="113"/>
      <c r="BD37" s="113" t="s">
        <v>14</v>
      </c>
      <c r="BE37" s="113" t="s">
        <v>337</v>
      </c>
      <c r="BF37" s="113">
        <v>1.518</v>
      </c>
      <c r="BG37" s="113">
        <v>1.518</v>
      </c>
      <c r="BH37" s="113">
        <v>1.518</v>
      </c>
      <c r="BI37" s="113">
        <v>1.518</v>
      </c>
      <c r="BJ37" s="113">
        <v>1.518</v>
      </c>
      <c r="BK37" s="113"/>
      <c r="BL37" s="113" t="s">
        <v>61</v>
      </c>
      <c r="BM37" s="113" t="s">
        <v>61</v>
      </c>
      <c r="BN37" s="113" t="s">
        <v>324</v>
      </c>
      <c r="BO37" s="113">
        <v>0.129</v>
      </c>
      <c r="BP37" s="113">
        <v>0.129</v>
      </c>
      <c r="BQ37" s="113">
        <v>0.129</v>
      </c>
      <c r="BR37" s="113">
        <v>0.129</v>
      </c>
      <c r="BS37" s="52">
        <v>0.129</v>
      </c>
      <c r="BT37" s="54"/>
      <c r="BU37" t="s">
        <v>99</v>
      </c>
      <c r="BV37" t="s">
        <v>99</v>
      </c>
      <c r="BW37" t="s">
        <v>124</v>
      </c>
      <c r="BX37">
        <v>0.30485773700000002</v>
      </c>
      <c r="BY37">
        <v>0.30485773700000002</v>
      </c>
      <c r="BZ37">
        <v>0.30485773700000002</v>
      </c>
      <c r="CA37">
        <v>0.30485773700000002</v>
      </c>
      <c r="CB37">
        <v>0.30485773700000002</v>
      </c>
      <c r="CC37">
        <v>-31.900978600000002</v>
      </c>
    </row>
    <row r="38" spans="1:81">
      <c r="A38" s="113"/>
      <c r="E38" s="113" t="s">
        <v>73</v>
      </c>
      <c r="F38" s="113" t="s">
        <v>74</v>
      </c>
      <c r="G38" s="113" t="s">
        <v>75</v>
      </c>
      <c r="N38" s="113"/>
      <c r="P38" s="113"/>
      <c r="Q38" s="113"/>
      <c r="R38" s="113" t="s">
        <v>505</v>
      </c>
      <c r="S38" s="113"/>
      <c r="T38" s="113"/>
      <c r="U38" s="113" t="b">
        <v>0</v>
      </c>
      <c r="V38" s="113" t="s">
        <v>15</v>
      </c>
      <c r="W38" s="113" t="s">
        <v>508</v>
      </c>
      <c r="X38" s="52" t="s">
        <v>581</v>
      </c>
      <c r="Y38" s="52">
        <v>4</v>
      </c>
      <c r="Z38" s="113" t="s">
        <v>15</v>
      </c>
      <c r="AA38" s="113">
        <v>44515</v>
      </c>
      <c r="AB38" s="113" t="s">
        <v>15</v>
      </c>
      <c r="AC38" s="113"/>
      <c r="AD38" s="113"/>
      <c r="AE38" s="113" t="s">
        <v>15</v>
      </c>
      <c r="AF38" s="113" t="s">
        <v>341</v>
      </c>
      <c r="AG38" s="113">
        <v>1.706</v>
      </c>
      <c r="AH38" s="113">
        <v>1.706</v>
      </c>
      <c r="AI38" s="113">
        <v>1.706</v>
      </c>
      <c r="AJ38" s="52">
        <v>1.706</v>
      </c>
      <c r="AK38" s="113">
        <v>1.706</v>
      </c>
      <c r="AL38" s="113"/>
      <c r="AM38" s="113"/>
      <c r="AN38" s="113" t="s">
        <v>15</v>
      </c>
      <c r="AO38" s="113" t="s">
        <v>342</v>
      </c>
      <c r="AP38" s="113">
        <v>1.593</v>
      </c>
      <c r="AQ38" s="113">
        <v>1.593</v>
      </c>
      <c r="AR38" s="113">
        <v>1.593</v>
      </c>
      <c r="AS38" s="52">
        <v>1.593</v>
      </c>
      <c r="AT38" s="113">
        <v>1.593</v>
      </c>
      <c r="AU38" s="113"/>
      <c r="AV38" s="113" t="s">
        <v>15</v>
      </c>
      <c r="AW38" s="113" t="s">
        <v>343</v>
      </c>
      <c r="AX38" s="113">
        <v>1.84</v>
      </c>
      <c r="AY38" s="113">
        <v>1.84</v>
      </c>
      <c r="AZ38" s="113">
        <v>1.84</v>
      </c>
      <c r="BA38" s="113">
        <v>1.84</v>
      </c>
      <c r="BB38" s="52">
        <v>1.84</v>
      </c>
      <c r="BC38" s="113"/>
      <c r="BD38" s="113" t="s">
        <v>15</v>
      </c>
      <c r="BE38" s="113" t="s">
        <v>341</v>
      </c>
      <c r="BF38" s="113">
        <v>1.706</v>
      </c>
      <c r="BG38" s="113">
        <v>1.706</v>
      </c>
      <c r="BH38" s="113">
        <v>1.706</v>
      </c>
      <c r="BI38" s="113">
        <v>1.706</v>
      </c>
      <c r="BJ38" s="113">
        <v>1.706</v>
      </c>
      <c r="BK38" s="113"/>
      <c r="BL38" s="113" t="s">
        <v>62</v>
      </c>
      <c r="BM38" s="113" t="s">
        <v>62</v>
      </c>
      <c r="BN38" s="113" t="s">
        <v>328</v>
      </c>
      <c r="BO38" s="113">
        <v>0.13300000000000001</v>
      </c>
      <c r="BP38" s="113">
        <v>0.13300000000000001</v>
      </c>
      <c r="BQ38" s="113">
        <v>0.13300000000000001</v>
      </c>
      <c r="BR38" s="113">
        <v>0.13300000000000001</v>
      </c>
      <c r="BS38" s="52">
        <v>0.13300000000000001</v>
      </c>
      <c r="BT38" s="54"/>
      <c r="BU38" t="s">
        <v>10</v>
      </c>
      <c r="BV38" t="s">
        <v>10</v>
      </c>
      <c r="BW38" t="s">
        <v>125</v>
      </c>
      <c r="BX38">
        <v>0.34899999999999998</v>
      </c>
      <c r="BY38">
        <v>0.34899999999999998</v>
      </c>
      <c r="BZ38">
        <v>0.34899999999999998</v>
      </c>
      <c r="CA38">
        <v>0.34899999999999998</v>
      </c>
      <c r="CB38">
        <v>0.34899999999999998</v>
      </c>
      <c r="CC38">
        <v>-34.5</v>
      </c>
    </row>
    <row r="39" spans="1:81">
      <c r="A39" s="113"/>
      <c r="B39" s="274" t="s">
        <v>76</v>
      </c>
      <c r="C39" s="273" t="s">
        <v>192</v>
      </c>
      <c r="D39" s="113" t="s">
        <v>220</v>
      </c>
      <c r="E39" s="113">
        <v>141.30000000000001</v>
      </c>
      <c r="F39" s="113">
        <v>141.31</v>
      </c>
      <c r="G39" s="113">
        <v>141.30500000000001</v>
      </c>
      <c r="H39" s="113" t="s">
        <v>224</v>
      </c>
      <c r="I39" s="113" t="s">
        <v>731</v>
      </c>
      <c r="N39" s="113"/>
      <c r="P39" s="113"/>
      <c r="Q39" s="113" t="s">
        <v>10</v>
      </c>
      <c r="R39" s="113" t="s">
        <v>508</v>
      </c>
      <c r="S39" s="113"/>
      <c r="T39" s="113">
        <v>42689</v>
      </c>
      <c r="U39" s="113" t="b">
        <v>1</v>
      </c>
      <c r="V39" s="113" t="s">
        <v>16</v>
      </c>
      <c r="W39" s="113" t="s">
        <v>508</v>
      </c>
      <c r="X39" s="52" t="s">
        <v>582</v>
      </c>
      <c r="Y39" s="52">
        <v>4</v>
      </c>
      <c r="Z39" s="113" t="s">
        <v>16</v>
      </c>
      <c r="AA39" s="113">
        <v>44880</v>
      </c>
      <c r="AB39" s="113" t="s">
        <v>16</v>
      </c>
      <c r="AC39" s="113"/>
      <c r="AD39" s="113"/>
      <c r="AE39" s="113" t="s">
        <v>16</v>
      </c>
      <c r="AF39" s="113" t="s">
        <v>345</v>
      </c>
      <c r="AG39" s="113">
        <v>1.873</v>
      </c>
      <c r="AH39" s="113">
        <v>1.873</v>
      </c>
      <c r="AI39" s="113">
        <v>1.873</v>
      </c>
      <c r="AJ39" s="52">
        <v>1.873</v>
      </c>
      <c r="AK39" s="52">
        <v>1.873</v>
      </c>
      <c r="AL39" s="113"/>
      <c r="AM39" s="113"/>
      <c r="AN39" s="113" t="s">
        <v>16</v>
      </c>
      <c r="AO39" s="113" t="s">
        <v>346</v>
      </c>
      <c r="AP39" s="113">
        <v>1.764</v>
      </c>
      <c r="AQ39" s="113">
        <v>1.764</v>
      </c>
      <c r="AR39" s="113">
        <v>1.764</v>
      </c>
      <c r="AS39" s="52">
        <v>1.764</v>
      </c>
      <c r="AT39" s="113">
        <v>1.764</v>
      </c>
      <c r="AU39" s="113"/>
      <c r="AV39" s="113" t="s">
        <v>16</v>
      </c>
      <c r="AW39" s="113" t="s">
        <v>347</v>
      </c>
      <c r="AX39" s="113">
        <v>2.0030000000000001</v>
      </c>
      <c r="AY39" s="113">
        <v>2.0030000000000001</v>
      </c>
      <c r="AZ39" s="113">
        <v>2.0030000000000001</v>
      </c>
      <c r="BA39" s="113">
        <v>2.0030000000000001</v>
      </c>
      <c r="BB39" s="52">
        <v>2.0030000000000001</v>
      </c>
      <c r="BC39" s="113"/>
      <c r="BD39" s="113" t="s">
        <v>16</v>
      </c>
      <c r="BE39" s="113" t="s">
        <v>345</v>
      </c>
      <c r="BF39" s="113">
        <v>1.873</v>
      </c>
      <c r="BG39" s="113">
        <v>1.873</v>
      </c>
      <c r="BH39" s="113">
        <v>1.873</v>
      </c>
      <c r="BI39" s="113">
        <v>1.873</v>
      </c>
      <c r="BJ39" s="113">
        <v>1.873</v>
      </c>
      <c r="BK39" s="113"/>
      <c r="BL39" s="113" t="s">
        <v>55</v>
      </c>
      <c r="BM39" s="113" t="s">
        <v>55</v>
      </c>
      <c r="BN39" s="113" t="s">
        <v>332</v>
      </c>
      <c r="BO39" s="113">
        <v>0.13600000000000001</v>
      </c>
      <c r="BP39" s="113">
        <v>0.13600000000000001</v>
      </c>
      <c r="BQ39" s="113">
        <v>0.13600000000000001</v>
      </c>
      <c r="BR39" s="113">
        <v>0.13600000000000001</v>
      </c>
      <c r="BS39" s="52">
        <v>0.13600000000000001</v>
      </c>
      <c r="BT39" s="54"/>
      <c r="BU39" t="s">
        <v>11</v>
      </c>
      <c r="BV39" t="s">
        <v>11</v>
      </c>
      <c r="BW39" t="s">
        <v>126</v>
      </c>
      <c r="BX39">
        <v>0.56499999999999995</v>
      </c>
      <c r="BY39">
        <v>0.56499999999999995</v>
      </c>
      <c r="BZ39">
        <v>0.56499999999999995</v>
      </c>
      <c r="CA39">
        <v>0.56499999999999995</v>
      </c>
      <c r="CB39">
        <v>0.56499999999999995</v>
      </c>
      <c r="CC39">
        <v>-41.5</v>
      </c>
    </row>
    <row r="40" spans="1:81">
      <c r="A40" s="113"/>
      <c r="B40" s="274" t="s">
        <v>77</v>
      </c>
      <c r="C40" s="273" t="s">
        <v>192</v>
      </c>
      <c r="D40" s="113" t="s">
        <v>221</v>
      </c>
      <c r="E40" s="113">
        <v>125.33</v>
      </c>
      <c r="F40" s="113">
        <v>125.34</v>
      </c>
      <c r="G40" s="113">
        <v>125.33499999999999</v>
      </c>
      <c r="H40" s="113" t="s">
        <v>224</v>
      </c>
      <c r="I40" s="113" t="s">
        <v>729</v>
      </c>
      <c r="L40" s="81"/>
      <c r="N40" s="113"/>
      <c r="P40" s="113"/>
      <c r="Q40" s="113" t="s">
        <v>11</v>
      </c>
      <c r="R40" s="113" t="s">
        <v>508</v>
      </c>
      <c r="S40" s="113"/>
      <c r="T40" s="113">
        <v>43054</v>
      </c>
      <c r="U40" s="113" t="b">
        <v>1</v>
      </c>
      <c r="V40" s="113" t="s">
        <v>17</v>
      </c>
      <c r="W40" s="113" t="s">
        <v>508</v>
      </c>
      <c r="X40" s="52" t="s">
        <v>583</v>
      </c>
      <c r="Y40" s="52">
        <v>4</v>
      </c>
      <c r="Z40" s="113" t="s">
        <v>17</v>
      </c>
      <c r="AA40" s="113">
        <v>45245</v>
      </c>
      <c r="AB40" s="113" t="s">
        <v>17</v>
      </c>
      <c r="AC40" s="113"/>
      <c r="AD40" s="113"/>
      <c r="AE40" s="113" t="s">
        <v>17</v>
      </c>
      <c r="AF40" s="113" t="s">
        <v>349</v>
      </c>
      <c r="AG40" s="113">
        <v>2.0209999999999999</v>
      </c>
      <c r="AH40" s="113">
        <v>2.0209999999999999</v>
      </c>
      <c r="AI40" s="113">
        <v>2.0209999999999999</v>
      </c>
      <c r="AJ40" s="52">
        <v>2.0209999999999999</v>
      </c>
      <c r="AK40" s="113">
        <v>2.0209999999999999</v>
      </c>
      <c r="AL40" s="113"/>
      <c r="AM40" s="113"/>
      <c r="AN40" s="113" t="s">
        <v>17</v>
      </c>
      <c r="AO40" s="113" t="s">
        <v>350</v>
      </c>
      <c r="AP40" s="113">
        <v>1.9169999999999998</v>
      </c>
      <c r="AQ40" s="113">
        <v>1.9169999999999998</v>
      </c>
      <c r="AR40" s="113">
        <v>1.9169999999999998</v>
      </c>
      <c r="AS40" s="52">
        <v>1.9169999999999998</v>
      </c>
      <c r="AT40" s="113">
        <v>1.9169999999999998</v>
      </c>
      <c r="AU40" s="113"/>
      <c r="AV40" s="113" t="s">
        <v>17</v>
      </c>
      <c r="AW40" s="113" t="s">
        <v>351</v>
      </c>
      <c r="AX40" s="113">
        <v>2.1480000000000001</v>
      </c>
      <c r="AY40" s="113">
        <v>2.1480000000000001</v>
      </c>
      <c r="AZ40" s="113">
        <v>2.1480000000000001</v>
      </c>
      <c r="BA40" s="113">
        <v>2.1480000000000001</v>
      </c>
      <c r="BB40" s="52">
        <v>2.1480000000000001</v>
      </c>
      <c r="BC40" s="113"/>
      <c r="BD40" s="113" t="s">
        <v>17</v>
      </c>
      <c r="BE40" s="113" t="s">
        <v>349</v>
      </c>
      <c r="BF40" s="113">
        <v>2.0209999999999999</v>
      </c>
      <c r="BG40" s="113">
        <v>2.0209999999999999</v>
      </c>
      <c r="BH40" s="113">
        <v>2.0209999999999999</v>
      </c>
      <c r="BI40" s="113">
        <v>2.0209999999999999</v>
      </c>
      <c r="BJ40" s="113">
        <v>2.0209999999999999</v>
      </c>
      <c r="BK40" s="113"/>
      <c r="BL40" s="113" t="s">
        <v>63</v>
      </c>
      <c r="BM40" s="113" t="s">
        <v>63</v>
      </c>
      <c r="BN40" s="113" t="s">
        <v>336</v>
      </c>
      <c r="BO40" s="113">
        <v>0.14300000000000002</v>
      </c>
      <c r="BP40" s="113">
        <v>0.14300000000000002</v>
      </c>
      <c r="BQ40" s="113">
        <v>0.14300000000000002</v>
      </c>
      <c r="BR40" s="113">
        <v>0.14300000000000002</v>
      </c>
      <c r="BS40" s="52">
        <v>0.14300000000000002</v>
      </c>
      <c r="BT40" s="54"/>
      <c r="BU40" t="s">
        <v>12</v>
      </c>
      <c r="BV40" t="s">
        <v>12</v>
      </c>
      <c r="BW40" t="s">
        <v>127</v>
      </c>
      <c r="BX40">
        <v>0.80500000000000005</v>
      </c>
      <c r="BY40">
        <v>0.80500000000000005</v>
      </c>
      <c r="BZ40">
        <v>0.80500000000000005</v>
      </c>
      <c r="CA40">
        <v>0.80500000000000005</v>
      </c>
      <c r="CB40">
        <v>0.80500000000000005</v>
      </c>
      <c r="CC40">
        <v>-43.5</v>
      </c>
    </row>
    <row r="41" spans="1:81">
      <c r="A41" s="113"/>
      <c r="B41" s="274" t="s">
        <v>78</v>
      </c>
      <c r="C41" s="273" t="s">
        <v>192</v>
      </c>
      <c r="D41" s="113" t="s">
        <v>222</v>
      </c>
      <c r="E41" s="113">
        <v>110.59</v>
      </c>
      <c r="F41" s="113">
        <v>110.595</v>
      </c>
      <c r="G41" s="113">
        <v>110.5925</v>
      </c>
      <c r="H41" s="113" t="s">
        <v>224</v>
      </c>
      <c r="L41" s="81"/>
      <c r="N41" s="113"/>
      <c r="P41" s="113"/>
      <c r="Q41" s="113" t="s">
        <v>12</v>
      </c>
      <c r="R41" s="113" t="s">
        <v>508</v>
      </c>
      <c r="S41" s="113"/>
      <c r="T41" s="113">
        <v>43419</v>
      </c>
      <c r="U41" s="113" t="b">
        <v>1</v>
      </c>
      <c r="V41" s="113" t="s">
        <v>31</v>
      </c>
      <c r="W41" s="113" t="s">
        <v>508</v>
      </c>
      <c r="X41" s="52" t="s">
        <v>584</v>
      </c>
      <c r="Y41" s="52">
        <v>4</v>
      </c>
      <c r="Z41" s="113" t="s">
        <v>31</v>
      </c>
      <c r="AA41" s="113">
        <v>45611</v>
      </c>
      <c r="AB41" s="113" t="s">
        <v>31</v>
      </c>
      <c r="AC41" s="113"/>
      <c r="AD41" s="113"/>
      <c r="AE41" s="113" t="s">
        <v>31</v>
      </c>
      <c r="AF41" s="113" t="s">
        <v>353</v>
      </c>
      <c r="AG41" s="113">
        <v>2.1480000000000001</v>
      </c>
      <c r="AH41" s="113">
        <v>2.1480000000000001</v>
      </c>
      <c r="AI41" s="113">
        <v>2.1480000000000001</v>
      </c>
      <c r="AJ41" s="52">
        <v>2.1480000000000001</v>
      </c>
      <c r="AK41" s="113">
        <v>2.1480000000000001</v>
      </c>
      <c r="AL41" s="113"/>
      <c r="AM41" s="113"/>
      <c r="AN41" s="113" t="s">
        <v>31</v>
      </c>
      <c r="AO41" s="113" t="s">
        <v>354</v>
      </c>
      <c r="AP41" s="113">
        <v>2.0492017530000002</v>
      </c>
      <c r="AQ41" s="113">
        <v>2.0492017530000002</v>
      </c>
      <c r="AR41" s="113">
        <v>2.0492017530000002</v>
      </c>
      <c r="AS41" s="52">
        <v>2.0492017530000002</v>
      </c>
      <c r="AT41" s="113">
        <v>2.0492017530000002</v>
      </c>
      <c r="AU41" s="113"/>
      <c r="AV41" s="113" t="s">
        <v>31</v>
      </c>
      <c r="AW41" s="113" t="s">
        <v>355</v>
      </c>
      <c r="AX41" s="113">
        <v>2.2712508119999999</v>
      </c>
      <c r="AY41" s="113">
        <v>2.2712508119999999</v>
      </c>
      <c r="AZ41" s="113">
        <v>2.2712508119999999</v>
      </c>
      <c r="BA41" s="113">
        <v>2.2712508119999999</v>
      </c>
      <c r="BB41" s="52">
        <v>2.2712508119999999</v>
      </c>
      <c r="BC41" s="113"/>
      <c r="BD41" s="113" t="s">
        <v>31</v>
      </c>
      <c r="BE41" s="113" t="s">
        <v>353</v>
      </c>
      <c r="BF41" s="113">
        <v>2.1480000000000001</v>
      </c>
      <c r="BG41" s="113">
        <v>2.1480000000000001</v>
      </c>
      <c r="BH41" s="113">
        <v>2.1480000000000001</v>
      </c>
      <c r="BI41" s="113">
        <v>2.1480000000000001</v>
      </c>
      <c r="BJ41" s="113">
        <v>2.1480000000000001</v>
      </c>
      <c r="BK41" s="113"/>
      <c r="BL41" s="113" t="s">
        <v>64</v>
      </c>
      <c r="BM41" s="113" t="s">
        <v>64</v>
      </c>
      <c r="BN41" s="113" t="s">
        <v>340</v>
      </c>
      <c r="BO41" s="113">
        <v>0.14900000000000002</v>
      </c>
      <c r="BP41" s="113">
        <v>0.14900000000000002</v>
      </c>
      <c r="BQ41" s="113">
        <v>0.14900000000000002</v>
      </c>
      <c r="BR41" s="113">
        <v>0.14900000000000002</v>
      </c>
      <c r="BS41" s="52">
        <v>0.14900000000000002</v>
      </c>
      <c r="BT41" s="54"/>
      <c r="BU41" t="s">
        <v>13</v>
      </c>
      <c r="BV41" t="s">
        <v>13</v>
      </c>
      <c r="BW41" t="s">
        <v>128</v>
      </c>
      <c r="BX41">
        <v>1.038</v>
      </c>
      <c r="BY41">
        <v>1.038</v>
      </c>
      <c r="BZ41">
        <v>1.038</v>
      </c>
      <c r="CA41">
        <v>1.038</v>
      </c>
      <c r="CB41">
        <v>1.038</v>
      </c>
      <c r="CC41">
        <v>-42.1</v>
      </c>
    </row>
    <row r="42" spans="1:81">
      <c r="A42" s="113"/>
      <c r="B42" s="274" t="s">
        <v>1046</v>
      </c>
      <c r="C42" s="273" t="s">
        <v>192</v>
      </c>
      <c r="D42" s="113" t="s">
        <v>1071</v>
      </c>
      <c r="E42" s="113">
        <v>115.27</v>
      </c>
      <c r="F42" s="113">
        <v>115.29</v>
      </c>
      <c r="G42" s="113">
        <v>115.28</v>
      </c>
      <c r="H42" s="113" t="s">
        <v>224</v>
      </c>
      <c r="I42" s="113" t="s">
        <v>1047</v>
      </c>
      <c r="L42" s="81"/>
      <c r="N42" s="113"/>
      <c r="P42" s="113"/>
      <c r="Q42" s="113" t="s">
        <v>13</v>
      </c>
      <c r="R42" s="113" t="s">
        <v>508</v>
      </c>
      <c r="S42" s="113"/>
      <c r="T42" s="113">
        <v>43784</v>
      </c>
      <c r="U42" s="113" t="b">
        <v>1</v>
      </c>
      <c r="V42" s="113" t="s">
        <v>18</v>
      </c>
      <c r="W42" s="113" t="s">
        <v>508</v>
      </c>
      <c r="X42" s="52" t="s">
        <v>585</v>
      </c>
      <c r="Y42" s="52">
        <v>4</v>
      </c>
      <c r="Z42" s="113" t="s">
        <v>18</v>
      </c>
      <c r="AA42" s="113">
        <v>45978</v>
      </c>
      <c r="AB42" s="113" t="s">
        <v>18</v>
      </c>
      <c r="AC42" s="113"/>
      <c r="AD42" s="113"/>
      <c r="AE42" s="113" t="s">
        <v>18</v>
      </c>
      <c r="AF42" s="113" t="s">
        <v>357</v>
      </c>
      <c r="AG42" s="113">
        <v>2.2570000000000001</v>
      </c>
      <c r="AH42" s="113">
        <v>2.2570000000000001</v>
      </c>
      <c r="AI42" s="113">
        <v>2.2570000000000001</v>
      </c>
      <c r="AJ42" s="52">
        <v>2.2570000000000001</v>
      </c>
      <c r="AK42" s="113">
        <v>2.2570000000000001</v>
      </c>
      <c r="AL42" s="113"/>
      <c r="AM42" s="113"/>
      <c r="AN42" s="113" t="s">
        <v>18</v>
      </c>
      <c r="AO42" s="113" t="s">
        <v>358</v>
      </c>
      <c r="AP42" s="113">
        <v>2.1619999999999999</v>
      </c>
      <c r="AQ42" s="113">
        <v>2.1619999999999999</v>
      </c>
      <c r="AR42" s="113">
        <v>2.1619999999999999</v>
      </c>
      <c r="AS42" s="52">
        <v>2.1619999999999999</v>
      </c>
      <c r="AT42" s="113">
        <v>2.1619999999999999</v>
      </c>
      <c r="AU42" s="113"/>
      <c r="AV42" s="113" t="s">
        <v>18</v>
      </c>
      <c r="AW42" s="113" t="s">
        <v>359</v>
      </c>
      <c r="AX42" s="113">
        <v>2.375</v>
      </c>
      <c r="AY42" s="113">
        <v>2.375</v>
      </c>
      <c r="AZ42" s="113">
        <v>2.375</v>
      </c>
      <c r="BA42" s="113">
        <v>2.375</v>
      </c>
      <c r="BB42" s="52">
        <v>2.375</v>
      </c>
      <c r="BC42" s="113"/>
      <c r="BD42" s="113" t="s">
        <v>18</v>
      </c>
      <c r="BE42" s="113" t="s">
        <v>357</v>
      </c>
      <c r="BF42" s="113">
        <v>2.2570000000000001</v>
      </c>
      <c r="BG42" s="113">
        <v>2.2570000000000001</v>
      </c>
      <c r="BH42" s="113">
        <v>2.2570000000000001</v>
      </c>
      <c r="BI42" s="113">
        <v>2.2570000000000001</v>
      </c>
      <c r="BJ42" s="113">
        <v>2.2570000000000001</v>
      </c>
      <c r="BK42" s="113"/>
      <c r="BL42" s="113" t="s">
        <v>9</v>
      </c>
      <c r="BM42" s="113" t="s">
        <v>9</v>
      </c>
      <c r="BN42" s="113" t="s">
        <v>344</v>
      </c>
      <c r="BO42" s="113">
        <v>0.15600000000000003</v>
      </c>
      <c r="BP42" s="113">
        <v>0.15600000000000003</v>
      </c>
      <c r="BQ42" s="113">
        <v>0.15600000000000003</v>
      </c>
      <c r="BR42" s="113">
        <v>0.15600000000000003</v>
      </c>
      <c r="BS42" s="52">
        <v>0.15600000000000003</v>
      </c>
      <c r="BT42" s="54"/>
      <c r="BU42" t="s">
        <v>14</v>
      </c>
      <c r="BV42" t="s">
        <v>14</v>
      </c>
      <c r="BW42" t="s">
        <v>129</v>
      </c>
      <c r="BX42">
        <v>1.254</v>
      </c>
      <c r="BY42">
        <v>1.254</v>
      </c>
      <c r="BZ42">
        <v>1.254</v>
      </c>
      <c r="CA42">
        <v>1.254</v>
      </c>
      <c r="CB42">
        <v>1.254</v>
      </c>
      <c r="CC42">
        <v>-39.4</v>
      </c>
    </row>
    <row r="43" spans="1:81">
      <c r="A43" s="113"/>
      <c r="B43" s="113" t="s">
        <v>78</v>
      </c>
      <c r="C43" s="113" t="s">
        <v>192</v>
      </c>
      <c r="D43" s="113" t="s">
        <v>222</v>
      </c>
      <c r="E43" s="113">
        <v>110.59</v>
      </c>
      <c r="F43" s="113">
        <v>110.595</v>
      </c>
      <c r="G43" s="113">
        <v>110.5925</v>
      </c>
      <c r="H43" s="113" t="s">
        <v>224</v>
      </c>
      <c r="I43" s="113" t="s">
        <v>1048</v>
      </c>
      <c r="L43" s="81"/>
      <c r="N43" s="113"/>
      <c r="P43" s="113"/>
      <c r="Q43" s="113" t="s">
        <v>14</v>
      </c>
      <c r="R43" s="113" t="s">
        <v>508</v>
      </c>
      <c r="S43" s="113"/>
      <c r="T43" s="113">
        <v>44151</v>
      </c>
      <c r="U43" s="113" t="b">
        <v>1</v>
      </c>
      <c r="V43" s="113" t="s">
        <v>32</v>
      </c>
      <c r="W43" s="113" t="s">
        <v>508</v>
      </c>
      <c r="X43" s="52" t="s">
        <v>586</v>
      </c>
      <c r="Y43" s="52">
        <v>4</v>
      </c>
      <c r="Z43" s="113" t="s">
        <v>32</v>
      </c>
      <c r="AA43" s="113">
        <v>46342</v>
      </c>
      <c r="AB43" s="113" t="s">
        <v>32</v>
      </c>
      <c r="AC43" s="113"/>
      <c r="AD43" s="113"/>
      <c r="AE43" s="113" t="s">
        <v>32</v>
      </c>
      <c r="AF43" s="113" t="s">
        <v>361</v>
      </c>
      <c r="AG43" s="113">
        <v>2.35</v>
      </c>
      <c r="AH43" s="113">
        <v>2.35</v>
      </c>
      <c r="AI43" s="113">
        <v>2.35</v>
      </c>
      <c r="AJ43" s="52">
        <v>2.35</v>
      </c>
      <c r="AK43" s="113">
        <v>2.35</v>
      </c>
      <c r="AL43" s="113"/>
      <c r="AM43" s="113"/>
      <c r="AN43" s="113" t="s">
        <v>32</v>
      </c>
      <c r="AO43" s="113" t="s">
        <v>362</v>
      </c>
      <c r="AP43" s="113">
        <v>2.2577283640000001</v>
      </c>
      <c r="AQ43" s="113">
        <v>2.2577283640000001</v>
      </c>
      <c r="AR43" s="113">
        <v>2.2577283640000001</v>
      </c>
      <c r="AS43" s="52">
        <v>2.2577283640000001</v>
      </c>
      <c r="AT43" s="113">
        <v>2.2577283640000001</v>
      </c>
      <c r="AU43" s="113"/>
      <c r="AV43" s="113" t="s">
        <v>32</v>
      </c>
      <c r="AW43" s="113" t="s">
        <v>363</v>
      </c>
      <c r="AX43" s="113">
        <v>2.4626822239999995</v>
      </c>
      <c r="AY43" s="113">
        <v>2.4626822239999995</v>
      </c>
      <c r="AZ43" s="113">
        <v>2.4626822239999995</v>
      </c>
      <c r="BA43" s="113">
        <v>2.4626822239999995</v>
      </c>
      <c r="BB43" s="52">
        <v>2.4626822239999995</v>
      </c>
      <c r="BC43" s="113"/>
      <c r="BD43" s="113" t="s">
        <v>32</v>
      </c>
      <c r="BE43" s="113" t="s">
        <v>361</v>
      </c>
      <c r="BF43" s="113">
        <v>2.35</v>
      </c>
      <c r="BG43" s="113">
        <v>2.35</v>
      </c>
      <c r="BH43" s="113">
        <v>2.35</v>
      </c>
      <c r="BI43" s="113">
        <v>2.35</v>
      </c>
      <c r="BJ43" s="113">
        <v>2.35</v>
      </c>
      <c r="BK43" s="113"/>
      <c r="BL43" s="113" t="s">
        <v>10</v>
      </c>
      <c r="BM43" s="113" t="s">
        <v>10</v>
      </c>
      <c r="BN43" s="113" t="s">
        <v>348</v>
      </c>
      <c r="BO43" s="113">
        <v>0.28999999999999998</v>
      </c>
      <c r="BP43" s="113">
        <v>0.28999999999999998</v>
      </c>
      <c r="BQ43" s="113">
        <v>0.28999999999999998</v>
      </c>
      <c r="BR43" s="113">
        <v>0.28999999999999998</v>
      </c>
      <c r="BS43" s="52">
        <v>0.28999999999999998</v>
      </c>
      <c r="BT43" s="54"/>
      <c r="BU43" t="s">
        <v>15</v>
      </c>
      <c r="BV43" t="s">
        <v>15</v>
      </c>
      <c r="BW43" t="s">
        <v>130</v>
      </c>
      <c r="BX43">
        <v>1.448</v>
      </c>
      <c r="BY43">
        <v>1.448</v>
      </c>
      <c r="BZ43">
        <v>1.448</v>
      </c>
      <c r="CA43">
        <v>1.448</v>
      </c>
      <c r="CB43">
        <v>1.448</v>
      </c>
      <c r="CC43">
        <v>-36.5</v>
      </c>
    </row>
    <row r="44" spans="1:81">
      <c r="A44" s="113"/>
      <c r="N44" s="113"/>
      <c r="P44" s="113"/>
      <c r="Q44" s="113" t="s">
        <v>15</v>
      </c>
      <c r="R44" s="113" t="s">
        <v>508</v>
      </c>
      <c r="S44" s="113"/>
      <c r="T44" s="113">
        <v>44515</v>
      </c>
      <c r="U44" s="113" t="b">
        <v>1</v>
      </c>
      <c r="V44" s="113" t="s">
        <v>33</v>
      </c>
      <c r="W44" s="113" t="s">
        <v>508</v>
      </c>
      <c r="X44" s="52" t="s">
        <v>587</v>
      </c>
      <c r="Y44" s="52">
        <v>4</v>
      </c>
      <c r="Z44" s="113" t="s">
        <v>33</v>
      </c>
      <c r="AA44" s="113">
        <v>46706</v>
      </c>
      <c r="AB44" s="113" t="s">
        <v>33</v>
      </c>
      <c r="AC44" s="113"/>
      <c r="AD44" s="113"/>
      <c r="AE44" s="113" t="s">
        <v>33</v>
      </c>
      <c r="AF44" s="113" t="s">
        <v>365</v>
      </c>
      <c r="AG44" s="113">
        <v>2.427</v>
      </c>
      <c r="AH44" s="113">
        <v>2.427</v>
      </c>
      <c r="AI44" s="113">
        <v>2.427</v>
      </c>
      <c r="AJ44" s="52">
        <v>2.427</v>
      </c>
      <c r="AK44" s="113">
        <v>2.427</v>
      </c>
      <c r="AL44" s="113"/>
      <c r="AM44" s="113"/>
      <c r="AN44" s="113" t="s">
        <v>33</v>
      </c>
      <c r="AO44" s="113" t="s">
        <v>366</v>
      </c>
      <c r="AP44" s="113">
        <v>2.3383246729999998</v>
      </c>
      <c r="AQ44" s="113">
        <v>2.3383246729999998</v>
      </c>
      <c r="AR44" s="113">
        <v>2.3383246729999998</v>
      </c>
      <c r="AS44" s="52">
        <v>2.3383246729999998</v>
      </c>
      <c r="AT44" s="113">
        <v>2.3383246729999998</v>
      </c>
      <c r="AU44" s="113"/>
      <c r="AV44" s="113" t="s">
        <v>33</v>
      </c>
      <c r="AW44" s="113" t="s">
        <v>367</v>
      </c>
      <c r="AX44" s="113">
        <v>2.5360363169999998</v>
      </c>
      <c r="AY44" s="113">
        <v>2.5360363169999998</v>
      </c>
      <c r="AZ44" s="113">
        <v>2.5360363169999998</v>
      </c>
      <c r="BA44" s="113">
        <v>2.5360363169999998</v>
      </c>
      <c r="BB44" s="52">
        <v>2.5360363169999998</v>
      </c>
      <c r="BC44" s="113"/>
      <c r="BD44" s="113" t="s">
        <v>33</v>
      </c>
      <c r="BE44" s="113" t="s">
        <v>365</v>
      </c>
      <c r="BF44" s="113">
        <v>2.427</v>
      </c>
      <c r="BG44" s="113">
        <v>2.427</v>
      </c>
      <c r="BH44" s="113">
        <v>2.427</v>
      </c>
      <c r="BI44" s="113">
        <v>2.427</v>
      </c>
      <c r="BJ44" s="113">
        <v>2.427</v>
      </c>
      <c r="BK44" s="113"/>
      <c r="BL44" s="113" t="s">
        <v>11</v>
      </c>
      <c r="BM44" s="113" t="s">
        <v>11</v>
      </c>
      <c r="BN44" s="113" t="s">
        <v>352</v>
      </c>
      <c r="BO44" s="113">
        <v>0.503</v>
      </c>
      <c r="BP44" s="113">
        <v>0.503</v>
      </c>
      <c r="BQ44" s="113">
        <v>0.503</v>
      </c>
      <c r="BR44" s="113">
        <v>0.503</v>
      </c>
      <c r="BS44" s="52">
        <v>0.503</v>
      </c>
      <c r="BT44" s="54"/>
      <c r="BU44" t="s">
        <v>16</v>
      </c>
      <c r="BV44" t="s">
        <v>16</v>
      </c>
      <c r="BW44" t="s">
        <v>131</v>
      </c>
      <c r="BX44">
        <v>1.6220000000000001</v>
      </c>
      <c r="BY44">
        <v>1.6220000000000001</v>
      </c>
      <c r="BZ44">
        <v>1.6220000000000001</v>
      </c>
      <c r="CA44">
        <v>1.6220000000000001</v>
      </c>
      <c r="CB44">
        <v>1.6220000000000001</v>
      </c>
      <c r="CC44">
        <v>-33.9</v>
      </c>
    </row>
    <row r="45" spans="1:81">
      <c r="A45" s="113"/>
      <c r="N45" s="113"/>
      <c r="P45" s="113"/>
      <c r="Q45" s="113" t="s">
        <v>16</v>
      </c>
      <c r="R45" s="113" t="s">
        <v>508</v>
      </c>
      <c r="S45" s="113"/>
      <c r="T45" s="113">
        <v>44880</v>
      </c>
      <c r="U45" s="113" t="b">
        <v>1</v>
      </c>
      <c r="V45" s="113" t="s">
        <v>19</v>
      </c>
      <c r="W45" s="113" t="s">
        <v>508</v>
      </c>
      <c r="X45" s="52" t="s">
        <v>588</v>
      </c>
      <c r="Y45" s="52">
        <v>4</v>
      </c>
      <c r="Z45" s="113" t="s">
        <v>19</v>
      </c>
      <c r="AA45" s="113">
        <v>47072</v>
      </c>
      <c r="AB45" s="113" t="s">
        <v>19</v>
      </c>
      <c r="AC45" s="113"/>
      <c r="AD45" s="113"/>
      <c r="AE45" s="113" t="s">
        <v>19</v>
      </c>
      <c r="AF45" s="113" t="s">
        <v>369</v>
      </c>
      <c r="AG45" s="113">
        <v>2.4900000000000002</v>
      </c>
      <c r="AH45" s="113">
        <v>2.4900000000000002</v>
      </c>
      <c r="AI45" s="113">
        <v>2.4900000000000002</v>
      </c>
      <c r="AJ45" s="52">
        <v>2.4900000000000002</v>
      </c>
      <c r="AK45" s="113">
        <v>2.4900000000000002</v>
      </c>
      <c r="AL45" s="113"/>
      <c r="AM45" s="113"/>
      <c r="AN45" s="113" t="s">
        <v>19</v>
      </c>
      <c r="AO45" s="113" t="s">
        <v>370</v>
      </c>
      <c r="AP45" s="113">
        <v>2.4049999999999998</v>
      </c>
      <c r="AQ45" s="113">
        <v>2.4049999999999998</v>
      </c>
      <c r="AR45" s="113">
        <v>2.4049999999999998</v>
      </c>
      <c r="AS45" s="52">
        <v>2.4049999999999998</v>
      </c>
      <c r="AT45" s="113">
        <v>2.4049999999999998</v>
      </c>
      <c r="AU45" s="113"/>
      <c r="AV45" s="113" t="s">
        <v>19</v>
      </c>
      <c r="AW45" s="113" t="s">
        <v>371</v>
      </c>
      <c r="AX45" s="113">
        <v>2.5959999999999996</v>
      </c>
      <c r="AY45" s="113">
        <v>2.5959999999999996</v>
      </c>
      <c r="AZ45" s="113">
        <v>2.5959999999999996</v>
      </c>
      <c r="BA45" s="113">
        <v>2.5959999999999996</v>
      </c>
      <c r="BB45" s="52">
        <v>2.5959999999999996</v>
      </c>
      <c r="BC45" s="113"/>
      <c r="BD45" s="113" t="s">
        <v>19</v>
      </c>
      <c r="BE45" s="113" t="s">
        <v>369</v>
      </c>
      <c r="BF45" s="113">
        <v>2.4900000000000002</v>
      </c>
      <c r="BG45" s="113">
        <v>2.4900000000000002</v>
      </c>
      <c r="BH45" s="113">
        <v>2.4900000000000002</v>
      </c>
      <c r="BI45" s="113">
        <v>2.4900000000000002</v>
      </c>
      <c r="BJ45" s="113">
        <v>2.4900000000000002</v>
      </c>
      <c r="BK45" s="113"/>
      <c r="BL45" s="113" t="s">
        <v>12</v>
      </c>
      <c r="BM45" s="113" t="s">
        <v>12</v>
      </c>
      <c r="BN45" s="113" t="s">
        <v>356</v>
      </c>
      <c r="BO45" s="113">
        <v>0.73599999999999999</v>
      </c>
      <c r="BP45" s="113">
        <v>0.73599999999999999</v>
      </c>
      <c r="BQ45" s="113">
        <v>0.73599999999999999</v>
      </c>
      <c r="BR45" s="113">
        <v>0.73599999999999999</v>
      </c>
      <c r="BS45" s="52">
        <v>0.73599999999999999</v>
      </c>
      <c r="BT45" s="54"/>
      <c r="BU45" t="s">
        <v>17</v>
      </c>
      <c r="BV45" t="s">
        <v>17</v>
      </c>
      <c r="BW45" t="s">
        <v>132</v>
      </c>
      <c r="BX45">
        <v>1.7769999999999999</v>
      </c>
      <c r="BY45">
        <v>1.7769999999999999</v>
      </c>
      <c r="BZ45">
        <v>1.7769999999999999</v>
      </c>
      <c r="CA45">
        <v>1.7769999999999999</v>
      </c>
      <c r="CB45">
        <v>1.7769999999999999</v>
      </c>
      <c r="CC45">
        <v>-31.5</v>
      </c>
    </row>
    <row r="46" spans="1:81">
      <c r="A46" s="113"/>
      <c r="N46" s="113"/>
      <c r="P46" s="113"/>
      <c r="Q46" s="113" t="s">
        <v>17</v>
      </c>
      <c r="R46" s="113" t="s">
        <v>508</v>
      </c>
      <c r="S46" s="113"/>
      <c r="T46" s="113">
        <v>45245</v>
      </c>
      <c r="U46" s="113" t="b">
        <v>1</v>
      </c>
      <c r="V46" s="113" t="s">
        <v>34</v>
      </c>
      <c r="W46" s="113" t="s">
        <v>508</v>
      </c>
      <c r="X46" s="52" t="s">
        <v>589</v>
      </c>
      <c r="Y46" s="52">
        <v>4</v>
      </c>
      <c r="Z46" s="113" t="s">
        <v>34</v>
      </c>
      <c r="AA46" s="113">
        <v>47437</v>
      </c>
      <c r="AB46" s="113" t="s">
        <v>34</v>
      </c>
      <c r="AC46" s="113"/>
      <c r="AD46" s="113"/>
      <c r="AE46" s="113" t="s">
        <v>34</v>
      </c>
      <c r="AF46" s="113" t="s">
        <v>373</v>
      </c>
      <c r="AG46" s="113">
        <v>2.54</v>
      </c>
      <c r="AH46" s="113">
        <v>2.54</v>
      </c>
      <c r="AI46" s="113">
        <v>2.54</v>
      </c>
      <c r="AJ46" s="52">
        <v>2.54</v>
      </c>
      <c r="AK46" s="113">
        <v>2.54</v>
      </c>
      <c r="AL46" s="113"/>
      <c r="AM46" s="113"/>
      <c r="AN46" s="113" t="s">
        <v>34</v>
      </c>
      <c r="AO46" s="113" t="s">
        <v>374</v>
      </c>
      <c r="AP46" s="113">
        <v>2.4574245560000003</v>
      </c>
      <c r="AQ46" s="113">
        <v>2.4574245560000003</v>
      </c>
      <c r="AR46" s="113">
        <v>2.4574245560000003</v>
      </c>
      <c r="AS46" s="52">
        <v>2.4574245560000003</v>
      </c>
      <c r="AT46" s="113">
        <v>2.4574245560000003</v>
      </c>
      <c r="AU46" s="113"/>
      <c r="AV46" s="113" t="s">
        <v>34</v>
      </c>
      <c r="AW46" s="113" t="s">
        <v>375</v>
      </c>
      <c r="AX46" s="113">
        <v>2.6420836480000003</v>
      </c>
      <c r="AY46" s="113">
        <v>2.6420836480000003</v>
      </c>
      <c r="AZ46" s="113">
        <v>2.6420836480000003</v>
      </c>
      <c r="BA46" s="113">
        <v>2.6420836480000003</v>
      </c>
      <c r="BB46" s="52">
        <v>2.6420836480000003</v>
      </c>
      <c r="BC46" s="113"/>
      <c r="BD46" s="113" t="s">
        <v>34</v>
      </c>
      <c r="BE46" s="113" t="s">
        <v>373</v>
      </c>
      <c r="BF46" s="113">
        <v>2.54</v>
      </c>
      <c r="BG46" s="113">
        <v>2.54</v>
      </c>
      <c r="BH46" s="113">
        <v>2.54</v>
      </c>
      <c r="BI46" s="113">
        <v>2.54</v>
      </c>
      <c r="BJ46" s="113">
        <v>2.54</v>
      </c>
      <c r="BK46" s="113"/>
      <c r="BL46" s="113" t="s">
        <v>13</v>
      </c>
      <c r="BM46" s="113" t="s">
        <v>13</v>
      </c>
      <c r="BN46" s="113" t="s">
        <v>360</v>
      </c>
      <c r="BO46" s="113">
        <v>0.96499999999999997</v>
      </c>
      <c r="BP46" s="113">
        <v>0.96499999999999997</v>
      </c>
      <c r="BQ46" s="113">
        <v>0.96499999999999997</v>
      </c>
      <c r="BR46" s="113">
        <v>0.96499999999999997</v>
      </c>
      <c r="BS46" s="52">
        <v>0.96499999999999997</v>
      </c>
      <c r="BT46" s="54"/>
      <c r="BU46" t="s">
        <v>31</v>
      </c>
      <c r="BV46" t="s">
        <v>31</v>
      </c>
      <c r="BW46" t="s">
        <v>133</v>
      </c>
      <c r="BX46">
        <v>1.9121829850000001</v>
      </c>
      <c r="BY46">
        <v>1.9121829850000001</v>
      </c>
      <c r="BZ46">
        <v>1.9121829850000001</v>
      </c>
      <c r="CA46">
        <v>1.9121829850000001</v>
      </c>
      <c r="CB46">
        <v>1.9121829850000001</v>
      </c>
      <c r="CC46">
        <v>-29.253665399999985</v>
      </c>
    </row>
    <row r="47" spans="1:81">
      <c r="A47" s="113"/>
      <c r="E47" s="113" t="s">
        <v>73</v>
      </c>
      <c r="F47" s="113" t="s">
        <v>74</v>
      </c>
      <c r="G47" s="113" t="s">
        <v>75</v>
      </c>
      <c r="N47" s="113"/>
      <c r="P47" s="113"/>
      <c r="Q47" s="113" t="s">
        <v>31</v>
      </c>
      <c r="R47" s="113" t="s">
        <v>508</v>
      </c>
      <c r="S47" s="113"/>
      <c r="T47" s="113">
        <v>45611</v>
      </c>
      <c r="U47" s="113" t="b">
        <v>1</v>
      </c>
      <c r="V47" s="113" t="s">
        <v>35</v>
      </c>
      <c r="W47" s="113" t="s">
        <v>508</v>
      </c>
      <c r="X47" s="52" t="s">
        <v>590</v>
      </c>
      <c r="Y47" s="52">
        <v>4</v>
      </c>
      <c r="Z47" s="113" t="s">
        <v>35</v>
      </c>
      <c r="AA47" s="113">
        <v>47802</v>
      </c>
      <c r="AB47" s="113" t="s">
        <v>35</v>
      </c>
      <c r="AC47" s="113"/>
      <c r="AD47" s="113"/>
      <c r="AE47" s="113" t="s">
        <v>35</v>
      </c>
      <c r="AF47" s="113" t="s">
        <v>377</v>
      </c>
      <c r="AG47" s="113">
        <v>2.5789999999999997</v>
      </c>
      <c r="AH47" s="113">
        <v>2.5789999999999997</v>
      </c>
      <c r="AI47" s="113">
        <v>2.5789999999999997</v>
      </c>
      <c r="AJ47" s="52">
        <v>2.5789999999999997</v>
      </c>
      <c r="AK47" s="113">
        <v>2.5789999999999997</v>
      </c>
      <c r="AL47" s="113"/>
      <c r="AM47" s="113"/>
      <c r="AN47" s="113" t="s">
        <v>35</v>
      </c>
      <c r="AO47" s="113" t="s">
        <v>378</v>
      </c>
      <c r="AP47" s="113">
        <v>2.4988164949999994</v>
      </c>
      <c r="AQ47" s="113">
        <v>2.4988164949999994</v>
      </c>
      <c r="AR47" s="113">
        <v>2.4988164949999994</v>
      </c>
      <c r="AS47" s="52">
        <v>2.4988164949999994</v>
      </c>
      <c r="AT47" s="113">
        <v>2.4988164949999994</v>
      </c>
      <c r="AU47" s="113"/>
      <c r="AV47" s="113" t="s">
        <v>35</v>
      </c>
      <c r="AW47" s="113" t="s">
        <v>379</v>
      </c>
      <c r="AX47" s="113">
        <v>2.6775529739999997</v>
      </c>
      <c r="AY47" s="113">
        <v>2.6775529739999997</v>
      </c>
      <c r="AZ47" s="113">
        <v>2.6775529739999997</v>
      </c>
      <c r="BA47" s="113">
        <v>2.6775529739999997</v>
      </c>
      <c r="BB47" s="52">
        <v>2.6775529739999997</v>
      </c>
      <c r="BC47" s="113"/>
      <c r="BD47" s="113" t="s">
        <v>35</v>
      </c>
      <c r="BE47" s="113" t="s">
        <v>377</v>
      </c>
      <c r="BF47" s="113">
        <v>2.5789999999999997</v>
      </c>
      <c r="BG47" s="113">
        <v>2.5789999999999997</v>
      </c>
      <c r="BH47" s="113">
        <v>2.5789999999999997</v>
      </c>
      <c r="BI47" s="113">
        <v>2.5789999999999997</v>
      </c>
      <c r="BJ47" s="113">
        <v>2.5789999999999997</v>
      </c>
      <c r="BK47" s="113"/>
      <c r="BL47" s="113" t="s">
        <v>14</v>
      </c>
      <c r="BM47" s="113" t="s">
        <v>14</v>
      </c>
      <c r="BN47" s="113" t="s">
        <v>364</v>
      </c>
      <c r="BO47" s="113">
        <v>1.1780000000000002</v>
      </c>
      <c r="BP47" s="113">
        <v>1.1780000000000002</v>
      </c>
      <c r="BQ47" s="113">
        <v>1.1780000000000002</v>
      </c>
      <c r="BR47" s="113">
        <v>1.1780000000000002</v>
      </c>
      <c r="BS47" s="52">
        <v>1.1780000000000002</v>
      </c>
      <c r="BT47" s="54"/>
      <c r="BU47" t="s">
        <v>18</v>
      </c>
      <c r="BV47" t="s">
        <v>18</v>
      </c>
      <c r="BW47" t="s">
        <v>134</v>
      </c>
      <c r="BX47">
        <v>2.0289999999999999</v>
      </c>
      <c r="BY47">
        <v>2.0289999999999999</v>
      </c>
      <c r="BZ47">
        <v>2.0289999999999999</v>
      </c>
      <c r="CA47">
        <v>2.0289999999999999</v>
      </c>
      <c r="CB47">
        <v>2.0289999999999999</v>
      </c>
      <c r="CC47">
        <v>-27.3</v>
      </c>
    </row>
    <row r="48" spans="1:81">
      <c r="A48" s="113"/>
      <c r="B48" s="113" t="s">
        <v>76</v>
      </c>
      <c r="C48" s="113" t="s">
        <v>213</v>
      </c>
      <c r="D48" s="113" t="s">
        <v>550</v>
      </c>
      <c r="E48" s="113">
        <v>141.32</v>
      </c>
      <c r="F48" s="113">
        <v>141.34</v>
      </c>
      <c r="G48" s="113">
        <v>141.33000000000001</v>
      </c>
      <c r="H48" s="113" t="s">
        <v>553</v>
      </c>
      <c r="I48" s="113" t="s">
        <v>732</v>
      </c>
      <c r="N48" s="113"/>
      <c r="P48" s="113"/>
      <c r="Q48" s="113" t="s">
        <v>18</v>
      </c>
      <c r="R48" s="113" t="s">
        <v>508</v>
      </c>
      <c r="S48" s="113"/>
      <c r="T48" s="113">
        <v>45978</v>
      </c>
      <c r="U48" s="113" t="b">
        <v>1</v>
      </c>
      <c r="V48" s="113" t="s">
        <v>36</v>
      </c>
      <c r="W48" s="113" t="s">
        <v>508</v>
      </c>
      <c r="X48" s="52" t="s">
        <v>591</v>
      </c>
      <c r="Y48" s="52">
        <v>4</v>
      </c>
      <c r="Z48" s="113" t="s">
        <v>36</v>
      </c>
      <c r="AA48" s="113">
        <v>48169</v>
      </c>
      <c r="AB48" s="113" t="s">
        <v>36</v>
      </c>
      <c r="AC48" s="113"/>
      <c r="AD48" s="113"/>
      <c r="AE48" s="113" t="s">
        <v>36</v>
      </c>
      <c r="AF48" s="113" t="s">
        <v>381</v>
      </c>
      <c r="AG48" s="113">
        <v>2.609</v>
      </c>
      <c r="AH48" s="113">
        <v>2.609</v>
      </c>
      <c r="AI48" s="113">
        <v>2.609</v>
      </c>
      <c r="AJ48" s="52">
        <v>2.609</v>
      </c>
      <c r="AK48" s="113">
        <v>2.609</v>
      </c>
      <c r="AL48" s="113"/>
      <c r="AM48" s="113"/>
      <c r="AN48" s="113" t="s">
        <v>36</v>
      </c>
      <c r="AO48" s="113" t="s">
        <v>382</v>
      </c>
      <c r="AP48" s="113">
        <v>2.5317879670000001</v>
      </c>
      <c r="AQ48" s="113">
        <v>2.5317879670000001</v>
      </c>
      <c r="AR48" s="113">
        <v>2.5317879670000001</v>
      </c>
      <c r="AS48" s="52">
        <v>2.5317879670000001</v>
      </c>
      <c r="AT48" s="113">
        <v>2.5317879670000001</v>
      </c>
      <c r="AU48" s="113"/>
      <c r="AV48" s="113" t="s">
        <v>36</v>
      </c>
      <c r="AW48" s="113" t="s">
        <v>383</v>
      </c>
      <c r="AX48" s="113">
        <v>2.70505146</v>
      </c>
      <c r="AY48" s="113">
        <v>2.70505146</v>
      </c>
      <c r="AZ48" s="113">
        <v>2.70505146</v>
      </c>
      <c r="BA48" s="113">
        <v>2.70505146</v>
      </c>
      <c r="BB48" s="52">
        <v>2.70505146</v>
      </c>
      <c r="BC48" s="113"/>
      <c r="BD48" s="113" t="s">
        <v>36</v>
      </c>
      <c r="BE48" s="113" t="s">
        <v>381</v>
      </c>
      <c r="BF48" s="113">
        <v>2.609</v>
      </c>
      <c r="BG48" s="113">
        <v>2.609</v>
      </c>
      <c r="BH48" s="113">
        <v>2.609</v>
      </c>
      <c r="BI48" s="113">
        <v>2.609</v>
      </c>
      <c r="BJ48" s="113">
        <v>2.609</v>
      </c>
      <c r="BK48" s="113"/>
      <c r="BL48" s="113" t="s">
        <v>15</v>
      </c>
      <c r="BM48" s="113" t="s">
        <v>15</v>
      </c>
      <c r="BN48" s="113" t="s">
        <v>368</v>
      </c>
      <c r="BO48" s="113">
        <v>1.371</v>
      </c>
      <c r="BP48" s="113">
        <v>1.371</v>
      </c>
      <c r="BQ48" s="113">
        <v>1.371</v>
      </c>
      <c r="BR48" s="113">
        <v>1.371</v>
      </c>
      <c r="BS48" s="52">
        <v>1.371</v>
      </c>
      <c r="BT48" s="54"/>
      <c r="BU48" t="s">
        <v>32</v>
      </c>
      <c r="BV48" t="s">
        <v>32</v>
      </c>
      <c r="BW48" t="s">
        <v>135</v>
      </c>
      <c r="BX48">
        <v>2.1291388970000003</v>
      </c>
      <c r="BY48">
        <v>2.1291388970000003</v>
      </c>
      <c r="BZ48">
        <v>2.1291388970000003</v>
      </c>
      <c r="CA48">
        <v>2.1291388970000003</v>
      </c>
      <c r="CB48">
        <v>2.1291388970000003</v>
      </c>
      <c r="CC48">
        <v>-25.66573189999999</v>
      </c>
    </row>
    <row r="49" spans="1:81">
      <c r="A49" s="113"/>
      <c r="B49" s="113" t="s">
        <v>77</v>
      </c>
      <c r="C49" s="113" t="s">
        <v>213</v>
      </c>
      <c r="D49" s="113" t="s">
        <v>551</v>
      </c>
      <c r="E49" s="113">
        <v>125.94</v>
      </c>
      <c r="F49" s="113">
        <v>125.96</v>
      </c>
      <c r="G49" s="113">
        <v>125.95</v>
      </c>
      <c r="H49" s="113" t="s">
        <v>553</v>
      </c>
      <c r="I49" s="113" t="s">
        <v>730</v>
      </c>
      <c r="J49" s="81"/>
      <c r="K49" s="81"/>
      <c r="L49" s="81"/>
      <c r="N49" s="113"/>
      <c r="P49" s="113"/>
      <c r="Q49" s="113" t="s">
        <v>32</v>
      </c>
      <c r="R49" s="113" t="s">
        <v>508</v>
      </c>
      <c r="S49" s="113"/>
      <c r="T49" s="113">
        <v>46342</v>
      </c>
      <c r="U49" s="113" t="b">
        <v>1</v>
      </c>
      <c r="V49" s="113" t="s">
        <v>37</v>
      </c>
      <c r="W49" s="113" t="s">
        <v>508</v>
      </c>
      <c r="X49" s="52" t="s">
        <v>592</v>
      </c>
      <c r="Y49" s="52">
        <v>4</v>
      </c>
      <c r="Z49" s="113" t="s">
        <v>37</v>
      </c>
      <c r="AA49" s="113">
        <v>48533</v>
      </c>
      <c r="AB49" s="113" t="s">
        <v>37</v>
      </c>
      <c r="AC49" s="113"/>
      <c r="AD49" s="113"/>
      <c r="AE49" s="113" t="s">
        <v>37</v>
      </c>
      <c r="AF49" s="113" t="s">
        <v>385</v>
      </c>
      <c r="AG49" s="113">
        <v>2.6309999999999998</v>
      </c>
      <c r="AH49" s="113">
        <v>2.6309999999999998</v>
      </c>
      <c r="AI49" s="113">
        <v>2.6309999999999998</v>
      </c>
      <c r="AJ49" s="52">
        <v>2.6309999999999998</v>
      </c>
      <c r="AK49" s="113">
        <v>2.6309999999999998</v>
      </c>
      <c r="AL49" s="113"/>
      <c r="AM49" s="113"/>
      <c r="AN49" s="113" t="s">
        <v>37</v>
      </c>
      <c r="AO49" s="113" t="s">
        <v>386</v>
      </c>
      <c r="AP49" s="113">
        <v>2.5580950439999999</v>
      </c>
      <c r="AQ49" s="113">
        <v>2.5580950439999999</v>
      </c>
      <c r="AR49" s="113">
        <v>2.5580950439999999</v>
      </c>
      <c r="AS49" s="52">
        <v>2.5580950439999999</v>
      </c>
      <c r="AT49" s="113">
        <v>2.5580950439999999</v>
      </c>
      <c r="AU49" s="113"/>
      <c r="AV49" s="113" t="s">
        <v>37</v>
      </c>
      <c r="AW49" s="113" t="s">
        <v>387</v>
      </c>
      <c r="AX49" s="113">
        <v>2.7264679460000001</v>
      </c>
      <c r="AY49" s="113">
        <v>2.7264679460000001</v>
      </c>
      <c r="AZ49" s="113">
        <v>2.7264679460000001</v>
      </c>
      <c r="BA49" s="113">
        <v>2.7264679460000001</v>
      </c>
      <c r="BB49" s="52">
        <v>2.7264679460000001</v>
      </c>
      <c r="BC49" s="113"/>
      <c r="BD49" s="113" t="s">
        <v>37</v>
      </c>
      <c r="BE49" s="113" t="s">
        <v>385</v>
      </c>
      <c r="BF49" s="113">
        <v>2.6309999999999998</v>
      </c>
      <c r="BG49" s="113">
        <v>2.6309999999999998</v>
      </c>
      <c r="BH49" s="113">
        <v>2.6309999999999998</v>
      </c>
      <c r="BI49" s="113">
        <v>2.6309999999999998</v>
      </c>
      <c r="BJ49" s="113">
        <v>2.6309999999999998</v>
      </c>
      <c r="BK49" s="113"/>
      <c r="BL49" s="113" t="s">
        <v>16</v>
      </c>
      <c r="BM49" s="113" t="s">
        <v>16</v>
      </c>
      <c r="BN49" s="113" t="s">
        <v>372</v>
      </c>
      <c r="BO49" s="113">
        <v>1.5449999999999999</v>
      </c>
      <c r="BP49" s="113">
        <v>1.5449999999999999</v>
      </c>
      <c r="BQ49" s="113">
        <v>1.5449999999999999</v>
      </c>
      <c r="BR49" s="113">
        <v>1.5449999999999999</v>
      </c>
      <c r="BS49" s="52">
        <v>1.5449999999999999</v>
      </c>
      <c r="BT49" s="54"/>
      <c r="BU49" t="s">
        <v>33</v>
      </c>
      <c r="BV49" t="s">
        <v>33</v>
      </c>
      <c r="BW49" t="s">
        <v>136</v>
      </c>
      <c r="BX49">
        <v>2.2141626899999998</v>
      </c>
      <c r="BY49">
        <v>2.2141626899999998</v>
      </c>
      <c r="BZ49">
        <v>2.2141626899999998</v>
      </c>
      <c r="CA49">
        <v>2.2141626899999998</v>
      </c>
      <c r="CB49">
        <v>2.2141626899999998</v>
      </c>
      <c r="CC49">
        <v>-24.180695700000008</v>
      </c>
    </row>
    <row r="50" spans="1:81">
      <c r="A50" s="113"/>
      <c r="B50" s="113" t="s">
        <v>78</v>
      </c>
      <c r="C50" s="113" t="s">
        <v>213</v>
      </c>
      <c r="D50" s="113" t="s">
        <v>552</v>
      </c>
      <c r="E50" s="113">
        <v>110.57</v>
      </c>
      <c r="F50" s="113">
        <v>110.58</v>
      </c>
      <c r="G50" s="113">
        <v>110.575</v>
      </c>
      <c r="H50" s="113" t="s">
        <v>553</v>
      </c>
      <c r="J50" s="81"/>
      <c r="K50" s="81"/>
      <c r="L50" s="81"/>
      <c r="N50" s="113"/>
      <c r="P50" s="113"/>
      <c r="Q50" s="113" t="s">
        <v>33</v>
      </c>
      <c r="R50" s="113" t="s">
        <v>508</v>
      </c>
      <c r="S50" s="113"/>
      <c r="T50" s="113">
        <v>46706</v>
      </c>
      <c r="U50" s="113" t="b">
        <v>1</v>
      </c>
      <c r="V50" s="113" t="s">
        <v>20</v>
      </c>
      <c r="W50" s="113" t="s">
        <v>508</v>
      </c>
      <c r="X50" s="52" t="s">
        <v>593</v>
      </c>
      <c r="Y50" s="52">
        <v>4</v>
      </c>
      <c r="Z50" s="52" t="s">
        <v>20</v>
      </c>
      <c r="AA50" s="113">
        <v>48898</v>
      </c>
      <c r="AB50" s="113" t="s">
        <v>20</v>
      </c>
      <c r="AC50" s="113"/>
      <c r="AD50" s="113"/>
      <c r="AE50" s="113" t="s">
        <v>20</v>
      </c>
      <c r="AF50" s="113" t="s">
        <v>389</v>
      </c>
      <c r="AG50" s="113">
        <v>2.649</v>
      </c>
      <c r="AH50" s="113">
        <v>2.649</v>
      </c>
      <c r="AI50" s="113">
        <v>2.649</v>
      </c>
      <c r="AJ50" s="52">
        <v>2.649</v>
      </c>
      <c r="AK50" s="113">
        <v>2.649</v>
      </c>
      <c r="AL50" s="113"/>
      <c r="AM50" s="113"/>
      <c r="AN50" s="113" t="s">
        <v>20</v>
      </c>
      <c r="AO50" s="113" t="s">
        <v>390</v>
      </c>
      <c r="AP50" s="113">
        <v>2.5789999999999997</v>
      </c>
      <c r="AQ50" s="113">
        <v>2.5789999999999997</v>
      </c>
      <c r="AR50" s="113">
        <v>2.5789999999999997</v>
      </c>
      <c r="AS50" s="52">
        <v>2.5789999999999997</v>
      </c>
      <c r="AT50" s="113">
        <v>2.5789999999999997</v>
      </c>
      <c r="AU50" s="113"/>
      <c r="AV50" s="113" t="s">
        <v>20</v>
      </c>
      <c r="AW50" s="113" t="s">
        <v>391</v>
      </c>
      <c r="AX50" s="113">
        <v>2.7430000000000003</v>
      </c>
      <c r="AY50" s="113">
        <v>2.7430000000000003</v>
      </c>
      <c r="AZ50" s="113">
        <v>2.7430000000000003</v>
      </c>
      <c r="BA50" s="113">
        <v>2.7430000000000003</v>
      </c>
      <c r="BB50" s="52">
        <v>2.7430000000000003</v>
      </c>
      <c r="BC50" s="113"/>
      <c r="BD50" s="113" t="s">
        <v>20</v>
      </c>
      <c r="BE50" s="113" t="s">
        <v>389</v>
      </c>
      <c r="BF50" s="113">
        <v>2.649</v>
      </c>
      <c r="BG50" s="113">
        <v>2.649</v>
      </c>
      <c r="BH50" s="113">
        <v>2.649</v>
      </c>
      <c r="BI50" s="113">
        <v>2.649</v>
      </c>
      <c r="BJ50" s="113">
        <v>2.649</v>
      </c>
      <c r="BK50" s="113"/>
      <c r="BL50" s="113" t="s">
        <v>17</v>
      </c>
      <c r="BM50" s="113" t="s">
        <v>17</v>
      </c>
      <c r="BN50" s="113" t="s">
        <v>376</v>
      </c>
      <c r="BO50" s="113">
        <v>1.7</v>
      </c>
      <c r="BP50" s="113">
        <v>1.7</v>
      </c>
      <c r="BQ50" s="113">
        <v>1.7</v>
      </c>
      <c r="BR50" s="113">
        <v>1.7</v>
      </c>
      <c r="BS50" s="52">
        <v>1.7</v>
      </c>
      <c r="BT50" s="54"/>
      <c r="BU50" t="s">
        <v>19</v>
      </c>
      <c r="BV50" t="s">
        <v>19</v>
      </c>
      <c r="BW50" t="s">
        <v>137</v>
      </c>
      <c r="BX50">
        <v>2.2850000000000001</v>
      </c>
      <c r="BY50">
        <v>2.2850000000000001</v>
      </c>
      <c r="BZ50">
        <v>2.2850000000000001</v>
      </c>
      <c r="CA50">
        <v>2.2850000000000001</v>
      </c>
      <c r="CB50">
        <v>2.2850000000000001</v>
      </c>
      <c r="CC50">
        <v>-22.8</v>
      </c>
    </row>
    <row r="51" spans="1:81">
      <c r="A51" s="113"/>
      <c r="B51" s="113" t="s">
        <v>1046</v>
      </c>
      <c r="C51" s="113" t="s">
        <v>213</v>
      </c>
      <c r="D51" s="113" t="s">
        <v>1072</v>
      </c>
      <c r="E51" s="113">
        <v>113.99</v>
      </c>
      <c r="F51" s="113">
        <v>114.22</v>
      </c>
      <c r="G51" s="113">
        <v>114.105</v>
      </c>
      <c r="H51" s="113" t="s">
        <v>553</v>
      </c>
      <c r="I51" s="113" t="s">
        <v>1049</v>
      </c>
      <c r="J51" s="81"/>
      <c r="K51" s="81"/>
      <c r="L51" s="81"/>
      <c r="N51" s="113"/>
      <c r="P51" s="113"/>
      <c r="Q51" s="113" t="s">
        <v>19</v>
      </c>
      <c r="R51" s="113" t="s">
        <v>508</v>
      </c>
      <c r="S51" s="113"/>
      <c r="T51" s="113">
        <v>47072</v>
      </c>
      <c r="U51" s="113" t="b">
        <v>1</v>
      </c>
      <c r="V51" s="113" t="s">
        <v>38</v>
      </c>
      <c r="W51" s="113" t="s">
        <v>508</v>
      </c>
      <c r="X51" s="52" t="s">
        <v>594</v>
      </c>
      <c r="Y51" s="52">
        <v>4</v>
      </c>
      <c r="Z51" s="113" t="s">
        <v>38</v>
      </c>
      <c r="AA51" s="113">
        <v>49263</v>
      </c>
      <c r="AB51" s="113" t="s">
        <v>38</v>
      </c>
      <c r="AC51" s="113"/>
      <c r="AD51" s="113"/>
      <c r="AE51" s="113" t="s">
        <v>38</v>
      </c>
      <c r="AF51" s="113" t="s">
        <v>393</v>
      </c>
      <c r="AG51" s="113">
        <v>2.6630000000000003</v>
      </c>
      <c r="AH51" s="113">
        <v>2.6630000000000003</v>
      </c>
      <c r="AI51" s="113">
        <v>2.6630000000000003</v>
      </c>
      <c r="AJ51" s="52">
        <v>2.6630000000000003</v>
      </c>
      <c r="AK51" s="113">
        <v>2.6630000000000003</v>
      </c>
      <c r="AL51" s="113"/>
      <c r="AM51" s="113"/>
      <c r="AN51" s="113" t="s">
        <v>38</v>
      </c>
      <c r="AO51" s="113" t="s">
        <v>394</v>
      </c>
      <c r="AP51" s="113">
        <v>2.5958402379999996</v>
      </c>
      <c r="AQ51" s="113">
        <v>2.5958402379999996</v>
      </c>
      <c r="AR51" s="113">
        <v>2.5958402379999996</v>
      </c>
      <c r="AS51" s="52">
        <v>2.5958402379999996</v>
      </c>
      <c r="AT51" s="113">
        <v>2.5958402379999996</v>
      </c>
      <c r="AU51" s="113"/>
      <c r="AV51" s="113" t="s">
        <v>38</v>
      </c>
      <c r="AW51" s="113" t="s">
        <v>395</v>
      </c>
      <c r="AX51" s="113">
        <v>2.7560112680000004</v>
      </c>
      <c r="AY51" s="113">
        <v>2.7560112680000004</v>
      </c>
      <c r="AZ51" s="113">
        <v>2.7560112680000004</v>
      </c>
      <c r="BA51" s="113">
        <v>2.7560112680000004</v>
      </c>
      <c r="BB51" s="52">
        <v>2.7560112680000004</v>
      </c>
      <c r="BC51" s="113"/>
      <c r="BD51" s="113" t="s">
        <v>38</v>
      </c>
      <c r="BE51" s="113" t="s">
        <v>393</v>
      </c>
      <c r="BF51" s="113">
        <v>2.6630000000000003</v>
      </c>
      <c r="BG51" s="113">
        <v>2.6630000000000003</v>
      </c>
      <c r="BH51" s="113">
        <v>2.6630000000000003</v>
      </c>
      <c r="BI51" s="113">
        <v>2.6630000000000003</v>
      </c>
      <c r="BJ51" s="113">
        <v>2.6630000000000003</v>
      </c>
      <c r="BK51" s="113"/>
      <c r="BL51" s="113" t="s">
        <v>31</v>
      </c>
      <c r="BM51" s="113" t="s">
        <v>31</v>
      </c>
      <c r="BN51" s="113" t="s">
        <v>380</v>
      </c>
      <c r="BO51" s="113">
        <v>1.8340000000000001</v>
      </c>
      <c r="BP51" s="113">
        <v>1.8340000000000001</v>
      </c>
      <c r="BQ51" s="113">
        <v>1.8340000000000001</v>
      </c>
      <c r="BR51" s="113">
        <v>1.8340000000000001</v>
      </c>
      <c r="BS51" s="52">
        <v>1.8340000000000001</v>
      </c>
      <c r="BT51" s="54"/>
      <c r="BU51" t="s">
        <v>34</v>
      </c>
      <c r="BV51" t="s">
        <v>34</v>
      </c>
      <c r="BW51" t="s">
        <v>138</v>
      </c>
      <c r="BX51">
        <v>2.3411680699999997</v>
      </c>
      <c r="BY51">
        <v>2.3411680699999997</v>
      </c>
      <c r="BZ51">
        <v>2.3411680699999997</v>
      </c>
      <c r="CA51">
        <v>2.3411680699999997</v>
      </c>
      <c r="CB51">
        <v>2.3411680699999997</v>
      </c>
      <c r="CC51">
        <v>-21.443792500000036</v>
      </c>
    </row>
    <row r="52" spans="1:81">
      <c r="A52" s="113"/>
      <c r="B52" s="113" t="s">
        <v>78</v>
      </c>
      <c r="C52" s="113" t="s">
        <v>213</v>
      </c>
      <c r="D52" s="113" t="s">
        <v>552</v>
      </c>
      <c r="E52" s="113">
        <v>110.57</v>
      </c>
      <c r="F52" s="113">
        <v>110.58</v>
      </c>
      <c r="G52" s="113">
        <v>110.575</v>
      </c>
      <c r="H52" s="113" t="s">
        <v>553</v>
      </c>
      <c r="I52" s="113" t="s">
        <v>1050</v>
      </c>
      <c r="J52" s="81"/>
      <c r="K52" s="81"/>
      <c r="L52" s="81"/>
      <c r="N52" s="113"/>
      <c r="P52" s="113"/>
      <c r="Q52" s="113" t="s">
        <v>34</v>
      </c>
      <c r="R52" s="113" t="s">
        <v>508</v>
      </c>
      <c r="S52" s="113"/>
      <c r="T52" s="113">
        <v>47437</v>
      </c>
      <c r="U52" s="113" t="b">
        <v>1</v>
      </c>
      <c r="V52" s="113" t="s">
        <v>39</v>
      </c>
      <c r="W52" s="113" t="s">
        <v>508</v>
      </c>
      <c r="X52" s="52" t="s">
        <v>595</v>
      </c>
      <c r="Y52" s="52">
        <v>4</v>
      </c>
      <c r="Z52" s="113" t="s">
        <v>39</v>
      </c>
      <c r="AA52" s="113">
        <v>49628</v>
      </c>
      <c r="AB52" s="113" t="s">
        <v>39</v>
      </c>
      <c r="AC52" s="113"/>
      <c r="AD52" s="113"/>
      <c r="AE52" s="113" t="s">
        <v>39</v>
      </c>
      <c r="AF52" s="113" t="s">
        <v>397</v>
      </c>
      <c r="AG52" s="113">
        <v>2.6749999999999998</v>
      </c>
      <c r="AH52" s="113">
        <v>2.6749999999999998</v>
      </c>
      <c r="AI52" s="113">
        <v>2.6749999999999998</v>
      </c>
      <c r="AJ52" s="52">
        <v>2.6749999999999998</v>
      </c>
      <c r="AK52" s="52">
        <v>2.6749999999999998</v>
      </c>
      <c r="AL52" s="113"/>
      <c r="AM52" s="113"/>
      <c r="AN52" s="113" t="s">
        <v>39</v>
      </c>
      <c r="AO52" s="113" t="s">
        <v>398</v>
      </c>
      <c r="AP52" s="113">
        <v>2.6093379910000003</v>
      </c>
      <c r="AQ52" s="113">
        <v>2.6093379910000003</v>
      </c>
      <c r="AR52" s="113">
        <v>2.6093379910000003</v>
      </c>
      <c r="AS52" s="52">
        <v>2.6093379910000003</v>
      </c>
      <c r="AT52" s="113">
        <v>2.6093379910000003</v>
      </c>
      <c r="AU52" s="113"/>
      <c r="AV52" s="113" t="s">
        <v>39</v>
      </c>
      <c r="AW52" s="113" t="s">
        <v>399</v>
      </c>
      <c r="AX52" s="113">
        <v>2.7661055860000001</v>
      </c>
      <c r="AY52" s="113">
        <v>2.7661055860000001</v>
      </c>
      <c r="AZ52" s="113">
        <v>2.7661055860000001</v>
      </c>
      <c r="BA52" s="113">
        <v>2.7661055860000001</v>
      </c>
      <c r="BB52" s="52">
        <v>2.7661055860000001</v>
      </c>
      <c r="BC52" s="113"/>
      <c r="BD52" s="113" t="s">
        <v>39</v>
      </c>
      <c r="BE52" s="113" t="s">
        <v>397</v>
      </c>
      <c r="BF52" s="113">
        <v>2.6749999999999998</v>
      </c>
      <c r="BG52" s="113">
        <v>2.6749999999999998</v>
      </c>
      <c r="BH52" s="113">
        <v>2.6749999999999998</v>
      </c>
      <c r="BI52" s="113">
        <v>2.6749999999999998</v>
      </c>
      <c r="BJ52" s="113">
        <v>2.6749999999999998</v>
      </c>
      <c r="BK52" s="113"/>
      <c r="BL52" s="113" t="s">
        <v>18</v>
      </c>
      <c r="BM52" s="113" t="s">
        <v>18</v>
      </c>
      <c r="BN52" s="113" t="s">
        <v>384</v>
      </c>
      <c r="BO52" s="113">
        <v>1.9509999999999998</v>
      </c>
      <c r="BP52" s="113">
        <v>1.9509999999999998</v>
      </c>
      <c r="BQ52" s="113">
        <v>1.9509999999999998</v>
      </c>
      <c r="BR52" s="113">
        <v>1.9509999999999998</v>
      </c>
      <c r="BS52" s="52">
        <v>1.9509999999999998</v>
      </c>
      <c r="BT52" s="54"/>
      <c r="BU52" t="s">
        <v>35</v>
      </c>
      <c r="BV52" t="s">
        <v>35</v>
      </c>
      <c r="BW52" t="s">
        <v>139</v>
      </c>
      <c r="BX52">
        <v>2.3859469289999993</v>
      </c>
      <c r="BY52">
        <v>2.3859469289999993</v>
      </c>
      <c r="BZ52">
        <v>2.3859469289999993</v>
      </c>
      <c r="CA52">
        <v>2.3859469289999993</v>
      </c>
      <c r="CB52">
        <v>2.3859469289999993</v>
      </c>
      <c r="CC52">
        <v>-20.156312500000073</v>
      </c>
    </row>
    <row r="53" spans="1:81">
      <c r="A53" s="113"/>
      <c r="N53" s="113"/>
      <c r="P53" s="113"/>
      <c r="Q53" s="113" t="s">
        <v>35</v>
      </c>
      <c r="R53" s="113" t="s">
        <v>508</v>
      </c>
      <c r="S53" s="113"/>
      <c r="T53" s="113">
        <v>47802</v>
      </c>
      <c r="U53" s="113" t="b">
        <v>1</v>
      </c>
      <c r="V53" s="113" t="s">
        <v>40</v>
      </c>
      <c r="W53" s="113" t="s">
        <v>508</v>
      </c>
      <c r="X53" s="52" t="s">
        <v>596</v>
      </c>
      <c r="Y53" s="52">
        <v>4</v>
      </c>
      <c r="Z53" s="113" t="s">
        <v>40</v>
      </c>
      <c r="AA53" s="113">
        <v>49996</v>
      </c>
      <c r="AB53" s="113" t="s">
        <v>40</v>
      </c>
      <c r="AC53" s="113"/>
      <c r="AD53" s="113"/>
      <c r="AE53" s="113" t="s">
        <v>40</v>
      </c>
      <c r="AF53" s="113" t="s">
        <v>401</v>
      </c>
      <c r="AG53" s="113">
        <v>2.6850000000000001</v>
      </c>
      <c r="AH53" s="113">
        <v>2.6850000000000001</v>
      </c>
      <c r="AI53" s="113">
        <v>2.6850000000000001</v>
      </c>
      <c r="AJ53" s="52">
        <v>2.6850000000000001</v>
      </c>
      <c r="AK53" s="113">
        <v>2.6850000000000001</v>
      </c>
      <c r="AL53" s="113"/>
      <c r="AM53" s="113"/>
      <c r="AN53" s="113" t="s">
        <v>40</v>
      </c>
      <c r="AO53" s="113" t="s">
        <v>402</v>
      </c>
      <c r="AP53" s="113">
        <v>2.6203384929999998</v>
      </c>
      <c r="AQ53" s="113">
        <v>2.6203384929999998</v>
      </c>
      <c r="AR53" s="113">
        <v>2.6203384929999998</v>
      </c>
      <c r="AS53" s="52">
        <v>2.6203384929999998</v>
      </c>
      <c r="AT53" s="113">
        <v>2.6203384929999998</v>
      </c>
      <c r="AU53" s="113"/>
      <c r="AV53" s="113" t="s">
        <v>40</v>
      </c>
      <c r="AW53" s="113" t="s">
        <v>403</v>
      </c>
      <c r="AX53" s="113">
        <v>2.7739946460000007</v>
      </c>
      <c r="AY53" s="113">
        <v>2.7739946460000007</v>
      </c>
      <c r="AZ53" s="113">
        <v>2.7739946460000007</v>
      </c>
      <c r="BA53" s="113">
        <v>2.7739946460000007</v>
      </c>
      <c r="BB53" s="52">
        <v>2.7739946460000007</v>
      </c>
      <c r="BC53" s="113"/>
      <c r="BD53" s="113" t="s">
        <v>40</v>
      </c>
      <c r="BE53" s="113" t="s">
        <v>401</v>
      </c>
      <c r="BF53" s="113">
        <v>2.6850000000000001</v>
      </c>
      <c r="BG53" s="113">
        <v>2.6850000000000001</v>
      </c>
      <c r="BH53" s="113">
        <v>2.6850000000000001</v>
      </c>
      <c r="BI53" s="113">
        <v>2.6850000000000001</v>
      </c>
      <c r="BJ53" s="113">
        <v>2.6850000000000001</v>
      </c>
      <c r="BK53" s="113"/>
      <c r="BL53" s="113" t="s">
        <v>32</v>
      </c>
      <c r="BM53" s="113" t="s">
        <v>32</v>
      </c>
      <c r="BN53" s="113" t="s">
        <v>388</v>
      </c>
      <c r="BO53" s="113">
        <v>2.0519999999999996</v>
      </c>
      <c r="BP53" s="113">
        <v>2.0519999999999996</v>
      </c>
      <c r="BQ53" s="113">
        <v>2.0519999999999996</v>
      </c>
      <c r="BR53" s="113">
        <v>2.0519999999999996</v>
      </c>
      <c r="BS53" s="52">
        <v>2.0519999999999996</v>
      </c>
      <c r="BT53" s="54"/>
      <c r="BU53" t="s">
        <v>36</v>
      </c>
      <c r="BV53" t="s">
        <v>36</v>
      </c>
      <c r="BW53" t="s">
        <v>140</v>
      </c>
      <c r="BX53">
        <v>2.4220608029999995</v>
      </c>
      <c r="BY53">
        <v>2.4220608029999995</v>
      </c>
      <c r="BZ53">
        <v>2.4220608029999995</v>
      </c>
      <c r="CA53">
        <v>2.4220608029999995</v>
      </c>
      <c r="CB53">
        <v>2.4220608029999995</v>
      </c>
      <c r="CC53">
        <v>-18.923904800000059</v>
      </c>
    </row>
    <row r="54" spans="1:81">
      <c r="A54" s="113"/>
      <c r="N54" s="113"/>
      <c r="P54" s="113"/>
      <c r="Q54" s="113" t="s">
        <v>36</v>
      </c>
      <c r="R54" s="113" t="s">
        <v>508</v>
      </c>
      <c r="S54" s="113"/>
      <c r="T54" s="113">
        <v>48169</v>
      </c>
      <c r="U54" s="113" t="b">
        <v>1</v>
      </c>
      <c r="V54" s="113" t="s">
        <v>41</v>
      </c>
      <c r="W54" s="113" t="s">
        <v>508</v>
      </c>
      <c r="X54" s="52" t="s">
        <v>597</v>
      </c>
      <c r="Y54" s="52">
        <v>4</v>
      </c>
      <c r="Z54" s="52" t="s">
        <v>41</v>
      </c>
      <c r="AA54" s="113">
        <v>50360</v>
      </c>
      <c r="AB54" s="113" t="s">
        <v>41</v>
      </c>
      <c r="AC54" s="113"/>
      <c r="AD54" s="113"/>
      <c r="AE54" s="113" t="s">
        <v>41</v>
      </c>
      <c r="AF54" s="113" t="s">
        <v>405</v>
      </c>
      <c r="AG54" s="113">
        <v>2.6919999999999997</v>
      </c>
      <c r="AH54" s="113">
        <v>2.6919999999999997</v>
      </c>
      <c r="AI54" s="113">
        <v>2.6919999999999997</v>
      </c>
      <c r="AJ54" s="52">
        <v>2.6919999999999997</v>
      </c>
      <c r="AK54" s="113">
        <v>2.6919999999999997</v>
      </c>
      <c r="AL54" s="113"/>
      <c r="AM54" s="113"/>
      <c r="AN54" s="113" t="s">
        <v>41</v>
      </c>
      <c r="AO54" s="113" t="s">
        <v>406</v>
      </c>
      <c r="AP54" s="113">
        <v>2.6286492400000001</v>
      </c>
      <c r="AQ54" s="113">
        <v>2.6286492400000001</v>
      </c>
      <c r="AR54" s="113">
        <v>2.6286492400000001</v>
      </c>
      <c r="AS54" s="52">
        <v>2.6286492400000001</v>
      </c>
      <c r="AT54" s="113">
        <v>2.6286492400000001</v>
      </c>
      <c r="AU54" s="113"/>
      <c r="AV54" s="113" t="s">
        <v>41</v>
      </c>
      <c r="AW54" s="113" t="s">
        <v>407</v>
      </c>
      <c r="AX54" s="113">
        <v>2.7794170239999998</v>
      </c>
      <c r="AY54" s="113">
        <v>2.7794170239999998</v>
      </c>
      <c r="AZ54" s="113">
        <v>2.7794170239999998</v>
      </c>
      <c r="BA54" s="113">
        <v>2.7794170239999998</v>
      </c>
      <c r="BB54" s="52">
        <v>2.7794170239999998</v>
      </c>
      <c r="BC54" s="113"/>
      <c r="BD54" s="113" t="s">
        <v>41</v>
      </c>
      <c r="BE54" s="113" t="s">
        <v>405</v>
      </c>
      <c r="BF54" s="113">
        <v>2.6919999999999997</v>
      </c>
      <c r="BG54" s="113">
        <v>2.6919999999999997</v>
      </c>
      <c r="BH54" s="113">
        <v>2.6919999999999997</v>
      </c>
      <c r="BI54" s="113">
        <v>2.6919999999999997</v>
      </c>
      <c r="BJ54" s="113">
        <v>2.6919999999999997</v>
      </c>
      <c r="BK54" s="113"/>
      <c r="BL54" s="113" t="s">
        <v>33</v>
      </c>
      <c r="BM54" s="113" t="s">
        <v>33</v>
      </c>
      <c r="BN54" s="113" t="s">
        <v>392</v>
      </c>
      <c r="BO54" s="113">
        <v>2.137</v>
      </c>
      <c r="BP54" s="113">
        <v>2.137</v>
      </c>
      <c r="BQ54" s="113">
        <v>2.137</v>
      </c>
      <c r="BR54" s="113">
        <v>2.137</v>
      </c>
      <c r="BS54" s="52">
        <v>2.137</v>
      </c>
      <c r="BT54" s="54"/>
      <c r="BU54" t="s">
        <v>37</v>
      </c>
      <c r="BV54" t="s">
        <v>37</v>
      </c>
      <c r="BW54" t="s">
        <v>141</v>
      </c>
      <c r="BX54">
        <v>2.4512861139999993</v>
      </c>
      <c r="BY54">
        <v>2.4512861139999993</v>
      </c>
      <c r="BZ54">
        <v>2.4512861139999993</v>
      </c>
      <c r="CA54">
        <v>2.4512861139999993</v>
      </c>
      <c r="CB54">
        <v>2.4512861139999993</v>
      </c>
      <c r="CC54">
        <v>-17.788645100000089</v>
      </c>
    </row>
    <row r="55" spans="1:81">
      <c r="A55" s="113"/>
      <c r="N55" s="113"/>
      <c r="P55" s="113"/>
      <c r="Q55" s="113" t="s">
        <v>37</v>
      </c>
      <c r="R55" s="113" t="s">
        <v>508</v>
      </c>
      <c r="S55" s="113"/>
      <c r="T55" s="113">
        <v>48533</v>
      </c>
      <c r="U55" s="113" t="b">
        <v>1</v>
      </c>
      <c r="V55" s="113" t="s">
        <v>21</v>
      </c>
      <c r="W55" s="113" t="s">
        <v>508</v>
      </c>
      <c r="X55" s="52" t="s">
        <v>598</v>
      </c>
      <c r="Y55" s="52">
        <v>4</v>
      </c>
      <c r="Z55" s="52" t="s">
        <v>21</v>
      </c>
      <c r="AA55" s="113">
        <v>50724</v>
      </c>
      <c r="AB55" s="113" t="s">
        <v>21</v>
      </c>
      <c r="AC55" s="113"/>
      <c r="AD55" s="113"/>
      <c r="AE55" s="113" t="s">
        <v>21</v>
      </c>
      <c r="AF55" s="113" t="s">
        <v>409</v>
      </c>
      <c r="AG55" s="113">
        <v>2.6970000000000001</v>
      </c>
      <c r="AH55" s="113">
        <v>2.6970000000000001</v>
      </c>
      <c r="AI55" s="113">
        <v>2.6970000000000001</v>
      </c>
      <c r="AJ55" s="52">
        <v>2.6970000000000001</v>
      </c>
      <c r="AK55" s="113">
        <v>2.6970000000000001</v>
      </c>
      <c r="AL55" s="113"/>
      <c r="AM55" s="113"/>
      <c r="AN55" s="113" t="s">
        <v>21</v>
      </c>
      <c r="AO55" s="113" t="s">
        <v>410</v>
      </c>
      <c r="AP55" s="113">
        <v>2.6349999999999998</v>
      </c>
      <c r="AQ55" s="113">
        <v>2.6349999999999998</v>
      </c>
      <c r="AR55" s="113">
        <v>2.6349999999999998</v>
      </c>
      <c r="AS55" s="52">
        <v>2.6349999999999998</v>
      </c>
      <c r="AT55" s="113">
        <v>2.6349999999999998</v>
      </c>
      <c r="AU55" s="113"/>
      <c r="AV55" s="113" t="s">
        <v>21</v>
      </c>
      <c r="AW55" s="113" t="s">
        <v>411</v>
      </c>
      <c r="AX55" s="113">
        <v>2.7830000000000004</v>
      </c>
      <c r="AY55" s="113">
        <v>2.7830000000000004</v>
      </c>
      <c r="AZ55" s="113">
        <v>2.7830000000000004</v>
      </c>
      <c r="BA55" s="113">
        <v>2.7830000000000004</v>
      </c>
      <c r="BB55" s="52">
        <v>2.7830000000000004</v>
      </c>
      <c r="BC55" s="113"/>
      <c r="BD55" s="113" t="s">
        <v>21</v>
      </c>
      <c r="BE55" s="113" t="s">
        <v>409</v>
      </c>
      <c r="BF55" s="113">
        <v>2.6970000000000001</v>
      </c>
      <c r="BG55" s="113">
        <v>2.6970000000000001</v>
      </c>
      <c r="BH55" s="113">
        <v>2.6970000000000001</v>
      </c>
      <c r="BI55" s="113">
        <v>2.6970000000000001</v>
      </c>
      <c r="BJ55" s="113">
        <v>2.6970000000000001</v>
      </c>
      <c r="BK55" s="113"/>
      <c r="BL55" s="113" t="s">
        <v>19</v>
      </c>
      <c r="BM55" s="113" t="s">
        <v>19</v>
      </c>
      <c r="BN55" s="113" t="s">
        <v>396</v>
      </c>
      <c r="BO55" s="113">
        <v>2.2080000000000002</v>
      </c>
      <c r="BP55" s="113">
        <v>2.2080000000000002</v>
      </c>
      <c r="BQ55" s="113">
        <v>2.2080000000000002</v>
      </c>
      <c r="BR55" s="113">
        <v>2.2080000000000002</v>
      </c>
      <c r="BS55" s="52">
        <v>2.2080000000000002</v>
      </c>
      <c r="BT55" s="54"/>
      <c r="BU55" t="s">
        <v>20</v>
      </c>
      <c r="BV55" t="s">
        <v>20</v>
      </c>
      <c r="BW55" t="s">
        <v>142</v>
      </c>
      <c r="BX55">
        <v>2.4750000000000001</v>
      </c>
      <c r="BY55">
        <v>2.4750000000000001</v>
      </c>
      <c r="BZ55">
        <v>2.4750000000000001</v>
      </c>
      <c r="CA55">
        <v>2.4750000000000001</v>
      </c>
      <c r="CB55">
        <v>2.4750000000000001</v>
      </c>
      <c r="CC55">
        <v>-16.7</v>
      </c>
    </row>
    <row r="56" spans="1:81">
      <c r="A56" s="113"/>
      <c r="N56" s="113"/>
      <c r="P56" s="113"/>
      <c r="Q56" s="113" t="s">
        <v>20</v>
      </c>
      <c r="R56" s="113" t="s">
        <v>508</v>
      </c>
      <c r="S56" s="113"/>
      <c r="T56" s="113">
        <v>48898</v>
      </c>
      <c r="U56" s="113" t="b">
        <v>1</v>
      </c>
      <c r="V56" s="113" t="s">
        <v>42</v>
      </c>
      <c r="W56" s="113" t="s">
        <v>508</v>
      </c>
      <c r="X56" s="52" t="s">
        <v>599</v>
      </c>
      <c r="Y56" s="52">
        <v>4</v>
      </c>
      <c r="Z56" s="113" t="s">
        <v>42</v>
      </c>
      <c r="AA56" s="113">
        <v>51089</v>
      </c>
      <c r="AB56" s="113" t="s">
        <v>42</v>
      </c>
      <c r="AC56" s="113"/>
      <c r="AD56" s="113"/>
      <c r="AE56" s="113" t="s">
        <v>42</v>
      </c>
      <c r="AF56" s="113" t="s">
        <v>413</v>
      </c>
      <c r="AG56" s="113">
        <v>2.7010000000000001</v>
      </c>
      <c r="AH56" s="113">
        <v>2.7010000000000001</v>
      </c>
      <c r="AI56" s="113">
        <v>2.7010000000000001</v>
      </c>
      <c r="AJ56" s="52">
        <v>2.7010000000000001</v>
      </c>
      <c r="AK56" s="113">
        <v>2.7010000000000001</v>
      </c>
      <c r="AL56" s="113"/>
      <c r="AM56" s="113"/>
      <c r="AN56" s="113" t="s">
        <v>42</v>
      </c>
      <c r="AO56" s="113" t="s">
        <v>414</v>
      </c>
      <c r="AP56" s="113">
        <v>2.6397514179999999</v>
      </c>
      <c r="AQ56" s="113">
        <v>2.6397514179999999</v>
      </c>
      <c r="AR56" s="113">
        <v>2.6397514179999999</v>
      </c>
      <c r="AS56" s="52">
        <v>2.6397514179999999</v>
      </c>
      <c r="AT56" s="113">
        <v>2.6397514179999999</v>
      </c>
      <c r="AU56" s="113"/>
      <c r="AV56" s="113" t="s">
        <v>42</v>
      </c>
      <c r="AW56" s="113" t="s">
        <v>415</v>
      </c>
      <c r="AX56" s="113">
        <v>2.785058738</v>
      </c>
      <c r="AY56" s="113">
        <v>2.785058738</v>
      </c>
      <c r="AZ56" s="113">
        <v>2.785058738</v>
      </c>
      <c r="BA56" s="113">
        <v>2.785058738</v>
      </c>
      <c r="BB56" s="52">
        <v>2.785058738</v>
      </c>
      <c r="BC56" s="113"/>
      <c r="BD56" s="113" t="s">
        <v>42</v>
      </c>
      <c r="BE56" s="113" t="s">
        <v>413</v>
      </c>
      <c r="BF56" s="113">
        <v>2.7010000000000001</v>
      </c>
      <c r="BG56" s="113">
        <v>2.7010000000000001</v>
      </c>
      <c r="BH56" s="113">
        <v>2.7010000000000001</v>
      </c>
      <c r="BI56" s="113">
        <v>2.7010000000000001</v>
      </c>
      <c r="BJ56" s="113">
        <v>2.7010000000000001</v>
      </c>
      <c r="BK56" s="113"/>
      <c r="BL56" s="113" t="s">
        <v>34</v>
      </c>
      <c r="BM56" s="113" t="s">
        <v>34</v>
      </c>
      <c r="BN56" s="113" t="s">
        <v>400</v>
      </c>
      <c r="BO56" s="113">
        <v>2.266</v>
      </c>
      <c r="BP56" s="113">
        <v>2.266</v>
      </c>
      <c r="BQ56" s="113">
        <v>2.266</v>
      </c>
      <c r="BR56" s="113">
        <v>2.266</v>
      </c>
      <c r="BS56" s="52">
        <v>2.266</v>
      </c>
      <c r="BT56" s="54"/>
      <c r="BU56" t="s">
        <v>38</v>
      </c>
      <c r="BV56" t="s">
        <v>38</v>
      </c>
      <c r="BW56" t="s">
        <v>143</v>
      </c>
      <c r="BX56">
        <v>2.4945505880000001</v>
      </c>
      <c r="BY56">
        <v>2.4945505880000001</v>
      </c>
      <c r="BZ56">
        <v>2.4945505880000001</v>
      </c>
      <c r="CA56">
        <v>2.4945505880000001</v>
      </c>
      <c r="CB56">
        <v>2.4945505880000001</v>
      </c>
      <c r="CC56">
        <v>-15.677775900000013</v>
      </c>
    </row>
    <row r="57" spans="1:81">
      <c r="A57" s="113"/>
      <c r="N57" s="113"/>
      <c r="P57" s="113"/>
      <c r="Q57" s="113" t="s">
        <v>38</v>
      </c>
      <c r="R57" s="113" t="s">
        <v>508</v>
      </c>
      <c r="S57" s="113"/>
      <c r="T57" s="113">
        <v>49263</v>
      </c>
      <c r="U57" s="113" t="b">
        <v>1</v>
      </c>
      <c r="V57" s="113" t="s">
        <v>43</v>
      </c>
      <c r="W57" s="113" t="s">
        <v>508</v>
      </c>
      <c r="X57" s="52" t="s">
        <v>600</v>
      </c>
      <c r="Y57" s="52">
        <v>4</v>
      </c>
      <c r="Z57" s="113" t="s">
        <v>43</v>
      </c>
      <c r="AA57" s="113">
        <v>51455</v>
      </c>
      <c r="AB57" s="113" t="s">
        <v>43</v>
      </c>
      <c r="AC57" s="113"/>
      <c r="AD57" s="113"/>
      <c r="AE57" s="113" t="s">
        <v>43</v>
      </c>
      <c r="AF57" s="113" t="s">
        <v>417</v>
      </c>
      <c r="AG57" s="113">
        <v>2.7030000000000003</v>
      </c>
      <c r="AH57" s="113">
        <v>2.7030000000000003</v>
      </c>
      <c r="AI57" s="113">
        <v>2.7030000000000003</v>
      </c>
      <c r="AJ57" s="52">
        <v>2.7030000000000003</v>
      </c>
      <c r="AK57" s="113">
        <v>2.7030000000000003</v>
      </c>
      <c r="AL57" s="113"/>
      <c r="AM57" s="113"/>
      <c r="AN57" s="113" t="s">
        <v>43</v>
      </c>
      <c r="AO57" s="113" t="s">
        <v>418</v>
      </c>
      <c r="AP57" s="113">
        <v>2.6435182430000004</v>
      </c>
      <c r="AQ57" s="113">
        <v>2.6435182430000004</v>
      </c>
      <c r="AR57" s="113">
        <v>2.6435182430000004</v>
      </c>
      <c r="AS57" s="52">
        <v>2.6435182430000004</v>
      </c>
      <c r="AT57" s="113">
        <v>2.6435182430000004</v>
      </c>
      <c r="AU57" s="113"/>
      <c r="AV57" s="113" t="s">
        <v>43</v>
      </c>
      <c r="AW57" s="113" t="s">
        <v>419</v>
      </c>
      <c r="AX57" s="113">
        <v>2.7862975910000003</v>
      </c>
      <c r="AY57" s="113">
        <v>2.7862975910000003</v>
      </c>
      <c r="AZ57" s="113">
        <v>2.7862975910000003</v>
      </c>
      <c r="BA57" s="113">
        <v>2.7862975910000003</v>
      </c>
      <c r="BB57" s="52">
        <v>2.7862975910000003</v>
      </c>
      <c r="BC57" s="113"/>
      <c r="BD57" s="113" t="s">
        <v>43</v>
      </c>
      <c r="BE57" s="113" t="s">
        <v>417</v>
      </c>
      <c r="BF57" s="113">
        <v>2.7030000000000003</v>
      </c>
      <c r="BG57" s="113">
        <v>2.7030000000000003</v>
      </c>
      <c r="BH57" s="113">
        <v>2.7030000000000003</v>
      </c>
      <c r="BI57" s="113">
        <v>2.7030000000000003</v>
      </c>
      <c r="BJ57" s="113">
        <v>2.7030000000000003</v>
      </c>
      <c r="BK57" s="113"/>
      <c r="BL57" s="113" t="s">
        <v>35</v>
      </c>
      <c r="BM57" s="113" t="s">
        <v>35</v>
      </c>
      <c r="BN57" s="113" t="s">
        <v>404</v>
      </c>
      <c r="BO57" s="113">
        <v>2.3119999999999994</v>
      </c>
      <c r="BP57" s="113">
        <v>2.3119999999999994</v>
      </c>
      <c r="BQ57" s="113">
        <v>2.3119999999999994</v>
      </c>
      <c r="BR57" s="113">
        <v>2.3119999999999994</v>
      </c>
      <c r="BS57" s="52">
        <v>2.3119999999999994</v>
      </c>
      <c r="BT57" s="54"/>
      <c r="BU57" t="s">
        <v>39</v>
      </c>
      <c r="BV57" t="s">
        <v>39</v>
      </c>
      <c r="BW57" t="s">
        <v>144</v>
      </c>
      <c r="BX57">
        <v>2.5106334109999997</v>
      </c>
      <c r="BY57">
        <v>2.5106334109999997</v>
      </c>
      <c r="BZ57">
        <v>2.5106334109999997</v>
      </c>
      <c r="CA57">
        <v>2.5106334109999997</v>
      </c>
      <c r="CB57">
        <v>2.5106334109999997</v>
      </c>
      <c r="CC57">
        <v>-14.706102600000026</v>
      </c>
    </row>
    <row r="58" spans="1:81">
      <c r="A58" s="113"/>
      <c r="N58" s="113"/>
      <c r="P58" s="113"/>
      <c r="Q58" s="113" t="s">
        <v>39</v>
      </c>
      <c r="R58" s="113" t="s">
        <v>508</v>
      </c>
      <c r="S58" s="113"/>
      <c r="T58" s="113">
        <v>49628</v>
      </c>
      <c r="U58" s="113" t="b">
        <v>1</v>
      </c>
      <c r="V58" s="113" t="s">
        <v>44</v>
      </c>
      <c r="W58" s="113" t="s">
        <v>508</v>
      </c>
      <c r="X58" s="52" t="s">
        <v>601</v>
      </c>
      <c r="Y58" s="52">
        <v>4</v>
      </c>
      <c r="Z58" s="113" t="s">
        <v>44</v>
      </c>
      <c r="AA58" s="113">
        <v>51820</v>
      </c>
      <c r="AB58" s="113" t="s">
        <v>44</v>
      </c>
      <c r="AC58" s="113"/>
      <c r="AD58" s="113"/>
      <c r="AE58" s="113" t="s">
        <v>44</v>
      </c>
      <c r="AF58" s="113" t="s">
        <v>421</v>
      </c>
      <c r="AG58" s="113">
        <v>2.7050000000000001</v>
      </c>
      <c r="AH58" s="113">
        <v>2.7050000000000001</v>
      </c>
      <c r="AI58" s="113">
        <v>2.7050000000000001</v>
      </c>
      <c r="AJ58" s="52">
        <v>2.7050000000000001</v>
      </c>
      <c r="AK58" s="113">
        <v>2.7050000000000001</v>
      </c>
      <c r="AL58" s="113"/>
      <c r="AM58" s="113"/>
      <c r="AN58" s="113" t="s">
        <v>44</v>
      </c>
      <c r="AO58" s="113" t="s">
        <v>422</v>
      </c>
      <c r="AP58" s="113">
        <v>2.6463289080000001</v>
      </c>
      <c r="AQ58" s="113">
        <v>2.6463289080000001</v>
      </c>
      <c r="AR58" s="113">
        <v>2.6463289080000001</v>
      </c>
      <c r="AS58" s="52">
        <v>2.6463289080000001</v>
      </c>
      <c r="AT58" s="113">
        <v>2.6463289080000001</v>
      </c>
      <c r="AU58" s="113"/>
      <c r="AV58" s="113" t="s">
        <v>44</v>
      </c>
      <c r="AW58" s="113" t="s">
        <v>423</v>
      </c>
      <c r="AX58" s="113">
        <v>2.7868312360000003</v>
      </c>
      <c r="AY58" s="113">
        <v>2.7868312360000003</v>
      </c>
      <c r="AZ58" s="113">
        <v>2.7868312360000003</v>
      </c>
      <c r="BA58" s="113">
        <v>2.7868312360000003</v>
      </c>
      <c r="BB58" s="52">
        <v>2.7868312360000003</v>
      </c>
      <c r="BC58" s="113"/>
      <c r="BD58" s="113" t="s">
        <v>44</v>
      </c>
      <c r="BE58" s="113" t="s">
        <v>421</v>
      </c>
      <c r="BF58" s="113">
        <v>2.7050000000000001</v>
      </c>
      <c r="BG58" s="113">
        <v>2.7050000000000001</v>
      </c>
      <c r="BH58" s="113">
        <v>2.7050000000000001</v>
      </c>
      <c r="BI58" s="113">
        <v>2.7050000000000001</v>
      </c>
      <c r="BJ58" s="113">
        <v>2.7050000000000001</v>
      </c>
      <c r="BK58" s="113"/>
      <c r="BL58" s="113" t="s">
        <v>36</v>
      </c>
      <c r="BM58" s="113" t="s">
        <v>36</v>
      </c>
      <c r="BN58" s="113" t="s">
        <v>408</v>
      </c>
      <c r="BO58" s="113">
        <v>2.3489999999999998</v>
      </c>
      <c r="BP58" s="113">
        <v>2.3489999999999998</v>
      </c>
      <c r="BQ58" s="113">
        <v>2.3489999999999998</v>
      </c>
      <c r="BR58" s="113">
        <v>2.3489999999999998</v>
      </c>
      <c r="BS58" s="52">
        <v>2.3489999999999998</v>
      </c>
      <c r="BT58" s="54"/>
      <c r="BU58" t="s">
        <v>40</v>
      </c>
      <c r="BV58" t="s">
        <v>40</v>
      </c>
      <c r="BW58" t="s">
        <v>145</v>
      </c>
      <c r="BX58">
        <v>2.5240716820000002</v>
      </c>
      <c r="BY58">
        <v>2.5240716820000002</v>
      </c>
      <c r="BZ58">
        <v>2.5240716820000002</v>
      </c>
      <c r="CA58">
        <v>2.5240716820000002</v>
      </c>
      <c r="CB58">
        <v>2.5240716820000002</v>
      </c>
      <c r="CC58">
        <v>-13.781143999999967</v>
      </c>
    </row>
    <row r="59" spans="1:81">
      <c r="A59" s="113"/>
      <c r="N59" s="113"/>
      <c r="P59" s="113"/>
      <c r="Q59" s="113" t="s">
        <v>40</v>
      </c>
      <c r="R59" s="113" t="s">
        <v>508</v>
      </c>
      <c r="S59" s="113"/>
      <c r="T59" s="113">
        <v>49996</v>
      </c>
      <c r="U59" s="113" t="b">
        <v>1</v>
      </c>
      <c r="V59" s="113" t="s">
        <v>45</v>
      </c>
      <c r="W59" s="113" t="s">
        <v>508</v>
      </c>
      <c r="X59" s="52" t="s">
        <v>602</v>
      </c>
      <c r="Y59" s="52">
        <v>4</v>
      </c>
      <c r="Z59" s="113" t="s">
        <v>45</v>
      </c>
      <c r="AA59" s="113">
        <v>52187</v>
      </c>
      <c r="AB59" s="113" t="s">
        <v>45</v>
      </c>
      <c r="AC59" s="113"/>
      <c r="AD59" s="113"/>
      <c r="AE59" s="113" t="s">
        <v>45</v>
      </c>
      <c r="AF59" s="113" t="s">
        <v>425</v>
      </c>
      <c r="AG59" s="113">
        <v>2.706</v>
      </c>
      <c r="AH59" s="113">
        <v>2.706</v>
      </c>
      <c r="AI59" s="113">
        <v>2.706</v>
      </c>
      <c r="AJ59" s="52">
        <v>2.706</v>
      </c>
      <c r="AK59" s="113">
        <v>2.706</v>
      </c>
      <c r="AL59" s="113"/>
      <c r="AM59" s="113"/>
      <c r="AN59" s="113" t="s">
        <v>45</v>
      </c>
      <c r="AO59" s="113" t="s">
        <v>426</v>
      </c>
      <c r="AP59" s="113">
        <v>2.6487360550000005</v>
      </c>
      <c r="AQ59" s="113">
        <v>2.6487360550000005</v>
      </c>
      <c r="AR59" s="113">
        <v>2.6487360550000005</v>
      </c>
      <c r="AS59" s="52">
        <v>2.6487360550000005</v>
      </c>
      <c r="AT59" s="113">
        <v>2.6487360550000005</v>
      </c>
      <c r="AU59" s="113"/>
      <c r="AV59" s="113" t="s">
        <v>45</v>
      </c>
      <c r="AW59" s="113" t="s">
        <v>427</v>
      </c>
      <c r="AX59" s="113">
        <v>2.7872824080000003</v>
      </c>
      <c r="AY59" s="113">
        <v>2.7872824080000003</v>
      </c>
      <c r="AZ59" s="113">
        <v>2.7872824080000003</v>
      </c>
      <c r="BA59" s="113">
        <v>2.7872824080000003</v>
      </c>
      <c r="BB59" s="52">
        <v>2.7872824080000003</v>
      </c>
      <c r="BC59" s="113"/>
      <c r="BD59" s="113" t="s">
        <v>45</v>
      </c>
      <c r="BE59" s="113" t="s">
        <v>425</v>
      </c>
      <c r="BF59" s="113">
        <v>2.706</v>
      </c>
      <c r="BG59" s="113">
        <v>2.706</v>
      </c>
      <c r="BH59" s="113">
        <v>2.706</v>
      </c>
      <c r="BI59" s="113">
        <v>2.706</v>
      </c>
      <c r="BJ59" s="113">
        <v>2.706</v>
      </c>
      <c r="BK59" s="113"/>
      <c r="BL59" s="113" t="s">
        <v>37</v>
      </c>
      <c r="BM59" s="113" t="s">
        <v>37</v>
      </c>
      <c r="BN59" s="113" t="s">
        <v>412</v>
      </c>
      <c r="BO59" s="113">
        <v>2.3789999999999996</v>
      </c>
      <c r="BP59" s="113">
        <v>2.3789999999999996</v>
      </c>
      <c r="BQ59" s="113">
        <v>2.3789999999999996</v>
      </c>
      <c r="BR59" s="113">
        <v>2.3789999999999996</v>
      </c>
      <c r="BS59" s="52">
        <v>2.3789999999999996</v>
      </c>
      <c r="BT59" s="54"/>
      <c r="BU59" t="s">
        <v>41</v>
      </c>
      <c r="BV59" t="s">
        <v>41</v>
      </c>
      <c r="BW59" t="s">
        <v>146</v>
      </c>
      <c r="BX59">
        <v>2.5346177560000003</v>
      </c>
      <c r="BY59">
        <v>2.5346177560000003</v>
      </c>
      <c r="BZ59">
        <v>2.5346177560000003</v>
      </c>
      <c r="CA59">
        <v>2.5346177560000003</v>
      </c>
      <c r="CB59">
        <v>2.5346177560000003</v>
      </c>
      <c r="CC59">
        <v>-12.918331799999994</v>
      </c>
    </row>
    <row r="60" spans="1:81">
      <c r="A60" s="113"/>
      <c r="N60" s="113"/>
      <c r="P60" s="113"/>
      <c r="Q60" s="113" t="s">
        <v>41</v>
      </c>
      <c r="R60" s="113" t="s">
        <v>508</v>
      </c>
      <c r="S60" s="113"/>
      <c r="T60" s="113">
        <v>50360</v>
      </c>
      <c r="U60" s="113" t="b">
        <v>1</v>
      </c>
      <c r="V60" s="113" t="s">
        <v>22</v>
      </c>
      <c r="W60" s="113" t="s">
        <v>508</v>
      </c>
      <c r="X60" s="52" t="s">
        <v>603</v>
      </c>
      <c r="Y60" s="52">
        <v>4</v>
      </c>
      <c r="Z60" s="113" t="s">
        <v>22</v>
      </c>
      <c r="AA60" s="113">
        <v>52551</v>
      </c>
      <c r="AB60" s="113" t="s">
        <v>22</v>
      </c>
      <c r="AC60" s="113"/>
      <c r="AD60" s="113"/>
      <c r="AE60" s="113" t="s">
        <v>22</v>
      </c>
      <c r="AF60" s="113" t="s">
        <v>429</v>
      </c>
      <c r="AG60" s="113">
        <v>2.7070000000000003</v>
      </c>
      <c r="AH60" s="113">
        <v>2.7070000000000003</v>
      </c>
      <c r="AI60" s="113">
        <v>2.7070000000000003</v>
      </c>
      <c r="AJ60" s="52">
        <v>2.7070000000000003</v>
      </c>
      <c r="AK60" s="113">
        <v>2.7070000000000003</v>
      </c>
      <c r="AL60" s="113"/>
      <c r="AM60" s="113"/>
      <c r="AN60" s="113" t="s">
        <v>22</v>
      </c>
      <c r="AO60" s="113" t="s">
        <v>430</v>
      </c>
      <c r="AP60" s="113">
        <v>2.6509999999999998</v>
      </c>
      <c r="AQ60" s="113">
        <v>2.6509999999999998</v>
      </c>
      <c r="AR60" s="113">
        <v>2.6509999999999998</v>
      </c>
      <c r="AS60" s="52">
        <v>2.6509999999999998</v>
      </c>
      <c r="AT60" s="113">
        <v>2.6509999999999998</v>
      </c>
      <c r="AU60" s="113"/>
      <c r="AV60" s="113" t="s">
        <v>22</v>
      </c>
      <c r="AW60" s="113" t="s">
        <v>431</v>
      </c>
      <c r="AX60" s="113">
        <v>2.7880000000000003</v>
      </c>
      <c r="AY60" s="113">
        <v>2.7880000000000003</v>
      </c>
      <c r="AZ60" s="113">
        <v>2.7880000000000003</v>
      </c>
      <c r="BA60" s="113">
        <v>2.7880000000000003</v>
      </c>
      <c r="BB60" s="52">
        <v>2.7880000000000003</v>
      </c>
      <c r="BC60" s="113"/>
      <c r="BD60" s="113" t="s">
        <v>22</v>
      </c>
      <c r="BE60" s="113" t="s">
        <v>429</v>
      </c>
      <c r="BF60" s="113">
        <v>2.7070000000000003</v>
      </c>
      <c r="BG60" s="113">
        <v>2.7070000000000003</v>
      </c>
      <c r="BH60" s="113">
        <v>2.7070000000000003</v>
      </c>
      <c r="BI60" s="113">
        <v>2.7070000000000003</v>
      </c>
      <c r="BJ60" s="113">
        <v>2.7070000000000003</v>
      </c>
      <c r="BK60" s="113"/>
      <c r="BL60" s="113" t="s">
        <v>20</v>
      </c>
      <c r="BM60" s="113" t="s">
        <v>20</v>
      </c>
      <c r="BN60" s="113" t="s">
        <v>416</v>
      </c>
      <c r="BO60" s="113">
        <v>2.403</v>
      </c>
      <c r="BP60" s="113">
        <v>2.403</v>
      </c>
      <c r="BQ60" s="113">
        <v>2.403</v>
      </c>
      <c r="BR60" s="113">
        <v>2.403</v>
      </c>
      <c r="BS60" s="52">
        <v>2.403</v>
      </c>
      <c r="BT60" s="54"/>
      <c r="BU60" t="s">
        <v>21</v>
      </c>
      <c r="BV60" t="s">
        <v>21</v>
      </c>
      <c r="BW60" t="s">
        <v>147</v>
      </c>
      <c r="BX60">
        <v>2.5430000000000001</v>
      </c>
      <c r="BY60">
        <v>2.5430000000000001</v>
      </c>
      <c r="BZ60">
        <v>2.5430000000000001</v>
      </c>
      <c r="CA60">
        <v>2.5430000000000001</v>
      </c>
      <c r="CB60">
        <v>2.5430000000000001</v>
      </c>
      <c r="CC60">
        <v>-12.1</v>
      </c>
    </row>
    <row r="61" spans="1:81">
      <c r="A61" s="113"/>
      <c r="N61" s="113"/>
      <c r="P61" s="113"/>
      <c r="Q61" s="113" t="s">
        <v>21</v>
      </c>
      <c r="R61" s="113" t="s">
        <v>508</v>
      </c>
      <c r="S61" s="113"/>
      <c r="T61" s="113">
        <v>50724</v>
      </c>
      <c r="U61" s="113" t="b">
        <v>1</v>
      </c>
      <c r="V61" s="113" t="s">
        <v>163</v>
      </c>
      <c r="W61" s="113" t="s">
        <v>508</v>
      </c>
      <c r="X61" s="52" t="s">
        <v>604</v>
      </c>
      <c r="Y61" s="52">
        <v>4</v>
      </c>
      <c r="Z61" s="52" t="s">
        <v>163</v>
      </c>
      <c r="AA61" s="113">
        <v>52916</v>
      </c>
      <c r="AB61" s="113" t="s">
        <v>163</v>
      </c>
      <c r="AC61" s="113"/>
      <c r="AD61" s="113"/>
      <c r="AE61" s="113" t="s">
        <v>163</v>
      </c>
      <c r="AF61" s="113" t="s">
        <v>433</v>
      </c>
      <c r="AG61" s="113">
        <v>2.7085517360000004</v>
      </c>
      <c r="AH61" s="113">
        <v>2.7085517360000004</v>
      </c>
      <c r="AI61" s="113">
        <v>2.7085517360000004</v>
      </c>
      <c r="AJ61" s="52">
        <v>2.7085517360000004</v>
      </c>
      <c r="AK61" s="113">
        <v>2.7085517360000004</v>
      </c>
      <c r="AL61" s="113"/>
      <c r="AM61" s="113"/>
      <c r="AN61" s="113" t="s">
        <v>163</v>
      </c>
      <c r="AO61" s="113" t="s">
        <v>434</v>
      </c>
      <c r="AP61" s="113">
        <v>2.6535266000000002</v>
      </c>
      <c r="AQ61" s="113">
        <v>2.6535266000000002</v>
      </c>
      <c r="AR61" s="113">
        <v>2.6535266000000002</v>
      </c>
      <c r="AS61" s="52">
        <v>2.6535266000000002</v>
      </c>
      <c r="AT61" s="113">
        <v>2.6535266000000002</v>
      </c>
      <c r="AU61" s="113"/>
      <c r="AV61" s="113" t="s">
        <v>163</v>
      </c>
      <c r="AW61" s="113" t="s">
        <v>435</v>
      </c>
      <c r="AX61" s="113">
        <v>2.7893982770000005</v>
      </c>
      <c r="AY61" s="113">
        <v>2.7893982770000005</v>
      </c>
      <c r="AZ61" s="113">
        <v>2.7893982770000005</v>
      </c>
      <c r="BA61" s="113">
        <v>2.7893982770000005</v>
      </c>
      <c r="BB61" s="52">
        <v>2.7893982770000005</v>
      </c>
      <c r="BC61" s="113"/>
      <c r="BD61" s="113" t="s">
        <v>163</v>
      </c>
      <c r="BE61" s="113" t="s">
        <v>433</v>
      </c>
      <c r="BF61" s="113">
        <v>2.7085517360000004</v>
      </c>
      <c r="BG61" s="113">
        <v>2.7085517360000004</v>
      </c>
      <c r="BH61" s="113">
        <v>2.7085517360000004</v>
      </c>
      <c r="BI61" s="113">
        <v>2.7085517360000004</v>
      </c>
      <c r="BJ61" s="113">
        <v>2.7085517360000004</v>
      </c>
      <c r="BK61" s="113"/>
      <c r="BL61" s="113" t="s">
        <v>38</v>
      </c>
      <c r="BM61" s="113" t="s">
        <v>38</v>
      </c>
      <c r="BN61" s="113" t="s">
        <v>420</v>
      </c>
      <c r="BO61" s="113">
        <v>2.423</v>
      </c>
      <c r="BP61" s="113">
        <v>2.423</v>
      </c>
      <c r="BQ61" s="113">
        <v>2.423</v>
      </c>
      <c r="BR61" s="113">
        <v>2.423</v>
      </c>
      <c r="BS61" s="52">
        <v>2.423</v>
      </c>
      <c r="BT61" s="54"/>
      <c r="BU61" t="s">
        <v>42</v>
      </c>
      <c r="BV61" t="s">
        <v>42</v>
      </c>
      <c r="BW61" t="s">
        <v>148</v>
      </c>
      <c r="BX61">
        <v>2.5495805400000005</v>
      </c>
      <c r="BY61">
        <v>2.5495805400000005</v>
      </c>
      <c r="BZ61">
        <v>2.5495805400000005</v>
      </c>
      <c r="CA61">
        <v>2.5495805400000005</v>
      </c>
      <c r="CB61">
        <v>2.5495805400000005</v>
      </c>
      <c r="CC61">
        <v>-11.326767499999946</v>
      </c>
    </row>
    <row r="62" spans="1:81">
      <c r="A62" s="113"/>
      <c r="N62" s="113"/>
      <c r="P62" s="113"/>
      <c r="Q62" s="113" t="s">
        <v>42</v>
      </c>
      <c r="R62" s="113" t="s">
        <v>508</v>
      </c>
      <c r="S62" s="113"/>
      <c r="T62" s="113">
        <v>51089</v>
      </c>
      <c r="U62" s="113" t="b">
        <v>1</v>
      </c>
      <c r="V62" s="113" t="s">
        <v>164</v>
      </c>
      <c r="W62" s="113" t="s">
        <v>508</v>
      </c>
      <c r="X62" s="52" t="s">
        <v>605</v>
      </c>
      <c r="Y62" s="52">
        <v>4</v>
      </c>
      <c r="Z62" s="113" t="s">
        <v>164</v>
      </c>
      <c r="AA62" s="113">
        <v>53281</v>
      </c>
      <c r="AB62" s="113" t="s">
        <v>164</v>
      </c>
      <c r="AC62" s="113"/>
      <c r="AD62" s="113"/>
      <c r="AE62" s="113" t="s">
        <v>164</v>
      </c>
      <c r="AF62" s="113" t="s">
        <v>437</v>
      </c>
      <c r="AG62" s="113">
        <v>2.7103854460000001</v>
      </c>
      <c r="AH62" s="113">
        <v>2.7103854460000001</v>
      </c>
      <c r="AI62" s="113">
        <v>2.7103854460000001</v>
      </c>
      <c r="AJ62" s="52">
        <v>2.7103854460000001</v>
      </c>
      <c r="AK62" s="113">
        <v>2.7103854460000001</v>
      </c>
      <c r="AL62" s="113"/>
      <c r="AM62" s="113"/>
      <c r="AN62" s="113" t="s">
        <v>164</v>
      </c>
      <c r="AO62" s="113" t="s">
        <v>438</v>
      </c>
      <c r="AP62" s="113">
        <v>2.6561543639999998</v>
      </c>
      <c r="AQ62" s="113">
        <v>2.6561543639999998</v>
      </c>
      <c r="AR62" s="113">
        <v>2.6561543639999998</v>
      </c>
      <c r="AS62" s="52">
        <v>2.6561543639999998</v>
      </c>
      <c r="AT62" s="113">
        <v>2.6561543639999998</v>
      </c>
      <c r="AU62" s="113"/>
      <c r="AV62" s="113" t="s">
        <v>164</v>
      </c>
      <c r="AW62" s="113" t="s">
        <v>439</v>
      </c>
      <c r="AX62" s="113">
        <v>2.7911993170000002</v>
      </c>
      <c r="AY62" s="113">
        <v>2.7911993170000002</v>
      </c>
      <c r="AZ62" s="113">
        <v>2.7911993170000002</v>
      </c>
      <c r="BA62" s="113">
        <v>2.7911993170000002</v>
      </c>
      <c r="BB62" s="52">
        <v>2.7911993170000002</v>
      </c>
      <c r="BC62" s="113"/>
      <c r="BD62" s="113" t="s">
        <v>164</v>
      </c>
      <c r="BE62" s="113" t="s">
        <v>437</v>
      </c>
      <c r="BF62" s="113">
        <v>2.7103854460000001</v>
      </c>
      <c r="BG62" s="113">
        <v>2.7103854460000001</v>
      </c>
      <c r="BH62" s="113">
        <v>2.7103854460000001</v>
      </c>
      <c r="BI62" s="113">
        <v>2.7103854460000001</v>
      </c>
      <c r="BJ62" s="113">
        <v>2.7103854460000001</v>
      </c>
      <c r="BK62" s="113"/>
      <c r="BL62" s="113" t="s">
        <v>39</v>
      </c>
      <c r="BM62" s="113" t="s">
        <v>39</v>
      </c>
      <c r="BN62" s="113" t="s">
        <v>424</v>
      </c>
      <c r="BO62" s="113">
        <v>2.44</v>
      </c>
      <c r="BP62" s="113">
        <v>2.44</v>
      </c>
      <c r="BQ62" s="113">
        <v>2.44</v>
      </c>
      <c r="BR62" s="113">
        <v>2.44</v>
      </c>
      <c r="BS62" s="52">
        <v>2.44</v>
      </c>
      <c r="BT62" s="54"/>
      <c r="BU62" t="s">
        <v>43</v>
      </c>
      <c r="BV62" t="s">
        <v>43</v>
      </c>
      <c r="BW62" t="s">
        <v>149</v>
      </c>
      <c r="BX62">
        <v>2.5550132789999997</v>
      </c>
      <c r="BY62">
        <v>2.5550132789999997</v>
      </c>
      <c r="BZ62">
        <v>2.5550132789999997</v>
      </c>
      <c r="CA62">
        <v>2.5550132789999997</v>
      </c>
      <c r="CB62">
        <v>2.5550132789999997</v>
      </c>
      <c r="CC62">
        <v>-10.61945660000001</v>
      </c>
    </row>
    <row r="63" spans="1:81">
      <c r="A63" s="113"/>
      <c r="N63" s="113"/>
      <c r="P63" s="113"/>
      <c r="Q63" s="113" t="s">
        <v>43</v>
      </c>
      <c r="R63" s="113" t="s">
        <v>508</v>
      </c>
      <c r="S63" s="113"/>
      <c r="T63" s="113">
        <v>51455</v>
      </c>
      <c r="U63" s="113" t="b">
        <v>1</v>
      </c>
      <c r="V63" s="113" t="s">
        <v>165</v>
      </c>
      <c r="W63" s="113" t="s">
        <v>508</v>
      </c>
      <c r="X63" s="52" t="s">
        <v>606</v>
      </c>
      <c r="Y63" s="52">
        <v>4</v>
      </c>
      <c r="Z63" s="113" t="s">
        <v>165</v>
      </c>
      <c r="AA63" s="113">
        <v>53646</v>
      </c>
      <c r="AB63" s="113" t="s">
        <v>165</v>
      </c>
      <c r="AC63" s="113"/>
      <c r="AD63" s="113"/>
      <c r="AE63" s="113" t="s">
        <v>165</v>
      </c>
      <c r="AF63" s="113" t="s">
        <v>441</v>
      </c>
      <c r="AG63" s="113">
        <v>2.7126942410000003</v>
      </c>
      <c r="AH63" s="113">
        <v>2.7126942410000003</v>
      </c>
      <c r="AI63" s="113">
        <v>2.7126942410000003</v>
      </c>
      <c r="AJ63" s="52">
        <v>2.7126942410000003</v>
      </c>
      <c r="AK63" s="113">
        <v>2.7126942410000003</v>
      </c>
      <c r="AL63" s="113"/>
      <c r="AM63" s="113"/>
      <c r="AN63" s="113" t="s">
        <v>165</v>
      </c>
      <c r="AO63" s="113" t="s">
        <v>442</v>
      </c>
      <c r="AP63" s="113">
        <v>2.6591431979999998</v>
      </c>
      <c r="AQ63" s="113">
        <v>2.6591431979999998</v>
      </c>
      <c r="AR63" s="113">
        <v>2.6591431979999998</v>
      </c>
      <c r="AS63" s="52">
        <v>2.6591431979999998</v>
      </c>
      <c r="AT63" s="113">
        <v>2.6591431979999998</v>
      </c>
      <c r="AU63" s="113"/>
      <c r="AV63" s="113" t="s">
        <v>165</v>
      </c>
      <c r="AW63" s="113" t="s">
        <v>443</v>
      </c>
      <c r="AX63" s="113">
        <v>2.7935501089999999</v>
      </c>
      <c r="AY63" s="113">
        <v>2.7935501089999999</v>
      </c>
      <c r="AZ63" s="113">
        <v>2.7935501089999999</v>
      </c>
      <c r="BA63" s="113">
        <v>2.7935501089999999</v>
      </c>
      <c r="BB63" s="52">
        <v>2.7935501089999999</v>
      </c>
      <c r="BC63" s="113"/>
      <c r="BD63" s="113" t="s">
        <v>165</v>
      </c>
      <c r="BE63" s="113" t="s">
        <v>441</v>
      </c>
      <c r="BF63" s="113">
        <v>2.7126942410000003</v>
      </c>
      <c r="BG63" s="113">
        <v>2.7126942410000003</v>
      </c>
      <c r="BH63" s="113">
        <v>2.7126942410000003</v>
      </c>
      <c r="BI63" s="113">
        <v>2.7126942410000003</v>
      </c>
      <c r="BJ63" s="113">
        <v>2.7126942410000003</v>
      </c>
      <c r="BK63" s="113"/>
      <c r="BL63" s="113" t="s">
        <v>40</v>
      </c>
      <c r="BM63" s="113" t="s">
        <v>40</v>
      </c>
      <c r="BN63" s="113" t="s">
        <v>428</v>
      </c>
      <c r="BO63" s="113">
        <v>2.4539999999999997</v>
      </c>
      <c r="BP63" s="113">
        <v>2.4539999999999997</v>
      </c>
      <c r="BQ63" s="113">
        <v>2.4539999999999997</v>
      </c>
      <c r="BR63" s="113">
        <v>2.4539999999999997</v>
      </c>
      <c r="BS63" s="52">
        <v>2.4539999999999997</v>
      </c>
      <c r="BT63" s="54"/>
      <c r="BU63" t="s">
        <v>44</v>
      </c>
      <c r="BV63" t="s">
        <v>44</v>
      </c>
      <c r="BW63" t="s">
        <v>150</v>
      </c>
      <c r="BX63">
        <v>2.5593806149999998</v>
      </c>
      <c r="BY63">
        <v>2.5593806149999998</v>
      </c>
      <c r="BZ63">
        <v>2.5593806149999998</v>
      </c>
      <c r="CA63">
        <v>2.5593806149999998</v>
      </c>
      <c r="CB63">
        <v>2.5593806149999998</v>
      </c>
      <c r="CC63">
        <v>-10.002824500000029</v>
      </c>
    </row>
    <row r="64" spans="1:81">
      <c r="A64" s="113"/>
      <c r="N64" s="113"/>
      <c r="P64" s="113"/>
      <c r="Q64" s="113" t="s">
        <v>44</v>
      </c>
      <c r="R64" s="113" t="s">
        <v>508</v>
      </c>
      <c r="S64" s="113"/>
      <c r="T64" s="113">
        <v>51820</v>
      </c>
      <c r="U64" s="113" t="b">
        <v>1</v>
      </c>
      <c r="V64" s="113" t="s">
        <v>166</v>
      </c>
      <c r="W64" s="113" t="s">
        <v>508</v>
      </c>
      <c r="X64" s="52" t="s">
        <v>607</v>
      </c>
      <c r="Y64" s="52">
        <v>4</v>
      </c>
      <c r="Z64" s="113" t="s">
        <v>166</v>
      </c>
      <c r="AA64" s="113">
        <v>54011</v>
      </c>
      <c r="AB64" s="113" t="s">
        <v>166</v>
      </c>
      <c r="AC64" s="113"/>
      <c r="AD64" s="113"/>
      <c r="AE64" s="113" t="s">
        <v>166</v>
      </c>
      <c r="AF64" s="113" t="s">
        <v>445</v>
      </c>
      <c r="AG64" s="113">
        <v>2.715509027</v>
      </c>
      <c r="AH64" s="113">
        <v>2.715509027</v>
      </c>
      <c r="AI64" s="113">
        <v>2.715509027</v>
      </c>
      <c r="AJ64" s="52">
        <v>2.715509027</v>
      </c>
      <c r="AK64" s="113">
        <v>2.715509027</v>
      </c>
      <c r="AL64" s="113"/>
      <c r="AM64" s="113"/>
      <c r="AN64" s="113" t="s">
        <v>166</v>
      </c>
      <c r="AO64" s="113" t="s">
        <v>446</v>
      </c>
      <c r="AP64" s="113">
        <v>2.6625841320000001</v>
      </c>
      <c r="AQ64" s="113">
        <v>2.6625841320000001</v>
      </c>
      <c r="AR64" s="113">
        <v>2.6625841320000001</v>
      </c>
      <c r="AS64" s="52">
        <v>2.6625841320000001</v>
      </c>
      <c r="AT64" s="113">
        <v>2.6625841320000001</v>
      </c>
      <c r="AU64" s="113"/>
      <c r="AV64" s="113" t="s">
        <v>166</v>
      </c>
      <c r="AW64" s="113" t="s">
        <v>447</v>
      </c>
      <c r="AX64" s="113">
        <v>2.7964379949999998</v>
      </c>
      <c r="AY64" s="113">
        <v>2.7964379949999998</v>
      </c>
      <c r="AZ64" s="113">
        <v>2.7964379949999998</v>
      </c>
      <c r="BA64" s="113">
        <v>2.7964379949999998</v>
      </c>
      <c r="BB64" s="52">
        <v>2.7964379949999998</v>
      </c>
      <c r="BC64" s="113"/>
      <c r="BD64" s="113" t="s">
        <v>166</v>
      </c>
      <c r="BE64" s="113" t="s">
        <v>445</v>
      </c>
      <c r="BF64" s="113">
        <v>2.715509027</v>
      </c>
      <c r="BG64" s="113">
        <v>2.715509027</v>
      </c>
      <c r="BH64" s="113">
        <v>2.715509027</v>
      </c>
      <c r="BI64" s="113">
        <v>2.715509027</v>
      </c>
      <c r="BJ64" s="113">
        <v>2.715509027</v>
      </c>
      <c r="BK64" s="113"/>
      <c r="BL64" s="113" t="s">
        <v>41</v>
      </c>
      <c r="BM64" s="113" t="s">
        <v>41</v>
      </c>
      <c r="BN64" s="113" t="s">
        <v>432</v>
      </c>
      <c r="BO64" s="113">
        <v>2.4659999999999997</v>
      </c>
      <c r="BP64" s="113">
        <v>2.4659999999999997</v>
      </c>
      <c r="BQ64" s="113">
        <v>2.4659999999999997</v>
      </c>
      <c r="BR64" s="113">
        <v>2.4659999999999997</v>
      </c>
      <c r="BS64" s="52">
        <v>2.4659999999999997</v>
      </c>
      <c r="BT64" s="54"/>
      <c r="BU64" t="s">
        <v>45</v>
      </c>
      <c r="BV64" t="s">
        <v>45</v>
      </c>
      <c r="BW64" t="s">
        <v>151</v>
      </c>
      <c r="BX64">
        <v>2.5632842160000004</v>
      </c>
      <c r="BY64">
        <v>2.5632842160000004</v>
      </c>
      <c r="BZ64">
        <v>2.5632842160000004</v>
      </c>
      <c r="CA64">
        <v>2.5632842160000004</v>
      </c>
      <c r="CB64">
        <v>2.5632842160000004</v>
      </c>
      <c r="CC64">
        <v>-9.4895872999999575</v>
      </c>
    </row>
    <row r="65" spans="1:81">
      <c r="A65" s="113"/>
      <c r="N65" s="113"/>
      <c r="P65" s="113"/>
      <c r="Q65" s="113" t="s">
        <v>45</v>
      </c>
      <c r="R65" s="113" t="s">
        <v>508</v>
      </c>
      <c r="S65" s="113"/>
      <c r="T65" s="113">
        <v>52187</v>
      </c>
      <c r="U65" s="113" t="b">
        <v>1</v>
      </c>
      <c r="V65" s="113" t="s">
        <v>167</v>
      </c>
      <c r="W65" s="113" t="s">
        <v>508</v>
      </c>
      <c r="X65" s="52" t="s">
        <v>608</v>
      </c>
      <c r="Y65" s="52">
        <v>4</v>
      </c>
      <c r="Z65" s="113" t="s">
        <v>167</v>
      </c>
      <c r="AA65" s="113">
        <v>54378</v>
      </c>
      <c r="AB65" s="113" t="s">
        <v>167</v>
      </c>
      <c r="AC65" s="113"/>
      <c r="AD65" s="113"/>
      <c r="AE65" s="113" t="s">
        <v>167</v>
      </c>
      <c r="AF65" s="113" t="s">
        <v>449</v>
      </c>
      <c r="AG65" s="113">
        <v>2.7189999999999999</v>
      </c>
      <c r="AH65" s="113">
        <v>2.7189999999999999</v>
      </c>
      <c r="AI65" s="113">
        <v>2.7189999999999999</v>
      </c>
      <c r="AJ65" s="52">
        <v>2.7189999999999999</v>
      </c>
      <c r="AK65" s="113">
        <v>2.7189999999999999</v>
      </c>
      <c r="AL65" s="113"/>
      <c r="AM65" s="113"/>
      <c r="AN65" s="113" t="s">
        <v>167</v>
      </c>
      <c r="AO65" s="113" t="s">
        <v>450</v>
      </c>
      <c r="AP65" s="113">
        <v>2.6667000000000001</v>
      </c>
      <c r="AQ65" s="113">
        <v>2.6667000000000001</v>
      </c>
      <c r="AR65" s="113">
        <v>2.6667000000000001</v>
      </c>
      <c r="AS65" s="52">
        <v>2.6667000000000001</v>
      </c>
      <c r="AT65" s="113">
        <v>2.6667000000000001</v>
      </c>
      <c r="AU65" s="113"/>
      <c r="AV65" s="113" t="s">
        <v>167</v>
      </c>
      <c r="AW65" s="113" t="s">
        <v>451</v>
      </c>
      <c r="AX65" s="113">
        <v>2.8</v>
      </c>
      <c r="AY65" s="113">
        <v>2.8</v>
      </c>
      <c r="AZ65" s="113">
        <v>2.8</v>
      </c>
      <c r="BA65" s="113">
        <v>2.8</v>
      </c>
      <c r="BB65" s="52">
        <v>2.8</v>
      </c>
      <c r="BC65" s="113"/>
      <c r="BD65" s="113" t="s">
        <v>167</v>
      </c>
      <c r="BE65" s="113" t="s">
        <v>449</v>
      </c>
      <c r="BF65" s="113">
        <v>2.7189999999999999</v>
      </c>
      <c r="BG65" s="113">
        <v>2.7189999999999999</v>
      </c>
      <c r="BH65" s="113">
        <v>2.7189999999999999</v>
      </c>
      <c r="BI65" s="113">
        <v>2.7189999999999999</v>
      </c>
      <c r="BJ65" s="113">
        <v>2.7189999999999999</v>
      </c>
      <c r="BK65" s="113"/>
      <c r="BL65" s="113" t="s">
        <v>21</v>
      </c>
      <c r="BM65" s="113" t="s">
        <v>21</v>
      </c>
      <c r="BN65" s="113" t="s">
        <v>436</v>
      </c>
      <c r="BO65" s="113">
        <v>2.4750000000000001</v>
      </c>
      <c r="BP65" s="113">
        <v>2.4750000000000001</v>
      </c>
      <c r="BQ65" s="113">
        <v>2.4750000000000001</v>
      </c>
      <c r="BR65" s="113">
        <v>2.4750000000000001</v>
      </c>
      <c r="BS65" s="52">
        <v>2.4750000000000001</v>
      </c>
      <c r="BT65" s="54"/>
      <c r="BU65" t="s">
        <v>22</v>
      </c>
      <c r="BV65" t="s">
        <v>22</v>
      </c>
      <c r="BW65" t="s">
        <v>152</v>
      </c>
      <c r="BX65">
        <v>2.5670000000000002</v>
      </c>
      <c r="BY65">
        <v>2.5670000000000002</v>
      </c>
      <c r="BZ65">
        <v>2.5670000000000002</v>
      </c>
      <c r="CA65">
        <v>2.5670000000000002</v>
      </c>
      <c r="CB65">
        <v>2.5670000000000002</v>
      </c>
      <c r="CC65">
        <v>-9.0999999999999748</v>
      </c>
    </row>
    <row r="66" spans="1:81">
      <c r="A66" s="113"/>
      <c r="N66" s="113"/>
      <c r="P66" s="113"/>
      <c r="Q66" s="113" t="s">
        <v>22</v>
      </c>
      <c r="R66" s="113" t="s">
        <v>508</v>
      </c>
      <c r="S66" s="113"/>
      <c r="T66" s="113">
        <v>52551</v>
      </c>
      <c r="U66" s="113" t="b">
        <v>1</v>
      </c>
      <c r="V66" s="113" t="s">
        <v>168</v>
      </c>
      <c r="W66" s="113" t="s">
        <v>508</v>
      </c>
      <c r="X66" s="52" t="s">
        <v>609</v>
      </c>
      <c r="Y66" s="52">
        <v>4</v>
      </c>
      <c r="Z66" s="113" t="s">
        <v>168</v>
      </c>
      <c r="AA66" s="113">
        <v>54742</v>
      </c>
      <c r="AB66" s="113" t="s">
        <v>168</v>
      </c>
      <c r="AC66" s="113"/>
      <c r="AD66" s="113"/>
      <c r="AE66" s="113" t="s">
        <v>168</v>
      </c>
      <c r="AF66" s="113" t="s">
        <v>453</v>
      </c>
      <c r="AG66" s="113">
        <v>2.7228435329999994</v>
      </c>
      <c r="AH66" s="113">
        <v>2.7228435329999994</v>
      </c>
      <c r="AI66" s="113">
        <v>2.7228435329999994</v>
      </c>
      <c r="AJ66" s="52">
        <v>2.7228435329999994</v>
      </c>
      <c r="AK66" s="113">
        <v>2.7228435329999994</v>
      </c>
      <c r="AL66" s="113"/>
      <c r="AM66" s="113"/>
      <c r="AN66" s="113" t="s">
        <v>168</v>
      </c>
      <c r="AO66" s="113" t="s">
        <v>454</v>
      </c>
      <c r="AP66" s="113">
        <v>2.671197426</v>
      </c>
      <c r="AQ66" s="113">
        <v>2.671197426</v>
      </c>
      <c r="AR66" s="113">
        <v>2.671197426</v>
      </c>
      <c r="AS66" s="52">
        <v>2.671197426</v>
      </c>
      <c r="AT66" s="113">
        <v>2.671197426</v>
      </c>
      <c r="AU66" s="113"/>
      <c r="AV66" s="113" t="s">
        <v>168</v>
      </c>
      <c r="AW66" s="113" t="s">
        <v>455</v>
      </c>
      <c r="AX66" s="113">
        <v>2.8038783309999995</v>
      </c>
      <c r="AY66" s="113">
        <v>2.8038783309999995</v>
      </c>
      <c r="AZ66" s="113">
        <v>2.8038783309999995</v>
      </c>
      <c r="BA66" s="113">
        <v>2.8038783309999995</v>
      </c>
      <c r="BB66" s="52">
        <v>2.8038783309999995</v>
      </c>
      <c r="BC66" s="113"/>
      <c r="BD66" s="113" t="s">
        <v>168</v>
      </c>
      <c r="BE66" s="113" t="s">
        <v>453</v>
      </c>
      <c r="BF66" s="113">
        <v>2.7228435329999994</v>
      </c>
      <c r="BG66" s="113">
        <v>2.7228435329999994</v>
      </c>
      <c r="BH66" s="113">
        <v>2.7228435329999994</v>
      </c>
      <c r="BI66" s="113">
        <v>2.7228435329999994</v>
      </c>
      <c r="BJ66" s="113">
        <v>2.7228435329999994</v>
      </c>
      <c r="BK66" s="113"/>
      <c r="BL66" s="113" t="s">
        <v>42</v>
      </c>
      <c r="BM66" s="113" t="s">
        <v>42</v>
      </c>
      <c r="BN66" s="113" t="s">
        <v>440</v>
      </c>
      <c r="BO66" s="113">
        <v>2.4819999999999998</v>
      </c>
      <c r="BP66" s="113">
        <v>2.4819999999999998</v>
      </c>
      <c r="BQ66" s="113">
        <v>2.4819999999999998</v>
      </c>
      <c r="BR66" s="113">
        <v>2.4819999999999998</v>
      </c>
      <c r="BS66" s="52">
        <v>2.4819999999999998</v>
      </c>
      <c r="BT66" s="54"/>
      <c r="BU66" t="s">
        <v>163</v>
      </c>
      <c r="BV66" t="s">
        <v>163</v>
      </c>
      <c r="BW66" t="s">
        <v>174</v>
      </c>
      <c r="BX66">
        <v>2.5709652089999997</v>
      </c>
      <c r="BY66">
        <v>2.5709652089999997</v>
      </c>
      <c r="BZ66">
        <v>2.5709652089999997</v>
      </c>
      <c r="CA66">
        <v>2.5709652089999997</v>
      </c>
      <c r="CB66">
        <v>2.5709652089999997</v>
      </c>
      <c r="CC66">
        <v>-8.8349572000000265</v>
      </c>
    </row>
    <row r="67" spans="1:81">
      <c r="A67" s="113"/>
      <c r="N67" s="113"/>
      <c r="P67" s="113"/>
      <c r="Q67" s="113" t="s">
        <v>163</v>
      </c>
      <c r="R67" s="113" t="s">
        <v>508</v>
      </c>
      <c r="S67" s="113"/>
      <c r="T67" s="113">
        <v>52916</v>
      </c>
      <c r="U67" s="113" t="b">
        <v>1</v>
      </c>
      <c r="V67" s="113" t="s">
        <v>169</v>
      </c>
      <c r="W67" s="113" t="s">
        <v>508</v>
      </c>
      <c r="X67" s="52" t="s">
        <v>610</v>
      </c>
      <c r="Y67" s="52">
        <v>4</v>
      </c>
      <c r="Z67" s="113" t="s">
        <v>169</v>
      </c>
      <c r="AA67" s="113">
        <v>55107</v>
      </c>
      <c r="AB67" s="113" t="s">
        <v>169</v>
      </c>
      <c r="AC67" s="113"/>
      <c r="AD67" s="113"/>
      <c r="AE67" s="113" t="s">
        <v>169</v>
      </c>
      <c r="AF67" s="113" t="s">
        <v>457</v>
      </c>
      <c r="AG67" s="113">
        <v>2.7270329420000006</v>
      </c>
      <c r="AH67" s="113">
        <v>2.7270329420000006</v>
      </c>
      <c r="AI67" s="113">
        <v>2.7270329420000006</v>
      </c>
      <c r="AJ67" s="52">
        <v>2.7270329420000006</v>
      </c>
      <c r="AK67" s="113">
        <v>2.7270329420000006</v>
      </c>
      <c r="AL67" s="113"/>
      <c r="AM67" s="113"/>
      <c r="AN67" s="113" t="s">
        <v>169</v>
      </c>
      <c r="AO67" s="113" t="s">
        <v>458</v>
      </c>
      <c r="AP67" s="113">
        <v>2.6760628319999995</v>
      </c>
      <c r="AQ67" s="113">
        <v>2.6760628319999995</v>
      </c>
      <c r="AR67" s="113">
        <v>2.6760628319999995</v>
      </c>
      <c r="AS67" s="52">
        <v>2.6760628319999995</v>
      </c>
      <c r="AT67" s="113">
        <v>2.6760628319999995</v>
      </c>
      <c r="AU67" s="113"/>
      <c r="AV67" s="113" t="s">
        <v>169</v>
      </c>
      <c r="AW67" s="113" t="s">
        <v>459</v>
      </c>
      <c r="AX67" s="113">
        <v>2.8080753379999996</v>
      </c>
      <c r="AY67" s="113">
        <v>2.8080753379999996</v>
      </c>
      <c r="AZ67" s="113">
        <v>2.8080753379999996</v>
      </c>
      <c r="BA67" s="113">
        <v>2.8080753379999996</v>
      </c>
      <c r="BB67" s="52">
        <v>2.8080753379999996</v>
      </c>
      <c r="BC67" s="113"/>
      <c r="BD67" s="113" t="s">
        <v>169</v>
      </c>
      <c r="BE67" s="113" t="s">
        <v>457</v>
      </c>
      <c r="BF67" s="113">
        <v>2.7270329420000006</v>
      </c>
      <c r="BG67" s="113">
        <v>2.7270329420000006</v>
      </c>
      <c r="BH67" s="113">
        <v>2.7270329420000006</v>
      </c>
      <c r="BI67" s="113">
        <v>2.7270329420000006</v>
      </c>
      <c r="BJ67" s="113">
        <v>2.7270329420000006</v>
      </c>
      <c r="BK67" s="113"/>
      <c r="BL67" s="113" t="s">
        <v>43</v>
      </c>
      <c r="BM67" s="113" t="s">
        <v>43</v>
      </c>
      <c r="BN67" s="113" t="s">
        <v>444</v>
      </c>
      <c r="BO67" s="113">
        <v>2.488</v>
      </c>
      <c r="BP67" s="113">
        <v>2.488</v>
      </c>
      <c r="BQ67" s="113">
        <v>2.488</v>
      </c>
      <c r="BR67" s="113">
        <v>2.488</v>
      </c>
      <c r="BS67" s="52">
        <v>2.488</v>
      </c>
      <c r="BT67" s="54"/>
      <c r="BU67" t="s">
        <v>164</v>
      </c>
      <c r="BV67" t="s">
        <v>164</v>
      </c>
      <c r="BW67" t="s">
        <v>175</v>
      </c>
      <c r="BX67">
        <v>2.5750012170000001</v>
      </c>
      <c r="BY67">
        <v>2.5750012170000001</v>
      </c>
      <c r="BZ67">
        <v>2.5750012170000001</v>
      </c>
      <c r="CA67">
        <v>2.5750012170000001</v>
      </c>
      <c r="CB67">
        <v>2.5750012170000001</v>
      </c>
      <c r="CC67">
        <v>-8.6671433999999881</v>
      </c>
    </row>
    <row r="68" spans="1:81">
      <c r="A68" s="113"/>
      <c r="N68" s="113"/>
      <c r="P68" s="113"/>
      <c r="Q68" s="113" t="s">
        <v>164</v>
      </c>
      <c r="R68" s="113" t="s">
        <v>508</v>
      </c>
      <c r="S68" s="113"/>
      <c r="T68" s="113">
        <v>53281</v>
      </c>
      <c r="U68" s="113" t="b">
        <v>1</v>
      </c>
      <c r="V68" s="113" t="s">
        <v>170</v>
      </c>
      <c r="W68" s="113" t="s">
        <v>508</v>
      </c>
      <c r="X68" s="52" t="s">
        <v>611</v>
      </c>
      <c r="Y68" s="52">
        <v>4</v>
      </c>
      <c r="Z68" s="113" t="s">
        <v>170</v>
      </c>
      <c r="AA68" s="113">
        <v>55472</v>
      </c>
      <c r="AB68" s="113" t="s">
        <v>170</v>
      </c>
      <c r="AC68" s="113"/>
      <c r="AD68" s="113"/>
      <c r="AE68" s="113" t="s">
        <v>170</v>
      </c>
      <c r="AF68" s="113" t="s">
        <v>461</v>
      </c>
      <c r="AG68" s="113">
        <v>2.7313704889999997</v>
      </c>
      <c r="AH68" s="113">
        <v>2.7313704889999997</v>
      </c>
      <c r="AI68" s="113">
        <v>2.7313704889999997</v>
      </c>
      <c r="AJ68" s="52">
        <v>2.7313704889999997</v>
      </c>
      <c r="AK68" s="113">
        <v>2.7313704889999997</v>
      </c>
      <c r="AL68" s="113"/>
      <c r="AM68" s="113"/>
      <c r="AN68" s="113" t="s">
        <v>170</v>
      </c>
      <c r="AO68" s="113" t="s">
        <v>462</v>
      </c>
      <c r="AP68" s="113">
        <v>2.6810771120000001</v>
      </c>
      <c r="AQ68" s="113">
        <v>2.6810771120000001</v>
      </c>
      <c r="AR68" s="113">
        <v>2.6810771120000001</v>
      </c>
      <c r="AS68" s="52">
        <v>2.6810771120000001</v>
      </c>
      <c r="AT68" s="113">
        <v>2.6810771120000001</v>
      </c>
      <c r="AU68" s="113"/>
      <c r="AV68" s="113" t="s">
        <v>170</v>
      </c>
      <c r="AW68" s="113" t="s">
        <v>463</v>
      </c>
      <c r="AX68" s="113">
        <v>2.8124033479999997</v>
      </c>
      <c r="AY68" s="113">
        <v>2.8124033479999997</v>
      </c>
      <c r="AZ68" s="113">
        <v>2.8124033479999997</v>
      </c>
      <c r="BA68" s="113">
        <v>2.8124033479999997</v>
      </c>
      <c r="BB68" s="52">
        <v>2.8124033479999997</v>
      </c>
      <c r="BC68" s="113"/>
      <c r="BD68" s="113" t="s">
        <v>170</v>
      </c>
      <c r="BE68" s="113" t="s">
        <v>461</v>
      </c>
      <c r="BF68" s="113">
        <v>2.7313704889999997</v>
      </c>
      <c r="BG68" s="113">
        <v>2.7313704889999997</v>
      </c>
      <c r="BH68" s="113">
        <v>2.7313704889999997</v>
      </c>
      <c r="BI68" s="113">
        <v>2.7313704889999997</v>
      </c>
      <c r="BJ68" s="113">
        <v>2.7313704889999997</v>
      </c>
      <c r="BK68" s="113"/>
      <c r="BL68" s="113" t="s">
        <v>44</v>
      </c>
      <c r="BM68" s="113" t="s">
        <v>44</v>
      </c>
      <c r="BN68" s="113" t="s">
        <v>448</v>
      </c>
      <c r="BO68" s="113">
        <v>2.4929999999999999</v>
      </c>
      <c r="BP68" s="113">
        <v>2.4929999999999999</v>
      </c>
      <c r="BQ68" s="113">
        <v>2.4929999999999999</v>
      </c>
      <c r="BR68" s="113">
        <v>2.4929999999999999</v>
      </c>
      <c r="BS68" s="52">
        <v>2.4929999999999999</v>
      </c>
      <c r="BT68" s="54"/>
      <c r="BU68" t="s">
        <v>165</v>
      </c>
      <c r="BV68" t="s">
        <v>165</v>
      </c>
      <c r="BW68" t="s">
        <v>176</v>
      </c>
      <c r="BX68">
        <v>2.5793346880000003</v>
      </c>
      <c r="BY68">
        <v>2.5793346880000003</v>
      </c>
      <c r="BZ68">
        <v>2.5793346880000003</v>
      </c>
      <c r="CA68">
        <v>2.5793346880000003</v>
      </c>
      <c r="CB68">
        <v>2.5793346880000003</v>
      </c>
      <c r="CC68">
        <v>-8.5620512999999843</v>
      </c>
    </row>
    <row r="69" spans="1:81">
      <c r="A69" s="113"/>
      <c r="N69" s="113"/>
      <c r="P69" s="113"/>
      <c r="Q69" s="113" t="s">
        <v>165</v>
      </c>
      <c r="R69" s="113" t="s">
        <v>508</v>
      </c>
      <c r="S69" s="113"/>
      <c r="T69" s="113">
        <v>53646</v>
      </c>
      <c r="U69" s="113" t="b">
        <v>1</v>
      </c>
      <c r="V69" s="113" t="s">
        <v>171</v>
      </c>
      <c r="W69" s="113" t="s">
        <v>508</v>
      </c>
      <c r="X69" s="52" t="s">
        <v>612</v>
      </c>
      <c r="Y69" s="52">
        <v>4</v>
      </c>
      <c r="Z69" s="113" t="s">
        <v>171</v>
      </c>
      <c r="AA69" s="113">
        <v>55838</v>
      </c>
      <c r="AB69" s="113" t="s">
        <v>171</v>
      </c>
      <c r="AC69" s="113"/>
      <c r="AD69" s="113"/>
      <c r="AE69" s="113" t="s">
        <v>171</v>
      </c>
      <c r="AF69" s="113" t="s">
        <v>465</v>
      </c>
      <c r="AG69" s="113">
        <v>2.735811607</v>
      </c>
      <c r="AH69" s="113">
        <v>2.735811607</v>
      </c>
      <c r="AI69" s="113">
        <v>2.735811607</v>
      </c>
      <c r="AJ69" s="52">
        <v>2.735811607</v>
      </c>
      <c r="AK69" s="113">
        <v>2.735811607</v>
      </c>
      <c r="AL69" s="113"/>
      <c r="AM69" s="113"/>
      <c r="AN69" s="113" t="s">
        <v>171</v>
      </c>
      <c r="AO69" s="113" t="s">
        <v>466</v>
      </c>
      <c r="AP69" s="113">
        <v>2.6861785949999999</v>
      </c>
      <c r="AQ69" s="113">
        <v>2.6861785949999999</v>
      </c>
      <c r="AR69" s="113">
        <v>2.6861785949999999</v>
      </c>
      <c r="AS69" s="52">
        <v>2.6861785949999999</v>
      </c>
      <c r="AT69" s="113">
        <v>2.6861785949999999</v>
      </c>
      <c r="AU69" s="113"/>
      <c r="AV69" s="113" t="s">
        <v>171</v>
      </c>
      <c r="AW69" s="113" t="s">
        <v>467</v>
      </c>
      <c r="AX69" s="113">
        <v>2.8168298669999996</v>
      </c>
      <c r="AY69" s="113">
        <v>2.8168298669999996</v>
      </c>
      <c r="AZ69" s="113">
        <v>2.8168298669999996</v>
      </c>
      <c r="BA69" s="113">
        <v>2.8168298669999996</v>
      </c>
      <c r="BB69" s="52">
        <v>2.8168298669999996</v>
      </c>
      <c r="BC69" s="113"/>
      <c r="BD69" s="113" t="s">
        <v>171</v>
      </c>
      <c r="BE69" s="113" t="s">
        <v>465</v>
      </c>
      <c r="BF69" s="113">
        <v>2.735811607</v>
      </c>
      <c r="BG69" s="113">
        <v>2.735811607</v>
      </c>
      <c r="BH69" s="113">
        <v>2.735811607</v>
      </c>
      <c r="BI69" s="113">
        <v>2.735811607</v>
      </c>
      <c r="BJ69" s="113">
        <v>2.735811607</v>
      </c>
      <c r="BK69" s="113"/>
      <c r="BL69" s="113" t="s">
        <v>45</v>
      </c>
      <c r="BM69" s="113" t="s">
        <v>45</v>
      </c>
      <c r="BN69" s="113" t="s">
        <v>452</v>
      </c>
      <c r="BO69" s="113">
        <v>2.4969999999999999</v>
      </c>
      <c r="BP69" s="113">
        <v>2.4969999999999999</v>
      </c>
      <c r="BQ69" s="113">
        <v>2.4969999999999999</v>
      </c>
      <c r="BR69" s="113">
        <v>2.4969999999999999</v>
      </c>
      <c r="BS69" s="52">
        <v>2.4969999999999999</v>
      </c>
      <c r="BT69" s="54"/>
      <c r="BU69" t="s">
        <v>166</v>
      </c>
      <c r="BV69" t="s">
        <v>166</v>
      </c>
      <c r="BW69" t="s">
        <v>177</v>
      </c>
      <c r="BX69">
        <v>2.5840326180000002</v>
      </c>
      <c r="BY69">
        <v>2.5840326180000002</v>
      </c>
      <c r="BZ69">
        <v>2.5840326180000002</v>
      </c>
      <c r="CA69">
        <v>2.5840326180000002</v>
      </c>
      <c r="CB69">
        <v>2.5840326180000002</v>
      </c>
      <c r="CC69">
        <v>-8.494052899999982</v>
      </c>
    </row>
    <row r="70" spans="1:81">
      <c r="A70" s="113"/>
      <c r="N70" s="113"/>
      <c r="P70" s="113"/>
      <c r="Q70" s="113" t="s">
        <v>166</v>
      </c>
      <c r="R70" s="113" t="s">
        <v>508</v>
      </c>
      <c r="S70" s="113"/>
      <c r="T70" s="113">
        <v>54011</v>
      </c>
      <c r="U70" s="113" t="b">
        <v>1</v>
      </c>
      <c r="V70" s="113" t="s">
        <v>46</v>
      </c>
      <c r="W70" s="113" t="s">
        <v>508</v>
      </c>
      <c r="X70" s="52" t="s">
        <v>613</v>
      </c>
      <c r="Y70" s="52">
        <v>4</v>
      </c>
      <c r="Z70" s="113" t="s">
        <v>46</v>
      </c>
      <c r="AA70" s="113">
        <v>56205</v>
      </c>
      <c r="AB70" s="113" t="s">
        <v>46</v>
      </c>
      <c r="AC70" s="113"/>
      <c r="AD70" s="113"/>
      <c r="AE70" s="113" t="s">
        <v>46</v>
      </c>
      <c r="AF70" s="113" t="s">
        <v>469</v>
      </c>
      <c r="AG70" s="113">
        <v>2.74</v>
      </c>
      <c r="AH70" s="113">
        <v>2.74</v>
      </c>
      <c r="AI70" s="113">
        <v>2.74</v>
      </c>
      <c r="AJ70" s="52">
        <v>2.74</v>
      </c>
      <c r="AK70" s="113">
        <v>2.74</v>
      </c>
      <c r="AL70" s="113"/>
      <c r="AM70" s="113"/>
      <c r="AN70" s="113" t="s">
        <v>46</v>
      </c>
      <c r="AO70" s="113" t="s">
        <v>470</v>
      </c>
      <c r="AP70" s="113">
        <v>2.6909999999999998</v>
      </c>
      <c r="AQ70" s="113">
        <v>2.6909999999999998</v>
      </c>
      <c r="AR70" s="113">
        <v>2.6909999999999998</v>
      </c>
      <c r="AS70" s="52">
        <v>2.6909999999999998</v>
      </c>
      <c r="AT70" s="113">
        <v>2.6909999999999998</v>
      </c>
      <c r="AU70" s="113"/>
      <c r="AV70" s="113" t="s">
        <v>46</v>
      </c>
      <c r="AW70" s="113" t="s">
        <v>471</v>
      </c>
      <c r="AX70" s="113">
        <v>2.8209999999999997</v>
      </c>
      <c r="AY70" s="113">
        <v>2.8209999999999997</v>
      </c>
      <c r="AZ70" s="113">
        <v>2.8209999999999997</v>
      </c>
      <c r="BA70" s="113">
        <v>2.8209999999999997</v>
      </c>
      <c r="BB70" s="52">
        <v>2.8209999999999997</v>
      </c>
      <c r="BC70" s="113"/>
      <c r="BD70" s="113" t="s">
        <v>46</v>
      </c>
      <c r="BE70" s="113" t="s">
        <v>469</v>
      </c>
      <c r="BF70" s="113">
        <v>2.74</v>
      </c>
      <c r="BG70" s="113">
        <v>2.74</v>
      </c>
      <c r="BH70" s="113">
        <v>2.74</v>
      </c>
      <c r="BI70" s="113">
        <v>2.74</v>
      </c>
      <c r="BJ70" s="113">
        <v>2.74</v>
      </c>
      <c r="BK70" s="113"/>
      <c r="BL70" s="113" t="s">
        <v>22</v>
      </c>
      <c r="BM70" s="113" t="s">
        <v>22</v>
      </c>
      <c r="BN70" s="113" t="s">
        <v>456</v>
      </c>
      <c r="BO70" s="113">
        <v>2.5009999999999999</v>
      </c>
      <c r="BP70" s="113">
        <v>2.5009999999999999</v>
      </c>
      <c r="BQ70" s="113">
        <v>2.5009999999999999</v>
      </c>
      <c r="BR70" s="113">
        <v>2.5009999999999999</v>
      </c>
      <c r="BS70" s="52">
        <v>2.5009999999999999</v>
      </c>
      <c r="BT70" s="54"/>
      <c r="BU70" t="s">
        <v>167</v>
      </c>
      <c r="BV70" t="s">
        <v>167</v>
      </c>
      <c r="BW70" t="s">
        <v>178</v>
      </c>
      <c r="BX70">
        <v>2.5893000000000002</v>
      </c>
      <c r="BY70">
        <v>2.5893000000000002</v>
      </c>
      <c r="BZ70">
        <v>2.5893000000000002</v>
      </c>
      <c r="CA70">
        <v>2.5893000000000002</v>
      </c>
      <c r="CB70">
        <v>2.5893000000000002</v>
      </c>
      <c r="CC70">
        <v>-8.44</v>
      </c>
    </row>
    <row r="71" spans="1:81">
      <c r="A71" s="113"/>
      <c r="N71" s="113"/>
      <c r="P71" s="113"/>
      <c r="Q71" s="113" t="s">
        <v>167</v>
      </c>
      <c r="R71" s="113" t="s">
        <v>508</v>
      </c>
      <c r="S71" s="113"/>
      <c r="T71" s="113">
        <v>54378</v>
      </c>
      <c r="U71" s="113" t="b">
        <v>1</v>
      </c>
      <c r="V71" s="113" t="s">
        <v>47</v>
      </c>
      <c r="W71" s="113" t="s">
        <v>508</v>
      </c>
      <c r="X71" s="52" t="s">
        <v>614</v>
      </c>
      <c r="Y71" s="52">
        <v>4</v>
      </c>
      <c r="Z71" s="113" t="s">
        <v>47</v>
      </c>
      <c r="AA71" s="113">
        <v>59855</v>
      </c>
      <c r="AB71" s="113" t="s">
        <v>47</v>
      </c>
      <c r="AC71" s="113"/>
      <c r="AD71" s="113"/>
      <c r="AE71" s="113" t="s">
        <v>47</v>
      </c>
      <c r="AF71" s="113" t="s">
        <v>473</v>
      </c>
      <c r="AG71" s="113">
        <v>2.7730000000000001</v>
      </c>
      <c r="AH71" s="113">
        <v>2.7730000000000001</v>
      </c>
      <c r="AI71" s="113">
        <v>2.7730000000000001</v>
      </c>
      <c r="AJ71" s="52">
        <v>2.7730000000000001</v>
      </c>
      <c r="AK71" s="113">
        <v>2.7730000000000001</v>
      </c>
      <c r="AL71" s="113"/>
      <c r="AM71" s="113"/>
      <c r="AN71" s="113" t="s">
        <v>47</v>
      </c>
      <c r="AO71" s="113" t="s">
        <v>474</v>
      </c>
      <c r="AP71" s="113">
        <v>2.7285000000000004</v>
      </c>
      <c r="AQ71" s="113">
        <v>2.7285000000000004</v>
      </c>
      <c r="AR71" s="113">
        <v>2.7285000000000004</v>
      </c>
      <c r="AS71" s="52">
        <v>2.7285000000000004</v>
      </c>
      <c r="AT71" s="113">
        <v>2.7285000000000004</v>
      </c>
      <c r="AU71" s="113"/>
      <c r="AV71" s="113" t="s">
        <v>47</v>
      </c>
      <c r="AW71" s="113" t="s">
        <v>475</v>
      </c>
      <c r="AX71" s="113">
        <v>2.8539999999999996</v>
      </c>
      <c r="AY71" s="113">
        <v>2.8539999999999996</v>
      </c>
      <c r="AZ71" s="113">
        <v>2.8539999999999996</v>
      </c>
      <c r="BA71" s="113">
        <v>2.8539999999999996</v>
      </c>
      <c r="BB71" s="52">
        <v>2.8539999999999996</v>
      </c>
      <c r="BC71" s="113"/>
      <c r="BD71" s="113" t="s">
        <v>47</v>
      </c>
      <c r="BE71" s="113" t="s">
        <v>473</v>
      </c>
      <c r="BF71" s="113">
        <v>2.7730000000000001</v>
      </c>
      <c r="BG71" s="113">
        <v>2.7730000000000001</v>
      </c>
      <c r="BH71" s="113">
        <v>2.7730000000000001</v>
      </c>
      <c r="BI71" s="113">
        <v>2.7730000000000001</v>
      </c>
      <c r="BJ71" s="113">
        <v>2.7730000000000001</v>
      </c>
      <c r="BK71" s="113"/>
      <c r="BL71" s="113" t="s">
        <v>167</v>
      </c>
      <c r="BM71" s="113" t="s">
        <v>167</v>
      </c>
      <c r="BN71" s="113" t="s">
        <v>460</v>
      </c>
      <c r="BO71" s="113">
        <v>2.5270000000000001</v>
      </c>
      <c r="BP71" s="113">
        <v>2.5270000000000001</v>
      </c>
      <c r="BQ71" s="113">
        <v>2.5270000000000001</v>
      </c>
      <c r="BR71" s="113">
        <v>2.5270000000000001</v>
      </c>
      <c r="BS71" s="52">
        <v>2.5270000000000001</v>
      </c>
      <c r="BT71" s="54"/>
      <c r="BU71" t="s">
        <v>168</v>
      </c>
      <c r="BV71" t="s">
        <v>168</v>
      </c>
      <c r="BW71" t="s">
        <v>179</v>
      </c>
      <c r="BX71">
        <v>2.5948256609999998</v>
      </c>
      <c r="BY71">
        <v>2.5948256609999998</v>
      </c>
      <c r="BZ71">
        <v>2.5948256609999998</v>
      </c>
      <c r="CA71">
        <v>2.5948256609999998</v>
      </c>
      <c r="CB71">
        <v>2.5948256609999998</v>
      </c>
      <c r="CC71">
        <v>-8.3862470000000133</v>
      </c>
    </row>
    <row r="72" spans="1:81">
      <c r="A72" s="113"/>
      <c r="N72" s="113"/>
      <c r="P72" s="113"/>
      <c r="Q72" s="113" t="s">
        <v>168</v>
      </c>
      <c r="R72" s="113" t="s">
        <v>508</v>
      </c>
      <c r="S72" s="113"/>
      <c r="T72" s="113">
        <v>54742</v>
      </c>
      <c r="U72" s="113" t="b">
        <v>1</v>
      </c>
      <c r="V72" s="113" t="s">
        <v>48</v>
      </c>
      <c r="W72" s="113" t="s">
        <v>508</v>
      </c>
      <c r="X72" s="52" t="s">
        <v>615</v>
      </c>
      <c r="Y72" s="52">
        <v>4</v>
      </c>
      <c r="Z72" s="113" t="s">
        <v>48</v>
      </c>
      <c r="AA72" s="113">
        <v>63508</v>
      </c>
      <c r="AB72" s="113" t="s">
        <v>48</v>
      </c>
      <c r="AC72" s="113"/>
      <c r="AD72" s="113"/>
      <c r="AE72" s="113" t="s">
        <v>48</v>
      </c>
      <c r="AF72" s="113" t="s">
        <v>476</v>
      </c>
      <c r="AG72" s="113">
        <v>2.8009999999999997</v>
      </c>
      <c r="AH72" s="113">
        <v>2.8009999999999997</v>
      </c>
      <c r="AI72" s="113">
        <v>2.8009999999999997</v>
      </c>
      <c r="AJ72" s="52">
        <v>2.8009999999999997</v>
      </c>
      <c r="AK72" s="113">
        <v>2.8009999999999997</v>
      </c>
      <c r="AL72" s="113"/>
      <c r="AM72" s="113"/>
      <c r="AN72" s="113" t="s">
        <v>48</v>
      </c>
      <c r="AO72" s="113" t="s">
        <v>477</v>
      </c>
      <c r="AP72" s="113">
        <v>2.7591999999999999</v>
      </c>
      <c r="AQ72" s="113">
        <v>2.7591999999999999</v>
      </c>
      <c r="AR72" s="113">
        <v>2.7591999999999999</v>
      </c>
      <c r="AS72" s="52">
        <v>2.7591999999999999</v>
      </c>
      <c r="AT72" s="113">
        <v>2.7591999999999999</v>
      </c>
      <c r="AU72" s="113"/>
      <c r="AV72" s="113" t="s">
        <v>48</v>
      </c>
      <c r="AW72" s="113" t="s">
        <v>478</v>
      </c>
      <c r="AX72" s="113">
        <v>2.8819999999999997</v>
      </c>
      <c r="AY72" s="113">
        <v>2.8819999999999997</v>
      </c>
      <c r="AZ72" s="113">
        <v>2.8819999999999997</v>
      </c>
      <c r="BA72" s="113">
        <v>2.8819999999999997</v>
      </c>
      <c r="BB72" s="52">
        <v>2.8819999999999997</v>
      </c>
      <c r="BC72" s="113"/>
      <c r="BD72" s="113" t="s">
        <v>48</v>
      </c>
      <c r="BE72" s="113" t="s">
        <v>476</v>
      </c>
      <c r="BF72" s="113">
        <v>2.8009999999999997</v>
      </c>
      <c r="BG72" s="113">
        <v>2.8009999999999997</v>
      </c>
      <c r="BH72" s="113">
        <v>2.8009999999999997</v>
      </c>
      <c r="BI72" s="113">
        <v>2.8009999999999997</v>
      </c>
      <c r="BJ72" s="113">
        <v>2.8009999999999997</v>
      </c>
      <c r="BK72" s="113"/>
      <c r="BL72" s="113" t="s">
        <v>46</v>
      </c>
      <c r="BM72" s="113" t="s">
        <v>46</v>
      </c>
      <c r="BN72" s="113" t="s">
        <v>464</v>
      </c>
      <c r="BO72" s="113">
        <v>2.5569999999999999</v>
      </c>
      <c r="BP72" s="113">
        <v>2.5569999999999999</v>
      </c>
      <c r="BQ72" s="113">
        <v>2.5569999999999999</v>
      </c>
      <c r="BR72" s="113">
        <v>2.5569999999999999</v>
      </c>
      <c r="BS72" s="52">
        <v>2.5569999999999999</v>
      </c>
      <c r="BT72" s="54"/>
      <c r="BU72" t="s">
        <v>169</v>
      </c>
      <c r="BV72" t="s">
        <v>169</v>
      </c>
      <c r="BW72" t="s">
        <v>180</v>
      </c>
      <c r="BX72">
        <v>2.6006241550000002</v>
      </c>
      <c r="BY72">
        <v>2.6006241550000002</v>
      </c>
      <c r="BZ72">
        <v>2.6006241550000002</v>
      </c>
      <c r="CA72">
        <v>2.6006241550000002</v>
      </c>
      <c r="CB72">
        <v>2.6006241550000002</v>
      </c>
      <c r="CC72">
        <v>-8.3301316999999653</v>
      </c>
    </row>
    <row r="73" spans="1:81">
      <c r="A73" s="113"/>
      <c r="N73" s="113"/>
      <c r="P73" s="113"/>
      <c r="Q73" s="113" t="s">
        <v>169</v>
      </c>
      <c r="R73" s="113" t="s">
        <v>508</v>
      </c>
      <c r="S73" s="113"/>
      <c r="T73" s="113">
        <v>55107</v>
      </c>
      <c r="U73" s="113" t="b">
        <v>1</v>
      </c>
      <c r="V73" s="113" t="s">
        <v>65</v>
      </c>
      <c r="W73" s="113" t="s">
        <v>65</v>
      </c>
      <c r="X73" s="52" t="s">
        <v>65</v>
      </c>
      <c r="Y73" s="52">
        <v>5</v>
      </c>
      <c r="Z73" s="113" t="s">
        <v>65</v>
      </c>
      <c r="AA73" s="113" t="s">
        <v>65</v>
      </c>
      <c r="AB73" s="113" t="s">
        <v>65</v>
      </c>
      <c r="AC73" s="113"/>
      <c r="AD73" s="113"/>
      <c r="AE73" s="113" t="s">
        <v>65</v>
      </c>
      <c r="AF73" s="113" t="s">
        <v>65</v>
      </c>
      <c r="AG73" s="113" t="s">
        <v>549</v>
      </c>
      <c r="AH73" s="113" t="s">
        <v>549</v>
      </c>
      <c r="AI73" s="113" t="s">
        <v>549</v>
      </c>
      <c r="AJ73" s="52" t="s">
        <v>549</v>
      </c>
      <c r="AK73" s="113" t="s">
        <v>65</v>
      </c>
      <c r="AL73" s="113"/>
      <c r="AM73" s="113"/>
      <c r="AN73" s="113" t="s">
        <v>65</v>
      </c>
      <c r="AO73" s="113" t="s">
        <v>65</v>
      </c>
      <c r="AP73" s="113" t="s">
        <v>549</v>
      </c>
      <c r="AQ73" s="113" t="s">
        <v>549</v>
      </c>
      <c r="AR73" s="113" t="s">
        <v>549</v>
      </c>
      <c r="AS73" s="52" t="s">
        <v>549</v>
      </c>
      <c r="AT73" s="113" t="s">
        <v>65</v>
      </c>
      <c r="AU73" s="113"/>
      <c r="AV73" s="113" t="s">
        <v>65</v>
      </c>
      <c r="AW73" s="113" t="s">
        <v>65</v>
      </c>
      <c r="AX73" s="113" t="s">
        <v>549</v>
      </c>
      <c r="AY73" s="113" t="s">
        <v>549</v>
      </c>
      <c r="AZ73" s="113" t="s">
        <v>549</v>
      </c>
      <c r="BA73" s="113" t="s">
        <v>549</v>
      </c>
      <c r="BB73" s="52" t="s">
        <v>65</v>
      </c>
      <c r="BC73" s="113"/>
      <c r="BD73" s="113" t="s">
        <v>65</v>
      </c>
      <c r="BE73" s="113" t="s">
        <v>65</v>
      </c>
      <c r="BF73" s="113" t="s">
        <v>549</v>
      </c>
      <c r="BG73" s="113" t="s">
        <v>549</v>
      </c>
      <c r="BH73" s="113" t="s">
        <v>549</v>
      </c>
      <c r="BI73" s="113" t="s">
        <v>549</v>
      </c>
      <c r="BJ73" s="113" t="s">
        <v>65</v>
      </c>
      <c r="BK73" s="113"/>
      <c r="BL73" s="113" t="s">
        <v>47</v>
      </c>
      <c r="BM73" s="113" t="s">
        <v>47</v>
      </c>
      <c r="BN73" s="113" t="s">
        <v>468</v>
      </c>
      <c r="BO73" s="113">
        <v>2.6030000000000002</v>
      </c>
      <c r="BP73" s="113">
        <v>2.6030000000000002</v>
      </c>
      <c r="BQ73" s="113">
        <v>2.6030000000000002</v>
      </c>
      <c r="BR73" s="113">
        <v>2.6030000000000002</v>
      </c>
      <c r="BS73" s="52">
        <v>2.6030000000000002</v>
      </c>
      <c r="BT73" s="54"/>
      <c r="BU73" t="s">
        <v>170</v>
      </c>
      <c r="BV73" t="s">
        <v>170</v>
      </c>
      <c r="BW73" t="s">
        <v>181</v>
      </c>
      <c r="BX73">
        <v>2.606497337</v>
      </c>
      <c r="BY73">
        <v>2.606497337</v>
      </c>
      <c r="BZ73">
        <v>2.606497337</v>
      </c>
      <c r="CA73">
        <v>2.606497337</v>
      </c>
      <c r="CB73">
        <v>2.606497337</v>
      </c>
      <c r="CC73">
        <v>-8.2810446999999954</v>
      </c>
    </row>
    <row r="74" spans="1:81">
      <c r="A74" s="113"/>
      <c r="N74" s="113"/>
      <c r="P74" s="113"/>
      <c r="Q74" s="113" t="s">
        <v>170</v>
      </c>
      <c r="R74" s="113" t="s">
        <v>508</v>
      </c>
      <c r="S74" s="113"/>
      <c r="T74" s="113">
        <v>55472</v>
      </c>
      <c r="U74" s="113" t="b">
        <v>1</v>
      </c>
      <c r="V74" s="113" t="s">
        <v>65</v>
      </c>
      <c r="W74" s="113" t="s">
        <v>65</v>
      </c>
      <c r="X74" s="52" t="s">
        <v>65</v>
      </c>
      <c r="Y74" s="52">
        <v>5</v>
      </c>
      <c r="Z74" s="113" t="s">
        <v>65</v>
      </c>
      <c r="AA74" s="113" t="s">
        <v>65</v>
      </c>
      <c r="AB74" s="113" t="s">
        <v>65</v>
      </c>
      <c r="AC74" s="113"/>
      <c r="AD74" s="113"/>
      <c r="AE74" s="113" t="s">
        <v>65</v>
      </c>
      <c r="AF74" s="113" t="s">
        <v>65</v>
      </c>
      <c r="AG74" s="113" t="s">
        <v>549</v>
      </c>
      <c r="AH74" s="113" t="s">
        <v>549</v>
      </c>
      <c r="AI74" s="113" t="s">
        <v>549</v>
      </c>
      <c r="AJ74" s="52" t="s">
        <v>549</v>
      </c>
      <c r="AK74" s="113" t="s">
        <v>65</v>
      </c>
      <c r="AL74" s="113"/>
      <c r="AM74" s="113"/>
      <c r="AN74" s="113" t="s">
        <v>65</v>
      </c>
      <c r="AO74" s="113" t="s">
        <v>65</v>
      </c>
      <c r="AP74" s="113" t="s">
        <v>549</v>
      </c>
      <c r="AQ74" s="113" t="s">
        <v>549</v>
      </c>
      <c r="AR74" s="113" t="s">
        <v>549</v>
      </c>
      <c r="AS74" s="52" t="s">
        <v>549</v>
      </c>
      <c r="AT74" s="113" t="s">
        <v>65</v>
      </c>
      <c r="AU74" s="113"/>
      <c r="AV74" s="113" t="s">
        <v>65</v>
      </c>
      <c r="AW74" s="113" t="s">
        <v>65</v>
      </c>
      <c r="AX74" s="113" t="s">
        <v>549</v>
      </c>
      <c r="AY74" s="113" t="s">
        <v>549</v>
      </c>
      <c r="AZ74" s="113" t="s">
        <v>549</v>
      </c>
      <c r="BA74" s="113" t="s">
        <v>549</v>
      </c>
      <c r="BB74" s="52" t="s">
        <v>65</v>
      </c>
      <c r="BC74" s="113"/>
      <c r="BD74" s="113" t="s">
        <v>65</v>
      </c>
      <c r="BE74" s="113" t="s">
        <v>65</v>
      </c>
      <c r="BF74" s="113" t="s">
        <v>549</v>
      </c>
      <c r="BG74" s="113" t="s">
        <v>549</v>
      </c>
      <c r="BH74" s="113" t="s">
        <v>549</v>
      </c>
      <c r="BI74" s="113" t="s">
        <v>549</v>
      </c>
      <c r="BJ74" s="113" t="s">
        <v>65</v>
      </c>
      <c r="BK74" s="113"/>
      <c r="BL74" s="113" t="s">
        <v>48</v>
      </c>
      <c r="BM74" s="113" t="s">
        <v>48</v>
      </c>
      <c r="BN74" s="113" t="s">
        <v>472</v>
      </c>
      <c r="BO74" s="113">
        <v>2.6389999999999998</v>
      </c>
      <c r="BP74" s="113">
        <v>2.6389999999999998</v>
      </c>
      <c r="BQ74" s="113">
        <v>2.6389999999999998</v>
      </c>
      <c r="BR74" s="113">
        <v>2.6389999999999998</v>
      </c>
      <c r="BS74" s="52">
        <v>2.6389999999999998</v>
      </c>
      <c r="BT74" s="54"/>
      <c r="BU74" t="s">
        <v>171</v>
      </c>
      <c r="BV74" t="s">
        <v>171</v>
      </c>
      <c r="BW74" t="s">
        <v>182</v>
      </c>
      <c r="BX74">
        <v>2.612403751</v>
      </c>
      <c r="BY74">
        <v>2.612403751</v>
      </c>
      <c r="BZ74">
        <v>2.612403751</v>
      </c>
      <c r="CA74">
        <v>2.612403751</v>
      </c>
      <c r="CB74">
        <v>2.612403751</v>
      </c>
      <c r="CC74">
        <v>-8.2346380000000163</v>
      </c>
    </row>
    <row r="75" spans="1:81">
      <c r="A75" s="113"/>
      <c r="N75" s="113"/>
      <c r="P75" s="113"/>
      <c r="Q75" s="113" t="s">
        <v>171</v>
      </c>
      <c r="R75" s="113" t="s">
        <v>508</v>
      </c>
      <c r="S75" s="113"/>
      <c r="T75" s="113">
        <v>55838</v>
      </c>
      <c r="U75" s="113" t="b">
        <v>1</v>
      </c>
      <c r="V75" s="113" t="s">
        <v>65</v>
      </c>
      <c r="W75" s="113" t="s">
        <v>65</v>
      </c>
      <c r="X75" s="52" t="s">
        <v>65</v>
      </c>
      <c r="Y75" s="52">
        <v>5</v>
      </c>
      <c r="Z75" s="113" t="s">
        <v>65</v>
      </c>
      <c r="AA75" s="113" t="s">
        <v>65</v>
      </c>
      <c r="AB75" s="113" t="s">
        <v>65</v>
      </c>
      <c r="AC75" s="113"/>
      <c r="AD75" s="113"/>
      <c r="AE75" s="113" t="s">
        <v>65</v>
      </c>
      <c r="AF75" s="113" t="s">
        <v>65</v>
      </c>
      <c r="AG75" s="113" t="s">
        <v>549</v>
      </c>
      <c r="AH75" s="113" t="s">
        <v>549</v>
      </c>
      <c r="AI75" s="113" t="s">
        <v>549</v>
      </c>
      <c r="AJ75" s="52" t="s">
        <v>549</v>
      </c>
      <c r="AK75" s="113" t="s">
        <v>65</v>
      </c>
      <c r="AL75" s="113"/>
      <c r="AM75" s="113"/>
      <c r="AN75" s="113" t="s">
        <v>65</v>
      </c>
      <c r="AO75" s="113" t="s">
        <v>65</v>
      </c>
      <c r="AP75" s="113" t="s">
        <v>549</v>
      </c>
      <c r="AQ75" s="113" t="s">
        <v>549</v>
      </c>
      <c r="AR75" s="113" t="s">
        <v>549</v>
      </c>
      <c r="AS75" s="52" t="s">
        <v>549</v>
      </c>
      <c r="AT75" s="113" t="s">
        <v>65</v>
      </c>
      <c r="AU75" s="113"/>
      <c r="AV75" s="113" t="s">
        <v>65</v>
      </c>
      <c r="AW75" s="113" t="s">
        <v>65</v>
      </c>
      <c r="AX75" s="113" t="s">
        <v>549</v>
      </c>
      <c r="AY75" s="113" t="s">
        <v>549</v>
      </c>
      <c r="AZ75" s="113" t="s">
        <v>549</v>
      </c>
      <c r="BA75" s="113" t="s">
        <v>549</v>
      </c>
      <c r="BB75" s="52" t="s">
        <v>65</v>
      </c>
      <c r="BC75" s="113"/>
      <c r="BD75" s="113" t="s">
        <v>65</v>
      </c>
      <c r="BE75" s="113" t="s">
        <v>65</v>
      </c>
      <c r="BF75" s="113" t="s">
        <v>549</v>
      </c>
      <c r="BG75" s="113" t="s">
        <v>549</v>
      </c>
      <c r="BH75" s="113" t="s">
        <v>549</v>
      </c>
      <c r="BI75" s="113" t="s">
        <v>549</v>
      </c>
      <c r="BJ75" s="113" t="s">
        <v>65</v>
      </c>
      <c r="BK75" s="113"/>
      <c r="BL75" s="113"/>
      <c r="BM75" s="113"/>
      <c r="BN75" s="113"/>
      <c r="BO75" s="113"/>
      <c r="BP75" s="113"/>
      <c r="BQ75" s="113"/>
      <c r="BR75" s="113"/>
      <c r="BS75" s="52"/>
      <c r="BT75" s="54"/>
      <c r="BU75" t="s">
        <v>46</v>
      </c>
      <c r="BV75" t="s">
        <v>46</v>
      </c>
      <c r="BW75" t="s">
        <v>153</v>
      </c>
      <c r="BX75">
        <v>2.6179999999999999</v>
      </c>
      <c r="BY75">
        <v>2.6179999999999999</v>
      </c>
      <c r="BZ75">
        <v>2.6179999999999999</v>
      </c>
      <c r="CA75">
        <v>2.6179999999999999</v>
      </c>
      <c r="CB75">
        <v>2.6179999999999999</v>
      </c>
      <c r="CC75">
        <v>-8.2000000000000295</v>
      </c>
    </row>
    <row r="76" spans="1:81">
      <c r="A76" s="113"/>
      <c r="N76" s="113"/>
      <c r="P76" s="113"/>
      <c r="Q76" s="113" t="s">
        <v>46</v>
      </c>
      <c r="R76" s="113" t="s">
        <v>508</v>
      </c>
      <c r="S76" s="113"/>
      <c r="T76" s="113">
        <v>56205</v>
      </c>
      <c r="U76" s="113" t="b">
        <v>1</v>
      </c>
      <c r="V76" s="113" t="s">
        <v>65</v>
      </c>
      <c r="W76" s="113" t="s">
        <v>65</v>
      </c>
      <c r="X76" s="52" t="s">
        <v>65</v>
      </c>
      <c r="Y76" s="52">
        <v>5</v>
      </c>
      <c r="Z76" s="113" t="s">
        <v>65</v>
      </c>
      <c r="AA76" s="113" t="s">
        <v>65</v>
      </c>
      <c r="AB76" s="113" t="s">
        <v>65</v>
      </c>
      <c r="AC76" s="113"/>
      <c r="AD76" s="113"/>
      <c r="AE76" s="113" t="s">
        <v>65</v>
      </c>
      <c r="AF76" s="113" t="s">
        <v>65</v>
      </c>
      <c r="AG76" s="113" t="s">
        <v>549</v>
      </c>
      <c r="AH76" s="113" t="s">
        <v>549</v>
      </c>
      <c r="AI76" s="113" t="s">
        <v>549</v>
      </c>
      <c r="AJ76" s="52" t="s">
        <v>549</v>
      </c>
      <c r="AK76" s="113" t="s">
        <v>65</v>
      </c>
      <c r="AL76" s="113"/>
      <c r="AM76" s="113"/>
      <c r="AN76" s="113" t="s">
        <v>65</v>
      </c>
      <c r="AO76" s="113" t="s">
        <v>65</v>
      </c>
      <c r="AP76" s="113" t="s">
        <v>549</v>
      </c>
      <c r="AQ76" s="113" t="s">
        <v>549</v>
      </c>
      <c r="AR76" s="113" t="s">
        <v>549</v>
      </c>
      <c r="AS76" s="52" t="s">
        <v>549</v>
      </c>
      <c r="AT76" s="113" t="s">
        <v>65</v>
      </c>
      <c r="AU76" s="113"/>
      <c r="AV76" s="113" t="s">
        <v>65</v>
      </c>
      <c r="AW76" s="113" t="s">
        <v>65</v>
      </c>
      <c r="AX76" s="113" t="s">
        <v>549</v>
      </c>
      <c r="AY76" s="113" t="s">
        <v>549</v>
      </c>
      <c r="AZ76" s="113" t="s">
        <v>549</v>
      </c>
      <c r="BA76" s="113" t="s">
        <v>549</v>
      </c>
      <c r="BB76" s="52" t="s">
        <v>65</v>
      </c>
      <c r="BC76" s="113"/>
      <c r="BD76" s="113" t="s">
        <v>65</v>
      </c>
      <c r="BE76" s="113" t="s">
        <v>65</v>
      </c>
      <c r="BF76" s="113" t="s">
        <v>549</v>
      </c>
      <c r="BG76" s="113" t="s">
        <v>549</v>
      </c>
      <c r="BH76" s="113" t="s">
        <v>549</v>
      </c>
      <c r="BI76" s="113" t="s">
        <v>549</v>
      </c>
      <c r="BJ76" s="113" t="s">
        <v>65</v>
      </c>
      <c r="BK76" s="113"/>
      <c r="BL76" s="113"/>
      <c r="BM76" s="113"/>
      <c r="BN76" s="113"/>
      <c r="BO76" s="113"/>
      <c r="BP76" s="113"/>
      <c r="BQ76" s="113"/>
      <c r="BR76" s="113"/>
      <c r="BS76" s="52"/>
      <c r="BT76" s="54"/>
      <c r="BU76" t="s">
        <v>47</v>
      </c>
      <c r="BV76" t="s">
        <v>47</v>
      </c>
      <c r="BW76" t="s">
        <v>154</v>
      </c>
      <c r="BX76">
        <v>2.6619999999999999</v>
      </c>
      <c r="BY76">
        <v>2.6619999999999999</v>
      </c>
      <c r="BZ76">
        <v>2.6619999999999999</v>
      </c>
      <c r="CA76">
        <v>2.6619999999999999</v>
      </c>
      <c r="CB76">
        <v>2.6619999999999999</v>
      </c>
      <c r="CC76">
        <v>-8.3000000000000185</v>
      </c>
    </row>
    <row r="77" spans="1:81">
      <c r="A77" s="113"/>
      <c r="N77" s="113"/>
      <c r="P77" s="113"/>
      <c r="Q77" s="113" t="s">
        <v>47</v>
      </c>
      <c r="R77" s="113" t="s">
        <v>508</v>
      </c>
      <c r="S77" s="113"/>
      <c r="T77" s="113">
        <v>59855</v>
      </c>
      <c r="U77" s="113" t="b">
        <v>1</v>
      </c>
      <c r="V77" s="113" t="s">
        <v>65</v>
      </c>
      <c r="W77" s="113" t="s">
        <v>65</v>
      </c>
      <c r="X77" s="52" t="s">
        <v>65</v>
      </c>
      <c r="Y77" s="52">
        <v>5</v>
      </c>
      <c r="Z77" s="113" t="s">
        <v>65</v>
      </c>
      <c r="AA77" s="113" t="s">
        <v>65</v>
      </c>
      <c r="AB77" s="113" t="s">
        <v>65</v>
      </c>
      <c r="AC77" s="113"/>
      <c r="AD77" s="113"/>
      <c r="AE77" s="113" t="s">
        <v>65</v>
      </c>
      <c r="AF77" s="113" t="s">
        <v>65</v>
      </c>
      <c r="AG77" s="113" t="s">
        <v>549</v>
      </c>
      <c r="AH77" s="113" t="s">
        <v>549</v>
      </c>
      <c r="AI77" s="113" t="s">
        <v>549</v>
      </c>
      <c r="AJ77" s="52" t="s">
        <v>549</v>
      </c>
      <c r="AK77" s="113" t="s">
        <v>65</v>
      </c>
      <c r="AL77" s="113"/>
      <c r="AM77" s="113"/>
      <c r="AN77" s="113" t="s">
        <v>65</v>
      </c>
      <c r="AO77" s="113" t="s">
        <v>65</v>
      </c>
      <c r="AP77" s="113" t="s">
        <v>549</v>
      </c>
      <c r="AQ77" s="113" t="s">
        <v>549</v>
      </c>
      <c r="AR77" s="113" t="s">
        <v>549</v>
      </c>
      <c r="AS77" s="52" t="s">
        <v>549</v>
      </c>
      <c r="AT77" s="113" t="s">
        <v>65</v>
      </c>
      <c r="AU77" s="113"/>
      <c r="AV77" s="113" t="s">
        <v>65</v>
      </c>
      <c r="AW77" s="113" t="s">
        <v>65</v>
      </c>
      <c r="AX77" s="113"/>
      <c r="AY77" s="113"/>
      <c r="AZ77" s="113">
        <v>0</v>
      </c>
      <c r="BA77" s="113">
        <v>0</v>
      </c>
      <c r="BB77" s="52" t="s">
        <v>65</v>
      </c>
      <c r="BC77" s="113"/>
      <c r="BD77" s="113" t="s">
        <v>65</v>
      </c>
      <c r="BE77" s="113" t="s">
        <v>65</v>
      </c>
      <c r="BF77" s="113" t="s">
        <v>549</v>
      </c>
      <c r="BG77" s="113" t="s">
        <v>549</v>
      </c>
      <c r="BH77" s="113" t="s">
        <v>549</v>
      </c>
      <c r="BI77" s="113" t="s">
        <v>549</v>
      </c>
      <c r="BJ77" s="113" t="s">
        <v>65</v>
      </c>
      <c r="BK77" s="113"/>
      <c r="BL77" s="113"/>
      <c r="BM77" s="113"/>
      <c r="BN77" s="113"/>
      <c r="BO77" s="113"/>
      <c r="BP77" s="113"/>
      <c r="BQ77" s="113"/>
      <c r="BR77" s="113"/>
      <c r="BS77" s="52"/>
      <c r="BT77" s="54"/>
      <c r="BU77" t="s">
        <v>48</v>
      </c>
      <c r="BV77" t="s">
        <v>48</v>
      </c>
      <c r="BW77" t="s">
        <v>155</v>
      </c>
      <c r="BX77">
        <v>2.6970000000000001</v>
      </c>
      <c r="BY77">
        <v>2.6970000000000001</v>
      </c>
      <c r="BZ77">
        <v>2.6970000000000001</v>
      </c>
      <c r="CA77">
        <v>2.6970000000000001</v>
      </c>
      <c r="CB77">
        <v>2.6970000000000001</v>
      </c>
      <c r="CC77">
        <v>-8.2999999999999741</v>
      </c>
    </row>
    <row r="78" spans="1:81">
      <c r="A78" s="113"/>
      <c r="N78" s="113"/>
      <c r="P78" s="113"/>
      <c r="Q78" s="113" t="s">
        <v>48</v>
      </c>
      <c r="R78" s="113" t="s">
        <v>508</v>
      </c>
      <c r="S78" s="113"/>
      <c r="T78" s="113">
        <v>63508</v>
      </c>
      <c r="U78" s="113" t="b">
        <v>1</v>
      </c>
      <c r="V78" s="113" t="s">
        <v>65</v>
      </c>
      <c r="W78" s="113" t="s">
        <v>65</v>
      </c>
      <c r="X78" s="52" t="s">
        <v>65</v>
      </c>
      <c r="Y78" s="52">
        <v>5</v>
      </c>
      <c r="Z78" s="113" t="s">
        <v>65</v>
      </c>
      <c r="AA78" s="113" t="s">
        <v>65</v>
      </c>
      <c r="AB78" s="113" t="s">
        <v>65</v>
      </c>
      <c r="AC78" s="113"/>
      <c r="AD78" s="113"/>
      <c r="AE78" s="113" t="s">
        <v>65</v>
      </c>
      <c r="AF78" s="113" t="s">
        <v>65</v>
      </c>
      <c r="AG78" s="113" t="s">
        <v>549</v>
      </c>
      <c r="AH78" s="113" t="s">
        <v>549</v>
      </c>
      <c r="AI78" s="113" t="s">
        <v>549</v>
      </c>
      <c r="AJ78" s="52" t="s">
        <v>549</v>
      </c>
      <c r="AK78" s="113" t="s">
        <v>65</v>
      </c>
      <c r="AL78" s="113"/>
      <c r="AM78" s="113"/>
      <c r="AN78" s="113" t="s">
        <v>65</v>
      </c>
      <c r="AO78" s="113" t="s">
        <v>65</v>
      </c>
      <c r="AP78" s="113" t="s">
        <v>549</v>
      </c>
      <c r="AQ78" s="113" t="s">
        <v>549</v>
      </c>
      <c r="AR78" s="113" t="s">
        <v>549</v>
      </c>
      <c r="AS78" s="52" t="s">
        <v>549</v>
      </c>
      <c r="AT78" s="113" t="s">
        <v>65</v>
      </c>
      <c r="AU78" s="113"/>
      <c r="AV78" s="113" t="s">
        <v>65</v>
      </c>
      <c r="AW78" s="113" t="s">
        <v>65</v>
      </c>
      <c r="AX78" s="113"/>
      <c r="AY78" s="113"/>
      <c r="AZ78" s="113">
        <v>0</v>
      </c>
      <c r="BA78" s="113">
        <v>0</v>
      </c>
      <c r="BB78" s="52" t="s">
        <v>65</v>
      </c>
      <c r="BC78" s="113"/>
      <c r="BD78" s="113" t="s">
        <v>65</v>
      </c>
      <c r="BE78" s="113" t="s">
        <v>65</v>
      </c>
      <c r="BF78" s="113" t="s">
        <v>549</v>
      </c>
      <c r="BG78" s="113" t="s">
        <v>549</v>
      </c>
      <c r="BH78" s="113" t="s">
        <v>549</v>
      </c>
      <c r="BI78" s="113" t="s">
        <v>549</v>
      </c>
      <c r="BJ78" s="113" t="s">
        <v>65</v>
      </c>
      <c r="BK78" s="113"/>
      <c r="BL78" s="113"/>
      <c r="BM78" s="113"/>
      <c r="BN78" s="113"/>
      <c r="BO78" s="113"/>
      <c r="BP78" s="113"/>
      <c r="BQ78" s="113"/>
      <c r="BR78" s="113"/>
      <c r="BS78" s="52"/>
      <c r="BT78" s="113"/>
    </row>
    <row r="79" spans="1:81">
      <c r="A79" s="113"/>
      <c r="N79" s="113"/>
      <c r="P79" s="113"/>
      <c r="Q79" s="113"/>
      <c r="R79" s="113"/>
      <c r="S79" s="113"/>
      <c r="T79" s="113"/>
      <c r="U79" s="113"/>
      <c r="V79" s="113"/>
      <c r="W79" s="113"/>
      <c r="X79" s="52"/>
      <c r="Y79" s="52"/>
      <c r="Z79" s="113"/>
      <c r="AA79" s="113"/>
      <c r="AB79" s="113"/>
      <c r="AC79" s="113"/>
      <c r="AD79" s="113"/>
      <c r="AE79" s="113"/>
      <c r="AF79" s="113"/>
      <c r="AG79" s="113"/>
      <c r="AH79" s="113"/>
      <c r="AI79" s="113"/>
      <c r="AJ79" s="52"/>
      <c r="AK79" s="113"/>
      <c r="AL79" s="113"/>
      <c r="AM79" s="113"/>
      <c r="AN79" s="113"/>
      <c r="AO79" s="113"/>
      <c r="AP79" s="113"/>
      <c r="AQ79" s="113"/>
      <c r="AR79" s="113"/>
      <c r="AS79" s="52"/>
      <c r="AT79" s="113"/>
      <c r="AU79" s="113"/>
      <c r="AV79" s="113"/>
      <c r="AW79" s="113"/>
      <c r="AX79" s="113"/>
      <c r="AY79" s="113"/>
      <c r="AZ79" s="113"/>
      <c r="BA79" s="113"/>
      <c r="BB79" s="52"/>
      <c r="BC79" s="113"/>
      <c r="BD79" s="113"/>
      <c r="BE79" s="113"/>
      <c r="BF79" s="113"/>
      <c r="BG79" s="113"/>
      <c r="BH79" s="113"/>
      <c r="BI79" s="113"/>
      <c r="BJ79" s="113"/>
      <c r="BK79" s="113"/>
      <c r="BL79" s="113"/>
      <c r="BM79" s="113"/>
      <c r="BN79" s="113"/>
      <c r="BO79" s="113"/>
      <c r="BP79" s="113"/>
      <c r="BQ79" s="113"/>
      <c r="BR79" s="113"/>
      <c r="BS79" s="52"/>
      <c r="BT79" s="113"/>
    </row>
    <row r="80" spans="1:81">
      <c r="A80" s="113"/>
      <c r="N80" s="113"/>
      <c r="P80" s="113"/>
      <c r="Q80" s="113"/>
      <c r="R80" s="113"/>
      <c r="S80" s="113"/>
      <c r="T80" s="113"/>
      <c r="U80" s="113"/>
      <c r="V80" s="113"/>
      <c r="W80" s="113"/>
      <c r="X80" s="52"/>
      <c r="Y80" s="52"/>
      <c r="Z80" s="113"/>
      <c r="AA80" s="113"/>
      <c r="AB80" s="113"/>
      <c r="AC80" s="113"/>
      <c r="AD80" s="113"/>
      <c r="AE80" s="113"/>
      <c r="AF80" s="113"/>
      <c r="AG80" s="113"/>
      <c r="AH80" s="113"/>
      <c r="AI80" s="113"/>
      <c r="AJ80" s="113"/>
      <c r="AK80" s="113"/>
      <c r="AL80" s="113"/>
      <c r="AM80" s="113"/>
      <c r="AN80" s="113"/>
      <c r="AO80" s="113"/>
      <c r="AP80" s="113"/>
      <c r="AQ80" s="113"/>
      <c r="AR80" s="113"/>
      <c r="AS80" s="113"/>
      <c r="AT80" s="113"/>
      <c r="AU80" s="113"/>
      <c r="AV80" s="113"/>
      <c r="AW80" s="113"/>
      <c r="AX80" s="113"/>
      <c r="AY80" s="113"/>
      <c r="AZ80" s="113"/>
      <c r="BA80" s="113"/>
      <c r="BB80" s="113"/>
      <c r="BC80" s="113"/>
      <c r="BD80" s="113"/>
      <c r="BE80" s="113"/>
      <c r="BF80" s="113"/>
      <c r="BG80" s="113"/>
      <c r="BH80" s="113"/>
      <c r="BI80" s="113"/>
      <c r="BJ80" s="113"/>
      <c r="BK80" s="113"/>
      <c r="BL80" s="113"/>
      <c r="BM80" s="113"/>
      <c r="BN80" s="113"/>
      <c r="BO80" s="113"/>
      <c r="BP80" s="113"/>
      <c r="BQ80" s="113"/>
      <c r="BR80" s="113"/>
      <c r="BS80" s="52"/>
      <c r="BT80" s="113"/>
    </row>
    <row r="81" spans="1:72">
      <c r="A81" s="113"/>
      <c r="N81" s="113"/>
      <c r="P81" s="113"/>
      <c r="Q81" s="113"/>
      <c r="R81" s="113"/>
      <c r="S81" s="113"/>
      <c r="T81" s="113"/>
      <c r="U81" s="113"/>
      <c r="V81" s="113"/>
      <c r="W81" s="113"/>
      <c r="X81" s="52"/>
      <c r="Y81" s="52"/>
      <c r="Z81" s="113"/>
      <c r="AA81" s="113"/>
      <c r="AB81" s="113"/>
      <c r="AC81" s="113"/>
      <c r="AD81" s="113"/>
      <c r="AE81" s="113"/>
      <c r="AF81" s="113"/>
      <c r="AG81" s="113"/>
      <c r="AH81" s="113"/>
      <c r="AI81" s="113"/>
      <c r="AJ81" s="113"/>
      <c r="AK81" s="113"/>
      <c r="AL81" s="113"/>
      <c r="AM81" s="113"/>
      <c r="AN81" s="113"/>
      <c r="AO81" s="113"/>
      <c r="AP81" s="113"/>
      <c r="AQ81" s="113"/>
      <c r="AR81" s="113"/>
      <c r="AS81" s="113"/>
      <c r="AT81" s="113"/>
      <c r="AU81" s="113"/>
      <c r="AV81" s="113"/>
      <c r="AW81" s="113"/>
      <c r="AX81" s="113"/>
      <c r="AY81" s="113"/>
      <c r="AZ81" s="113"/>
      <c r="BA81" s="113"/>
      <c r="BB81" s="113"/>
      <c r="BC81" s="113"/>
      <c r="BD81" s="113"/>
      <c r="BE81" s="113"/>
      <c r="BF81" s="113"/>
      <c r="BG81" s="113"/>
      <c r="BH81" s="113"/>
      <c r="BI81" s="113"/>
      <c r="BJ81" s="113"/>
      <c r="BK81" s="113"/>
      <c r="BL81" s="113"/>
      <c r="BM81" s="113"/>
      <c r="BN81" s="113"/>
      <c r="BO81" s="113"/>
      <c r="BP81" s="113"/>
      <c r="BQ81" s="113"/>
      <c r="BR81" s="113"/>
      <c r="BS81" s="113"/>
      <c r="BT81" s="113"/>
    </row>
    <row r="82" spans="1:72">
      <c r="A82" s="113"/>
      <c r="N82" s="113"/>
      <c r="P82" s="113"/>
      <c r="Q82" s="113"/>
      <c r="R82" s="113"/>
      <c r="S82" s="113"/>
      <c r="T82" s="113"/>
      <c r="U82" s="113"/>
      <c r="V82" s="113"/>
      <c r="W82" s="113"/>
      <c r="X82" s="52"/>
      <c r="Y82" s="52"/>
      <c r="Z82" s="113"/>
      <c r="AA82" s="113"/>
      <c r="AB82" s="113"/>
      <c r="AC82" s="113"/>
      <c r="AD82" s="113"/>
      <c r="AE82" s="113"/>
      <c r="AF82" s="113"/>
      <c r="AG82" s="113"/>
      <c r="AH82" s="113"/>
      <c r="AI82" s="113"/>
      <c r="AJ82" s="113"/>
      <c r="AK82" s="113"/>
      <c r="AL82" s="113"/>
      <c r="AM82" s="113"/>
      <c r="AN82" s="113"/>
      <c r="AO82" s="113"/>
      <c r="AP82" s="113"/>
      <c r="AQ82" s="113"/>
      <c r="AR82" s="113"/>
      <c r="AS82" s="113"/>
      <c r="AT82" s="113"/>
      <c r="AU82" s="113"/>
      <c r="AV82" s="113"/>
      <c r="AW82" s="113"/>
      <c r="AX82" s="113"/>
      <c r="AY82" s="113"/>
      <c r="AZ82" s="113"/>
      <c r="BA82" s="113"/>
      <c r="BB82" s="113"/>
      <c r="BC82" s="113"/>
      <c r="BD82" s="113"/>
      <c r="BE82" s="113"/>
      <c r="BF82" s="113"/>
      <c r="BG82" s="113"/>
      <c r="BH82" s="113"/>
      <c r="BI82" s="113"/>
      <c r="BJ82" s="113"/>
      <c r="BK82" s="113"/>
      <c r="BL82" s="113"/>
      <c r="BM82" s="113"/>
      <c r="BN82" s="113"/>
      <c r="BO82" s="113"/>
      <c r="BP82" s="113"/>
      <c r="BQ82" s="113"/>
      <c r="BR82" s="113"/>
      <c r="BS82" s="113"/>
      <c r="BT82" s="113"/>
    </row>
    <row r="83" spans="1:72">
      <c r="A83" s="113"/>
      <c r="N83" s="113"/>
      <c r="P83" s="113"/>
      <c r="Q83" s="113"/>
      <c r="R83" s="113"/>
      <c r="S83" s="113"/>
      <c r="T83" s="113"/>
      <c r="U83" s="113"/>
      <c r="V83" s="113"/>
      <c r="W83" s="113"/>
      <c r="X83" s="52"/>
      <c r="Y83" s="52"/>
      <c r="Z83" s="113"/>
      <c r="AA83" s="113"/>
      <c r="AB83" s="113"/>
      <c r="AC83" s="113"/>
      <c r="AD83" s="113"/>
      <c r="AE83" s="113"/>
      <c r="AF83" s="113"/>
      <c r="AG83" s="113"/>
      <c r="AH83" s="113"/>
      <c r="AI83" s="113"/>
      <c r="AJ83" s="113"/>
      <c r="AK83" s="113"/>
      <c r="AL83" s="113"/>
      <c r="AM83" s="113"/>
      <c r="AN83" s="113"/>
      <c r="AO83" s="113"/>
      <c r="AP83" s="113"/>
      <c r="AQ83" s="113"/>
      <c r="AR83" s="113"/>
      <c r="AS83" s="113"/>
      <c r="AT83" s="113"/>
      <c r="AU83" s="113"/>
      <c r="AV83" s="113"/>
      <c r="AW83" s="113"/>
      <c r="AX83" s="113"/>
      <c r="AY83" s="113"/>
      <c r="AZ83" s="113"/>
      <c r="BA83" s="113"/>
      <c r="BB83" s="113"/>
      <c r="BC83" s="113"/>
      <c r="BD83" s="113"/>
      <c r="BE83" s="113"/>
      <c r="BF83" s="113"/>
      <c r="BG83" s="113"/>
      <c r="BH83" s="113"/>
      <c r="BI83" s="113"/>
      <c r="BJ83" s="113"/>
      <c r="BK83" s="113"/>
      <c r="BL83" s="113"/>
      <c r="BM83" s="113"/>
      <c r="BN83" s="113"/>
      <c r="BO83" s="113"/>
      <c r="BP83" s="113"/>
      <c r="BQ83" s="113"/>
      <c r="BR83" s="113"/>
      <c r="BS83" s="113"/>
      <c r="BT83" s="113"/>
    </row>
    <row r="84" spans="1:72">
      <c r="A84" s="113"/>
      <c r="N84" s="113"/>
      <c r="P84" s="113"/>
      <c r="Q84" s="113"/>
      <c r="R84" s="113"/>
      <c r="S84" s="113"/>
      <c r="T84" s="113"/>
      <c r="U84" s="113"/>
      <c r="V84" s="113"/>
      <c r="W84" s="113"/>
      <c r="X84" s="52"/>
      <c r="Y84" s="52"/>
      <c r="Z84" s="113"/>
      <c r="AA84" s="113"/>
      <c r="AB84" s="113"/>
      <c r="AC84" s="113"/>
      <c r="AD84" s="113"/>
      <c r="AE84" s="113"/>
      <c r="AF84" s="113"/>
      <c r="AG84" s="113"/>
      <c r="AH84" s="113"/>
      <c r="AI84" s="113"/>
      <c r="AJ84" s="113"/>
      <c r="AK84" s="113"/>
      <c r="AL84" s="113"/>
      <c r="AM84" s="113"/>
      <c r="AN84" s="113"/>
      <c r="AO84" s="113"/>
      <c r="AP84" s="113"/>
      <c r="AQ84" s="113"/>
      <c r="AR84" s="113"/>
      <c r="AS84" s="113"/>
      <c r="AT84" s="113"/>
      <c r="AU84" s="113"/>
      <c r="AV84" s="113"/>
      <c r="AW84" s="113"/>
      <c r="AX84" s="113"/>
      <c r="AY84" s="113"/>
      <c r="AZ84" s="113"/>
      <c r="BA84" s="113"/>
      <c r="BB84" s="113"/>
      <c r="BC84" s="113"/>
      <c r="BD84" s="113"/>
      <c r="BE84" s="113"/>
      <c r="BF84" s="113"/>
      <c r="BG84" s="113"/>
      <c r="BH84" s="113"/>
      <c r="BI84" s="113"/>
      <c r="BJ84" s="113"/>
      <c r="BK84" s="113"/>
      <c r="BL84" s="113"/>
      <c r="BM84" s="113"/>
      <c r="BN84" s="113"/>
      <c r="BO84" s="113"/>
      <c r="BP84" s="113"/>
      <c r="BQ84" s="113"/>
      <c r="BR84" s="113"/>
      <c r="BS84" s="113"/>
      <c r="BT84" s="113"/>
    </row>
    <row r="85" spans="1:72">
      <c r="A85" s="113"/>
      <c r="N85" s="113"/>
      <c r="P85" s="113"/>
      <c r="Q85" s="113"/>
      <c r="R85" s="113"/>
      <c r="S85" s="113"/>
      <c r="T85" s="113"/>
      <c r="U85" s="113"/>
      <c r="V85" s="113"/>
      <c r="W85" s="113"/>
      <c r="X85" s="52"/>
      <c r="Y85" s="52"/>
      <c r="Z85" s="113"/>
      <c r="AA85" s="113"/>
      <c r="AB85" s="113"/>
      <c r="AC85" s="113"/>
      <c r="AD85" s="113"/>
      <c r="AE85" s="113"/>
      <c r="AF85" s="113"/>
      <c r="AG85" s="113"/>
      <c r="AH85" s="113"/>
      <c r="AI85" s="113"/>
      <c r="AJ85" s="113"/>
      <c r="AK85" s="113"/>
      <c r="AL85" s="113"/>
      <c r="AM85" s="113"/>
      <c r="AN85" s="113"/>
      <c r="AO85" s="113"/>
      <c r="AP85" s="113"/>
      <c r="AQ85" s="113"/>
      <c r="AR85" s="113"/>
      <c r="AS85" s="113"/>
      <c r="AT85" s="113"/>
      <c r="AU85" s="113"/>
      <c r="AV85" s="113"/>
      <c r="AW85" s="113"/>
      <c r="AX85" s="113"/>
      <c r="AY85" s="113"/>
      <c r="AZ85" s="113"/>
      <c r="BA85" s="113"/>
      <c r="BB85" s="113"/>
      <c r="BC85" s="113"/>
      <c r="BD85" s="113"/>
      <c r="BE85" s="113"/>
      <c r="BF85" s="113"/>
      <c r="BG85" s="113"/>
      <c r="BH85" s="113"/>
      <c r="BI85" s="113"/>
      <c r="BJ85" s="113"/>
      <c r="BK85" s="113"/>
      <c r="BL85" s="113"/>
      <c r="BM85" s="113"/>
      <c r="BN85" s="113"/>
      <c r="BO85" s="113"/>
      <c r="BP85" s="113"/>
      <c r="BQ85" s="113"/>
      <c r="BR85" s="113"/>
      <c r="BS85" s="113"/>
      <c r="BT85" s="113"/>
    </row>
    <row r="86" spans="1:72">
      <c r="A86" s="113"/>
      <c r="N86" s="113"/>
      <c r="P86" s="113"/>
      <c r="Q86" s="113"/>
      <c r="R86" s="113"/>
      <c r="S86" s="113"/>
      <c r="T86" s="113"/>
      <c r="U86" s="113"/>
      <c r="V86" s="113"/>
      <c r="W86" s="113"/>
      <c r="X86" s="52"/>
      <c r="Y86" s="52"/>
      <c r="Z86" s="113"/>
      <c r="AA86" s="113"/>
      <c r="AB86" s="113"/>
      <c r="AC86" s="113"/>
      <c r="AD86" s="113"/>
      <c r="AE86" s="113"/>
      <c r="AF86" s="113"/>
      <c r="AG86" s="113"/>
      <c r="AH86" s="113"/>
      <c r="AI86" s="113"/>
      <c r="AJ86" s="113"/>
      <c r="AK86" s="113"/>
      <c r="AL86" s="113"/>
      <c r="AM86" s="113"/>
      <c r="AN86" s="113"/>
      <c r="AO86" s="113"/>
      <c r="AP86" s="113"/>
      <c r="AQ86" s="113"/>
      <c r="AR86" s="113"/>
      <c r="AS86" s="113"/>
      <c r="AT86" s="113"/>
      <c r="AU86" s="113"/>
      <c r="AV86" s="113"/>
      <c r="AW86" s="113"/>
      <c r="AX86" s="113"/>
      <c r="AY86" s="113"/>
      <c r="AZ86" s="113"/>
      <c r="BA86" s="113"/>
      <c r="BB86" s="113"/>
      <c r="BC86" s="113"/>
      <c r="BD86" s="113"/>
      <c r="BE86" s="113"/>
      <c r="BF86" s="113"/>
      <c r="BG86" s="113"/>
      <c r="BH86" s="113"/>
      <c r="BI86" s="113"/>
      <c r="BJ86" s="113"/>
      <c r="BK86" s="113"/>
      <c r="BL86" s="113"/>
      <c r="BM86" s="113"/>
      <c r="BN86" s="113"/>
      <c r="BO86" s="113"/>
      <c r="BP86" s="113"/>
      <c r="BQ86" s="113"/>
      <c r="BR86" s="113"/>
      <c r="BS86" s="113"/>
      <c r="BT86" s="113"/>
    </row>
    <row r="87" spans="1:72">
      <c r="A87" s="113"/>
      <c r="N87" s="113"/>
      <c r="P87" s="113"/>
      <c r="Q87" s="113"/>
      <c r="R87" s="113"/>
      <c r="S87" s="113"/>
      <c r="T87" s="113"/>
      <c r="U87" s="113"/>
      <c r="V87" s="113"/>
      <c r="W87" s="113"/>
      <c r="X87" s="52"/>
      <c r="Y87" s="52"/>
      <c r="Z87" s="113"/>
      <c r="AA87" s="113"/>
      <c r="AB87" s="113"/>
      <c r="AC87" s="113"/>
      <c r="AD87" s="113"/>
      <c r="AE87" s="113"/>
      <c r="AF87" s="113"/>
      <c r="AG87" s="113"/>
      <c r="AH87" s="113"/>
      <c r="AI87" s="113"/>
      <c r="AJ87" s="113"/>
      <c r="AK87" s="113"/>
      <c r="AL87" s="113"/>
      <c r="AM87" s="113"/>
      <c r="AN87" s="113"/>
      <c r="AO87" s="113"/>
      <c r="AP87" s="113"/>
      <c r="AQ87" s="113"/>
      <c r="AR87" s="113"/>
      <c r="AS87" s="113"/>
      <c r="AT87" s="113"/>
      <c r="AU87" s="113"/>
      <c r="AV87" s="113"/>
      <c r="AW87" s="113"/>
      <c r="AX87" s="113"/>
      <c r="AY87" s="113"/>
      <c r="AZ87" s="113"/>
      <c r="BA87" s="113"/>
      <c r="BB87" s="113"/>
      <c r="BC87" s="113"/>
      <c r="BD87" s="113"/>
      <c r="BE87" s="113"/>
      <c r="BF87" s="113"/>
      <c r="BG87" s="113"/>
      <c r="BH87" s="113"/>
      <c r="BI87" s="113"/>
      <c r="BJ87" s="113"/>
      <c r="BK87" s="113"/>
      <c r="BL87" s="113"/>
      <c r="BM87" s="113"/>
      <c r="BN87" s="113"/>
      <c r="BO87" s="113"/>
      <c r="BP87" s="113"/>
      <c r="BQ87" s="113"/>
      <c r="BR87" s="113"/>
      <c r="BS87" s="113"/>
      <c r="BT87" s="113"/>
    </row>
    <row r="88" spans="1:72">
      <c r="A88" s="113"/>
      <c r="N88" s="113"/>
      <c r="P88" s="113"/>
      <c r="Q88" s="113"/>
      <c r="R88" s="113"/>
      <c r="S88" s="113"/>
      <c r="T88" s="113"/>
      <c r="U88" s="113"/>
      <c r="V88" s="113"/>
      <c r="W88" s="113"/>
      <c r="X88" s="52"/>
      <c r="Y88" s="52"/>
      <c r="Z88" s="113"/>
      <c r="AA88" s="113"/>
      <c r="AB88" s="113"/>
      <c r="AC88" s="113"/>
      <c r="AD88" s="113"/>
      <c r="AE88" s="113"/>
      <c r="AF88" s="113"/>
      <c r="AG88" s="113"/>
      <c r="AH88" s="113"/>
      <c r="AI88" s="113"/>
      <c r="AJ88" s="113"/>
      <c r="AK88" s="113"/>
      <c r="AL88" s="113"/>
      <c r="AM88" s="113"/>
      <c r="AN88" s="113"/>
      <c r="AO88" s="113"/>
      <c r="AP88" s="113"/>
      <c r="AQ88" s="113"/>
      <c r="AR88" s="113"/>
      <c r="AS88" s="113"/>
      <c r="AT88" s="113"/>
      <c r="AU88" s="113"/>
      <c r="AV88" s="113"/>
      <c r="AW88" s="113"/>
      <c r="AX88" s="113"/>
      <c r="AY88" s="113"/>
      <c r="AZ88" s="113"/>
      <c r="BA88" s="113"/>
      <c r="BB88" s="113"/>
      <c r="BC88" s="113"/>
      <c r="BD88" s="113"/>
      <c r="BE88" s="113"/>
      <c r="BF88" s="113"/>
      <c r="BG88" s="113"/>
      <c r="BH88" s="113"/>
      <c r="BI88" s="113"/>
      <c r="BJ88" s="113"/>
      <c r="BK88" s="113"/>
      <c r="BL88" s="113"/>
      <c r="BM88" s="113"/>
      <c r="BN88" s="113"/>
      <c r="BO88" s="113"/>
      <c r="BP88" s="113"/>
      <c r="BQ88" s="113"/>
      <c r="BR88" s="113"/>
      <c r="BS88" s="113"/>
      <c r="BT88" s="113"/>
    </row>
    <row r="89" spans="1:72">
      <c r="A89" s="113"/>
      <c r="N89" s="113"/>
      <c r="P89" s="113"/>
      <c r="Q89" s="113"/>
      <c r="R89" s="113"/>
      <c r="S89" s="113"/>
      <c r="T89" s="113"/>
      <c r="U89" s="113"/>
      <c r="V89" s="113"/>
      <c r="W89" s="113"/>
      <c r="X89" s="52"/>
      <c r="Y89" s="52"/>
      <c r="Z89" s="113"/>
      <c r="AA89" s="113"/>
      <c r="AB89" s="113"/>
      <c r="AC89" s="113"/>
      <c r="AD89" s="113"/>
      <c r="AE89" s="113"/>
      <c r="AF89" s="113"/>
      <c r="AG89" s="113"/>
      <c r="AH89" s="113"/>
      <c r="AI89" s="113"/>
      <c r="AJ89" s="113"/>
      <c r="AK89" s="113"/>
      <c r="AL89" s="113"/>
      <c r="AM89" s="113"/>
      <c r="AN89" s="113"/>
      <c r="AO89" s="113"/>
      <c r="AP89" s="113"/>
      <c r="AQ89" s="113"/>
      <c r="AR89" s="113"/>
      <c r="AS89" s="113"/>
      <c r="AT89" s="113"/>
      <c r="AU89" s="113"/>
      <c r="AV89" s="113"/>
      <c r="AW89" s="113"/>
      <c r="AX89" s="113"/>
      <c r="AY89" s="113"/>
      <c r="AZ89" s="113"/>
      <c r="BA89" s="113"/>
      <c r="BB89" s="113"/>
      <c r="BC89" s="113"/>
      <c r="BD89" s="113"/>
      <c r="BE89" s="113"/>
      <c r="BF89" s="113"/>
      <c r="BG89" s="113"/>
      <c r="BH89" s="113"/>
      <c r="BI89" s="113"/>
      <c r="BJ89" s="113"/>
      <c r="BK89" s="113"/>
      <c r="BL89" s="113"/>
      <c r="BM89" s="113"/>
      <c r="BN89" s="113"/>
      <c r="BO89" s="113"/>
      <c r="BP89" s="113"/>
      <c r="BQ89" s="113"/>
      <c r="BR89" s="113"/>
      <c r="BS89" s="113"/>
      <c r="BT89" s="113"/>
    </row>
    <row r="90" spans="1:72">
      <c r="A90" s="113"/>
      <c r="N90" s="113"/>
      <c r="P90" s="113"/>
      <c r="Q90" s="113"/>
      <c r="R90" s="113"/>
      <c r="S90" s="113"/>
      <c r="T90" s="113"/>
      <c r="U90" s="113"/>
      <c r="V90" s="113"/>
      <c r="W90" s="113"/>
      <c r="X90" s="52"/>
      <c r="Y90" s="52"/>
      <c r="Z90" s="113"/>
      <c r="AA90" s="113"/>
      <c r="AB90" s="113"/>
      <c r="AC90" s="113"/>
      <c r="AD90" s="113"/>
      <c r="AE90" s="113"/>
      <c r="AF90" s="113"/>
      <c r="AG90" s="113"/>
      <c r="AH90" s="113"/>
      <c r="AI90" s="113"/>
      <c r="AJ90" s="113"/>
      <c r="AK90" s="113"/>
      <c r="AL90" s="113"/>
      <c r="AM90" s="113"/>
      <c r="AN90" s="113"/>
      <c r="AO90" s="113"/>
      <c r="AP90" s="113"/>
      <c r="AQ90" s="113"/>
      <c r="AR90" s="113"/>
      <c r="AS90" s="113"/>
      <c r="AT90" s="113"/>
      <c r="AU90" s="113"/>
      <c r="AV90" s="113"/>
      <c r="AW90" s="113"/>
      <c r="AX90" s="113"/>
      <c r="AY90" s="113"/>
      <c r="AZ90" s="113"/>
      <c r="BA90" s="113"/>
      <c r="BB90" s="113"/>
      <c r="BC90" s="113"/>
      <c r="BD90" s="113"/>
      <c r="BE90" s="113"/>
      <c r="BF90" s="113"/>
      <c r="BG90" s="113"/>
      <c r="BH90" s="113"/>
      <c r="BI90" s="113"/>
      <c r="BJ90" s="113"/>
      <c r="BK90" s="113"/>
      <c r="BL90" s="113"/>
      <c r="BM90" s="113"/>
      <c r="BN90" s="113"/>
      <c r="BO90" s="113"/>
      <c r="BP90" s="113"/>
      <c r="BQ90" s="113"/>
      <c r="BR90" s="113"/>
      <c r="BS90" s="113"/>
      <c r="BT90" s="113"/>
    </row>
    <row r="91" spans="1:72">
      <c r="A91" s="113"/>
      <c r="N91" s="113"/>
      <c r="P91" s="113"/>
      <c r="Q91" s="113"/>
      <c r="R91" s="113"/>
      <c r="S91" s="113"/>
      <c r="T91" s="113"/>
      <c r="U91" s="113"/>
      <c r="V91" s="113"/>
      <c r="W91" s="113"/>
      <c r="X91" s="52"/>
      <c r="Y91" s="52"/>
      <c r="Z91" s="113"/>
      <c r="AA91" s="113"/>
      <c r="AB91" s="113"/>
      <c r="AC91" s="113"/>
      <c r="AD91" s="113"/>
      <c r="AE91" s="113"/>
      <c r="AF91" s="113"/>
      <c r="AG91" s="113"/>
      <c r="AH91" s="113"/>
      <c r="AI91" s="113"/>
      <c r="AJ91" s="113"/>
      <c r="AK91" s="113"/>
      <c r="AL91" s="113"/>
      <c r="AM91" s="113"/>
      <c r="AN91" s="113"/>
      <c r="AO91" s="113"/>
      <c r="AP91" s="113"/>
      <c r="AQ91" s="113"/>
      <c r="AR91" s="113"/>
      <c r="AS91" s="113"/>
      <c r="AT91" s="113"/>
      <c r="AU91" s="113"/>
      <c r="AV91" s="113"/>
      <c r="AW91" s="113"/>
      <c r="AX91" s="113"/>
      <c r="AY91" s="113"/>
      <c r="AZ91" s="113"/>
      <c r="BA91" s="113"/>
      <c r="BB91" s="113"/>
      <c r="BC91" s="113"/>
      <c r="BD91" s="113"/>
      <c r="BE91" s="113"/>
      <c r="BF91" s="113"/>
      <c r="BG91" s="113"/>
      <c r="BH91" s="113"/>
      <c r="BI91" s="113"/>
      <c r="BJ91" s="113"/>
      <c r="BK91" s="113"/>
      <c r="BL91" s="113"/>
      <c r="BM91" s="113"/>
      <c r="BN91" s="113"/>
      <c r="BO91" s="113"/>
      <c r="BP91" s="113"/>
      <c r="BQ91" s="113"/>
      <c r="BR91" s="113"/>
      <c r="BS91" s="113"/>
      <c r="BT91" s="113"/>
    </row>
    <row r="92" spans="1:72">
      <c r="A92" s="113"/>
      <c r="N92" s="113"/>
      <c r="P92" s="113"/>
      <c r="Q92" s="113"/>
      <c r="R92" s="113"/>
      <c r="S92" s="113"/>
      <c r="T92" s="113"/>
      <c r="U92" s="113"/>
      <c r="V92" s="113"/>
      <c r="W92" s="113"/>
      <c r="X92" s="52"/>
      <c r="Y92" s="52"/>
      <c r="Z92" s="113"/>
      <c r="AA92" s="113"/>
      <c r="AB92" s="113"/>
      <c r="AC92" s="113"/>
      <c r="AD92" s="113"/>
      <c r="AE92" s="113"/>
      <c r="AF92" s="113"/>
      <c r="AG92" s="113"/>
      <c r="AH92" s="113"/>
      <c r="AI92" s="113"/>
      <c r="AJ92" s="113"/>
      <c r="AK92" s="113"/>
      <c r="AL92" s="113"/>
      <c r="AM92" s="113"/>
      <c r="AN92" s="113"/>
      <c r="AO92" s="113"/>
      <c r="AP92" s="113"/>
      <c r="AQ92" s="113"/>
      <c r="AR92" s="113"/>
      <c r="AS92" s="113"/>
      <c r="AT92" s="113"/>
      <c r="AU92" s="113"/>
      <c r="AV92" s="113"/>
      <c r="AW92" s="113"/>
      <c r="AX92" s="113"/>
      <c r="AY92" s="113"/>
      <c r="AZ92" s="113"/>
      <c r="BA92" s="113"/>
      <c r="BB92" s="113"/>
      <c r="BC92" s="113"/>
      <c r="BD92" s="113"/>
      <c r="BE92" s="113"/>
      <c r="BF92" s="113"/>
      <c r="BG92" s="113"/>
      <c r="BH92" s="113"/>
      <c r="BI92" s="113"/>
      <c r="BJ92" s="113"/>
      <c r="BK92" s="113"/>
      <c r="BL92" s="113"/>
      <c r="BM92" s="113"/>
      <c r="BN92" s="113"/>
      <c r="BO92" s="113"/>
      <c r="BP92" s="113"/>
      <c r="BQ92" s="113"/>
      <c r="BR92" s="113"/>
      <c r="BS92" s="113"/>
      <c r="BT92" s="113"/>
    </row>
    <row r="93" spans="1:72">
      <c r="A93" s="113"/>
      <c r="N93" s="113"/>
      <c r="P93" s="113"/>
      <c r="Q93" s="113"/>
      <c r="R93" s="113"/>
      <c r="S93" s="113"/>
      <c r="T93" s="113"/>
      <c r="U93" s="113"/>
      <c r="V93" s="113"/>
      <c r="W93" s="113"/>
      <c r="X93" s="52"/>
      <c r="Y93" s="52"/>
      <c r="Z93" s="113"/>
      <c r="AA93" s="113"/>
      <c r="AB93" s="113"/>
      <c r="AC93" s="113"/>
      <c r="AD93" s="113"/>
      <c r="AE93" s="113"/>
      <c r="AF93" s="113"/>
      <c r="AG93" s="113"/>
      <c r="AH93" s="113"/>
      <c r="AI93" s="113"/>
      <c r="AJ93" s="113"/>
      <c r="AK93" s="113"/>
      <c r="AL93" s="113"/>
      <c r="AM93" s="113"/>
      <c r="AN93" s="113"/>
      <c r="AO93" s="113"/>
      <c r="AP93" s="113"/>
      <c r="AQ93" s="113"/>
      <c r="AR93" s="113"/>
      <c r="AS93" s="113"/>
      <c r="AT93" s="113"/>
      <c r="AU93" s="113"/>
      <c r="AV93" s="113"/>
      <c r="AW93" s="113"/>
      <c r="AX93" s="113"/>
      <c r="AY93" s="113"/>
      <c r="AZ93" s="113"/>
      <c r="BA93" s="113"/>
      <c r="BB93" s="113"/>
      <c r="BC93" s="113"/>
      <c r="BD93" s="113"/>
      <c r="BE93" s="113"/>
      <c r="BF93" s="113"/>
      <c r="BG93" s="113"/>
      <c r="BH93" s="113"/>
      <c r="BI93" s="113"/>
      <c r="BJ93" s="113"/>
      <c r="BK93" s="113"/>
      <c r="BL93" s="113"/>
      <c r="BM93" s="113"/>
      <c r="BN93" s="113"/>
      <c r="BO93" s="113"/>
      <c r="BP93" s="113"/>
      <c r="BQ93" s="113"/>
      <c r="BR93" s="113"/>
      <c r="BS93" s="113"/>
      <c r="BT93" s="113"/>
    </row>
    <row r="94" spans="1:72">
      <c r="A94" s="113"/>
      <c r="N94" s="113"/>
      <c r="P94" s="113"/>
      <c r="Q94" s="113"/>
      <c r="R94" s="113"/>
      <c r="S94" s="113"/>
      <c r="T94" s="113"/>
      <c r="U94" s="113"/>
      <c r="V94" s="113"/>
      <c r="W94" s="113"/>
      <c r="X94" s="52"/>
      <c r="Y94" s="52"/>
      <c r="Z94" s="113"/>
      <c r="AA94" s="113"/>
      <c r="AB94" s="113"/>
      <c r="AC94" s="113"/>
      <c r="AD94" s="113"/>
      <c r="AE94" s="113"/>
      <c r="AF94" s="113"/>
      <c r="AG94" s="113"/>
      <c r="AH94" s="113"/>
      <c r="AI94" s="113"/>
      <c r="AJ94" s="113"/>
      <c r="AK94" s="113"/>
      <c r="AL94" s="113"/>
      <c r="AM94" s="113"/>
      <c r="AN94" s="113"/>
      <c r="AO94" s="113"/>
      <c r="AP94" s="113"/>
      <c r="AQ94" s="113"/>
      <c r="AR94" s="113"/>
      <c r="AS94" s="113"/>
      <c r="AT94" s="113"/>
      <c r="AU94" s="113"/>
      <c r="AV94" s="113"/>
      <c r="AW94" s="113"/>
      <c r="AX94" s="113"/>
      <c r="AY94" s="113"/>
      <c r="AZ94" s="113"/>
      <c r="BA94" s="113"/>
      <c r="BB94" s="113"/>
      <c r="BC94" s="113"/>
      <c r="BD94" s="113"/>
      <c r="BE94" s="113"/>
      <c r="BF94" s="113"/>
      <c r="BG94" s="113"/>
      <c r="BH94" s="113"/>
      <c r="BI94" s="113"/>
      <c r="BJ94" s="113"/>
      <c r="BK94" s="113"/>
      <c r="BL94" s="113"/>
      <c r="BM94" s="113"/>
      <c r="BN94" s="113"/>
      <c r="BO94" s="113"/>
      <c r="BP94" s="113"/>
      <c r="BQ94" s="113"/>
      <c r="BR94" s="113"/>
      <c r="BS94" s="113"/>
      <c r="BT94" s="113"/>
    </row>
    <row r="95" spans="1:72">
      <c r="A95" s="113"/>
      <c r="N95" s="113"/>
      <c r="P95" s="113"/>
      <c r="Q95" s="113"/>
      <c r="R95" s="113"/>
      <c r="S95" s="113"/>
      <c r="T95" s="113"/>
      <c r="U95" s="113"/>
      <c r="V95" s="113"/>
      <c r="W95" s="113"/>
      <c r="X95" s="52"/>
      <c r="Y95" s="52"/>
      <c r="Z95" s="113"/>
      <c r="AA95" s="113"/>
      <c r="AB95" s="113"/>
      <c r="AC95" s="113"/>
      <c r="AD95" s="113"/>
      <c r="AE95" s="113"/>
      <c r="AF95" s="113"/>
      <c r="AG95" s="113"/>
      <c r="AH95" s="113"/>
      <c r="AI95" s="113"/>
      <c r="AJ95" s="113"/>
      <c r="AK95" s="113"/>
      <c r="AL95" s="113"/>
      <c r="AM95" s="113"/>
      <c r="AN95" s="113"/>
      <c r="AO95" s="113"/>
      <c r="AP95" s="113"/>
      <c r="AQ95" s="113"/>
      <c r="AR95" s="113"/>
      <c r="AS95" s="113"/>
      <c r="AT95" s="113"/>
      <c r="AU95" s="113"/>
      <c r="AV95" s="113"/>
      <c r="AW95" s="113"/>
      <c r="AX95" s="113"/>
      <c r="AY95" s="113"/>
      <c r="AZ95" s="113"/>
      <c r="BA95" s="113"/>
      <c r="BB95" s="113"/>
      <c r="BC95" s="113"/>
      <c r="BD95" s="113"/>
      <c r="BE95" s="113"/>
      <c r="BF95" s="113"/>
      <c r="BG95" s="113"/>
      <c r="BH95" s="113"/>
      <c r="BI95" s="113"/>
      <c r="BJ95" s="113"/>
      <c r="BK95" s="113"/>
      <c r="BL95" s="113"/>
      <c r="BM95" s="113"/>
      <c r="BN95" s="113"/>
      <c r="BO95" s="113"/>
      <c r="BP95" s="113"/>
      <c r="BQ95" s="113"/>
      <c r="BR95" s="113"/>
      <c r="BS95" s="113"/>
      <c r="BT95" s="113"/>
    </row>
    <row r="96" spans="1:72">
      <c r="A96" s="113"/>
      <c r="N96" s="113"/>
      <c r="P96" s="113"/>
      <c r="Q96" s="113"/>
      <c r="R96" s="113"/>
      <c r="S96" s="113"/>
      <c r="T96" s="113"/>
      <c r="U96" s="113"/>
      <c r="V96" s="113"/>
      <c r="W96" s="113"/>
      <c r="X96" s="52"/>
      <c r="Y96" s="52"/>
      <c r="Z96" s="113"/>
      <c r="AA96" s="113"/>
      <c r="AB96" s="113"/>
      <c r="AC96" s="113"/>
      <c r="AD96" s="113"/>
      <c r="AE96" s="113"/>
      <c r="AF96" s="113"/>
      <c r="AG96" s="113"/>
      <c r="AH96" s="113"/>
      <c r="AI96" s="113"/>
      <c r="AJ96" s="113"/>
      <c r="AK96" s="113"/>
      <c r="AL96" s="113"/>
      <c r="AM96" s="113"/>
      <c r="AN96" s="113"/>
      <c r="AO96" s="113"/>
      <c r="AP96" s="113"/>
      <c r="AQ96" s="113"/>
      <c r="AR96" s="113"/>
      <c r="AS96" s="113"/>
      <c r="AT96" s="113"/>
      <c r="AU96" s="113"/>
      <c r="AV96" s="113"/>
      <c r="AW96" s="113"/>
      <c r="AX96" s="113"/>
      <c r="AY96" s="113"/>
      <c r="AZ96" s="113"/>
      <c r="BA96" s="113"/>
      <c r="BB96" s="113"/>
      <c r="BC96" s="113"/>
      <c r="BD96" s="113"/>
      <c r="BE96" s="113"/>
      <c r="BF96" s="113"/>
      <c r="BG96" s="113"/>
      <c r="BH96" s="113"/>
      <c r="BI96" s="113"/>
      <c r="BJ96" s="113"/>
      <c r="BK96" s="113"/>
      <c r="BL96" s="113"/>
      <c r="BM96" s="113"/>
      <c r="BN96" s="113"/>
      <c r="BO96" s="113"/>
      <c r="BP96" s="113"/>
      <c r="BQ96" s="113"/>
      <c r="BR96" s="113"/>
      <c r="BS96" s="113"/>
      <c r="BT96" s="113"/>
    </row>
    <row r="97" spans="1:72">
      <c r="A97" s="113"/>
      <c r="N97" s="113"/>
      <c r="P97" s="113"/>
      <c r="Q97" s="113"/>
      <c r="R97" s="113"/>
      <c r="S97" s="113"/>
      <c r="T97" s="113"/>
      <c r="U97" s="113"/>
      <c r="V97" s="113"/>
      <c r="W97" s="113"/>
      <c r="X97" s="52"/>
      <c r="Y97" s="52"/>
      <c r="Z97" s="113"/>
      <c r="AA97" s="113"/>
      <c r="AB97" s="113"/>
      <c r="AC97" s="113"/>
      <c r="AD97" s="113"/>
      <c r="AE97" s="113"/>
      <c r="AF97" s="113"/>
      <c r="AG97" s="113"/>
      <c r="AH97" s="113"/>
      <c r="AI97" s="113"/>
      <c r="AJ97" s="113"/>
      <c r="AK97" s="113"/>
      <c r="AL97" s="113"/>
      <c r="AM97" s="113"/>
      <c r="AN97" s="113"/>
      <c r="AO97" s="113"/>
      <c r="AP97" s="113"/>
      <c r="AQ97" s="113"/>
      <c r="AR97" s="113"/>
      <c r="AS97" s="113"/>
      <c r="AT97" s="113"/>
      <c r="AU97" s="113"/>
      <c r="AV97" s="113"/>
      <c r="AW97" s="113"/>
      <c r="AX97" s="113"/>
      <c r="AY97" s="113"/>
      <c r="AZ97" s="113"/>
      <c r="BA97" s="113"/>
      <c r="BB97" s="113"/>
      <c r="BC97" s="113"/>
      <c r="BD97" s="113"/>
      <c r="BE97" s="113"/>
      <c r="BF97" s="113"/>
      <c r="BG97" s="113"/>
      <c r="BH97" s="113"/>
      <c r="BI97" s="113"/>
      <c r="BJ97" s="113"/>
      <c r="BK97" s="113"/>
      <c r="BL97" s="113"/>
      <c r="BM97" s="113"/>
      <c r="BN97" s="113"/>
      <c r="BO97" s="113"/>
      <c r="BP97" s="113"/>
      <c r="BQ97" s="113"/>
      <c r="BR97" s="113"/>
      <c r="BS97" s="113"/>
      <c r="BT97" s="113"/>
    </row>
    <row r="98" spans="1:72">
      <c r="A98" s="113"/>
      <c r="N98" s="113"/>
      <c r="P98" s="113"/>
      <c r="Q98" s="113"/>
      <c r="R98" s="113"/>
      <c r="S98" s="113"/>
      <c r="T98" s="113"/>
      <c r="U98" s="113"/>
      <c r="V98" s="113"/>
      <c r="W98" s="113"/>
      <c r="X98" s="52"/>
      <c r="Y98" s="52"/>
      <c r="Z98" s="113"/>
      <c r="AA98" s="113"/>
      <c r="AB98" s="113"/>
      <c r="AC98" s="113"/>
      <c r="AD98" s="113"/>
      <c r="AE98" s="113"/>
      <c r="AF98" s="113"/>
      <c r="AG98" s="113"/>
      <c r="AH98" s="113"/>
      <c r="AI98" s="113"/>
      <c r="AJ98" s="113"/>
      <c r="AK98" s="113"/>
      <c r="AL98" s="113"/>
      <c r="AM98" s="113"/>
      <c r="AN98" s="113"/>
      <c r="AO98" s="113"/>
      <c r="AP98" s="113"/>
      <c r="AQ98" s="113"/>
      <c r="AR98" s="113"/>
      <c r="AS98" s="113"/>
      <c r="AT98" s="113"/>
      <c r="AU98" s="113"/>
      <c r="AV98" s="113"/>
      <c r="AW98" s="113"/>
      <c r="AX98" s="113"/>
      <c r="AY98" s="113"/>
      <c r="AZ98" s="113"/>
      <c r="BA98" s="113"/>
      <c r="BB98" s="113"/>
      <c r="BC98" s="113"/>
      <c r="BD98" s="113"/>
      <c r="BE98" s="113"/>
      <c r="BF98" s="113"/>
      <c r="BG98" s="113"/>
      <c r="BH98" s="113"/>
      <c r="BI98" s="113"/>
      <c r="BJ98" s="113"/>
      <c r="BK98" s="113"/>
      <c r="BL98" s="113"/>
      <c r="BM98" s="113"/>
      <c r="BN98" s="113"/>
      <c r="BO98" s="113"/>
      <c r="BP98" s="113"/>
      <c r="BQ98" s="113"/>
      <c r="BR98" s="113"/>
      <c r="BS98" s="113"/>
      <c r="BT98" s="113"/>
    </row>
    <row r="99" spans="1:72">
      <c r="A99" s="113"/>
      <c r="N99" s="113"/>
      <c r="P99" s="113"/>
      <c r="Q99" s="113"/>
      <c r="R99" s="113"/>
      <c r="S99" s="113"/>
      <c r="T99" s="113"/>
      <c r="U99" s="113"/>
      <c r="V99" s="113"/>
      <c r="W99" s="113"/>
      <c r="X99" s="52"/>
      <c r="Y99" s="52"/>
      <c r="Z99" s="113"/>
      <c r="AA99" s="113"/>
      <c r="AB99" s="113"/>
      <c r="AC99" s="113"/>
      <c r="AD99" s="113"/>
      <c r="AE99" s="113"/>
      <c r="AF99" s="113"/>
      <c r="AG99" s="113"/>
      <c r="AH99" s="113"/>
      <c r="AI99" s="113"/>
      <c r="AJ99" s="113"/>
      <c r="AK99" s="113"/>
      <c r="AL99" s="113"/>
      <c r="AM99" s="113"/>
      <c r="AN99" s="113"/>
      <c r="AO99" s="113"/>
      <c r="AP99" s="113"/>
      <c r="AQ99" s="113"/>
      <c r="AR99" s="113"/>
      <c r="AS99" s="113"/>
      <c r="AT99" s="113"/>
      <c r="AU99" s="113"/>
      <c r="AV99" s="113"/>
      <c r="AW99" s="113"/>
      <c r="AX99" s="113"/>
      <c r="AY99" s="113"/>
      <c r="AZ99" s="113"/>
      <c r="BA99" s="113"/>
      <c r="BB99" s="113"/>
      <c r="BC99" s="113"/>
      <c r="BD99" s="113"/>
      <c r="BE99" s="113"/>
      <c r="BF99" s="113"/>
      <c r="BG99" s="113"/>
      <c r="BH99" s="113"/>
      <c r="BI99" s="113"/>
      <c r="BJ99" s="113"/>
      <c r="BK99" s="113"/>
      <c r="BL99" s="113"/>
      <c r="BM99" s="113"/>
      <c r="BN99" s="113"/>
      <c r="BO99" s="113"/>
      <c r="BP99" s="113"/>
      <c r="BQ99" s="113"/>
      <c r="BR99" s="113"/>
      <c r="BS99" s="113"/>
      <c r="BT99" s="113"/>
    </row>
    <row r="100" spans="1:72">
      <c r="A100" s="113"/>
      <c r="N100" s="113"/>
      <c r="P100" s="113"/>
      <c r="Q100" s="113"/>
      <c r="R100" s="113"/>
      <c r="S100" s="113"/>
      <c r="T100" s="113"/>
      <c r="U100" s="113"/>
      <c r="V100" s="113"/>
      <c r="W100" s="113"/>
      <c r="X100" s="52"/>
      <c r="Y100" s="52"/>
      <c r="Z100" s="113"/>
      <c r="AA100" s="113"/>
      <c r="AB100" s="113"/>
      <c r="AC100" s="113"/>
      <c r="AD100" s="113"/>
      <c r="AE100" s="113"/>
      <c r="AF100" s="113"/>
      <c r="AG100" s="113"/>
      <c r="AH100" s="113"/>
      <c r="AI100" s="113"/>
      <c r="AJ100" s="113"/>
      <c r="AK100" s="113"/>
      <c r="AL100" s="113"/>
      <c r="AM100" s="113"/>
      <c r="AN100" s="113"/>
      <c r="AO100" s="113"/>
      <c r="AP100" s="113"/>
      <c r="AQ100" s="113"/>
      <c r="AR100" s="113"/>
      <c r="AS100" s="113"/>
      <c r="AT100" s="113"/>
      <c r="AU100" s="113"/>
      <c r="AV100" s="113"/>
      <c r="AW100" s="113"/>
      <c r="AX100" s="113"/>
      <c r="AY100" s="113"/>
      <c r="AZ100" s="113"/>
      <c r="BA100" s="113"/>
      <c r="BB100" s="113"/>
      <c r="BC100" s="113"/>
      <c r="BD100" s="113"/>
      <c r="BE100" s="113"/>
      <c r="BF100" s="113"/>
      <c r="BG100" s="113"/>
      <c r="BH100" s="113"/>
      <c r="BI100" s="113"/>
      <c r="BJ100" s="113"/>
      <c r="BK100" s="113"/>
      <c r="BL100" s="113"/>
      <c r="BM100" s="113"/>
      <c r="BN100" s="113"/>
      <c r="BO100" s="113"/>
      <c r="BP100" s="113"/>
      <c r="BQ100" s="113"/>
      <c r="BR100" s="113"/>
      <c r="BS100" s="113"/>
      <c r="BT100" s="113"/>
    </row>
    <row r="101" spans="1:72">
      <c r="A101" s="113"/>
      <c r="N101" s="113"/>
      <c r="P101" s="113"/>
      <c r="Q101" s="113"/>
      <c r="R101" s="113"/>
      <c r="S101" s="113"/>
      <c r="T101" s="113"/>
      <c r="U101" s="113"/>
      <c r="V101" s="113"/>
      <c r="W101" s="113"/>
      <c r="X101" s="52"/>
      <c r="Y101" s="52"/>
      <c r="Z101" s="113"/>
      <c r="AA101" s="113"/>
      <c r="AB101" s="113"/>
      <c r="AC101" s="113"/>
      <c r="AD101" s="113"/>
      <c r="AE101" s="113"/>
      <c r="AF101" s="113"/>
      <c r="AG101" s="113"/>
      <c r="AH101" s="113"/>
      <c r="AI101" s="113"/>
      <c r="AJ101" s="113"/>
      <c r="AK101" s="113"/>
      <c r="AL101" s="113"/>
      <c r="AM101" s="113"/>
      <c r="AN101" s="113"/>
      <c r="AO101" s="113"/>
      <c r="AP101" s="113"/>
      <c r="AQ101" s="113"/>
      <c r="AR101" s="113"/>
      <c r="AS101" s="113"/>
      <c r="AT101" s="113"/>
      <c r="AU101" s="113"/>
      <c r="AV101" s="113"/>
      <c r="AW101" s="113"/>
      <c r="AX101" s="113"/>
      <c r="AY101" s="113"/>
      <c r="AZ101" s="113"/>
      <c r="BA101" s="113"/>
      <c r="BB101" s="113"/>
      <c r="BC101" s="113"/>
      <c r="BD101" s="113"/>
      <c r="BE101" s="113"/>
      <c r="BF101" s="113"/>
      <c r="BG101" s="113"/>
      <c r="BH101" s="113"/>
      <c r="BI101" s="113"/>
      <c r="BJ101" s="113"/>
      <c r="BK101" s="113"/>
      <c r="BL101" s="113"/>
      <c r="BM101" s="113"/>
      <c r="BN101" s="113"/>
      <c r="BO101" s="113"/>
      <c r="BP101" s="113"/>
      <c r="BQ101" s="113"/>
      <c r="BR101" s="113"/>
      <c r="BS101" s="113"/>
      <c r="BT101" s="113"/>
    </row>
    <row r="102" spans="1:72">
      <c r="A102" s="113"/>
      <c r="N102" s="113"/>
      <c r="P102" s="113"/>
      <c r="Q102" s="113"/>
      <c r="R102" s="113"/>
      <c r="S102" s="113"/>
      <c r="T102" s="113"/>
      <c r="U102" s="113"/>
      <c r="V102" s="113"/>
      <c r="W102" s="113"/>
      <c r="X102" s="52"/>
      <c r="Y102" s="52"/>
      <c r="Z102" s="113"/>
      <c r="AA102" s="113"/>
      <c r="AB102" s="113"/>
      <c r="AC102" s="113"/>
      <c r="AD102" s="113"/>
      <c r="AE102" s="113"/>
      <c r="AF102" s="113"/>
      <c r="AG102" s="113"/>
      <c r="AH102" s="113"/>
      <c r="AI102" s="113"/>
      <c r="AJ102" s="113"/>
      <c r="AK102" s="113"/>
      <c r="AL102" s="113"/>
      <c r="AM102" s="113"/>
      <c r="AN102" s="113"/>
      <c r="AO102" s="113"/>
      <c r="AP102" s="113"/>
      <c r="AQ102" s="113"/>
      <c r="AR102" s="113"/>
      <c r="AS102" s="113"/>
      <c r="AT102" s="113"/>
      <c r="AU102" s="113"/>
      <c r="AV102" s="113"/>
      <c r="AW102" s="113"/>
      <c r="AX102" s="113"/>
      <c r="AY102" s="113"/>
      <c r="AZ102" s="113"/>
      <c r="BA102" s="113"/>
      <c r="BB102" s="113"/>
      <c r="BC102" s="113"/>
      <c r="BD102" s="113"/>
      <c r="BE102" s="113"/>
      <c r="BF102" s="113"/>
      <c r="BG102" s="113"/>
      <c r="BH102" s="113"/>
      <c r="BI102" s="113"/>
      <c r="BJ102" s="113"/>
      <c r="BK102" s="113"/>
      <c r="BL102" s="113"/>
      <c r="BM102" s="113"/>
      <c r="BN102" s="113"/>
      <c r="BO102" s="113"/>
      <c r="BP102" s="113"/>
      <c r="BQ102" s="113"/>
      <c r="BR102" s="113"/>
      <c r="BS102" s="113"/>
      <c r="BT102" s="113"/>
    </row>
    <row r="103" spans="1:72">
      <c r="A103" s="113"/>
      <c r="N103" s="113"/>
      <c r="P103" s="113"/>
      <c r="Q103" s="113"/>
      <c r="R103" s="113"/>
      <c r="S103" s="113"/>
      <c r="T103" s="113"/>
      <c r="U103" s="113"/>
      <c r="V103" s="113"/>
      <c r="W103" s="113"/>
      <c r="X103" s="52"/>
      <c r="Y103" s="52"/>
      <c r="Z103" s="113"/>
      <c r="AA103" s="113"/>
      <c r="AB103" s="113"/>
      <c r="AC103" s="113"/>
      <c r="AD103" s="113"/>
      <c r="AE103" s="113"/>
      <c r="AF103" s="113"/>
      <c r="AG103" s="113"/>
      <c r="AH103" s="113"/>
      <c r="AI103" s="113"/>
      <c r="AJ103" s="113"/>
      <c r="AK103" s="113"/>
      <c r="AL103" s="113"/>
      <c r="AM103" s="113"/>
      <c r="AN103" s="113"/>
      <c r="AO103" s="113"/>
      <c r="AP103" s="113"/>
      <c r="AQ103" s="113"/>
      <c r="AR103" s="113"/>
      <c r="AS103" s="113"/>
      <c r="AT103" s="113"/>
      <c r="AU103" s="113"/>
      <c r="AV103" s="113"/>
      <c r="AW103" s="113"/>
      <c r="AX103" s="113"/>
      <c r="AY103" s="113"/>
      <c r="AZ103" s="113"/>
      <c r="BA103" s="113"/>
      <c r="BB103" s="113"/>
      <c r="BC103" s="113"/>
      <c r="BD103" s="113"/>
      <c r="BE103" s="113"/>
      <c r="BF103" s="113"/>
      <c r="BG103" s="113"/>
      <c r="BH103" s="113"/>
      <c r="BI103" s="113"/>
      <c r="BJ103" s="113"/>
      <c r="BK103" s="113"/>
      <c r="BL103" s="113"/>
      <c r="BM103" s="113"/>
      <c r="BN103" s="113"/>
      <c r="BO103" s="113"/>
      <c r="BP103" s="113"/>
      <c r="BQ103" s="113"/>
      <c r="BR103" s="113"/>
      <c r="BS103" s="113"/>
      <c r="BT103" s="113"/>
    </row>
    <row r="104" spans="1:72">
      <c r="A104" s="113"/>
      <c r="N104" s="113"/>
      <c r="P104" s="113"/>
      <c r="Q104" s="113"/>
      <c r="R104" s="113"/>
      <c r="S104" s="113"/>
      <c r="T104" s="113"/>
      <c r="U104" s="113"/>
      <c r="V104" s="113"/>
      <c r="W104" s="113"/>
      <c r="X104" s="52"/>
      <c r="Y104" s="52"/>
      <c r="Z104" s="113"/>
      <c r="AA104" s="113"/>
      <c r="AB104" s="113"/>
      <c r="AC104" s="113"/>
      <c r="AD104" s="113"/>
      <c r="AE104" s="113"/>
      <c r="AF104" s="113"/>
      <c r="AG104" s="113"/>
      <c r="AH104" s="113"/>
      <c r="AI104" s="113"/>
      <c r="AJ104" s="113"/>
      <c r="AK104" s="113"/>
      <c r="AL104" s="113"/>
      <c r="AM104" s="113"/>
      <c r="AN104" s="113"/>
      <c r="AO104" s="113"/>
      <c r="AP104" s="113"/>
      <c r="AQ104" s="113"/>
      <c r="AR104" s="113"/>
      <c r="AS104" s="113"/>
      <c r="AT104" s="113"/>
      <c r="AU104" s="113"/>
      <c r="AV104" s="113"/>
      <c r="AW104" s="113"/>
      <c r="AX104" s="113"/>
      <c r="AY104" s="113"/>
      <c r="AZ104" s="113"/>
      <c r="BA104" s="113"/>
      <c r="BB104" s="113"/>
      <c r="BC104" s="113"/>
      <c r="BD104" s="113"/>
      <c r="BE104" s="113"/>
      <c r="BF104" s="113"/>
      <c r="BG104" s="113"/>
      <c r="BH104" s="113"/>
      <c r="BI104" s="113"/>
      <c r="BJ104" s="113"/>
      <c r="BK104" s="113"/>
      <c r="BL104" s="113"/>
      <c r="BM104" s="113"/>
      <c r="BN104" s="113"/>
      <c r="BO104" s="113"/>
      <c r="BP104" s="113"/>
      <c r="BQ104" s="113"/>
      <c r="BR104" s="113"/>
      <c r="BS104" s="113"/>
      <c r="BT104" s="113"/>
    </row>
    <row r="105" spans="1:72">
      <c r="A105" s="113"/>
      <c r="N105" s="113"/>
      <c r="P105" s="113"/>
      <c r="Q105" s="113"/>
      <c r="R105" s="113"/>
      <c r="S105" s="113"/>
      <c r="T105" s="113"/>
      <c r="U105" s="113"/>
      <c r="V105" s="113"/>
      <c r="W105" s="113"/>
      <c r="X105" s="52"/>
      <c r="Y105" s="52"/>
      <c r="Z105" s="113"/>
      <c r="AA105" s="113"/>
      <c r="AB105" s="113"/>
      <c r="AC105" s="113"/>
      <c r="AD105" s="113"/>
      <c r="AE105" s="113"/>
      <c r="AF105" s="113"/>
      <c r="AG105" s="113"/>
      <c r="AH105" s="113"/>
      <c r="AI105" s="113"/>
      <c r="AJ105" s="113"/>
      <c r="AK105" s="113"/>
      <c r="AL105" s="113"/>
      <c r="AM105" s="113"/>
      <c r="AN105" s="113"/>
      <c r="AO105" s="113"/>
      <c r="AP105" s="113"/>
      <c r="AQ105" s="113"/>
      <c r="AR105" s="113"/>
      <c r="AS105" s="113"/>
      <c r="AT105" s="113"/>
      <c r="AU105" s="113"/>
      <c r="AV105" s="113"/>
      <c r="AW105" s="113"/>
      <c r="AX105" s="113"/>
      <c r="AY105" s="113"/>
      <c r="AZ105" s="113"/>
      <c r="BA105" s="113"/>
      <c r="BB105" s="113"/>
      <c r="BC105" s="113"/>
      <c r="BD105" s="113"/>
      <c r="BE105" s="113"/>
      <c r="BF105" s="113"/>
      <c r="BG105" s="113"/>
      <c r="BH105" s="113"/>
      <c r="BI105" s="113"/>
      <c r="BJ105" s="113"/>
      <c r="BK105" s="113"/>
      <c r="BL105" s="113"/>
      <c r="BM105" s="113"/>
      <c r="BN105" s="113"/>
      <c r="BO105" s="113"/>
      <c r="BP105" s="113"/>
      <c r="BQ105" s="113"/>
      <c r="BR105" s="113"/>
      <c r="BS105" s="113"/>
      <c r="BT105" s="113"/>
    </row>
    <row r="106" spans="1:72">
      <c r="A106" s="113"/>
      <c r="N106" s="113"/>
      <c r="P106" s="113"/>
      <c r="Q106" s="113"/>
      <c r="R106" s="113"/>
      <c r="S106" s="113"/>
      <c r="T106" s="113"/>
      <c r="U106" s="113"/>
      <c r="V106" s="113"/>
      <c r="W106" s="113"/>
      <c r="X106" s="52"/>
      <c r="Y106" s="52"/>
      <c r="Z106" s="113"/>
      <c r="AA106" s="113"/>
      <c r="AB106" s="113"/>
      <c r="AC106" s="113"/>
      <c r="AD106" s="113"/>
      <c r="AE106" s="113"/>
      <c r="AF106" s="113"/>
      <c r="AG106" s="113"/>
      <c r="AH106" s="113"/>
      <c r="AI106" s="113"/>
      <c r="AJ106" s="113"/>
      <c r="AK106" s="113"/>
      <c r="AL106" s="113"/>
      <c r="AM106" s="113"/>
      <c r="AN106" s="113"/>
      <c r="AO106" s="113"/>
      <c r="AP106" s="113"/>
      <c r="AQ106" s="113"/>
      <c r="AR106" s="113"/>
      <c r="AS106" s="113"/>
      <c r="AT106" s="113"/>
      <c r="AU106" s="113"/>
      <c r="AV106" s="113"/>
      <c r="AW106" s="113"/>
      <c r="AX106" s="113"/>
      <c r="AY106" s="113"/>
      <c r="AZ106" s="113"/>
      <c r="BA106" s="113"/>
      <c r="BB106" s="113"/>
      <c r="BC106" s="113"/>
      <c r="BD106" s="113"/>
      <c r="BE106" s="113"/>
      <c r="BF106" s="113"/>
      <c r="BG106" s="113"/>
      <c r="BH106" s="113"/>
      <c r="BI106" s="113"/>
      <c r="BJ106" s="113"/>
      <c r="BK106" s="113"/>
      <c r="BL106" s="113"/>
      <c r="BM106" s="113"/>
      <c r="BN106" s="113"/>
      <c r="BO106" s="113"/>
      <c r="BP106" s="113"/>
      <c r="BQ106" s="113"/>
      <c r="BR106" s="113"/>
      <c r="BS106" s="113"/>
      <c r="BT106" s="113"/>
    </row>
    <row r="107" spans="1:72">
      <c r="A107" s="113"/>
      <c r="N107" s="113"/>
      <c r="P107" s="113"/>
      <c r="Q107" s="113"/>
      <c r="R107" s="113"/>
      <c r="S107" s="113"/>
      <c r="T107" s="113"/>
      <c r="U107" s="113"/>
      <c r="V107" s="113"/>
      <c r="W107" s="113"/>
      <c r="X107" s="52"/>
      <c r="Y107" s="52"/>
      <c r="Z107" s="113"/>
      <c r="AA107" s="113"/>
      <c r="AB107" s="113"/>
      <c r="AC107" s="113"/>
      <c r="AD107" s="113"/>
      <c r="AE107" s="113"/>
      <c r="AF107" s="113"/>
      <c r="AG107" s="113"/>
      <c r="AH107" s="113"/>
      <c r="AI107" s="113"/>
      <c r="AJ107" s="113"/>
      <c r="AK107" s="113"/>
      <c r="AL107" s="113"/>
      <c r="AM107" s="113"/>
      <c r="AN107" s="113"/>
      <c r="AO107" s="113"/>
      <c r="AP107" s="113"/>
      <c r="AQ107" s="113"/>
      <c r="AR107" s="113"/>
      <c r="AS107" s="113"/>
      <c r="AT107" s="113"/>
      <c r="AU107" s="113"/>
      <c r="AV107" s="113"/>
      <c r="AW107" s="113"/>
      <c r="AX107" s="113"/>
      <c r="AY107" s="113"/>
      <c r="AZ107" s="113"/>
      <c r="BA107" s="113"/>
      <c r="BB107" s="113"/>
      <c r="BC107" s="113"/>
      <c r="BD107" s="113"/>
      <c r="BE107" s="113"/>
      <c r="BF107" s="113"/>
      <c r="BG107" s="113"/>
      <c r="BH107" s="113"/>
      <c r="BI107" s="113"/>
      <c r="BJ107" s="113"/>
      <c r="BK107" s="113"/>
      <c r="BL107" s="113"/>
      <c r="BM107" s="113"/>
      <c r="BN107" s="113"/>
      <c r="BO107" s="113"/>
      <c r="BP107" s="113"/>
      <c r="BQ107" s="113"/>
      <c r="BR107" s="113"/>
      <c r="BS107" s="113"/>
      <c r="BT107" s="113"/>
    </row>
    <row r="108" spans="1:72">
      <c r="A108" s="113"/>
      <c r="N108" s="113"/>
      <c r="P108" s="113"/>
      <c r="Q108" s="113"/>
      <c r="R108" s="113"/>
      <c r="S108" s="113"/>
      <c r="T108" s="113"/>
      <c r="U108" s="113"/>
      <c r="V108" s="113"/>
      <c r="W108" s="113"/>
      <c r="X108" s="52"/>
      <c r="Y108" s="52"/>
      <c r="Z108" s="113"/>
      <c r="AA108" s="113"/>
      <c r="AB108" s="113"/>
      <c r="AC108" s="113"/>
      <c r="AD108" s="113"/>
      <c r="AE108" s="113"/>
      <c r="AF108" s="113"/>
      <c r="AG108" s="113"/>
      <c r="AH108" s="113"/>
      <c r="AI108" s="113"/>
      <c r="AJ108" s="113"/>
      <c r="AK108" s="113"/>
      <c r="AL108" s="113"/>
      <c r="AM108" s="113"/>
      <c r="AN108" s="113"/>
      <c r="AO108" s="113"/>
      <c r="AP108" s="113"/>
      <c r="AQ108" s="113"/>
      <c r="AR108" s="113"/>
      <c r="AS108" s="113"/>
      <c r="AT108" s="113"/>
      <c r="AU108" s="113"/>
      <c r="AV108" s="113"/>
      <c r="AW108" s="113"/>
      <c r="AX108" s="113"/>
      <c r="AY108" s="113"/>
      <c r="AZ108" s="113"/>
      <c r="BA108" s="113"/>
      <c r="BB108" s="113"/>
      <c r="BC108" s="113"/>
      <c r="BD108" s="113"/>
      <c r="BE108" s="113"/>
      <c r="BF108" s="113"/>
      <c r="BG108" s="113"/>
      <c r="BH108" s="113"/>
      <c r="BI108" s="113"/>
      <c r="BJ108" s="113"/>
      <c r="BK108" s="113"/>
      <c r="BL108" s="113"/>
      <c r="BM108" s="113"/>
      <c r="BN108" s="113"/>
      <c r="BO108" s="113"/>
      <c r="BP108" s="113"/>
      <c r="BQ108" s="113"/>
      <c r="BR108" s="113"/>
      <c r="BS108" s="113"/>
      <c r="BT108" s="113"/>
    </row>
    <row r="109" spans="1:72">
      <c r="A109" s="113"/>
      <c r="N109" s="113"/>
      <c r="P109" s="113"/>
      <c r="Q109" s="113"/>
      <c r="R109" s="113"/>
      <c r="S109" s="113"/>
      <c r="T109" s="113"/>
      <c r="U109" s="113"/>
      <c r="V109" s="113"/>
      <c r="W109" s="113"/>
      <c r="X109" s="52"/>
      <c r="Y109" s="52"/>
      <c r="Z109" s="113"/>
      <c r="AA109" s="113"/>
      <c r="AB109" s="113"/>
      <c r="AC109" s="113"/>
      <c r="AD109" s="113"/>
      <c r="AE109" s="113"/>
      <c r="AF109" s="113"/>
      <c r="AG109" s="113"/>
      <c r="AH109" s="113"/>
      <c r="AI109" s="113"/>
      <c r="AJ109" s="113"/>
      <c r="AK109" s="113"/>
      <c r="AL109" s="113"/>
      <c r="AM109" s="113"/>
      <c r="AN109" s="113"/>
      <c r="AO109" s="113"/>
      <c r="AP109" s="113"/>
      <c r="AQ109" s="113"/>
      <c r="AR109" s="113"/>
      <c r="AS109" s="113"/>
      <c r="AT109" s="113"/>
      <c r="AU109" s="113"/>
      <c r="AV109" s="113"/>
      <c r="AW109" s="113"/>
      <c r="AX109" s="113"/>
      <c r="AY109" s="113"/>
      <c r="AZ109" s="113"/>
      <c r="BA109" s="113"/>
      <c r="BB109" s="113"/>
      <c r="BC109" s="113"/>
      <c r="BD109" s="113"/>
      <c r="BE109" s="113"/>
      <c r="BF109" s="113"/>
      <c r="BG109" s="113"/>
      <c r="BH109" s="113"/>
      <c r="BI109" s="113"/>
      <c r="BJ109" s="113"/>
      <c r="BK109" s="113"/>
      <c r="BL109" s="113"/>
      <c r="BM109" s="113"/>
      <c r="BN109" s="113"/>
      <c r="BO109" s="113"/>
      <c r="BP109" s="113"/>
      <c r="BQ109" s="113"/>
      <c r="BR109" s="113"/>
      <c r="BS109" s="113"/>
      <c r="BT109" s="113"/>
    </row>
    <row r="110" spans="1:72">
      <c r="A110" s="113"/>
      <c r="N110" s="113"/>
      <c r="P110" s="113"/>
      <c r="Q110" s="113"/>
      <c r="R110" s="113"/>
      <c r="S110" s="113"/>
      <c r="T110" s="113"/>
      <c r="U110" s="113"/>
      <c r="V110" s="113"/>
      <c r="W110" s="113"/>
      <c r="X110" s="52"/>
      <c r="Y110" s="52"/>
      <c r="Z110" s="113"/>
      <c r="AA110" s="113"/>
      <c r="AB110" s="113"/>
      <c r="AC110" s="113"/>
      <c r="AD110" s="113"/>
      <c r="AE110" s="113"/>
      <c r="AF110" s="113"/>
      <c r="AG110" s="113"/>
      <c r="AH110" s="113"/>
      <c r="AI110" s="113"/>
      <c r="AJ110" s="113"/>
      <c r="AK110" s="113"/>
      <c r="AL110" s="113"/>
      <c r="AM110" s="113"/>
      <c r="AN110" s="113"/>
      <c r="AO110" s="113"/>
      <c r="AP110" s="113"/>
      <c r="AQ110" s="113"/>
      <c r="AR110" s="113"/>
      <c r="AS110" s="113"/>
      <c r="AT110" s="113"/>
      <c r="AU110" s="113"/>
      <c r="AV110" s="113"/>
      <c r="AW110" s="113"/>
      <c r="AX110" s="113"/>
      <c r="AY110" s="113"/>
      <c r="AZ110" s="113"/>
      <c r="BA110" s="113"/>
      <c r="BB110" s="113"/>
      <c r="BC110" s="113"/>
      <c r="BD110" s="113"/>
      <c r="BE110" s="113"/>
      <c r="BF110" s="113"/>
      <c r="BG110" s="113"/>
      <c r="BH110" s="113"/>
      <c r="BI110" s="113"/>
      <c r="BJ110" s="113"/>
      <c r="BK110" s="113"/>
      <c r="BL110" s="113"/>
      <c r="BM110" s="113"/>
      <c r="BN110" s="113"/>
      <c r="BO110" s="113"/>
      <c r="BP110" s="113"/>
      <c r="BQ110" s="113"/>
      <c r="BR110" s="113"/>
      <c r="BS110" s="113"/>
      <c r="BT110" s="113"/>
    </row>
    <row r="111" spans="1:72">
      <c r="A111" s="113"/>
      <c r="N111" s="113"/>
      <c r="P111" s="113"/>
      <c r="Q111" s="113"/>
      <c r="R111" s="113"/>
      <c r="S111" s="113"/>
      <c r="T111" s="113"/>
      <c r="U111" s="113"/>
      <c r="V111" s="113"/>
      <c r="W111" s="113"/>
      <c r="X111" s="52"/>
      <c r="Y111" s="52"/>
      <c r="Z111" s="113"/>
      <c r="AA111" s="113"/>
      <c r="AB111" s="113"/>
      <c r="AC111" s="113"/>
      <c r="AD111" s="113"/>
      <c r="AE111" s="113"/>
      <c r="AF111" s="113"/>
      <c r="AG111" s="113"/>
      <c r="AH111" s="113"/>
      <c r="AI111" s="113"/>
      <c r="AJ111" s="113"/>
      <c r="AK111" s="113"/>
      <c r="AL111" s="113"/>
      <c r="AM111" s="113"/>
      <c r="AN111" s="113"/>
      <c r="AO111" s="113"/>
      <c r="AP111" s="113"/>
      <c r="AQ111" s="113"/>
      <c r="AR111" s="113"/>
      <c r="AS111" s="113"/>
      <c r="AT111" s="113"/>
      <c r="AU111" s="113"/>
      <c r="AV111" s="113"/>
      <c r="AW111" s="113"/>
      <c r="AX111" s="113"/>
      <c r="AY111" s="113"/>
      <c r="AZ111" s="113"/>
      <c r="BA111" s="113"/>
      <c r="BB111" s="113"/>
      <c r="BC111" s="113"/>
      <c r="BD111" s="113"/>
      <c r="BE111" s="113"/>
      <c r="BF111" s="113"/>
      <c r="BG111" s="113"/>
      <c r="BH111" s="113"/>
      <c r="BI111" s="113"/>
      <c r="BJ111" s="113"/>
      <c r="BK111" s="113"/>
      <c r="BL111" s="113"/>
      <c r="BM111" s="113"/>
      <c r="BN111" s="113"/>
      <c r="BO111" s="113"/>
      <c r="BP111" s="113"/>
      <c r="BQ111" s="113"/>
      <c r="BR111" s="113"/>
      <c r="BS111" s="113"/>
      <c r="BT111" s="113"/>
    </row>
    <row r="112" spans="1:72">
      <c r="A112" s="113"/>
      <c r="N112" s="113"/>
      <c r="P112" s="113"/>
      <c r="Q112" s="113"/>
      <c r="R112" s="113"/>
      <c r="S112" s="113"/>
      <c r="T112" s="113"/>
      <c r="U112" s="113"/>
      <c r="V112" s="113"/>
      <c r="W112" s="113"/>
      <c r="X112" s="52"/>
      <c r="Y112" s="52"/>
      <c r="Z112" s="113"/>
      <c r="AA112" s="113"/>
      <c r="AB112" s="113"/>
      <c r="AC112" s="113"/>
      <c r="AD112" s="113"/>
      <c r="AE112" s="113"/>
      <c r="AF112" s="113"/>
      <c r="AG112" s="113"/>
      <c r="AH112" s="113"/>
      <c r="AI112" s="113"/>
      <c r="AJ112" s="113"/>
      <c r="AK112" s="113"/>
      <c r="AL112" s="113"/>
      <c r="AM112" s="113"/>
      <c r="AN112" s="113"/>
      <c r="AO112" s="113"/>
      <c r="AP112" s="113"/>
      <c r="AQ112" s="113"/>
      <c r="AR112" s="113"/>
      <c r="AS112" s="113"/>
      <c r="AT112" s="113"/>
      <c r="AU112" s="113"/>
      <c r="AV112" s="113"/>
      <c r="AW112" s="113"/>
      <c r="AX112" s="113"/>
      <c r="AY112" s="113"/>
      <c r="AZ112" s="113"/>
      <c r="BA112" s="113"/>
      <c r="BB112" s="113"/>
      <c r="BC112" s="113"/>
      <c r="BD112" s="113"/>
      <c r="BE112" s="113"/>
      <c r="BF112" s="113"/>
      <c r="BG112" s="113"/>
      <c r="BH112" s="113"/>
      <c r="BI112" s="113"/>
      <c r="BJ112" s="113"/>
      <c r="BK112" s="113"/>
      <c r="BL112" s="113"/>
      <c r="BM112" s="113"/>
      <c r="BN112" s="113"/>
      <c r="BO112" s="113"/>
      <c r="BP112" s="113"/>
      <c r="BQ112" s="113"/>
      <c r="BR112" s="113"/>
      <c r="BS112" s="113"/>
      <c r="BT112" s="113"/>
    </row>
    <row r="113" spans="1:72">
      <c r="A113" s="113"/>
      <c r="N113" s="113"/>
      <c r="P113" s="113"/>
      <c r="Q113" s="113"/>
      <c r="R113" s="113"/>
      <c r="S113" s="113"/>
      <c r="T113" s="113"/>
      <c r="U113" s="113"/>
      <c r="V113" s="113"/>
      <c r="W113" s="113"/>
      <c r="X113" s="52"/>
      <c r="Y113" s="52"/>
      <c r="Z113" s="113"/>
      <c r="AA113" s="113"/>
      <c r="AB113" s="113"/>
      <c r="AC113" s="113"/>
      <c r="AD113" s="113"/>
      <c r="AE113" s="113"/>
      <c r="AF113" s="113"/>
      <c r="AG113" s="113"/>
      <c r="AH113" s="113"/>
      <c r="AI113" s="113"/>
      <c r="AJ113" s="113"/>
      <c r="AK113" s="113"/>
      <c r="AL113" s="113"/>
      <c r="AM113" s="113"/>
      <c r="AN113" s="113"/>
      <c r="AO113" s="113"/>
      <c r="AP113" s="113"/>
      <c r="AQ113" s="113"/>
      <c r="AR113" s="113"/>
      <c r="AS113" s="113"/>
      <c r="AT113" s="113"/>
      <c r="AU113" s="113"/>
      <c r="AV113" s="113"/>
      <c r="AW113" s="113"/>
      <c r="AX113" s="113"/>
      <c r="AY113" s="113"/>
      <c r="AZ113" s="113"/>
      <c r="BA113" s="113"/>
      <c r="BB113" s="113"/>
      <c r="BC113" s="113"/>
      <c r="BD113" s="113"/>
      <c r="BE113" s="113"/>
      <c r="BF113" s="113"/>
      <c r="BG113" s="113"/>
      <c r="BH113" s="113"/>
      <c r="BI113" s="113"/>
      <c r="BJ113" s="113"/>
      <c r="BK113" s="113"/>
      <c r="BL113" s="113"/>
      <c r="BM113" s="113"/>
      <c r="BN113" s="113"/>
      <c r="BO113" s="113"/>
      <c r="BP113" s="113"/>
      <c r="BQ113" s="113"/>
      <c r="BR113" s="113"/>
      <c r="BS113" s="113"/>
      <c r="BT113" s="113"/>
    </row>
    <row r="114" spans="1:72">
      <c r="A114" s="113"/>
      <c r="N114" s="113"/>
      <c r="P114" s="113"/>
      <c r="Q114" s="113"/>
      <c r="R114" s="113"/>
      <c r="S114" s="113"/>
      <c r="T114" s="113"/>
      <c r="U114" s="113"/>
      <c r="V114" s="113"/>
      <c r="W114" s="113"/>
      <c r="X114" s="52"/>
      <c r="Y114" s="52"/>
      <c r="Z114" s="113"/>
      <c r="AA114" s="113"/>
      <c r="AB114" s="113"/>
      <c r="AC114" s="113"/>
      <c r="AD114" s="113"/>
      <c r="AE114" s="113"/>
      <c r="AF114" s="113"/>
      <c r="AG114" s="113"/>
      <c r="AH114" s="113"/>
      <c r="AI114" s="113"/>
      <c r="AJ114" s="113"/>
      <c r="AK114" s="113"/>
      <c r="AL114" s="113"/>
      <c r="AM114" s="113"/>
      <c r="AN114" s="113"/>
      <c r="AO114" s="113"/>
      <c r="AP114" s="113"/>
      <c r="AQ114" s="113"/>
      <c r="AR114" s="113"/>
      <c r="AS114" s="113"/>
      <c r="AT114" s="113"/>
      <c r="AU114" s="113"/>
      <c r="AV114" s="113"/>
      <c r="AW114" s="113"/>
      <c r="AX114" s="113"/>
      <c r="AY114" s="113"/>
      <c r="AZ114" s="113"/>
      <c r="BA114" s="113"/>
      <c r="BB114" s="113"/>
      <c r="BC114" s="113"/>
      <c r="BD114" s="113"/>
      <c r="BE114" s="113"/>
      <c r="BF114" s="113"/>
      <c r="BG114" s="113"/>
      <c r="BH114" s="113"/>
      <c r="BI114" s="113"/>
      <c r="BJ114" s="113"/>
      <c r="BK114" s="113"/>
      <c r="BL114" s="113"/>
      <c r="BM114" s="113"/>
      <c r="BN114" s="113"/>
      <c r="BO114" s="113"/>
      <c r="BP114" s="113"/>
      <c r="BQ114" s="113"/>
      <c r="BR114" s="113"/>
      <c r="BS114" s="113"/>
      <c r="BT114" s="113"/>
    </row>
    <row r="115" spans="1:72">
      <c r="A115" s="113"/>
      <c r="N115" s="113"/>
      <c r="P115" s="113"/>
      <c r="Q115" s="113"/>
      <c r="R115" s="113"/>
      <c r="S115" s="113"/>
      <c r="T115" s="113"/>
      <c r="U115" s="113"/>
      <c r="V115" s="113"/>
      <c r="W115" s="113"/>
      <c r="X115" s="52"/>
      <c r="Y115" s="52"/>
      <c r="Z115" s="113"/>
      <c r="AA115" s="113"/>
      <c r="AB115" s="113"/>
      <c r="AC115" s="113"/>
      <c r="AD115" s="113"/>
      <c r="AE115" s="113"/>
      <c r="AF115" s="113"/>
      <c r="AG115" s="113"/>
      <c r="AH115" s="113"/>
      <c r="AI115" s="113"/>
      <c r="AJ115" s="113"/>
      <c r="AK115" s="113"/>
      <c r="AL115" s="113"/>
      <c r="AM115" s="113"/>
      <c r="AN115" s="113"/>
      <c r="AO115" s="113"/>
      <c r="AP115" s="113"/>
      <c r="AQ115" s="113"/>
      <c r="AR115" s="113"/>
      <c r="AS115" s="113"/>
      <c r="AT115" s="113"/>
      <c r="AU115" s="113"/>
      <c r="AV115" s="113"/>
      <c r="AW115" s="113"/>
      <c r="AX115" s="113"/>
      <c r="AY115" s="113"/>
      <c r="AZ115" s="113"/>
      <c r="BA115" s="113"/>
      <c r="BB115" s="113"/>
      <c r="BC115" s="113"/>
      <c r="BD115" s="113"/>
      <c r="BE115" s="113"/>
      <c r="BF115" s="113"/>
      <c r="BG115" s="113"/>
      <c r="BH115" s="113"/>
      <c r="BI115" s="113"/>
      <c r="BJ115" s="113"/>
      <c r="BK115" s="113"/>
      <c r="BL115" s="113"/>
      <c r="BM115" s="113"/>
      <c r="BN115" s="113"/>
      <c r="BO115" s="113"/>
      <c r="BP115" s="113"/>
      <c r="BQ115" s="113"/>
      <c r="BR115" s="113"/>
      <c r="BS115" s="113"/>
      <c r="BT115" s="113"/>
    </row>
    <row r="116" spans="1:72">
      <c r="A116" s="113"/>
      <c r="N116" s="113"/>
      <c r="P116" s="113"/>
      <c r="Q116" s="113"/>
      <c r="R116" s="113"/>
      <c r="S116" s="113"/>
      <c r="T116" s="113"/>
      <c r="U116" s="113"/>
      <c r="V116" s="113"/>
      <c r="W116" s="113"/>
      <c r="X116" s="52"/>
      <c r="Y116" s="52"/>
      <c r="Z116" s="113"/>
      <c r="AA116" s="113"/>
      <c r="AB116" s="113"/>
      <c r="AC116" s="113"/>
      <c r="AD116" s="113"/>
      <c r="AE116" s="113"/>
      <c r="AF116" s="113"/>
      <c r="AG116" s="113"/>
      <c r="AH116" s="113"/>
      <c r="AI116" s="113"/>
      <c r="AJ116" s="113"/>
      <c r="AK116" s="113"/>
      <c r="AL116" s="113"/>
      <c r="AM116" s="113"/>
      <c r="AN116" s="113"/>
      <c r="AO116" s="113"/>
      <c r="AP116" s="113"/>
      <c r="AQ116" s="113"/>
      <c r="AR116" s="113"/>
      <c r="AS116" s="113"/>
      <c r="AT116" s="113"/>
      <c r="AU116" s="113"/>
      <c r="AV116" s="113"/>
      <c r="AW116" s="113"/>
      <c r="AX116" s="113"/>
      <c r="AY116" s="113"/>
      <c r="AZ116" s="113"/>
      <c r="BA116" s="113"/>
      <c r="BB116" s="113"/>
      <c r="BC116" s="113"/>
      <c r="BD116" s="113"/>
      <c r="BE116" s="113"/>
      <c r="BF116" s="113"/>
      <c r="BG116" s="113"/>
      <c r="BH116" s="113"/>
      <c r="BI116" s="113"/>
      <c r="BJ116" s="113"/>
      <c r="BK116" s="113"/>
      <c r="BL116" s="113"/>
      <c r="BM116" s="113"/>
      <c r="BN116" s="113"/>
      <c r="BO116" s="113"/>
      <c r="BP116" s="113"/>
      <c r="BQ116" s="113"/>
      <c r="BR116" s="113"/>
      <c r="BS116" s="113"/>
      <c r="BT116" s="113"/>
    </row>
    <row r="117" spans="1:72">
      <c r="A117" s="113"/>
      <c r="N117" s="113"/>
      <c r="P117" s="113"/>
      <c r="Q117" s="113"/>
      <c r="R117" s="113"/>
      <c r="S117" s="113"/>
      <c r="T117" s="113"/>
      <c r="U117" s="113"/>
      <c r="V117" s="113"/>
      <c r="W117" s="113"/>
      <c r="X117" s="52"/>
      <c r="Y117" s="52"/>
      <c r="Z117" s="113"/>
      <c r="AA117" s="113"/>
      <c r="AB117" s="113"/>
      <c r="AC117" s="113"/>
      <c r="AD117" s="113"/>
      <c r="AE117" s="113"/>
      <c r="AF117" s="113"/>
      <c r="AG117" s="113"/>
      <c r="AH117" s="113"/>
      <c r="AI117" s="113"/>
      <c r="AJ117" s="113"/>
      <c r="AK117" s="113"/>
      <c r="AL117" s="113"/>
      <c r="AM117" s="113"/>
      <c r="AN117" s="113"/>
      <c r="AO117" s="113"/>
      <c r="AP117" s="113"/>
      <c r="AQ117" s="113"/>
      <c r="AR117" s="113"/>
      <c r="AS117" s="113"/>
      <c r="AT117" s="113"/>
      <c r="AU117" s="113"/>
      <c r="AV117" s="113"/>
      <c r="AW117" s="113"/>
      <c r="AX117" s="113"/>
      <c r="AY117" s="113"/>
      <c r="AZ117" s="113"/>
      <c r="BA117" s="113"/>
      <c r="BB117" s="113"/>
      <c r="BC117" s="113"/>
      <c r="BD117" s="113"/>
      <c r="BE117" s="113"/>
      <c r="BF117" s="113"/>
      <c r="BG117" s="113"/>
      <c r="BH117" s="113"/>
      <c r="BI117" s="113"/>
      <c r="BJ117" s="113"/>
      <c r="BK117" s="113"/>
      <c r="BL117" s="113"/>
      <c r="BM117" s="113"/>
      <c r="BN117" s="113"/>
      <c r="BO117" s="113"/>
      <c r="BP117" s="113"/>
      <c r="BQ117" s="113"/>
      <c r="BR117" s="113"/>
      <c r="BS117" s="113"/>
      <c r="BT117" s="113"/>
    </row>
    <row r="118" spans="1:72">
      <c r="A118" s="113"/>
      <c r="N118" s="113"/>
      <c r="P118" s="113"/>
      <c r="Q118" s="113"/>
      <c r="R118" s="113"/>
      <c r="S118" s="113"/>
      <c r="T118" s="113"/>
      <c r="U118" s="113"/>
      <c r="V118" s="113"/>
      <c r="W118" s="113"/>
      <c r="X118" s="52"/>
      <c r="Y118" s="52"/>
      <c r="Z118" s="113"/>
      <c r="AA118" s="113"/>
      <c r="AB118" s="113"/>
      <c r="AC118" s="113"/>
      <c r="AD118" s="113"/>
      <c r="AE118" s="113"/>
      <c r="AF118" s="113"/>
      <c r="AG118" s="113"/>
      <c r="AH118" s="113"/>
      <c r="AI118" s="113"/>
      <c r="AJ118" s="113"/>
      <c r="AK118" s="113"/>
      <c r="AL118" s="113"/>
      <c r="AM118" s="113"/>
      <c r="AN118" s="113"/>
      <c r="AO118" s="113"/>
      <c r="AP118" s="113"/>
      <c r="AQ118" s="113"/>
      <c r="AR118" s="113"/>
      <c r="AS118" s="113"/>
      <c r="AT118" s="113"/>
      <c r="AU118" s="113"/>
      <c r="AV118" s="113"/>
      <c r="AW118" s="113"/>
      <c r="AX118" s="113"/>
      <c r="AY118" s="113"/>
      <c r="AZ118" s="113"/>
      <c r="BA118" s="113"/>
      <c r="BB118" s="113"/>
      <c r="BC118" s="113"/>
      <c r="BD118" s="113"/>
      <c r="BE118" s="113"/>
      <c r="BF118" s="113"/>
      <c r="BG118" s="113"/>
      <c r="BH118" s="113"/>
      <c r="BI118" s="113"/>
      <c r="BJ118" s="113"/>
      <c r="BK118" s="113"/>
      <c r="BL118" s="113"/>
      <c r="BM118" s="113"/>
      <c r="BN118" s="113"/>
      <c r="BO118" s="113"/>
      <c r="BP118" s="113"/>
      <c r="BQ118" s="113"/>
      <c r="BR118" s="113"/>
      <c r="BS118" s="113"/>
      <c r="BT118" s="113"/>
    </row>
    <row r="119" spans="1:72">
      <c r="A119" s="113"/>
      <c r="N119" s="113"/>
      <c r="P119" s="113"/>
      <c r="Q119" s="113"/>
      <c r="R119" s="113"/>
      <c r="S119" s="113"/>
      <c r="T119" s="113"/>
      <c r="U119" s="113"/>
      <c r="V119" s="113"/>
      <c r="W119" s="113"/>
      <c r="X119" s="52"/>
      <c r="Y119" s="52"/>
      <c r="Z119" s="113"/>
      <c r="AA119" s="113"/>
      <c r="AB119" s="113"/>
      <c r="AC119" s="113"/>
      <c r="AD119" s="113"/>
      <c r="AE119" s="113"/>
      <c r="AF119" s="113"/>
      <c r="AG119" s="113"/>
      <c r="AH119" s="113"/>
      <c r="AI119" s="113"/>
      <c r="AJ119" s="113"/>
      <c r="AK119" s="113"/>
      <c r="AL119" s="113"/>
      <c r="AM119" s="113"/>
      <c r="AN119" s="113"/>
      <c r="AO119" s="113"/>
      <c r="AP119" s="113"/>
      <c r="AQ119" s="113"/>
      <c r="AR119" s="113"/>
      <c r="AS119" s="113"/>
      <c r="AT119" s="113"/>
      <c r="AU119" s="113"/>
      <c r="AV119" s="113"/>
      <c r="AW119" s="113"/>
      <c r="AX119" s="113"/>
      <c r="AY119" s="113"/>
      <c r="AZ119" s="113"/>
      <c r="BA119" s="113"/>
      <c r="BB119" s="113"/>
      <c r="BC119" s="113"/>
      <c r="BD119" s="113"/>
      <c r="BE119" s="113"/>
      <c r="BF119" s="113"/>
      <c r="BG119" s="113"/>
      <c r="BH119" s="113"/>
      <c r="BI119" s="113"/>
      <c r="BJ119" s="113"/>
      <c r="BK119" s="113"/>
      <c r="BL119" s="113"/>
      <c r="BM119" s="113"/>
      <c r="BN119" s="113"/>
      <c r="BO119" s="113"/>
      <c r="BP119" s="113"/>
      <c r="BQ119" s="113"/>
      <c r="BR119" s="113"/>
      <c r="BS119" s="113"/>
      <c r="BT119" s="113"/>
    </row>
    <row r="120" spans="1:72">
      <c r="A120" s="113"/>
      <c r="N120" s="113"/>
      <c r="P120" s="113"/>
      <c r="Q120" s="113"/>
      <c r="R120" s="113"/>
      <c r="S120" s="113"/>
      <c r="T120" s="113"/>
      <c r="U120" s="113"/>
      <c r="V120" s="113"/>
      <c r="W120" s="113"/>
      <c r="X120" s="52"/>
      <c r="Y120" s="52"/>
      <c r="Z120" s="113"/>
      <c r="AA120" s="113"/>
      <c r="AB120" s="113"/>
      <c r="AC120" s="113"/>
      <c r="AD120" s="113"/>
      <c r="AE120" s="113"/>
      <c r="AF120" s="113"/>
      <c r="AG120" s="113"/>
      <c r="AH120" s="113"/>
      <c r="AI120" s="113"/>
      <c r="AJ120" s="113"/>
      <c r="AK120" s="113"/>
      <c r="AL120" s="113"/>
      <c r="AM120" s="113"/>
      <c r="AN120" s="113"/>
      <c r="AO120" s="113"/>
      <c r="AP120" s="113"/>
      <c r="AQ120" s="113"/>
      <c r="AR120" s="113"/>
      <c r="AS120" s="113"/>
      <c r="AT120" s="113"/>
      <c r="AU120" s="113"/>
      <c r="AV120" s="113"/>
      <c r="AW120" s="113"/>
      <c r="AX120" s="113"/>
      <c r="AY120" s="113"/>
      <c r="AZ120" s="113"/>
      <c r="BA120" s="113"/>
      <c r="BB120" s="113"/>
      <c r="BC120" s="113"/>
      <c r="BD120" s="113"/>
      <c r="BE120" s="113"/>
      <c r="BF120" s="113"/>
      <c r="BG120" s="113"/>
      <c r="BH120" s="113"/>
      <c r="BI120" s="113"/>
      <c r="BJ120" s="113"/>
      <c r="BK120" s="113"/>
      <c r="BL120" s="113"/>
      <c r="BM120" s="113"/>
      <c r="BN120" s="113"/>
      <c r="BO120" s="113"/>
      <c r="BP120" s="113"/>
      <c r="BQ120" s="113"/>
      <c r="BR120" s="113"/>
      <c r="BS120" s="113"/>
      <c r="BT120" s="113"/>
    </row>
    <row r="121" spans="1:72">
      <c r="A121" s="113"/>
      <c r="N121" s="113"/>
      <c r="P121" s="113"/>
      <c r="Q121" s="113"/>
      <c r="R121" s="113"/>
      <c r="S121" s="113"/>
      <c r="T121" s="113"/>
      <c r="U121" s="113"/>
      <c r="V121" s="113"/>
      <c r="W121" s="113"/>
      <c r="X121" s="52"/>
      <c r="Y121" s="52"/>
      <c r="Z121" s="113"/>
      <c r="AA121" s="113"/>
      <c r="AB121" s="113"/>
      <c r="AC121" s="113"/>
      <c r="AD121" s="113"/>
      <c r="AE121" s="113"/>
      <c r="AF121" s="113"/>
      <c r="AG121" s="113"/>
      <c r="AH121" s="113"/>
      <c r="AI121" s="113"/>
      <c r="AJ121" s="113"/>
      <c r="AK121" s="113"/>
      <c r="AL121" s="113"/>
      <c r="AM121" s="113"/>
      <c r="AN121" s="113"/>
      <c r="AO121" s="113"/>
      <c r="AP121" s="113"/>
      <c r="AQ121" s="113"/>
      <c r="AR121" s="113"/>
      <c r="AS121" s="113"/>
      <c r="AT121" s="113"/>
      <c r="AU121" s="113"/>
      <c r="AV121" s="113"/>
      <c r="AW121" s="113"/>
      <c r="AX121" s="113"/>
      <c r="AY121" s="113"/>
      <c r="AZ121" s="113"/>
      <c r="BA121" s="113"/>
      <c r="BB121" s="113"/>
      <c r="BC121" s="113"/>
      <c r="BD121" s="113"/>
      <c r="BE121" s="113"/>
      <c r="BF121" s="113"/>
      <c r="BG121" s="113"/>
      <c r="BH121" s="113"/>
      <c r="BI121" s="113"/>
      <c r="BJ121" s="113"/>
      <c r="BK121" s="113"/>
      <c r="BL121" s="113"/>
      <c r="BM121" s="113"/>
      <c r="BN121" s="113"/>
      <c r="BO121" s="113"/>
      <c r="BP121" s="113"/>
      <c r="BQ121" s="113"/>
      <c r="BR121" s="113"/>
      <c r="BS121" s="113"/>
      <c r="BT121" s="113"/>
    </row>
    <row r="122" spans="1:72">
      <c r="A122" s="113"/>
      <c r="N122" s="113"/>
      <c r="P122" s="113"/>
      <c r="Q122" s="113"/>
      <c r="R122" s="113"/>
      <c r="S122" s="113"/>
      <c r="T122" s="113"/>
      <c r="U122" s="113"/>
      <c r="V122" s="113"/>
      <c r="W122" s="113"/>
      <c r="X122" s="52"/>
      <c r="Y122" s="52"/>
      <c r="Z122" s="113"/>
      <c r="AA122" s="113"/>
      <c r="AB122" s="113"/>
      <c r="AC122" s="113"/>
      <c r="AD122" s="113"/>
      <c r="AE122" s="113"/>
      <c r="AF122" s="113"/>
      <c r="AG122" s="113"/>
      <c r="AH122" s="113"/>
      <c r="AI122" s="113"/>
      <c r="AJ122" s="113"/>
      <c r="AK122" s="113"/>
      <c r="AL122" s="113"/>
      <c r="AM122" s="113"/>
      <c r="AN122" s="113"/>
      <c r="AO122" s="113"/>
      <c r="AP122" s="113"/>
      <c r="AQ122" s="113"/>
      <c r="AR122" s="113"/>
      <c r="AS122" s="113"/>
      <c r="AT122" s="113"/>
      <c r="AU122" s="113"/>
      <c r="AV122" s="113"/>
      <c r="AW122" s="113"/>
      <c r="AX122" s="113"/>
      <c r="AY122" s="113"/>
      <c r="AZ122" s="113"/>
      <c r="BA122" s="113"/>
      <c r="BB122" s="113"/>
      <c r="BC122" s="113"/>
      <c r="BD122" s="113"/>
      <c r="BE122" s="113"/>
      <c r="BF122" s="113"/>
      <c r="BG122" s="113"/>
      <c r="BH122" s="113"/>
      <c r="BI122" s="113"/>
      <c r="BJ122" s="113"/>
      <c r="BK122" s="113"/>
      <c r="BL122" s="113"/>
      <c r="BM122" s="113"/>
      <c r="BN122" s="113"/>
      <c r="BO122" s="113"/>
      <c r="BP122" s="113"/>
      <c r="BQ122" s="113"/>
      <c r="BR122" s="113"/>
      <c r="BS122" s="113"/>
      <c r="BT122" s="113"/>
    </row>
    <row r="123" spans="1:72">
      <c r="A123" s="113"/>
      <c r="N123" s="113"/>
      <c r="P123" s="113"/>
      <c r="Q123" s="113"/>
      <c r="R123" s="113"/>
      <c r="S123" s="113"/>
      <c r="T123" s="113"/>
      <c r="U123" s="113"/>
      <c r="V123" s="113"/>
      <c r="W123" s="113"/>
      <c r="X123" s="52"/>
      <c r="Y123" s="52"/>
      <c r="Z123" s="113"/>
      <c r="AA123" s="113"/>
      <c r="AB123" s="113"/>
      <c r="AC123" s="113"/>
      <c r="AD123" s="113"/>
      <c r="AE123" s="113"/>
      <c r="AF123" s="113"/>
      <c r="AG123" s="113"/>
      <c r="AH123" s="113"/>
      <c r="AI123" s="113"/>
      <c r="AJ123" s="113"/>
      <c r="AK123" s="113"/>
      <c r="AL123" s="113"/>
      <c r="AM123" s="113"/>
      <c r="AN123" s="113"/>
      <c r="AO123" s="113"/>
      <c r="AP123" s="113"/>
      <c r="AQ123" s="113"/>
      <c r="AR123" s="113"/>
      <c r="AS123" s="113"/>
      <c r="AT123" s="113"/>
      <c r="AU123" s="113"/>
      <c r="AV123" s="113"/>
      <c r="AW123" s="113"/>
      <c r="AX123" s="113"/>
      <c r="AY123" s="113"/>
      <c r="AZ123" s="113"/>
      <c r="BA123" s="113"/>
      <c r="BB123" s="113"/>
      <c r="BC123" s="113"/>
      <c r="BD123" s="113"/>
      <c r="BE123" s="113"/>
      <c r="BF123" s="113"/>
      <c r="BG123" s="113"/>
      <c r="BH123" s="113"/>
      <c r="BI123" s="113"/>
      <c r="BJ123" s="113"/>
      <c r="BK123" s="113"/>
      <c r="BL123" s="113"/>
      <c r="BM123" s="113"/>
      <c r="BN123" s="113"/>
      <c r="BO123" s="113"/>
      <c r="BP123" s="113"/>
      <c r="BQ123" s="113"/>
      <c r="BR123" s="113"/>
      <c r="BS123" s="113"/>
      <c r="BT123" s="113"/>
    </row>
    <row r="124" spans="1:72">
      <c r="A124" s="113"/>
      <c r="N124" s="113"/>
      <c r="P124" s="113"/>
      <c r="Q124" s="113"/>
      <c r="R124" s="113"/>
      <c r="S124" s="113"/>
      <c r="T124" s="113"/>
      <c r="U124" s="113"/>
      <c r="V124" s="113"/>
      <c r="W124" s="113"/>
      <c r="X124" s="52"/>
      <c r="Y124" s="52"/>
      <c r="Z124" s="113"/>
      <c r="AA124" s="113"/>
      <c r="AB124" s="113"/>
      <c r="AC124" s="113"/>
      <c r="AD124" s="113"/>
      <c r="AE124" s="113"/>
      <c r="AF124" s="113"/>
      <c r="AG124" s="113"/>
      <c r="AH124" s="113"/>
      <c r="AI124" s="113"/>
      <c r="AJ124" s="113"/>
      <c r="AK124" s="113"/>
      <c r="AL124" s="113"/>
      <c r="AM124" s="113"/>
      <c r="AN124" s="113"/>
      <c r="AO124" s="113"/>
      <c r="AP124" s="113"/>
      <c r="AQ124" s="113"/>
      <c r="AR124" s="113"/>
      <c r="AS124" s="113"/>
      <c r="AT124" s="113"/>
      <c r="AU124" s="113"/>
      <c r="AV124" s="113"/>
      <c r="AW124" s="113"/>
      <c r="AX124" s="113"/>
      <c r="AY124" s="113"/>
      <c r="AZ124" s="113"/>
      <c r="BA124" s="113"/>
      <c r="BB124" s="113"/>
      <c r="BC124" s="113"/>
      <c r="BD124" s="113"/>
      <c r="BE124" s="113"/>
      <c r="BF124" s="113"/>
      <c r="BG124" s="113"/>
      <c r="BH124" s="113"/>
      <c r="BI124" s="113"/>
      <c r="BJ124" s="113"/>
      <c r="BK124" s="113"/>
      <c r="BL124" s="113"/>
      <c r="BM124" s="113"/>
      <c r="BN124" s="113"/>
      <c r="BO124" s="113"/>
      <c r="BP124" s="113"/>
      <c r="BQ124" s="113"/>
      <c r="BR124" s="113"/>
      <c r="BS124" s="113"/>
      <c r="BT124" s="113"/>
    </row>
    <row r="125" spans="1:72">
      <c r="A125" s="113"/>
      <c r="N125" s="113"/>
      <c r="P125" s="113"/>
      <c r="Q125" s="113"/>
      <c r="R125" s="113"/>
      <c r="S125" s="113"/>
      <c r="T125" s="113"/>
      <c r="U125" s="113"/>
      <c r="V125" s="113"/>
      <c r="W125" s="113"/>
      <c r="X125" s="52"/>
      <c r="Y125" s="52"/>
      <c r="Z125" s="113"/>
      <c r="AA125" s="113"/>
      <c r="AB125" s="113"/>
      <c r="AC125" s="113"/>
      <c r="AD125" s="113"/>
      <c r="AE125" s="113"/>
      <c r="AF125" s="113"/>
      <c r="AG125" s="113"/>
      <c r="AH125" s="113"/>
      <c r="AI125" s="113"/>
      <c r="AJ125" s="113"/>
      <c r="AK125" s="113"/>
      <c r="AL125" s="113"/>
      <c r="AM125" s="113"/>
      <c r="AN125" s="113"/>
      <c r="AO125" s="113"/>
      <c r="AP125" s="113"/>
      <c r="AQ125" s="113"/>
      <c r="AR125" s="113"/>
      <c r="AS125" s="113"/>
      <c r="AT125" s="113"/>
      <c r="AU125" s="113"/>
      <c r="AV125" s="113"/>
      <c r="AW125" s="113"/>
      <c r="AX125" s="113"/>
      <c r="AY125" s="113"/>
      <c r="AZ125" s="113"/>
      <c r="BA125" s="113"/>
      <c r="BB125" s="113"/>
      <c r="BC125" s="113"/>
      <c r="BD125" s="113"/>
      <c r="BE125" s="113"/>
      <c r="BF125" s="113"/>
      <c r="BG125" s="113"/>
      <c r="BH125" s="113"/>
      <c r="BI125" s="113"/>
      <c r="BJ125" s="113"/>
      <c r="BK125" s="113"/>
      <c r="BL125" s="113"/>
      <c r="BM125" s="113"/>
      <c r="BN125" s="113"/>
      <c r="BO125" s="113"/>
      <c r="BP125" s="113"/>
      <c r="BQ125" s="113"/>
      <c r="BR125" s="113"/>
      <c r="BS125" s="113"/>
      <c r="BT125" s="113"/>
    </row>
    <row r="126" spans="1:72">
      <c r="A126" s="113"/>
      <c r="N126" s="113"/>
      <c r="P126" s="113"/>
      <c r="Q126" s="113"/>
      <c r="R126" s="113"/>
      <c r="S126" s="113"/>
      <c r="T126" s="113"/>
      <c r="U126" s="113"/>
      <c r="V126" s="113"/>
      <c r="W126" s="113"/>
      <c r="X126" s="52"/>
      <c r="Y126" s="52"/>
      <c r="Z126" s="113"/>
      <c r="AA126" s="113"/>
      <c r="AB126" s="113"/>
      <c r="AC126" s="113"/>
      <c r="AD126" s="113"/>
      <c r="AE126" s="113"/>
      <c r="AF126" s="113"/>
      <c r="AG126" s="113"/>
      <c r="AH126" s="113"/>
      <c r="AI126" s="113"/>
      <c r="AJ126" s="113"/>
      <c r="AK126" s="113"/>
      <c r="AL126" s="113"/>
      <c r="AM126" s="113"/>
      <c r="AN126" s="113"/>
      <c r="AO126" s="113"/>
      <c r="AP126" s="113"/>
      <c r="AQ126" s="113"/>
      <c r="AR126" s="113"/>
      <c r="AS126" s="113"/>
      <c r="AT126" s="113"/>
      <c r="AU126" s="113"/>
      <c r="AV126" s="113"/>
      <c r="AW126" s="113"/>
      <c r="AX126" s="113"/>
      <c r="AY126" s="113"/>
      <c r="AZ126" s="113"/>
      <c r="BA126" s="113"/>
      <c r="BB126" s="113"/>
      <c r="BC126" s="113"/>
      <c r="BD126" s="113"/>
      <c r="BE126" s="113"/>
      <c r="BF126" s="113"/>
      <c r="BG126" s="113"/>
      <c r="BH126" s="113"/>
      <c r="BI126" s="113"/>
      <c r="BJ126" s="113"/>
      <c r="BK126" s="113"/>
      <c r="BL126" s="113"/>
      <c r="BM126" s="113"/>
      <c r="BN126" s="113"/>
      <c r="BO126" s="113"/>
      <c r="BP126" s="113"/>
      <c r="BQ126" s="113"/>
      <c r="BR126" s="113"/>
      <c r="BS126" s="113"/>
      <c r="BT126" s="113"/>
    </row>
    <row r="127" spans="1:72">
      <c r="A127" s="113"/>
      <c r="N127" s="113"/>
      <c r="P127" s="113"/>
      <c r="Q127" s="113"/>
      <c r="R127" s="113"/>
      <c r="S127" s="113"/>
      <c r="T127" s="113"/>
      <c r="U127" s="113"/>
      <c r="V127" s="113"/>
      <c r="W127" s="113"/>
      <c r="X127" s="52"/>
      <c r="Y127" s="52"/>
      <c r="Z127" s="113"/>
      <c r="AA127" s="113"/>
      <c r="AB127" s="113"/>
      <c r="AC127" s="113"/>
      <c r="AD127" s="113"/>
      <c r="AE127" s="113"/>
      <c r="AF127" s="113"/>
      <c r="AG127" s="113"/>
      <c r="AH127" s="113"/>
      <c r="AI127" s="113"/>
      <c r="AJ127" s="113"/>
      <c r="AK127" s="113"/>
      <c r="AL127" s="113"/>
      <c r="AM127" s="113"/>
      <c r="AN127" s="113"/>
      <c r="AO127" s="113"/>
      <c r="AP127" s="113"/>
      <c r="AQ127" s="113"/>
      <c r="AR127" s="113"/>
      <c r="AS127" s="113"/>
      <c r="AT127" s="113"/>
      <c r="AU127" s="113"/>
      <c r="AV127" s="113"/>
      <c r="AW127" s="113"/>
      <c r="AX127" s="113"/>
      <c r="AY127" s="113"/>
      <c r="AZ127" s="113"/>
      <c r="BA127" s="113"/>
      <c r="BB127" s="113"/>
      <c r="BC127" s="113"/>
      <c r="BD127" s="113"/>
      <c r="BE127" s="113"/>
      <c r="BF127" s="113"/>
      <c r="BG127" s="113"/>
      <c r="BH127" s="113"/>
      <c r="BI127" s="113"/>
      <c r="BJ127" s="113"/>
      <c r="BK127" s="113"/>
      <c r="BL127" s="113"/>
      <c r="BM127" s="113"/>
      <c r="BN127" s="113"/>
      <c r="BO127" s="113"/>
      <c r="BP127" s="113"/>
      <c r="BQ127" s="113"/>
      <c r="BR127" s="113"/>
      <c r="BS127" s="113"/>
      <c r="BT127" s="113"/>
    </row>
    <row r="128" spans="1:72">
      <c r="A128" s="113"/>
      <c r="N128" s="113"/>
      <c r="P128" s="113"/>
      <c r="Q128" s="113"/>
      <c r="R128" s="113"/>
      <c r="S128" s="113"/>
      <c r="T128" s="113"/>
      <c r="U128" s="113"/>
      <c r="V128" s="113"/>
      <c r="W128" s="113"/>
      <c r="X128" s="52"/>
      <c r="Y128" s="52"/>
      <c r="Z128" s="113"/>
      <c r="AA128" s="113"/>
      <c r="AB128" s="113"/>
      <c r="AC128" s="113"/>
      <c r="AD128" s="113"/>
      <c r="AE128" s="113"/>
      <c r="AF128" s="113"/>
      <c r="AG128" s="113"/>
      <c r="AH128" s="113"/>
      <c r="AI128" s="113"/>
      <c r="AJ128" s="113"/>
      <c r="AK128" s="113"/>
      <c r="AL128" s="113"/>
      <c r="AM128" s="113"/>
      <c r="AN128" s="113"/>
      <c r="AO128" s="113"/>
      <c r="AP128" s="113"/>
      <c r="AQ128" s="113"/>
      <c r="AR128" s="113"/>
      <c r="AS128" s="113"/>
      <c r="AT128" s="113"/>
      <c r="AU128" s="113"/>
      <c r="AV128" s="113"/>
      <c r="AW128" s="113"/>
      <c r="AX128" s="113"/>
      <c r="AY128" s="113"/>
      <c r="AZ128" s="113"/>
      <c r="BA128" s="113"/>
      <c r="BB128" s="113"/>
      <c r="BC128" s="113"/>
      <c r="BD128" s="113"/>
      <c r="BE128" s="113"/>
      <c r="BF128" s="113"/>
      <c r="BG128" s="113"/>
      <c r="BH128" s="113"/>
      <c r="BI128" s="113"/>
      <c r="BJ128" s="113"/>
      <c r="BK128" s="113"/>
      <c r="BL128" s="113"/>
      <c r="BM128" s="113"/>
      <c r="BN128" s="113"/>
      <c r="BO128" s="113"/>
      <c r="BP128" s="113"/>
      <c r="BQ128" s="113"/>
      <c r="BR128" s="113"/>
      <c r="BS128" s="113"/>
      <c r="BT128" s="113"/>
    </row>
    <row r="129" spans="1:72">
      <c r="A129" s="113"/>
      <c r="N129" s="113"/>
      <c r="P129" s="113"/>
      <c r="Q129" s="113"/>
      <c r="R129" s="113"/>
      <c r="S129" s="113"/>
      <c r="T129" s="113"/>
      <c r="U129" s="113"/>
      <c r="V129" s="113"/>
      <c r="W129" s="113"/>
      <c r="X129" s="52"/>
      <c r="Y129" s="52"/>
      <c r="Z129" s="113"/>
      <c r="AA129" s="113"/>
      <c r="AB129" s="113"/>
      <c r="AC129" s="113"/>
      <c r="AD129" s="113"/>
      <c r="AE129" s="113"/>
      <c r="AF129" s="113"/>
      <c r="AG129" s="113"/>
      <c r="AH129" s="113"/>
      <c r="AI129" s="113"/>
      <c r="AJ129" s="113"/>
      <c r="AK129" s="113"/>
      <c r="AL129" s="113"/>
      <c r="AM129" s="113"/>
      <c r="AN129" s="113"/>
      <c r="AO129" s="113"/>
      <c r="AP129" s="113"/>
      <c r="AQ129" s="113"/>
      <c r="AR129" s="113"/>
      <c r="AS129" s="113"/>
      <c r="AT129" s="113"/>
      <c r="AU129" s="113"/>
      <c r="AV129" s="113"/>
      <c r="AW129" s="113"/>
      <c r="AX129" s="113"/>
      <c r="AY129" s="113"/>
      <c r="AZ129" s="113"/>
      <c r="BA129" s="113"/>
      <c r="BB129" s="113"/>
      <c r="BC129" s="113"/>
      <c r="BD129" s="113"/>
      <c r="BE129" s="113"/>
      <c r="BF129" s="113"/>
      <c r="BG129" s="113"/>
      <c r="BH129" s="113"/>
      <c r="BI129" s="113"/>
      <c r="BJ129" s="113"/>
      <c r="BK129" s="113"/>
      <c r="BL129" s="113"/>
      <c r="BM129" s="113"/>
      <c r="BN129" s="113"/>
      <c r="BO129" s="113"/>
      <c r="BP129" s="113"/>
      <c r="BQ129" s="113"/>
      <c r="BR129" s="113"/>
      <c r="BS129" s="113"/>
      <c r="BT129" s="113"/>
    </row>
    <row r="130" spans="1:72">
      <c r="A130" s="113"/>
      <c r="N130" s="113"/>
      <c r="P130" s="113"/>
      <c r="Q130" s="113"/>
      <c r="R130" s="113"/>
      <c r="S130" s="113"/>
      <c r="T130" s="113"/>
      <c r="U130" s="113"/>
      <c r="V130" s="113"/>
      <c r="W130" s="113"/>
      <c r="X130" s="52"/>
      <c r="Y130" s="52"/>
      <c r="Z130" s="113"/>
      <c r="AA130" s="113"/>
      <c r="AB130" s="113"/>
      <c r="AC130" s="113"/>
      <c r="AD130" s="113"/>
      <c r="AE130" s="113"/>
      <c r="AF130" s="113"/>
      <c r="AG130" s="113"/>
      <c r="AH130" s="113"/>
      <c r="AI130" s="113"/>
      <c r="AJ130" s="113"/>
      <c r="AK130" s="113"/>
      <c r="AL130" s="113"/>
      <c r="AM130" s="113"/>
      <c r="AN130" s="113"/>
      <c r="AO130" s="113"/>
      <c r="AP130" s="113"/>
      <c r="AQ130" s="113"/>
      <c r="AR130" s="113"/>
      <c r="AS130" s="113"/>
      <c r="AT130" s="113"/>
      <c r="AU130" s="113"/>
      <c r="AV130" s="113"/>
      <c r="AW130" s="113"/>
      <c r="AX130" s="113"/>
      <c r="AY130" s="113"/>
      <c r="AZ130" s="113"/>
      <c r="BA130" s="113"/>
      <c r="BB130" s="113"/>
      <c r="BC130" s="113"/>
      <c r="BD130" s="113"/>
      <c r="BE130" s="113"/>
      <c r="BF130" s="113"/>
      <c r="BG130" s="113"/>
      <c r="BH130" s="113"/>
      <c r="BI130" s="113"/>
      <c r="BJ130" s="113"/>
      <c r="BK130" s="113"/>
      <c r="BL130" s="113"/>
      <c r="BM130" s="113"/>
      <c r="BN130" s="113"/>
      <c r="BO130" s="113"/>
      <c r="BP130" s="113"/>
      <c r="BQ130" s="113"/>
      <c r="BR130" s="113"/>
      <c r="BS130" s="113"/>
      <c r="BT130" s="113"/>
    </row>
    <row r="131" spans="1:72">
      <c r="A131" s="113"/>
      <c r="N131" s="113"/>
      <c r="P131" s="113"/>
      <c r="Q131" s="113"/>
      <c r="R131" s="113"/>
      <c r="S131" s="113"/>
      <c r="T131" s="113"/>
      <c r="U131" s="113"/>
      <c r="V131" s="113"/>
      <c r="W131" s="113"/>
      <c r="X131" s="52"/>
      <c r="Y131" s="52"/>
      <c r="Z131" s="113"/>
      <c r="AA131" s="113"/>
      <c r="AB131" s="113"/>
      <c r="AC131" s="113"/>
      <c r="AD131" s="113"/>
      <c r="AE131" s="113"/>
      <c r="AF131" s="113"/>
      <c r="AG131" s="113"/>
      <c r="AH131" s="113"/>
      <c r="AI131" s="113"/>
      <c r="AJ131" s="113"/>
      <c r="AK131" s="113"/>
      <c r="AL131" s="113"/>
      <c r="AM131" s="113"/>
      <c r="AN131" s="113"/>
      <c r="AO131" s="113"/>
      <c r="AP131" s="113"/>
      <c r="AQ131" s="113"/>
      <c r="AR131" s="113"/>
      <c r="AS131" s="113"/>
      <c r="AT131" s="113"/>
      <c r="AU131" s="113"/>
      <c r="AV131" s="113"/>
      <c r="AW131" s="113"/>
      <c r="AX131" s="113"/>
      <c r="AY131" s="113"/>
      <c r="AZ131" s="113"/>
      <c r="BA131" s="113"/>
      <c r="BB131" s="113"/>
      <c r="BC131" s="113"/>
      <c r="BD131" s="113"/>
      <c r="BE131" s="113"/>
      <c r="BF131" s="113"/>
      <c r="BG131" s="113"/>
      <c r="BH131" s="113"/>
      <c r="BI131" s="113"/>
      <c r="BJ131" s="113"/>
      <c r="BK131" s="113"/>
      <c r="BL131" s="113"/>
      <c r="BM131" s="113"/>
      <c r="BN131" s="113"/>
      <c r="BO131" s="113"/>
      <c r="BP131" s="113"/>
      <c r="BQ131" s="113"/>
      <c r="BR131" s="113"/>
      <c r="BS131" s="113"/>
      <c r="BT131" s="113"/>
    </row>
    <row r="132" spans="1:72">
      <c r="A132" s="113"/>
      <c r="N132" s="113"/>
      <c r="P132" s="113"/>
      <c r="Q132" s="113"/>
      <c r="R132" s="113"/>
      <c r="S132" s="113"/>
      <c r="T132" s="113"/>
      <c r="U132" s="113"/>
      <c r="V132" s="113"/>
      <c r="W132" s="113"/>
      <c r="X132" s="52"/>
      <c r="Y132" s="52"/>
      <c r="Z132" s="113"/>
      <c r="AA132" s="113"/>
      <c r="AB132" s="113"/>
      <c r="AC132" s="113"/>
      <c r="AD132" s="113"/>
      <c r="AE132" s="113"/>
      <c r="AF132" s="113"/>
      <c r="AG132" s="113"/>
      <c r="AH132" s="113"/>
      <c r="AI132" s="113"/>
      <c r="AJ132" s="113"/>
      <c r="AK132" s="113"/>
      <c r="AL132" s="113"/>
      <c r="AM132" s="113"/>
      <c r="AN132" s="113"/>
      <c r="AO132" s="113"/>
      <c r="AP132" s="113"/>
      <c r="AQ132" s="113"/>
      <c r="AR132" s="113"/>
      <c r="AS132" s="113"/>
      <c r="AT132" s="113"/>
      <c r="AU132" s="113"/>
      <c r="AV132" s="113"/>
      <c r="AW132" s="113"/>
      <c r="AX132" s="113"/>
      <c r="AY132" s="113"/>
      <c r="AZ132" s="113"/>
      <c r="BA132" s="113"/>
      <c r="BB132" s="113"/>
      <c r="BC132" s="113"/>
      <c r="BD132" s="113"/>
      <c r="BE132" s="113"/>
      <c r="BF132" s="113"/>
      <c r="BG132" s="113"/>
      <c r="BH132" s="113"/>
      <c r="BI132" s="113"/>
      <c r="BJ132" s="113"/>
      <c r="BK132" s="113"/>
      <c r="BL132" s="113"/>
      <c r="BM132" s="113"/>
      <c r="BN132" s="113"/>
      <c r="BO132" s="113"/>
      <c r="BP132" s="113"/>
      <c r="BQ132" s="113"/>
      <c r="BR132" s="113"/>
      <c r="BS132" s="113"/>
      <c r="BT132" s="113"/>
    </row>
    <row r="133" spans="1:72">
      <c r="A133" s="113"/>
      <c r="N133" s="113"/>
      <c r="P133" s="113"/>
      <c r="Q133" s="113"/>
      <c r="R133" s="113"/>
      <c r="S133" s="113"/>
      <c r="T133" s="113"/>
      <c r="U133" s="113"/>
      <c r="V133" s="113"/>
      <c r="W133" s="113"/>
      <c r="X133" s="52"/>
      <c r="Y133" s="52"/>
      <c r="Z133" s="113"/>
      <c r="AA133" s="113"/>
      <c r="AB133" s="113"/>
      <c r="AC133" s="113"/>
      <c r="AD133" s="113"/>
      <c r="AE133" s="113"/>
      <c r="AF133" s="113"/>
      <c r="AG133" s="113"/>
      <c r="AH133" s="113"/>
      <c r="AI133" s="113"/>
      <c r="AJ133" s="113"/>
      <c r="AK133" s="113"/>
      <c r="AL133" s="113"/>
      <c r="AM133" s="113"/>
      <c r="AN133" s="113"/>
      <c r="AO133" s="113"/>
      <c r="AP133" s="113"/>
      <c r="AQ133" s="113"/>
      <c r="AR133" s="113"/>
      <c r="AS133" s="113"/>
      <c r="AT133" s="113"/>
      <c r="AU133" s="113"/>
      <c r="AV133" s="113"/>
      <c r="AW133" s="113"/>
      <c r="AX133" s="113"/>
      <c r="AY133" s="113"/>
      <c r="AZ133" s="113"/>
      <c r="BA133" s="113"/>
      <c r="BB133" s="113"/>
      <c r="BC133" s="113"/>
      <c r="BD133" s="113"/>
      <c r="BE133" s="113"/>
      <c r="BF133" s="113"/>
      <c r="BG133" s="113"/>
      <c r="BH133" s="113"/>
      <c r="BI133" s="113"/>
      <c r="BJ133" s="113"/>
      <c r="BK133" s="113"/>
      <c r="BL133" s="113"/>
      <c r="BM133" s="113"/>
      <c r="BN133" s="113"/>
      <c r="BO133" s="113"/>
      <c r="BP133" s="113"/>
      <c r="BQ133" s="113"/>
      <c r="BR133" s="113"/>
      <c r="BS133" s="113"/>
      <c r="BT133" s="113"/>
    </row>
    <row r="134" spans="1:72">
      <c r="A134" s="113"/>
      <c r="N134" s="113"/>
      <c r="P134" s="113"/>
      <c r="Q134" s="113"/>
      <c r="R134" s="113"/>
      <c r="S134" s="113"/>
      <c r="T134" s="113"/>
      <c r="U134" s="113"/>
      <c r="V134" s="113"/>
      <c r="W134" s="113"/>
      <c r="X134" s="52"/>
      <c r="Y134" s="52"/>
      <c r="Z134" s="113"/>
      <c r="AA134" s="113"/>
      <c r="AB134" s="113"/>
      <c r="AC134" s="113"/>
      <c r="AD134" s="113"/>
      <c r="AE134" s="113"/>
      <c r="AF134" s="113"/>
      <c r="AG134" s="113"/>
      <c r="AH134" s="113"/>
      <c r="AI134" s="113"/>
      <c r="AJ134" s="113"/>
      <c r="AK134" s="113"/>
      <c r="AL134" s="113"/>
      <c r="AM134" s="113"/>
      <c r="AN134" s="113"/>
      <c r="AO134" s="113"/>
      <c r="AP134" s="113"/>
      <c r="AQ134" s="113"/>
      <c r="AR134" s="113"/>
      <c r="AS134" s="113"/>
      <c r="AT134" s="113"/>
      <c r="AU134" s="113"/>
      <c r="AV134" s="113"/>
      <c r="AW134" s="113"/>
      <c r="AX134" s="113"/>
      <c r="AY134" s="113"/>
      <c r="AZ134" s="113"/>
      <c r="BA134" s="113"/>
      <c r="BB134" s="113"/>
      <c r="BC134" s="113"/>
      <c r="BD134" s="113"/>
      <c r="BE134" s="113"/>
      <c r="BF134" s="113"/>
      <c r="BG134" s="113"/>
      <c r="BH134" s="113"/>
      <c r="BI134" s="113"/>
      <c r="BJ134" s="113"/>
      <c r="BK134" s="113"/>
      <c r="BL134" s="113"/>
      <c r="BM134" s="113"/>
      <c r="BN134" s="113"/>
      <c r="BO134" s="113"/>
      <c r="BP134" s="113"/>
      <c r="BQ134" s="113"/>
      <c r="BR134" s="113"/>
      <c r="BS134" s="113"/>
      <c r="BT134" s="113"/>
    </row>
    <row r="135" spans="1:72">
      <c r="A135" s="113"/>
      <c r="N135" s="113"/>
      <c r="P135" s="113"/>
      <c r="Q135" s="113"/>
      <c r="R135" s="113"/>
      <c r="S135" s="113"/>
      <c r="T135" s="113"/>
      <c r="U135" s="113"/>
      <c r="V135" s="113"/>
      <c r="W135" s="113"/>
      <c r="X135" s="52"/>
      <c r="Y135" s="52"/>
      <c r="Z135" s="113"/>
      <c r="AA135" s="113"/>
      <c r="AB135" s="113"/>
      <c r="AC135" s="113"/>
      <c r="AD135" s="113"/>
      <c r="AE135" s="113"/>
      <c r="AF135" s="113"/>
      <c r="AG135" s="113"/>
      <c r="AH135" s="113"/>
      <c r="AI135" s="113"/>
      <c r="AJ135" s="113"/>
      <c r="AK135" s="113"/>
      <c r="AL135" s="113"/>
      <c r="AM135" s="113"/>
      <c r="AN135" s="113"/>
      <c r="AO135" s="113"/>
      <c r="AP135" s="113"/>
      <c r="AQ135" s="113"/>
      <c r="AR135" s="113"/>
      <c r="AS135" s="113"/>
      <c r="AT135" s="113"/>
      <c r="AU135" s="113"/>
      <c r="AV135" s="113"/>
      <c r="AW135" s="113"/>
      <c r="AX135" s="113"/>
      <c r="AY135" s="113"/>
      <c r="AZ135" s="113"/>
      <c r="BA135" s="113"/>
      <c r="BB135" s="113"/>
      <c r="BC135" s="113"/>
      <c r="BD135" s="113"/>
      <c r="BE135" s="113"/>
      <c r="BF135" s="113"/>
      <c r="BG135" s="113"/>
      <c r="BH135" s="113"/>
      <c r="BI135" s="113"/>
      <c r="BJ135" s="113"/>
      <c r="BK135" s="113"/>
      <c r="BL135" s="113"/>
      <c r="BM135" s="113"/>
      <c r="BN135" s="113"/>
      <c r="BO135" s="113"/>
      <c r="BP135" s="113"/>
      <c r="BQ135" s="113"/>
      <c r="BR135" s="113"/>
      <c r="BS135" s="113"/>
      <c r="BT135" s="113"/>
    </row>
    <row r="136" spans="1:72">
      <c r="A136" s="113"/>
      <c r="N136" s="113"/>
      <c r="P136" s="113"/>
      <c r="Q136" s="113"/>
      <c r="R136" s="113"/>
      <c r="S136" s="113"/>
      <c r="T136" s="113"/>
      <c r="U136" s="113"/>
      <c r="V136" s="113"/>
      <c r="W136" s="113"/>
      <c r="X136" s="52"/>
      <c r="Y136" s="52"/>
      <c r="Z136" s="113"/>
      <c r="AA136" s="113"/>
      <c r="AB136" s="113"/>
      <c r="AC136" s="113"/>
      <c r="AD136" s="113"/>
      <c r="AE136" s="113"/>
      <c r="AF136" s="113"/>
      <c r="AG136" s="113"/>
      <c r="AH136" s="113"/>
      <c r="AI136" s="113"/>
      <c r="AJ136" s="113"/>
      <c r="AK136" s="113"/>
      <c r="AL136" s="113"/>
      <c r="AM136" s="113"/>
      <c r="AN136" s="113"/>
      <c r="AO136" s="113"/>
      <c r="AP136" s="113"/>
      <c r="AQ136" s="113"/>
      <c r="AR136" s="113"/>
      <c r="AS136" s="113"/>
      <c r="AT136" s="113"/>
      <c r="AU136" s="113"/>
      <c r="AV136" s="113"/>
      <c r="AW136" s="113"/>
      <c r="AX136" s="113"/>
      <c r="AY136" s="113"/>
      <c r="AZ136" s="113"/>
      <c r="BA136" s="113"/>
      <c r="BB136" s="113"/>
      <c r="BC136" s="113"/>
      <c r="BD136" s="113"/>
      <c r="BE136" s="113"/>
      <c r="BF136" s="113"/>
      <c r="BG136" s="113"/>
      <c r="BH136" s="113"/>
      <c r="BI136" s="113"/>
      <c r="BJ136" s="113"/>
      <c r="BK136" s="113"/>
      <c r="BL136" s="113"/>
      <c r="BM136" s="113"/>
      <c r="BN136" s="113"/>
      <c r="BO136" s="113"/>
      <c r="BP136" s="113"/>
      <c r="BQ136" s="113"/>
      <c r="BR136" s="113"/>
      <c r="BS136" s="113"/>
      <c r="BT136" s="113"/>
    </row>
    <row r="137" spans="1:72">
      <c r="A137" s="113"/>
      <c r="N137" s="113"/>
      <c r="P137" s="113"/>
      <c r="Q137" s="113"/>
      <c r="R137" s="113"/>
      <c r="S137" s="113"/>
      <c r="T137" s="113"/>
      <c r="U137" s="113"/>
      <c r="V137" s="113"/>
      <c r="W137" s="113"/>
      <c r="X137" s="52"/>
      <c r="Y137" s="52"/>
      <c r="Z137" s="113"/>
      <c r="AA137" s="113"/>
      <c r="AB137" s="113"/>
      <c r="AC137" s="113"/>
      <c r="AD137" s="113"/>
      <c r="AE137" s="113"/>
      <c r="AF137" s="113"/>
      <c r="AG137" s="113"/>
      <c r="AH137" s="113"/>
      <c r="AI137" s="113"/>
      <c r="AJ137" s="113"/>
      <c r="AK137" s="113"/>
      <c r="AL137" s="113"/>
      <c r="AM137" s="113"/>
      <c r="AN137" s="113"/>
      <c r="AO137" s="113"/>
      <c r="AP137" s="113"/>
      <c r="AQ137" s="113"/>
      <c r="AR137" s="113"/>
      <c r="AS137" s="113"/>
      <c r="AT137" s="113"/>
      <c r="AU137" s="113"/>
      <c r="AV137" s="113"/>
      <c r="AW137" s="113"/>
      <c r="AX137" s="113"/>
      <c r="AY137" s="113"/>
      <c r="AZ137" s="113"/>
      <c r="BA137" s="113"/>
      <c r="BB137" s="113"/>
      <c r="BC137" s="113"/>
      <c r="BD137" s="113"/>
      <c r="BE137" s="113"/>
      <c r="BF137" s="113"/>
      <c r="BG137" s="113"/>
      <c r="BH137" s="113"/>
      <c r="BI137" s="113"/>
      <c r="BJ137" s="113"/>
      <c r="BK137" s="113"/>
      <c r="BL137" s="113"/>
      <c r="BM137" s="113"/>
      <c r="BN137" s="113"/>
      <c r="BO137" s="113"/>
      <c r="BP137" s="113"/>
      <c r="BQ137" s="113"/>
      <c r="BR137" s="113"/>
      <c r="BS137" s="113"/>
      <c r="BT137" s="113"/>
    </row>
    <row r="138" spans="1:72">
      <c r="A138" s="113"/>
      <c r="N138" s="113"/>
      <c r="P138" s="113"/>
      <c r="Q138" s="113"/>
      <c r="R138" s="113"/>
      <c r="S138" s="113"/>
      <c r="T138" s="113"/>
      <c r="U138" s="113"/>
      <c r="V138" s="113"/>
      <c r="W138" s="113"/>
      <c r="X138" s="52"/>
      <c r="Y138" s="52"/>
      <c r="Z138" s="113"/>
      <c r="AA138" s="113"/>
      <c r="AB138" s="113"/>
      <c r="AC138" s="113"/>
      <c r="AD138" s="113"/>
      <c r="AE138" s="113"/>
      <c r="AF138" s="113"/>
      <c r="AG138" s="113"/>
      <c r="AH138" s="113"/>
      <c r="AI138" s="113"/>
      <c r="AJ138" s="113"/>
      <c r="AK138" s="113"/>
      <c r="AL138" s="113"/>
      <c r="AM138" s="113"/>
      <c r="AN138" s="113"/>
      <c r="AO138" s="113"/>
      <c r="AP138" s="113"/>
      <c r="AQ138" s="113"/>
      <c r="AR138" s="113"/>
      <c r="AS138" s="113"/>
      <c r="AT138" s="113"/>
      <c r="AU138" s="113"/>
      <c r="AV138" s="113"/>
      <c r="AW138" s="113"/>
      <c r="AX138" s="113"/>
      <c r="AY138" s="113"/>
      <c r="AZ138" s="113"/>
      <c r="BA138" s="113"/>
      <c r="BB138" s="113"/>
      <c r="BC138" s="113"/>
      <c r="BD138" s="113"/>
      <c r="BE138" s="113"/>
      <c r="BF138" s="113"/>
      <c r="BG138" s="113"/>
      <c r="BH138" s="113"/>
      <c r="BI138" s="113"/>
      <c r="BJ138" s="113"/>
      <c r="BK138" s="113"/>
      <c r="BL138" s="113"/>
      <c r="BM138" s="113"/>
      <c r="BN138" s="113"/>
      <c r="BO138" s="113"/>
      <c r="BP138" s="113"/>
      <c r="BQ138" s="113"/>
      <c r="BR138" s="113"/>
      <c r="BS138" s="113"/>
      <c r="BT138" s="113"/>
    </row>
    <row r="139" spans="1:72">
      <c r="A139" s="113"/>
      <c r="N139" s="113"/>
      <c r="P139" s="113"/>
      <c r="Q139" s="113"/>
      <c r="R139" s="113"/>
      <c r="S139" s="113"/>
      <c r="T139" s="113"/>
      <c r="U139" s="113"/>
      <c r="V139" s="113"/>
      <c r="W139" s="113"/>
      <c r="X139" s="52"/>
      <c r="Y139" s="52"/>
      <c r="Z139" s="113"/>
      <c r="AA139" s="113"/>
      <c r="AB139" s="113"/>
      <c r="AC139" s="113"/>
      <c r="AD139" s="113"/>
      <c r="AE139" s="113"/>
      <c r="AF139" s="113"/>
      <c r="AG139" s="113"/>
      <c r="AH139" s="113"/>
      <c r="AI139" s="113"/>
      <c r="AJ139" s="113"/>
      <c r="AK139" s="113"/>
      <c r="AL139" s="113"/>
      <c r="AM139" s="113"/>
      <c r="AN139" s="113"/>
      <c r="AO139" s="113"/>
      <c r="AP139" s="113"/>
      <c r="AQ139" s="113"/>
      <c r="AR139" s="113"/>
      <c r="AS139" s="113"/>
      <c r="AT139" s="113"/>
      <c r="AU139" s="113"/>
      <c r="AV139" s="113"/>
      <c r="AW139" s="113"/>
      <c r="AX139" s="113"/>
      <c r="AY139" s="113"/>
      <c r="AZ139" s="113"/>
      <c r="BA139" s="113"/>
      <c r="BB139" s="113"/>
      <c r="BC139" s="113"/>
      <c r="BD139" s="113"/>
      <c r="BE139" s="113"/>
      <c r="BF139" s="113"/>
      <c r="BG139" s="113"/>
      <c r="BH139" s="113"/>
      <c r="BI139" s="113"/>
      <c r="BJ139" s="113"/>
      <c r="BK139" s="113"/>
      <c r="BL139" s="113"/>
      <c r="BM139" s="113"/>
      <c r="BN139" s="113"/>
      <c r="BO139" s="113"/>
      <c r="BP139" s="113"/>
      <c r="BQ139" s="113"/>
      <c r="BR139" s="113"/>
      <c r="BS139" s="113"/>
      <c r="BT139" s="113"/>
    </row>
    <row r="140" spans="1:72">
      <c r="A140" s="113"/>
      <c r="N140" s="113"/>
      <c r="P140" s="113"/>
      <c r="Q140" s="113"/>
      <c r="R140" s="113"/>
      <c r="S140" s="113"/>
      <c r="T140" s="113"/>
      <c r="U140" s="113"/>
      <c r="V140" s="113"/>
      <c r="W140" s="113"/>
      <c r="X140" s="52"/>
      <c r="Y140" s="52"/>
      <c r="Z140" s="113"/>
      <c r="AA140" s="113"/>
      <c r="AB140" s="113"/>
      <c r="AC140" s="113"/>
      <c r="AD140" s="113"/>
      <c r="AE140" s="113"/>
      <c r="AF140" s="113"/>
      <c r="AG140" s="113"/>
      <c r="AH140" s="113"/>
      <c r="AI140" s="113"/>
      <c r="AJ140" s="113"/>
      <c r="AK140" s="113"/>
      <c r="AL140" s="113"/>
      <c r="AM140" s="113"/>
      <c r="AN140" s="113"/>
      <c r="AO140" s="113"/>
      <c r="AP140" s="113"/>
      <c r="AQ140" s="113"/>
      <c r="AR140" s="113"/>
      <c r="AS140" s="113"/>
      <c r="AT140" s="113"/>
      <c r="AU140" s="113"/>
      <c r="AV140" s="113"/>
      <c r="AW140" s="113"/>
      <c r="AX140" s="113"/>
      <c r="AY140" s="113"/>
      <c r="AZ140" s="113"/>
      <c r="BA140" s="113"/>
      <c r="BB140" s="113"/>
      <c r="BC140" s="113"/>
      <c r="BD140" s="113"/>
      <c r="BE140" s="113"/>
      <c r="BF140" s="113"/>
      <c r="BG140" s="113"/>
      <c r="BH140" s="113"/>
      <c r="BI140" s="113"/>
      <c r="BJ140" s="113"/>
      <c r="BK140" s="113"/>
      <c r="BL140" s="113"/>
      <c r="BM140" s="113"/>
      <c r="BN140" s="113"/>
      <c r="BO140" s="113"/>
      <c r="BP140" s="113"/>
      <c r="BQ140" s="113"/>
      <c r="BR140" s="113"/>
      <c r="BS140" s="113"/>
      <c r="BT140" s="113"/>
    </row>
    <row r="141" spans="1:72">
      <c r="A141" s="113"/>
      <c r="N141" s="113"/>
      <c r="P141" s="113"/>
      <c r="Q141" s="113"/>
      <c r="R141" s="113"/>
      <c r="S141" s="113"/>
      <c r="T141" s="113"/>
      <c r="U141" s="113"/>
      <c r="V141" s="113"/>
      <c r="W141" s="113"/>
      <c r="X141" s="52"/>
      <c r="Y141" s="52"/>
      <c r="Z141" s="113"/>
      <c r="AA141" s="113"/>
      <c r="AB141" s="113"/>
      <c r="AC141" s="113"/>
      <c r="AD141" s="113"/>
      <c r="AE141" s="113"/>
      <c r="AF141" s="113"/>
      <c r="AG141" s="113"/>
      <c r="AH141" s="113"/>
      <c r="AI141" s="113"/>
      <c r="AJ141" s="113"/>
      <c r="AK141" s="113"/>
      <c r="AL141" s="113"/>
      <c r="AM141" s="113"/>
      <c r="AN141" s="113"/>
      <c r="AO141" s="113"/>
      <c r="AP141" s="113"/>
      <c r="AQ141" s="113"/>
      <c r="AR141" s="113"/>
      <c r="AS141" s="113"/>
      <c r="AT141" s="113"/>
      <c r="AU141" s="113"/>
      <c r="AV141" s="113"/>
      <c r="AW141" s="113"/>
      <c r="AX141" s="113"/>
      <c r="AY141" s="113"/>
      <c r="AZ141" s="113"/>
      <c r="BA141" s="113"/>
      <c r="BB141" s="113"/>
      <c r="BC141" s="113"/>
      <c r="BD141" s="113"/>
      <c r="BE141" s="113"/>
      <c r="BF141" s="113"/>
      <c r="BG141" s="113"/>
      <c r="BH141" s="113"/>
      <c r="BI141" s="113"/>
      <c r="BJ141" s="113"/>
      <c r="BK141" s="113"/>
      <c r="BL141" s="113"/>
      <c r="BM141" s="113"/>
      <c r="BN141" s="113"/>
      <c r="BO141" s="113"/>
      <c r="BP141" s="113"/>
      <c r="BQ141" s="113"/>
      <c r="BR141" s="113"/>
      <c r="BS141" s="113"/>
      <c r="BT141" s="113"/>
    </row>
    <row r="142" spans="1:72">
      <c r="A142" s="113"/>
      <c r="N142" s="113"/>
      <c r="P142" s="113"/>
      <c r="Q142" s="113"/>
      <c r="R142" s="113"/>
      <c r="S142" s="113"/>
      <c r="T142" s="113"/>
      <c r="U142" s="113"/>
      <c r="V142" s="113"/>
      <c r="W142" s="113"/>
      <c r="X142" s="52"/>
      <c r="Y142" s="52"/>
      <c r="Z142" s="113"/>
      <c r="AA142" s="113"/>
      <c r="AB142" s="113"/>
      <c r="AC142" s="113"/>
      <c r="AD142" s="113"/>
      <c r="AE142" s="113"/>
      <c r="AF142" s="113"/>
      <c r="AG142" s="113"/>
      <c r="AH142" s="113"/>
      <c r="AI142" s="113"/>
      <c r="AJ142" s="113"/>
      <c r="AK142" s="113"/>
      <c r="AL142" s="113"/>
      <c r="AM142" s="113"/>
      <c r="AN142" s="113"/>
      <c r="AO142" s="113"/>
      <c r="AP142" s="113"/>
      <c r="AQ142" s="113"/>
      <c r="AR142" s="113"/>
      <c r="AS142" s="113"/>
      <c r="AT142" s="113"/>
      <c r="AU142" s="113"/>
      <c r="AV142" s="113"/>
      <c r="AW142" s="113"/>
      <c r="AX142" s="113"/>
      <c r="AY142" s="113"/>
      <c r="AZ142" s="113"/>
      <c r="BA142" s="113"/>
      <c r="BB142" s="113"/>
      <c r="BC142" s="113"/>
      <c r="BD142" s="113"/>
      <c r="BE142" s="113"/>
      <c r="BF142" s="113"/>
      <c r="BG142" s="113"/>
      <c r="BH142" s="113"/>
      <c r="BI142" s="113"/>
      <c r="BJ142" s="113"/>
      <c r="BK142" s="113"/>
      <c r="BL142" s="113"/>
      <c r="BM142" s="113"/>
      <c r="BN142" s="113"/>
      <c r="BO142" s="113"/>
      <c r="BP142" s="113"/>
      <c r="BQ142" s="113"/>
      <c r="BR142" s="113"/>
      <c r="BS142" s="113"/>
      <c r="BT142" s="113"/>
    </row>
    <row r="143" spans="1:72">
      <c r="A143" s="113"/>
      <c r="N143" s="113"/>
      <c r="P143" s="113"/>
      <c r="Q143" s="113"/>
      <c r="R143" s="113"/>
      <c r="S143" s="113"/>
      <c r="T143" s="113"/>
      <c r="U143" s="113"/>
      <c r="V143" s="113"/>
      <c r="W143" s="113"/>
      <c r="X143" s="52"/>
      <c r="Y143" s="52"/>
      <c r="Z143" s="113"/>
      <c r="AA143" s="113"/>
      <c r="AB143" s="113"/>
      <c r="AC143" s="113"/>
      <c r="AD143" s="113"/>
      <c r="AE143" s="113"/>
      <c r="AF143" s="113"/>
      <c r="AG143" s="113"/>
      <c r="AH143" s="113"/>
      <c r="AI143" s="113"/>
      <c r="AJ143" s="113"/>
      <c r="AK143" s="113"/>
      <c r="AL143" s="113"/>
      <c r="AM143" s="113"/>
      <c r="AN143" s="113"/>
      <c r="AO143" s="113"/>
      <c r="AP143" s="113"/>
      <c r="AQ143" s="113"/>
      <c r="AR143" s="113"/>
      <c r="AS143" s="113"/>
      <c r="AT143" s="113"/>
      <c r="AU143" s="113"/>
      <c r="AV143" s="113"/>
      <c r="AW143" s="113"/>
      <c r="AX143" s="113"/>
      <c r="AY143" s="113"/>
      <c r="AZ143" s="113"/>
      <c r="BA143" s="113"/>
      <c r="BB143" s="113"/>
      <c r="BC143" s="113"/>
      <c r="BD143" s="113"/>
      <c r="BE143" s="113"/>
      <c r="BF143" s="113"/>
      <c r="BG143" s="113"/>
      <c r="BH143" s="113"/>
      <c r="BI143" s="113"/>
      <c r="BJ143" s="113"/>
      <c r="BK143" s="113"/>
      <c r="BL143" s="113"/>
      <c r="BM143" s="113"/>
      <c r="BN143" s="113"/>
      <c r="BO143" s="113"/>
      <c r="BP143" s="113"/>
      <c r="BQ143" s="113"/>
      <c r="BR143" s="113"/>
      <c r="BS143" s="113"/>
      <c r="BT143" s="113"/>
    </row>
    <row r="144" spans="1:72">
      <c r="A144" s="113"/>
      <c r="N144" s="113"/>
      <c r="P144" s="113"/>
      <c r="Q144" s="113"/>
      <c r="R144" s="113"/>
      <c r="S144" s="113"/>
      <c r="T144" s="113"/>
      <c r="U144" s="113"/>
      <c r="V144" s="113"/>
      <c r="W144" s="113"/>
      <c r="X144" s="52"/>
      <c r="Y144" s="52"/>
      <c r="Z144" s="113"/>
      <c r="AA144" s="113"/>
      <c r="AB144" s="113"/>
      <c r="AC144" s="113"/>
      <c r="AD144" s="113"/>
      <c r="AE144" s="113"/>
      <c r="AF144" s="113"/>
      <c r="AG144" s="113"/>
      <c r="AH144" s="113"/>
      <c r="AI144" s="113"/>
      <c r="AJ144" s="113"/>
      <c r="AK144" s="113"/>
      <c r="AL144" s="113"/>
      <c r="AM144" s="113"/>
      <c r="AN144" s="113"/>
      <c r="AO144" s="113"/>
      <c r="AP144" s="113"/>
      <c r="AQ144" s="113"/>
      <c r="AR144" s="113"/>
      <c r="AS144" s="113"/>
      <c r="AT144" s="113"/>
      <c r="AU144" s="113"/>
      <c r="AV144" s="113"/>
      <c r="AW144" s="113"/>
      <c r="AX144" s="113"/>
      <c r="AY144" s="113"/>
      <c r="AZ144" s="113"/>
      <c r="BA144" s="113"/>
      <c r="BB144" s="113"/>
      <c r="BC144" s="113"/>
      <c r="BD144" s="113"/>
      <c r="BE144" s="113"/>
      <c r="BF144" s="113"/>
      <c r="BG144" s="113"/>
      <c r="BH144" s="113"/>
      <c r="BI144" s="113"/>
      <c r="BJ144" s="113"/>
      <c r="BK144" s="113"/>
      <c r="BL144" s="113"/>
      <c r="BM144" s="113"/>
      <c r="BN144" s="113"/>
      <c r="BO144" s="113"/>
      <c r="BP144" s="113"/>
      <c r="BQ144" s="113"/>
      <c r="BR144" s="113"/>
      <c r="BS144" s="113"/>
      <c r="BT144" s="113"/>
    </row>
    <row r="145" spans="1:72">
      <c r="A145" s="113"/>
      <c r="N145" s="113"/>
      <c r="P145" s="113"/>
      <c r="Q145" s="113"/>
      <c r="R145" s="113"/>
      <c r="S145" s="113"/>
      <c r="T145" s="113"/>
      <c r="U145" s="113"/>
      <c r="V145" s="113"/>
      <c r="W145" s="113"/>
      <c r="X145" s="52"/>
      <c r="Y145" s="52"/>
      <c r="Z145" s="113"/>
      <c r="AA145" s="113"/>
      <c r="AB145" s="113"/>
      <c r="AC145" s="113"/>
      <c r="AD145" s="113"/>
      <c r="AE145" s="113"/>
      <c r="AF145" s="113"/>
      <c r="AG145" s="113"/>
      <c r="AH145" s="113"/>
      <c r="AI145" s="113"/>
      <c r="AJ145" s="113"/>
      <c r="AK145" s="113"/>
      <c r="AL145" s="113"/>
      <c r="AM145" s="113"/>
      <c r="AN145" s="113"/>
      <c r="AO145" s="113"/>
      <c r="AP145" s="113"/>
      <c r="AQ145" s="113"/>
      <c r="AR145" s="113"/>
      <c r="AS145" s="113"/>
      <c r="AT145" s="113"/>
      <c r="AU145" s="113"/>
      <c r="AV145" s="113"/>
      <c r="AW145" s="113"/>
      <c r="AX145" s="113"/>
      <c r="AY145" s="113"/>
      <c r="AZ145" s="113"/>
      <c r="BA145" s="113"/>
      <c r="BB145" s="113"/>
      <c r="BC145" s="113"/>
      <c r="BD145" s="113"/>
      <c r="BE145" s="113"/>
      <c r="BF145" s="113"/>
      <c r="BG145" s="113"/>
      <c r="BH145" s="113"/>
      <c r="BI145" s="113"/>
      <c r="BJ145" s="113"/>
      <c r="BK145" s="113"/>
      <c r="BL145" s="113"/>
      <c r="BM145" s="113"/>
      <c r="BN145" s="113"/>
      <c r="BO145" s="113"/>
      <c r="BP145" s="113"/>
      <c r="BQ145" s="113"/>
      <c r="BR145" s="113"/>
      <c r="BS145" s="113"/>
      <c r="BT145" s="113"/>
    </row>
    <row r="146" spans="1:72">
      <c r="A146" s="113"/>
      <c r="N146" s="113"/>
      <c r="P146" s="113"/>
      <c r="Q146" s="113"/>
      <c r="R146" s="113"/>
      <c r="S146" s="113"/>
      <c r="T146" s="113"/>
      <c r="U146" s="113"/>
      <c r="V146" s="113"/>
      <c r="W146" s="113"/>
      <c r="X146" s="52"/>
      <c r="Y146" s="52"/>
      <c r="Z146" s="113"/>
      <c r="AA146" s="113"/>
      <c r="AB146" s="113"/>
      <c r="AC146" s="113"/>
      <c r="AD146" s="113"/>
      <c r="AE146" s="113"/>
      <c r="AF146" s="113"/>
      <c r="AG146" s="113"/>
      <c r="AH146" s="113"/>
      <c r="AI146" s="113"/>
      <c r="AJ146" s="113"/>
      <c r="AK146" s="113"/>
      <c r="AL146" s="113"/>
      <c r="AM146" s="113"/>
      <c r="AN146" s="113"/>
      <c r="AO146" s="113"/>
      <c r="AP146" s="113"/>
      <c r="AQ146" s="113"/>
      <c r="AR146" s="113"/>
      <c r="AS146" s="113"/>
      <c r="AT146" s="113"/>
      <c r="AU146" s="113"/>
      <c r="AV146" s="113"/>
      <c r="AW146" s="113"/>
      <c r="AX146" s="113"/>
      <c r="AY146" s="113"/>
      <c r="AZ146" s="113"/>
      <c r="BA146" s="113"/>
      <c r="BB146" s="113"/>
      <c r="BC146" s="113"/>
      <c r="BD146" s="113"/>
      <c r="BE146" s="113"/>
      <c r="BF146" s="113"/>
      <c r="BG146" s="113"/>
      <c r="BH146" s="113"/>
      <c r="BI146" s="113"/>
      <c r="BJ146" s="113"/>
      <c r="BK146" s="113"/>
      <c r="BL146" s="113"/>
      <c r="BM146" s="113"/>
      <c r="BN146" s="113"/>
      <c r="BO146" s="113"/>
      <c r="BP146" s="113"/>
      <c r="BQ146" s="113"/>
      <c r="BR146" s="113"/>
      <c r="BS146" s="113"/>
      <c r="BT146" s="113"/>
    </row>
    <row r="147" spans="1:72">
      <c r="A147" s="113"/>
      <c r="N147" s="113"/>
      <c r="P147" s="113"/>
      <c r="Q147" s="113"/>
      <c r="R147" s="113"/>
      <c r="S147" s="113"/>
      <c r="T147" s="113"/>
      <c r="U147" s="113"/>
      <c r="V147" s="113"/>
      <c r="W147" s="113"/>
      <c r="X147" s="52"/>
      <c r="Y147" s="52"/>
      <c r="Z147" s="113"/>
      <c r="AA147" s="113"/>
      <c r="AB147" s="113"/>
      <c r="AC147" s="113"/>
      <c r="AD147" s="113"/>
      <c r="AE147" s="113"/>
      <c r="AF147" s="113"/>
      <c r="AG147" s="113"/>
      <c r="AH147" s="113"/>
      <c r="AI147" s="113"/>
      <c r="AJ147" s="113"/>
      <c r="AK147" s="113"/>
      <c r="AL147" s="113"/>
      <c r="AM147" s="113"/>
      <c r="AN147" s="113"/>
      <c r="AO147" s="113"/>
      <c r="AP147" s="113"/>
      <c r="AQ147" s="113"/>
      <c r="AR147" s="113"/>
      <c r="AS147" s="113"/>
      <c r="AT147" s="113"/>
      <c r="AU147" s="113"/>
      <c r="AV147" s="113"/>
      <c r="AW147" s="113"/>
      <c r="AX147" s="113"/>
      <c r="AY147" s="113"/>
      <c r="AZ147" s="113"/>
      <c r="BA147" s="113"/>
      <c r="BB147" s="113"/>
      <c r="BC147" s="113"/>
      <c r="BD147" s="113"/>
      <c r="BE147" s="113"/>
      <c r="BF147" s="113"/>
      <c r="BG147" s="113"/>
      <c r="BH147" s="113"/>
      <c r="BI147" s="113"/>
      <c r="BJ147" s="113"/>
      <c r="BK147" s="113"/>
      <c r="BL147" s="113"/>
      <c r="BM147" s="113"/>
      <c r="BN147" s="113"/>
      <c r="BO147" s="113"/>
      <c r="BP147" s="113"/>
      <c r="BQ147" s="113"/>
      <c r="BR147" s="113"/>
      <c r="BS147" s="113"/>
      <c r="BT147" s="113"/>
    </row>
    <row r="148" spans="1:72">
      <c r="A148" s="113"/>
      <c r="N148" s="113"/>
      <c r="P148" s="113"/>
      <c r="Q148" s="113"/>
      <c r="R148" s="113"/>
      <c r="S148" s="113"/>
      <c r="T148" s="113"/>
      <c r="U148" s="113"/>
      <c r="V148" s="113"/>
      <c r="W148" s="113"/>
      <c r="X148" s="52"/>
      <c r="Y148" s="52"/>
      <c r="Z148" s="113"/>
      <c r="AA148" s="113"/>
      <c r="AB148" s="113"/>
      <c r="AC148" s="113"/>
      <c r="AD148" s="113"/>
      <c r="AE148" s="113"/>
      <c r="AF148" s="113"/>
      <c r="AG148" s="113"/>
      <c r="AH148" s="113"/>
      <c r="AI148" s="113"/>
      <c r="AJ148" s="113"/>
      <c r="AK148" s="113"/>
      <c r="AL148" s="113"/>
      <c r="AM148" s="113"/>
      <c r="AN148" s="113"/>
      <c r="AO148" s="113"/>
      <c r="AP148" s="113"/>
      <c r="AQ148" s="113"/>
      <c r="AR148" s="113"/>
      <c r="AS148" s="113"/>
      <c r="AT148" s="113"/>
      <c r="AU148" s="113"/>
      <c r="AV148" s="113"/>
      <c r="AW148" s="113"/>
      <c r="AX148" s="113"/>
      <c r="AY148" s="113"/>
      <c r="AZ148" s="113"/>
      <c r="BA148" s="113"/>
      <c r="BB148" s="113"/>
      <c r="BC148" s="113"/>
      <c r="BD148" s="113"/>
      <c r="BE148" s="113"/>
      <c r="BF148" s="113"/>
      <c r="BG148" s="113"/>
      <c r="BH148" s="113"/>
      <c r="BI148" s="113"/>
      <c r="BJ148" s="113"/>
      <c r="BK148" s="113"/>
      <c r="BL148" s="113"/>
      <c r="BM148" s="113"/>
      <c r="BN148" s="113"/>
      <c r="BO148" s="113"/>
      <c r="BP148" s="113"/>
      <c r="BQ148" s="113"/>
      <c r="BR148" s="113"/>
      <c r="BS148" s="113"/>
      <c r="BT148" s="113"/>
    </row>
    <row r="149" spans="1:72">
      <c r="A149" s="113"/>
      <c r="N149" s="113"/>
      <c r="P149" s="113"/>
      <c r="Q149" s="113"/>
      <c r="R149" s="113"/>
      <c r="S149" s="113"/>
      <c r="T149" s="113"/>
      <c r="U149" s="113"/>
      <c r="V149" s="113"/>
      <c r="W149" s="113"/>
      <c r="X149" s="52"/>
      <c r="Y149" s="52"/>
      <c r="Z149" s="113"/>
      <c r="AA149" s="113"/>
      <c r="AB149" s="113"/>
      <c r="AC149" s="113"/>
      <c r="AD149" s="113"/>
      <c r="AE149" s="113"/>
      <c r="AF149" s="113"/>
      <c r="AG149" s="113"/>
      <c r="AH149" s="113"/>
      <c r="AI149" s="113"/>
      <c r="AJ149" s="113"/>
      <c r="AK149" s="113"/>
      <c r="AL149" s="113"/>
      <c r="AM149" s="113"/>
      <c r="AN149" s="113"/>
      <c r="AO149" s="113"/>
      <c r="AP149" s="113"/>
      <c r="AQ149" s="113"/>
      <c r="AR149" s="113"/>
      <c r="AS149" s="113"/>
      <c r="AT149" s="113"/>
      <c r="AU149" s="113"/>
      <c r="AV149" s="113"/>
      <c r="AW149" s="113"/>
      <c r="AX149" s="113"/>
      <c r="AY149" s="113"/>
      <c r="AZ149" s="113"/>
      <c r="BA149" s="113"/>
      <c r="BB149" s="113"/>
      <c r="BC149" s="113"/>
      <c r="BD149" s="113"/>
      <c r="BE149" s="113"/>
      <c r="BF149" s="113"/>
      <c r="BG149" s="113"/>
      <c r="BH149" s="113"/>
      <c r="BI149" s="113"/>
      <c r="BJ149" s="113"/>
      <c r="BK149" s="113"/>
      <c r="BL149" s="113"/>
      <c r="BM149" s="113"/>
      <c r="BN149" s="113"/>
      <c r="BO149" s="113"/>
      <c r="BP149" s="113"/>
      <c r="BQ149" s="113"/>
      <c r="BR149" s="113"/>
      <c r="BS149" s="113"/>
      <c r="BT149" s="113"/>
    </row>
    <row r="150" spans="1:72">
      <c r="A150" s="113"/>
      <c r="N150" s="113"/>
      <c r="P150" s="113"/>
      <c r="Q150" s="113"/>
      <c r="R150" s="113"/>
      <c r="S150" s="113"/>
      <c r="T150" s="113"/>
      <c r="U150" s="113"/>
      <c r="V150" s="113"/>
      <c r="W150" s="113"/>
      <c r="X150" s="52"/>
      <c r="Y150" s="52"/>
      <c r="Z150" s="113"/>
      <c r="AA150" s="113"/>
      <c r="AB150" s="113"/>
      <c r="AC150" s="113"/>
      <c r="AD150" s="113"/>
      <c r="AE150" s="113"/>
      <c r="AF150" s="113"/>
      <c r="AG150" s="113"/>
      <c r="AH150" s="113"/>
      <c r="AI150" s="113"/>
      <c r="AJ150" s="113"/>
      <c r="AK150" s="113"/>
      <c r="AL150" s="113"/>
      <c r="AM150" s="113"/>
      <c r="AN150" s="113"/>
      <c r="AO150" s="113"/>
      <c r="AP150" s="113"/>
      <c r="AQ150" s="113"/>
      <c r="AR150" s="113"/>
      <c r="AS150" s="113"/>
      <c r="AT150" s="113"/>
      <c r="AU150" s="113"/>
      <c r="AV150" s="113"/>
      <c r="AW150" s="113"/>
      <c r="AX150" s="113"/>
      <c r="AY150" s="113"/>
      <c r="AZ150" s="113"/>
      <c r="BA150" s="113"/>
      <c r="BB150" s="113"/>
      <c r="BC150" s="113"/>
      <c r="BD150" s="113"/>
      <c r="BE150" s="113"/>
      <c r="BF150" s="113"/>
      <c r="BG150" s="113"/>
      <c r="BH150" s="113"/>
      <c r="BI150" s="113"/>
      <c r="BJ150" s="113"/>
      <c r="BK150" s="113"/>
      <c r="BL150" s="113"/>
      <c r="BM150" s="113"/>
      <c r="BN150" s="113"/>
      <c r="BO150" s="113"/>
      <c r="BP150" s="113"/>
      <c r="BQ150" s="113"/>
      <c r="BR150" s="113"/>
      <c r="BS150" s="113"/>
      <c r="BT150" s="113"/>
    </row>
    <row r="151" spans="1:72">
      <c r="A151" s="113"/>
      <c r="N151" s="113"/>
      <c r="P151" s="113"/>
      <c r="Q151" s="113"/>
      <c r="R151" s="113"/>
      <c r="S151" s="113"/>
      <c r="T151" s="113"/>
      <c r="U151" s="113"/>
      <c r="V151" s="113"/>
      <c r="W151" s="113"/>
      <c r="X151" s="52"/>
      <c r="Y151" s="52"/>
      <c r="Z151" s="113"/>
      <c r="AA151" s="113"/>
      <c r="AB151" s="113"/>
      <c r="AC151" s="113"/>
      <c r="AD151" s="113"/>
      <c r="AE151" s="113"/>
      <c r="AF151" s="113"/>
      <c r="AG151" s="113"/>
      <c r="AH151" s="113"/>
      <c r="AI151" s="113"/>
      <c r="AJ151" s="113"/>
      <c r="AK151" s="113"/>
      <c r="AL151" s="113"/>
      <c r="AM151" s="113"/>
      <c r="AN151" s="113"/>
      <c r="AO151" s="113"/>
      <c r="AP151" s="113"/>
      <c r="AQ151" s="113"/>
      <c r="AR151" s="113"/>
      <c r="AS151" s="113"/>
      <c r="AT151" s="113"/>
      <c r="AU151" s="113"/>
      <c r="AV151" s="113"/>
      <c r="AW151" s="113"/>
      <c r="AX151" s="113"/>
      <c r="AY151" s="113"/>
      <c r="AZ151" s="113"/>
      <c r="BA151" s="113"/>
      <c r="BB151" s="113"/>
      <c r="BC151" s="113"/>
      <c r="BD151" s="113"/>
      <c r="BE151" s="113"/>
      <c r="BF151" s="113"/>
      <c r="BG151" s="113"/>
      <c r="BH151" s="113"/>
      <c r="BI151" s="113"/>
      <c r="BJ151" s="113"/>
      <c r="BK151" s="113"/>
      <c r="BL151" s="113"/>
      <c r="BM151" s="113"/>
      <c r="BN151" s="113"/>
      <c r="BO151" s="113"/>
      <c r="BP151" s="113"/>
      <c r="BQ151" s="113"/>
      <c r="BR151" s="113"/>
      <c r="BS151" s="113"/>
      <c r="BT151" s="113"/>
    </row>
    <row r="152" spans="1:72">
      <c r="A152" s="113"/>
      <c r="N152" s="113"/>
      <c r="P152" s="113"/>
      <c r="Q152" s="113"/>
      <c r="R152" s="113"/>
      <c r="S152" s="113"/>
      <c r="T152" s="113"/>
      <c r="U152" s="113"/>
      <c r="V152" s="113"/>
      <c r="W152" s="113"/>
      <c r="X152" s="52"/>
      <c r="Y152" s="52"/>
      <c r="Z152" s="113"/>
      <c r="AA152" s="113"/>
      <c r="AB152" s="113"/>
      <c r="AC152" s="113"/>
      <c r="AD152" s="113"/>
      <c r="AE152" s="113"/>
      <c r="AF152" s="113"/>
      <c r="AG152" s="113"/>
      <c r="AH152" s="113"/>
      <c r="AI152" s="113"/>
      <c r="AJ152" s="113"/>
      <c r="AK152" s="113"/>
      <c r="AL152" s="113"/>
      <c r="AM152" s="113"/>
      <c r="AN152" s="113"/>
      <c r="AO152" s="113"/>
      <c r="AP152" s="113"/>
      <c r="AQ152" s="113"/>
      <c r="AR152" s="113"/>
      <c r="AS152" s="113"/>
      <c r="AT152" s="113"/>
      <c r="AU152" s="113"/>
      <c r="AV152" s="113"/>
      <c r="AW152" s="113"/>
      <c r="AX152" s="113"/>
      <c r="AY152" s="113"/>
      <c r="AZ152" s="113"/>
      <c r="BA152" s="113"/>
      <c r="BB152" s="113"/>
      <c r="BC152" s="113"/>
      <c r="BD152" s="113"/>
      <c r="BE152" s="113"/>
      <c r="BF152" s="113"/>
      <c r="BG152" s="113"/>
      <c r="BH152" s="113"/>
      <c r="BI152" s="113"/>
      <c r="BJ152" s="113"/>
      <c r="BK152" s="113"/>
      <c r="BL152" s="113"/>
      <c r="BM152" s="113"/>
      <c r="BN152" s="113"/>
      <c r="BO152" s="113"/>
      <c r="BP152" s="113"/>
      <c r="BQ152" s="113"/>
      <c r="BR152" s="113"/>
      <c r="BS152" s="113"/>
      <c r="BT152" s="113"/>
    </row>
    <row r="153" spans="1:72">
      <c r="A153" s="113"/>
      <c r="N153" s="113"/>
      <c r="P153" s="113"/>
      <c r="Q153" s="113"/>
      <c r="R153" s="113"/>
      <c r="S153" s="113"/>
      <c r="T153" s="113"/>
      <c r="U153" s="113"/>
      <c r="V153" s="113"/>
      <c r="W153" s="113"/>
      <c r="X153" s="52"/>
      <c r="Y153" s="52"/>
      <c r="Z153" s="113"/>
      <c r="AA153" s="113"/>
      <c r="AB153" s="113"/>
      <c r="AC153" s="113"/>
      <c r="AD153" s="113"/>
      <c r="AE153" s="113"/>
      <c r="AF153" s="113"/>
      <c r="AG153" s="113"/>
      <c r="AH153" s="113"/>
      <c r="AI153" s="113"/>
      <c r="AJ153" s="113"/>
      <c r="AK153" s="113"/>
      <c r="AL153" s="113"/>
      <c r="AM153" s="113"/>
      <c r="AN153" s="113"/>
      <c r="AO153" s="113"/>
      <c r="AP153" s="113"/>
      <c r="AQ153" s="113"/>
      <c r="AR153" s="113"/>
      <c r="AS153" s="113"/>
      <c r="AT153" s="113"/>
      <c r="AU153" s="113"/>
      <c r="AV153" s="113"/>
      <c r="AW153" s="113"/>
      <c r="AX153" s="113"/>
      <c r="AY153" s="113"/>
      <c r="AZ153" s="113"/>
      <c r="BA153" s="113"/>
      <c r="BB153" s="113"/>
      <c r="BC153" s="113"/>
      <c r="BD153" s="113"/>
      <c r="BE153" s="113"/>
      <c r="BF153" s="113"/>
      <c r="BG153" s="113"/>
      <c r="BH153" s="113"/>
      <c r="BI153" s="113"/>
      <c r="BJ153" s="113"/>
      <c r="BK153" s="113"/>
      <c r="BL153" s="113"/>
      <c r="BM153" s="113"/>
      <c r="BN153" s="113"/>
      <c r="BO153" s="113"/>
      <c r="BP153" s="113"/>
      <c r="BQ153" s="113"/>
      <c r="BR153" s="113"/>
      <c r="BS153" s="113"/>
      <c r="BT153" s="113"/>
    </row>
    <row r="154" spans="1:72">
      <c r="A154" s="113"/>
      <c r="N154" s="113"/>
      <c r="P154" s="113"/>
      <c r="Q154" s="113"/>
      <c r="R154" s="113"/>
      <c r="S154" s="113"/>
      <c r="T154" s="113"/>
      <c r="U154" s="113"/>
      <c r="V154" s="113"/>
      <c r="W154" s="113"/>
      <c r="X154" s="52"/>
      <c r="Y154" s="52"/>
      <c r="Z154" s="113"/>
      <c r="AA154" s="113"/>
      <c r="AB154" s="113"/>
      <c r="AC154" s="113"/>
      <c r="AD154" s="113"/>
      <c r="AE154" s="113"/>
      <c r="AF154" s="113"/>
      <c r="AG154" s="113"/>
      <c r="AH154" s="113"/>
      <c r="AI154" s="113"/>
      <c r="AJ154" s="113"/>
      <c r="AK154" s="113"/>
      <c r="AL154" s="113"/>
      <c r="AM154" s="113"/>
      <c r="AN154" s="113"/>
      <c r="AO154" s="113"/>
      <c r="AP154" s="113"/>
      <c r="AQ154" s="113"/>
      <c r="AR154" s="113"/>
      <c r="AS154" s="113"/>
      <c r="AT154" s="113"/>
      <c r="AU154" s="113"/>
      <c r="AV154" s="113"/>
      <c r="AW154" s="113"/>
      <c r="AX154" s="113"/>
      <c r="AY154" s="113"/>
      <c r="AZ154" s="113"/>
      <c r="BA154" s="113"/>
      <c r="BB154" s="113"/>
      <c r="BC154" s="113"/>
      <c r="BD154" s="113"/>
      <c r="BE154" s="113"/>
      <c r="BF154" s="113"/>
      <c r="BG154" s="113"/>
      <c r="BH154" s="113"/>
      <c r="BI154" s="113"/>
      <c r="BJ154" s="113"/>
      <c r="BK154" s="113"/>
      <c r="BL154" s="113"/>
      <c r="BM154" s="113"/>
      <c r="BN154" s="113"/>
      <c r="BO154" s="113"/>
      <c r="BP154" s="113"/>
      <c r="BQ154" s="113"/>
      <c r="BR154" s="113"/>
      <c r="BS154" s="113"/>
      <c r="BT154" s="113"/>
    </row>
    <row r="155" spans="1:72">
      <c r="A155" s="113"/>
      <c r="N155" s="113"/>
      <c r="P155" s="113"/>
      <c r="Q155" s="113"/>
      <c r="R155" s="113"/>
      <c r="S155" s="113"/>
      <c r="T155" s="113"/>
      <c r="U155" s="113"/>
      <c r="V155" s="113"/>
      <c r="W155" s="113"/>
      <c r="X155" s="52"/>
      <c r="Y155" s="52"/>
      <c r="Z155" s="113"/>
      <c r="AA155" s="113"/>
      <c r="AB155" s="113"/>
      <c r="AC155" s="113"/>
      <c r="AD155" s="113"/>
      <c r="AE155" s="113"/>
      <c r="AF155" s="113"/>
      <c r="AG155" s="113"/>
      <c r="AH155" s="113"/>
      <c r="AI155" s="113"/>
      <c r="AJ155" s="113"/>
      <c r="AK155" s="113"/>
      <c r="AL155" s="113"/>
      <c r="AM155" s="113"/>
      <c r="AN155" s="113"/>
      <c r="AO155" s="113"/>
      <c r="AP155" s="113"/>
      <c r="AQ155" s="113"/>
      <c r="AR155" s="113"/>
      <c r="AS155" s="113"/>
      <c r="AT155" s="113"/>
      <c r="AU155" s="113"/>
      <c r="AV155" s="113"/>
      <c r="AW155" s="113"/>
      <c r="AX155" s="113"/>
      <c r="AY155" s="113"/>
      <c r="AZ155" s="113"/>
      <c r="BA155" s="113"/>
      <c r="BB155" s="113"/>
      <c r="BC155" s="113"/>
      <c r="BD155" s="113"/>
      <c r="BE155" s="113"/>
      <c r="BF155" s="113"/>
      <c r="BG155" s="113"/>
      <c r="BH155" s="113"/>
      <c r="BI155" s="113"/>
      <c r="BJ155" s="113"/>
      <c r="BK155" s="113"/>
      <c r="BL155" s="113"/>
      <c r="BM155" s="113"/>
      <c r="BN155" s="113"/>
      <c r="BO155" s="113"/>
      <c r="BP155" s="113"/>
      <c r="BQ155" s="113"/>
      <c r="BR155" s="113"/>
      <c r="BS155" s="113"/>
      <c r="BT155" s="113"/>
    </row>
    <row r="156" spans="1:72">
      <c r="A156" s="113"/>
      <c r="N156" s="113"/>
      <c r="P156" s="113"/>
      <c r="Q156" s="113"/>
      <c r="R156" s="113"/>
      <c r="S156" s="113"/>
      <c r="T156" s="113"/>
      <c r="U156" s="113"/>
      <c r="V156" s="113"/>
      <c r="W156" s="113"/>
      <c r="X156" s="52"/>
      <c r="Y156" s="52"/>
      <c r="Z156" s="113"/>
      <c r="AA156" s="113"/>
      <c r="AB156" s="113"/>
      <c r="AC156" s="113"/>
      <c r="AD156" s="113"/>
      <c r="AE156" s="113"/>
      <c r="AF156" s="113"/>
      <c r="AG156" s="113"/>
      <c r="AH156" s="113"/>
      <c r="AI156" s="113"/>
      <c r="AJ156" s="113"/>
      <c r="AK156" s="113"/>
      <c r="AL156" s="113"/>
      <c r="AM156" s="113"/>
      <c r="AN156" s="113"/>
      <c r="AO156" s="113"/>
      <c r="AP156" s="113"/>
      <c r="AQ156" s="113"/>
      <c r="AR156" s="113"/>
      <c r="AS156" s="113"/>
      <c r="AT156" s="113"/>
      <c r="AU156" s="113"/>
      <c r="AV156" s="113"/>
      <c r="AW156" s="113"/>
      <c r="AX156" s="113"/>
      <c r="AY156" s="113"/>
      <c r="AZ156" s="113"/>
      <c r="BA156" s="113"/>
      <c r="BB156" s="113"/>
      <c r="BC156" s="113"/>
      <c r="BD156" s="113"/>
      <c r="BE156" s="113"/>
      <c r="BF156" s="113"/>
      <c r="BG156" s="113"/>
      <c r="BH156" s="113"/>
      <c r="BI156" s="113"/>
      <c r="BJ156" s="113"/>
      <c r="BK156" s="113"/>
      <c r="BL156" s="113"/>
      <c r="BM156" s="113"/>
      <c r="BN156" s="113"/>
      <c r="BO156" s="113"/>
      <c r="BP156" s="113"/>
      <c r="BQ156" s="113"/>
      <c r="BR156" s="113"/>
      <c r="BS156" s="113"/>
      <c r="BT156" s="113"/>
    </row>
    <row r="157" spans="1:72">
      <c r="A157" s="113"/>
      <c r="N157" s="113"/>
      <c r="P157" s="113"/>
      <c r="Q157" s="113"/>
      <c r="R157" s="113"/>
      <c r="S157" s="113"/>
      <c r="T157" s="113"/>
      <c r="U157" s="113"/>
      <c r="V157" s="113"/>
      <c r="W157" s="113"/>
      <c r="X157" s="52"/>
      <c r="Y157" s="52"/>
      <c r="Z157" s="113"/>
      <c r="AA157" s="113"/>
      <c r="AB157" s="113"/>
      <c r="AC157" s="113"/>
      <c r="AD157" s="113"/>
      <c r="AE157" s="113"/>
      <c r="AF157" s="113"/>
      <c r="AG157" s="113"/>
      <c r="AH157" s="113"/>
      <c r="AI157" s="113"/>
      <c r="AJ157" s="113"/>
      <c r="AK157" s="113"/>
      <c r="AL157" s="113"/>
      <c r="AM157" s="113"/>
      <c r="AN157" s="113"/>
      <c r="AO157" s="113"/>
      <c r="AP157" s="113"/>
      <c r="AQ157" s="113"/>
      <c r="AR157" s="113"/>
      <c r="AS157" s="113"/>
      <c r="AT157" s="113"/>
      <c r="AU157" s="113"/>
      <c r="AV157" s="113"/>
      <c r="AW157" s="113"/>
      <c r="AX157" s="113"/>
      <c r="AY157" s="113"/>
      <c r="AZ157" s="113"/>
      <c r="BA157" s="113"/>
      <c r="BB157" s="113"/>
      <c r="BC157" s="113"/>
      <c r="BD157" s="113"/>
      <c r="BE157" s="113"/>
      <c r="BF157" s="113"/>
      <c r="BG157" s="113"/>
      <c r="BH157" s="113"/>
      <c r="BI157" s="113"/>
      <c r="BJ157" s="113"/>
      <c r="BK157" s="113"/>
      <c r="BL157" s="113"/>
      <c r="BM157" s="113"/>
      <c r="BN157" s="113"/>
      <c r="BO157" s="113"/>
      <c r="BP157" s="113"/>
      <c r="BQ157" s="113"/>
      <c r="BR157" s="113"/>
      <c r="BS157" s="113"/>
      <c r="BT157" s="113"/>
    </row>
    <row r="158" spans="1:72">
      <c r="A158" s="113"/>
      <c r="N158" s="113"/>
      <c r="P158" s="113"/>
      <c r="Q158" s="113"/>
      <c r="R158" s="113"/>
      <c r="S158" s="113"/>
      <c r="T158" s="113"/>
      <c r="U158" s="113"/>
      <c r="V158" s="113"/>
      <c r="W158" s="113"/>
      <c r="X158" s="52"/>
      <c r="Y158" s="52"/>
      <c r="Z158" s="113"/>
      <c r="AA158" s="113"/>
      <c r="AB158" s="113"/>
      <c r="AC158" s="113"/>
      <c r="AD158" s="113"/>
      <c r="AE158" s="113"/>
      <c r="AF158" s="113"/>
      <c r="AG158" s="113"/>
      <c r="AH158" s="113"/>
      <c r="AI158" s="113"/>
      <c r="AJ158" s="113"/>
      <c r="AK158" s="113"/>
      <c r="AL158" s="113"/>
      <c r="AM158" s="113"/>
      <c r="AN158" s="113"/>
      <c r="AO158" s="113"/>
      <c r="AP158" s="113"/>
      <c r="AQ158" s="113"/>
      <c r="AR158" s="113"/>
      <c r="AS158" s="113"/>
      <c r="AT158" s="113"/>
      <c r="AU158" s="113"/>
      <c r="AV158" s="113"/>
      <c r="AW158" s="113"/>
      <c r="AX158" s="113"/>
      <c r="AY158" s="113"/>
      <c r="AZ158" s="113"/>
      <c r="BA158" s="113"/>
      <c r="BB158" s="113"/>
      <c r="BC158" s="113"/>
      <c r="BD158" s="113"/>
      <c r="BE158" s="113"/>
      <c r="BF158" s="113"/>
      <c r="BG158" s="113"/>
      <c r="BH158" s="113"/>
      <c r="BI158" s="113"/>
      <c r="BJ158" s="113"/>
      <c r="BK158" s="113"/>
      <c r="BL158" s="113"/>
      <c r="BM158" s="113"/>
      <c r="BN158" s="113"/>
      <c r="BO158" s="113"/>
      <c r="BP158" s="113"/>
      <c r="BQ158" s="113"/>
      <c r="BR158" s="113"/>
      <c r="BS158" s="113"/>
      <c r="BT158" s="113"/>
    </row>
    <row r="159" spans="1:72">
      <c r="A159" s="113"/>
      <c r="N159" s="113"/>
      <c r="P159" s="113"/>
      <c r="Q159" s="113"/>
      <c r="R159" s="113"/>
      <c r="S159" s="113"/>
      <c r="T159" s="113"/>
      <c r="U159" s="113"/>
      <c r="V159" s="113"/>
      <c r="W159" s="113"/>
      <c r="X159" s="52"/>
      <c r="Y159" s="52"/>
      <c r="Z159" s="113"/>
      <c r="AA159" s="113"/>
      <c r="AB159" s="113"/>
      <c r="AC159" s="113"/>
      <c r="AD159" s="113"/>
      <c r="AE159" s="113"/>
      <c r="AF159" s="113"/>
      <c r="AG159" s="113"/>
      <c r="AH159" s="113"/>
      <c r="AI159" s="113"/>
      <c r="AJ159" s="113"/>
      <c r="AK159" s="113"/>
      <c r="AL159" s="113"/>
      <c r="AM159" s="113"/>
      <c r="AN159" s="113"/>
      <c r="AO159" s="113"/>
      <c r="AP159" s="113"/>
      <c r="AQ159" s="113"/>
      <c r="AR159" s="113"/>
      <c r="AS159" s="113"/>
      <c r="AT159" s="113"/>
      <c r="AU159" s="113"/>
      <c r="AV159" s="113"/>
      <c r="AW159" s="113"/>
      <c r="AX159" s="113"/>
      <c r="AY159" s="113"/>
      <c r="AZ159" s="113"/>
      <c r="BA159" s="113"/>
      <c r="BB159" s="113"/>
      <c r="BC159" s="113"/>
      <c r="BD159" s="113"/>
      <c r="BE159" s="113"/>
      <c r="BF159" s="113"/>
      <c r="BG159" s="113"/>
      <c r="BH159" s="113"/>
      <c r="BI159" s="113"/>
      <c r="BJ159" s="113"/>
      <c r="BK159" s="113"/>
      <c r="BL159" s="113"/>
      <c r="BM159" s="113"/>
      <c r="BN159" s="113"/>
      <c r="BO159" s="113"/>
      <c r="BP159" s="113"/>
      <c r="BQ159" s="113"/>
      <c r="BR159" s="113"/>
      <c r="BS159" s="113"/>
      <c r="BT159" s="113"/>
    </row>
    <row r="160" spans="1:72">
      <c r="A160" s="113"/>
      <c r="N160" s="113"/>
      <c r="P160" s="113"/>
      <c r="Q160" s="113"/>
      <c r="R160" s="113"/>
      <c r="S160" s="113"/>
      <c r="T160" s="113"/>
      <c r="U160" s="113"/>
      <c r="V160" s="113"/>
      <c r="W160" s="113"/>
      <c r="X160" s="52"/>
      <c r="Y160" s="52"/>
      <c r="Z160" s="113"/>
      <c r="AA160" s="113"/>
      <c r="AB160" s="113"/>
      <c r="AC160" s="113"/>
      <c r="AD160" s="113"/>
      <c r="AE160" s="113"/>
      <c r="AF160" s="113"/>
      <c r="AG160" s="113"/>
      <c r="AH160" s="113"/>
      <c r="AI160" s="113"/>
      <c r="AJ160" s="113"/>
      <c r="AK160" s="113"/>
      <c r="AL160" s="113"/>
      <c r="AM160" s="113"/>
      <c r="AN160" s="113"/>
      <c r="AO160" s="113"/>
      <c r="AP160" s="113"/>
      <c r="AQ160" s="113"/>
      <c r="AR160" s="113"/>
      <c r="AS160" s="113"/>
      <c r="AT160" s="113"/>
      <c r="AU160" s="113"/>
      <c r="AV160" s="113"/>
      <c r="AW160" s="113"/>
      <c r="AX160" s="113"/>
      <c r="AY160" s="113"/>
      <c r="AZ160" s="113"/>
      <c r="BA160" s="113"/>
      <c r="BB160" s="113"/>
      <c r="BC160" s="113"/>
      <c r="BD160" s="113"/>
      <c r="BE160" s="113"/>
      <c r="BF160" s="113"/>
      <c r="BG160" s="113"/>
      <c r="BH160" s="113"/>
      <c r="BI160" s="113"/>
      <c r="BJ160" s="113"/>
      <c r="BK160" s="113"/>
      <c r="BL160" s="113"/>
      <c r="BM160" s="113"/>
      <c r="BN160" s="113"/>
      <c r="BO160" s="113"/>
      <c r="BP160" s="113"/>
      <c r="BQ160" s="113"/>
      <c r="BR160" s="113"/>
      <c r="BS160" s="113"/>
      <c r="BT160" s="113"/>
    </row>
    <row r="161" spans="1:72">
      <c r="A161" s="113"/>
      <c r="N161" s="113"/>
      <c r="P161" s="113"/>
      <c r="Q161" s="113"/>
      <c r="R161" s="113"/>
      <c r="S161" s="113"/>
      <c r="T161" s="113"/>
      <c r="U161" s="113"/>
      <c r="V161" s="113"/>
      <c r="W161" s="113"/>
      <c r="X161" s="52"/>
      <c r="Y161" s="52"/>
      <c r="Z161" s="113"/>
      <c r="AA161" s="113"/>
      <c r="AB161" s="113"/>
      <c r="AC161" s="113"/>
      <c r="AD161" s="113"/>
      <c r="AE161" s="113"/>
      <c r="AF161" s="113"/>
      <c r="AG161" s="113"/>
      <c r="AH161" s="113"/>
      <c r="AI161" s="113"/>
      <c r="AJ161" s="113"/>
      <c r="AK161" s="113"/>
      <c r="AL161" s="113"/>
      <c r="AM161" s="113"/>
      <c r="AN161" s="113"/>
      <c r="AO161" s="113"/>
      <c r="AP161" s="113"/>
      <c r="AQ161" s="113"/>
      <c r="AR161" s="113"/>
      <c r="AS161" s="113"/>
      <c r="AT161" s="113"/>
      <c r="AU161" s="113"/>
      <c r="AV161" s="113"/>
      <c r="AW161" s="113"/>
      <c r="AX161" s="113"/>
      <c r="AY161" s="113"/>
      <c r="AZ161" s="113"/>
      <c r="BA161" s="113"/>
      <c r="BB161" s="113"/>
      <c r="BC161" s="113"/>
      <c r="BD161" s="113"/>
      <c r="BE161" s="113"/>
      <c r="BF161" s="113"/>
      <c r="BG161" s="113"/>
      <c r="BH161" s="113"/>
      <c r="BI161" s="113"/>
      <c r="BJ161" s="113"/>
      <c r="BK161" s="113"/>
      <c r="BL161" s="113"/>
      <c r="BM161" s="113"/>
      <c r="BN161" s="113"/>
      <c r="BO161" s="113"/>
      <c r="BP161" s="113"/>
      <c r="BQ161" s="113"/>
      <c r="BR161" s="113"/>
      <c r="BS161" s="113"/>
      <c r="BT161" s="113"/>
    </row>
    <row r="162" spans="1:72">
      <c r="A162" s="113"/>
      <c r="N162" s="113"/>
      <c r="P162" s="113"/>
      <c r="Q162" s="113"/>
      <c r="R162" s="113"/>
      <c r="S162" s="113"/>
      <c r="T162" s="113"/>
      <c r="U162" s="113"/>
      <c r="V162" s="113"/>
      <c r="W162" s="113"/>
      <c r="X162" s="52"/>
      <c r="Y162" s="52"/>
      <c r="Z162" s="113"/>
      <c r="AA162" s="113"/>
      <c r="AB162" s="113"/>
      <c r="AC162" s="113"/>
      <c r="AD162" s="113"/>
      <c r="AE162" s="113"/>
      <c r="AF162" s="113"/>
      <c r="AG162" s="113"/>
      <c r="AH162" s="113"/>
      <c r="AI162" s="113"/>
      <c r="AJ162" s="113"/>
      <c r="AK162" s="113"/>
      <c r="AL162" s="113"/>
      <c r="AM162" s="113"/>
      <c r="AN162" s="113"/>
      <c r="AO162" s="113"/>
      <c r="AP162" s="113"/>
      <c r="AQ162" s="113"/>
      <c r="AR162" s="113"/>
      <c r="AS162" s="113"/>
      <c r="AT162" s="113"/>
      <c r="AU162" s="113"/>
      <c r="AV162" s="113"/>
      <c r="AW162" s="113"/>
      <c r="AX162" s="113"/>
      <c r="AY162" s="113"/>
      <c r="AZ162" s="113"/>
      <c r="BA162" s="113"/>
      <c r="BB162" s="113"/>
      <c r="BC162" s="113"/>
      <c r="BD162" s="113"/>
      <c r="BE162" s="113"/>
      <c r="BF162" s="113"/>
      <c r="BG162" s="113"/>
      <c r="BH162" s="113"/>
      <c r="BI162" s="113"/>
      <c r="BJ162" s="113"/>
      <c r="BK162" s="113"/>
      <c r="BL162" s="113"/>
      <c r="BM162" s="113"/>
      <c r="BN162" s="113"/>
      <c r="BO162" s="113"/>
      <c r="BP162" s="113"/>
      <c r="BQ162" s="113"/>
      <c r="BR162" s="113"/>
      <c r="BS162" s="113"/>
      <c r="BT162" s="113"/>
    </row>
    <row r="163" spans="1:72">
      <c r="A163" s="113"/>
      <c r="N163" s="113"/>
      <c r="P163" s="113"/>
      <c r="Q163" s="113"/>
      <c r="R163" s="113"/>
      <c r="S163" s="113"/>
      <c r="T163" s="113"/>
      <c r="U163" s="113"/>
      <c r="V163" s="113"/>
      <c r="W163" s="113"/>
      <c r="X163" s="52"/>
      <c r="Y163" s="52"/>
      <c r="Z163" s="113"/>
      <c r="AA163" s="113"/>
      <c r="AB163" s="113"/>
      <c r="AC163" s="113"/>
      <c r="AD163" s="113"/>
      <c r="AE163" s="113"/>
      <c r="AF163" s="113"/>
      <c r="AG163" s="113"/>
      <c r="AH163" s="113"/>
      <c r="AI163" s="113"/>
      <c r="AJ163" s="113"/>
      <c r="AK163" s="113"/>
      <c r="AL163" s="113"/>
      <c r="AM163" s="113"/>
      <c r="AN163" s="113"/>
      <c r="AO163" s="113"/>
      <c r="AP163" s="113"/>
      <c r="AQ163" s="113"/>
      <c r="AR163" s="113"/>
      <c r="AS163" s="113"/>
      <c r="AT163" s="113"/>
      <c r="AU163" s="113"/>
      <c r="AV163" s="113"/>
      <c r="AW163" s="113"/>
      <c r="AX163" s="113"/>
      <c r="AY163" s="113"/>
      <c r="AZ163" s="113"/>
      <c r="BA163" s="113"/>
      <c r="BB163" s="113"/>
      <c r="BC163" s="113"/>
      <c r="BD163" s="113"/>
      <c r="BE163" s="113"/>
      <c r="BF163" s="113"/>
      <c r="BG163" s="113"/>
      <c r="BH163" s="113"/>
      <c r="BI163" s="113"/>
      <c r="BJ163" s="113"/>
      <c r="BK163" s="113"/>
      <c r="BL163" s="113"/>
      <c r="BM163" s="113"/>
      <c r="BN163" s="113"/>
      <c r="BO163" s="113"/>
      <c r="BP163" s="113"/>
      <c r="BQ163" s="113"/>
      <c r="BR163" s="113"/>
      <c r="BS163" s="113"/>
      <c r="BT163" s="113"/>
    </row>
    <row r="164" spans="1:72">
      <c r="A164" s="113"/>
      <c r="N164" s="113"/>
      <c r="P164" s="113"/>
      <c r="Q164" s="113"/>
      <c r="R164" s="113"/>
      <c r="S164" s="113"/>
      <c r="T164" s="113"/>
      <c r="U164" s="113"/>
      <c r="V164" s="113"/>
      <c r="W164" s="113"/>
      <c r="X164" s="52"/>
      <c r="Y164" s="52"/>
      <c r="Z164" s="113"/>
      <c r="AA164" s="113"/>
      <c r="AB164" s="113"/>
      <c r="AC164" s="113"/>
      <c r="AD164" s="113"/>
      <c r="AE164" s="113"/>
      <c r="AF164" s="113"/>
      <c r="AG164" s="113"/>
      <c r="AH164" s="113"/>
      <c r="AI164" s="113"/>
      <c r="AJ164" s="113"/>
      <c r="AK164" s="113"/>
      <c r="AL164" s="113"/>
      <c r="AM164" s="113"/>
      <c r="AN164" s="113"/>
      <c r="AO164" s="113"/>
      <c r="AP164" s="113"/>
      <c r="AQ164" s="113"/>
      <c r="AR164" s="113"/>
      <c r="AS164" s="113"/>
      <c r="AT164" s="113"/>
      <c r="AU164" s="113"/>
      <c r="AV164" s="113"/>
      <c r="AW164" s="113"/>
      <c r="AX164" s="113"/>
      <c r="AY164" s="113"/>
      <c r="AZ164" s="113"/>
      <c r="BA164" s="113"/>
      <c r="BB164" s="113"/>
      <c r="BC164" s="113"/>
      <c r="BD164" s="113"/>
      <c r="BE164" s="113"/>
      <c r="BF164" s="113"/>
      <c r="BG164" s="113"/>
      <c r="BH164" s="113"/>
      <c r="BI164" s="113"/>
      <c r="BJ164" s="113"/>
      <c r="BK164" s="113"/>
      <c r="BL164" s="113"/>
      <c r="BM164" s="113"/>
      <c r="BN164" s="113"/>
      <c r="BO164" s="113"/>
      <c r="BP164" s="113"/>
      <c r="BQ164" s="113"/>
      <c r="BR164" s="113"/>
      <c r="BS164" s="113"/>
      <c r="BT164" s="113"/>
    </row>
    <row r="165" spans="1:72">
      <c r="A165" s="113"/>
      <c r="N165" s="113"/>
      <c r="P165" s="113"/>
      <c r="Q165" s="113"/>
      <c r="R165" s="113"/>
      <c r="S165" s="113"/>
      <c r="T165" s="113"/>
      <c r="U165" s="113"/>
      <c r="V165" s="113"/>
      <c r="W165" s="113"/>
      <c r="X165" s="52"/>
      <c r="Y165" s="52"/>
      <c r="Z165" s="113"/>
      <c r="AA165" s="113"/>
      <c r="AB165" s="113"/>
      <c r="AC165" s="113"/>
      <c r="AD165" s="113"/>
      <c r="AE165" s="113"/>
      <c r="AF165" s="113"/>
      <c r="AG165" s="113"/>
      <c r="AH165" s="113"/>
      <c r="AI165" s="113"/>
      <c r="AJ165" s="113"/>
      <c r="AK165" s="113"/>
      <c r="AL165" s="113"/>
      <c r="AM165" s="113"/>
      <c r="AN165" s="113"/>
      <c r="AO165" s="113"/>
      <c r="AP165" s="113"/>
      <c r="AQ165" s="113"/>
      <c r="AR165" s="113"/>
      <c r="AS165" s="113"/>
      <c r="AT165" s="113"/>
      <c r="AU165" s="113"/>
      <c r="AV165" s="113"/>
      <c r="AW165" s="113"/>
      <c r="AX165" s="113"/>
      <c r="AY165" s="113"/>
      <c r="AZ165" s="113"/>
      <c r="BA165" s="113"/>
      <c r="BB165" s="113"/>
      <c r="BC165" s="113"/>
      <c r="BD165" s="113"/>
      <c r="BE165" s="113"/>
      <c r="BF165" s="113"/>
      <c r="BG165" s="113"/>
      <c r="BH165" s="113"/>
      <c r="BI165" s="113"/>
      <c r="BJ165" s="113"/>
      <c r="BK165" s="113"/>
      <c r="BL165" s="113"/>
      <c r="BM165" s="113"/>
      <c r="BN165" s="113"/>
      <c r="BO165" s="113"/>
      <c r="BP165" s="113"/>
      <c r="BQ165" s="113"/>
      <c r="BR165" s="113"/>
      <c r="BS165" s="113"/>
      <c r="BT165" s="113"/>
    </row>
    <row r="166" spans="1:72">
      <c r="A166" s="113"/>
      <c r="N166" s="113"/>
      <c r="P166" s="113"/>
      <c r="Q166" s="113"/>
      <c r="R166" s="113"/>
      <c r="S166" s="113"/>
      <c r="T166" s="113"/>
      <c r="U166" s="113"/>
      <c r="V166" s="113"/>
      <c r="W166" s="113"/>
      <c r="X166" s="52"/>
      <c r="Y166" s="52"/>
      <c r="Z166" s="113"/>
      <c r="AA166" s="113"/>
      <c r="AB166" s="113"/>
      <c r="AC166" s="113"/>
      <c r="AD166" s="113"/>
      <c r="AE166" s="113"/>
      <c r="AF166" s="113"/>
      <c r="AG166" s="113"/>
      <c r="AH166" s="113"/>
      <c r="AI166" s="113"/>
      <c r="AJ166" s="113"/>
      <c r="AK166" s="113"/>
      <c r="AL166" s="113"/>
      <c r="AM166" s="113"/>
      <c r="AN166" s="113"/>
      <c r="AO166" s="113"/>
      <c r="AP166" s="113"/>
      <c r="AQ166" s="113"/>
      <c r="AR166" s="113"/>
      <c r="AS166" s="113"/>
      <c r="AT166" s="113"/>
      <c r="AU166" s="113"/>
      <c r="AV166" s="113"/>
      <c r="AW166" s="113"/>
      <c r="AX166" s="113"/>
      <c r="AY166" s="113"/>
      <c r="AZ166" s="113"/>
      <c r="BA166" s="113"/>
      <c r="BB166" s="113"/>
      <c r="BC166" s="113"/>
      <c r="BD166" s="113"/>
      <c r="BE166" s="113"/>
      <c r="BF166" s="113"/>
      <c r="BG166" s="113"/>
      <c r="BH166" s="113"/>
      <c r="BI166" s="113"/>
      <c r="BJ166" s="113"/>
      <c r="BK166" s="113"/>
      <c r="BL166" s="113"/>
      <c r="BM166" s="113"/>
      <c r="BN166" s="113"/>
      <c r="BO166" s="113"/>
      <c r="BP166" s="113"/>
      <c r="BQ166" s="113"/>
      <c r="BR166" s="113"/>
      <c r="BS166" s="113"/>
      <c r="BT166" s="113"/>
    </row>
    <row r="167" spans="1:72">
      <c r="A167" s="113"/>
      <c r="N167" s="113"/>
      <c r="P167" s="113"/>
      <c r="Q167" s="113"/>
      <c r="R167" s="113"/>
      <c r="S167" s="113"/>
      <c r="T167" s="113"/>
      <c r="U167" s="113"/>
      <c r="V167" s="113"/>
      <c r="W167" s="113"/>
      <c r="X167" s="52"/>
      <c r="Y167" s="52"/>
      <c r="Z167" s="113"/>
      <c r="AA167" s="113"/>
      <c r="AB167" s="113"/>
      <c r="AC167" s="113"/>
      <c r="AD167" s="113"/>
      <c r="AE167" s="113"/>
      <c r="AF167" s="113"/>
      <c r="AG167" s="113"/>
      <c r="AH167" s="113"/>
      <c r="AI167" s="113"/>
      <c r="AJ167" s="113"/>
      <c r="AK167" s="113"/>
      <c r="AL167" s="113"/>
      <c r="AM167" s="113"/>
      <c r="AN167" s="113"/>
      <c r="AO167" s="113"/>
      <c r="AP167" s="113"/>
      <c r="AQ167" s="113"/>
      <c r="AR167" s="113"/>
      <c r="AS167" s="113"/>
      <c r="AT167" s="113"/>
      <c r="AU167" s="113"/>
      <c r="AV167" s="113"/>
      <c r="AW167" s="113"/>
      <c r="AX167" s="113"/>
      <c r="AY167" s="113"/>
      <c r="AZ167" s="113"/>
      <c r="BA167" s="113"/>
      <c r="BB167" s="113"/>
      <c r="BC167" s="113"/>
      <c r="BD167" s="113"/>
      <c r="BE167" s="113"/>
      <c r="BF167" s="113"/>
      <c r="BG167" s="113"/>
      <c r="BH167" s="113"/>
      <c r="BI167" s="113"/>
      <c r="BJ167" s="113"/>
      <c r="BK167" s="113"/>
      <c r="BL167" s="113"/>
      <c r="BM167" s="113"/>
      <c r="BN167" s="113"/>
      <c r="BO167" s="113"/>
      <c r="BP167" s="113"/>
      <c r="BQ167" s="113"/>
      <c r="BR167" s="113"/>
      <c r="BS167" s="113"/>
      <c r="BT167" s="113"/>
    </row>
    <row r="168" spans="1:72">
      <c r="A168" s="113"/>
      <c r="N168" s="113"/>
      <c r="P168" s="113"/>
      <c r="Q168" s="113"/>
      <c r="R168" s="113"/>
      <c r="S168" s="113"/>
      <c r="T168" s="113"/>
      <c r="U168" s="113"/>
      <c r="V168" s="113"/>
      <c r="W168" s="113"/>
      <c r="X168" s="52"/>
      <c r="Y168" s="52"/>
      <c r="Z168" s="113"/>
      <c r="AA168" s="113"/>
      <c r="AB168" s="113"/>
      <c r="AC168" s="113"/>
      <c r="AD168" s="113"/>
      <c r="AE168" s="113"/>
      <c r="AF168" s="113"/>
      <c r="AG168" s="113"/>
      <c r="AH168" s="113"/>
      <c r="AI168" s="113"/>
      <c r="AJ168" s="113"/>
      <c r="AK168" s="113"/>
      <c r="AL168" s="113"/>
      <c r="AM168" s="113"/>
      <c r="AN168" s="113"/>
      <c r="AO168" s="113"/>
      <c r="AP168" s="113"/>
      <c r="AQ168" s="113"/>
      <c r="AR168" s="113"/>
      <c r="AS168" s="113"/>
      <c r="AT168" s="113"/>
      <c r="AU168" s="113"/>
      <c r="AV168" s="113"/>
      <c r="AW168" s="113"/>
      <c r="AX168" s="113"/>
      <c r="AY168" s="113"/>
      <c r="AZ168" s="113"/>
      <c r="BA168" s="113"/>
      <c r="BB168" s="113"/>
      <c r="BC168" s="113"/>
      <c r="BD168" s="113"/>
      <c r="BE168" s="113"/>
      <c r="BF168" s="113"/>
      <c r="BG168" s="113"/>
      <c r="BH168" s="113"/>
      <c r="BI168" s="113"/>
      <c r="BJ168" s="113"/>
      <c r="BK168" s="113"/>
      <c r="BL168" s="113"/>
      <c r="BM168" s="113"/>
      <c r="BN168" s="113"/>
      <c r="BO168" s="113"/>
      <c r="BP168" s="113"/>
      <c r="BQ168" s="113"/>
      <c r="BR168" s="113"/>
      <c r="BS168" s="113"/>
      <c r="BT168" s="113"/>
    </row>
    <row r="169" spans="1:72">
      <c r="A169" s="113"/>
      <c r="N169" s="113"/>
      <c r="P169" s="113"/>
      <c r="Q169" s="113"/>
      <c r="R169" s="113"/>
      <c r="S169" s="113"/>
      <c r="T169" s="113"/>
      <c r="U169" s="113"/>
      <c r="V169" s="113"/>
      <c r="W169" s="113"/>
      <c r="X169" s="52"/>
      <c r="Y169" s="52"/>
      <c r="Z169" s="113"/>
      <c r="AA169" s="113"/>
      <c r="AB169" s="113"/>
      <c r="AC169" s="113"/>
      <c r="AD169" s="113"/>
      <c r="AE169" s="113"/>
      <c r="AF169" s="113"/>
      <c r="AG169" s="113"/>
      <c r="AH169" s="113"/>
      <c r="AI169" s="113"/>
      <c r="AJ169" s="113"/>
      <c r="AK169" s="113"/>
      <c r="AL169" s="113"/>
      <c r="AM169" s="113"/>
      <c r="AN169" s="113"/>
      <c r="AO169" s="113"/>
      <c r="AP169" s="113"/>
      <c r="AQ169" s="113"/>
      <c r="AR169" s="113"/>
      <c r="AS169" s="113"/>
      <c r="AT169" s="113"/>
      <c r="AU169" s="113"/>
      <c r="AV169" s="113"/>
      <c r="AW169" s="113"/>
      <c r="AX169" s="113"/>
      <c r="AY169" s="113"/>
      <c r="AZ169" s="113"/>
      <c r="BA169" s="113"/>
      <c r="BB169" s="113"/>
      <c r="BC169" s="113"/>
      <c r="BD169" s="113"/>
      <c r="BE169" s="113"/>
      <c r="BF169" s="113"/>
      <c r="BG169" s="113"/>
      <c r="BH169" s="113"/>
      <c r="BI169" s="113"/>
      <c r="BJ169" s="113"/>
      <c r="BK169" s="113"/>
      <c r="BL169" s="113"/>
      <c r="BM169" s="113"/>
      <c r="BN169" s="113"/>
      <c r="BO169" s="113"/>
      <c r="BP169" s="113"/>
      <c r="BQ169" s="113"/>
      <c r="BR169" s="113"/>
      <c r="BS169" s="113"/>
      <c r="BT169" s="113"/>
    </row>
    <row r="170" spans="1:72">
      <c r="A170" s="113"/>
      <c r="N170" s="113"/>
      <c r="P170" s="113"/>
      <c r="Q170" s="113"/>
      <c r="R170" s="113"/>
      <c r="S170" s="113"/>
      <c r="T170" s="113"/>
      <c r="U170" s="113"/>
      <c r="V170" s="113"/>
      <c r="W170" s="113"/>
      <c r="X170" s="52"/>
      <c r="Y170" s="52"/>
      <c r="Z170" s="113"/>
      <c r="AA170" s="113"/>
      <c r="AB170" s="113"/>
      <c r="AC170" s="113"/>
      <c r="AD170" s="113"/>
      <c r="AE170" s="113"/>
      <c r="AF170" s="113"/>
      <c r="AG170" s="113"/>
      <c r="AH170" s="113"/>
      <c r="AI170" s="113"/>
      <c r="AJ170" s="113"/>
      <c r="AK170" s="113"/>
      <c r="AL170" s="113"/>
      <c r="AM170" s="113"/>
      <c r="AN170" s="113"/>
      <c r="AO170" s="113"/>
      <c r="AP170" s="113"/>
      <c r="AQ170" s="113"/>
      <c r="AR170" s="113"/>
      <c r="AS170" s="113"/>
      <c r="AT170" s="113"/>
      <c r="AU170" s="113"/>
      <c r="AV170" s="113"/>
      <c r="AW170" s="113"/>
      <c r="AX170" s="113"/>
      <c r="AY170" s="113"/>
      <c r="AZ170" s="113"/>
      <c r="BA170" s="113"/>
      <c r="BB170" s="113"/>
      <c r="BC170" s="113"/>
      <c r="BD170" s="113"/>
      <c r="BE170" s="113"/>
      <c r="BF170" s="113"/>
      <c r="BG170" s="113"/>
      <c r="BH170" s="113"/>
      <c r="BI170" s="113"/>
      <c r="BJ170" s="113"/>
      <c r="BK170" s="113"/>
      <c r="BL170" s="113"/>
      <c r="BM170" s="113"/>
      <c r="BN170" s="113"/>
      <c r="BO170" s="113"/>
      <c r="BP170" s="113"/>
      <c r="BQ170" s="113"/>
      <c r="BR170" s="113"/>
      <c r="BS170" s="113"/>
      <c r="BT170" s="113"/>
    </row>
    <row r="171" spans="1:72">
      <c r="A171" s="113"/>
      <c r="N171" s="113"/>
      <c r="P171" s="113"/>
      <c r="Q171" s="113"/>
      <c r="R171" s="113"/>
      <c r="S171" s="113"/>
      <c r="T171" s="113"/>
      <c r="U171" s="113"/>
      <c r="V171" s="113"/>
      <c r="W171" s="113"/>
      <c r="X171" s="52"/>
      <c r="Y171" s="52"/>
      <c r="Z171" s="113"/>
      <c r="AA171" s="113"/>
      <c r="AB171" s="113"/>
      <c r="AC171" s="113"/>
      <c r="AD171" s="113"/>
      <c r="AE171" s="113"/>
      <c r="AF171" s="113"/>
      <c r="AG171" s="113"/>
      <c r="AH171" s="113"/>
      <c r="AI171" s="113"/>
      <c r="AJ171" s="113"/>
      <c r="AK171" s="113"/>
      <c r="AL171" s="113"/>
      <c r="AM171" s="113"/>
      <c r="AN171" s="113"/>
      <c r="AO171" s="113"/>
      <c r="AP171" s="113"/>
      <c r="AQ171" s="113"/>
      <c r="AR171" s="113"/>
      <c r="AS171" s="113"/>
      <c r="AT171" s="113"/>
      <c r="AU171" s="113"/>
      <c r="AV171" s="113"/>
      <c r="AW171" s="113"/>
      <c r="AX171" s="113"/>
      <c r="AY171" s="113"/>
      <c r="AZ171" s="113"/>
      <c r="BA171" s="113"/>
      <c r="BB171" s="113"/>
      <c r="BC171" s="113"/>
      <c r="BD171" s="113"/>
      <c r="BE171" s="113"/>
      <c r="BF171" s="113"/>
      <c r="BG171" s="113"/>
      <c r="BH171" s="113"/>
      <c r="BI171" s="113"/>
      <c r="BJ171" s="113"/>
      <c r="BK171" s="113"/>
      <c r="BL171" s="113"/>
      <c r="BM171" s="113"/>
      <c r="BN171" s="113"/>
      <c r="BO171" s="113"/>
      <c r="BP171" s="113"/>
      <c r="BQ171" s="113"/>
      <c r="BR171" s="113"/>
      <c r="BS171" s="113"/>
      <c r="BT171" s="113"/>
    </row>
    <row r="172" spans="1:72">
      <c r="A172" s="113"/>
      <c r="N172" s="113"/>
      <c r="P172" s="113"/>
      <c r="Q172" s="113"/>
      <c r="R172" s="113"/>
      <c r="S172" s="113"/>
      <c r="T172" s="113"/>
      <c r="U172" s="113"/>
      <c r="V172" s="113"/>
      <c r="W172" s="113"/>
      <c r="X172" s="52"/>
      <c r="Y172" s="52"/>
      <c r="Z172" s="113"/>
      <c r="AA172" s="113"/>
      <c r="AB172" s="113"/>
      <c r="AC172" s="113"/>
      <c r="AD172" s="113"/>
      <c r="AE172" s="113"/>
      <c r="AF172" s="113"/>
      <c r="AG172" s="113"/>
      <c r="AH172" s="113"/>
      <c r="AI172" s="113"/>
      <c r="AJ172" s="113"/>
      <c r="AK172" s="113"/>
      <c r="AL172" s="113"/>
      <c r="AM172" s="113"/>
      <c r="AN172" s="113"/>
      <c r="AO172" s="113"/>
      <c r="AP172" s="113"/>
      <c r="AQ172" s="113"/>
      <c r="AR172" s="113"/>
      <c r="AS172" s="113"/>
      <c r="AT172" s="113"/>
      <c r="AU172" s="113"/>
      <c r="AV172" s="113"/>
      <c r="AW172" s="113"/>
      <c r="AX172" s="113"/>
      <c r="AY172" s="113"/>
      <c r="AZ172" s="113"/>
      <c r="BA172" s="113"/>
      <c r="BB172" s="113"/>
      <c r="BC172" s="113"/>
      <c r="BD172" s="113"/>
      <c r="BE172" s="113"/>
      <c r="BF172" s="113"/>
      <c r="BG172" s="113"/>
      <c r="BH172" s="113"/>
      <c r="BI172" s="113"/>
      <c r="BJ172" s="113"/>
      <c r="BK172" s="113"/>
      <c r="BL172" s="113"/>
      <c r="BM172" s="113"/>
      <c r="BN172" s="113"/>
      <c r="BO172" s="113"/>
      <c r="BP172" s="113"/>
      <c r="BQ172" s="113"/>
      <c r="BR172" s="113"/>
      <c r="BS172" s="113"/>
      <c r="BT172" s="113"/>
    </row>
    <row r="173" spans="1:72">
      <c r="A173" s="113"/>
      <c r="N173" s="113"/>
      <c r="P173" s="113"/>
      <c r="Q173" s="113"/>
      <c r="R173" s="113"/>
      <c r="S173" s="113"/>
      <c r="T173" s="113"/>
      <c r="U173" s="113"/>
      <c r="V173" s="113"/>
      <c r="W173" s="113"/>
      <c r="X173" s="52"/>
      <c r="Y173" s="52"/>
      <c r="Z173" s="113"/>
      <c r="AA173" s="113"/>
      <c r="AB173" s="113"/>
      <c r="AC173" s="113"/>
      <c r="AD173" s="113"/>
      <c r="AE173" s="113"/>
      <c r="AF173" s="113"/>
      <c r="AG173" s="113"/>
      <c r="AH173" s="113"/>
      <c r="AI173" s="113"/>
      <c r="AJ173" s="113"/>
      <c r="AK173" s="113"/>
      <c r="AL173" s="113"/>
      <c r="AM173" s="113"/>
      <c r="AN173" s="113"/>
      <c r="AO173" s="113"/>
      <c r="AP173" s="113"/>
      <c r="AQ173" s="113"/>
      <c r="AR173" s="113"/>
      <c r="AS173" s="113"/>
      <c r="AT173" s="113"/>
      <c r="AU173" s="113"/>
      <c r="AV173" s="113"/>
      <c r="AW173" s="113"/>
      <c r="AX173" s="113"/>
      <c r="AY173" s="113"/>
      <c r="AZ173" s="113"/>
      <c r="BA173" s="113"/>
      <c r="BB173" s="113"/>
      <c r="BC173" s="113"/>
      <c r="BD173" s="113"/>
      <c r="BE173" s="113"/>
      <c r="BF173" s="113"/>
      <c r="BG173" s="113"/>
      <c r="BH173" s="113"/>
      <c r="BI173" s="113"/>
      <c r="BJ173" s="113"/>
      <c r="BK173" s="113"/>
      <c r="BL173" s="113"/>
      <c r="BM173" s="113"/>
      <c r="BN173" s="113"/>
      <c r="BO173" s="113"/>
      <c r="BP173" s="113"/>
      <c r="BQ173" s="113"/>
      <c r="BR173" s="113"/>
      <c r="BS173" s="113"/>
      <c r="BT173" s="113"/>
    </row>
    <row r="174" spans="1:72">
      <c r="A174" s="113"/>
      <c r="N174" s="113"/>
      <c r="P174" s="113"/>
      <c r="Q174" s="113"/>
      <c r="R174" s="113"/>
      <c r="S174" s="113"/>
      <c r="T174" s="113"/>
      <c r="U174" s="113"/>
      <c r="V174" s="113"/>
      <c r="W174" s="113"/>
      <c r="X174" s="52"/>
      <c r="Y174" s="52"/>
      <c r="Z174" s="113"/>
      <c r="AA174" s="113"/>
      <c r="AB174" s="113"/>
      <c r="AC174" s="113"/>
      <c r="AD174" s="113"/>
      <c r="AE174" s="113"/>
      <c r="AF174" s="113"/>
      <c r="AG174" s="113"/>
      <c r="AH174" s="113"/>
      <c r="AI174" s="113"/>
      <c r="AJ174" s="113"/>
      <c r="AK174" s="113"/>
      <c r="AL174" s="113"/>
      <c r="AM174" s="113"/>
      <c r="AN174" s="113"/>
      <c r="AO174" s="113"/>
      <c r="AP174" s="113"/>
      <c r="AQ174" s="113"/>
      <c r="AR174" s="113"/>
      <c r="AS174" s="113"/>
      <c r="AT174" s="113"/>
      <c r="AU174" s="113"/>
      <c r="AV174" s="113"/>
      <c r="AW174" s="113"/>
      <c r="AX174" s="113"/>
      <c r="AY174" s="113"/>
      <c r="AZ174" s="113"/>
      <c r="BA174" s="113"/>
      <c r="BB174" s="113"/>
      <c r="BC174" s="113"/>
      <c r="BD174" s="113"/>
      <c r="BE174" s="113"/>
      <c r="BF174" s="113"/>
      <c r="BG174" s="113"/>
      <c r="BH174" s="113"/>
      <c r="BI174" s="113"/>
      <c r="BJ174" s="113"/>
      <c r="BK174" s="113"/>
      <c r="BL174" s="113"/>
      <c r="BM174" s="113"/>
      <c r="BN174" s="113"/>
      <c r="BO174" s="113"/>
      <c r="BP174" s="113"/>
      <c r="BQ174" s="113"/>
      <c r="BR174" s="113"/>
      <c r="BS174" s="113"/>
      <c r="BT174" s="113"/>
    </row>
  </sheetData>
  <pageMargins left="0.75" right="0.75" top="1" bottom="1" header="0.5" footer="0.5"/>
  <pageSetup paperSize="9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outlinePr summaryRight="0"/>
  </sheetPr>
  <dimension ref="A1:CD174"/>
  <sheetViews>
    <sheetView topLeftCell="AT11" workbookViewId="0">
      <selection activeCell="BE11" sqref="BE11:BJ11"/>
    </sheetView>
  </sheetViews>
  <sheetFormatPr defaultColWidth="10.7109375" defaultRowHeight="12.75" outlineLevelRow="1" outlineLevelCol="1"/>
  <cols>
    <col min="1" max="1" width="3.7109375" style="5" customWidth="1"/>
    <col min="2" max="2" width="14" style="5" customWidth="1"/>
    <col min="3" max="3" width="11.42578125" style="5" customWidth="1"/>
    <col min="4" max="4" width="10.7109375" style="5" customWidth="1"/>
    <col min="5" max="5" width="10.7109375" style="332" customWidth="1"/>
    <col min="6" max="6" width="10.7109375" style="332"/>
    <col min="7" max="7" width="10.7109375" style="5"/>
    <col min="8" max="8" width="10.7109375" style="5" collapsed="1"/>
    <col min="9" max="9" width="12.140625" style="5" hidden="1" customWidth="1" outlineLevel="1"/>
    <col min="10" max="10" width="11.7109375" style="5" customWidth="1"/>
    <col min="11" max="11" width="11.5703125" style="5" customWidth="1"/>
    <col min="12" max="12" width="12.85546875" style="5" customWidth="1"/>
    <col min="13" max="13" width="13.85546875" style="5" customWidth="1"/>
    <col min="14" max="15" width="10.7109375" style="5"/>
    <col min="16" max="16" width="1.7109375" style="5" customWidth="1" collapsed="1"/>
    <col min="17" max="17" width="11.5703125" style="5" hidden="1" customWidth="1" outlineLevel="1"/>
    <col min="18" max="18" width="10" style="5" hidden="1" customWidth="1" outlineLevel="1"/>
    <col min="19" max="19" width="11" style="5" hidden="1" customWidth="1" outlineLevel="1"/>
    <col min="20" max="20" width="11.28515625" style="5" hidden="1" customWidth="1" outlineLevel="1"/>
    <col min="21" max="21" width="10" style="5" hidden="1" customWidth="1" outlineLevel="1"/>
    <col min="22" max="22" width="11" style="5" bestFit="1" customWidth="1" collapsed="1"/>
    <col min="23" max="24" width="11" style="5" customWidth="1"/>
    <col min="25" max="26" width="10" style="5" customWidth="1"/>
    <col min="27" max="27" width="11.28515625" style="5" bestFit="1" customWidth="1"/>
    <col min="28" max="28" width="10" style="5" customWidth="1"/>
    <col min="29" max="29" width="16.85546875" style="332" bestFit="1" customWidth="1"/>
    <col min="30" max="30" width="1.7109375" style="5" customWidth="1"/>
    <col min="31" max="31" width="11.140625" style="332" bestFit="1" customWidth="1" collapsed="1"/>
    <col min="32" max="32" width="27.140625" style="5" hidden="1" customWidth="1" outlineLevel="1"/>
    <col min="33" max="34" width="10.7109375" style="5" hidden="1" customWidth="1" outlineLevel="1"/>
    <col min="35" max="35" width="10.7109375" style="5" customWidth="1" collapsed="1"/>
    <col min="36" max="36" width="10.7109375" style="5" customWidth="1"/>
    <col min="37" max="37" width="10.7109375" style="46" customWidth="1"/>
    <col min="38" max="38" width="10.7109375" style="5" hidden="1" customWidth="1"/>
    <col min="39" max="39" width="1.7109375" style="5" customWidth="1"/>
    <col min="40" max="40" width="11.140625" style="5" bestFit="1" customWidth="1" collapsed="1"/>
    <col min="41" max="41" width="25.5703125" style="5" hidden="1" customWidth="1" outlineLevel="1"/>
    <col min="42" max="43" width="10.7109375" style="5" hidden="1" customWidth="1" outlineLevel="1"/>
    <col min="44" max="44" width="10.7109375" style="5" customWidth="1" collapsed="1"/>
    <col min="45" max="46" width="10.7109375" style="5" customWidth="1"/>
    <col min="47" max="47" width="1.7109375" style="5" customWidth="1"/>
    <col min="48" max="48" width="11.140625" style="5" bestFit="1" customWidth="1" collapsed="1"/>
    <col min="49" max="49" width="28.140625" style="5" hidden="1" customWidth="1" outlineLevel="1"/>
    <col min="50" max="51" width="10.7109375" style="5" hidden="1" customWidth="1" outlineLevel="1"/>
    <col min="52" max="52" width="10.7109375" style="5" customWidth="1" collapsed="1"/>
    <col min="53" max="54" width="10.7109375" style="5" customWidth="1"/>
    <col min="55" max="55" width="1.7109375" style="5" customWidth="1"/>
    <col min="56" max="56" width="11.140625" style="5" bestFit="1" customWidth="1" collapsed="1"/>
    <col min="57" max="57" width="20.42578125" style="5" hidden="1" customWidth="1" outlineLevel="1"/>
    <col min="58" max="59" width="10.7109375" style="5" hidden="1" customWidth="1" outlineLevel="1"/>
    <col min="60" max="60" width="10.7109375" style="5" customWidth="1" collapsed="1"/>
    <col min="61" max="62" width="10.7109375" style="5" customWidth="1"/>
    <col min="63" max="63" width="1.7109375" style="5" customWidth="1"/>
    <col min="64" max="64" width="5.7109375" style="5" customWidth="1"/>
    <col min="65" max="65" width="11.140625" style="5" customWidth="1" collapsed="1"/>
    <col min="66" max="66" width="20.7109375" style="5" hidden="1" customWidth="1" outlineLevel="1"/>
    <col min="67" max="68" width="10.7109375" style="5" hidden="1" customWidth="1" outlineLevel="1"/>
    <col min="69" max="69" width="10.7109375" style="5" customWidth="1" collapsed="1"/>
    <col min="70" max="71" width="10.7109375" style="5" customWidth="1"/>
    <col min="72" max="72" width="5.7109375" style="5" customWidth="1"/>
    <col min="73" max="73" width="1.7109375" style="332" customWidth="1"/>
    <col min="74" max="74" width="6.140625" style="5" bestFit="1" customWidth="1" collapsed="1"/>
    <col min="75" max="75" width="10.7109375" style="5" hidden="1" customWidth="1" outlineLevel="1"/>
    <col min="76" max="76" width="20.7109375" style="5" hidden="1" customWidth="1" outlineLevel="1"/>
    <col min="77" max="78" width="10.7109375" style="5" hidden="1" customWidth="1" outlineLevel="1"/>
    <col min="79" max="79" width="10.7109375" style="5" customWidth="1" collapsed="1"/>
    <col min="80" max="81" width="10.7109375" style="5" customWidth="1"/>
    <col min="82" max="82" width="10.7109375" style="332"/>
    <col min="83" max="16384" width="10.7109375" style="5"/>
  </cols>
  <sheetData>
    <row r="1" spans="1:81" hidden="1" outlineLevel="1">
      <c r="B1" s="575" t="s">
        <v>737</v>
      </c>
      <c r="C1" s="577"/>
      <c r="E1" s="575" t="s">
        <v>743</v>
      </c>
      <c r="F1" s="576"/>
      <c r="G1" s="577"/>
      <c r="I1" s="331" t="s">
        <v>700</v>
      </c>
      <c r="L1" s="575" t="s">
        <v>826</v>
      </c>
      <c r="M1" s="576"/>
      <c r="N1" s="577"/>
      <c r="AC1" s="5"/>
      <c r="AE1" s="5"/>
    </row>
    <row r="2" spans="1:81" hidden="1" outlineLevel="1">
      <c r="B2" s="293" t="s">
        <v>255</v>
      </c>
      <c r="C2" s="114" t="s">
        <v>249</v>
      </c>
      <c r="E2" s="270">
        <f>INT((MONTH(today)+3)/3)-1</f>
        <v>3</v>
      </c>
      <c r="F2" s="194" t="s">
        <v>702</v>
      </c>
      <c r="G2" s="194"/>
      <c r="I2" s="269">
        <f>E5</f>
        <v>42725</v>
      </c>
      <c r="L2" s="584" t="s">
        <v>827</v>
      </c>
      <c r="M2" s="584"/>
      <c r="N2" s="584"/>
      <c r="W2" s="142"/>
      <c r="AC2" s="5"/>
      <c r="AF2" s="96" t="s">
        <v>512</v>
      </c>
      <c r="AG2" s="96" t="s">
        <v>513</v>
      </c>
      <c r="AH2" s="332"/>
      <c r="AO2" s="96" t="s">
        <v>512</v>
      </c>
      <c r="AP2" s="96" t="s">
        <v>513</v>
      </c>
      <c r="AQ2" s="332"/>
      <c r="AW2" s="96" t="s">
        <v>512</v>
      </c>
      <c r="AX2" s="96" t="s">
        <v>513</v>
      </c>
      <c r="AY2" s="332"/>
      <c r="BE2" s="96" t="s">
        <v>512</v>
      </c>
      <c r="BF2" s="96" t="s">
        <v>513</v>
      </c>
      <c r="BG2" s="332"/>
      <c r="BN2" s="96" t="s">
        <v>512</v>
      </c>
      <c r="BO2" s="96" t="s">
        <v>513</v>
      </c>
      <c r="BP2" s="332"/>
      <c r="BV2" s="96" t="s">
        <v>206</v>
      </c>
    </row>
    <row r="3" spans="1:81" hidden="1" outlineLevel="1">
      <c r="B3" s="95" t="s">
        <v>736</v>
      </c>
      <c r="C3" s="110" t="s">
        <v>794</v>
      </c>
      <c r="E3" s="271">
        <f>IF(E2=0,DATE(YEAR(today)-1,4*3,1),DATE(YEAR(today),E2*3,1))</f>
        <v>42614</v>
      </c>
      <c r="F3" s="194" t="s">
        <v>703</v>
      </c>
      <c r="G3" s="194"/>
      <c r="I3" s="269">
        <f>ithMonthsWeekday(EDATE(I2,3),3,3)</f>
        <v>42809</v>
      </c>
      <c r="L3" s="418">
        <f>EurMkt!L3</f>
        <v>42705</v>
      </c>
      <c r="M3" s="280" t="str">
        <f>UPPER(TEXT(L3,"MMM YY"))</f>
        <v>DEC 16</v>
      </c>
      <c r="N3" s="280" t="str">
        <f>FutCode(L3)</f>
        <v>Z6</v>
      </c>
      <c r="V3" s="96" t="s">
        <v>206</v>
      </c>
      <c r="W3" s="148"/>
      <c r="AC3" s="5"/>
      <c r="AF3" s="114" t="s">
        <v>1034</v>
      </c>
      <c r="AG3" s="114" t="s">
        <v>522</v>
      </c>
      <c r="AH3" s="278" t="s">
        <v>724</v>
      </c>
      <c r="AO3" s="114" t="s">
        <v>813</v>
      </c>
      <c r="AP3" s="114"/>
      <c r="AQ3" s="278" t="s">
        <v>724</v>
      </c>
      <c r="AW3" s="114" t="s">
        <v>816</v>
      </c>
      <c r="AX3" s="114"/>
      <c r="AY3" s="278" t="s">
        <v>724</v>
      </c>
      <c r="BE3" s="114" t="s">
        <v>817</v>
      </c>
      <c r="BF3" s="114"/>
      <c r="BG3" s="278" t="s">
        <v>724</v>
      </c>
      <c r="BN3" s="114" t="s">
        <v>818</v>
      </c>
      <c r="BO3" s="114"/>
      <c r="BP3" s="278" t="s">
        <v>724</v>
      </c>
      <c r="BV3" s="143" t="s">
        <v>86</v>
      </c>
    </row>
    <row r="4" spans="1:81" hidden="1" outlineLevel="1">
      <c r="B4" s="95" t="s">
        <v>735</v>
      </c>
      <c r="C4" s="354">
        <f>ROWS(B15:B34)</f>
        <v>20</v>
      </c>
      <c r="E4" s="271">
        <f>ithMonthsWeekday(E3,3,3)</f>
        <v>42634</v>
      </c>
      <c r="F4" s="194" t="s">
        <v>698</v>
      </c>
      <c r="G4" s="194"/>
      <c r="I4" s="269">
        <f>ithMonthsWeekday(EDATE(I3,3),3,3)</f>
        <v>42907</v>
      </c>
      <c r="J4" s="585" t="s">
        <v>701</v>
      </c>
      <c r="L4" s="418">
        <f>EurMkt!L4</f>
        <v>42795</v>
      </c>
      <c r="M4" s="280" t="str">
        <f>UPPER(TEXT(L4,"MMM YY"))</f>
        <v>MAR 17</v>
      </c>
      <c r="N4" s="280" t="str">
        <f>FutCode(L4)</f>
        <v>H7</v>
      </c>
      <c r="V4" s="143" t="s">
        <v>479</v>
      </c>
      <c r="W4" s="260"/>
      <c r="AC4" s="5"/>
      <c r="AF4" s="114" t="s">
        <v>1036</v>
      </c>
      <c r="AG4" s="114" t="s">
        <v>522</v>
      </c>
      <c r="AH4" s="278" t="s">
        <v>725</v>
      </c>
      <c r="AO4" s="114" t="s">
        <v>813</v>
      </c>
      <c r="AP4" s="114"/>
      <c r="AQ4" s="278" t="s">
        <v>725</v>
      </c>
      <c r="AW4" s="114" t="s">
        <v>816</v>
      </c>
      <c r="AX4" s="114"/>
      <c r="AY4" s="278" t="s">
        <v>725</v>
      </c>
      <c r="BE4" s="114" t="s">
        <v>817</v>
      </c>
      <c r="BF4" s="114"/>
      <c r="BG4" s="278" t="s">
        <v>725</v>
      </c>
      <c r="BN4" s="114" t="s">
        <v>818</v>
      </c>
      <c r="BO4" s="114"/>
      <c r="BP4" s="278" t="s">
        <v>725</v>
      </c>
    </row>
    <row r="5" spans="1:81" hidden="1" outlineLevel="1">
      <c r="B5" s="293" t="s">
        <v>734</v>
      </c>
      <c r="C5" s="154" t="str">
        <f>IF(RealTime="PowerPlus",_xll.RtUpdate("IDN",B15:B34,C14:D14,C15),IF(RealTime,_xll.RData(C3,B14:D14,,,"RET:"&amp;C4,B15),"StaticData"))</f>
        <v>Updated at 12:31:30</v>
      </c>
      <c r="D5" s="332"/>
      <c r="E5" s="271">
        <f>IF(today&gt;=E4-1,ithMonthsWeekday(EDATE(E4,3),3,3),E4)</f>
        <v>42725</v>
      </c>
      <c r="F5" s="272" t="s">
        <v>704</v>
      </c>
      <c r="G5" s="272"/>
      <c r="H5" s="332"/>
      <c r="I5" s="269">
        <f>ithMonthsWeekday(EDATE(I4,3),3,3)</f>
        <v>42998</v>
      </c>
      <c r="J5" s="585"/>
      <c r="V5" s="143" t="s">
        <v>52</v>
      </c>
      <c r="W5" s="260"/>
      <c r="AC5" s="5"/>
      <c r="AF5" s="114" t="s">
        <v>811</v>
      </c>
      <c r="AG5" s="114"/>
      <c r="AH5" s="278" t="s">
        <v>697</v>
      </c>
      <c r="AO5" s="114" t="s">
        <v>814</v>
      </c>
      <c r="AP5" s="114"/>
      <c r="AQ5" s="278" t="s">
        <v>697</v>
      </c>
      <c r="AW5" s="114" t="s">
        <v>1037</v>
      </c>
      <c r="AX5" s="114"/>
      <c r="AY5" s="278" t="s">
        <v>697</v>
      </c>
      <c r="BE5" s="114" t="s">
        <v>1039</v>
      </c>
      <c r="BF5" s="114"/>
      <c r="BG5" s="278" t="s">
        <v>697</v>
      </c>
      <c r="BN5" s="114" t="s">
        <v>1040</v>
      </c>
      <c r="BO5" s="114"/>
      <c r="BP5" s="278" t="s">
        <v>697</v>
      </c>
    </row>
    <row r="6" spans="1:81" hidden="1" outlineLevel="1">
      <c r="D6" s="332"/>
      <c r="G6" s="332"/>
      <c r="H6" s="332"/>
      <c r="I6" s="269">
        <f>IF(EDATE(today+7,6)&gt;=I4,I5,I4)</f>
        <v>42907</v>
      </c>
      <c r="J6" s="420" t="s">
        <v>1361</v>
      </c>
      <c r="V6" s="143" t="s">
        <v>7</v>
      </c>
      <c r="W6" s="260"/>
      <c r="AC6" s="5"/>
      <c r="AF6" s="114" t="s">
        <v>812</v>
      </c>
      <c r="AG6" s="114"/>
      <c r="AH6" s="278" t="s">
        <v>726</v>
      </c>
      <c r="AO6" s="114" t="s">
        <v>815</v>
      </c>
      <c r="AP6" s="114"/>
      <c r="AQ6" s="278" t="s">
        <v>726</v>
      </c>
      <c r="AW6" s="114" t="s">
        <v>1038</v>
      </c>
      <c r="AX6" s="114"/>
      <c r="AY6" s="278" t="s">
        <v>726</v>
      </c>
      <c r="BE6" s="114" t="s">
        <v>812</v>
      </c>
      <c r="BF6" s="114"/>
      <c r="BG6" s="278" t="s">
        <v>726</v>
      </c>
      <c r="BN6" s="114" t="s">
        <v>819</v>
      </c>
      <c r="BO6" s="114"/>
      <c r="BP6" s="278" t="s">
        <v>726</v>
      </c>
    </row>
    <row r="7" spans="1:81" hidden="1" outlineLevel="1">
      <c r="D7" s="332"/>
      <c r="G7" s="332"/>
      <c r="V7" s="143" t="s">
        <v>25</v>
      </c>
      <c r="W7" s="260"/>
      <c r="AC7" s="5"/>
      <c r="AE7" s="5"/>
    </row>
    <row r="8" spans="1:81" hidden="1" outlineLevel="1">
      <c r="I8" s="96" t="s">
        <v>228</v>
      </c>
      <c r="V8" s="143" t="s">
        <v>28</v>
      </c>
      <c r="AC8" s="5"/>
      <c r="AE8" s="5"/>
    </row>
    <row r="9" spans="1:81" hidden="1" outlineLevel="1">
      <c r="H9" s="332"/>
      <c r="I9" s="379" t="str">
        <f>'usd disaggregated'!G2&amp;";"</f>
        <v>CME EURO USD 3M;</v>
      </c>
      <c r="AC9" s="5"/>
      <c r="AE9" s="5"/>
    </row>
    <row r="10" spans="1:81" hidden="1" outlineLevel="1">
      <c r="H10" s="332"/>
      <c r="K10" s="68"/>
      <c r="Q10" s="332"/>
      <c r="R10" s="332"/>
      <c r="S10" s="332"/>
      <c r="T10" s="332"/>
      <c r="U10" s="332"/>
      <c r="V10" s="332"/>
      <c r="W10" s="332"/>
      <c r="X10" s="332"/>
      <c r="Y10" s="332"/>
      <c r="Z10" s="332"/>
      <c r="AA10" s="332"/>
      <c r="AB10" s="332"/>
      <c r="AE10" s="5"/>
    </row>
    <row r="11" spans="1:81" collapsed="1">
      <c r="B11" s="152" t="s">
        <v>156</v>
      </c>
      <c r="C11" s="277">
        <f>today</f>
        <v>42692</v>
      </c>
      <c r="H11" s="332"/>
      <c r="Q11" s="575" t="s">
        <v>523</v>
      </c>
      <c r="R11" s="576"/>
      <c r="S11" s="576"/>
      <c r="T11" s="576"/>
      <c r="U11" s="583"/>
      <c r="V11" s="582" t="s">
        <v>242</v>
      </c>
      <c r="W11" s="582"/>
      <c r="X11" s="582"/>
      <c r="Y11" s="582"/>
      <c r="Z11" s="582"/>
      <c r="AA11" s="582"/>
      <c r="AB11" s="582"/>
      <c r="AE11" s="5"/>
      <c r="AF11" s="579" t="s">
        <v>479</v>
      </c>
      <c r="AG11" s="579"/>
      <c r="AH11" s="579"/>
      <c r="AI11" s="579"/>
      <c r="AJ11" s="579"/>
      <c r="AK11" s="579"/>
      <c r="AN11" s="196"/>
      <c r="AO11" s="579" t="s">
        <v>52</v>
      </c>
      <c r="AP11" s="579"/>
      <c r="AQ11" s="579"/>
      <c r="AR11" s="579"/>
      <c r="AS11" s="579"/>
      <c r="AT11" s="579"/>
      <c r="AV11" s="196"/>
      <c r="AW11" s="579" t="s">
        <v>7</v>
      </c>
      <c r="AX11" s="579"/>
      <c r="AY11" s="579"/>
      <c r="AZ11" s="579"/>
      <c r="BA11" s="579"/>
      <c r="BB11" s="579"/>
      <c r="BD11" s="196"/>
      <c r="BE11" s="579" t="s">
        <v>25</v>
      </c>
      <c r="BF11" s="579"/>
      <c r="BG11" s="579"/>
      <c r="BH11" s="579"/>
      <c r="BI11" s="579"/>
      <c r="BJ11" s="579"/>
      <c r="BL11" s="196"/>
      <c r="BM11" s="579" t="s">
        <v>28</v>
      </c>
      <c r="BN11" s="579"/>
      <c r="BO11" s="579"/>
      <c r="BP11" s="579"/>
      <c r="BQ11" s="579"/>
      <c r="BR11" s="579"/>
      <c r="BS11" s="579"/>
      <c r="BV11" s="196"/>
      <c r="BW11" s="579" t="s">
        <v>86</v>
      </c>
      <c r="BX11" s="579"/>
      <c r="BY11" s="579"/>
      <c r="BZ11" s="579"/>
      <c r="CA11" s="579"/>
      <c r="CB11" s="579"/>
      <c r="CC11" s="579"/>
    </row>
    <row r="12" spans="1:81" ht="12.75" customHeight="1">
      <c r="B12" s="152" t="s">
        <v>92</v>
      </c>
      <c r="C12" s="277">
        <f>CHOOSE(STUBmethod,StubDateFromCsv,I6)</f>
        <v>42907</v>
      </c>
      <c r="Q12" s="96" t="s">
        <v>506</v>
      </c>
      <c r="R12" s="96" t="s">
        <v>229</v>
      </c>
      <c r="S12" s="96"/>
      <c r="T12" s="96" t="s">
        <v>158</v>
      </c>
      <c r="U12" s="286" t="s">
        <v>524</v>
      </c>
      <c r="V12" s="227" t="s">
        <v>206</v>
      </c>
      <c r="W12" s="223" t="s">
        <v>229</v>
      </c>
      <c r="X12" s="224" t="s">
        <v>556</v>
      </c>
      <c r="Y12" s="225" t="s">
        <v>559</v>
      </c>
      <c r="Z12" s="223" t="s">
        <v>545</v>
      </c>
      <c r="AA12" s="224" t="s">
        <v>158</v>
      </c>
      <c r="AB12" s="227" t="s">
        <v>557</v>
      </c>
      <c r="AC12" s="357" t="str">
        <f>O15</f>
        <v xml:space="preserve"> cvnx spread</v>
      </c>
      <c r="AE12" s="5"/>
      <c r="AF12" s="12" t="s">
        <v>248</v>
      </c>
      <c r="AG12" s="12" t="s">
        <v>70</v>
      </c>
      <c r="AH12" s="13" t="s">
        <v>71</v>
      </c>
      <c r="AI12" s="9" t="s">
        <v>70</v>
      </c>
      <c r="AJ12" s="13" t="s">
        <v>71</v>
      </c>
      <c r="AK12" s="42" t="s">
        <v>72</v>
      </c>
      <c r="AN12" s="196"/>
      <c r="AO12" s="12" t="s">
        <v>248</v>
      </c>
      <c r="AP12" s="12" t="s">
        <v>70</v>
      </c>
      <c r="AQ12" s="13" t="s">
        <v>71</v>
      </c>
      <c r="AR12" s="9" t="s">
        <v>70</v>
      </c>
      <c r="AS12" s="13" t="s">
        <v>71</v>
      </c>
      <c r="AT12" s="42" t="s">
        <v>72</v>
      </c>
      <c r="AV12" s="196"/>
      <c r="AW12" s="12" t="s">
        <v>248</v>
      </c>
      <c r="AX12" s="12" t="s">
        <v>70</v>
      </c>
      <c r="AY12" s="13" t="s">
        <v>71</v>
      </c>
      <c r="AZ12" s="9" t="s">
        <v>70</v>
      </c>
      <c r="BA12" s="13" t="s">
        <v>71</v>
      </c>
      <c r="BB12" s="42" t="s">
        <v>72</v>
      </c>
      <c r="BD12" s="196"/>
      <c r="BE12" s="12" t="s">
        <v>248</v>
      </c>
      <c r="BF12" s="12" t="s">
        <v>70</v>
      </c>
      <c r="BG12" s="13" t="s">
        <v>71</v>
      </c>
      <c r="BH12" s="9" t="s">
        <v>70</v>
      </c>
      <c r="BI12" s="13" t="s">
        <v>71</v>
      </c>
      <c r="BJ12" s="42" t="s">
        <v>72</v>
      </c>
      <c r="BL12" s="196"/>
      <c r="BM12" s="12" t="s">
        <v>228</v>
      </c>
      <c r="BN12" s="12" t="s">
        <v>248</v>
      </c>
      <c r="BO12" s="12" t="s">
        <v>70</v>
      </c>
      <c r="BP12" s="13" t="s">
        <v>71</v>
      </c>
      <c r="BQ12" s="74" t="str">
        <f>AI$12</f>
        <v>BID</v>
      </c>
      <c r="BR12" s="75" t="str">
        <f>AJ$12</f>
        <v>ASK</v>
      </c>
      <c r="BS12" s="42" t="s">
        <v>72</v>
      </c>
      <c r="BV12" s="197"/>
      <c r="BW12" s="12" t="s">
        <v>228</v>
      </c>
      <c r="BX12" s="12" t="s">
        <v>248</v>
      </c>
      <c r="BY12" s="12" t="s">
        <v>70</v>
      </c>
      <c r="BZ12" s="13" t="s">
        <v>71</v>
      </c>
      <c r="CA12" s="74" t="str">
        <f>BY12</f>
        <v>BID</v>
      </c>
      <c r="CB12" s="75" t="str">
        <f>BZ12</f>
        <v>ASK</v>
      </c>
      <c r="CC12" s="42" t="s">
        <v>72</v>
      </c>
    </row>
    <row r="13" spans="1:81">
      <c r="B13" s="332"/>
      <c r="C13" s="332"/>
      <c r="F13" s="96" t="s">
        <v>558</v>
      </c>
      <c r="H13" s="332"/>
      <c r="J13" s="113"/>
      <c r="Q13" s="168" t="s">
        <v>3</v>
      </c>
      <c r="R13" s="162" t="s">
        <v>504</v>
      </c>
      <c r="S13" s="167" t="str">
        <f t="shared" ref="S13:S27" si="0">SimplifyTenor(Q13)&amp;MID(today,1,0)</f>
        <v>1D</v>
      </c>
      <c r="T13" s="161">
        <f>IF(ISNUMBER(S13),S13,CHOOSE(MATCH(RIGHT(S13,1),{"D","W","M"},0),NextBusDay(today,LEFT(S13,LEN(S13)-1)),NextBusDay(ValueDate+7*LEFT(S13,LEN(S13)-1)),NextBusDay(EDATE(ValueDate,LEFT(S13,LEN(S13)-1)))))</f>
        <v>42695</v>
      </c>
      <c r="U13" s="287" t="b">
        <v>1</v>
      </c>
      <c r="V13" s="283" t="str">
        <f t="array" ref="V13:V78">RemoverFilter(IF(U13:U78,Q13:Q78,""),"","")</f>
        <v>O/N</v>
      </c>
      <c r="W13" s="226" t="str">
        <f t="array" ref="W13:W78">RemoverFilter(IF(U13:U80,R13:R80,""),"","")</f>
        <v>D</v>
      </c>
      <c r="X13" s="167" t="str">
        <f t="shared" ref="X13:X76" si="1">IF(LEN(W13)&gt;0,IF(W13&lt;&gt;W12,W13&amp;"1",W13&amp;MID(X12,2,3)+1),"")</f>
        <v>D1</v>
      </c>
      <c r="Y13" s="173">
        <f t="shared" ref="Y13:Y76" si="2">IF(LEN(W13)&gt;0,FIND(W13,InstrCodes),LEN(InstrCodes)+1)</f>
        <v>1</v>
      </c>
      <c r="Z13" s="177" t="str">
        <f t="shared" ref="Z13" si="3">CHOOSE(Y13,V13,TEXT(DataSTUB,"dd/mm/yy"),UPPER(TEXT(V13,"MMM YY")),V13,"")</f>
        <v>O/N</v>
      </c>
      <c r="AA13" s="161">
        <f t="array" ref="AA13:AA78">RemoverFilter(IF(U13:U80,T13:T80,""),"","")</f>
        <v>42695</v>
      </c>
      <c r="AB13" s="172" t="str">
        <f t="shared" ref="AB13:AB76" si="4">IF($W13="F",UPPER(TEXT(FutCode(V13),"MMM YY")),V13)</f>
        <v>O/N</v>
      </c>
      <c r="AC13" s="335"/>
      <c r="AD13" s="6"/>
      <c r="AE13" s="157" t="str">
        <f t="array" ref="AE13:AE67">UsdCommonBucket</f>
        <v>O/N</v>
      </c>
      <c r="AF13" s="162" t="s">
        <v>808</v>
      </c>
      <c r="AG13" s="383">
        <f>IF(RealTime,_xll.RtGet(IF(Y13=3,"IDN",RtChannel),$AF13,AG$12),"StaticData")</f>
        <v>0.65</v>
      </c>
      <c r="AH13" s="384">
        <f>IF(RealTime,_xll.RtGet(IF($Y13=3,"IDN",RtChannel),$AF13,AH$12),"StaticData")</f>
        <v>0.65</v>
      </c>
      <c r="AI13" s="383">
        <f>IF(RealTime,AG13,static_data())</f>
        <v>0.65</v>
      </c>
      <c r="AJ13" s="383">
        <f>IF(RealTime,AH13,static_data())</f>
        <v>0.65</v>
      </c>
      <c r="AK13" s="538">
        <f t="shared" ref="AK13:AK67" si="5">IF(LEN(V13)&gt;0,IF($W13="F",100-AVERAGE(AI13:AJ13)-$AC13,AVERAGE(AI13:AJ13)),"")</f>
        <v>0.65</v>
      </c>
      <c r="AN13" s="157" t="str">
        <f t="array" ref="AN13:AN67">UsdCommonBucket</f>
        <v>O/N</v>
      </c>
      <c r="AO13" s="162" t="s">
        <v>808</v>
      </c>
      <c r="AP13" s="383">
        <f>IF(RealTime,_xll.RtGet(RtChannel,$AO13,AP$12),"StaticData")</f>
        <v>0.65</v>
      </c>
      <c r="AQ13" s="384">
        <f>IF(RealTime,_xll.RtGet(RtChannel,$AO13,AQ$12),"StaticData")</f>
        <v>0.65</v>
      </c>
      <c r="AR13" s="383">
        <f>IF(RealTime,AP13,static_data())</f>
        <v>0.65</v>
      </c>
      <c r="AS13" s="383">
        <f>IF(RealTime,AQ13,static_data())</f>
        <v>0.65</v>
      </c>
      <c r="AT13" s="538">
        <f t="shared" ref="AT13:AT67" si="6">IF(LEN(V13)&gt;0,IF($W13="F",100-AVERAGE(AR13:AS13)-$AC13,AVERAGE(AR13:AS13)),"")</f>
        <v>0.65</v>
      </c>
      <c r="AV13" s="157" t="str">
        <f t="array" ref="AV13:AV67">UsdCommonBucket</f>
        <v>O/N</v>
      </c>
      <c r="AW13" s="162" t="s">
        <v>808</v>
      </c>
      <c r="AX13" s="383">
        <f>IF(RealTime,_xll.RtGet(RtChannel,$AW13,AX$12),"StaticData")</f>
        <v>0.65</v>
      </c>
      <c r="AY13" s="384">
        <f>IF(RealTime,_xll.RtGet(RtChannel,$AW13,AY$12),"StaticData")</f>
        <v>0.65</v>
      </c>
      <c r="AZ13" s="383">
        <f>IF(RealTime,AX13,static_data())</f>
        <v>0.65</v>
      </c>
      <c r="BA13" s="383">
        <f>IF(RealTime,AY13,static_data())</f>
        <v>0.65</v>
      </c>
      <c r="BB13" s="538">
        <f t="shared" ref="BB13:BB67" si="7">IF(LEN($V13)&gt;0,IF($W13="F",100-AVERAGE(AZ13:BA13)-$AC13,AVERAGE(AZ13:BA13)),"")</f>
        <v>0.65</v>
      </c>
      <c r="BD13" s="157" t="str">
        <f t="array" ref="BD13:BD67">UsdCommonBucket</f>
        <v>O/N</v>
      </c>
      <c r="BE13" s="162" t="s">
        <v>808</v>
      </c>
      <c r="BF13" s="383">
        <f>IF(RealTime,_xll.RtGet(RtChannel,$BE13,BF$12),"StaticData")</f>
        <v>0.65</v>
      </c>
      <c r="BG13" s="384">
        <f>IF(RealTime,_xll.RtGet(RtChannel,$BE13,BG$12),"StaticData")</f>
        <v>0.65</v>
      </c>
      <c r="BH13" s="383">
        <f>IF(RealTime,BF13,static_data())</f>
        <v>0.65</v>
      </c>
      <c r="BI13" s="383">
        <f>IF(RealTime,BG13,static_data())</f>
        <v>0.65</v>
      </c>
      <c r="BJ13" s="538">
        <f t="shared" ref="BJ13:BJ67" si="8">IF(LEN($V13)&gt;0,IF($W13="F",100-AVERAGE(BH13:BI13),AVERAGE(BH13:BI13)),"")</f>
        <v>0.65</v>
      </c>
      <c r="BL13" s="382"/>
      <c r="BM13" s="157" t="str">
        <f t="array" ref="BM13:BM67">UsdCommonBucket</f>
        <v>O/N</v>
      </c>
      <c r="BN13" s="162" t="s">
        <v>808</v>
      </c>
      <c r="BO13" s="383">
        <f>IF(RealTime,_xll.RtGet(RtChannel,$BN13,BO$12),"StaticData")</f>
        <v>0.65</v>
      </c>
      <c r="BP13" s="384">
        <f>IF(RealTime,_xll.RtGet(RtChannel,$BN13,BP$12),"StaticData")</f>
        <v>0.65</v>
      </c>
      <c r="BQ13" s="383">
        <f>IF(RealTime,BO13,static_data())</f>
        <v>0.65</v>
      </c>
      <c r="BR13" s="383">
        <f>IF(RealTime,BP13,static_data())</f>
        <v>0.65</v>
      </c>
      <c r="BS13" s="538">
        <f t="shared" ref="BS13:BS44" si="9">IF(LEN($V13)&gt;0,IF($W13="F",100-AVERAGE(BQ13:BR13),AVERAGE(BQ13:BR13)),"")</f>
        <v>0.65</v>
      </c>
      <c r="BV13" s="136" t="s">
        <v>3</v>
      </c>
      <c r="BW13" s="137" t="str">
        <f>BV13</f>
        <v>O/N</v>
      </c>
      <c r="BX13" s="102" t="s">
        <v>1171</v>
      </c>
      <c r="BY13" s="70">
        <f>IF(RealTime,_xll.RtGet(RtChannel,$BX13,BY$12),"StaticData")</f>
        <v>0.45</v>
      </c>
      <c r="BZ13" s="70">
        <f>IF(RealTime,_xll.RtGet(RtChannel,$BX13,BZ$12),"StaticData")</f>
        <v>0.55000000000000004</v>
      </c>
      <c r="CA13" s="77">
        <f>IF(RealTime,BY13,static_data())</f>
        <v>0.45</v>
      </c>
      <c r="CB13" s="78">
        <f>IF(RealTime,BZ13,static_data())</f>
        <v>0.55000000000000004</v>
      </c>
      <c r="CC13" s="43">
        <f>+AVERAGE(CA13:CB13)</f>
        <v>0.5</v>
      </c>
    </row>
    <row r="14" spans="1:81" ht="13.5" thickBot="1">
      <c r="B14" s="96" t="s">
        <v>191</v>
      </c>
      <c r="C14" s="96" t="s">
        <v>70</v>
      </c>
      <c r="D14" s="96" t="s">
        <v>71</v>
      </c>
      <c r="E14" s="96" t="s">
        <v>72</v>
      </c>
      <c r="F14" s="152" t="s">
        <v>481</v>
      </c>
      <c r="G14" s="276" t="s">
        <v>722</v>
      </c>
      <c r="H14" s="276" t="s">
        <v>723</v>
      </c>
      <c r="I14" s="276" t="s">
        <v>228</v>
      </c>
      <c r="J14" s="276" t="s">
        <v>194</v>
      </c>
      <c r="L14" s="575" t="s">
        <v>738</v>
      </c>
      <c r="M14" s="576"/>
      <c r="N14" s="576"/>
      <c r="O14" s="577"/>
      <c r="Q14" s="155" t="s">
        <v>4</v>
      </c>
      <c r="R14" s="102" t="s">
        <v>504</v>
      </c>
      <c r="S14" s="130" t="str">
        <f t="shared" si="0"/>
        <v>2D</v>
      </c>
      <c r="T14" s="163">
        <f>IF(ISNUMBER(S14),S14,CHOOSE(MATCH(RIGHT(S14,1),{"D","W","M"},0),NextBusDay(today,LEFT(S14,LEN(S14)-1)),NextBusDay(ValueDate+7*LEFT(S14,LEN(S14)-1)),NextBusDay(EDATE(ValueDate,LEFT(S14,LEN(S14)-1)))))</f>
        <v>42696</v>
      </c>
      <c r="U14" s="288" t="b">
        <v>1</v>
      </c>
      <c r="V14" s="284" t="str">
        <v>T/N</v>
      </c>
      <c r="W14" s="137" t="str">
        <v>D</v>
      </c>
      <c r="X14" s="130" t="str">
        <f t="shared" si="1"/>
        <v>D2</v>
      </c>
      <c r="Y14" s="173">
        <f t="shared" si="2"/>
        <v>1</v>
      </c>
      <c r="Z14" s="175" t="str">
        <f t="shared" ref="Z14:Z16" si="10">CHOOSE(Y14,V14,TEXT(DataSTUB,"dd/mm/yy"),UPPER(TEXT(V14,"MMM YY")),V14,"")</f>
        <v>T/N</v>
      </c>
      <c r="AA14" s="163">
        <v>42696</v>
      </c>
      <c r="AB14" s="173" t="str">
        <f t="shared" si="4"/>
        <v>T/N</v>
      </c>
      <c r="AC14" s="335"/>
      <c r="AD14" s="6"/>
      <c r="AE14" s="158" t="str">
        <v>T/N</v>
      </c>
      <c r="AF14" s="102" t="s">
        <v>809</v>
      </c>
      <c r="AG14" s="385">
        <f>IF(RealTime,_xll.RtGet(IF(Y14=3,"IDN",RtChannel),$AF14,AG$12),"StaticData")</f>
        <v>0.70000000000000007</v>
      </c>
      <c r="AH14" s="386">
        <f>IF(RealTime,_xll.RtGet(IF($Y14=3,"IDN",RtChannel),$AF14,AH$12),"StaticData")</f>
        <v>0.70000000000000007</v>
      </c>
      <c r="AI14" s="385">
        <f>IF(RealTime,AG14,static_data())</f>
        <v>0.70000000000000007</v>
      </c>
      <c r="AJ14" s="385">
        <f>IF(RealTime,AH14,static_data())</f>
        <v>0.70000000000000007</v>
      </c>
      <c r="AK14" s="43">
        <f t="shared" si="5"/>
        <v>0.70000000000000007</v>
      </c>
      <c r="AN14" s="158" t="str">
        <v>T/N</v>
      </c>
      <c r="AO14" s="102" t="s">
        <v>809</v>
      </c>
      <c r="AP14" s="385">
        <f>IF(RealTime,_xll.RtGet(RtChannel,$AO14,AP$12),"StaticData")</f>
        <v>0.70000000000000007</v>
      </c>
      <c r="AQ14" s="386">
        <f>IF(RealTime,_xll.RtGet(RtChannel,$AO14,AQ$12),"StaticData")</f>
        <v>0.70000000000000007</v>
      </c>
      <c r="AR14" s="385">
        <f>IF(RealTime,AP14,static_data())</f>
        <v>0.70000000000000007</v>
      </c>
      <c r="AS14" s="385">
        <f>IF(RealTime,AQ14,static_data())</f>
        <v>0.70000000000000007</v>
      </c>
      <c r="AT14" s="43">
        <f t="shared" si="6"/>
        <v>0.70000000000000007</v>
      </c>
      <c r="AV14" s="158" t="str">
        <v>T/N</v>
      </c>
      <c r="AW14" s="102" t="s">
        <v>809</v>
      </c>
      <c r="AX14" s="385">
        <f>IF(RealTime,_xll.RtGet(RtChannel,$AW14,AX$12),"StaticData")</f>
        <v>0.70000000000000007</v>
      </c>
      <c r="AY14" s="386">
        <f>IF(RealTime,_xll.RtGet(RtChannel,$AW14,AY$12),"StaticData")</f>
        <v>0.70000000000000007</v>
      </c>
      <c r="AZ14" s="385">
        <f>IF(RealTime,AX14,static_data())</f>
        <v>0.70000000000000007</v>
      </c>
      <c r="BA14" s="385">
        <f>IF(RealTime,AY14,static_data())</f>
        <v>0.70000000000000007</v>
      </c>
      <c r="BB14" s="43">
        <f t="shared" si="7"/>
        <v>0.70000000000000007</v>
      </c>
      <c r="BD14" s="158" t="str">
        <v>T/N</v>
      </c>
      <c r="BE14" s="102" t="s">
        <v>809</v>
      </c>
      <c r="BF14" s="385">
        <f>IF(RealTime,_xll.RtGet(RtChannel,$BE14,BF$12),"StaticData")</f>
        <v>0.70000000000000007</v>
      </c>
      <c r="BG14" s="386">
        <f>IF(RealTime,_xll.RtGet(RtChannel,$BE14,BG$12),"StaticData")</f>
        <v>0.70000000000000007</v>
      </c>
      <c r="BH14" s="385">
        <f>IF(RealTime,BF14,static_data())</f>
        <v>0.70000000000000007</v>
      </c>
      <c r="BI14" s="385">
        <f>IF(RealTime,BG14,static_data())</f>
        <v>0.70000000000000007</v>
      </c>
      <c r="BJ14" s="43">
        <f t="shared" si="8"/>
        <v>0.70000000000000007</v>
      </c>
      <c r="BL14" s="382"/>
      <c r="BM14" s="158" t="str">
        <v>T/N</v>
      </c>
      <c r="BN14" s="102" t="s">
        <v>809</v>
      </c>
      <c r="BO14" s="385">
        <f>IF(RealTime,_xll.RtGet(RtChannel,$BN14,BO$12),"StaticData")</f>
        <v>0.70000000000000007</v>
      </c>
      <c r="BP14" s="386">
        <f>IF(RealTime,_xll.RtGet(RtChannel,$BN14,BP$12),"StaticData")</f>
        <v>0.70000000000000007</v>
      </c>
      <c r="BQ14" s="385">
        <f>IF(RealTime,BO14,static_data())</f>
        <v>0.70000000000000007</v>
      </c>
      <c r="BR14" s="385">
        <f>IF(RealTime,BP14,static_data())</f>
        <v>0.70000000000000007</v>
      </c>
      <c r="BS14" s="43">
        <f t="shared" si="9"/>
        <v>0.70000000000000007</v>
      </c>
      <c r="BV14" s="136" t="s">
        <v>4</v>
      </c>
      <c r="BW14" s="137" t="str">
        <f t="shared" ref="BW14:BW50" si="11">BV14</f>
        <v>T/N</v>
      </c>
      <c r="BX14" s="102" t="s">
        <v>1172</v>
      </c>
      <c r="BY14" s="70">
        <f>IF(RealTime,_xll.RtGet(RtChannel,$BX14,BY$12),"StaticData")</f>
        <v>0.45</v>
      </c>
      <c r="BZ14" s="70">
        <f>IF(RealTime,_xll.RtGet(RtChannel,$BX14,BZ$12),"StaticData")</f>
        <v>0.55000000000000004</v>
      </c>
      <c r="CA14" s="79">
        <f>IF(RealTime,BY14,static_data())</f>
        <v>0.45</v>
      </c>
      <c r="CB14" s="71">
        <f>IF(RealTime,BZ14,static_data())</f>
        <v>0.55000000000000004</v>
      </c>
      <c r="CC14" s="43">
        <f>+AVERAGE(CA14:CB14)</f>
        <v>0.5</v>
      </c>
    </row>
    <row r="15" spans="1:81">
      <c r="A15" s="331">
        <v>1</v>
      </c>
      <c r="B15" s="102" t="s">
        <v>1019</v>
      </c>
      <c r="C15" s="127">
        <v>99.025000000000006</v>
      </c>
      <c r="D15" s="127">
        <v>99.027500000000003</v>
      </c>
      <c r="E15" s="131">
        <f>IF(OR(C15=0,D15=0),NA(),AVERAGE(C15,D15))</f>
        <v>99.026250000000005</v>
      </c>
      <c r="F15" s="222">
        <f>IF(RealTime,_xll.RtGet("IDN",B15,"EXPIR_DATE")+2,static_data()+0)</f>
        <v>42725</v>
      </c>
      <c r="G15" s="275" t="str">
        <f t="shared" ref="G15:G34" si="12">RIGHT(B15,2)</f>
        <v>Z6</v>
      </c>
      <c r="H15" s="124" t="str">
        <f>IF(LEN(B15)&gt;0,UPPER(TEXT(F15,"MMM YY")),"")</f>
        <v>DEC 16</v>
      </c>
      <c r="I15" s="336" t="str">
        <f t="shared" ref="I15:I34" si="13">IF(LEN(B15)&gt;0,$I$9&amp;H15,"")</f>
        <v>CME EURO USD 3M;DEC 16</v>
      </c>
      <c r="J15" s="206">
        <f>'usd disaggregated'!K94</f>
        <v>99.032499999999999</v>
      </c>
      <c r="L15" s="336" t="s">
        <v>206</v>
      </c>
      <c r="M15" s="354">
        <f>MATCH(L15,IRD_hd,0)</f>
        <v>5</v>
      </c>
      <c r="N15" s="96"/>
      <c r="O15" s="580" t="s">
        <v>807</v>
      </c>
      <c r="Q15" s="155" t="s">
        <v>23</v>
      </c>
      <c r="R15" s="102" t="s">
        <v>504</v>
      </c>
      <c r="S15" s="130" t="str">
        <f t="shared" si="0"/>
        <v>3D</v>
      </c>
      <c r="T15" s="163">
        <f>IF(ISNUMBER(S15),S15,CHOOSE(MATCH(RIGHT(S15,1),{"D","W","M"},0),NextBusDay(today,LEFT(S15,LEN(S15)-1)),NextBusDay(ValueDate+7*LEFT(S15,LEN(S15)-1)),NextBusDay(EDATE(ValueDate,LEFT(S15,LEN(S15)-1)))))</f>
        <v>42697</v>
      </c>
      <c r="U15" s="288" t="b">
        <v>1</v>
      </c>
      <c r="V15" s="284" t="str">
        <v>S/N</v>
      </c>
      <c r="W15" s="137" t="str">
        <v>D</v>
      </c>
      <c r="X15" s="130" t="str">
        <f t="shared" si="1"/>
        <v>D3</v>
      </c>
      <c r="Y15" s="173">
        <f t="shared" si="2"/>
        <v>1</v>
      </c>
      <c r="Z15" s="175" t="str">
        <f t="shared" si="10"/>
        <v>S/N</v>
      </c>
      <c r="AA15" s="163">
        <v>42697</v>
      </c>
      <c r="AB15" s="173" t="str">
        <f t="shared" si="4"/>
        <v>S/N</v>
      </c>
      <c r="AC15" s="335"/>
      <c r="AD15" s="6"/>
      <c r="AE15" s="158" t="str">
        <v>S/N</v>
      </c>
      <c r="AF15" s="381" t="s">
        <v>810</v>
      </c>
      <c r="AG15" s="385">
        <f>IF(RealTime,_xll.RtGet(IF(Y15=3,"IDN",RtChannel),$AF15,AG$12),"StaticData")</f>
        <v>0.75</v>
      </c>
      <c r="AH15" s="386">
        <f>IF(RealTime,_xll.RtGet(IF($Y15=3,"IDN",RtChannel),$AF15,AH$12),"StaticData")</f>
        <v>0.75</v>
      </c>
      <c r="AI15" s="385">
        <f>IF(RealTime,AG15,static_data())</f>
        <v>0.75</v>
      </c>
      <c r="AJ15" s="385">
        <f>IF(RealTime,AH15,static_data())</f>
        <v>0.75</v>
      </c>
      <c r="AK15" s="43">
        <f t="shared" si="5"/>
        <v>0.75</v>
      </c>
      <c r="AN15" s="158" t="str">
        <v>S/N</v>
      </c>
      <c r="AO15" s="174" t="s">
        <v>810</v>
      </c>
      <c r="AP15" s="385">
        <f>IF(RealTime,_xll.RtGet(RtChannel,$AO15,AP$12),"StaticData")</f>
        <v>0.75</v>
      </c>
      <c r="AQ15" s="386">
        <f>IF(RealTime,_xll.RtGet(RtChannel,$AO15,AQ$12),"StaticData")</f>
        <v>0.75</v>
      </c>
      <c r="AR15" s="385">
        <f>IF(RealTime,AP15,static_data())</f>
        <v>0.75</v>
      </c>
      <c r="AS15" s="385">
        <f>IF(RealTime,AQ15,static_data())</f>
        <v>0.75</v>
      </c>
      <c r="AT15" s="43">
        <f t="shared" si="6"/>
        <v>0.75</v>
      </c>
      <c r="AV15" s="158" t="str">
        <v>S/N</v>
      </c>
      <c r="AW15" s="174" t="s">
        <v>810</v>
      </c>
      <c r="AX15" s="385">
        <f>IF(RealTime,_xll.RtGet(RtChannel,$AW15,AX$12),"StaticData")</f>
        <v>0.75</v>
      </c>
      <c r="AY15" s="386">
        <f>IF(RealTime,_xll.RtGet(RtChannel,$AW15,AY$12),"StaticData")</f>
        <v>0.75</v>
      </c>
      <c r="AZ15" s="385">
        <f>IF(RealTime,AX15,static_data())</f>
        <v>0.75</v>
      </c>
      <c r="BA15" s="385">
        <f>IF(RealTime,AY15,static_data())</f>
        <v>0.75</v>
      </c>
      <c r="BB15" s="43">
        <f t="shared" si="7"/>
        <v>0.75</v>
      </c>
      <c r="BD15" s="158" t="str">
        <v>S/N</v>
      </c>
      <c r="BE15" s="174" t="s">
        <v>810</v>
      </c>
      <c r="BF15" s="385">
        <f>IF(RealTime,_xll.RtGet(RtChannel,$BE15,BF$12),"StaticData")</f>
        <v>0.75</v>
      </c>
      <c r="BG15" s="386">
        <f>IF(RealTime,_xll.RtGet(RtChannel,$BE15,BG$12),"StaticData")</f>
        <v>0.75</v>
      </c>
      <c r="BH15" s="385">
        <f>IF(RealTime,BF15,static_data())</f>
        <v>0.75</v>
      </c>
      <c r="BI15" s="385">
        <f>IF(RealTime,BG15,static_data())</f>
        <v>0.75</v>
      </c>
      <c r="BJ15" s="43">
        <f t="shared" si="8"/>
        <v>0.75</v>
      </c>
      <c r="BL15" s="382"/>
      <c r="BM15" s="158" t="str">
        <v>S/N</v>
      </c>
      <c r="BN15" s="102" t="s">
        <v>810</v>
      </c>
      <c r="BO15" s="385">
        <f>IF(RealTime,_xll.RtGet(RtChannel,$BN15,BO$12),"StaticData")</f>
        <v>0.75</v>
      </c>
      <c r="BP15" s="386">
        <f>IF(RealTime,_xll.RtGet(RtChannel,$BN15,BP$12),"StaticData")</f>
        <v>0.75</v>
      </c>
      <c r="BQ15" s="385">
        <f>IF(RealTime,BO15,static_data())</f>
        <v>0.75</v>
      </c>
      <c r="BR15" s="385">
        <f>IF(RealTime,BP15,static_data())</f>
        <v>0.75</v>
      </c>
      <c r="BS15" s="43">
        <f t="shared" si="9"/>
        <v>0.75</v>
      </c>
      <c r="BV15" s="136" t="s">
        <v>23</v>
      </c>
      <c r="BW15" s="137" t="str">
        <f t="shared" si="11"/>
        <v>S/N</v>
      </c>
      <c r="BX15" s="102" t="s">
        <v>1173</v>
      </c>
      <c r="BY15" s="70">
        <f>IF(RealTime,_xll.RtGet(RtChannel,$BX15,BY$12),"StaticData")</f>
        <v>0.45</v>
      </c>
      <c r="BZ15" s="70">
        <f>IF(RealTime,_xll.RtGet(RtChannel,$BX15,BZ$12),"StaticData")</f>
        <v>0.55000000000000004</v>
      </c>
      <c r="CA15" s="79">
        <f>IF(RealTime,BY15,static_data())</f>
        <v>0.45</v>
      </c>
      <c r="CB15" s="71">
        <f>IF(RealTime,BZ15,static_data())</f>
        <v>0.55000000000000004</v>
      </c>
      <c r="CC15" s="43">
        <f>+AVERAGE(CA15:CB15)</f>
        <v>0.5</v>
      </c>
    </row>
    <row r="16" spans="1:81" ht="13.5" thickBot="1">
      <c r="A16" s="331">
        <v>2</v>
      </c>
      <c r="B16" s="102" t="s">
        <v>5098</v>
      </c>
      <c r="C16" s="128">
        <v>99.02</v>
      </c>
      <c r="D16" s="128">
        <v>99.025000000000006</v>
      </c>
      <c r="E16" s="132">
        <f t="shared" ref="E16:E34" si="14">IF(OR(C16=0,D16=0),NA(),AVERAGE(C16,D16))</f>
        <v>99.022500000000008</v>
      </c>
      <c r="F16" s="222">
        <f>IF(RealTime,_xll.RtGet("IDN",B16,"EXPIR_DATE")+2,static_data()+0)</f>
        <v>42753</v>
      </c>
      <c r="G16" s="146" t="str">
        <f t="shared" si="12"/>
        <v>F7</v>
      </c>
      <c r="H16" s="125" t="str">
        <f t="shared" ref="H16:H34" si="15">IF(LEN(B16)&gt;0,UPPER(TEXT(F16,"MMM YY")),"")</f>
        <v>JAN 17</v>
      </c>
      <c r="I16" s="336" t="str">
        <f t="shared" si="13"/>
        <v>CME EURO USD 3M;JAN 17</v>
      </c>
      <c r="J16" s="206" t="e">
        <f>'usd disaggregated'!K95</f>
        <v>#N/A</v>
      </c>
      <c r="L16" s="268" t="s">
        <v>699</v>
      </c>
      <c r="M16" s="98" t="s">
        <v>158</v>
      </c>
      <c r="N16" s="96" t="s">
        <v>228</v>
      </c>
      <c r="O16" s="581"/>
      <c r="Q16" s="155" t="s">
        <v>5</v>
      </c>
      <c r="R16" s="102" t="s">
        <v>504</v>
      </c>
      <c r="S16" s="130" t="str">
        <f t="shared" si="0"/>
        <v>1W</v>
      </c>
      <c r="T16" s="163">
        <f>IF(ISNUMBER(S16),S16,CHOOSE(MATCH(RIGHT(S16,1),{"D","W","M"},0),NextBusDay(today,LEFT(S16,LEN(S16)-1)),NextBusDay(ValueDate+7*LEFT(S16,LEN(S16)-1)),NextBusDay(EDATE(ValueDate,LEFT(S16,LEN(S16)-1)))))</f>
        <v>42703</v>
      </c>
      <c r="U16" s="288" t="b">
        <v>1</v>
      </c>
      <c r="V16" s="284" t="str">
        <v>1W</v>
      </c>
      <c r="W16" s="137" t="str">
        <v>D</v>
      </c>
      <c r="X16" s="130" t="str">
        <f t="shared" si="1"/>
        <v>D4</v>
      </c>
      <c r="Y16" s="173">
        <f t="shared" si="2"/>
        <v>1</v>
      </c>
      <c r="Z16" s="175" t="str">
        <f t="shared" si="10"/>
        <v>1W</v>
      </c>
      <c r="AA16" s="163">
        <v>42703</v>
      </c>
      <c r="AB16" s="173" t="str">
        <f t="shared" si="4"/>
        <v>1W</v>
      </c>
      <c r="AC16" s="335"/>
      <c r="AD16" s="6"/>
      <c r="AE16" s="158" t="str">
        <v>1W</v>
      </c>
      <c r="AF16" s="308" t="s">
        <v>1035</v>
      </c>
      <c r="AG16" s="385">
        <f>IF(RealTime,_xll.RtGet(IF(Y16=3,"IDN",RtChannel),$AF16,AG$12),"StaticData")</f>
        <v>0.45422000000000001</v>
      </c>
      <c r="AH16" s="386">
        <f>IF(RealTime,_xll.RtGet(IF($Y16=3,"IDN",RtChannel),$AF16,AH$12),"StaticData")</f>
        <v>0.46422000000000002</v>
      </c>
      <c r="AI16" s="385">
        <f>IF(RealTime,AG16,static_data())</f>
        <v>0.45422000000000001</v>
      </c>
      <c r="AJ16" s="385">
        <f>IF(RealTime,AH16,static_data())</f>
        <v>0.46422000000000002</v>
      </c>
      <c r="AK16" s="43">
        <f t="shared" si="5"/>
        <v>0.45922000000000002</v>
      </c>
      <c r="AN16" s="158" t="str">
        <v>1W</v>
      </c>
      <c r="AO16" s="134" t="str">
        <f t="shared" ref="AO16:AO67" si="16">CHOOSE($Y16,AO$3&amp;$V16&amp;AP$3,AO$4&amp;$V16&amp;AP$4,AO$5&amp;$AB16&amp;AP$5,AO$6&amp;$V16&amp;AP$6,"")</f>
        <v>USD_CURVE_DEP12M_1W</v>
      </c>
      <c r="AP16" s="385">
        <f>IF(RealTime,_xll.RtGet(RtChannel,$AO16,AP$12),"StaticData")</f>
        <v>1.001770249</v>
      </c>
      <c r="AQ16" s="386">
        <f>IF(RealTime,_xll.RtGet(RtChannel,$AO16,AQ$12),"StaticData")</f>
        <v>1.001770249</v>
      </c>
      <c r="AR16" s="385">
        <f>IF(RealTime,AP16,static_data())</f>
        <v>1.001770249</v>
      </c>
      <c r="AS16" s="385">
        <f>IF(RealTime,AQ16,static_data())</f>
        <v>1.001770249</v>
      </c>
      <c r="AT16" s="43">
        <f t="shared" si="6"/>
        <v>1.001770249</v>
      </c>
      <c r="AV16" s="158" t="str">
        <v>1W</v>
      </c>
      <c r="AW16" s="134" t="str">
        <f t="shared" ref="AW16:AW67" si="17">CHOOSE($Y16,AW$3&amp;$AE16&amp;AX$3,AW$4&amp;$AE16&amp;AX$4,AW$5&amp;$AB16&amp;AX$5,AW$6&amp;$AE16&amp;AX$6,"")</f>
        <v>USD_CURVE_DEP1M_1W</v>
      </c>
      <c r="AX16" s="385">
        <f>IF(RealTime,_xll.RtGet(RtChannel,$AW16,AX$12),"StaticData")</f>
        <v>0.52580000000000005</v>
      </c>
      <c r="AY16" s="386">
        <f>IF(RealTime,_xll.RtGet(RtChannel,$AW16,AY$12),"StaticData")</f>
        <v>0.52580000000000005</v>
      </c>
      <c r="AZ16" s="385">
        <f>IF(RealTime,AX16,static_data())</f>
        <v>0.52580000000000005</v>
      </c>
      <c r="BA16" s="385">
        <f>IF(RealTime,AY16,static_data())</f>
        <v>0.52580000000000005</v>
      </c>
      <c r="BB16" s="43">
        <f t="shared" si="7"/>
        <v>0.52580000000000005</v>
      </c>
      <c r="BD16" s="158" t="str">
        <v>1W</v>
      </c>
      <c r="BE16" s="134" t="str">
        <f t="shared" ref="BE16:BE47" si="18">CHOOSE($Y16,BE$3&amp;$AE16&amp;BF$3,BE$4&amp;$AE16&amp;BF$4,BE$5&amp;$AB16&amp;BF$5,BE$6&amp;$AE16&amp;BF$6,"")</f>
        <v>USD_CURVE_DEP3M_1W</v>
      </c>
      <c r="BF16" s="385">
        <f>IF(RealTime,_xll.RtGet(RtChannel,$BE16,BF$12),"StaticData")</f>
        <v>0.75096189700000004</v>
      </c>
      <c r="BG16" s="386">
        <f>IF(RealTime,_xll.RtGet(RtChannel,$BE16,BG$12),"StaticData")</f>
        <v>0.75096189700000004</v>
      </c>
      <c r="BH16" s="385">
        <f>IF(RealTime,BF16,static_data())</f>
        <v>0.75096189700000004</v>
      </c>
      <c r="BI16" s="385">
        <f>IF(RealTime,BG16,static_data())</f>
        <v>0.75096189700000004</v>
      </c>
      <c r="BJ16" s="43">
        <f t="shared" si="8"/>
        <v>0.75096189700000004</v>
      </c>
      <c r="BL16" s="382"/>
      <c r="BM16" s="158" t="str">
        <v>1W</v>
      </c>
      <c r="BN16" s="134" t="str">
        <f t="shared" ref="BN16:BN47" si="19">CHOOSE($Y16,BN$3&amp;$AE16&amp;BO$3,BN$4&amp;$AE16&amp;BO$4,BN$5&amp;$AB16&amp;BO$5,BN$6&amp;$AE16&amp;BO$6,"")</f>
        <v>USD_CURVE_DEP6M_1W</v>
      </c>
      <c r="BO16" s="385">
        <f>IF(RealTime,_xll.RtGet(RtChannel,$BN16,BO$12),"StaticData")</f>
        <v>1.0324999380000002</v>
      </c>
      <c r="BP16" s="386">
        <f>IF(RealTime,_xll.RtGet(RtChannel,$BN16,BP$12),"StaticData")</f>
        <v>1.0324999380000002</v>
      </c>
      <c r="BQ16" s="385">
        <f>IF(RealTime,BO16,static_data())</f>
        <v>1.0324999380000002</v>
      </c>
      <c r="BR16" s="385">
        <f>IF(RealTime,BP16,static_data())</f>
        <v>1.0324999380000002</v>
      </c>
      <c r="BS16" s="43">
        <f t="shared" si="9"/>
        <v>1.0324999380000002</v>
      </c>
      <c r="BV16" s="136" t="s">
        <v>5</v>
      </c>
      <c r="BW16" s="137" t="str">
        <f t="shared" si="11"/>
        <v>1W</v>
      </c>
      <c r="BX16" s="134" t="str">
        <f>"USD_CURVE_OIS_"&amp;BV16</f>
        <v>USD_CURVE_OIS_1W</v>
      </c>
      <c r="BY16" s="70">
        <f>IF(RealTime,_xll.RtGet(RtChannel,$BX16,BY$12),"StaticData")</f>
        <v>0.43057680800000003</v>
      </c>
      <c r="BZ16" s="70">
        <f>IF(RealTime,_xll.RtGet(RtChannel,$BX16,BZ$12),"StaticData")</f>
        <v>0.43057680800000003</v>
      </c>
      <c r="CA16" s="79">
        <f>IF(RealTime,BY16,static_data())</f>
        <v>0.43057680800000003</v>
      </c>
      <c r="CB16" s="71">
        <f>IF(RealTime,BZ16,static_data())</f>
        <v>0.43057680800000003</v>
      </c>
      <c r="CC16" s="43">
        <f t="shared" ref="CC16:CC41" si="20">+AVERAGE(CA16:CB16)</f>
        <v>0.43057680800000003</v>
      </c>
    </row>
    <row r="17" spans="1:81" ht="13.5" thickBot="1">
      <c r="A17" s="331">
        <v>3</v>
      </c>
      <c r="B17" s="102" t="s">
        <v>5102</v>
      </c>
      <c r="C17" s="128">
        <v>99</v>
      </c>
      <c r="D17" s="128">
        <v>99.01</v>
      </c>
      <c r="E17" s="132">
        <f t="shared" si="14"/>
        <v>99.004999999999995</v>
      </c>
      <c r="F17" s="222">
        <f>IF(RealTime,_xll.RtGet("IDN",B17,"EXPIR_DATE")+2,static_data()+0)</f>
        <v>42781</v>
      </c>
      <c r="G17" s="146" t="str">
        <f t="shared" si="12"/>
        <v>G7</v>
      </c>
      <c r="H17" s="125" t="str">
        <f t="shared" si="15"/>
        <v>FEB 17</v>
      </c>
      <c r="I17" s="336" t="str">
        <f t="shared" si="13"/>
        <v>CME EURO USD 3M;FEB 17</v>
      </c>
      <c r="J17" s="206" t="e">
        <f>'usd disaggregated'!K96</f>
        <v>#N/A</v>
      </c>
      <c r="L17" s="264" t="str">
        <f t="array" ref="L17:L22">RemoverFilter(IF(MID(INDEX(IRD,,$M$15),4,1)=" ",INDEX(IRD,,$M$15),""),"","")</f>
        <v>JUN 17</v>
      </c>
      <c r="M17" s="368">
        <f>IF(LEN(L17)&gt;0,ithMonthsWeekday(DATE("20" &amp; RIGHT(L17,2),EngMonthNum(LEFT(L17,3)),1),3,3),"")</f>
        <v>42907</v>
      </c>
      <c r="N17" s="206" t="str">
        <f t="shared" ref="N17:N22" si="21">FutCode(M17)</f>
        <v>M7</v>
      </c>
      <c r="O17" s="141">
        <v>0</v>
      </c>
      <c r="Q17" s="155" t="s">
        <v>6</v>
      </c>
      <c r="R17" s="102" t="s">
        <v>504</v>
      </c>
      <c r="S17" s="130" t="str">
        <f t="shared" si="0"/>
        <v>2W</v>
      </c>
      <c r="T17" s="163">
        <f>IF(ISNUMBER(S17),S17,CHOOSE(MATCH(RIGHT(S17,1),{"D","W","M"},0),NextBusDay(today,LEFT(S17,LEN(S17)-1)),NextBusDay(ValueDate+7*LEFT(S17,LEN(S17)-1)),NextBusDay(EDATE(ValueDate,LEFT(S17,LEN(S17)-1)))))</f>
        <v>42710</v>
      </c>
      <c r="U17" s="288" t="b">
        <v>1</v>
      </c>
      <c r="V17" s="284" t="str">
        <v>2W</v>
      </c>
      <c r="W17" s="137" t="str">
        <v>D</v>
      </c>
      <c r="X17" s="130" t="str">
        <f t="shared" si="1"/>
        <v>D5</v>
      </c>
      <c r="Y17" s="173">
        <f t="shared" si="2"/>
        <v>1</v>
      </c>
      <c r="Z17" s="175" t="str">
        <f t="shared" ref="Z17:Z44" si="22">CHOOSE(Y17,V17,TEXT(DataSTUB,"dd/mm/yy"),UPPER(TEXT(V17,"MMM YY")),V17,"")</f>
        <v>2W</v>
      </c>
      <c r="AA17" s="163">
        <v>42710</v>
      </c>
      <c r="AB17" s="173" t="str">
        <f t="shared" si="4"/>
        <v>2W</v>
      </c>
      <c r="AC17" s="335"/>
      <c r="AD17" s="6"/>
      <c r="AE17" s="158" t="str">
        <v>2W</v>
      </c>
      <c r="AF17" s="134" t="str">
        <f t="shared" ref="AF17:AF48" si="23">CHOOSE($Y17,AF$3&amp;$V17&amp;AG$3,"USDXSTUBD=",AF$5&amp;$AB17&amp;AG$5,AF$6&amp;$V17&amp;AG$6,"")</f>
        <v>USDX2WD=</v>
      </c>
      <c r="AG17" s="385">
        <f>IF(RealTime,_xll.RtGet(IF(Y17=3,"IDN",RtChannel),$AF17,AG$12),"StaticData")</f>
        <v>0.48543391300000005</v>
      </c>
      <c r="AH17" s="386">
        <f>IF(RealTime,_xll.RtGet(IF($Y17=3,"IDN",RtChannel),$AF17,AH$12),"StaticData")</f>
        <v>0.495433913</v>
      </c>
      <c r="AI17" s="385">
        <f>IF(RealTime,AG17,static_data())</f>
        <v>0.48543391300000005</v>
      </c>
      <c r="AJ17" s="385">
        <f>IF(RealTime,AH17,static_data())</f>
        <v>0.495433913</v>
      </c>
      <c r="AK17" s="43">
        <f t="shared" si="5"/>
        <v>0.49043391300000005</v>
      </c>
      <c r="AN17" s="158" t="str">
        <v>2W</v>
      </c>
      <c r="AO17" s="134" t="str">
        <f t="shared" si="16"/>
        <v>USD_CURVE_DEP12M_2W</v>
      </c>
      <c r="AP17" s="385">
        <f>IF(RealTime,_xll.RtGet(RtChannel,$AO17,AP$12),"StaticData")</f>
        <v>1.0099497850000001</v>
      </c>
      <c r="AQ17" s="386">
        <f>IF(RealTime,_xll.RtGet(RtChannel,$AO17,AQ$12),"StaticData")</f>
        <v>1.0099497850000001</v>
      </c>
      <c r="AR17" s="385">
        <f>IF(RealTime,AP17,static_data())</f>
        <v>1.0099497850000001</v>
      </c>
      <c r="AS17" s="385">
        <f>IF(RealTime,AQ17,static_data())</f>
        <v>1.0099497850000001</v>
      </c>
      <c r="AT17" s="43">
        <f t="shared" si="6"/>
        <v>1.0099497850000001</v>
      </c>
      <c r="AV17" s="158" t="str">
        <v>2W</v>
      </c>
      <c r="AW17" s="134" t="str">
        <f t="shared" si="17"/>
        <v>USD_CURVE_DEP1M_2W</v>
      </c>
      <c r="AX17" s="385">
        <f>IF(RealTime,_xll.RtGet(RtChannel,$AW17,AX$12),"StaticData")</f>
        <v>0.53407363100000005</v>
      </c>
      <c r="AY17" s="386">
        <f>IF(RealTime,_xll.RtGet(RtChannel,$AW17,AY$12),"StaticData")</f>
        <v>0.53407363100000005</v>
      </c>
      <c r="AZ17" s="385">
        <f>IF(RealTime,AX17,static_data())</f>
        <v>0.53407363100000005</v>
      </c>
      <c r="BA17" s="385">
        <f>IF(RealTime,AY17,static_data())</f>
        <v>0.53407363100000005</v>
      </c>
      <c r="BB17" s="43">
        <f t="shared" si="7"/>
        <v>0.53407363100000005</v>
      </c>
      <c r="BD17" s="158" t="str">
        <v>2W</v>
      </c>
      <c r="BE17" s="134" t="str">
        <f t="shared" si="18"/>
        <v>USD_CURVE_DEP3M_2W</v>
      </c>
      <c r="BF17" s="385">
        <f>IF(RealTime,_xll.RtGet(RtChannel,$BE17,BF$12),"StaticData")</f>
        <v>0.75795110300000001</v>
      </c>
      <c r="BG17" s="386">
        <f>IF(RealTime,_xll.RtGet(RtChannel,$BE17,BG$12),"StaticData")</f>
        <v>0.75795110300000001</v>
      </c>
      <c r="BH17" s="385">
        <f>IF(RealTime,BF17,static_data())</f>
        <v>0.75795110300000001</v>
      </c>
      <c r="BI17" s="385">
        <f>IF(RealTime,BG17,static_data())</f>
        <v>0.75795110300000001</v>
      </c>
      <c r="BJ17" s="43">
        <f t="shared" si="8"/>
        <v>0.75795110300000001</v>
      </c>
      <c r="BL17" s="382"/>
      <c r="BM17" s="158" t="str">
        <v>2W</v>
      </c>
      <c r="BN17" s="134" t="str">
        <f t="shared" si="19"/>
        <v>USD_CURVE_DEP6M_2W</v>
      </c>
      <c r="BO17" s="385">
        <f>IF(RealTime,_xll.RtGet(RtChannel,$BN17,BO$12),"StaticData")</f>
        <v>1.0404006220000002</v>
      </c>
      <c r="BP17" s="386">
        <f>IF(RealTime,_xll.RtGet(RtChannel,$BN17,BP$12),"StaticData")</f>
        <v>1.0404006220000002</v>
      </c>
      <c r="BQ17" s="385">
        <f>IF(RealTime,BO17,static_data())</f>
        <v>1.0404006220000002</v>
      </c>
      <c r="BR17" s="385">
        <f>IF(RealTime,BP17,static_data())</f>
        <v>1.0404006220000002</v>
      </c>
      <c r="BS17" s="43">
        <f t="shared" si="9"/>
        <v>1.0404006220000002</v>
      </c>
      <c r="BV17" s="136" t="s">
        <v>6</v>
      </c>
      <c r="BW17" s="137" t="str">
        <f t="shared" si="11"/>
        <v>2W</v>
      </c>
      <c r="BX17" s="134" t="str">
        <f t="shared" ref="BX17:BX50" si="24">"USD_CURVE_OIS_"&amp;BV17</f>
        <v>USD_CURVE_OIS_2W</v>
      </c>
      <c r="BY17" s="70">
        <f>IF(RealTime,_xll.RtGet(RtChannel,$BX17,BY$12),"StaticData")</f>
        <v>0.43418442800000001</v>
      </c>
      <c r="BZ17" s="70">
        <f>IF(RealTime,_xll.RtGet(RtChannel,$BX17,BZ$12),"StaticData")</f>
        <v>0.43418442800000001</v>
      </c>
      <c r="CA17" s="79">
        <f>IF(RealTime,BY17,static_data())</f>
        <v>0.43418442800000001</v>
      </c>
      <c r="CB17" s="71">
        <f>IF(RealTime,BZ17,static_data())</f>
        <v>0.43418442800000001</v>
      </c>
      <c r="CC17" s="43">
        <f t="shared" si="20"/>
        <v>0.43418442800000001</v>
      </c>
    </row>
    <row r="18" spans="1:81">
      <c r="A18" s="331">
        <v>4</v>
      </c>
      <c r="B18" s="102" t="s">
        <v>1020</v>
      </c>
      <c r="C18" s="128">
        <v>98.98</v>
      </c>
      <c r="D18" s="128">
        <v>98.984999999999999</v>
      </c>
      <c r="E18" s="132">
        <f t="shared" si="14"/>
        <v>98.982500000000002</v>
      </c>
      <c r="F18" s="222">
        <f>IF(RealTime,_xll.RtGet("IDN",B18,"EXPIR_DATE")+2,static_data()+0)</f>
        <v>42809</v>
      </c>
      <c r="G18" s="146" t="str">
        <f t="shared" si="12"/>
        <v>H7</v>
      </c>
      <c r="H18" s="125" t="str">
        <f t="shared" si="15"/>
        <v>MAR 17</v>
      </c>
      <c r="I18" s="336" t="str">
        <f t="shared" si="13"/>
        <v>CME EURO USD 3M;MAR 17</v>
      </c>
      <c r="J18" s="206">
        <f>'usd disaggregated'!K97</f>
        <v>98.984999999999999</v>
      </c>
      <c r="L18" s="265" t="str">
        <v>SEP 17</v>
      </c>
      <c r="M18" s="158">
        <f>IF(LEN(L18)&gt;0,ithMonthsWeekday(DATE("20" &amp; RIGHT(L18,2),EngMonthNum(LEFT(L18,3)),1),3,3),"")</f>
        <v>42998</v>
      </c>
      <c r="N18" s="206" t="str">
        <f t="shared" si="21"/>
        <v>U7</v>
      </c>
      <c r="O18" s="141">
        <v>0</v>
      </c>
      <c r="Q18" s="155" t="s">
        <v>24</v>
      </c>
      <c r="R18" s="102" t="s">
        <v>504</v>
      </c>
      <c r="S18" s="130" t="str">
        <f t="shared" si="0"/>
        <v>3W</v>
      </c>
      <c r="T18" s="163">
        <f>IF(ISNUMBER(S18),S18,CHOOSE(MATCH(RIGHT(S18,1),{"D","W","M"},0),NextBusDay(today,LEFT(S18,LEN(S18)-1)),NextBusDay(ValueDate+7*LEFT(S18,LEN(S18)-1)),NextBusDay(EDATE(ValueDate,LEFT(S18,LEN(S18)-1)))))</f>
        <v>42717</v>
      </c>
      <c r="U18" s="288" t="b">
        <v>1</v>
      </c>
      <c r="V18" s="284" t="str">
        <v>3W</v>
      </c>
      <c r="W18" s="137" t="str">
        <v>D</v>
      </c>
      <c r="X18" s="130" t="str">
        <f t="shared" si="1"/>
        <v>D6</v>
      </c>
      <c r="Y18" s="173">
        <f t="shared" si="2"/>
        <v>1</v>
      </c>
      <c r="Z18" s="175" t="str">
        <f t="shared" si="22"/>
        <v>3W</v>
      </c>
      <c r="AA18" s="163">
        <v>42717</v>
      </c>
      <c r="AB18" s="173" t="str">
        <f t="shared" si="4"/>
        <v>3W</v>
      </c>
      <c r="AC18" s="335"/>
      <c r="AD18" s="6"/>
      <c r="AE18" s="158" t="str">
        <v>3W</v>
      </c>
      <c r="AF18" s="134" t="str">
        <f t="shared" si="23"/>
        <v>USDX3WD=</v>
      </c>
      <c r="AG18" s="385">
        <f>IF(RealTime,_xll.RtGet(IF(Y18=3,"IDN",RtChannel),$AF18,AG$12),"StaticData")</f>
        <v>0.51664782600000003</v>
      </c>
      <c r="AH18" s="386">
        <f>IF(RealTime,_xll.RtGet(IF($Y18=3,"IDN",RtChannel),$AF18,AH$12),"StaticData")</f>
        <v>0.52664782600000004</v>
      </c>
      <c r="AI18" s="385">
        <f>IF(RealTime,AG18,static_data())</f>
        <v>0.51664782600000003</v>
      </c>
      <c r="AJ18" s="385">
        <f>IF(RealTime,AH18,static_data())</f>
        <v>0.52664782600000004</v>
      </c>
      <c r="AK18" s="43">
        <f t="shared" si="5"/>
        <v>0.52164782600000004</v>
      </c>
      <c r="AN18" s="158" t="str">
        <v>3W</v>
      </c>
      <c r="AO18" s="134" t="str">
        <f t="shared" si="16"/>
        <v>USD_CURVE_DEP12M_3W</v>
      </c>
      <c r="AP18" s="385">
        <f>IF(RealTime,_xll.RtGet(RtChannel,$AO18,AP$12),"StaticData")</f>
        <v>1.023521613</v>
      </c>
      <c r="AQ18" s="386">
        <f>IF(RealTime,_xll.RtGet(RtChannel,$AO18,AQ$12),"StaticData")</f>
        <v>1.023521613</v>
      </c>
      <c r="AR18" s="385">
        <f>IF(RealTime,AP18,static_data())</f>
        <v>1.023521613</v>
      </c>
      <c r="AS18" s="385">
        <f>IF(RealTime,AQ18,static_data())</f>
        <v>1.023521613</v>
      </c>
      <c r="AT18" s="43">
        <f t="shared" si="6"/>
        <v>1.023521613</v>
      </c>
      <c r="AV18" s="158" t="str">
        <v>3W</v>
      </c>
      <c r="AW18" s="134" t="str">
        <f t="shared" si="17"/>
        <v>USD_CURVE_DEP1M_3W</v>
      </c>
      <c r="AX18" s="385">
        <f>IF(RealTime,_xll.RtGet(RtChannel,$AW18,AX$12),"StaticData")</f>
        <v>0.54491440700000005</v>
      </c>
      <c r="AY18" s="386">
        <f>IF(RealTime,_xll.RtGet(RtChannel,$AW18,AY$12),"StaticData")</f>
        <v>0.54491440700000005</v>
      </c>
      <c r="AZ18" s="385">
        <f>IF(RealTime,AX18,static_data())</f>
        <v>0.54491440700000005</v>
      </c>
      <c r="BA18" s="385">
        <f>IF(RealTime,AY18,static_data())</f>
        <v>0.54491440700000005</v>
      </c>
      <c r="BB18" s="43">
        <f t="shared" si="7"/>
        <v>0.54491440700000005</v>
      </c>
      <c r="BD18" s="158" t="str">
        <v>3W</v>
      </c>
      <c r="BE18" s="134" t="str">
        <f t="shared" si="18"/>
        <v>USD_CURVE_DEP3M_3W</v>
      </c>
      <c r="BF18" s="385">
        <f>IF(RealTime,_xll.RtGet(RtChannel,$BE18,BF$12),"StaticData")</f>
        <v>0.76956600800000008</v>
      </c>
      <c r="BG18" s="386">
        <f>IF(RealTime,_xll.RtGet(RtChannel,$BE18,BG$12),"StaticData")</f>
        <v>0.76956600800000008</v>
      </c>
      <c r="BH18" s="385">
        <f>IF(RealTime,BF18,static_data())</f>
        <v>0.76956600800000008</v>
      </c>
      <c r="BI18" s="385">
        <f>IF(RealTime,BG18,static_data())</f>
        <v>0.76956600800000008</v>
      </c>
      <c r="BJ18" s="43">
        <f t="shared" si="8"/>
        <v>0.76956600800000008</v>
      </c>
      <c r="BL18" s="382"/>
      <c r="BM18" s="158" t="str">
        <v>3W</v>
      </c>
      <c r="BN18" s="134" t="str">
        <f t="shared" si="19"/>
        <v>USD_CURVE_DEP6M_3W</v>
      </c>
      <c r="BO18" s="385">
        <f>IF(RealTime,_xll.RtGet(RtChannel,$BN18,BO$12),"StaticData")</f>
        <v>1.053503616</v>
      </c>
      <c r="BP18" s="386">
        <f>IF(RealTime,_xll.RtGet(RtChannel,$BN18,BP$12),"StaticData")</f>
        <v>1.053503616</v>
      </c>
      <c r="BQ18" s="385">
        <f>IF(RealTime,BO18,static_data())</f>
        <v>1.053503616</v>
      </c>
      <c r="BR18" s="385">
        <f>IF(RealTime,BP18,static_data())</f>
        <v>1.053503616</v>
      </c>
      <c r="BS18" s="43">
        <f t="shared" si="9"/>
        <v>1.053503616</v>
      </c>
      <c r="BV18" s="136" t="s">
        <v>24</v>
      </c>
      <c r="BW18" s="137" t="str">
        <f t="shared" si="11"/>
        <v>3W</v>
      </c>
      <c r="BX18" s="134" t="str">
        <f t="shared" si="24"/>
        <v>USD_CURVE_OIS_3W</v>
      </c>
      <c r="BY18" s="70">
        <f>IF(RealTime,_xll.RtGet(RtChannel,$BX18,BY$12),"StaticData")</f>
        <v>0.442736615</v>
      </c>
      <c r="BZ18" s="70">
        <f>IF(RealTime,_xll.RtGet(RtChannel,$BX18,BZ$12),"StaticData")</f>
        <v>0.442736615</v>
      </c>
      <c r="CA18" s="79">
        <f>IF(RealTime,BY18,static_data())</f>
        <v>0.442736615</v>
      </c>
      <c r="CB18" s="71">
        <f>IF(RealTime,BZ18,static_data())</f>
        <v>0.442736615</v>
      </c>
      <c r="CC18" s="43">
        <f t="shared" si="20"/>
        <v>0.442736615</v>
      </c>
    </row>
    <row r="19" spans="1:81">
      <c r="A19" s="331">
        <v>5</v>
      </c>
      <c r="B19" s="102" t="s">
        <v>5148</v>
      </c>
      <c r="C19" s="128">
        <v>98.9</v>
      </c>
      <c r="D19" s="128">
        <v>0</v>
      </c>
      <c r="E19" s="132" t="e">
        <f t="shared" si="14"/>
        <v>#N/A</v>
      </c>
      <c r="F19" s="222">
        <f>IF(RealTime,_xll.RtGet("IDN",B19,"EXPIR_DATE")+2,static_data()+0)</f>
        <v>42840</v>
      </c>
      <c r="G19" s="146" t="str">
        <f t="shared" si="12"/>
        <v>J7</v>
      </c>
      <c r="H19" s="125" t="str">
        <f t="shared" si="15"/>
        <v>APR 17</v>
      </c>
      <c r="I19" s="336" t="str">
        <f t="shared" si="13"/>
        <v>CME EURO USD 3M;APR 17</v>
      </c>
      <c r="J19" s="206" t="e">
        <f>'usd disaggregated'!K98</f>
        <v>#N/A</v>
      </c>
      <c r="L19" s="265" t="str">
        <v>DEC 17</v>
      </c>
      <c r="M19" s="158">
        <f>IF(LEN(L19)&gt;0,ithMonthsWeekday(DATE("20" &amp; RIGHT(L19,2),EngMonthNum(LEFT(L19,3)),1),3,3),"")</f>
        <v>43089</v>
      </c>
      <c r="N19" s="206" t="str">
        <f t="shared" si="21"/>
        <v>Z7</v>
      </c>
      <c r="O19" s="141">
        <v>0</v>
      </c>
      <c r="Q19" s="155" t="s">
        <v>7</v>
      </c>
      <c r="R19" s="102" t="s">
        <v>504</v>
      </c>
      <c r="S19" s="130" t="str">
        <f t="shared" si="0"/>
        <v>1M</v>
      </c>
      <c r="T19" s="163">
        <f>IF(ISNUMBER(S19),S19,CHOOSE(MATCH(RIGHT(S19,1),{"D","W","M"},0),NextBusDay(today,LEFT(S19,LEN(S19)-1)),NextBusDay(ValueDate+7*LEFT(S19,LEN(S19)-1)),NextBusDay(EDATE(ValueDate,LEFT(S19,LEN(S19)-1)))))</f>
        <v>42726</v>
      </c>
      <c r="U19" s="288" t="b">
        <v>1</v>
      </c>
      <c r="V19" s="284" t="str">
        <v>1M</v>
      </c>
      <c r="W19" s="137" t="str">
        <v>D</v>
      </c>
      <c r="X19" s="130" t="str">
        <f t="shared" si="1"/>
        <v>D7</v>
      </c>
      <c r="Y19" s="173">
        <f t="shared" si="2"/>
        <v>1</v>
      </c>
      <c r="Z19" s="175" t="str">
        <f t="shared" si="22"/>
        <v>1M</v>
      </c>
      <c r="AA19" s="163">
        <v>42726</v>
      </c>
      <c r="AB19" s="173" t="str">
        <f t="shared" si="4"/>
        <v>1M</v>
      </c>
      <c r="AC19" s="335"/>
      <c r="AD19" s="6"/>
      <c r="AE19" s="158" t="str">
        <v>1M</v>
      </c>
      <c r="AF19" s="134" t="str">
        <f t="shared" si="23"/>
        <v>USDX1MD=</v>
      </c>
      <c r="AG19" s="385">
        <f>IF(RealTime,_xll.RtGet(IF(Y19=3,"IDN",RtChannel),$AF19,AG$12),"StaticData")</f>
        <v>0.55678000000000005</v>
      </c>
      <c r="AH19" s="386">
        <f>IF(RealTime,_xll.RtGet(IF($Y19=3,"IDN",RtChannel),$AF19,AH$12),"StaticData")</f>
        <v>0.56678000000000006</v>
      </c>
      <c r="AI19" s="385">
        <f>IF(RealTime,AG19,static_data())</f>
        <v>0.55678000000000005</v>
      </c>
      <c r="AJ19" s="385">
        <f>IF(RealTime,AH19,static_data())</f>
        <v>0.56678000000000006</v>
      </c>
      <c r="AK19" s="43">
        <f t="shared" si="5"/>
        <v>0.56178000000000006</v>
      </c>
      <c r="AN19" s="158" t="str">
        <v>1M</v>
      </c>
      <c r="AO19" s="134" t="str">
        <f t="shared" si="16"/>
        <v>USD_CURVE_DEP12M_1M</v>
      </c>
      <c r="AP19" s="385">
        <f>IF(RealTime,_xll.RtGet(RtChannel,$AO19,AP$12),"StaticData")</f>
        <v>1.0488999999999999</v>
      </c>
      <c r="AQ19" s="386">
        <f>IF(RealTime,_xll.RtGet(RtChannel,$AO19,AQ$12),"StaticData")</f>
        <v>1.0488999999999999</v>
      </c>
      <c r="AR19" s="385">
        <f>IF(RealTime,AP19,static_data())</f>
        <v>1.0488999999999999</v>
      </c>
      <c r="AS19" s="385">
        <f>IF(RealTime,AQ19,static_data())</f>
        <v>1.0488999999999999</v>
      </c>
      <c r="AT19" s="43">
        <f t="shared" si="6"/>
        <v>1.0488999999999999</v>
      </c>
      <c r="AV19" s="158" t="str">
        <v>1M</v>
      </c>
      <c r="AW19" s="134" t="str">
        <f t="shared" si="17"/>
        <v>USD_CURVE_DEP1M_1M</v>
      </c>
      <c r="AX19" s="385">
        <f>IF(RealTime,_xll.RtGet(RtChannel,$AW19,AX$12),"StaticData")</f>
        <v>0.56180000000000008</v>
      </c>
      <c r="AY19" s="386">
        <f>IF(RealTime,_xll.RtGet(RtChannel,$AW19,AY$12),"StaticData")</f>
        <v>0.56180000000000008</v>
      </c>
      <c r="AZ19" s="385">
        <f>IF(RealTime,AX19,static_data())</f>
        <v>0.56180000000000008</v>
      </c>
      <c r="BA19" s="385">
        <f>IF(RealTime,AY19,static_data())</f>
        <v>0.56180000000000008</v>
      </c>
      <c r="BB19" s="43">
        <f t="shared" si="7"/>
        <v>0.56180000000000008</v>
      </c>
      <c r="BD19" s="158" t="str">
        <v>1M</v>
      </c>
      <c r="BE19" s="134" t="str">
        <f t="shared" si="18"/>
        <v>USD_CURVE_DEP3M_1M</v>
      </c>
      <c r="BF19" s="385">
        <f>IF(RealTime,_xll.RtGet(RtChannel,$BE19,BF$12),"StaticData")</f>
        <v>0.7913</v>
      </c>
      <c r="BG19" s="386">
        <f>IF(RealTime,_xll.RtGet(RtChannel,$BE19,BG$12),"StaticData")</f>
        <v>0.7913</v>
      </c>
      <c r="BH19" s="385">
        <f>IF(RealTime,BF19,static_data())</f>
        <v>0.7913</v>
      </c>
      <c r="BI19" s="385">
        <f>IF(RealTime,BG19,static_data())</f>
        <v>0.7913</v>
      </c>
      <c r="BJ19" s="43">
        <f t="shared" si="8"/>
        <v>0.7913</v>
      </c>
      <c r="BL19" s="382"/>
      <c r="BM19" s="158" t="str">
        <v>1M</v>
      </c>
      <c r="BN19" s="134" t="str">
        <f t="shared" si="19"/>
        <v>USD_CURVE_DEP6M_1M</v>
      </c>
      <c r="BO19" s="385">
        <f>IF(RealTime,_xll.RtGet(RtChannel,$BN19,BO$12),"StaticData")</f>
        <v>1.0780000000000001</v>
      </c>
      <c r="BP19" s="386">
        <f>IF(RealTime,_xll.RtGet(RtChannel,$BN19,BP$12),"StaticData")</f>
        <v>1.0780000000000001</v>
      </c>
      <c r="BQ19" s="385">
        <f>IF(RealTime,BO19,static_data())</f>
        <v>1.0780000000000001</v>
      </c>
      <c r="BR19" s="385">
        <f>IF(RealTime,BP19,static_data())</f>
        <v>1.0780000000000001</v>
      </c>
      <c r="BS19" s="43">
        <f t="shared" si="9"/>
        <v>1.0780000000000001</v>
      </c>
      <c r="BV19" s="136" t="s">
        <v>7</v>
      </c>
      <c r="BW19" s="137" t="str">
        <f t="shared" si="11"/>
        <v>1M</v>
      </c>
      <c r="BX19" s="134" t="str">
        <f t="shared" si="24"/>
        <v>USD_CURVE_OIS_1M</v>
      </c>
      <c r="BY19" s="70">
        <f>IF(RealTime,_xll.RtGet(RtChannel,$BX19,BY$12),"StaticData")</f>
        <v>0.46100000000000002</v>
      </c>
      <c r="BZ19" s="70">
        <f>IF(RealTime,_xll.RtGet(RtChannel,$BX19,BZ$12),"StaticData")</f>
        <v>0.46100000000000002</v>
      </c>
      <c r="CA19" s="79">
        <f>IF(RealTime,BY19,static_data())</f>
        <v>0.46100000000000002</v>
      </c>
      <c r="CB19" s="71">
        <f>IF(RealTime,BZ19,static_data())</f>
        <v>0.46100000000000002</v>
      </c>
      <c r="CC19" s="43">
        <f t="shared" si="20"/>
        <v>0.46100000000000002</v>
      </c>
    </row>
    <row r="20" spans="1:81">
      <c r="A20" s="331">
        <v>6</v>
      </c>
      <c r="B20" s="102" t="s">
        <v>5182</v>
      </c>
      <c r="C20" s="128">
        <v>98.86</v>
      </c>
      <c r="D20" s="128">
        <v>0</v>
      </c>
      <c r="E20" s="132" t="e">
        <f t="shared" si="14"/>
        <v>#N/A</v>
      </c>
      <c r="F20" s="222">
        <f>IF(RealTime,_xll.RtGet("IDN",B20,"EXPIR_DATE")+2,static_data()+0)</f>
        <v>42872</v>
      </c>
      <c r="G20" s="146" t="str">
        <f t="shared" si="12"/>
        <v>K7</v>
      </c>
      <c r="H20" s="125" t="str">
        <f t="shared" si="15"/>
        <v>MAY 17</v>
      </c>
      <c r="I20" s="336" t="str">
        <f t="shared" si="13"/>
        <v>CME EURO USD 3M;MAY 17</v>
      </c>
      <c r="J20" s="206" t="e">
        <f>'usd disaggregated'!K99</f>
        <v>#N/A</v>
      </c>
      <c r="L20" s="265" t="str">
        <v>MAR 18</v>
      </c>
      <c r="M20" s="158">
        <f>IF(LEN(L20)&gt;0,ithMonthsWeekday(DATE("20" &amp; RIGHT(L20,2),EngMonthNum(LEFT(L20,3)),1),3,3),"")</f>
        <v>43180</v>
      </c>
      <c r="N20" s="206" t="str">
        <f t="shared" si="21"/>
        <v>H8</v>
      </c>
      <c r="O20" s="141">
        <v>0</v>
      </c>
      <c r="Q20" s="155" t="s">
        <v>8</v>
      </c>
      <c r="R20" s="102" t="s">
        <v>504</v>
      </c>
      <c r="S20" s="130" t="str">
        <f t="shared" si="0"/>
        <v>2M</v>
      </c>
      <c r="T20" s="163">
        <f>IF(ISNUMBER(S20),S20,CHOOSE(MATCH(RIGHT(S20,1),{"D","W","M"},0),NextBusDay(today,LEFT(S20,LEN(S20)-1)),NextBusDay(ValueDate+7*LEFT(S20,LEN(S20)-1)),NextBusDay(EDATE(ValueDate,LEFT(S20,LEN(S20)-1)))))</f>
        <v>42758</v>
      </c>
      <c r="U20" s="288" t="b">
        <v>1</v>
      </c>
      <c r="V20" s="284" t="str">
        <v>2M</v>
      </c>
      <c r="W20" s="137" t="str">
        <v>D</v>
      </c>
      <c r="X20" s="130" t="str">
        <f t="shared" si="1"/>
        <v>D8</v>
      </c>
      <c r="Y20" s="173">
        <f t="shared" si="2"/>
        <v>1</v>
      </c>
      <c r="Z20" s="175" t="str">
        <f t="shared" si="22"/>
        <v>2M</v>
      </c>
      <c r="AA20" s="163">
        <v>42758</v>
      </c>
      <c r="AB20" s="173" t="str">
        <f t="shared" si="4"/>
        <v>2M</v>
      </c>
      <c r="AC20" s="335"/>
      <c r="AD20" s="6"/>
      <c r="AE20" s="158" t="str">
        <v>2M</v>
      </c>
      <c r="AF20" s="134" t="str">
        <f t="shared" si="23"/>
        <v>USDX2MD=</v>
      </c>
      <c r="AG20" s="385">
        <f>IF(RealTime,_xll.RtGet(IF(Y20=3,"IDN",RtChannel),$AF20,AG$12),"StaticData")</f>
        <v>0.69833000000000001</v>
      </c>
      <c r="AH20" s="386">
        <f>IF(RealTime,_xll.RtGet(IF($Y20=3,"IDN",RtChannel),$AF20,AH$12),"StaticData")</f>
        <v>0.70833000000000002</v>
      </c>
      <c r="AI20" s="385">
        <f>IF(RealTime,AG20,static_data())</f>
        <v>0.69833000000000001</v>
      </c>
      <c r="AJ20" s="385">
        <f>IF(RealTime,AH20,static_data())</f>
        <v>0.70833000000000002</v>
      </c>
      <c r="AK20" s="43">
        <f t="shared" si="5"/>
        <v>0.70333000000000001</v>
      </c>
      <c r="AN20" s="158" t="str">
        <v>2M</v>
      </c>
      <c r="AO20" s="134" t="str">
        <f t="shared" si="16"/>
        <v>USD_CURVE_DEP12M_2M</v>
      </c>
      <c r="AP20" s="385">
        <f>IF(RealTime,_xll.RtGet(RtChannel,$AO20,AP$12),"StaticData")</f>
        <v>1.1553</v>
      </c>
      <c r="AQ20" s="386">
        <f>IF(RealTime,_xll.RtGet(RtChannel,$AO20,AQ$12),"StaticData")</f>
        <v>1.1553</v>
      </c>
      <c r="AR20" s="385">
        <f>IF(RealTime,AP20,static_data())</f>
        <v>1.1553</v>
      </c>
      <c r="AS20" s="385">
        <f>IF(RealTime,AQ20,static_data())</f>
        <v>1.1553</v>
      </c>
      <c r="AT20" s="43">
        <f t="shared" si="6"/>
        <v>1.1553</v>
      </c>
      <c r="AV20" s="158" t="str">
        <v>2M</v>
      </c>
      <c r="AW20" s="134" t="str">
        <f t="shared" si="17"/>
        <v>USD_CURVE_DEP1M_2M</v>
      </c>
      <c r="AX20" s="385">
        <f>IF(RealTime,_xll.RtGet(RtChannel,$AW20,AX$12),"StaticData")</f>
        <v>0.62863645900000009</v>
      </c>
      <c r="AY20" s="386">
        <f>IF(RealTime,_xll.RtGet(RtChannel,$AW20,AY$12),"StaticData")</f>
        <v>0.62863645900000009</v>
      </c>
      <c r="AZ20" s="385">
        <f>IF(RealTime,AX20,static_data())</f>
        <v>0.62863645900000009</v>
      </c>
      <c r="BA20" s="385">
        <f>IF(RealTime,AY20,static_data())</f>
        <v>0.62863645900000009</v>
      </c>
      <c r="BB20" s="43">
        <f t="shared" si="7"/>
        <v>0.62863645900000009</v>
      </c>
      <c r="BD20" s="158" t="str">
        <v>2M</v>
      </c>
      <c r="BE20" s="134" t="str">
        <f t="shared" si="18"/>
        <v>USD_CURVE_DEP3M_2M</v>
      </c>
      <c r="BF20" s="385">
        <f>IF(RealTime,_xll.RtGet(RtChannel,$BE20,BF$12),"StaticData")</f>
        <v>0.87790000000000001</v>
      </c>
      <c r="BG20" s="386">
        <f>IF(RealTime,_xll.RtGet(RtChannel,$BE20,BG$12),"StaticData")</f>
        <v>0.87790000000000001</v>
      </c>
      <c r="BH20" s="385">
        <f>IF(RealTime,BF20,static_data())</f>
        <v>0.87790000000000001</v>
      </c>
      <c r="BI20" s="385">
        <f>IF(RealTime,BG20,static_data())</f>
        <v>0.87790000000000001</v>
      </c>
      <c r="BJ20" s="43">
        <f t="shared" si="8"/>
        <v>0.87790000000000001</v>
      </c>
      <c r="BL20" s="382"/>
      <c r="BM20" s="158" t="str">
        <v>2M</v>
      </c>
      <c r="BN20" s="134" t="str">
        <f t="shared" si="19"/>
        <v>USD_CURVE_DEP6M_2M</v>
      </c>
      <c r="BO20" s="385">
        <f>IF(RealTime,_xll.RtGet(RtChannel,$BN20,BO$12),"StaticData")</f>
        <v>1.1778</v>
      </c>
      <c r="BP20" s="386">
        <f>IF(RealTime,_xll.RtGet(RtChannel,$BN20,BP$12),"StaticData")</f>
        <v>1.1778</v>
      </c>
      <c r="BQ20" s="385">
        <f>IF(RealTime,BO20,static_data())</f>
        <v>1.1778</v>
      </c>
      <c r="BR20" s="385">
        <f>IF(RealTime,BP20,static_data())</f>
        <v>1.1778</v>
      </c>
      <c r="BS20" s="43">
        <f t="shared" si="9"/>
        <v>1.1778</v>
      </c>
      <c r="BV20" s="136" t="s">
        <v>8</v>
      </c>
      <c r="BW20" s="137" t="str">
        <f t="shared" si="11"/>
        <v>2M</v>
      </c>
      <c r="BX20" s="134" t="str">
        <f t="shared" si="24"/>
        <v>USD_CURVE_OIS_2M</v>
      </c>
      <c r="BY20" s="70">
        <f>IF(RealTime,_xll.RtGet(RtChannel,$BX20,BY$12),"StaticData")</f>
        <v>0.53900000000000003</v>
      </c>
      <c r="BZ20" s="70">
        <f>IF(RealTime,_xll.RtGet(RtChannel,$BX20,BZ$12),"StaticData")</f>
        <v>0.53900000000000003</v>
      </c>
      <c r="CA20" s="79">
        <f>IF(RealTime,BY20,static_data())</f>
        <v>0.53900000000000003</v>
      </c>
      <c r="CB20" s="71">
        <f>IF(RealTime,BZ20,static_data())</f>
        <v>0.53900000000000003</v>
      </c>
      <c r="CC20" s="43">
        <f t="shared" si="20"/>
        <v>0.53900000000000003</v>
      </c>
    </row>
    <row r="21" spans="1:81" ht="13.5" thickBot="1">
      <c r="A21" s="331">
        <v>7</v>
      </c>
      <c r="B21" s="102" t="s">
        <v>1021</v>
      </c>
      <c r="C21" s="128">
        <v>98.865000000000009</v>
      </c>
      <c r="D21" s="128">
        <v>98.87</v>
      </c>
      <c r="E21" s="132">
        <f t="shared" si="14"/>
        <v>98.867500000000007</v>
      </c>
      <c r="F21" s="222">
        <f>IF(RealTime,_xll.RtGet("IDN",B21,"EXPIR_DATE")+2,static_data()+0)</f>
        <v>42907</v>
      </c>
      <c r="G21" s="146" t="str">
        <f t="shared" si="12"/>
        <v>M7</v>
      </c>
      <c r="H21" s="125" t="str">
        <f t="shared" si="15"/>
        <v>JUN 17</v>
      </c>
      <c r="I21" s="336" t="str">
        <f t="shared" si="13"/>
        <v>CME EURO USD 3M;JUN 17</v>
      </c>
      <c r="J21" s="206">
        <f>'usd disaggregated'!K100</f>
        <v>98.88</v>
      </c>
      <c r="L21" s="265" t="str">
        <v>JUN 18</v>
      </c>
      <c r="M21" s="158">
        <f>IF(LEN(L21)&gt;0,ithMonthsWeekday(DATE("20" &amp; RIGHT(L21,2),EngMonthNum(LEFT(L21,3)),1),3,3),"")</f>
        <v>43271</v>
      </c>
      <c r="N21" s="206" t="str">
        <f t="shared" si="21"/>
        <v>M8</v>
      </c>
      <c r="O21" s="141">
        <v>0</v>
      </c>
      <c r="Q21" s="155" t="s">
        <v>25</v>
      </c>
      <c r="R21" s="102" t="s">
        <v>504</v>
      </c>
      <c r="S21" s="130" t="str">
        <f t="shared" si="0"/>
        <v>3M</v>
      </c>
      <c r="T21" s="163">
        <f>IF(ISNUMBER(S21),S21,CHOOSE(MATCH(RIGHT(S21,1),{"D","W","M"},0),NextBusDay(today,LEFT(S21,LEN(S21)-1)),NextBusDay(ValueDate+7*LEFT(S21,LEN(S21)-1)),NextBusDay(EDATE(ValueDate,LEFT(S21,LEN(S21)-1)))))</f>
        <v>42788</v>
      </c>
      <c r="U21" s="288" t="b">
        <v>1</v>
      </c>
      <c r="V21" s="284" t="str">
        <v>3M</v>
      </c>
      <c r="W21" s="137" t="str">
        <v>D</v>
      </c>
      <c r="X21" s="130" t="str">
        <f t="shared" si="1"/>
        <v>D9</v>
      </c>
      <c r="Y21" s="173">
        <f t="shared" si="2"/>
        <v>1</v>
      </c>
      <c r="Z21" s="175" t="str">
        <f t="shared" si="22"/>
        <v>3M</v>
      </c>
      <c r="AA21" s="163">
        <v>42788</v>
      </c>
      <c r="AB21" s="173" t="str">
        <f t="shared" si="4"/>
        <v>3M</v>
      </c>
      <c r="AC21" s="335"/>
      <c r="AD21" s="6"/>
      <c r="AE21" s="158" t="str">
        <v>3M</v>
      </c>
      <c r="AF21" s="134" t="str">
        <f t="shared" si="23"/>
        <v>USDX3MD=</v>
      </c>
      <c r="AG21" s="385">
        <f>IF(RealTime,_xll.RtGet(IF(Y21=3,"IDN",RtChannel),$AF21,AG$12),"StaticData")</f>
        <v>0.90622000000000003</v>
      </c>
      <c r="AH21" s="386">
        <f>IF(RealTime,_xll.RtGet(IF($Y21=3,"IDN",RtChannel),$AF21,AH$12),"StaticData")</f>
        <v>0.91622000000000003</v>
      </c>
      <c r="AI21" s="385">
        <f>IF(RealTime,AG21,static_data())</f>
        <v>0.90622000000000003</v>
      </c>
      <c r="AJ21" s="385">
        <f>IF(RealTime,AH21,static_data())</f>
        <v>0.91622000000000003</v>
      </c>
      <c r="AK21" s="43">
        <f t="shared" si="5"/>
        <v>0.91122000000000003</v>
      </c>
      <c r="AN21" s="158" t="str">
        <v>3M</v>
      </c>
      <c r="AO21" s="134" t="str">
        <f t="shared" si="16"/>
        <v>USD_CURVE_DEP12M_3M</v>
      </c>
      <c r="AP21" s="385">
        <f>IF(RealTime,_xll.RtGet(RtChannel,$AO21,AP$12),"StaticData")</f>
        <v>1.21</v>
      </c>
      <c r="AQ21" s="386">
        <f>IF(RealTime,_xll.RtGet(RtChannel,$AO21,AQ$12),"StaticData")</f>
        <v>1.21</v>
      </c>
      <c r="AR21" s="385">
        <f>IF(RealTime,AP21,static_data())</f>
        <v>1.21</v>
      </c>
      <c r="AS21" s="385">
        <f>IF(RealTime,AQ21,static_data())</f>
        <v>1.21</v>
      </c>
      <c r="AT21" s="43">
        <f t="shared" si="6"/>
        <v>1.21</v>
      </c>
      <c r="AV21" s="158" t="str">
        <v>3M</v>
      </c>
      <c r="AW21" s="134" t="str">
        <f t="shared" si="17"/>
        <v>USD_CURVE_DEP1M_3M</v>
      </c>
      <c r="AX21" s="385">
        <f>IF(RealTime,_xll.RtGet(RtChannel,$AW21,AX$12),"StaticData")</f>
        <v>0.67206114300000008</v>
      </c>
      <c r="AY21" s="386">
        <f>IF(RealTime,_xll.RtGet(RtChannel,$AW21,AY$12),"StaticData")</f>
        <v>0.67206114300000008</v>
      </c>
      <c r="AZ21" s="385">
        <f>IF(RealTime,AX21,static_data())</f>
        <v>0.67206114300000008</v>
      </c>
      <c r="BA21" s="385">
        <f>IF(RealTime,AY21,static_data())</f>
        <v>0.67206114300000008</v>
      </c>
      <c r="BB21" s="43">
        <f t="shared" si="7"/>
        <v>0.67206114300000008</v>
      </c>
      <c r="BD21" s="158" t="str">
        <v>3M</v>
      </c>
      <c r="BE21" s="134" t="str">
        <f t="shared" si="18"/>
        <v>USD_CURVE_DEP3M_3M</v>
      </c>
      <c r="BF21" s="385">
        <f>IF(RealTime,_xll.RtGet(RtChannel,$BE21,BF$12),"StaticData")</f>
        <v>0.91120000000000001</v>
      </c>
      <c r="BG21" s="386">
        <f>IF(RealTime,_xll.RtGet(RtChannel,$BE21,BG$12),"StaticData")</f>
        <v>0.91120000000000001</v>
      </c>
      <c r="BH21" s="385">
        <f>IF(RealTime,BF21,static_data())</f>
        <v>0.91120000000000001</v>
      </c>
      <c r="BI21" s="385">
        <f>IF(RealTime,BG21,static_data())</f>
        <v>0.91120000000000001</v>
      </c>
      <c r="BJ21" s="43">
        <f t="shared" si="8"/>
        <v>0.91120000000000001</v>
      </c>
      <c r="BL21" s="382"/>
      <c r="BM21" s="158" t="str">
        <v>3M</v>
      </c>
      <c r="BN21" s="134" t="str">
        <f t="shared" si="19"/>
        <v>USD_CURVE_DEP6M_3M</v>
      </c>
      <c r="BO21" s="385">
        <f>IF(RealTime,_xll.RtGet(RtChannel,$BN21,BO$12),"StaticData")</f>
        <v>1.2202</v>
      </c>
      <c r="BP21" s="386">
        <f>IF(RealTime,_xll.RtGet(RtChannel,$BN21,BP$12),"StaticData")</f>
        <v>1.2202</v>
      </c>
      <c r="BQ21" s="385">
        <f>IF(RealTime,BO21,static_data())</f>
        <v>1.2202</v>
      </c>
      <c r="BR21" s="385">
        <f>IF(RealTime,BP21,static_data())</f>
        <v>1.2202</v>
      </c>
      <c r="BS21" s="43">
        <f t="shared" si="9"/>
        <v>1.2202</v>
      </c>
      <c r="BV21" s="136" t="s">
        <v>25</v>
      </c>
      <c r="BW21" s="137" t="str">
        <f t="shared" si="11"/>
        <v>3M</v>
      </c>
      <c r="BX21" s="134" t="str">
        <f t="shared" si="24"/>
        <v>USD_CURVE_OIS_3M</v>
      </c>
      <c r="BY21" s="70">
        <f>IF(RealTime,_xll.RtGet(RtChannel,$BX21,BY$12),"StaticData")</f>
        <v>0.56700000000000006</v>
      </c>
      <c r="BZ21" s="70">
        <f>IF(RealTime,_xll.RtGet(RtChannel,$BX21,BZ$12),"StaticData")</f>
        <v>0.56700000000000006</v>
      </c>
      <c r="CA21" s="79">
        <f>IF(RealTime,BY21,static_data())</f>
        <v>0.56700000000000006</v>
      </c>
      <c r="CB21" s="71">
        <f>IF(RealTime,BZ21,static_data())</f>
        <v>0.56700000000000006</v>
      </c>
      <c r="CC21" s="43">
        <f t="shared" si="20"/>
        <v>0.56700000000000006</v>
      </c>
    </row>
    <row r="22" spans="1:81" ht="13.5" thickBot="1">
      <c r="A22" s="331">
        <v>8</v>
      </c>
      <c r="B22" s="102" t="s">
        <v>1022</v>
      </c>
      <c r="C22" s="128">
        <v>98.76</v>
      </c>
      <c r="D22" s="128">
        <v>98.765000000000001</v>
      </c>
      <c r="E22" s="132">
        <f t="shared" si="14"/>
        <v>98.762500000000003</v>
      </c>
      <c r="F22" s="222">
        <f>IF(RealTime,_xll.RtGet("IDN",B22,"EXPIR_DATE")+2,static_data()+0)</f>
        <v>42998</v>
      </c>
      <c r="G22" s="146" t="str">
        <f t="shared" si="12"/>
        <v>U7</v>
      </c>
      <c r="H22" s="125" t="str">
        <f t="shared" si="15"/>
        <v>SEP 17</v>
      </c>
      <c r="I22" s="336" t="str">
        <f t="shared" si="13"/>
        <v>CME EURO USD 3M;SEP 17</v>
      </c>
      <c r="J22" s="206">
        <f>'usd disaggregated'!K101</f>
        <v>98.78</v>
      </c>
      <c r="L22" s="265" t="str">
        <v>SEP 18</v>
      </c>
      <c r="M22" s="368">
        <f>IF(LEN(L22)&gt;0,ithMonthsWeekday(DATE("20" &amp; RIGHT(L22,2),EngMonthNum(LEFT(L22,3)),1),3,3),"")</f>
        <v>43362</v>
      </c>
      <c r="N22" s="206" t="str">
        <f t="shared" si="21"/>
        <v>U8</v>
      </c>
      <c r="O22" s="141">
        <v>5.0000000000000001E-3</v>
      </c>
      <c r="Q22" s="155" t="s">
        <v>26</v>
      </c>
      <c r="R22" s="102" t="s">
        <v>504</v>
      </c>
      <c r="S22" s="130" t="str">
        <f t="shared" si="0"/>
        <v>4M</v>
      </c>
      <c r="T22" s="163">
        <f>IF(ISNUMBER(S22),S22,CHOOSE(MATCH(RIGHT(S22,1),{"D","W","M"},0),NextBusDay(today,LEFT(S22,LEN(S22)-1)),NextBusDay(ValueDate+7*LEFT(S22,LEN(S22)-1)),NextBusDay(EDATE(ValueDate,LEFT(S22,LEN(S22)-1)))))</f>
        <v>42816</v>
      </c>
      <c r="U22" s="288" t="b">
        <v>1</v>
      </c>
      <c r="V22" s="284" t="str">
        <v>4M</v>
      </c>
      <c r="W22" s="137" t="str">
        <v>D</v>
      </c>
      <c r="X22" s="130" t="str">
        <f t="shared" si="1"/>
        <v>D10</v>
      </c>
      <c r="Y22" s="173">
        <f t="shared" si="2"/>
        <v>1</v>
      </c>
      <c r="Z22" s="175" t="str">
        <f t="shared" si="22"/>
        <v>4M</v>
      </c>
      <c r="AA22" s="163">
        <v>42816</v>
      </c>
      <c r="AB22" s="173" t="str">
        <f t="shared" si="4"/>
        <v>4M</v>
      </c>
      <c r="AC22" s="335"/>
      <c r="AD22" s="6"/>
      <c r="AE22" s="158" t="str">
        <v>4M</v>
      </c>
      <c r="AF22" s="134" t="str">
        <f t="shared" si="23"/>
        <v>USDX4MD=</v>
      </c>
      <c r="AG22" s="385">
        <f>IF(RealTime,_xll.RtGet(IF(Y22=3,"IDN",RtChannel),$AF22,AG$12),"StaticData")</f>
        <v>1.0206330340000001</v>
      </c>
      <c r="AH22" s="386">
        <f>IF(RealTime,_xll.RtGet(IF($Y22=3,"IDN",RtChannel),$AF22,AH$12),"StaticData")</f>
        <v>1.0306330340000001</v>
      </c>
      <c r="AI22" s="385">
        <f>IF(RealTime,AG22,static_data())</f>
        <v>1.0206330340000001</v>
      </c>
      <c r="AJ22" s="385">
        <f>IF(RealTime,AH22,static_data())</f>
        <v>1.0306330340000001</v>
      </c>
      <c r="AK22" s="43">
        <f t="shared" si="5"/>
        <v>1.0256330340000002</v>
      </c>
      <c r="AN22" s="158" t="str">
        <v>4M</v>
      </c>
      <c r="AO22" s="134" t="str">
        <f t="shared" si="16"/>
        <v>USD_CURVE_DEP12M_4M</v>
      </c>
      <c r="AP22" s="385">
        <f>IF(RealTime,_xll.RtGet(RtChannel,$AO22,AP$12),"StaticData")</f>
        <v>1.2509000000000001</v>
      </c>
      <c r="AQ22" s="386">
        <f>IF(RealTime,_xll.RtGet(RtChannel,$AO22,AQ$12),"StaticData")</f>
        <v>1.2509000000000001</v>
      </c>
      <c r="AR22" s="385">
        <f>IF(RealTime,AP22,static_data())</f>
        <v>1.2509000000000001</v>
      </c>
      <c r="AS22" s="385">
        <f>IF(RealTime,AQ22,static_data())</f>
        <v>1.2509000000000001</v>
      </c>
      <c r="AT22" s="43">
        <f t="shared" si="6"/>
        <v>1.2509000000000001</v>
      </c>
      <c r="AV22" s="158" t="str">
        <v>4M</v>
      </c>
      <c r="AW22" s="134" t="str">
        <f t="shared" si="17"/>
        <v>USD_CURVE_DEP1M_4M</v>
      </c>
      <c r="AX22" s="385">
        <f>IF(RealTime,_xll.RtGet(RtChannel,$AW22,AX$12),"StaticData")</f>
        <v>0.69271515100000003</v>
      </c>
      <c r="AY22" s="386">
        <f>IF(RealTime,_xll.RtGet(RtChannel,$AW22,AY$12),"StaticData")</f>
        <v>0.69271515100000003</v>
      </c>
      <c r="AZ22" s="385">
        <f>IF(RealTime,AX22,static_data())</f>
        <v>0.69271515100000003</v>
      </c>
      <c r="BA22" s="385">
        <f>IF(RealTime,AY22,static_data())</f>
        <v>0.69271515100000003</v>
      </c>
      <c r="BB22" s="43">
        <f t="shared" si="7"/>
        <v>0.69271515100000003</v>
      </c>
      <c r="BD22" s="158" t="str">
        <v>4M</v>
      </c>
      <c r="BE22" s="134" t="str">
        <f t="shared" si="18"/>
        <v>USD_CURVE_DEP3M_4M</v>
      </c>
      <c r="BF22" s="385">
        <f>IF(RealTime,_xll.RtGet(RtChannel,$BE22,BF$12),"StaticData")</f>
        <v>0.92934836700000001</v>
      </c>
      <c r="BG22" s="386">
        <f>IF(RealTime,_xll.RtGet(RtChannel,$BE22,BG$12),"StaticData")</f>
        <v>0.92934836700000001</v>
      </c>
      <c r="BH22" s="385">
        <f>IF(RealTime,BF22,static_data())</f>
        <v>0.92934836700000001</v>
      </c>
      <c r="BI22" s="385">
        <f>IF(RealTime,BG22,static_data())</f>
        <v>0.92934836700000001</v>
      </c>
      <c r="BJ22" s="43">
        <f t="shared" si="8"/>
        <v>0.92934836700000001</v>
      </c>
      <c r="BL22" s="382"/>
      <c r="BM22" s="158" t="str">
        <v>4M</v>
      </c>
      <c r="BN22" s="134" t="str">
        <f t="shared" si="19"/>
        <v>USD_CURVE_DEP6M_4M</v>
      </c>
      <c r="BO22" s="385">
        <f>IF(RealTime,_xll.RtGet(RtChannel,$BN22,BO$12),"StaticData")</f>
        <v>1.2444</v>
      </c>
      <c r="BP22" s="386">
        <f>IF(RealTime,_xll.RtGet(RtChannel,$BN22,BP$12),"StaticData")</f>
        <v>1.2444</v>
      </c>
      <c r="BQ22" s="385">
        <f>IF(RealTime,BO22,static_data())</f>
        <v>1.2444</v>
      </c>
      <c r="BR22" s="385">
        <f>IF(RealTime,BP22,static_data())</f>
        <v>1.2444</v>
      </c>
      <c r="BS22" s="43">
        <f t="shared" si="9"/>
        <v>1.2444</v>
      </c>
      <c r="BV22" s="136" t="s">
        <v>26</v>
      </c>
      <c r="BW22" s="137" t="str">
        <f t="shared" si="11"/>
        <v>4M</v>
      </c>
      <c r="BX22" s="134" t="str">
        <f t="shared" si="24"/>
        <v>USD_CURVE_OIS_4M</v>
      </c>
      <c r="BY22" s="70">
        <f>IF(RealTime,_xll.RtGet(RtChannel,$BX22,BY$12),"StaticData")</f>
        <v>0.58299999999999996</v>
      </c>
      <c r="BZ22" s="70">
        <f>IF(RealTime,_xll.RtGet(RtChannel,$BX22,BZ$12),"StaticData")</f>
        <v>0.58299999999999996</v>
      </c>
      <c r="CA22" s="79">
        <f>IF(RealTime,BY22,static_data())</f>
        <v>0.58299999999999996</v>
      </c>
      <c r="CB22" s="71">
        <f>IF(RealTime,BZ22,static_data())</f>
        <v>0.58299999999999996</v>
      </c>
      <c r="CC22" s="43">
        <f t="shared" si="20"/>
        <v>0.58299999999999996</v>
      </c>
    </row>
    <row r="23" spans="1:81">
      <c r="A23" s="331">
        <v>9</v>
      </c>
      <c r="B23" s="102" t="s">
        <v>3847</v>
      </c>
      <c r="C23" s="128">
        <v>98.64</v>
      </c>
      <c r="D23" s="128">
        <v>98.644999999999996</v>
      </c>
      <c r="E23" s="132">
        <f t="shared" si="14"/>
        <v>98.642499999999998</v>
      </c>
      <c r="F23" s="222">
        <f>IF(RealTime,_xll.RtGet("IDN",B23,"EXPIR_DATE")+2,static_data()+0)</f>
        <v>43089</v>
      </c>
      <c r="G23" s="146" t="str">
        <f t="shared" si="12"/>
        <v>Z7</v>
      </c>
      <c r="H23" s="125" t="str">
        <f t="shared" si="15"/>
        <v>DEC 17</v>
      </c>
      <c r="I23" s="336" t="str">
        <f t="shared" si="13"/>
        <v>CME EURO USD 3M;DEC 17</v>
      </c>
      <c r="J23" s="206">
        <f>'usd disaggregated'!K102</f>
        <v>98.665000000000006</v>
      </c>
      <c r="Q23" s="155" t="s">
        <v>27</v>
      </c>
      <c r="R23" s="102" t="s">
        <v>504</v>
      </c>
      <c r="S23" s="130" t="str">
        <f t="shared" si="0"/>
        <v>5M</v>
      </c>
      <c r="T23" s="163">
        <f>IF(ISNUMBER(S23),S23,CHOOSE(MATCH(RIGHT(S23,1),{"D","W","M"},0),NextBusDay(today,LEFT(S23,LEN(S23)-1)),NextBusDay(ValueDate+7*LEFT(S23,LEN(S23)-1)),NextBusDay(EDATE(ValueDate,LEFT(S23,LEN(S23)-1)))))</f>
        <v>42849</v>
      </c>
      <c r="U23" s="288" t="b">
        <v>1</v>
      </c>
      <c r="V23" s="284" t="str">
        <v>5M</v>
      </c>
      <c r="W23" s="137" t="str">
        <v>D</v>
      </c>
      <c r="X23" s="130" t="str">
        <f t="shared" si="1"/>
        <v>D11</v>
      </c>
      <c r="Y23" s="173">
        <f t="shared" si="2"/>
        <v>1</v>
      </c>
      <c r="Z23" s="175" t="str">
        <f t="shared" si="22"/>
        <v>5M</v>
      </c>
      <c r="AA23" s="163">
        <v>42849</v>
      </c>
      <c r="AB23" s="173" t="str">
        <f t="shared" si="4"/>
        <v>5M</v>
      </c>
      <c r="AC23" s="335"/>
      <c r="AD23" s="6"/>
      <c r="AE23" s="158" t="str">
        <v>5M</v>
      </c>
      <c r="AF23" s="134" t="str">
        <f t="shared" si="23"/>
        <v>USDX5MD=</v>
      </c>
      <c r="AG23" s="385">
        <f>IF(RealTime,_xll.RtGet(IF(Y23=3,"IDN",RtChannel),$AF23,AG$12),"StaticData")</f>
        <v>1.1554769660000002</v>
      </c>
      <c r="AH23" s="386">
        <f>IF(RealTime,_xll.RtGet(IF($Y23=3,"IDN",RtChannel),$AF23,AH$12),"StaticData")</f>
        <v>1.1654769660000002</v>
      </c>
      <c r="AI23" s="385">
        <f>IF(RealTime,AG23,static_data())</f>
        <v>1.1554769660000002</v>
      </c>
      <c r="AJ23" s="385">
        <f>IF(RealTime,AH23,static_data())</f>
        <v>1.1654769660000002</v>
      </c>
      <c r="AK23" s="43">
        <f t="shared" si="5"/>
        <v>1.1604769660000001</v>
      </c>
      <c r="AN23" s="158" t="str">
        <v>5M</v>
      </c>
      <c r="AO23" s="134" t="str">
        <f t="shared" si="16"/>
        <v>USD_CURVE_DEP12M_5M</v>
      </c>
      <c r="AP23" s="385">
        <f>IF(RealTime,_xll.RtGet(RtChannel,$AO23,AP$12),"StaticData")</f>
        <v>1.2974000000000001</v>
      </c>
      <c r="AQ23" s="386">
        <f>IF(RealTime,_xll.RtGet(RtChannel,$AO23,AQ$12),"StaticData")</f>
        <v>1.2974000000000001</v>
      </c>
      <c r="AR23" s="385">
        <f>IF(RealTime,AP23,static_data())</f>
        <v>1.2974000000000001</v>
      </c>
      <c r="AS23" s="385">
        <f>IF(RealTime,AQ23,static_data())</f>
        <v>1.2974000000000001</v>
      </c>
      <c r="AT23" s="43">
        <f t="shared" si="6"/>
        <v>1.2974000000000001</v>
      </c>
      <c r="AV23" s="158" t="str">
        <v>5M</v>
      </c>
      <c r="AW23" s="134" t="str">
        <f t="shared" si="17"/>
        <v>USD_CURVE_DEP1M_5M</v>
      </c>
      <c r="AX23" s="385">
        <f>IF(RealTime,_xll.RtGet(RtChannel,$AW23,AX$12),"StaticData")</f>
        <v>0.70817661100000007</v>
      </c>
      <c r="AY23" s="386">
        <f>IF(RealTime,_xll.RtGet(RtChannel,$AW23,AY$12),"StaticData")</f>
        <v>0.70817661100000007</v>
      </c>
      <c r="AZ23" s="385">
        <f>IF(RealTime,AX23,static_data())</f>
        <v>0.70817661100000007</v>
      </c>
      <c r="BA23" s="385">
        <f>IF(RealTime,AY23,static_data())</f>
        <v>0.70817661100000007</v>
      </c>
      <c r="BB23" s="43">
        <f t="shared" si="7"/>
        <v>0.70817661100000007</v>
      </c>
      <c r="BD23" s="158" t="str">
        <v>5M</v>
      </c>
      <c r="BE23" s="134" t="str">
        <f t="shared" si="18"/>
        <v>USD_CURVE_DEP3M_5M</v>
      </c>
      <c r="BF23" s="385">
        <f>IF(RealTime,_xll.RtGet(RtChannel,$BE23,BF$12),"StaticData")</f>
        <v>0.93792661900000007</v>
      </c>
      <c r="BG23" s="386">
        <f>IF(RealTime,_xll.RtGet(RtChannel,$BE23,BG$12),"StaticData")</f>
        <v>0.93792661900000007</v>
      </c>
      <c r="BH23" s="385">
        <f>IF(RealTime,BF23,static_data())</f>
        <v>0.93792661900000007</v>
      </c>
      <c r="BI23" s="385">
        <f>IF(RealTime,BG23,static_data())</f>
        <v>0.93792661900000007</v>
      </c>
      <c r="BJ23" s="43">
        <f t="shared" si="8"/>
        <v>0.93792661900000007</v>
      </c>
      <c r="BL23" s="382"/>
      <c r="BM23" s="158" t="str">
        <v>5M</v>
      </c>
      <c r="BN23" s="134" t="str">
        <f t="shared" si="19"/>
        <v>USD_CURVE_DEP6M_5M</v>
      </c>
      <c r="BO23" s="385">
        <f>IF(RealTime,_xll.RtGet(RtChannel,$BN23,BO$12),"StaticData")</f>
        <v>1.2647000000000002</v>
      </c>
      <c r="BP23" s="386">
        <f>IF(RealTime,_xll.RtGet(RtChannel,$BN23,BP$12),"StaticData")</f>
        <v>1.2647000000000002</v>
      </c>
      <c r="BQ23" s="385">
        <f>IF(RealTime,BO23,static_data())</f>
        <v>1.2647000000000002</v>
      </c>
      <c r="BR23" s="385">
        <f>IF(RealTime,BP23,static_data())</f>
        <v>1.2647000000000002</v>
      </c>
      <c r="BS23" s="43">
        <f t="shared" si="9"/>
        <v>1.2647000000000002</v>
      </c>
      <c r="BV23" s="136" t="s">
        <v>27</v>
      </c>
      <c r="BW23" s="137" t="str">
        <f t="shared" si="11"/>
        <v>5M</v>
      </c>
      <c r="BX23" s="134" t="str">
        <f t="shared" si="24"/>
        <v>USD_CURVE_OIS_5M</v>
      </c>
      <c r="BY23" s="70">
        <f>IF(RealTime,_xll.RtGet(RtChannel,$BX23,BY$12),"StaticData")</f>
        <v>0.60000000000000009</v>
      </c>
      <c r="BZ23" s="70">
        <f>IF(RealTime,_xll.RtGet(RtChannel,$BX23,BZ$12),"StaticData")</f>
        <v>0.60000000000000009</v>
      </c>
      <c r="CA23" s="79">
        <f>IF(RealTime,BY23,static_data())</f>
        <v>0.60000000000000009</v>
      </c>
      <c r="CB23" s="71">
        <f>IF(RealTime,BZ23,static_data())</f>
        <v>0.60000000000000009</v>
      </c>
      <c r="CC23" s="43">
        <f t="shared" si="20"/>
        <v>0.60000000000000009</v>
      </c>
    </row>
    <row r="24" spans="1:81">
      <c r="A24" s="331">
        <v>10</v>
      </c>
      <c r="B24" s="102" t="s">
        <v>3848</v>
      </c>
      <c r="C24" s="128">
        <v>98.54</v>
      </c>
      <c r="D24" s="128">
        <v>98.545000000000002</v>
      </c>
      <c r="E24" s="132">
        <f t="shared" si="14"/>
        <v>98.542500000000004</v>
      </c>
      <c r="F24" s="222">
        <f>IF(RealTime,_xll.RtGet("IDN",B24,"EXPIR_DATE")+2,static_data()+0)</f>
        <v>43180</v>
      </c>
      <c r="G24" s="146" t="str">
        <f t="shared" si="12"/>
        <v>H8</v>
      </c>
      <c r="H24" s="125" t="str">
        <f t="shared" si="15"/>
        <v>MAR 18</v>
      </c>
      <c r="I24" s="336" t="str">
        <f t="shared" si="13"/>
        <v>CME EURO USD 3M;MAR 18</v>
      </c>
      <c r="J24" s="206">
        <f>'usd disaggregated'!K103</f>
        <v>98.57</v>
      </c>
      <c r="Q24" s="156" t="s">
        <v>28</v>
      </c>
      <c r="R24" s="102" t="s">
        <v>504</v>
      </c>
      <c r="S24" s="130" t="str">
        <f t="shared" si="0"/>
        <v>6M</v>
      </c>
      <c r="T24" s="163">
        <f>IF(ISNUMBER(S24),S24,CHOOSE(MATCH(RIGHT(S24,1),{"D","W","M"},0),NextBusDay(today,LEFT(S24,LEN(S24)-1)),NextBusDay(ValueDate+7*LEFT(S24,LEN(S24)-1)),NextBusDay(EDATE(ValueDate,LEFT(S24,LEN(S24)-1)))))</f>
        <v>42877</v>
      </c>
      <c r="U24" s="288" t="b">
        <v>1</v>
      </c>
      <c r="V24" s="284" t="str">
        <v>6M</v>
      </c>
      <c r="W24" s="137" t="str">
        <v>D</v>
      </c>
      <c r="X24" s="130" t="str">
        <f t="shared" si="1"/>
        <v>D12</v>
      </c>
      <c r="Y24" s="173">
        <f t="shared" si="2"/>
        <v>1</v>
      </c>
      <c r="Z24" s="175" t="str">
        <f t="shared" si="22"/>
        <v>6M</v>
      </c>
      <c r="AA24" s="163">
        <v>42877</v>
      </c>
      <c r="AB24" s="173" t="str">
        <f t="shared" si="4"/>
        <v>6M</v>
      </c>
      <c r="AC24" s="335"/>
      <c r="AD24" s="6"/>
      <c r="AE24" s="158" t="str">
        <v>6M</v>
      </c>
      <c r="AF24" s="134" t="str">
        <f t="shared" si="23"/>
        <v>USDX6MD=</v>
      </c>
      <c r="AG24" s="385">
        <f>IF(RealTime,_xll.RtGet(IF(Y24=3,"IDN",RtChannel),$AF24,AG$12),"StaticData")</f>
        <v>1.2698900000000002</v>
      </c>
      <c r="AH24" s="386">
        <f>IF(RealTime,_xll.RtGet(IF($Y24=3,"IDN",RtChannel),$AF24,AH$12),"StaticData")</f>
        <v>1.2798900000000002</v>
      </c>
      <c r="AI24" s="385">
        <f>IF(RealTime,AG24,static_data())</f>
        <v>1.2698900000000002</v>
      </c>
      <c r="AJ24" s="385">
        <f>IF(RealTime,AH24,static_data())</f>
        <v>1.2798900000000002</v>
      </c>
      <c r="AK24" s="43">
        <f t="shared" si="5"/>
        <v>1.2748900000000001</v>
      </c>
      <c r="AN24" s="158" t="str">
        <v>6M</v>
      </c>
      <c r="AO24" s="134" t="str">
        <f t="shared" si="16"/>
        <v>USD_CURVE_DEP12M_6M</v>
      </c>
      <c r="AP24" s="385">
        <f>IF(RealTime,_xll.RtGet(RtChannel,$AO24,AP$12),"StaticData")</f>
        <v>1.3355000000000001</v>
      </c>
      <c r="AQ24" s="386">
        <f>IF(RealTime,_xll.RtGet(RtChannel,$AO24,AQ$12),"StaticData")</f>
        <v>1.3355000000000001</v>
      </c>
      <c r="AR24" s="385">
        <f>IF(RealTime,AP24,static_data())</f>
        <v>1.3355000000000001</v>
      </c>
      <c r="AS24" s="385">
        <f>IF(RealTime,AQ24,static_data())</f>
        <v>1.3355000000000001</v>
      </c>
      <c r="AT24" s="43">
        <f t="shared" si="6"/>
        <v>1.3355000000000001</v>
      </c>
      <c r="AV24" s="158" t="str">
        <v>6M</v>
      </c>
      <c r="AW24" s="134" t="str">
        <f t="shared" si="17"/>
        <v>USD_CURVE_DEP1M_6M</v>
      </c>
      <c r="AX24" s="385">
        <f>IF(RealTime,_xll.RtGet(RtChannel,$AW24,AX$12),"StaticData")</f>
        <v>0.72115729700000009</v>
      </c>
      <c r="AY24" s="386">
        <f>IF(RealTime,_xll.RtGet(RtChannel,$AW24,AY$12),"StaticData")</f>
        <v>0.72115729700000009</v>
      </c>
      <c r="AZ24" s="385">
        <f>IF(RealTime,AX24,static_data())</f>
        <v>0.72115729700000009</v>
      </c>
      <c r="BA24" s="385">
        <f>IF(RealTime,AY24,static_data())</f>
        <v>0.72115729700000009</v>
      </c>
      <c r="BB24" s="43">
        <f t="shared" si="7"/>
        <v>0.72115729700000009</v>
      </c>
      <c r="BD24" s="158" t="str">
        <v>6M</v>
      </c>
      <c r="BE24" s="134" t="str">
        <f t="shared" si="18"/>
        <v>USD_CURVE_DEP3M_6M</v>
      </c>
      <c r="BF24" s="385">
        <f>IF(RealTime,_xll.RtGet(RtChannel,$BE24,BF$12),"StaticData")</f>
        <v>0.95317375900000001</v>
      </c>
      <c r="BG24" s="386">
        <f>IF(RealTime,_xll.RtGet(RtChannel,$BE24,BG$12),"StaticData")</f>
        <v>0.95317375900000001</v>
      </c>
      <c r="BH24" s="385">
        <f>IF(RealTime,BF24,static_data())</f>
        <v>0.95317375900000001</v>
      </c>
      <c r="BI24" s="385">
        <f>IF(RealTime,BG24,static_data())</f>
        <v>0.95317375900000001</v>
      </c>
      <c r="BJ24" s="43">
        <f t="shared" si="8"/>
        <v>0.95317375900000001</v>
      </c>
      <c r="BL24" s="382"/>
      <c r="BM24" s="158" t="str">
        <v>6M</v>
      </c>
      <c r="BN24" s="134" t="str">
        <f t="shared" si="19"/>
        <v>USD_CURVE_DEP6M_6M</v>
      </c>
      <c r="BO24" s="385">
        <f>IF(RealTime,_xll.RtGet(RtChannel,$BN24,BO$12),"StaticData")</f>
        <v>1.2749000000000001</v>
      </c>
      <c r="BP24" s="386">
        <f>IF(RealTime,_xll.RtGet(RtChannel,$BN24,BP$12),"StaticData")</f>
        <v>1.2749000000000001</v>
      </c>
      <c r="BQ24" s="385">
        <f>IF(RealTime,BO24,static_data())</f>
        <v>1.2749000000000001</v>
      </c>
      <c r="BR24" s="385">
        <f>IF(RealTime,BP24,static_data())</f>
        <v>1.2749000000000001</v>
      </c>
      <c r="BS24" s="43">
        <f t="shared" si="9"/>
        <v>1.2749000000000001</v>
      </c>
      <c r="BV24" s="136" t="s">
        <v>28</v>
      </c>
      <c r="BW24" s="137" t="str">
        <f t="shared" si="11"/>
        <v>6M</v>
      </c>
      <c r="BX24" s="134" t="str">
        <f t="shared" si="24"/>
        <v>USD_CURVE_OIS_6M</v>
      </c>
      <c r="BY24" s="70">
        <f>IF(RealTime,_xll.RtGet(RtChannel,$BX24,BY$12),"StaticData")</f>
        <v>0.61299999999999999</v>
      </c>
      <c r="BZ24" s="70">
        <f>IF(RealTime,_xll.RtGet(RtChannel,$BX24,BZ$12),"StaticData")</f>
        <v>0.61299999999999999</v>
      </c>
      <c r="CA24" s="79">
        <f>IF(RealTime,BY24,static_data())</f>
        <v>0.61299999999999999</v>
      </c>
      <c r="CB24" s="71">
        <f>IF(RealTime,BZ24,static_data())</f>
        <v>0.61299999999999999</v>
      </c>
      <c r="CC24" s="43">
        <f t="shared" si="20"/>
        <v>0.61299999999999999</v>
      </c>
    </row>
    <row r="25" spans="1:81">
      <c r="A25" s="331">
        <v>11</v>
      </c>
      <c r="B25" s="102" t="s">
        <v>3849</v>
      </c>
      <c r="C25" s="128">
        <v>98.435000000000002</v>
      </c>
      <c r="D25" s="128">
        <v>98.44</v>
      </c>
      <c r="E25" s="132">
        <f t="shared" si="14"/>
        <v>98.4375</v>
      </c>
      <c r="F25" s="222">
        <f>IF(RealTime,_xll.RtGet("IDN",B25,"EXPIR_DATE")+2,static_data()+0)</f>
        <v>43271</v>
      </c>
      <c r="G25" s="146" t="str">
        <f t="shared" si="12"/>
        <v>M8</v>
      </c>
      <c r="H25" s="125" t="str">
        <f t="shared" si="15"/>
        <v>JUN 18</v>
      </c>
      <c r="I25" s="336" t="str">
        <f t="shared" si="13"/>
        <v>CME EURO USD 3M;JUN 18</v>
      </c>
      <c r="J25" s="206">
        <f>'usd disaggregated'!K104</f>
        <v>98.465000000000003</v>
      </c>
      <c r="Q25" s="155" t="s">
        <v>29</v>
      </c>
      <c r="R25" s="102" t="s">
        <v>504</v>
      </c>
      <c r="S25" s="130" t="str">
        <f t="shared" si="0"/>
        <v>7M</v>
      </c>
      <c r="T25" s="163">
        <f>IF(ISNUMBER(S25),S25,CHOOSE(MATCH(RIGHT(S25,1),{"D","W","M"},0),NextBusDay(today,LEFT(S25,LEN(S25)-1)),NextBusDay(ValueDate+7*LEFT(S25,LEN(S25)-1)),NextBusDay(EDATE(ValueDate,LEFT(S25,LEN(S25)-1)))))</f>
        <v>42908</v>
      </c>
      <c r="U25" s="289" t="b">
        <f>T25&lt;DataSTUB</f>
        <v>0</v>
      </c>
      <c r="V25" s="284" t="str">
        <v>#20170621</v>
      </c>
      <c r="W25" s="137" t="str">
        <v>S</v>
      </c>
      <c r="X25" s="130" t="str">
        <f t="shared" si="1"/>
        <v>S1</v>
      </c>
      <c r="Y25" s="173">
        <f t="shared" si="2"/>
        <v>2</v>
      </c>
      <c r="Z25" s="175" t="str">
        <f>CHOOSE(Y25,V25,TEXT(DataSTUB,"dd/mm/yy"),UPPER(TEXT(V25,"MMM YY")),V25,"")</f>
        <v>21/06/17</v>
      </c>
      <c r="AA25" s="163">
        <v>42907</v>
      </c>
      <c r="AB25" s="173" t="str">
        <f t="shared" si="4"/>
        <v>#20170621</v>
      </c>
      <c r="AC25" s="335"/>
      <c r="AD25" s="6"/>
      <c r="AE25" s="158" t="str">
        <v>#20170621</v>
      </c>
      <c r="AF25" s="134" t="str">
        <f t="shared" si="23"/>
        <v>USDXSTUBD=</v>
      </c>
      <c r="AG25" s="385">
        <f>IF(RealTime,_xll.RtGet(IF(Y25=3,"IDN",RtChannel),$AF25,AG$12),"StaticData")</f>
        <v>1.3186405430000001</v>
      </c>
      <c r="AH25" s="386">
        <f>IF(RealTime,_xll.RtGet(IF($Y25=3,"IDN",RtChannel),$AF25,AH$12),"StaticData")</f>
        <v>1.3386405430000001</v>
      </c>
      <c r="AI25" s="385">
        <f>IF(RealTime,AG25,static_data())</f>
        <v>1.3186405430000001</v>
      </c>
      <c r="AJ25" s="385">
        <f>IF(RealTime,AH25,static_data())</f>
        <v>1.3386405430000001</v>
      </c>
      <c r="AK25" s="43">
        <f t="shared" si="5"/>
        <v>1.3286405430000001</v>
      </c>
      <c r="AN25" s="158" t="str">
        <v>#20170621</v>
      </c>
      <c r="AO25" s="134" t="str">
        <f t="shared" si="16"/>
        <v>USD_CURVE_DEP12M_#20170621</v>
      </c>
      <c r="AP25" s="385">
        <f>IF(RealTime,_xll.RtGet(RtChannel,$AO25,AP$12),"StaticData")</f>
        <v>1.3790676860000002</v>
      </c>
      <c r="AQ25" s="386">
        <f>IF(RealTime,_xll.RtGet(RtChannel,$AO25,AQ$12),"StaticData")</f>
        <v>1.3790676860000002</v>
      </c>
      <c r="AR25" s="385">
        <f>IF(RealTime,AP25,static_data())</f>
        <v>1.3790676860000002</v>
      </c>
      <c r="AS25" s="385">
        <f>IF(RealTime,AQ25,static_data())</f>
        <v>1.3790676860000002</v>
      </c>
      <c r="AT25" s="43">
        <f t="shared" si="6"/>
        <v>1.3790676860000002</v>
      </c>
      <c r="AV25" s="158" t="str">
        <v>#20170621</v>
      </c>
      <c r="AW25" s="134" t="str">
        <f t="shared" si="17"/>
        <v>USD_CURVE_DEP1M_#20170621</v>
      </c>
      <c r="AX25" s="385">
        <f>IF(RealTime,_xll.RtGet(RtChannel,$AW25,AX$12),"StaticData")</f>
        <v>0.73760049599999999</v>
      </c>
      <c r="AY25" s="386">
        <f>IF(RealTime,_xll.RtGet(RtChannel,$AW25,AY$12),"StaticData")</f>
        <v>0.73760049599999999</v>
      </c>
      <c r="AZ25" s="385">
        <f>IF(RealTime,AX25,static_data())</f>
        <v>0.73760049599999999</v>
      </c>
      <c r="BA25" s="385">
        <f>IF(RealTime,AY25,static_data())</f>
        <v>0.73760049599999999</v>
      </c>
      <c r="BB25" s="43">
        <f t="shared" si="7"/>
        <v>0.73760049599999999</v>
      </c>
      <c r="BD25" s="158" t="str">
        <v>#20170621</v>
      </c>
      <c r="BE25" s="134" t="str">
        <f t="shared" si="18"/>
        <v>USD_CURVE_DEP3M_#20170621</v>
      </c>
      <c r="BF25" s="385">
        <f>IF(RealTime,_xll.RtGet(RtChannel,$BE25,BF$12),"StaticData")</f>
        <v>0.97192101200000003</v>
      </c>
      <c r="BG25" s="386">
        <f>IF(RealTime,_xll.RtGet(RtChannel,$BE25,BG$12),"StaticData")</f>
        <v>0.97192101200000003</v>
      </c>
      <c r="BH25" s="385">
        <f>IF(RealTime,BF25,static_data())</f>
        <v>0.97192101200000003</v>
      </c>
      <c r="BI25" s="385">
        <f>IF(RealTime,BG25,static_data())</f>
        <v>0.97192101200000003</v>
      </c>
      <c r="BJ25" s="43">
        <f t="shared" si="8"/>
        <v>0.97192101200000003</v>
      </c>
      <c r="BL25" s="382"/>
      <c r="BM25" s="158" t="str">
        <v>#20170621</v>
      </c>
      <c r="BN25" s="134" t="str">
        <f t="shared" si="19"/>
        <v>USD_CURVE_DEP6M_#20170621</v>
      </c>
      <c r="BO25" s="385">
        <f>IF(RealTime,_xll.RtGet(RtChannel,$BN25,BO$12),"StaticData")</f>
        <v>1.279825448</v>
      </c>
      <c r="BP25" s="386">
        <f>IF(RealTime,_xll.RtGet(RtChannel,$BN25,BP$12),"StaticData")</f>
        <v>1.279825448</v>
      </c>
      <c r="BQ25" s="385">
        <f>IF(RealTime,BO25,static_data())</f>
        <v>1.279825448</v>
      </c>
      <c r="BR25" s="385">
        <f>IF(RealTime,BP25,static_data())</f>
        <v>1.279825448</v>
      </c>
      <c r="BS25" s="43">
        <f t="shared" si="9"/>
        <v>1.279825448</v>
      </c>
      <c r="BV25" s="136" t="s">
        <v>29</v>
      </c>
      <c r="BW25" s="137" t="str">
        <f t="shared" si="11"/>
        <v>7M</v>
      </c>
      <c r="BX25" s="134" t="str">
        <f t="shared" si="24"/>
        <v>USD_CURVE_OIS_7M</v>
      </c>
      <c r="BY25" s="70">
        <f>IF(RealTime,_xll.RtGet(RtChannel,$BX25,BY$12),"StaticData")</f>
        <v>0.627</v>
      </c>
      <c r="BZ25" s="70">
        <f>IF(RealTime,_xll.RtGet(RtChannel,$BX25,BZ$12),"StaticData")</f>
        <v>0.627</v>
      </c>
      <c r="CA25" s="79">
        <f>IF(RealTime,BY25,static_data())</f>
        <v>0.627</v>
      </c>
      <c r="CB25" s="71">
        <f>IF(RealTime,BZ25,static_data())</f>
        <v>0.627</v>
      </c>
      <c r="CC25" s="43">
        <f t="shared" si="20"/>
        <v>0.627</v>
      </c>
    </row>
    <row r="26" spans="1:81">
      <c r="A26" s="331">
        <v>12</v>
      </c>
      <c r="B26" s="102" t="s">
        <v>3850</v>
      </c>
      <c r="C26" s="128">
        <v>98.33</v>
      </c>
      <c r="D26" s="128">
        <v>98.335000000000008</v>
      </c>
      <c r="E26" s="132">
        <f t="shared" si="14"/>
        <v>98.33250000000001</v>
      </c>
      <c r="F26" s="222">
        <f>IF(RealTime,_xll.RtGet("IDN",B26,"EXPIR_DATE")+2,static_data()+0)</f>
        <v>43362</v>
      </c>
      <c r="G26" s="146" t="str">
        <f t="shared" si="12"/>
        <v>U8</v>
      </c>
      <c r="H26" s="125" t="str">
        <f t="shared" si="15"/>
        <v>SEP 18</v>
      </c>
      <c r="I26" s="336" t="str">
        <f t="shared" si="13"/>
        <v>CME EURO USD 3M;SEP 18</v>
      </c>
      <c r="J26" s="206" t="e">
        <f>'usd disaggregated'!K105</f>
        <v>#N/A</v>
      </c>
      <c r="Q26" s="155" t="s">
        <v>30</v>
      </c>
      <c r="R26" s="102" t="s">
        <v>504</v>
      </c>
      <c r="S26" s="130" t="str">
        <f t="shared" si="0"/>
        <v>8M</v>
      </c>
      <c r="T26" s="163">
        <f>IF(ISNUMBER(S26),S26,CHOOSE(MATCH(RIGHT(S26,1),{"D","W","M"},0),NextBusDay(today,LEFT(S26,LEN(S26)-1)),NextBusDay(ValueDate+7*LEFT(S26,LEN(S26)-1)),NextBusDay(EDATE(ValueDate,LEFT(S26,LEN(S26)-1)))))</f>
        <v>42940</v>
      </c>
      <c r="U26" s="290" t="b">
        <f>T26&lt;DataSTUB</f>
        <v>0</v>
      </c>
      <c r="V26" s="284">
        <v>42907</v>
      </c>
      <c r="W26" s="137" t="str">
        <v>F</v>
      </c>
      <c r="X26" s="130" t="str">
        <f t="shared" si="1"/>
        <v>F1</v>
      </c>
      <c r="Y26" s="173">
        <f t="shared" si="2"/>
        <v>3</v>
      </c>
      <c r="Z26" s="175" t="str">
        <f t="shared" si="22"/>
        <v>JUN 17</v>
      </c>
      <c r="AA26" s="163">
        <v>42907</v>
      </c>
      <c r="AB26" s="173" t="str">
        <f t="shared" si="4"/>
        <v>M7</v>
      </c>
      <c r="AC26" s="335"/>
      <c r="AD26" s="6"/>
      <c r="AE26" s="158">
        <v>42907</v>
      </c>
      <c r="AF26" s="134" t="str">
        <f t="shared" si="23"/>
        <v>EDM7</v>
      </c>
      <c r="AG26" s="385">
        <f>IF(RealTime,_xll.RtGet(IF(Y26=3,"IDN",RtChannel),$AF26,AG$12),"StaticData")</f>
        <v>98.865000000000009</v>
      </c>
      <c r="AH26" s="386">
        <f>IF(RealTime,_xll.RtGet(IF($Y26=3,"IDN",RtChannel),$AF26,AH$12),"StaticData")</f>
        <v>98.87</v>
      </c>
      <c r="AI26" s="385">
        <f>IF(RealTime,AG26,static_data())</f>
        <v>98.865000000000009</v>
      </c>
      <c r="AJ26" s="385">
        <f>IF(RealTime,AH26,static_data())</f>
        <v>98.87</v>
      </c>
      <c r="AK26" s="43">
        <f t="shared" si="5"/>
        <v>1.1324999999999932</v>
      </c>
      <c r="AN26" s="158">
        <v>42907</v>
      </c>
      <c r="AO26" s="134" t="str">
        <f t="shared" si="16"/>
        <v>USD_CURVE_FUT12M_M7</v>
      </c>
      <c r="AP26" s="385">
        <f>IF(RealTime,_xll.RtGet(RtChannel,$AO26,AP$12),"StaticData")</f>
        <v>98.201257175000009</v>
      </c>
      <c r="AQ26" s="386">
        <f>IF(RealTime,_xll.RtGet(RtChannel,$AO26,AQ$12),"StaticData")</f>
        <v>98.201257175000009</v>
      </c>
      <c r="AR26" s="385">
        <f>IF(RealTime,AP26,static_data())</f>
        <v>98.201257175000009</v>
      </c>
      <c r="AS26" s="385">
        <f>IF(RealTime,AQ26,static_data())</f>
        <v>98.201257175000009</v>
      </c>
      <c r="AT26" s="43">
        <f t="shared" si="6"/>
        <v>1.7987428249999908</v>
      </c>
      <c r="AV26" s="158">
        <v>42907</v>
      </c>
      <c r="AW26" s="134" t="str">
        <f t="shared" si="17"/>
        <v>USD_CURVE_FUT1M_M7</v>
      </c>
      <c r="AX26" s="385">
        <f>IF(RealTime,_xll.RtGet(RtChannel,$AW26,AX$12),"StaticData")</f>
        <v>99.081993083</v>
      </c>
      <c r="AY26" s="386">
        <f>IF(RealTime,_xll.RtGet(RtChannel,$AW26,AY$12),"StaticData")</f>
        <v>99.081993083</v>
      </c>
      <c r="AZ26" s="385">
        <f>IF(RealTime,AX26,static_data())</f>
        <v>99.081993083</v>
      </c>
      <c r="BA26" s="385">
        <f>IF(RealTime,AY26,static_data())</f>
        <v>99.081993083</v>
      </c>
      <c r="BB26" s="43">
        <f t="shared" si="7"/>
        <v>0.91800691699999959</v>
      </c>
      <c r="BD26" s="158">
        <v>42907</v>
      </c>
      <c r="BE26" s="134" t="str">
        <f t="shared" si="18"/>
        <v>USD_CURVE_FUT3M_M7</v>
      </c>
      <c r="BF26" s="385">
        <f>IF(RealTime,_xll.RtGet(RtChannel,$BE26,BF$12),"StaticData")</f>
        <v>98.868857442000007</v>
      </c>
      <c r="BG26" s="386">
        <f>IF(RealTime,_xll.RtGet(RtChannel,$BE26,BG$12),"StaticData")</f>
        <v>98.868857442000007</v>
      </c>
      <c r="BH26" s="385">
        <f>IF(RealTime,BF26,static_data())</f>
        <v>98.868857442000007</v>
      </c>
      <c r="BI26" s="385">
        <f>IF(RealTime,BG26,static_data())</f>
        <v>98.868857442000007</v>
      </c>
      <c r="BJ26" s="43">
        <f t="shared" si="8"/>
        <v>1.1311425579999934</v>
      </c>
      <c r="BL26" s="382"/>
      <c r="BM26" s="158">
        <v>42907</v>
      </c>
      <c r="BN26" s="134" t="str">
        <f t="shared" si="19"/>
        <v>USD_CURVE_FUT6M_M7</v>
      </c>
      <c r="BO26" s="385">
        <f>IF(RealTime,_xll.RtGet(RtChannel,$BN26,BO$12),"StaticData")</f>
        <v>98.619098180000009</v>
      </c>
      <c r="BP26" s="386">
        <f>IF(RealTime,_xll.RtGet(RtChannel,$BN26,BP$12),"StaticData")</f>
        <v>98.619098180000009</v>
      </c>
      <c r="BQ26" s="385">
        <f>IF(RealTime,BO26,static_data())</f>
        <v>98.619098180000009</v>
      </c>
      <c r="BR26" s="385">
        <f>IF(RealTime,BP26,static_data())</f>
        <v>98.619098180000009</v>
      </c>
      <c r="BS26" s="43">
        <f t="shared" si="9"/>
        <v>1.3809018199999912</v>
      </c>
      <c r="BV26" s="136" t="s">
        <v>30</v>
      </c>
      <c r="BW26" s="137" t="str">
        <f t="shared" si="11"/>
        <v>8M</v>
      </c>
      <c r="BX26" s="134" t="str">
        <f t="shared" si="24"/>
        <v>USD_CURVE_OIS_8M</v>
      </c>
      <c r="BY26" s="70">
        <f>IF(RealTime,_xll.RtGet(RtChannel,$BX26,BY$12),"StaticData")</f>
        <v>0.64800000000000002</v>
      </c>
      <c r="BZ26" s="70">
        <f>IF(RealTime,_xll.RtGet(RtChannel,$BX26,BZ$12),"StaticData")</f>
        <v>0.64800000000000002</v>
      </c>
      <c r="CA26" s="79">
        <f>IF(RealTime,BY26,static_data())</f>
        <v>0.64800000000000002</v>
      </c>
      <c r="CB26" s="71">
        <f>IF(RealTime,BZ26,static_data())</f>
        <v>0.64800000000000002</v>
      </c>
      <c r="CC26" s="43">
        <f t="shared" si="20"/>
        <v>0.64800000000000002</v>
      </c>
    </row>
    <row r="27" spans="1:81">
      <c r="A27" s="331">
        <v>13</v>
      </c>
      <c r="B27" s="102" t="s">
        <v>3851</v>
      </c>
      <c r="C27" s="128">
        <v>98.215000000000003</v>
      </c>
      <c r="D27" s="128">
        <v>98.22</v>
      </c>
      <c r="E27" s="132">
        <f t="shared" si="14"/>
        <v>98.217500000000001</v>
      </c>
      <c r="F27" s="222">
        <f>IF(RealTime,_xll.RtGet("IDN",B27,"EXPIR_DATE")+2,static_data()+0)</f>
        <v>43453</v>
      </c>
      <c r="G27" s="146" t="str">
        <f t="shared" si="12"/>
        <v>Z8</v>
      </c>
      <c r="H27" s="125" t="str">
        <f t="shared" si="15"/>
        <v>DEC 18</v>
      </c>
      <c r="I27" s="336" t="str">
        <f t="shared" si="13"/>
        <v>CME EURO USD 3M;DEC 18</v>
      </c>
      <c r="J27" s="206" t="e">
        <f>'usd disaggregated'!K106</f>
        <v>#N/A</v>
      </c>
      <c r="Q27" s="156" t="s">
        <v>49</v>
      </c>
      <c r="R27" s="102" t="s">
        <v>504</v>
      </c>
      <c r="S27" s="130" t="str">
        <f t="shared" si="0"/>
        <v>9M</v>
      </c>
      <c r="T27" s="163">
        <f>IF(ISNUMBER(S27),S27,CHOOSE(MATCH(RIGHT(S27,1),{"D","W","M"},0),NextBusDay(today,LEFT(S27,LEN(S27)-1)),NextBusDay(ValueDate+7*LEFT(S27,LEN(S27)-1)),NextBusDay(EDATE(ValueDate,LEFT(S27,LEN(S27)-1)))))</f>
        <v>42969</v>
      </c>
      <c r="U27" s="291" t="b">
        <f>T27&lt;DataSTUB</f>
        <v>0</v>
      </c>
      <c r="V27" s="284">
        <v>42998</v>
      </c>
      <c r="W27" s="137" t="str">
        <v>F</v>
      </c>
      <c r="X27" s="130" t="str">
        <f t="shared" si="1"/>
        <v>F2</v>
      </c>
      <c r="Y27" s="173">
        <f t="shared" si="2"/>
        <v>3</v>
      </c>
      <c r="Z27" s="175" t="str">
        <f t="shared" si="22"/>
        <v>SEP 17</v>
      </c>
      <c r="AA27" s="163">
        <v>42998</v>
      </c>
      <c r="AB27" s="173" t="str">
        <f t="shared" si="4"/>
        <v>U7</v>
      </c>
      <c r="AC27" s="335"/>
      <c r="AD27" s="6"/>
      <c r="AE27" s="158">
        <v>42998</v>
      </c>
      <c r="AF27" s="134" t="str">
        <f t="shared" si="23"/>
        <v>EDU7</v>
      </c>
      <c r="AG27" s="385">
        <f>IF(RealTime,_xll.RtGet(IF(Y27=3,"IDN",RtChannel),$AF27,AG$12),"StaticData")</f>
        <v>98.76</v>
      </c>
      <c r="AH27" s="386">
        <f>IF(RealTime,_xll.RtGet(IF($Y27=3,"IDN",RtChannel),$AF27,AH$12),"StaticData")</f>
        <v>98.765000000000001</v>
      </c>
      <c r="AI27" s="385">
        <f>IF(RealTime,AG27,static_data())</f>
        <v>98.76</v>
      </c>
      <c r="AJ27" s="385">
        <f>IF(RealTime,AH27,static_data())</f>
        <v>98.765000000000001</v>
      </c>
      <c r="AK27" s="43">
        <f t="shared" si="5"/>
        <v>1.2374999999999972</v>
      </c>
      <c r="AN27" s="158">
        <v>42998</v>
      </c>
      <c r="AO27" s="134" t="str">
        <f t="shared" si="16"/>
        <v>USD_CURVE_FUT12M_U7</v>
      </c>
      <c r="AP27" s="385">
        <f>IF(RealTime,_xll.RtGet(RtChannel,$AO27,AP$12),"StaticData")</f>
        <v>97.922591989000011</v>
      </c>
      <c r="AQ27" s="386">
        <f>IF(RealTime,_xll.RtGet(RtChannel,$AO27,AQ$12),"StaticData")</f>
        <v>97.922591989000011</v>
      </c>
      <c r="AR27" s="385">
        <f>IF(RealTime,AP27,static_data())</f>
        <v>97.922591989000011</v>
      </c>
      <c r="AS27" s="385">
        <f>IF(RealTime,AQ27,static_data())</f>
        <v>97.922591989000011</v>
      </c>
      <c r="AT27" s="43">
        <f t="shared" si="6"/>
        <v>2.0774080109999886</v>
      </c>
      <c r="AV27" s="158">
        <v>42998</v>
      </c>
      <c r="AW27" s="134" t="str">
        <f t="shared" si="17"/>
        <v>USD_CURVE_FUT1M_U7</v>
      </c>
      <c r="AX27" s="385">
        <f>IF(RealTime,_xll.RtGet(RtChannel,$AW27,AX$12),"StaticData")</f>
        <v>98.972992927000007</v>
      </c>
      <c r="AY27" s="386">
        <f>IF(RealTime,_xll.RtGet(RtChannel,$AW27,AY$12),"StaticData")</f>
        <v>98.972992927000007</v>
      </c>
      <c r="AZ27" s="385">
        <f>IF(RealTime,AX27,static_data())</f>
        <v>98.972992927000007</v>
      </c>
      <c r="BA27" s="385">
        <f>IF(RealTime,AY27,static_data())</f>
        <v>98.972992927000007</v>
      </c>
      <c r="BB27" s="43">
        <f t="shared" si="7"/>
        <v>1.0270070729999929</v>
      </c>
      <c r="BD27" s="158">
        <v>42998</v>
      </c>
      <c r="BE27" s="134" t="str">
        <f t="shared" si="18"/>
        <v>USD_CURVE_FUT3M_U7</v>
      </c>
      <c r="BF27" s="385">
        <f>IF(RealTime,_xll.RtGet(RtChannel,$BE27,BF$12),"StaticData")</f>
        <v>98.764846634000008</v>
      </c>
      <c r="BG27" s="386">
        <f>IF(RealTime,_xll.RtGet(RtChannel,$BE27,BG$12),"StaticData")</f>
        <v>98.764846634000008</v>
      </c>
      <c r="BH27" s="385">
        <f>IF(RealTime,BF27,static_data())</f>
        <v>98.764846634000008</v>
      </c>
      <c r="BI27" s="385">
        <f>IF(RealTime,BG27,static_data())</f>
        <v>98.764846634000008</v>
      </c>
      <c r="BJ27" s="43">
        <f t="shared" si="8"/>
        <v>1.2351533659999916</v>
      </c>
      <c r="BL27" s="382"/>
      <c r="BM27" s="158">
        <v>42998</v>
      </c>
      <c r="BN27" s="134" t="str">
        <f t="shared" si="19"/>
        <v>USD_CURVE_FUT6M_U7</v>
      </c>
      <c r="BO27" s="385">
        <f>IF(RealTime,_xll.RtGet(RtChannel,$BN27,BO$12),"StaticData")</f>
        <v>98.500482147</v>
      </c>
      <c r="BP27" s="386">
        <f>IF(RealTime,_xll.RtGet(RtChannel,$BN27,BP$12),"StaticData")</f>
        <v>98.500482147</v>
      </c>
      <c r="BQ27" s="385">
        <f>IF(RealTime,BO27,static_data())</f>
        <v>98.500482147</v>
      </c>
      <c r="BR27" s="385">
        <f>IF(RealTime,BP27,static_data())</f>
        <v>98.500482147</v>
      </c>
      <c r="BS27" s="43">
        <f t="shared" si="9"/>
        <v>1.4995178530000004</v>
      </c>
      <c r="BV27" s="136" t="s">
        <v>49</v>
      </c>
      <c r="BW27" s="137" t="str">
        <f t="shared" si="11"/>
        <v>9M</v>
      </c>
      <c r="BX27" s="134" t="str">
        <f t="shared" si="24"/>
        <v>USD_CURVE_OIS_9M</v>
      </c>
      <c r="BY27" s="70">
        <f>IF(RealTime,_xll.RtGet(RtChannel,$BX27,BY$12),"StaticData")</f>
        <v>0.66400000000000003</v>
      </c>
      <c r="BZ27" s="70">
        <f>IF(RealTime,_xll.RtGet(RtChannel,$BX27,BZ$12),"StaticData")</f>
        <v>0.66400000000000003</v>
      </c>
      <c r="CA27" s="79">
        <f>IF(RealTime,BY27,static_data())</f>
        <v>0.66400000000000003</v>
      </c>
      <c r="CB27" s="71">
        <f>IF(RealTime,BZ27,static_data())</f>
        <v>0.66400000000000003</v>
      </c>
      <c r="CC27" s="43">
        <f t="shared" si="20"/>
        <v>0.66400000000000003</v>
      </c>
    </row>
    <row r="28" spans="1:81">
      <c r="A28" s="331">
        <v>14</v>
      </c>
      <c r="B28" s="102" t="s">
        <v>3852</v>
      </c>
      <c r="C28" s="128">
        <v>98.135000000000005</v>
      </c>
      <c r="D28" s="128">
        <v>98.14</v>
      </c>
      <c r="E28" s="132">
        <f t="shared" si="14"/>
        <v>98.137500000000003</v>
      </c>
      <c r="F28" s="222">
        <f>IF(RealTime,_xll.RtGet("IDN",B28,"EXPIR_DATE")+2,static_data()+0)</f>
        <v>43544</v>
      </c>
      <c r="G28" s="146" t="str">
        <f t="shared" si="12"/>
        <v>H9</v>
      </c>
      <c r="H28" s="125" t="str">
        <f t="shared" si="15"/>
        <v>MAR 19</v>
      </c>
      <c r="I28" s="336" t="str">
        <f t="shared" si="13"/>
        <v>CME EURO USD 3M;MAR 19</v>
      </c>
      <c r="J28" s="206" t="e">
        <f>'usd disaggregated'!K107</f>
        <v>#N/A</v>
      </c>
      <c r="Q28" s="169" t="str">
        <f>"#"&amp;TEXT(DataSTUB,"YYYYMMDD")</f>
        <v>#20170621</v>
      </c>
      <c r="R28" s="102" t="s">
        <v>507</v>
      </c>
      <c r="S28" s="163" t="s">
        <v>92</v>
      </c>
      <c r="T28" s="161">
        <f>DataSTUB</f>
        <v>42907</v>
      </c>
      <c r="U28" s="288" t="b">
        <v>1</v>
      </c>
      <c r="V28" s="284">
        <v>43089</v>
      </c>
      <c r="W28" s="137" t="str">
        <v>F</v>
      </c>
      <c r="X28" s="130" t="str">
        <f t="shared" si="1"/>
        <v>F3</v>
      </c>
      <c r="Y28" s="173">
        <f t="shared" si="2"/>
        <v>3</v>
      </c>
      <c r="Z28" s="175" t="str">
        <f t="shared" si="22"/>
        <v>DEC 17</v>
      </c>
      <c r="AA28" s="163">
        <v>43089</v>
      </c>
      <c r="AB28" s="173" t="str">
        <f t="shared" si="4"/>
        <v>Z7</v>
      </c>
      <c r="AC28" s="335"/>
      <c r="AD28" s="6"/>
      <c r="AE28" s="158">
        <v>43089</v>
      </c>
      <c r="AF28" s="134" t="str">
        <f t="shared" si="23"/>
        <v>EDZ7</v>
      </c>
      <c r="AG28" s="385">
        <f>IF(RealTime,_xll.RtGet(IF(Y28=3,"IDN",RtChannel),$AF28,AG$12),"StaticData")</f>
        <v>98.64</v>
      </c>
      <c r="AH28" s="386">
        <f>IF(RealTime,_xll.RtGet(IF($Y28=3,"IDN",RtChannel),$AF28,AH$12),"StaticData")</f>
        <v>98.644999999999996</v>
      </c>
      <c r="AI28" s="385">
        <f>IF(RealTime,AG28,static_data())</f>
        <v>98.64</v>
      </c>
      <c r="AJ28" s="385">
        <f>IF(RealTime,AH28,static_data())</f>
        <v>98.644999999999996</v>
      </c>
      <c r="AK28" s="43">
        <f t="shared" si="5"/>
        <v>1.3575000000000017</v>
      </c>
      <c r="AN28" s="158">
        <v>43089</v>
      </c>
      <c r="AO28" s="134" t="str">
        <f t="shared" si="16"/>
        <v>USD_CURVE_FUT12M_Z7</v>
      </c>
      <c r="AP28" s="385">
        <f>IF(RealTime,_xll.RtGet(RtChannel,$AO28,AP$12),"StaticData")</f>
        <v>98.141467521999999</v>
      </c>
      <c r="AQ28" s="385">
        <f>IF(RealTime,_xll.RtGet(RtChannel,$AO28,AQ$12),"StaticData")</f>
        <v>98.141467521999999</v>
      </c>
      <c r="AR28" s="387">
        <f>IF(RealTime,AP28,static_data())</f>
        <v>98.141467521999999</v>
      </c>
      <c r="AS28" s="385">
        <f>IF(RealTime,AQ28,static_data())</f>
        <v>98.141467521999999</v>
      </c>
      <c r="AT28" s="43">
        <f t="shared" si="6"/>
        <v>1.8585324780000008</v>
      </c>
      <c r="AV28" s="158">
        <v>43089</v>
      </c>
      <c r="AW28" s="134" t="str">
        <f t="shared" si="17"/>
        <v>USD_CURVE_FUT1M_Z7</v>
      </c>
      <c r="AX28" s="385">
        <f>IF(RealTime,_xll.RtGet(RtChannel,$AW28,AX$12),"StaticData")</f>
        <v>98.858736085000004</v>
      </c>
      <c r="AY28" s="385">
        <f>IF(RealTime,_xll.RtGet(RtChannel,$AW28,AY$12),"StaticData")</f>
        <v>98.858736085000004</v>
      </c>
      <c r="AZ28" s="387">
        <f>IF(RealTime,AX28,static_data())</f>
        <v>98.858736085000004</v>
      </c>
      <c r="BA28" s="385">
        <f>IF(RealTime,AY28,static_data())</f>
        <v>98.858736085000004</v>
      </c>
      <c r="BB28" s="43">
        <f t="shared" si="7"/>
        <v>1.1412639149999961</v>
      </c>
      <c r="BD28" s="158">
        <v>43089</v>
      </c>
      <c r="BE28" s="134" t="str">
        <f t="shared" si="18"/>
        <v>USD_CURVE_FUT3M_Z7</v>
      </c>
      <c r="BF28" s="385">
        <f>IF(RealTime,_xll.RtGet(RtChannel,$BE28,BF$12),"StaticData")</f>
        <v>98.646074662000004</v>
      </c>
      <c r="BG28" s="385">
        <f>IF(RealTime,_xll.RtGet(RtChannel,$BE28,BG$12),"StaticData")</f>
        <v>98.646074662000004</v>
      </c>
      <c r="BH28" s="387">
        <f>IF(RealTime,BF28,static_data())</f>
        <v>98.646074662000004</v>
      </c>
      <c r="BI28" s="385">
        <f>IF(RealTime,BG28,static_data())</f>
        <v>98.646074662000004</v>
      </c>
      <c r="BJ28" s="43">
        <f t="shared" si="8"/>
        <v>1.3539253379999963</v>
      </c>
      <c r="BL28" s="382"/>
      <c r="BM28" s="158">
        <v>43089</v>
      </c>
      <c r="BN28" s="134" t="str">
        <f t="shared" si="19"/>
        <v>USD_CURVE_FUT6M_Z7</v>
      </c>
      <c r="BO28" s="385">
        <f>IF(RealTime,_xll.RtGet(RtChannel,$BN28,BO$12),"StaticData")</f>
        <v>98.417139892000009</v>
      </c>
      <c r="BP28" s="385">
        <f>IF(RealTime,_xll.RtGet(RtChannel,$BN28,BP$12),"StaticData")</f>
        <v>98.417139892000009</v>
      </c>
      <c r="BQ28" s="387">
        <f>IF(RealTime,BO28,static_data())</f>
        <v>98.417139892000009</v>
      </c>
      <c r="BR28" s="385">
        <f>IF(RealTime,BP28,static_data())</f>
        <v>98.417139892000009</v>
      </c>
      <c r="BS28" s="43">
        <f t="shared" si="9"/>
        <v>1.5828601079999913</v>
      </c>
      <c r="BV28" s="136" t="s">
        <v>50</v>
      </c>
      <c r="BW28" s="137" t="str">
        <f t="shared" si="11"/>
        <v>10M</v>
      </c>
      <c r="BX28" s="134" t="str">
        <f t="shared" si="24"/>
        <v>USD_CURVE_OIS_10M</v>
      </c>
      <c r="BY28" s="70">
        <f>IF(RealTime,_xll.RtGet(RtChannel,$BX28,BY$12),"StaticData")</f>
        <v>0.67900000000000005</v>
      </c>
      <c r="BZ28" s="70">
        <f>IF(RealTime,_xll.RtGet(RtChannel,$BX28,BZ$12),"StaticData")</f>
        <v>0.67900000000000005</v>
      </c>
      <c r="CA28" s="79">
        <f>IF(RealTime,BY28,static_data())</f>
        <v>0.67900000000000005</v>
      </c>
      <c r="CB28" s="71">
        <f>IF(RealTime,BZ28,static_data())</f>
        <v>0.67900000000000005</v>
      </c>
      <c r="CC28" s="43">
        <f t="shared" si="20"/>
        <v>0.67900000000000005</v>
      </c>
    </row>
    <row r="29" spans="1:81">
      <c r="A29" s="331">
        <v>15</v>
      </c>
      <c r="B29" s="102" t="s">
        <v>3853</v>
      </c>
      <c r="C29" s="128">
        <v>98.05</v>
      </c>
      <c r="D29" s="128">
        <v>98.055000000000007</v>
      </c>
      <c r="E29" s="132">
        <f t="shared" si="14"/>
        <v>98.052500000000009</v>
      </c>
      <c r="F29" s="222">
        <f>IF(RealTime,_xll.RtGet("IDN",B29,"EXPIR_DATE")+2,static_data()+0)</f>
        <v>43635</v>
      </c>
      <c r="G29" s="146" t="str">
        <f t="shared" si="12"/>
        <v>M9</v>
      </c>
      <c r="H29" s="125" t="str">
        <f t="shared" si="15"/>
        <v>JUN 19</v>
      </c>
      <c r="I29" s="336" t="str">
        <f t="shared" si="13"/>
        <v>CME EURO USD 3M;JUN 19</v>
      </c>
      <c r="J29" s="206" t="e">
        <f>'usd disaggregated'!K108</f>
        <v>#N/A</v>
      </c>
      <c r="Q29" s="170">
        <f t="shared" ref="Q29:Q34" si="25">M17</f>
        <v>42907</v>
      </c>
      <c r="R29" s="102" t="s">
        <v>505</v>
      </c>
      <c r="S29" s="266"/>
      <c r="T29" s="377">
        <f t="shared" ref="T29:T38" si="26">IF(ISNUMBER(Q29),Q29,"")</f>
        <v>42907</v>
      </c>
      <c r="U29" s="288" t="b">
        <v>1</v>
      </c>
      <c r="V29" s="284">
        <v>43180</v>
      </c>
      <c r="W29" s="137" t="str">
        <v>F</v>
      </c>
      <c r="X29" s="130" t="str">
        <f t="shared" si="1"/>
        <v>F4</v>
      </c>
      <c r="Y29" s="173">
        <f t="shared" si="2"/>
        <v>3</v>
      </c>
      <c r="Z29" s="175" t="str">
        <f t="shared" si="22"/>
        <v>MAR 18</v>
      </c>
      <c r="AA29" s="163">
        <v>43180</v>
      </c>
      <c r="AB29" s="173" t="str">
        <f t="shared" si="4"/>
        <v>H8</v>
      </c>
      <c r="AC29" s="146">
        <f t="shared" ref="AC29:AC34" si="27">IF(ISNUMBER(V29),INDEX($O$17:$O$22,MATCH(FutCode(V29),$N$17:$N$22,0),1),"")</f>
        <v>0</v>
      </c>
      <c r="AD29" s="6"/>
      <c r="AE29" s="158">
        <v>43180</v>
      </c>
      <c r="AF29" s="134" t="str">
        <f t="shared" si="23"/>
        <v>EDH8</v>
      </c>
      <c r="AG29" s="385">
        <f>IF(RealTime,_xll.RtGet(IF(Y29=3,"IDN",RtChannel),$AF29,AG$12),"StaticData")</f>
        <v>98.54</v>
      </c>
      <c r="AH29" s="386">
        <f>IF(RealTime,_xll.RtGet(IF($Y29=3,"IDN",RtChannel),$AF29,AH$12),"StaticData")</f>
        <v>98.545000000000002</v>
      </c>
      <c r="AI29" s="385">
        <f>IF(RealTime,AG29,static_data())</f>
        <v>98.54</v>
      </c>
      <c r="AJ29" s="385">
        <f>IF(RealTime,AH29,static_data())</f>
        <v>98.545000000000002</v>
      </c>
      <c r="AK29" s="43">
        <f t="shared" si="5"/>
        <v>1.457499999999996</v>
      </c>
      <c r="AN29" s="158">
        <v>43180</v>
      </c>
      <c r="AO29" s="134" t="str">
        <f t="shared" si="16"/>
        <v>USD_CURVE_FUT12M_H8</v>
      </c>
      <c r="AP29" s="385">
        <f>IF(RealTime,_xll.RtGet(RtChannel,$AO29,AP$12),"StaticData")</f>
        <v>98.302044577000004</v>
      </c>
      <c r="AQ29" s="386">
        <f>IF(RealTime,_xll.RtGet(RtChannel,$AO29,AQ$12),"StaticData")</f>
        <v>98.302044577000004</v>
      </c>
      <c r="AR29" s="385">
        <f>IF(RealTime,AP29,static_data())</f>
        <v>98.302044577000004</v>
      </c>
      <c r="AS29" s="385">
        <f>IF(RealTime,AQ29,static_data())</f>
        <v>98.302044577000004</v>
      </c>
      <c r="AT29" s="43">
        <f t="shared" si="6"/>
        <v>1.6979554229999962</v>
      </c>
      <c r="AV29" s="158">
        <v>43180</v>
      </c>
      <c r="AW29" s="134" t="str">
        <f t="shared" si="17"/>
        <v>USD_CURVE_FUT1M_H8</v>
      </c>
      <c r="AX29" s="385">
        <f>IF(RealTime,_xll.RtGet(RtChannel,$AW29,AX$12),"StaticData")</f>
        <v>98.744439031000013</v>
      </c>
      <c r="AY29" s="386">
        <f>IF(RealTime,_xll.RtGet(RtChannel,$AW29,AY$12),"StaticData")</f>
        <v>98.744439031000013</v>
      </c>
      <c r="AZ29" s="385">
        <f>IF(RealTime,AX29,static_data())</f>
        <v>98.744439031000013</v>
      </c>
      <c r="BA29" s="385">
        <f>IF(RealTime,AY29,static_data())</f>
        <v>98.744439031000013</v>
      </c>
      <c r="BB29" s="43">
        <f t="shared" si="7"/>
        <v>1.2555609689999869</v>
      </c>
      <c r="BD29" s="158">
        <v>43180</v>
      </c>
      <c r="BE29" s="134" t="str">
        <f t="shared" si="18"/>
        <v>USD_CURVE_FUT3M_H8</v>
      </c>
      <c r="BF29" s="385">
        <f>IF(RealTime,_xll.RtGet(RtChannel,$BE29,BF$12),"StaticData")</f>
        <v>98.547580974000013</v>
      </c>
      <c r="BG29" s="386">
        <f>IF(RealTime,_xll.RtGet(RtChannel,$BE29,BG$12),"StaticData")</f>
        <v>98.547580974000013</v>
      </c>
      <c r="BH29" s="385">
        <f>IF(RealTime,BF29,static_data())</f>
        <v>98.547580974000013</v>
      </c>
      <c r="BI29" s="385">
        <f>IF(RealTime,BG29,static_data())</f>
        <v>98.547580974000013</v>
      </c>
      <c r="BJ29" s="43">
        <f t="shared" si="8"/>
        <v>1.452419025999987</v>
      </c>
      <c r="BL29" s="382"/>
      <c r="BM29" s="158">
        <v>43180</v>
      </c>
      <c r="BN29" s="134" t="str">
        <f t="shared" si="19"/>
        <v>USD_CURVE_FUT6M_H8</v>
      </c>
      <c r="BO29" s="385">
        <f>IF(RealTime,_xll.RtGet(RtChannel,$BN29,BO$12),"StaticData")</f>
        <v>98.310588285000009</v>
      </c>
      <c r="BP29" s="386">
        <f>IF(RealTime,_xll.RtGet(RtChannel,$BN29,BP$12),"StaticData")</f>
        <v>98.310588285000009</v>
      </c>
      <c r="BQ29" s="385">
        <f>IF(RealTime,BO29,static_data())</f>
        <v>98.310588285000009</v>
      </c>
      <c r="BR29" s="385">
        <f>IF(RealTime,BP29,static_data())</f>
        <v>98.310588285000009</v>
      </c>
      <c r="BS29" s="43">
        <f t="shared" si="9"/>
        <v>1.6894117149999914</v>
      </c>
      <c r="BV29" s="136" t="s">
        <v>51</v>
      </c>
      <c r="BW29" s="137" t="str">
        <f t="shared" si="11"/>
        <v>11M</v>
      </c>
      <c r="BX29" s="134" t="str">
        <f t="shared" si="24"/>
        <v>USD_CURVE_OIS_11M</v>
      </c>
      <c r="BY29" s="70">
        <f>IF(RealTime,_xll.RtGet(RtChannel,$BX29,BY$12),"StaticData")</f>
        <v>0.69800000000000006</v>
      </c>
      <c r="BZ29" s="70">
        <f>IF(RealTime,_xll.RtGet(RtChannel,$BX29,BZ$12),"StaticData")</f>
        <v>0.69800000000000006</v>
      </c>
      <c r="CA29" s="79">
        <f>IF(RealTime,BY29,static_data())</f>
        <v>0.69800000000000006</v>
      </c>
      <c r="CB29" s="71">
        <f>IF(RealTime,BZ29,static_data())</f>
        <v>0.69800000000000006</v>
      </c>
      <c r="CC29" s="43">
        <f t="shared" si="20"/>
        <v>0.69800000000000006</v>
      </c>
    </row>
    <row r="30" spans="1:81">
      <c r="A30" s="331">
        <v>16</v>
      </c>
      <c r="B30" s="102" t="s">
        <v>3854</v>
      </c>
      <c r="C30" s="128">
        <v>97.97</v>
      </c>
      <c r="D30" s="128">
        <v>97.975000000000009</v>
      </c>
      <c r="E30" s="132">
        <f t="shared" si="14"/>
        <v>97.972499999999997</v>
      </c>
      <c r="F30" s="222">
        <f>IF(RealTime,_xll.RtGet("IDN",B30,"EXPIR_DATE")+2,static_data()+0)</f>
        <v>43726</v>
      </c>
      <c r="G30" s="146" t="str">
        <f t="shared" si="12"/>
        <v>U9</v>
      </c>
      <c r="H30" s="125" t="str">
        <f t="shared" si="15"/>
        <v>SEP 19</v>
      </c>
      <c r="I30" s="336" t="str">
        <f t="shared" si="13"/>
        <v>CME EURO USD 3M;SEP 19</v>
      </c>
      <c r="J30" s="206" t="e">
        <f>'usd disaggregated'!K109</f>
        <v>#N/A</v>
      </c>
      <c r="Q30" s="170">
        <f t="shared" si="25"/>
        <v>42998</v>
      </c>
      <c r="R30" s="102" t="s">
        <v>505</v>
      </c>
      <c r="S30" s="266"/>
      <c r="T30" s="375">
        <f t="shared" si="26"/>
        <v>42998</v>
      </c>
      <c r="U30" s="288" t="b">
        <v>1</v>
      </c>
      <c r="V30" s="284">
        <v>43271</v>
      </c>
      <c r="W30" s="137" t="str">
        <v>F</v>
      </c>
      <c r="X30" s="130" t="str">
        <f t="shared" si="1"/>
        <v>F5</v>
      </c>
      <c r="Y30" s="173">
        <f t="shared" si="2"/>
        <v>3</v>
      </c>
      <c r="Z30" s="175" t="str">
        <f t="shared" si="22"/>
        <v>JUN 18</v>
      </c>
      <c r="AA30" s="163">
        <v>43271</v>
      </c>
      <c r="AB30" s="173" t="str">
        <f t="shared" si="4"/>
        <v>M8</v>
      </c>
      <c r="AC30" s="146">
        <f t="shared" si="27"/>
        <v>0</v>
      </c>
      <c r="AD30" s="6"/>
      <c r="AE30" s="158">
        <v>43271</v>
      </c>
      <c r="AF30" s="134" t="str">
        <f t="shared" si="23"/>
        <v>EDM8</v>
      </c>
      <c r="AG30" s="385">
        <f>IF(RealTime,_xll.RtGet(IF(Y30=3,"IDN",RtChannel),$AF30,AG$12),"StaticData")</f>
        <v>98.435000000000002</v>
      </c>
      <c r="AH30" s="386">
        <f>IF(RealTime,_xll.RtGet(IF($Y30=3,"IDN",RtChannel),$AF30,AH$12),"StaticData")</f>
        <v>98.44</v>
      </c>
      <c r="AI30" s="385">
        <f>IF(RealTime,AG30,static_data())</f>
        <v>98.435000000000002</v>
      </c>
      <c r="AJ30" s="385">
        <f>IF(RealTime,AH30,static_data())</f>
        <v>98.44</v>
      </c>
      <c r="AK30" s="43">
        <f t="shared" si="5"/>
        <v>1.5625</v>
      </c>
      <c r="AN30" s="158">
        <v>43271</v>
      </c>
      <c r="AO30" s="134" t="str">
        <f t="shared" si="16"/>
        <v>USD_CURVE_FUT12M_M8</v>
      </c>
      <c r="AP30" s="385">
        <f>IF(RealTime,_xll.RtGet(RtChannel,$AO30,AP$12),"StaticData")</f>
        <v>97.920764218000002</v>
      </c>
      <c r="AQ30" s="386">
        <f>IF(RealTime,_xll.RtGet(RtChannel,$AO30,AQ$12),"StaticData")</f>
        <v>97.920764218000002</v>
      </c>
      <c r="AR30" s="385">
        <f>IF(RealTime,AP30,static_data())</f>
        <v>97.920764218000002</v>
      </c>
      <c r="AS30" s="385">
        <f>IF(RealTime,AQ30,static_data())</f>
        <v>97.920764218000002</v>
      </c>
      <c r="AT30" s="43">
        <f t="shared" si="6"/>
        <v>2.0792357819999978</v>
      </c>
      <c r="AV30" s="158">
        <v>43271</v>
      </c>
      <c r="AW30" s="134" t="str">
        <f t="shared" si="17"/>
        <v>USD_CURVE_FUT1M_M8</v>
      </c>
      <c r="AX30" s="385">
        <f>IF(RealTime,_xll.RtGet(RtChannel,$AW30,AX$12),"StaticData")</f>
        <v>98.634315296000011</v>
      </c>
      <c r="AY30" s="386">
        <f>IF(RealTime,_xll.RtGet(RtChannel,$AW30,AY$12),"StaticData")</f>
        <v>98.634315296000011</v>
      </c>
      <c r="AZ30" s="385">
        <f>IF(RealTime,AX30,static_data())</f>
        <v>98.634315296000011</v>
      </c>
      <c r="BA30" s="385">
        <f>IF(RealTime,AY30,static_data())</f>
        <v>98.634315296000011</v>
      </c>
      <c r="BB30" s="43">
        <f t="shared" si="7"/>
        <v>1.3656847039999889</v>
      </c>
      <c r="BD30" s="158">
        <v>43271</v>
      </c>
      <c r="BE30" s="134" t="str">
        <f t="shared" si="18"/>
        <v>USD_CURVE_FUT3M_M8</v>
      </c>
      <c r="BF30" s="385">
        <f>IF(RealTime,_xll.RtGet(RtChannel,$BE30,BF$12),"StaticData")</f>
        <v>98.444296187000006</v>
      </c>
      <c r="BG30" s="386">
        <f>IF(RealTime,_xll.RtGet(RtChannel,$BE30,BG$12),"StaticData")</f>
        <v>98.444296187000006</v>
      </c>
      <c r="BH30" s="385">
        <f>IF(RealTime,BF30,static_data())</f>
        <v>98.444296187000006</v>
      </c>
      <c r="BI30" s="385">
        <f>IF(RealTime,BG30,static_data())</f>
        <v>98.444296187000006</v>
      </c>
      <c r="BJ30" s="43">
        <f t="shared" si="8"/>
        <v>1.5557038129999938</v>
      </c>
      <c r="BL30" s="382"/>
      <c r="BM30" s="158">
        <v>43271</v>
      </c>
      <c r="BN30" s="134" t="str">
        <f t="shared" si="19"/>
        <v>USD_CURVE_FUT6M_M8</v>
      </c>
      <c r="BO30" s="385">
        <f>IF(RealTime,_xll.RtGet(RtChannel,$BN30,BO$12),"StaticData")</f>
        <v>98.212381155000003</v>
      </c>
      <c r="BP30" s="386">
        <f>IF(RealTime,_xll.RtGet(RtChannel,$BN30,BP$12),"StaticData")</f>
        <v>98.212381155000003</v>
      </c>
      <c r="BQ30" s="385">
        <f>IF(RealTime,BO30,static_data())</f>
        <v>98.212381155000003</v>
      </c>
      <c r="BR30" s="385">
        <f>IF(RealTime,BP30,static_data())</f>
        <v>98.212381155000003</v>
      </c>
      <c r="BS30" s="43">
        <f t="shared" si="9"/>
        <v>1.7876188449999972</v>
      </c>
      <c r="BV30" s="136" t="s">
        <v>56</v>
      </c>
      <c r="BW30" s="137" t="str">
        <f t="shared" si="11"/>
        <v>1Y</v>
      </c>
      <c r="BX30" s="134" t="str">
        <f t="shared" si="24"/>
        <v>USD_CURVE_OIS_1Y</v>
      </c>
      <c r="BY30" s="70">
        <f>IF(RealTime,_xll.RtGet(RtChannel,$BX30,BY$12),"StaticData")</f>
        <v>0.71499999999999997</v>
      </c>
      <c r="BZ30" s="70">
        <f>IF(RealTime,_xll.RtGet(RtChannel,$BX30,BZ$12),"StaticData")</f>
        <v>0.71499999999999997</v>
      </c>
      <c r="CA30" s="79">
        <f>IF(RealTime,BY30,static_data())</f>
        <v>0.71499999999999997</v>
      </c>
      <c r="CB30" s="71">
        <f>IF(RealTime,BZ30,static_data())</f>
        <v>0.71499999999999997</v>
      </c>
      <c r="CC30" s="43">
        <f t="shared" si="20"/>
        <v>0.71499999999999997</v>
      </c>
    </row>
    <row r="31" spans="1:81">
      <c r="A31" s="331">
        <v>17</v>
      </c>
      <c r="B31" s="102" t="s">
        <v>3863</v>
      </c>
      <c r="C31" s="128">
        <v>97.89</v>
      </c>
      <c r="D31" s="128">
        <v>97.894999999999996</v>
      </c>
      <c r="E31" s="132">
        <f t="shared" si="14"/>
        <v>97.892499999999998</v>
      </c>
      <c r="F31" s="222">
        <f>IF(RealTime,_xll.RtGet("IDN",B31,"EXPIR_DATE")+2,static_data()+0)</f>
        <v>43817</v>
      </c>
      <c r="G31" s="146" t="str">
        <f t="shared" si="12"/>
        <v>Z9</v>
      </c>
      <c r="H31" s="125" t="str">
        <f t="shared" si="15"/>
        <v>DEC 19</v>
      </c>
      <c r="I31" s="336" t="str">
        <f t="shared" si="13"/>
        <v>CME EURO USD 3M;DEC 19</v>
      </c>
      <c r="J31" s="206" t="e">
        <f>'usd disaggregated'!K110</f>
        <v>#N/A</v>
      </c>
      <c r="Q31" s="170">
        <f t="shared" si="25"/>
        <v>43089</v>
      </c>
      <c r="R31" s="102" t="s">
        <v>505</v>
      </c>
      <c r="S31" s="266"/>
      <c r="T31" s="375">
        <f t="shared" si="26"/>
        <v>43089</v>
      </c>
      <c r="U31" s="288" t="b">
        <v>1</v>
      </c>
      <c r="V31" s="284">
        <v>43362</v>
      </c>
      <c r="W31" s="137" t="str">
        <v>F</v>
      </c>
      <c r="X31" s="130" t="str">
        <f t="shared" si="1"/>
        <v>F6</v>
      </c>
      <c r="Y31" s="173">
        <f t="shared" si="2"/>
        <v>3</v>
      </c>
      <c r="Z31" s="175" t="str">
        <f t="shared" si="22"/>
        <v>SEP 18</v>
      </c>
      <c r="AA31" s="163">
        <v>43362</v>
      </c>
      <c r="AB31" s="173" t="str">
        <f t="shared" si="4"/>
        <v>U8</v>
      </c>
      <c r="AC31" s="146">
        <f t="shared" si="27"/>
        <v>5.0000000000000001E-3</v>
      </c>
      <c r="AD31" s="6"/>
      <c r="AE31" s="158">
        <v>43362</v>
      </c>
      <c r="AF31" s="134" t="str">
        <f t="shared" si="23"/>
        <v>EDU8</v>
      </c>
      <c r="AG31" s="385">
        <f>IF(RealTime,_xll.RtGet(IF(Y31=3,"IDN",RtChannel),$AF31,AG$12),"StaticData")</f>
        <v>98.33</v>
      </c>
      <c r="AH31" s="386">
        <f>IF(RealTime,_xll.RtGet(IF($Y31=3,"IDN",RtChannel),$AF31,AH$12),"StaticData")</f>
        <v>98.335000000000008</v>
      </c>
      <c r="AI31" s="385">
        <f>IF(RealTime,AG31,static_data())</f>
        <v>98.33</v>
      </c>
      <c r="AJ31" s="385">
        <f>IF(RealTime,AH31,static_data())</f>
        <v>98.335000000000008</v>
      </c>
      <c r="AK31" s="43">
        <f t="shared" si="5"/>
        <v>1.6624999999999899</v>
      </c>
      <c r="AN31" s="158">
        <v>43362</v>
      </c>
      <c r="AO31" s="134" t="str">
        <f t="shared" si="16"/>
        <v>USD_CURVE_FUT12M_U8</v>
      </c>
      <c r="AP31" s="385">
        <f>IF(RealTime,_xll.RtGet(RtChannel,$AO31,AP$12),"StaticData")</f>
        <v>97.840157118000008</v>
      </c>
      <c r="AQ31" s="386">
        <f>IF(RealTime,_xll.RtGet(RtChannel,$AO31,AQ$12),"StaticData")</f>
        <v>97.840157118000008</v>
      </c>
      <c r="AR31" s="385">
        <f>IF(RealTime,AP31,static_data())</f>
        <v>97.840157118000008</v>
      </c>
      <c r="AS31" s="385">
        <f>IF(RealTime,AQ31,static_data())</f>
        <v>97.840157118000008</v>
      </c>
      <c r="AT31" s="43">
        <f t="shared" si="6"/>
        <v>2.1548428819999925</v>
      </c>
      <c r="AV31" s="158">
        <v>43362</v>
      </c>
      <c r="AW31" s="134" t="str">
        <f t="shared" si="17"/>
        <v>USD_CURVE_FUT1M_U8</v>
      </c>
      <c r="AX31" s="385">
        <f>IF(RealTime,_xll.RtGet(RtChannel,$AW31,AX$12),"StaticData")</f>
        <v>98.527713149000007</v>
      </c>
      <c r="AY31" s="386">
        <f>IF(RealTime,_xll.RtGet(RtChannel,$AW31,AY$12),"StaticData")</f>
        <v>98.527713149000007</v>
      </c>
      <c r="AZ31" s="385">
        <f>IF(RealTime,AX31,static_data())</f>
        <v>98.527713149000007</v>
      </c>
      <c r="BA31" s="385">
        <f>IF(RealTime,AY31,static_data())</f>
        <v>98.527713149000007</v>
      </c>
      <c r="BB31" s="43">
        <f t="shared" si="7"/>
        <v>1.4672868509999928</v>
      </c>
      <c r="BD31" s="158">
        <v>43362</v>
      </c>
      <c r="BE31" s="134" t="str">
        <f t="shared" si="18"/>
        <v>USD_CURVE_FUT3M_U8</v>
      </c>
      <c r="BF31" s="385">
        <f>IF(RealTime,_xll.RtGet(RtChannel,$BE31,BF$12),"StaticData")</f>
        <v>98.341219232</v>
      </c>
      <c r="BG31" s="386">
        <f>IF(RealTime,_xll.RtGet(RtChannel,$BE31,BG$12),"StaticData")</f>
        <v>98.341219232</v>
      </c>
      <c r="BH31" s="385">
        <f>IF(RealTime,BF31,static_data())</f>
        <v>98.341219232</v>
      </c>
      <c r="BI31" s="385">
        <f>IF(RealTime,BG31,static_data())</f>
        <v>98.341219232</v>
      </c>
      <c r="BJ31" s="43">
        <f t="shared" si="8"/>
        <v>1.6587807679999997</v>
      </c>
      <c r="BL31" s="382"/>
      <c r="BM31" s="158">
        <v>43362</v>
      </c>
      <c r="BN31" s="134" t="str">
        <f t="shared" si="19"/>
        <v>USD_CURVE_FUT6M_U8</v>
      </c>
      <c r="BO31" s="385">
        <f>IF(RealTime,_xll.RtGet(RtChannel,$BN31,BO$12),"StaticData")</f>
        <v>98.098105323000013</v>
      </c>
      <c r="BP31" s="386">
        <f>IF(RealTime,_xll.RtGet(RtChannel,$BN31,BP$12),"StaticData")</f>
        <v>98.098105323000013</v>
      </c>
      <c r="BQ31" s="385">
        <f>IF(RealTime,BO31,static_data())</f>
        <v>98.098105323000013</v>
      </c>
      <c r="BR31" s="385">
        <f>IF(RealTime,BP31,static_data())</f>
        <v>98.098105323000013</v>
      </c>
      <c r="BS31" s="43">
        <f t="shared" si="9"/>
        <v>1.9018946769999872</v>
      </c>
      <c r="BV31" s="136" t="s">
        <v>53</v>
      </c>
      <c r="BW31" s="137" t="str">
        <f t="shared" si="11"/>
        <v>15M</v>
      </c>
      <c r="BX31" s="134" t="str">
        <f t="shared" si="24"/>
        <v>USD_CURVE_OIS_15M</v>
      </c>
      <c r="BY31" s="70">
        <f>IF(RealTime,_xll.RtGet(RtChannel,$BX31,BY$12),"StaticData")</f>
        <v>0.76700000000000002</v>
      </c>
      <c r="BZ31" s="70">
        <f>IF(RealTime,_xll.RtGet(RtChannel,$BX31,BZ$12),"StaticData")</f>
        <v>0.76700000000000002</v>
      </c>
      <c r="CA31" s="79">
        <f>IF(RealTime,BY31,static_data())</f>
        <v>0.76700000000000002</v>
      </c>
      <c r="CB31" s="71">
        <f>IF(RealTime,BZ31,static_data())</f>
        <v>0.76700000000000002</v>
      </c>
      <c r="CC31" s="43">
        <f t="shared" si="20"/>
        <v>0.76700000000000002</v>
      </c>
    </row>
    <row r="32" spans="1:81">
      <c r="A32" s="331">
        <v>18</v>
      </c>
      <c r="B32" s="102" t="s">
        <v>4999</v>
      </c>
      <c r="C32" s="128">
        <v>97.83</v>
      </c>
      <c r="D32" s="128">
        <v>97.835000000000008</v>
      </c>
      <c r="E32" s="132">
        <f t="shared" si="14"/>
        <v>97.83250000000001</v>
      </c>
      <c r="F32" s="222">
        <f>IF(RealTime,_xll.RtGet("IDN",B32,"EXPIR_DATE")+2,static_data()+0)</f>
        <v>43908</v>
      </c>
      <c r="G32" s="146" t="str">
        <f t="shared" si="12"/>
        <v>H0</v>
      </c>
      <c r="H32" s="125" t="str">
        <f t="shared" si="15"/>
        <v>MAR 20</v>
      </c>
      <c r="I32" s="336" t="str">
        <f t="shared" si="13"/>
        <v>CME EURO USD 3M;MAR 20</v>
      </c>
      <c r="J32" s="206" t="e">
        <f>'usd disaggregated'!K111</f>
        <v>#N/A</v>
      </c>
      <c r="Q32" s="170">
        <f t="shared" si="25"/>
        <v>43180</v>
      </c>
      <c r="R32" s="102" t="s">
        <v>505</v>
      </c>
      <c r="S32" s="266"/>
      <c r="T32" s="375">
        <f t="shared" si="26"/>
        <v>43180</v>
      </c>
      <c r="U32" s="288" t="b">
        <v>1</v>
      </c>
      <c r="V32" s="284" t="str">
        <v>3Y</v>
      </c>
      <c r="W32" s="137" t="str">
        <v>W</v>
      </c>
      <c r="X32" s="130" t="str">
        <f t="shared" si="1"/>
        <v>W1</v>
      </c>
      <c r="Y32" s="173">
        <f t="shared" si="2"/>
        <v>4</v>
      </c>
      <c r="Z32" s="175" t="str">
        <f t="shared" si="22"/>
        <v>3Y</v>
      </c>
      <c r="AA32" s="163">
        <v>43791</v>
      </c>
      <c r="AB32" s="173" t="str">
        <f t="shared" si="4"/>
        <v>3Y</v>
      </c>
      <c r="AC32" s="146" t="str">
        <f t="shared" si="27"/>
        <v/>
      </c>
      <c r="AD32" s="6"/>
      <c r="AE32" s="158" t="str">
        <v>3Y</v>
      </c>
      <c r="AF32" s="134" t="str">
        <f t="shared" si="23"/>
        <v>USD_CURVE_3M_3Y</v>
      </c>
      <c r="AG32" s="385">
        <f>IF(RealTime,_xll.RtGet(IF(Y32=3,"IDN",RtChannel),$AF32,AG$12),"StaticData")</f>
        <v>1.4539999840000002</v>
      </c>
      <c r="AH32" s="386">
        <f>IF(RealTime,_xll.RtGet(IF($Y32=3,"IDN",RtChannel),$AF32,AH$12),"StaticData")</f>
        <v>1.4539999840000002</v>
      </c>
      <c r="AI32" s="385">
        <f>IF(RealTime,AG32,static_data())</f>
        <v>1.4539999840000002</v>
      </c>
      <c r="AJ32" s="385">
        <f>IF(RealTime,AH32,static_data())</f>
        <v>1.4539999840000002</v>
      </c>
      <c r="AK32" s="43">
        <f t="shared" si="5"/>
        <v>1.4539999840000002</v>
      </c>
      <c r="AN32" s="158" t="str">
        <v>3Y</v>
      </c>
      <c r="AO32" s="134" t="str">
        <f t="shared" si="16"/>
        <v>USD_CURVE_12M_3Y</v>
      </c>
      <c r="AP32" s="385">
        <f>IF(RealTime,_xll.RtGet(RtChannel,$AO32,AP$12),"StaticData")</f>
        <v>1.9537483160000002</v>
      </c>
      <c r="AQ32" s="386">
        <f>IF(RealTime,_xll.RtGet(RtChannel,$AO32,AQ$12),"StaticData")</f>
        <v>1.9537483160000002</v>
      </c>
      <c r="AR32" s="385">
        <f>IF(RealTime,AP32,static_data())</f>
        <v>1.9537483160000002</v>
      </c>
      <c r="AS32" s="385">
        <f>IF(RealTime,AQ32,static_data())</f>
        <v>1.9537483160000002</v>
      </c>
      <c r="AT32" s="43">
        <f t="shared" si="6"/>
        <v>1.9537483160000002</v>
      </c>
      <c r="AV32" s="158" t="str">
        <v>3Y</v>
      </c>
      <c r="AW32" s="134" t="str">
        <f t="shared" si="17"/>
        <v>USD_CURVE_1M_3Y</v>
      </c>
      <c r="AX32" s="385">
        <f>IF(RealTime,_xll.RtGet(RtChannel,$AW32,AX$12),"StaticData")</f>
        <v>1.2629602240000002</v>
      </c>
      <c r="AY32" s="386">
        <f>IF(RealTime,_xll.RtGet(RtChannel,$AW32,AY$12),"StaticData")</f>
        <v>1.2629602240000002</v>
      </c>
      <c r="AZ32" s="385">
        <f>IF(RealTime,AX32,static_data())</f>
        <v>1.2629602240000002</v>
      </c>
      <c r="BA32" s="385">
        <f>IF(RealTime,AY32,static_data())</f>
        <v>1.2629602240000002</v>
      </c>
      <c r="BB32" s="43">
        <f t="shared" si="7"/>
        <v>1.2629602240000002</v>
      </c>
      <c r="BD32" s="158" t="str">
        <v>3Y</v>
      </c>
      <c r="BE32" s="134" t="str">
        <f t="shared" si="18"/>
        <v>USD_CURVE_3M_3Y</v>
      </c>
      <c r="BF32" s="385">
        <f>IF(RealTime,_xll.RtGet(RtChannel,$BE32,BF$12),"StaticData")</f>
        <v>1.4539999840000002</v>
      </c>
      <c r="BG32" s="386">
        <f>IF(RealTime,_xll.RtGet(RtChannel,$BE32,BG$12),"StaticData")</f>
        <v>1.4539999840000002</v>
      </c>
      <c r="BH32" s="385">
        <f>IF(RealTime,BF32,static_data())</f>
        <v>1.4539999840000002</v>
      </c>
      <c r="BI32" s="385">
        <f>IF(RealTime,BG32,static_data())</f>
        <v>1.4539999840000002</v>
      </c>
      <c r="BJ32" s="43">
        <f t="shared" si="8"/>
        <v>1.4539999840000002</v>
      </c>
      <c r="BL32" s="382"/>
      <c r="BM32" s="158" t="str">
        <v>3Y</v>
      </c>
      <c r="BN32" s="134" t="str">
        <f t="shared" si="19"/>
        <v>USD_CURVE_6M_3Y</v>
      </c>
      <c r="BO32" s="385">
        <f>IF(RealTime,_xll.RtGet(RtChannel,$BN32,BO$12),"StaticData")</f>
        <v>1.6930762450000001</v>
      </c>
      <c r="BP32" s="386">
        <f>IF(RealTime,_xll.RtGet(RtChannel,$BN32,BP$12),"StaticData")</f>
        <v>1.6930762450000001</v>
      </c>
      <c r="BQ32" s="385">
        <f>IF(RealTime,BO32,static_data())</f>
        <v>1.6930762450000001</v>
      </c>
      <c r="BR32" s="385">
        <f>IF(RealTime,BP32,static_data())</f>
        <v>1.6930762450000001</v>
      </c>
      <c r="BS32" s="43">
        <f t="shared" si="9"/>
        <v>1.6930762450000001</v>
      </c>
      <c r="BV32" s="136" t="s">
        <v>54</v>
      </c>
      <c r="BW32" s="137" t="str">
        <f t="shared" si="11"/>
        <v>18M</v>
      </c>
      <c r="BX32" s="134" t="str">
        <f t="shared" si="24"/>
        <v>USD_CURVE_OIS_18M</v>
      </c>
      <c r="BY32" s="70">
        <f>IF(RealTime,_xll.RtGet(RtChannel,$BX32,BY$12),"StaticData")</f>
        <v>0.81800000000000006</v>
      </c>
      <c r="BZ32" s="70">
        <f>IF(RealTime,_xll.RtGet(RtChannel,$BX32,BZ$12),"StaticData")</f>
        <v>0.81800000000000006</v>
      </c>
      <c r="CA32" s="79">
        <f>IF(RealTime,BY32,static_data())</f>
        <v>0.81800000000000006</v>
      </c>
      <c r="CB32" s="71">
        <f>IF(RealTime,BZ32,static_data())</f>
        <v>0.81800000000000006</v>
      </c>
      <c r="CC32" s="43">
        <f t="shared" si="20"/>
        <v>0.81800000000000006</v>
      </c>
    </row>
    <row r="33" spans="1:81">
      <c r="A33" s="331">
        <v>19</v>
      </c>
      <c r="B33" s="102" t="s">
        <v>5059</v>
      </c>
      <c r="C33" s="128">
        <v>97.76</v>
      </c>
      <c r="D33" s="128">
        <v>97.77</v>
      </c>
      <c r="E33" s="132">
        <f t="shared" si="14"/>
        <v>97.765000000000001</v>
      </c>
      <c r="F33" s="222">
        <f>IF(RealTime,_xll.RtGet("IDN",B33,"EXPIR_DATE")+2,static_data()+0)</f>
        <v>43999</v>
      </c>
      <c r="G33" s="146" t="str">
        <f t="shared" si="12"/>
        <v>M0</v>
      </c>
      <c r="H33" s="125" t="str">
        <f t="shared" si="15"/>
        <v>JUN 20</v>
      </c>
      <c r="I33" s="336" t="str">
        <f t="shared" si="13"/>
        <v>CME EURO USD 3M;JUN 20</v>
      </c>
      <c r="J33" s="206" t="e">
        <f>'usd disaggregated'!K112</f>
        <v>#N/A</v>
      </c>
      <c r="Q33" s="170">
        <f t="shared" si="25"/>
        <v>43271</v>
      </c>
      <c r="R33" s="102" t="s">
        <v>505</v>
      </c>
      <c r="S33" s="266"/>
      <c r="T33" s="375">
        <f t="shared" si="26"/>
        <v>43271</v>
      </c>
      <c r="U33" s="288" t="b">
        <v>1</v>
      </c>
      <c r="V33" s="284" t="str">
        <v>4Y</v>
      </c>
      <c r="W33" s="137" t="str">
        <v>W</v>
      </c>
      <c r="X33" s="130" t="str">
        <f t="shared" si="1"/>
        <v>W2</v>
      </c>
      <c r="Y33" s="173">
        <f t="shared" si="2"/>
        <v>4</v>
      </c>
      <c r="Z33" s="175" t="str">
        <f t="shared" si="22"/>
        <v>4Y</v>
      </c>
      <c r="AA33" s="163">
        <v>44158</v>
      </c>
      <c r="AB33" s="173" t="str">
        <f t="shared" si="4"/>
        <v>4Y</v>
      </c>
      <c r="AC33" s="146" t="str">
        <f t="shared" si="27"/>
        <v/>
      </c>
      <c r="AD33" s="6"/>
      <c r="AE33" s="158" t="str">
        <v>4Y</v>
      </c>
      <c r="AF33" s="134" t="str">
        <f t="shared" si="23"/>
        <v>USD_CURVE_3M_4Y</v>
      </c>
      <c r="AG33" s="385">
        <f>IF(RealTime,_xll.RtGet(IF(Y33=3,"IDN",RtChannel),$AF33,AG$12),"StaticData")</f>
        <v>1.611999988</v>
      </c>
      <c r="AH33" s="386">
        <f>IF(RealTime,_xll.RtGet(IF($Y33=3,"IDN",RtChannel),$AF33,AH$12),"StaticData")</f>
        <v>1.611999988</v>
      </c>
      <c r="AI33" s="385">
        <f>IF(RealTime,AG33,static_data())</f>
        <v>1.611999988</v>
      </c>
      <c r="AJ33" s="385">
        <f>IF(RealTime,AH33,static_data())</f>
        <v>1.611999988</v>
      </c>
      <c r="AK33" s="43">
        <f t="shared" si="5"/>
        <v>1.611999988</v>
      </c>
      <c r="AN33" s="158" t="str">
        <v>4Y</v>
      </c>
      <c r="AO33" s="134" t="str">
        <f t="shared" si="16"/>
        <v>USD_CURVE_12M_4Y</v>
      </c>
      <c r="AP33" s="385">
        <f>IF(RealTime,_xll.RtGet(RtChannel,$AO33,AP$12),"StaticData")</f>
        <v>2.1032392290000002</v>
      </c>
      <c r="AQ33" s="386">
        <f>IF(RealTime,_xll.RtGet(RtChannel,$AO33,AQ$12),"StaticData")</f>
        <v>2.1032392290000002</v>
      </c>
      <c r="AR33" s="385">
        <f>IF(RealTime,AP33,static_data())</f>
        <v>2.1032392290000002</v>
      </c>
      <c r="AS33" s="385">
        <f>IF(RealTime,AQ33,static_data())</f>
        <v>2.1032392290000002</v>
      </c>
      <c r="AT33" s="43">
        <f t="shared" si="6"/>
        <v>2.1032392290000002</v>
      </c>
      <c r="AV33" s="158" t="str">
        <v>4Y</v>
      </c>
      <c r="AW33" s="134" t="str">
        <f t="shared" si="17"/>
        <v>USD_CURVE_1M_4Y</v>
      </c>
      <c r="AX33" s="385">
        <f>IF(RealTime,_xll.RtGet(RtChannel,$AW33,AX$12),"StaticData")</f>
        <v>1.437930825</v>
      </c>
      <c r="AY33" s="386">
        <f>IF(RealTime,_xll.RtGet(RtChannel,$AW33,AY$12),"StaticData")</f>
        <v>1.437930825</v>
      </c>
      <c r="AZ33" s="385">
        <f>IF(RealTime,AX33,static_data())</f>
        <v>1.437930825</v>
      </c>
      <c r="BA33" s="385">
        <f>IF(RealTime,AY33,static_data())</f>
        <v>1.437930825</v>
      </c>
      <c r="BB33" s="43">
        <f t="shared" si="7"/>
        <v>1.437930825</v>
      </c>
      <c r="BD33" s="158" t="str">
        <v>4Y</v>
      </c>
      <c r="BE33" s="134" t="str">
        <f t="shared" si="18"/>
        <v>USD_CURVE_3M_4Y</v>
      </c>
      <c r="BF33" s="385">
        <f>IF(RealTime,_xll.RtGet(RtChannel,$BE33,BF$12),"StaticData")</f>
        <v>1.611999988</v>
      </c>
      <c r="BG33" s="386">
        <f>IF(RealTime,_xll.RtGet(RtChannel,$BE33,BG$12),"StaticData")</f>
        <v>1.611999988</v>
      </c>
      <c r="BH33" s="385">
        <f>IF(RealTime,BF33,static_data())</f>
        <v>1.611999988</v>
      </c>
      <c r="BI33" s="385">
        <f>IF(RealTime,BG33,static_data())</f>
        <v>1.611999988</v>
      </c>
      <c r="BJ33" s="43">
        <f t="shared" si="8"/>
        <v>1.611999988</v>
      </c>
      <c r="BL33" s="382"/>
      <c r="BM33" s="158" t="str">
        <v>4Y</v>
      </c>
      <c r="BN33" s="134" t="str">
        <f t="shared" si="19"/>
        <v>USD_CURVE_6M_4Y</v>
      </c>
      <c r="BO33" s="385">
        <f>IF(RealTime,_xll.RtGet(RtChannel,$BN33,BO$12),"StaticData")</f>
        <v>1.8341262140000001</v>
      </c>
      <c r="BP33" s="386">
        <f>IF(RealTime,_xll.RtGet(RtChannel,$BN33,BP$12),"StaticData")</f>
        <v>1.8341262140000001</v>
      </c>
      <c r="BQ33" s="385">
        <f>IF(RealTime,BO33,static_data())</f>
        <v>1.8341262140000001</v>
      </c>
      <c r="BR33" s="385">
        <f>IF(RealTime,BP33,static_data())</f>
        <v>1.8341262140000001</v>
      </c>
      <c r="BS33" s="43">
        <f t="shared" si="9"/>
        <v>1.8341262140000001</v>
      </c>
      <c r="BV33" s="136" t="s">
        <v>55</v>
      </c>
      <c r="BW33" s="137" t="str">
        <f t="shared" si="11"/>
        <v>21M</v>
      </c>
      <c r="BX33" s="134" t="str">
        <f t="shared" si="24"/>
        <v>USD_CURVE_OIS_21M</v>
      </c>
      <c r="BY33" s="70">
        <f>IF(RealTime,_xll.RtGet(RtChannel,$BX33,BY$12),"StaticData")</f>
        <v>0.86899999999999999</v>
      </c>
      <c r="BZ33" s="70">
        <f>IF(RealTime,_xll.RtGet(RtChannel,$BX33,BZ$12),"StaticData")</f>
        <v>0.86899999999999999</v>
      </c>
      <c r="CA33" s="79">
        <f>IF(RealTime,BY33,static_data())</f>
        <v>0.86899999999999999</v>
      </c>
      <c r="CB33" s="71">
        <f>IF(RealTime,BZ33,static_data())</f>
        <v>0.86899999999999999</v>
      </c>
      <c r="CC33" s="43">
        <f t="shared" si="20"/>
        <v>0.86899999999999999</v>
      </c>
    </row>
    <row r="34" spans="1:81" ht="13.5" thickBot="1">
      <c r="A34" s="331">
        <v>20</v>
      </c>
      <c r="B34" s="151" t="s">
        <v>5152</v>
      </c>
      <c r="C34" s="129">
        <v>97.704999999999998</v>
      </c>
      <c r="D34" s="129">
        <v>97.710000000000008</v>
      </c>
      <c r="E34" s="133">
        <f t="shared" si="14"/>
        <v>97.70750000000001</v>
      </c>
      <c r="F34" s="222">
        <f>IF(RealTime,_xll.RtGet("IDN",B34,"EXPIR_DATE")+2,static_data()+0)</f>
        <v>44090</v>
      </c>
      <c r="G34" s="147" t="str">
        <f t="shared" si="12"/>
        <v>U0</v>
      </c>
      <c r="H34" s="126" t="str">
        <f t="shared" si="15"/>
        <v>SEP 20</v>
      </c>
      <c r="I34" s="282" t="str">
        <f t="shared" si="13"/>
        <v>CME EURO USD 3M;SEP 20</v>
      </c>
      <c r="J34" s="206" t="e">
        <f>'usd disaggregated'!K113</f>
        <v>#N/A</v>
      </c>
      <c r="N34" s="68"/>
      <c r="Q34" s="171">
        <f t="shared" si="25"/>
        <v>43362</v>
      </c>
      <c r="R34" s="102" t="s">
        <v>505</v>
      </c>
      <c r="S34" s="266"/>
      <c r="T34" s="375">
        <f t="shared" si="26"/>
        <v>43362</v>
      </c>
      <c r="U34" s="288" t="b">
        <v>1</v>
      </c>
      <c r="V34" s="284" t="str">
        <v>5Y</v>
      </c>
      <c r="W34" s="137" t="str">
        <v>W</v>
      </c>
      <c r="X34" s="130" t="str">
        <f t="shared" si="1"/>
        <v>W3</v>
      </c>
      <c r="Y34" s="173">
        <f t="shared" si="2"/>
        <v>4</v>
      </c>
      <c r="Z34" s="175" t="str">
        <f t="shared" si="22"/>
        <v>5Y</v>
      </c>
      <c r="AA34" s="163">
        <v>44522</v>
      </c>
      <c r="AB34" s="173" t="str">
        <f t="shared" si="4"/>
        <v>5Y</v>
      </c>
      <c r="AC34" s="147" t="str">
        <f t="shared" si="27"/>
        <v/>
      </c>
      <c r="AD34" s="6"/>
      <c r="AE34" s="158" t="str">
        <v>5Y</v>
      </c>
      <c r="AF34" s="134" t="str">
        <f t="shared" si="23"/>
        <v>USD_CURVE_3M_5Y</v>
      </c>
      <c r="AG34" s="385">
        <f>IF(RealTime,_xll.RtGet(IF(Y34=3,"IDN",RtChannel),$AF34,AG$12),"StaticData")</f>
        <v>1.7429999899999999</v>
      </c>
      <c r="AH34" s="386">
        <f>IF(RealTime,_xll.RtGet(IF($Y34=3,"IDN",RtChannel),$AF34,AH$12),"StaticData")</f>
        <v>1.7429999899999999</v>
      </c>
      <c r="AI34" s="385">
        <f>IF(RealTime,AG34,static_data())</f>
        <v>1.7429999899999999</v>
      </c>
      <c r="AJ34" s="385">
        <f>IF(RealTime,AH34,static_data())</f>
        <v>1.7429999899999999</v>
      </c>
      <c r="AK34" s="43">
        <f t="shared" si="5"/>
        <v>1.7429999899999999</v>
      </c>
      <c r="AN34" s="158" t="str">
        <v>5Y</v>
      </c>
      <c r="AO34" s="134" t="str">
        <f t="shared" si="16"/>
        <v>USD_CURVE_12M_5Y</v>
      </c>
      <c r="AP34" s="385">
        <f>IF(RealTime,_xll.RtGet(RtChannel,$AO34,AP$12),"StaticData")</f>
        <v>2.2306958910000003</v>
      </c>
      <c r="AQ34" s="386">
        <f>IF(RealTime,_xll.RtGet(RtChannel,$AO34,AQ$12),"StaticData")</f>
        <v>2.2306958910000003</v>
      </c>
      <c r="AR34" s="385">
        <f>IF(RealTime,AP34,static_data())</f>
        <v>2.2306958910000003</v>
      </c>
      <c r="AS34" s="385">
        <f>IF(RealTime,AQ34,static_data())</f>
        <v>2.2306958910000003</v>
      </c>
      <c r="AT34" s="43">
        <f t="shared" si="6"/>
        <v>2.2306958910000003</v>
      </c>
      <c r="AV34" s="158" t="str">
        <v>5Y</v>
      </c>
      <c r="AW34" s="134" t="str">
        <f t="shared" si="17"/>
        <v>USD_CURVE_1M_5Y</v>
      </c>
      <c r="AX34" s="385">
        <f>IF(RealTime,_xll.RtGet(RtChannel,$AW34,AX$12),"StaticData")</f>
        <v>1.582926166</v>
      </c>
      <c r="AY34" s="386">
        <f>IF(RealTime,_xll.RtGet(RtChannel,$AW34,AY$12),"StaticData")</f>
        <v>1.582926166</v>
      </c>
      <c r="AZ34" s="385">
        <f>IF(RealTime,AX34,static_data())</f>
        <v>1.582926166</v>
      </c>
      <c r="BA34" s="385">
        <f>IF(RealTime,AY34,static_data())</f>
        <v>1.582926166</v>
      </c>
      <c r="BB34" s="43">
        <f t="shared" si="7"/>
        <v>1.582926166</v>
      </c>
      <c r="BD34" s="158" t="str">
        <v>5Y</v>
      </c>
      <c r="BE34" s="134" t="str">
        <f t="shared" si="18"/>
        <v>USD_CURVE_3M_5Y</v>
      </c>
      <c r="BF34" s="385">
        <f>IF(RealTime,_xll.RtGet(RtChannel,$BE34,BF$12),"StaticData")</f>
        <v>1.7429999899999999</v>
      </c>
      <c r="BG34" s="386">
        <f>IF(RealTime,_xll.RtGet(RtChannel,$BE34,BG$12),"StaticData")</f>
        <v>1.7429999899999999</v>
      </c>
      <c r="BH34" s="385">
        <f>IF(RealTime,BF34,static_data())</f>
        <v>1.7429999899999999</v>
      </c>
      <c r="BI34" s="385">
        <f>IF(RealTime,BG34,static_data())</f>
        <v>1.7429999899999999</v>
      </c>
      <c r="BJ34" s="43">
        <f t="shared" si="8"/>
        <v>1.7429999899999999</v>
      </c>
      <c r="BL34" s="382"/>
      <c r="BM34" s="158" t="str">
        <v>5Y</v>
      </c>
      <c r="BN34" s="134" t="str">
        <f t="shared" si="19"/>
        <v>USD_CURVE_6M_5Y</v>
      </c>
      <c r="BO34" s="385">
        <f>IF(RealTime,_xll.RtGet(RtChannel,$BN34,BO$12),"StaticData")</f>
        <v>1.9501456970000002</v>
      </c>
      <c r="BP34" s="386">
        <f>IF(RealTime,_xll.RtGet(RtChannel,$BN34,BP$12),"StaticData")</f>
        <v>1.9501456970000002</v>
      </c>
      <c r="BQ34" s="385">
        <f>IF(RealTime,BO34,static_data())</f>
        <v>1.9501456970000002</v>
      </c>
      <c r="BR34" s="385">
        <f>IF(RealTime,BP34,static_data())</f>
        <v>1.9501456970000002</v>
      </c>
      <c r="BS34" s="43">
        <f t="shared" si="9"/>
        <v>1.9501456970000002</v>
      </c>
      <c r="BV34" s="136" t="s">
        <v>9</v>
      </c>
      <c r="BW34" s="137" t="str">
        <f t="shared" si="11"/>
        <v>2Y</v>
      </c>
      <c r="BX34" s="134" t="str">
        <f t="shared" si="24"/>
        <v>USD_CURVE_OIS_2Y</v>
      </c>
      <c r="BY34" s="70">
        <f>IF(RealTime,_xll.RtGet(RtChannel,$BX34,BY$12),"StaticData")</f>
        <v>0.92100000000000004</v>
      </c>
      <c r="BZ34" s="70">
        <f>IF(RealTime,_xll.RtGet(RtChannel,$BX34,BZ$12),"StaticData")</f>
        <v>0.92100000000000004</v>
      </c>
      <c r="CA34" s="79">
        <f>IF(RealTime,BY34,static_data())</f>
        <v>0.92100000000000004</v>
      </c>
      <c r="CB34" s="71">
        <f>IF(RealTime,BZ34,static_data())</f>
        <v>0.92100000000000004</v>
      </c>
      <c r="CC34" s="43">
        <f t="shared" si="20"/>
        <v>0.92100000000000004</v>
      </c>
    </row>
    <row r="35" spans="1:81">
      <c r="B35" s="202"/>
      <c r="N35" s="68"/>
      <c r="Q35" s="170"/>
      <c r="R35" s="102" t="s">
        <v>505</v>
      </c>
      <c r="S35" s="266"/>
      <c r="T35" s="111" t="str">
        <f t="shared" si="26"/>
        <v/>
      </c>
      <c r="U35" s="288" t="b">
        <v>0</v>
      </c>
      <c r="V35" s="284" t="str">
        <v>6Y</v>
      </c>
      <c r="W35" s="137" t="str">
        <v>W</v>
      </c>
      <c r="X35" s="130" t="str">
        <f t="shared" si="1"/>
        <v>W4</v>
      </c>
      <c r="Y35" s="173">
        <f t="shared" si="2"/>
        <v>4</v>
      </c>
      <c r="Z35" s="175" t="str">
        <f t="shared" si="22"/>
        <v>6Y</v>
      </c>
      <c r="AA35" s="163">
        <v>44887</v>
      </c>
      <c r="AB35" s="173" t="str">
        <f t="shared" si="4"/>
        <v>6Y</v>
      </c>
      <c r="AC35" s="335"/>
      <c r="AD35" s="6"/>
      <c r="AE35" s="158" t="str">
        <v>6Y</v>
      </c>
      <c r="AF35" s="134" t="str">
        <f t="shared" si="23"/>
        <v>USD_CURVE_3M_6Y</v>
      </c>
      <c r="AG35" s="385">
        <f>IF(RealTime,_xll.RtGet(IF(Y35=3,"IDN",RtChannel),$AF35,AG$12),"StaticData")</f>
        <v>1.8549999920000002</v>
      </c>
      <c r="AH35" s="386">
        <f>IF(RealTime,_xll.RtGet(IF($Y35=3,"IDN",RtChannel),$AF35,AH$12),"StaticData")</f>
        <v>1.8549999920000002</v>
      </c>
      <c r="AI35" s="385">
        <f>IF(RealTime,AG35,static_data())</f>
        <v>1.8549999920000002</v>
      </c>
      <c r="AJ35" s="385">
        <f>IF(RealTime,AH35,static_data())</f>
        <v>1.8549999920000002</v>
      </c>
      <c r="AK35" s="43">
        <f t="shared" si="5"/>
        <v>1.8549999920000002</v>
      </c>
      <c r="AN35" s="158" t="str">
        <v>6Y</v>
      </c>
      <c r="AO35" s="134" t="str">
        <f t="shared" si="16"/>
        <v>USD_CURVE_12M_6Y</v>
      </c>
      <c r="AP35" s="385">
        <f>IF(RealTime,_xll.RtGet(RtChannel,$AO35,AP$12),"StaticData")</f>
        <v>2.3315723699999999</v>
      </c>
      <c r="AQ35" s="386">
        <f>IF(RealTime,_xll.RtGet(RtChannel,$AO35,AQ$12),"StaticData")</f>
        <v>2.3315723699999999</v>
      </c>
      <c r="AR35" s="385">
        <f>IF(RealTime,AP35,static_data())</f>
        <v>2.3315723699999999</v>
      </c>
      <c r="AS35" s="385">
        <f>IF(RealTime,AQ35,static_data())</f>
        <v>2.3315723699999999</v>
      </c>
      <c r="AT35" s="43">
        <f t="shared" si="6"/>
        <v>2.3315723699999999</v>
      </c>
      <c r="AV35" s="158" t="str">
        <v>6Y</v>
      </c>
      <c r="AW35" s="134" t="str">
        <f t="shared" si="17"/>
        <v>USD_CURVE_1M_6Y</v>
      </c>
      <c r="AX35" s="385">
        <f>IF(RealTime,_xll.RtGet(RtChannel,$AW35,AX$12),"StaticData")</f>
        <v>1.7059276440000002</v>
      </c>
      <c r="AY35" s="386">
        <f>IF(RealTime,_xll.RtGet(RtChannel,$AW35,AY$12),"StaticData")</f>
        <v>1.7059276440000002</v>
      </c>
      <c r="AZ35" s="385">
        <f>IF(RealTime,AX35,static_data())</f>
        <v>1.7059276440000002</v>
      </c>
      <c r="BA35" s="385">
        <f>IF(RealTime,AY35,static_data())</f>
        <v>1.7059276440000002</v>
      </c>
      <c r="BB35" s="43">
        <f t="shared" si="7"/>
        <v>1.7059276440000002</v>
      </c>
      <c r="BD35" s="158" t="str">
        <v>6Y</v>
      </c>
      <c r="BE35" s="134" t="str">
        <f t="shared" si="18"/>
        <v>USD_CURVE_3M_6Y</v>
      </c>
      <c r="BF35" s="385">
        <f>IF(RealTime,_xll.RtGet(RtChannel,$BE35,BF$12),"StaticData")</f>
        <v>1.8549999920000002</v>
      </c>
      <c r="BG35" s="386">
        <f>IF(RealTime,_xll.RtGet(RtChannel,$BE35,BG$12),"StaticData")</f>
        <v>1.8549999920000002</v>
      </c>
      <c r="BH35" s="385">
        <f>IF(RealTime,BF35,static_data())</f>
        <v>1.8549999920000002</v>
      </c>
      <c r="BI35" s="385">
        <f>IF(RealTime,BG35,static_data())</f>
        <v>1.8549999920000002</v>
      </c>
      <c r="BJ35" s="43">
        <f t="shared" si="8"/>
        <v>1.8549999920000002</v>
      </c>
      <c r="BL35" s="382"/>
      <c r="BM35" s="158" t="str">
        <v>6Y</v>
      </c>
      <c r="BN35" s="134" t="str">
        <f t="shared" si="19"/>
        <v>USD_CURVE_6M_6Y</v>
      </c>
      <c r="BO35" s="385">
        <f>IF(RealTime,_xll.RtGet(RtChannel,$BN35,BO$12),"StaticData")</f>
        <v>2.052168274</v>
      </c>
      <c r="BP35" s="386">
        <f>IF(RealTime,_xll.RtGet(RtChannel,$BN35,BP$12),"StaticData")</f>
        <v>2.052168274</v>
      </c>
      <c r="BQ35" s="385">
        <f>IF(RealTime,BO35,static_data())</f>
        <v>2.052168274</v>
      </c>
      <c r="BR35" s="385">
        <f>IF(RealTime,BP35,static_data())</f>
        <v>2.052168274</v>
      </c>
      <c r="BS35" s="43">
        <f t="shared" si="9"/>
        <v>2.052168274</v>
      </c>
      <c r="BV35" s="136" t="s">
        <v>10</v>
      </c>
      <c r="BW35" s="137" t="str">
        <f t="shared" si="11"/>
        <v>3Y</v>
      </c>
      <c r="BX35" s="134" t="str">
        <f t="shared" si="24"/>
        <v>USD_CURVE_OIS_3Y</v>
      </c>
      <c r="BY35" s="70">
        <f>IF(RealTime,_xll.RtGet(RtChannel,$BX35,BY$12),"StaticData")</f>
        <v>1.113</v>
      </c>
      <c r="BZ35" s="70">
        <f>IF(RealTime,_xll.RtGet(RtChannel,$BX35,BZ$12),"StaticData")</f>
        <v>1.113</v>
      </c>
      <c r="CA35" s="79">
        <f>IF(RealTime,BY35,static_data())</f>
        <v>1.113</v>
      </c>
      <c r="CB35" s="71">
        <f>IF(RealTime,BZ35,static_data())</f>
        <v>1.113</v>
      </c>
      <c r="CC35" s="43">
        <f t="shared" si="20"/>
        <v>1.113</v>
      </c>
    </row>
    <row r="36" spans="1:81">
      <c r="M36" s="2"/>
      <c r="N36" s="68"/>
      <c r="Q36" s="170"/>
      <c r="R36" s="102" t="s">
        <v>505</v>
      </c>
      <c r="S36" s="266"/>
      <c r="T36" s="111" t="str">
        <f t="shared" si="26"/>
        <v/>
      </c>
      <c r="U36" s="288" t="b">
        <v>0</v>
      </c>
      <c r="V36" s="284" t="str">
        <v>7Y</v>
      </c>
      <c r="W36" s="137" t="str">
        <v>W</v>
      </c>
      <c r="X36" s="130" t="str">
        <f t="shared" si="1"/>
        <v>W5</v>
      </c>
      <c r="Y36" s="173">
        <f t="shared" si="2"/>
        <v>4</v>
      </c>
      <c r="Z36" s="175" t="str">
        <f t="shared" si="22"/>
        <v>7Y</v>
      </c>
      <c r="AA36" s="163">
        <v>45252</v>
      </c>
      <c r="AB36" s="173" t="str">
        <f t="shared" si="4"/>
        <v>7Y</v>
      </c>
      <c r="AC36" s="335"/>
      <c r="AD36" s="6"/>
      <c r="AE36" s="158" t="str">
        <v>7Y</v>
      </c>
      <c r="AF36" s="134" t="str">
        <f t="shared" si="23"/>
        <v>USD_CURVE_3M_7Y</v>
      </c>
      <c r="AG36" s="385">
        <f>IF(RealTime,_xll.RtGet(IF(Y36=3,"IDN",RtChannel),$AF36,AG$12),"StaticData")</f>
        <v>1.945999993</v>
      </c>
      <c r="AH36" s="386">
        <f>IF(RealTime,_xll.RtGet(IF($Y36=3,"IDN",RtChannel),$AF36,AH$12),"StaticData")</f>
        <v>1.945999993</v>
      </c>
      <c r="AI36" s="385">
        <f>IF(RealTime,AG36,static_data())</f>
        <v>1.945999993</v>
      </c>
      <c r="AJ36" s="385">
        <f>IF(RealTime,AH36,static_data())</f>
        <v>1.945999993</v>
      </c>
      <c r="AK36" s="43">
        <f t="shared" si="5"/>
        <v>1.945999993</v>
      </c>
      <c r="AN36" s="158" t="str">
        <v>7Y</v>
      </c>
      <c r="AO36" s="134" t="str">
        <f t="shared" si="16"/>
        <v>USD_CURVE_12M_7Y</v>
      </c>
      <c r="AP36" s="385">
        <f>IF(RealTime,_xll.RtGet(RtChannel,$AO36,AP$12),"StaticData")</f>
        <v>2.405114368</v>
      </c>
      <c r="AQ36" s="386">
        <f>IF(RealTime,_xll.RtGet(RtChannel,$AO36,AQ$12),"StaticData")</f>
        <v>2.405114368</v>
      </c>
      <c r="AR36" s="385">
        <f>IF(RealTime,AP36,static_data())</f>
        <v>2.405114368</v>
      </c>
      <c r="AS36" s="385">
        <f>IF(RealTime,AQ36,static_data())</f>
        <v>2.405114368</v>
      </c>
      <c r="AT36" s="43">
        <f t="shared" si="6"/>
        <v>2.405114368</v>
      </c>
      <c r="AV36" s="158" t="str">
        <v>7Y</v>
      </c>
      <c r="AW36" s="134" t="str">
        <f t="shared" si="17"/>
        <v>USD_CURVE_1M_7Y</v>
      </c>
      <c r="AX36" s="385">
        <f>IF(RealTime,_xll.RtGet(RtChannel,$AW36,AX$12),"StaticData")</f>
        <v>1.80593783</v>
      </c>
      <c r="AY36" s="386">
        <f>IF(RealTime,_xll.RtGet(RtChannel,$AW36,AY$12),"StaticData")</f>
        <v>1.80593783</v>
      </c>
      <c r="AZ36" s="385">
        <f>IF(RealTime,AX36,static_data())</f>
        <v>1.80593783</v>
      </c>
      <c r="BA36" s="385">
        <f>IF(RealTime,AY36,static_data())</f>
        <v>1.80593783</v>
      </c>
      <c r="BB36" s="43">
        <f t="shared" si="7"/>
        <v>1.80593783</v>
      </c>
      <c r="BD36" s="158" t="str">
        <v>7Y</v>
      </c>
      <c r="BE36" s="134" t="str">
        <f t="shared" si="18"/>
        <v>USD_CURVE_3M_7Y</v>
      </c>
      <c r="BF36" s="385">
        <f>IF(RealTime,_xll.RtGet(RtChannel,$BE36,BF$12),"StaticData")</f>
        <v>1.945999993</v>
      </c>
      <c r="BG36" s="386">
        <f>IF(RealTime,_xll.RtGet(RtChannel,$BE36,BG$12),"StaticData")</f>
        <v>1.945999993</v>
      </c>
      <c r="BH36" s="385">
        <f>IF(RealTime,BF36,static_data())</f>
        <v>1.945999993</v>
      </c>
      <c r="BI36" s="385">
        <f>IF(RealTime,BG36,static_data())</f>
        <v>1.945999993</v>
      </c>
      <c r="BJ36" s="43">
        <f t="shared" si="8"/>
        <v>1.945999993</v>
      </c>
      <c r="BL36" s="382"/>
      <c r="BM36" s="158" t="str">
        <v>7Y</v>
      </c>
      <c r="BN36" s="134" t="str">
        <f t="shared" si="19"/>
        <v>USD_CURVE_6M_7Y</v>
      </c>
      <c r="BO36" s="385">
        <f>IF(RealTime,_xll.RtGet(RtChannel,$BN36,BO$12),"StaticData")</f>
        <v>2.1361871090000002</v>
      </c>
      <c r="BP36" s="386">
        <f>IF(RealTime,_xll.RtGet(RtChannel,$BN36,BP$12),"StaticData")</f>
        <v>2.1361871090000002</v>
      </c>
      <c r="BQ36" s="385">
        <f>IF(RealTime,BO36,static_data())</f>
        <v>2.1361871090000002</v>
      </c>
      <c r="BR36" s="385">
        <f>IF(RealTime,BP36,static_data())</f>
        <v>2.1361871090000002</v>
      </c>
      <c r="BS36" s="43">
        <f t="shared" si="9"/>
        <v>2.1361871090000002</v>
      </c>
      <c r="BV36" s="136" t="s">
        <v>11</v>
      </c>
      <c r="BW36" s="137" t="str">
        <f t="shared" si="11"/>
        <v>4Y</v>
      </c>
      <c r="BX36" s="134" t="str">
        <f t="shared" si="24"/>
        <v>USD_CURVE_OIS_4Y</v>
      </c>
      <c r="BY36" s="70">
        <f>IF(RealTime,_xll.RtGet(RtChannel,$BX36,BY$12),"StaticData")</f>
        <v>1.2710000000000001</v>
      </c>
      <c r="BZ36" s="70">
        <f>IF(RealTime,_xll.RtGet(RtChannel,$BX36,BZ$12),"StaticData")</f>
        <v>1.2710000000000001</v>
      </c>
      <c r="CA36" s="79">
        <f>IF(RealTime,BY36,static_data())</f>
        <v>1.2710000000000001</v>
      </c>
      <c r="CB36" s="71">
        <f>IF(RealTime,BZ36,static_data())</f>
        <v>1.2710000000000001</v>
      </c>
      <c r="CC36" s="43">
        <f t="shared" si="20"/>
        <v>1.2710000000000001</v>
      </c>
    </row>
    <row r="37" spans="1:81">
      <c r="Q37" s="170"/>
      <c r="R37" s="102" t="s">
        <v>505</v>
      </c>
      <c r="S37" s="266"/>
      <c r="T37" s="111" t="str">
        <f t="shared" si="26"/>
        <v/>
      </c>
      <c r="U37" s="288" t="b">
        <v>0</v>
      </c>
      <c r="V37" s="284" t="str">
        <v>8Y</v>
      </c>
      <c r="W37" s="137" t="str">
        <v>W</v>
      </c>
      <c r="X37" s="130" t="str">
        <f t="shared" si="1"/>
        <v>W6</v>
      </c>
      <c r="Y37" s="173">
        <f t="shared" si="2"/>
        <v>4</v>
      </c>
      <c r="Z37" s="175" t="str">
        <f t="shared" si="22"/>
        <v>8Y</v>
      </c>
      <c r="AA37" s="163">
        <v>45618</v>
      </c>
      <c r="AB37" s="173" t="str">
        <f t="shared" si="4"/>
        <v>8Y</v>
      </c>
      <c r="AC37" s="335"/>
      <c r="AD37" s="6"/>
      <c r="AE37" s="158" t="str">
        <v>8Y</v>
      </c>
      <c r="AF37" s="134" t="str">
        <f t="shared" si="23"/>
        <v>USD_CURVE_3M_8Y</v>
      </c>
      <c r="AG37" s="385">
        <f>IF(RealTime,_xll.RtGet(IF(Y37=3,"IDN",RtChannel),$AF37,AG$12),"StaticData")</f>
        <v>2.0219999940000002</v>
      </c>
      <c r="AH37" s="386">
        <f>IF(RealTime,_xll.RtGet(IF($Y37=3,"IDN",RtChannel),$AF37,AH$12),"StaticData")</f>
        <v>2.0219999940000002</v>
      </c>
      <c r="AI37" s="385">
        <f>IF(RealTime,AG37,static_data())</f>
        <v>2.0219999940000002</v>
      </c>
      <c r="AJ37" s="385">
        <f>IF(RealTime,AH37,static_data())</f>
        <v>2.0219999940000002</v>
      </c>
      <c r="AK37" s="43">
        <f t="shared" si="5"/>
        <v>2.0219999940000002</v>
      </c>
      <c r="AN37" s="158" t="str">
        <v>8Y</v>
      </c>
      <c r="AO37" s="134" t="str">
        <f t="shared" si="16"/>
        <v>USD_CURVE_12M_8Y</v>
      </c>
      <c r="AP37" s="385">
        <f>IF(RealTime,_xll.RtGet(RtChannel,$AO37,AP$12),"StaticData")</f>
        <v>2.4648802830000003</v>
      </c>
      <c r="AQ37" s="386">
        <f>IF(RealTime,_xll.RtGet(RtChannel,$AO37,AQ$12),"StaticData")</f>
        <v>2.4648802830000003</v>
      </c>
      <c r="AR37" s="385">
        <f>IF(RealTime,AP37,static_data())</f>
        <v>2.4648802830000003</v>
      </c>
      <c r="AS37" s="385">
        <f>IF(RealTime,AQ37,static_data())</f>
        <v>2.4648802830000003</v>
      </c>
      <c r="AT37" s="43">
        <f t="shared" si="6"/>
        <v>2.4648802830000003</v>
      </c>
      <c r="AV37" s="158" t="str">
        <v>8Y</v>
      </c>
      <c r="AW37" s="134" t="str">
        <f t="shared" si="17"/>
        <v>USD_CURVE_1M_8Y</v>
      </c>
      <c r="AX37" s="385">
        <f>IF(RealTime,_xll.RtGet(RtChannel,$AW37,AX$12),"StaticData")</f>
        <v>1.8909636010000002</v>
      </c>
      <c r="AY37" s="386">
        <f>IF(RealTime,_xll.RtGet(RtChannel,$AW37,AY$12),"StaticData")</f>
        <v>1.8909636010000002</v>
      </c>
      <c r="AZ37" s="385">
        <f>IF(RealTime,AX37,static_data())</f>
        <v>1.8909636010000002</v>
      </c>
      <c r="BA37" s="385">
        <f>IF(RealTime,AY37,static_data())</f>
        <v>1.8909636010000002</v>
      </c>
      <c r="BB37" s="43">
        <f t="shared" si="7"/>
        <v>1.8909636010000002</v>
      </c>
      <c r="BD37" s="158" t="str">
        <v>8Y</v>
      </c>
      <c r="BE37" s="134" t="str">
        <f t="shared" si="18"/>
        <v>USD_CURVE_3M_8Y</v>
      </c>
      <c r="BF37" s="385">
        <f>IF(RealTime,_xll.RtGet(RtChannel,$BE37,BF$12),"StaticData")</f>
        <v>2.0219999940000002</v>
      </c>
      <c r="BG37" s="386">
        <f>IF(RealTime,_xll.RtGet(RtChannel,$BE37,BG$12),"StaticData")</f>
        <v>2.0219999940000002</v>
      </c>
      <c r="BH37" s="385">
        <f>IF(RealTime,BF37,static_data())</f>
        <v>2.0219999940000002</v>
      </c>
      <c r="BI37" s="385">
        <f>IF(RealTime,BG37,static_data())</f>
        <v>2.0219999940000002</v>
      </c>
      <c r="BJ37" s="43">
        <f t="shared" si="8"/>
        <v>2.0219999940000002</v>
      </c>
      <c r="BL37" s="382"/>
      <c r="BM37" s="158" t="str">
        <v>8Y</v>
      </c>
      <c r="BN37" s="134" t="str">
        <f t="shared" si="19"/>
        <v>USD_CURVE_6M_8Y</v>
      </c>
      <c r="BO37" s="385">
        <f>IF(RealTime,_xll.RtGet(RtChannel,$BN37,BO$12),"StaticData")</f>
        <v>2.2072049920000003</v>
      </c>
      <c r="BP37" s="386">
        <f>IF(RealTime,_xll.RtGet(RtChannel,$BN37,BP$12),"StaticData")</f>
        <v>2.2072049920000003</v>
      </c>
      <c r="BQ37" s="385">
        <f>IF(RealTime,BO37,static_data())</f>
        <v>2.2072049920000003</v>
      </c>
      <c r="BR37" s="385">
        <f>IF(RealTime,BP37,static_data())</f>
        <v>2.2072049920000003</v>
      </c>
      <c r="BS37" s="43">
        <f t="shared" si="9"/>
        <v>2.2072049920000003</v>
      </c>
      <c r="BV37" s="136" t="s">
        <v>12</v>
      </c>
      <c r="BW37" s="137" t="str">
        <f t="shared" si="11"/>
        <v>5Y</v>
      </c>
      <c r="BX37" s="134" t="str">
        <f t="shared" si="24"/>
        <v>USD_CURVE_OIS_5Y</v>
      </c>
      <c r="BY37" s="70">
        <f>IF(RealTime,_xll.RtGet(RtChannel,$BX37,BY$12),"StaticData")</f>
        <v>1.4020000000000001</v>
      </c>
      <c r="BZ37" s="70">
        <f>IF(RealTime,_xll.RtGet(RtChannel,$BX37,BZ$12),"StaticData")</f>
        <v>1.4020000000000001</v>
      </c>
      <c r="CA37" s="79">
        <f>IF(RealTime,BY37,static_data())</f>
        <v>1.4020000000000001</v>
      </c>
      <c r="CB37" s="71">
        <f>IF(RealTime,BZ37,static_data())</f>
        <v>1.4020000000000001</v>
      </c>
      <c r="CC37" s="43">
        <f t="shared" si="20"/>
        <v>1.4020000000000001</v>
      </c>
    </row>
    <row r="38" spans="1:81">
      <c r="B38" s="2"/>
      <c r="E38" s="9" t="s">
        <v>73</v>
      </c>
      <c r="F38" s="12" t="s">
        <v>74</v>
      </c>
      <c r="G38" s="14" t="s">
        <v>75</v>
      </c>
      <c r="H38" s="2"/>
      <c r="Q38" s="171"/>
      <c r="R38" s="102" t="s">
        <v>505</v>
      </c>
      <c r="S38" s="266"/>
      <c r="T38" s="376" t="str">
        <f t="shared" si="26"/>
        <v/>
      </c>
      <c r="U38" s="288" t="b">
        <v>0</v>
      </c>
      <c r="V38" s="284" t="str">
        <v>9Y</v>
      </c>
      <c r="W38" s="137" t="str">
        <v>W</v>
      </c>
      <c r="X38" s="130" t="str">
        <f t="shared" si="1"/>
        <v>W7</v>
      </c>
      <c r="Y38" s="173">
        <f t="shared" si="2"/>
        <v>4</v>
      </c>
      <c r="Z38" s="175" t="str">
        <f t="shared" si="22"/>
        <v>9Y</v>
      </c>
      <c r="AA38" s="163">
        <v>45985</v>
      </c>
      <c r="AB38" s="173" t="str">
        <f t="shared" si="4"/>
        <v>9Y</v>
      </c>
      <c r="AC38" s="335"/>
      <c r="AD38" s="6"/>
      <c r="AE38" s="158" t="str">
        <v>9Y</v>
      </c>
      <c r="AF38" s="134" t="str">
        <f t="shared" si="23"/>
        <v>USD_CURVE_3M_9Y</v>
      </c>
      <c r="AG38" s="385">
        <f>IF(RealTime,_xll.RtGet(IF(Y38=3,"IDN",RtChannel),$AF38,AG$12),"StaticData")</f>
        <v>2.0849999939999999</v>
      </c>
      <c r="AH38" s="386">
        <f>IF(RealTime,_xll.RtGet(IF($Y38=3,"IDN",RtChannel),$AF38,AH$12),"StaticData")</f>
        <v>2.0849999939999999</v>
      </c>
      <c r="AI38" s="385">
        <f>IF(RealTime,AG38,static_data())</f>
        <v>2.0849999939999999</v>
      </c>
      <c r="AJ38" s="385">
        <f>IF(RealTime,AH38,static_data())</f>
        <v>2.0849999939999999</v>
      </c>
      <c r="AK38" s="43">
        <f t="shared" si="5"/>
        <v>2.0849999939999999</v>
      </c>
      <c r="AN38" s="158" t="str">
        <v>9Y</v>
      </c>
      <c r="AO38" s="134" t="str">
        <f t="shared" si="16"/>
        <v>USD_CURVE_12M_9Y</v>
      </c>
      <c r="AP38" s="385">
        <f>IF(RealTime,_xll.RtGet(RtChannel,$AO38,AP$12),"StaticData")</f>
        <v>2.512878035</v>
      </c>
      <c r="AQ38" s="386">
        <f>IF(RealTime,_xll.RtGet(RtChannel,$AO38,AQ$12),"StaticData")</f>
        <v>2.512878035</v>
      </c>
      <c r="AR38" s="385">
        <f>IF(RealTime,AP38,static_data())</f>
        <v>2.512878035</v>
      </c>
      <c r="AS38" s="385">
        <f>IF(RealTime,AQ38,static_data())</f>
        <v>2.512878035</v>
      </c>
      <c r="AT38" s="43">
        <f t="shared" si="6"/>
        <v>2.512878035</v>
      </c>
      <c r="AV38" s="158" t="str">
        <v>9Y</v>
      </c>
      <c r="AW38" s="134" t="str">
        <f t="shared" si="17"/>
        <v>USD_CURVE_1M_9Y</v>
      </c>
      <c r="AX38" s="385">
        <f>IF(RealTime,_xll.RtGet(RtChannel,$AW38,AX$12),"StaticData")</f>
        <v>1.959976825</v>
      </c>
      <c r="AY38" s="386">
        <f>IF(RealTime,_xll.RtGet(RtChannel,$AW38,AY$12),"StaticData")</f>
        <v>1.959976825</v>
      </c>
      <c r="AZ38" s="385">
        <f>IF(RealTime,AX38,static_data())</f>
        <v>1.959976825</v>
      </c>
      <c r="BA38" s="385">
        <f>IF(RealTime,AY38,static_data())</f>
        <v>1.959976825</v>
      </c>
      <c r="BB38" s="43">
        <f t="shared" si="7"/>
        <v>1.959976825</v>
      </c>
      <c r="BD38" s="158" t="str">
        <v>9Y</v>
      </c>
      <c r="BE38" s="134" t="str">
        <f t="shared" si="18"/>
        <v>USD_CURVE_3M_9Y</v>
      </c>
      <c r="BF38" s="385">
        <f>IF(RealTime,_xll.RtGet(RtChannel,$BE38,BF$12),"StaticData")</f>
        <v>2.0849999939999999</v>
      </c>
      <c r="BG38" s="386">
        <f>IF(RealTime,_xll.RtGet(RtChannel,$BE38,BG$12),"StaticData")</f>
        <v>2.0849999939999999</v>
      </c>
      <c r="BH38" s="385">
        <f>IF(RealTime,BF38,static_data())</f>
        <v>2.0849999939999999</v>
      </c>
      <c r="BI38" s="385">
        <f>IF(RealTime,BG38,static_data())</f>
        <v>2.0849999939999999</v>
      </c>
      <c r="BJ38" s="43">
        <f t="shared" si="8"/>
        <v>2.0849999939999999</v>
      </c>
      <c r="BL38" s="382"/>
      <c r="BM38" s="158" t="str">
        <v>9Y</v>
      </c>
      <c r="BN38" s="134" t="str">
        <f t="shared" si="19"/>
        <v>USD_CURVE_6M_9Y</v>
      </c>
      <c r="BO38" s="385">
        <f>IF(RealTime,_xll.RtGet(RtChannel,$BN38,BO$12),"StaticData")</f>
        <v>2.266219403</v>
      </c>
      <c r="BP38" s="386">
        <f>IF(RealTime,_xll.RtGet(RtChannel,$BN38,BP$12),"StaticData")</f>
        <v>2.266219403</v>
      </c>
      <c r="BQ38" s="385">
        <f>IF(RealTime,BO38,static_data())</f>
        <v>2.266219403</v>
      </c>
      <c r="BR38" s="385">
        <f>IF(RealTime,BP38,static_data())</f>
        <v>2.266219403</v>
      </c>
      <c r="BS38" s="43">
        <f t="shared" si="9"/>
        <v>2.266219403</v>
      </c>
      <c r="BV38" s="136" t="s">
        <v>13</v>
      </c>
      <c r="BW38" s="137" t="str">
        <f t="shared" si="11"/>
        <v>6Y</v>
      </c>
      <c r="BX38" s="134" t="str">
        <f t="shared" si="24"/>
        <v>USD_CURVE_OIS_6Y</v>
      </c>
      <c r="BY38" s="70">
        <f>IF(RealTime,_xll.RtGet(RtChannel,$BX38,BY$12),"StaticData")</f>
        <v>1.514</v>
      </c>
      <c r="BZ38" s="70">
        <f>IF(RealTime,_xll.RtGet(RtChannel,$BX38,BZ$12),"StaticData")</f>
        <v>1.514</v>
      </c>
      <c r="CA38" s="79">
        <f>IF(RealTime,BY38,static_data())</f>
        <v>1.514</v>
      </c>
      <c r="CB38" s="71">
        <f>IF(RealTime,BZ38,static_data())</f>
        <v>1.514</v>
      </c>
      <c r="CC38" s="43">
        <f t="shared" si="20"/>
        <v>1.514</v>
      </c>
    </row>
    <row r="39" spans="1:81">
      <c r="B39" s="9" t="s">
        <v>79</v>
      </c>
      <c r="C39" s="60" t="str">
        <f>$N$3</f>
        <v>Z6</v>
      </c>
      <c r="D39" s="63" t="str">
        <f>CONCATENATE(B39,C39)</f>
        <v>USZ6</v>
      </c>
      <c r="E39" s="63">
        <f>IF(RealTime,_xll.RtGet("IDN_SELECTFEED",D39,E$38),static_data())</f>
        <v>153.03125</v>
      </c>
      <c r="F39" s="64">
        <f>IF(RealTime,_xll.RtGet("IDN_SELECTFEED",D39,F$38),static_data())</f>
        <v>153.0625</v>
      </c>
      <c r="G39" s="64">
        <f>SafeMid(E39,F39)</f>
        <v>153.046875</v>
      </c>
      <c r="H39" s="2" t="str">
        <f>IF(RealTime,LEFT(_xll.RtGet("IDN",D39,"CONTR_MNTH"),3),static_data())</f>
        <v>DEC</v>
      </c>
      <c r="I39" s="336" t="s">
        <v>839</v>
      </c>
      <c r="Q39" s="155" t="s">
        <v>10</v>
      </c>
      <c r="R39" s="102" t="s">
        <v>508</v>
      </c>
      <c r="S39" s="164"/>
      <c r="T39" s="163">
        <f t="shared" ref="T39:T78" si="28">NextBusDay(EDATE(ValueDate,12*LEFT(Q39,LEN(Q39)-1)))</f>
        <v>43791</v>
      </c>
      <c r="U39" s="288" t="b">
        <v>1</v>
      </c>
      <c r="V39" s="284" t="str">
        <v>10Y</v>
      </c>
      <c r="W39" s="137" t="str">
        <v>W</v>
      </c>
      <c r="X39" s="130" t="str">
        <f t="shared" si="1"/>
        <v>W8</v>
      </c>
      <c r="Y39" s="173">
        <f t="shared" si="2"/>
        <v>4</v>
      </c>
      <c r="Z39" s="175" t="str">
        <f t="shared" si="22"/>
        <v>10Y</v>
      </c>
      <c r="AA39" s="163">
        <v>46349</v>
      </c>
      <c r="AB39" s="173" t="str">
        <f t="shared" si="4"/>
        <v>10Y</v>
      </c>
      <c r="AC39" s="335"/>
      <c r="AD39" s="6"/>
      <c r="AE39" s="158" t="str">
        <v>10Y</v>
      </c>
      <c r="AF39" s="134" t="str">
        <f t="shared" si="23"/>
        <v>USD_CURVE_3M_10Y</v>
      </c>
      <c r="AG39" s="385">
        <f>IF(RealTime,_xll.RtGet(IF(Y39=3,"IDN",RtChannel),$AF39,AG$12),"StaticData")</f>
        <v>2.1379999949999999</v>
      </c>
      <c r="AH39" s="386">
        <f>IF(RealTime,_xll.RtGet(IF($Y39=3,"IDN",RtChannel),$AF39,AH$12),"StaticData")</f>
        <v>2.1379999949999999</v>
      </c>
      <c r="AI39" s="385">
        <f>IF(RealTime,AG39,static_data())</f>
        <v>2.1379999949999999</v>
      </c>
      <c r="AJ39" s="385">
        <f>IF(RealTime,AH39,static_data())</f>
        <v>2.1379999949999999</v>
      </c>
      <c r="AK39" s="43">
        <f t="shared" si="5"/>
        <v>2.1379999949999999</v>
      </c>
      <c r="AN39" s="158" t="str">
        <v>10Y</v>
      </c>
      <c r="AO39" s="134" t="str">
        <f t="shared" si="16"/>
        <v>USD_CURVE_12M_10Y</v>
      </c>
      <c r="AP39" s="385">
        <f>IF(RealTime,_xll.RtGet(RtChannel,$AO39,AP$12),"StaticData")</f>
        <v>2.5521074480000001</v>
      </c>
      <c r="AQ39" s="386">
        <f>IF(RealTime,_xll.RtGet(RtChannel,$AO39,AQ$12),"StaticData")</f>
        <v>2.5521074480000001</v>
      </c>
      <c r="AR39" s="385">
        <f>IF(RealTime,AP39,static_data())</f>
        <v>2.5521074480000001</v>
      </c>
      <c r="AS39" s="385">
        <f>IF(RealTime,AQ39,static_data())</f>
        <v>2.5521074480000001</v>
      </c>
      <c r="AT39" s="43">
        <f t="shared" si="6"/>
        <v>2.5521074480000001</v>
      </c>
      <c r="AV39" s="158" t="str">
        <v>10Y</v>
      </c>
      <c r="AW39" s="134" t="str">
        <f t="shared" si="17"/>
        <v>USD_CURVE_1M_10Y</v>
      </c>
      <c r="AX39" s="385">
        <f>IF(RealTime,_xll.RtGet(RtChannel,$AW39,AX$12),"StaticData")</f>
        <v>2.0179921420000002</v>
      </c>
      <c r="AY39" s="386">
        <f>IF(RealTime,_xll.RtGet(RtChannel,$AW39,AY$12),"StaticData")</f>
        <v>2.0179921420000002</v>
      </c>
      <c r="AZ39" s="385">
        <f>IF(RealTime,AX39,static_data())</f>
        <v>2.0179921420000002</v>
      </c>
      <c r="BA39" s="385">
        <f>IF(RealTime,AY39,static_data())</f>
        <v>2.0179921420000002</v>
      </c>
      <c r="BB39" s="43">
        <f t="shared" si="7"/>
        <v>2.0179921420000002</v>
      </c>
      <c r="BD39" s="158" t="str">
        <v>10Y</v>
      </c>
      <c r="BE39" s="134" t="str">
        <f t="shared" si="18"/>
        <v>USD_CURVE_3M_10Y</v>
      </c>
      <c r="BF39" s="385">
        <f>IF(RealTime,_xll.RtGet(RtChannel,$BE39,BF$12),"StaticData")</f>
        <v>2.1379999949999999</v>
      </c>
      <c r="BG39" s="386">
        <f>IF(RealTime,_xll.RtGet(RtChannel,$BE39,BG$12),"StaticData")</f>
        <v>2.1379999949999999</v>
      </c>
      <c r="BH39" s="385">
        <f>IF(RealTime,BF39,static_data())</f>
        <v>2.1379999949999999</v>
      </c>
      <c r="BI39" s="385">
        <f>IF(RealTime,BG39,static_data())</f>
        <v>2.1379999949999999</v>
      </c>
      <c r="BJ39" s="43">
        <f t="shared" si="8"/>
        <v>2.1379999949999999</v>
      </c>
      <c r="BL39" s="382"/>
      <c r="BM39" s="158" t="str">
        <v>10Y</v>
      </c>
      <c r="BN39" s="134" t="str">
        <f t="shared" si="19"/>
        <v>USD_CURVE_6M_10Y</v>
      </c>
      <c r="BO39" s="385">
        <f>IF(RealTime,_xll.RtGet(RtChannel,$BN39,BO$12),"StaticData")</f>
        <v>2.3162302660000003</v>
      </c>
      <c r="BP39" s="386">
        <f>IF(RealTime,_xll.RtGet(RtChannel,$BN39,BP$12),"StaticData")</f>
        <v>2.3162302660000003</v>
      </c>
      <c r="BQ39" s="385">
        <f>IF(RealTime,BO39,static_data())</f>
        <v>2.3162302660000003</v>
      </c>
      <c r="BR39" s="385">
        <f>IF(RealTime,BP39,static_data())</f>
        <v>2.3162302660000003</v>
      </c>
      <c r="BS39" s="43">
        <f t="shared" si="9"/>
        <v>2.3162302660000003</v>
      </c>
      <c r="BV39" s="136" t="s">
        <v>14</v>
      </c>
      <c r="BW39" s="137" t="str">
        <f t="shared" si="11"/>
        <v>7Y</v>
      </c>
      <c r="BX39" s="134" t="str">
        <f t="shared" si="24"/>
        <v>USD_CURVE_OIS_7Y</v>
      </c>
      <c r="BY39" s="70">
        <f>IF(RealTime,_xll.RtGet(RtChannel,$BX39,BY$12),"StaticData")</f>
        <v>1.605</v>
      </c>
      <c r="BZ39" s="70">
        <f>IF(RealTime,_xll.RtGet(RtChannel,$BX39,BZ$12),"StaticData")</f>
        <v>1.605</v>
      </c>
      <c r="CA39" s="79">
        <f>IF(RealTime,BY39,static_data())</f>
        <v>1.605</v>
      </c>
      <c r="CB39" s="71">
        <f>IF(RealTime,BZ39,static_data())</f>
        <v>1.605</v>
      </c>
      <c r="CC39" s="43">
        <f t="shared" si="20"/>
        <v>1.605</v>
      </c>
    </row>
    <row r="40" spans="1:81">
      <c r="B40" s="15" t="s">
        <v>80</v>
      </c>
      <c r="C40" s="61" t="str">
        <f t="shared" ref="C40:C42" si="29">C$39</f>
        <v>Z6</v>
      </c>
      <c r="D40" s="65" t="str">
        <f t="shared" ref="D40:D41" si="30">CONCATENATE(B40,C40)</f>
        <v>TYZ6</v>
      </c>
      <c r="E40" s="65">
        <f>IF(RealTime,_xll.RtGet("IDN_SELECTFEED",D40,E$38),static_data())</f>
        <v>125.8125</v>
      </c>
      <c r="F40" s="66">
        <f>IF(RealTime,_xll.RtGet("IDN_SELECTFEED",D40,F$38),static_data())</f>
        <v>125.828125</v>
      </c>
      <c r="G40" s="66">
        <f>SafeMid(E40,F40)</f>
        <v>125.8203125</v>
      </c>
      <c r="H40" s="2" t="str">
        <f>IF(RealTime,LEFT(_xll.RtGet("IDN",D40,"CONTR_MNTH"),3),static_data())</f>
        <v>DEC</v>
      </c>
      <c r="I40" s="336" t="s">
        <v>821</v>
      </c>
      <c r="Q40" s="155" t="s">
        <v>11</v>
      </c>
      <c r="R40" s="102" t="s">
        <v>508</v>
      </c>
      <c r="S40" s="164"/>
      <c r="T40" s="163">
        <f t="shared" si="28"/>
        <v>44158</v>
      </c>
      <c r="U40" s="288" t="b">
        <v>1</v>
      </c>
      <c r="V40" s="284" t="str">
        <v>11Y</v>
      </c>
      <c r="W40" s="137" t="str">
        <v>W</v>
      </c>
      <c r="X40" s="130" t="str">
        <f t="shared" si="1"/>
        <v>W9</v>
      </c>
      <c r="Y40" s="173">
        <f t="shared" si="2"/>
        <v>4</v>
      </c>
      <c r="Z40" s="175" t="str">
        <f t="shared" si="22"/>
        <v>11Y</v>
      </c>
      <c r="AA40" s="163">
        <v>46713</v>
      </c>
      <c r="AB40" s="173" t="str">
        <f t="shared" si="4"/>
        <v>11Y</v>
      </c>
      <c r="AC40" s="335"/>
      <c r="AD40" s="6"/>
      <c r="AE40" s="158" t="str">
        <v>11Y</v>
      </c>
      <c r="AF40" s="134" t="str">
        <f t="shared" si="23"/>
        <v>USD_CURVE_3M_11Y</v>
      </c>
      <c r="AG40" s="385">
        <f>IF(RealTime,_xll.RtGet(IF(Y40=3,"IDN",RtChannel),$AF40,AG$12),"StaticData")</f>
        <v>2.183271768</v>
      </c>
      <c r="AH40" s="386">
        <f>IF(RealTime,_xll.RtGet(IF($Y40=3,"IDN",RtChannel),$AF40,AH$12),"StaticData")</f>
        <v>2.183271768</v>
      </c>
      <c r="AI40" s="385">
        <f>IF(RealTime,AG40,static_data())</f>
        <v>2.183271768</v>
      </c>
      <c r="AJ40" s="385">
        <f>IF(RealTime,AH40,static_data())</f>
        <v>2.183271768</v>
      </c>
      <c r="AK40" s="43">
        <f t="shared" si="5"/>
        <v>2.183271768</v>
      </c>
      <c r="AN40" s="158" t="str">
        <v>11Y</v>
      </c>
      <c r="AO40" s="134" t="str">
        <f t="shared" si="16"/>
        <v>USD_CURVE_12M_11Y</v>
      </c>
      <c r="AP40" s="385">
        <f>IF(RealTime,_xll.RtGet(RtChannel,$AO40,AP$12),"StaticData")</f>
        <v>2.5873721460000003</v>
      </c>
      <c r="AQ40" s="386">
        <f>IF(RealTime,_xll.RtGet(RtChannel,$AO40,AQ$12),"StaticData")</f>
        <v>2.5873721460000003</v>
      </c>
      <c r="AR40" s="385">
        <f>IF(RealTime,AP40,static_data())</f>
        <v>2.5873721460000003</v>
      </c>
      <c r="AS40" s="385">
        <f>IF(RealTime,AQ40,static_data())</f>
        <v>2.5873721460000003</v>
      </c>
      <c r="AT40" s="43">
        <f t="shared" si="6"/>
        <v>2.5873721460000003</v>
      </c>
      <c r="AV40" s="158" t="str">
        <v>11Y</v>
      </c>
      <c r="AW40" s="134" t="str">
        <f t="shared" si="17"/>
        <v>USD_CURVE_1M_11Y</v>
      </c>
      <c r="AX40" s="385">
        <f>IF(RealTime,_xll.RtGet(RtChannel,$AW40,AX$12),"StaticData")</f>
        <v>2.0679774900000001</v>
      </c>
      <c r="AY40" s="386">
        <f>IF(RealTime,_xll.RtGet(RtChannel,$AW40,AY$12),"StaticData")</f>
        <v>2.0679774900000001</v>
      </c>
      <c r="AZ40" s="385">
        <f>IF(RealTime,AX40,static_data())</f>
        <v>2.0679774900000001</v>
      </c>
      <c r="BA40" s="385">
        <f>IF(RealTime,AY40,static_data())</f>
        <v>2.0679774900000001</v>
      </c>
      <c r="BB40" s="43">
        <f t="shared" si="7"/>
        <v>2.0679774900000001</v>
      </c>
      <c r="BD40" s="158" t="str">
        <v>11Y</v>
      </c>
      <c r="BE40" s="134" t="str">
        <f t="shared" si="18"/>
        <v>USD_CURVE_3M_11Y</v>
      </c>
      <c r="BF40" s="385">
        <f>IF(RealTime,_xll.RtGet(RtChannel,$BE40,BF$12),"StaticData")</f>
        <v>2.183271768</v>
      </c>
      <c r="BG40" s="386">
        <f>IF(RealTime,_xll.RtGet(RtChannel,$BE40,BG$12),"StaticData")</f>
        <v>2.183271768</v>
      </c>
      <c r="BH40" s="385">
        <f>IF(RealTime,BF40,static_data())</f>
        <v>2.183271768</v>
      </c>
      <c r="BI40" s="385">
        <f>IF(RealTime,BG40,static_data())</f>
        <v>2.183271768</v>
      </c>
      <c r="BJ40" s="43">
        <f t="shared" si="8"/>
        <v>2.183271768</v>
      </c>
      <c r="BL40" s="382"/>
      <c r="BM40" s="158" t="str">
        <v>11Y</v>
      </c>
      <c r="BN40" s="134" t="str">
        <f t="shared" si="19"/>
        <v>USD_CURVE_6M_11Y</v>
      </c>
      <c r="BO40" s="385">
        <f>IF(RealTime,_xll.RtGet(RtChannel,$BN40,BO$12),"StaticData")</f>
        <v>2.3592859170000002</v>
      </c>
      <c r="BP40" s="386">
        <f>IF(RealTime,_xll.RtGet(RtChannel,$BN40,BP$12),"StaticData")</f>
        <v>2.3592859170000002</v>
      </c>
      <c r="BQ40" s="385">
        <f>IF(RealTime,BO40,static_data())</f>
        <v>2.3592859170000002</v>
      </c>
      <c r="BR40" s="385">
        <f>IF(RealTime,BP40,static_data())</f>
        <v>2.3592859170000002</v>
      </c>
      <c r="BS40" s="43">
        <f t="shared" si="9"/>
        <v>2.3592859170000002</v>
      </c>
      <c r="BV40" s="136" t="s">
        <v>15</v>
      </c>
      <c r="BW40" s="137" t="str">
        <f t="shared" si="11"/>
        <v>8Y</v>
      </c>
      <c r="BX40" s="134" t="str">
        <f t="shared" si="24"/>
        <v>USD_CURVE_OIS_8Y</v>
      </c>
      <c r="BY40" s="70">
        <f>IF(RealTime,_xll.RtGet(RtChannel,$BX40,BY$12),"StaticData")</f>
        <v>1.68</v>
      </c>
      <c r="BZ40" s="70">
        <f>IF(RealTime,_xll.RtGet(RtChannel,$BX40,BZ$12),"StaticData")</f>
        <v>1.68</v>
      </c>
      <c r="CA40" s="79">
        <f>IF(RealTime,BY40,static_data())</f>
        <v>1.68</v>
      </c>
      <c r="CB40" s="71">
        <f>IF(RealTime,BZ40,static_data())</f>
        <v>1.68</v>
      </c>
      <c r="CC40" s="43">
        <f t="shared" si="20"/>
        <v>1.68</v>
      </c>
    </row>
    <row r="41" spans="1:81">
      <c r="B41" s="15" t="s">
        <v>81</v>
      </c>
      <c r="C41" s="61" t="str">
        <f t="shared" si="29"/>
        <v>Z6</v>
      </c>
      <c r="D41" s="65" t="str">
        <f t="shared" si="30"/>
        <v>FVZ6</v>
      </c>
      <c r="E41" s="65">
        <f>IF(RealTime,_xll.RtGet("IDN_SELECTFEED",D41,E$38),static_data())</f>
        <v>118.734375</v>
      </c>
      <c r="F41" s="66">
        <f>IF(RealTime,_xll.RtGet("IDN_SELECTFEED",D41,F$38),static_data())</f>
        <v>118.7421875</v>
      </c>
      <c r="G41" s="66">
        <f>SafeMid(E41,F41)</f>
        <v>118.73828125</v>
      </c>
      <c r="H41" s="2" t="str">
        <f>IF(RealTime,LEFT(_xll.RtGet("IDN",D41,"CONTR_MNTH"),3),static_data())</f>
        <v>DEC</v>
      </c>
      <c r="I41" s="2" t="str">
        <f>IF(RealTime,LEFT(_xll.RtGet("IDN",E41,"CONTR_MNTH"),3),static_data())</f>
        <v>#N/</v>
      </c>
      <c r="Q41" s="155" t="s">
        <v>12</v>
      </c>
      <c r="R41" s="102" t="s">
        <v>508</v>
      </c>
      <c r="S41" s="164"/>
      <c r="T41" s="163">
        <f t="shared" si="28"/>
        <v>44522</v>
      </c>
      <c r="U41" s="288" t="b">
        <v>1</v>
      </c>
      <c r="V41" s="284" t="str">
        <v>12Y</v>
      </c>
      <c r="W41" s="137" t="str">
        <v>W</v>
      </c>
      <c r="X41" s="130" t="str">
        <f t="shared" si="1"/>
        <v>W10</v>
      </c>
      <c r="Y41" s="173">
        <f t="shared" si="2"/>
        <v>4</v>
      </c>
      <c r="Z41" s="175" t="str">
        <f t="shared" si="22"/>
        <v>12Y</v>
      </c>
      <c r="AA41" s="163">
        <v>47079</v>
      </c>
      <c r="AB41" s="173" t="str">
        <f t="shared" si="4"/>
        <v>12Y</v>
      </c>
      <c r="AC41" s="335"/>
      <c r="AD41" s="6"/>
      <c r="AE41" s="158" t="str">
        <v>12Y</v>
      </c>
      <c r="AF41" s="134" t="str">
        <f t="shared" si="23"/>
        <v>USD_CURVE_3M_12Y</v>
      </c>
      <c r="AG41" s="385">
        <f>IF(RealTime,_xll.RtGet(IF(Y41=3,"IDN",RtChannel),$AF41,AG$12),"StaticData")</f>
        <v>2.2219999960000001</v>
      </c>
      <c r="AH41" s="386">
        <f>IF(RealTime,_xll.RtGet(IF($Y41=3,"IDN",RtChannel),$AF41,AH$12),"StaticData")</f>
        <v>2.2219999960000001</v>
      </c>
      <c r="AI41" s="385">
        <f>IF(RealTime,AG41,static_data())</f>
        <v>2.2219999960000001</v>
      </c>
      <c r="AJ41" s="385">
        <f>IF(RealTime,AH41,static_data())</f>
        <v>2.2219999960000001</v>
      </c>
      <c r="AK41" s="43">
        <f t="shared" si="5"/>
        <v>2.2219999960000001</v>
      </c>
      <c r="AN41" s="158" t="str">
        <v>12Y</v>
      </c>
      <c r="AO41" s="134" t="str">
        <f t="shared" si="16"/>
        <v>USD_CURVE_12M_12Y</v>
      </c>
      <c r="AP41" s="385">
        <f>IF(RealTime,_xll.RtGet(RtChannel,$AO41,AP$12),"StaticData")</f>
        <v>2.6160828860000001</v>
      </c>
      <c r="AQ41" s="386">
        <f>IF(RealTime,_xll.RtGet(RtChannel,$AO41,AQ$12),"StaticData")</f>
        <v>2.6160828860000001</v>
      </c>
      <c r="AR41" s="385">
        <f>IF(RealTime,AP41,static_data())</f>
        <v>2.6160828860000001</v>
      </c>
      <c r="AS41" s="385">
        <f>IF(RealTime,AQ41,static_data())</f>
        <v>2.6160828860000001</v>
      </c>
      <c r="AT41" s="43">
        <f t="shared" si="6"/>
        <v>2.6160828860000001</v>
      </c>
      <c r="AV41" s="158" t="str">
        <v>12Y</v>
      </c>
      <c r="AW41" s="134" t="str">
        <f t="shared" si="17"/>
        <v>USD_CURVE_1M_12Y</v>
      </c>
      <c r="AX41" s="385">
        <f>IF(RealTime,_xll.RtGet(RtChannel,$AW41,AX$12),"StaticData")</f>
        <v>2.1110286600000001</v>
      </c>
      <c r="AY41" s="386">
        <f>IF(RealTime,_xll.RtGet(RtChannel,$AW41,AY$12),"StaticData")</f>
        <v>2.1110286600000001</v>
      </c>
      <c r="AZ41" s="385">
        <f>IF(RealTime,AX41,static_data())</f>
        <v>2.1110286600000001</v>
      </c>
      <c r="BA41" s="385">
        <f>IF(RealTime,AY41,static_data())</f>
        <v>2.1110286600000001</v>
      </c>
      <c r="BB41" s="43">
        <f t="shared" si="7"/>
        <v>2.1110286600000001</v>
      </c>
      <c r="BD41" s="158" t="str">
        <v>12Y</v>
      </c>
      <c r="BE41" s="134" t="str">
        <f t="shared" si="18"/>
        <v>USD_CURVE_3M_12Y</v>
      </c>
      <c r="BF41" s="385">
        <f>IF(RealTime,_xll.RtGet(RtChannel,$BE41,BF$12),"StaticData")</f>
        <v>2.2219999960000001</v>
      </c>
      <c r="BG41" s="386">
        <f>IF(RealTime,_xll.RtGet(RtChannel,$BE41,BG$12),"StaticData")</f>
        <v>2.2219999960000001</v>
      </c>
      <c r="BH41" s="385">
        <f>IF(RealTime,BF41,static_data())</f>
        <v>2.2219999960000001</v>
      </c>
      <c r="BI41" s="385">
        <f>IF(RealTime,BG41,static_data())</f>
        <v>2.2219999960000001</v>
      </c>
      <c r="BJ41" s="43">
        <f t="shared" si="8"/>
        <v>2.2219999960000001</v>
      </c>
      <c r="BL41" s="382"/>
      <c r="BM41" s="158" t="str">
        <v>12Y</v>
      </c>
      <c r="BN41" s="134" t="str">
        <f t="shared" si="19"/>
        <v>USD_CURVE_6M_12Y</v>
      </c>
      <c r="BO41" s="385">
        <f>IF(RealTime,_xll.RtGet(RtChannel,$BN41,BO$12),"StaticData")</f>
        <v>2.3962530010000003</v>
      </c>
      <c r="BP41" s="386">
        <f>IF(RealTime,_xll.RtGet(RtChannel,$BN41,BP$12),"StaticData")</f>
        <v>2.3962530010000003</v>
      </c>
      <c r="BQ41" s="385">
        <f>IF(RealTime,BO41,static_data())</f>
        <v>2.3962530010000003</v>
      </c>
      <c r="BR41" s="385">
        <f>IF(RealTime,BP41,static_data())</f>
        <v>2.3962530010000003</v>
      </c>
      <c r="BS41" s="43">
        <f t="shared" si="9"/>
        <v>2.3962530010000003</v>
      </c>
      <c r="BV41" s="136" t="s">
        <v>16</v>
      </c>
      <c r="BW41" s="137" t="str">
        <f t="shared" si="11"/>
        <v>9Y</v>
      </c>
      <c r="BX41" s="134" t="str">
        <f t="shared" si="24"/>
        <v>USD_CURVE_OIS_9Y</v>
      </c>
      <c r="BY41" s="70">
        <f>IF(RealTime,_xll.RtGet(RtChannel,$BX41,BY$12),"StaticData")</f>
        <v>1.7430000000000001</v>
      </c>
      <c r="BZ41" s="70">
        <f>IF(RealTime,_xll.RtGet(RtChannel,$BX41,BZ$12),"StaticData")</f>
        <v>1.7430000000000001</v>
      </c>
      <c r="CA41" s="79">
        <f>IF(RealTime,BY41,static_data())</f>
        <v>1.7430000000000001</v>
      </c>
      <c r="CB41" s="71">
        <f>IF(RealTime,BZ41,static_data())</f>
        <v>1.7430000000000001</v>
      </c>
      <c r="CC41" s="43">
        <f t="shared" si="20"/>
        <v>1.7430000000000001</v>
      </c>
    </row>
    <row r="42" spans="1:81" ht="13.5" thickBot="1">
      <c r="B42" s="19" t="s">
        <v>82</v>
      </c>
      <c r="C42" s="62" t="str">
        <f t="shared" si="29"/>
        <v>Z6</v>
      </c>
      <c r="D42" s="393" t="str">
        <f t="shared" ref="D42" si="31">CONCATENATE(B42,C42)</f>
        <v>TUZ6</v>
      </c>
      <c r="E42" s="393">
        <f>IF(RealTime,_xll.RtGet("IDN_SELECTFEED",D42,E$38),static_data())</f>
        <v>108.7421875</v>
      </c>
      <c r="F42" s="67">
        <f>IF(RealTime,_xll.RtGet("IDN_SELECTFEED",D42,F$38),static_data())</f>
        <v>108.75</v>
      </c>
      <c r="G42" s="67">
        <f>SafeMid(E42,F42)</f>
        <v>108.74609375</v>
      </c>
      <c r="H42" s="2" t="str">
        <f>IF(RealTime,LEFT(_xll.RtGet("IDN",D42,"CONTR_MNTH"),3),static_data())</f>
        <v>DEC</v>
      </c>
      <c r="Q42" s="155" t="s">
        <v>13</v>
      </c>
      <c r="R42" s="102" t="s">
        <v>508</v>
      </c>
      <c r="S42" s="164"/>
      <c r="T42" s="163">
        <f t="shared" si="28"/>
        <v>44887</v>
      </c>
      <c r="U42" s="288" t="b">
        <v>1</v>
      </c>
      <c r="V42" s="284" t="str">
        <v>13Y</v>
      </c>
      <c r="W42" s="137" t="str">
        <v>W</v>
      </c>
      <c r="X42" s="130" t="str">
        <f t="shared" si="1"/>
        <v>W11</v>
      </c>
      <c r="Y42" s="173">
        <f t="shared" si="2"/>
        <v>4</v>
      </c>
      <c r="Z42" s="175" t="str">
        <f t="shared" si="22"/>
        <v>13Y</v>
      </c>
      <c r="AA42" s="163">
        <v>47444</v>
      </c>
      <c r="AB42" s="173" t="str">
        <f t="shared" si="4"/>
        <v>13Y</v>
      </c>
      <c r="AC42" s="335"/>
      <c r="AD42" s="6"/>
      <c r="AE42" s="158" t="str">
        <v>13Y</v>
      </c>
      <c r="AF42" s="134" t="str">
        <f t="shared" si="23"/>
        <v>USD_CURVE_3M_13Y</v>
      </c>
      <c r="AG42" s="385">
        <f>IF(RealTime,_xll.RtGet(IF(Y42=3,"IDN",RtChannel),$AF42,AG$12),"StaticData")</f>
        <v>2.2543114989999999</v>
      </c>
      <c r="AH42" s="386">
        <f>IF(RealTime,_xll.RtGet(IF($Y42=3,"IDN",RtChannel),$AF42,AH$12),"StaticData")</f>
        <v>2.2543114989999999</v>
      </c>
      <c r="AI42" s="385">
        <f>IF(RealTime,AG42,static_data())</f>
        <v>2.2543114989999999</v>
      </c>
      <c r="AJ42" s="385">
        <f>IF(RealTime,AH42,static_data())</f>
        <v>2.2543114989999999</v>
      </c>
      <c r="AK42" s="43">
        <f t="shared" si="5"/>
        <v>2.2543114989999999</v>
      </c>
      <c r="AN42" s="158" t="str">
        <v>13Y</v>
      </c>
      <c r="AO42" s="134" t="str">
        <f t="shared" si="16"/>
        <v>USD_CURVE_12M_13Y</v>
      </c>
      <c r="AP42" s="385">
        <f>IF(RealTime,_xll.RtGet(RtChannel,$AO42,AP$12),"StaticData")</f>
        <v>2.6394364850000001</v>
      </c>
      <c r="AQ42" s="386">
        <f>IF(RealTime,_xll.RtGet(RtChannel,$AO42,AQ$12),"StaticData")</f>
        <v>2.6394364850000001</v>
      </c>
      <c r="AR42" s="385">
        <f>IF(RealTime,AP42,static_data())</f>
        <v>2.6394364850000001</v>
      </c>
      <c r="AS42" s="385">
        <f>IF(RealTime,AQ42,static_data())</f>
        <v>2.6394364850000001</v>
      </c>
      <c r="AT42" s="43">
        <f t="shared" si="6"/>
        <v>2.6394364850000001</v>
      </c>
      <c r="AV42" s="158" t="str">
        <v>13Y</v>
      </c>
      <c r="AW42" s="134" t="str">
        <f t="shared" si="17"/>
        <v>USD_CURVE_1M_13Y</v>
      </c>
      <c r="AX42" s="385">
        <f>IF(RealTime,_xll.RtGet(RtChannel,$AW42,AX$12),"StaticData")</f>
        <v>2.1470911999999998</v>
      </c>
      <c r="AY42" s="386">
        <f>IF(RealTime,_xll.RtGet(RtChannel,$AW42,AY$12),"StaticData")</f>
        <v>2.1470911999999998</v>
      </c>
      <c r="AZ42" s="385">
        <f>IF(RealTime,AX42,static_data())</f>
        <v>2.1470911999999998</v>
      </c>
      <c r="BA42" s="385">
        <f>IF(RealTime,AY42,static_data())</f>
        <v>2.1470911999999998</v>
      </c>
      <c r="BB42" s="43">
        <f t="shared" si="7"/>
        <v>2.1470911999999998</v>
      </c>
      <c r="BD42" s="158" t="str">
        <v>13Y</v>
      </c>
      <c r="BE42" s="134" t="str">
        <f t="shared" si="18"/>
        <v>USD_CURVE_3M_13Y</v>
      </c>
      <c r="BF42" s="385">
        <f>IF(RealTime,_xll.RtGet(RtChannel,$BE42,BF$12),"StaticData")</f>
        <v>2.2543114989999999</v>
      </c>
      <c r="BG42" s="386">
        <f>IF(RealTime,_xll.RtGet(RtChannel,$BE42,BG$12),"StaticData")</f>
        <v>2.2543114989999999</v>
      </c>
      <c r="BH42" s="385">
        <f>IF(RealTime,BF42,static_data())</f>
        <v>2.2543114989999999</v>
      </c>
      <c r="BI42" s="385">
        <f>IF(RealTime,BG42,static_data())</f>
        <v>2.2543114989999999</v>
      </c>
      <c r="BJ42" s="43">
        <f t="shared" si="8"/>
        <v>2.2543114989999999</v>
      </c>
      <c r="BL42" s="382"/>
      <c r="BM42" s="158" t="str">
        <v>13Y</v>
      </c>
      <c r="BN42" s="134" t="str">
        <f t="shared" si="19"/>
        <v>USD_CURVE_6M_13Y</v>
      </c>
      <c r="BO42" s="385">
        <f>IF(RealTime,_xll.RtGet(RtChannel,$BN42,BO$12),"StaticData")</f>
        <v>2.4270254440000003</v>
      </c>
      <c r="BP42" s="386">
        <f>IF(RealTime,_xll.RtGet(RtChannel,$BN42,BP$12),"StaticData")</f>
        <v>2.4270254440000003</v>
      </c>
      <c r="BQ42" s="385">
        <f>IF(RealTime,BO42,static_data())</f>
        <v>2.4270254440000003</v>
      </c>
      <c r="BR42" s="385">
        <f>IF(RealTime,BP42,static_data())</f>
        <v>2.4270254440000003</v>
      </c>
      <c r="BS42" s="43">
        <f t="shared" si="9"/>
        <v>2.4270254440000003</v>
      </c>
      <c r="BV42" s="136" t="s">
        <v>17</v>
      </c>
      <c r="BW42" s="137" t="str">
        <f t="shared" si="11"/>
        <v>10Y</v>
      </c>
      <c r="BX42" s="134" t="str">
        <f t="shared" si="24"/>
        <v>USD_CURVE_OIS_10Y</v>
      </c>
      <c r="BY42" s="70">
        <f>IF(RealTime,_xll.RtGet(RtChannel,$BX42,BY$12),"StaticData")</f>
        <v>1.794</v>
      </c>
      <c r="BZ42" s="70">
        <f>IF(RealTime,_xll.RtGet(RtChannel,$BX42,BZ$12),"StaticData")</f>
        <v>1.794</v>
      </c>
      <c r="CA42" s="79">
        <f>IF(RealTime,BY42,static_data())</f>
        <v>1.794</v>
      </c>
      <c r="CB42" s="71">
        <f>IF(RealTime,BZ42,static_data())</f>
        <v>1.794</v>
      </c>
      <c r="CC42" s="43">
        <f>+AVERAGE(CA42:CB42)</f>
        <v>1.794</v>
      </c>
    </row>
    <row r="43" spans="1:81" ht="13.5" thickTop="1">
      <c r="E43" s="5"/>
      <c r="F43" s="5"/>
      <c r="Q43" s="155" t="s">
        <v>14</v>
      </c>
      <c r="R43" s="102" t="s">
        <v>508</v>
      </c>
      <c r="S43" s="164"/>
      <c r="T43" s="163">
        <f t="shared" si="28"/>
        <v>45252</v>
      </c>
      <c r="U43" s="288" t="b">
        <v>1</v>
      </c>
      <c r="V43" s="284" t="str">
        <v>14Y</v>
      </c>
      <c r="W43" s="137" t="str">
        <v>W</v>
      </c>
      <c r="X43" s="130" t="str">
        <f t="shared" si="1"/>
        <v>W12</v>
      </c>
      <c r="Y43" s="173">
        <f t="shared" si="2"/>
        <v>4</v>
      </c>
      <c r="Z43" s="175" t="str">
        <f t="shared" si="22"/>
        <v>14Y</v>
      </c>
      <c r="AA43" s="163">
        <v>47809</v>
      </c>
      <c r="AB43" s="173" t="str">
        <f t="shared" si="4"/>
        <v>14Y</v>
      </c>
      <c r="AC43" s="335"/>
      <c r="AD43" s="6"/>
      <c r="AE43" s="158" t="str">
        <v>14Y</v>
      </c>
      <c r="AF43" s="134" t="str">
        <f t="shared" si="23"/>
        <v>USD_CURVE_3M_14Y</v>
      </c>
      <c r="AG43" s="385">
        <f>IF(RealTime,_xll.RtGet(IF(Y43=3,"IDN",RtChannel),$AF43,AG$12),"StaticData")</f>
        <v>2.282687234</v>
      </c>
      <c r="AH43" s="386">
        <f>IF(RealTime,_xll.RtGet(IF($Y43=3,"IDN",RtChannel),$AF43,AH$12),"StaticData")</f>
        <v>2.282687234</v>
      </c>
      <c r="AI43" s="385">
        <f>IF(RealTime,AG43,static_data())</f>
        <v>2.282687234</v>
      </c>
      <c r="AJ43" s="385">
        <f>IF(RealTime,AH43,static_data())</f>
        <v>2.282687234</v>
      </c>
      <c r="AK43" s="43">
        <f t="shared" si="5"/>
        <v>2.282687234</v>
      </c>
      <c r="AN43" s="158" t="str">
        <v>14Y</v>
      </c>
      <c r="AO43" s="134" t="str">
        <f t="shared" si="16"/>
        <v>USD_CURVE_12M_14Y</v>
      </c>
      <c r="AP43" s="385">
        <f>IF(RealTime,_xll.RtGet(RtChannel,$AO43,AP$12),"StaticData")</f>
        <v>2.6608855170000001</v>
      </c>
      <c r="AQ43" s="386">
        <f>IF(RealTime,_xll.RtGet(RtChannel,$AO43,AQ$12),"StaticData")</f>
        <v>2.6608855170000001</v>
      </c>
      <c r="AR43" s="385">
        <f>IF(RealTime,AP43,static_data())</f>
        <v>2.6608855170000001</v>
      </c>
      <c r="AS43" s="385">
        <f>IF(RealTime,AQ43,static_data())</f>
        <v>2.6608855170000001</v>
      </c>
      <c r="AT43" s="43">
        <f t="shared" si="6"/>
        <v>2.6608855170000001</v>
      </c>
      <c r="AV43" s="158" t="str">
        <v>14Y</v>
      </c>
      <c r="AW43" s="134" t="str">
        <f t="shared" si="17"/>
        <v>USD_CURVE_1M_14Y</v>
      </c>
      <c r="AX43" s="385">
        <f>IF(RealTime,_xll.RtGet(RtChannel,$AW43,AX$12),"StaticData")</f>
        <v>2.178230814</v>
      </c>
      <c r="AY43" s="386">
        <f>IF(RealTime,_xll.RtGet(RtChannel,$AW43,AY$12),"StaticData")</f>
        <v>2.178230814</v>
      </c>
      <c r="AZ43" s="385">
        <f>IF(RealTime,AX43,static_data())</f>
        <v>2.178230814</v>
      </c>
      <c r="BA43" s="385">
        <f>IF(RealTime,AY43,static_data())</f>
        <v>2.178230814</v>
      </c>
      <c r="BB43" s="43">
        <f t="shared" si="7"/>
        <v>2.178230814</v>
      </c>
      <c r="BD43" s="158" t="str">
        <v>14Y</v>
      </c>
      <c r="BE43" s="134" t="str">
        <f t="shared" si="18"/>
        <v>USD_CURVE_3M_14Y</v>
      </c>
      <c r="BF43" s="385">
        <f>IF(RealTime,_xll.RtGet(RtChannel,$BE43,BF$12),"StaticData")</f>
        <v>2.282687234</v>
      </c>
      <c r="BG43" s="386">
        <f>IF(RealTime,_xll.RtGet(RtChannel,$BE43,BG$12),"StaticData")</f>
        <v>2.282687234</v>
      </c>
      <c r="BH43" s="385">
        <f>IF(RealTime,BF43,static_data())</f>
        <v>2.282687234</v>
      </c>
      <c r="BI43" s="385">
        <f>IF(RealTime,BG43,static_data())</f>
        <v>2.282687234</v>
      </c>
      <c r="BJ43" s="43">
        <f t="shared" si="8"/>
        <v>2.282687234</v>
      </c>
      <c r="BL43" s="382"/>
      <c r="BM43" s="158" t="str">
        <v>14Y</v>
      </c>
      <c r="BN43" s="134" t="str">
        <f t="shared" si="19"/>
        <v>USD_CURVE_6M_14Y</v>
      </c>
      <c r="BO43" s="385">
        <f>IF(RealTime,_xll.RtGet(RtChannel,$BN43,BO$12),"StaticData")</f>
        <v>2.4541139570000001</v>
      </c>
      <c r="BP43" s="386">
        <f>IF(RealTime,_xll.RtGet(RtChannel,$BN43,BP$12),"StaticData")</f>
        <v>2.4541139570000001</v>
      </c>
      <c r="BQ43" s="385">
        <f>IF(RealTime,BO43,static_data())</f>
        <v>2.4541139570000001</v>
      </c>
      <c r="BR43" s="385">
        <f>IF(RealTime,BP43,static_data())</f>
        <v>2.4541139570000001</v>
      </c>
      <c r="BS43" s="43">
        <f t="shared" si="9"/>
        <v>2.4541139570000001</v>
      </c>
      <c r="BV43" s="136" t="s">
        <v>18</v>
      </c>
      <c r="BW43" s="137" t="str">
        <f t="shared" si="11"/>
        <v>12Y</v>
      </c>
      <c r="BX43" s="134" t="str">
        <f t="shared" si="24"/>
        <v>USD_CURVE_OIS_12Y</v>
      </c>
      <c r="BY43" s="70">
        <f>IF(RealTime,_xll.RtGet(RtChannel,$BX43,BY$12),"StaticData")</f>
        <v>1.877</v>
      </c>
      <c r="BZ43" s="70">
        <f>IF(RealTime,_xll.RtGet(RtChannel,$BX43,BZ$12),"StaticData")</f>
        <v>1.877</v>
      </c>
      <c r="CA43" s="79">
        <f>IF(RealTime,BY43,static_data())</f>
        <v>1.877</v>
      </c>
      <c r="CB43" s="71">
        <f>IF(RealTime,BZ43,static_data())</f>
        <v>1.877</v>
      </c>
      <c r="CC43" s="43">
        <f t="shared" ref="CC43:CC49" si="32">+AVERAGE(CA43:CB43)</f>
        <v>1.877</v>
      </c>
    </row>
    <row r="44" spans="1:81">
      <c r="B44" s="2"/>
      <c r="C44" s="2"/>
      <c r="E44" s="10" t="s">
        <v>73</v>
      </c>
      <c r="F44" s="11" t="s">
        <v>74</v>
      </c>
      <c r="G44" s="14" t="s">
        <v>75</v>
      </c>
      <c r="Q44" s="155" t="s">
        <v>15</v>
      </c>
      <c r="R44" s="102" t="s">
        <v>508</v>
      </c>
      <c r="S44" s="164"/>
      <c r="T44" s="163">
        <f t="shared" si="28"/>
        <v>45618</v>
      </c>
      <c r="U44" s="288" t="b">
        <v>1</v>
      </c>
      <c r="V44" s="284" t="str">
        <v>15Y</v>
      </c>
      <c r="W44" s="137" t="str">
        <v>W</v>
      </c>
      <c r="X44" s="130" t="str">
        <f t="shared" si="1"/>
        <v>W13</v>
      </c>
      <c r="Y44" s="173">
        <f t="shared" si="2"/>
        <v>4</v>
      </c>
      <c r="Z44" s="175" t="str">
        <f t="shared" si="22"/>
        <v>15Y</v>
      </c>
      <c r="AA44" s="163">
        <v>48176</v>
      </c>
      <c r="AB44" s="173" t="str">
        <f t="shared" si="4"/>
        <v>15Y</v>
      </c>
      <c r="AC44" s="335"/>
      <c r="AD44" s="6"/>
      <c r="AE44" s="158" t="str">
        <v>15Y</v>
      </c>
      <c r="AF44" s="134" t="str">
        <f t="shared" si="23"/>
        <v>USD_CURVE_3M_15Y</v>
      </c>
      <c r="AG44" s="385">
        <f>IF(RealTime,_xll.RtGet(IF(Y44=3,"IDN",RtChannel),$AF44,AG$12),"StaticData")</f>
        <v>2.3069999920000002</v>
      </c>
      <c r="AH44" s="386">
        <f>IF(RealTime,_xll.RtGet(IF($Y44=3,"IDN",RtChannel),$AF44,AH$12),"StaticData")</f>
        <v>2.3069999920000002</v>
      </c>
      <c r="AI44" s="385">
        <f>IF(RealTime,AG44,static_data())</f>
        <v>2.3069999920000002</v>
      </c>
      <c r="AJ44" s="385">
        <f>IF(RealTime,AH44,static_data())</f>
        <v>2.3069999920000002</v>
      </c>
      <c r="AK44" s="43">
        <f t="shared" si="5"/>
        <v>2.3069999920000002</v>
      </c>
      <c r="AN44" s="158" t="str">
        <v>15Y</v>
      </c>
      <c r="AO44" s="134" t="str">
        <f t="shared" si="16"/>
        <v>USD_CURVE_12M_15Y</v>
      </c>
      <c r="AP44" s="385">
        <f>IF(RealTime,_xll.RtGet(RtChannel,$AO44,AP$12),"StaticData")</f>
        <v>2.679785452</v>
      </c>
      <c r="AQ44" s="386">
        <f>IF(RealTime,_xll.RtGet(RtChannel,$AO44,AQ$12),"StaticData")</f>
        <v>2.679785452</v>
      </c>
      <c r="AR44" s="385">
        <f>IF(RealTime,AP44,static_data())</f>
        <v>2.679785452</v>
      </c>
      <c r="AS44" s="385">
        <f>IF(RealTime,AQ44,static_data())</f>
        <v>2.679785452</v>
      </c>
      <c r="AT44" s="43">
        <f t="shared" si="6"/>
        <v>2.679785452</v>
      </c>
      <c r="AV44" s="158" t="str">
        <v>15Y</v>
      </c>
      <c r="AW44" s="134" t="str">
        <f t="shared" si="17"/>
        <v>USD_CURVE_1M_15Y</v>
      </c>
      <c r="AX44" s="385">
        <f>IF(RealTime,_xll.RtGet(RtChannel,$AW44,AX$12),"StaticData")</f>
        <v>2.20406295</v>
      </c>
      <c r="AY44" s="386">
        <f>IF(RealTime,_xll.RtGet(RtChannel,$AW44,AY$12),"StaticData")</f>
        <v>2.20406295</v>
      </c>
      <c r="AZ44" s="385">
        <f>IF(RealTime,AX44,static_data())</f>
        <v>2.20406295</v>
      </c>
      <c r="BA44" s="385">
        <f>IF(RealTime,AY44,static_data())</f>
        <v>2.20406295</v>
      </c>
      <c r="BB44" s="43">
        <f t="shared" si="7"/>
        <v>2.20406295</v>
      </c>
      <c r="BD44" s="158" t="str">
        <v>15Y</v>
      </c>
      <c r="BE44" s="134" t="str">
        <f t="shared" si="18"/>
        <v>USD_CURVE_3M_15Y</v>
      </c>
      <c r="BF44" s="385">
        <f>IF(RealTime,_xll.RtGet(RtChannel,$BE44,BF$12),"StaticData")</f>
        <v>2.3069999920000002</v>
      </c>
      <c r="BG44" s="386">
        <f>IF(RealTime,_xll.RtGet(RtChannel,$BE44,BG$12),"StaticData")</f>
        <v>2.3069999920000002</v>
      </c>
      <c r="BH44" s="385">
        <f>IF(RealTime,BF44,static_data())</f>
        <v>2.3069999920000002</v>
      </c>
      <c r="BI44" s="385">
        <f>IF(RealTime,BG44,static_data())</f>
        <v>2.3069999920000002</v>
      </c>
      <c r="BJ44" s="43">
        <f t="shared" si="8"/>
        <v>2.3069999920000002</v>
      </c>
      <c r="BL44" s="382"/>
      <c r="BM44" s="158" t="str">
        <v>15Y</v>
      </c>
      <c r="BN44" s="134" t="str">
        <f t="shared" si="19"/>
        <v>USD_CURVE_6M_15Y</v>
      </c>
      <c r="BO44" s="385">
        <f>IF(RealTime,_xll.RtGet(RtChannel,$BN44,BO$12),"StaticData")</f>
        <v>2.477272481</v>
      </c>
      <c r="BP44" s="386">
        <f>IF(RealTime,_xll.RtGet(RtChannel,$BN44,BP$12),"StaticData")</f>
        <v>2.477272481</v>
      </c>
      <c r="BQ44" s="385">
        <f>IF(RealTime,BO44,static_data())</f>
        <v>2.477272481</v>
      </c>
      <c r="BR44" s="385">
        <f>IF(RealTime,BP44,static_data())</f>
        <v>2.477272481</v>
      </c>
      <c r="BS44" s="43">
        <f t="shared" si="9"/>
        <v>2.477272481</v>
      </c>
      <c r="BV44" s="136" t="s">
        <v>19</v>
      </c>
      <c r="BW44" s="137" t="str">
        <f t="shared" si="11"/>
        <v>15Y</v>
      </c>
      <c r="BX44" s="134" t="str">
        <f t="shared" si="24"/>
        <v>USD_CURVE_OIS_15Y</v>
      </c>
      <c r="BY44" s="70">
        <f>IF(RealTime,_xll.RtGet(RtChannel,$BX44,BY$12),"StaticData")</f>
        <v>1.9590000000000001</v>
      </c>
      <c r="BZ44" s="70">
        <f>IF(RealTime,_xll.RtGet(RtChannel,$BX44,BZ$12),"StaticData")</f>
        <v>1.9590000000000001</v>
      </c>
      <c r="CA44" s="79">
        <f>IF(RealTime,BY44,static_data())</f>
        <v>1.9590000000000001</v>
      </c>
      <c r="CB44" s="71">
        <f>IF(RealTime,BZ44,static_data())</f>
        <v>1.9590000000000001</v>
      </c>
      <c r="CC44" s="43">
        <f t="shared" si="32"/>
        <v>1.9590000000000001</v>
      </c>
    </row>
    <row r="45" spans="1:81">
      <c r="B45" s="9" t="s">
        <v>79</v>
      </c>
      <c r="C45" s="60" t="str">
        <f>$N$4</f>
        <v>H7</v>
      </c>
      <c r="D45" s="63" t="str">
        <f>CONCATENATE(B45,C45)</f>
        <v>USH7</v>
      </c>
      <c r="E45" s="63">
        <f>IF(RealTime,_xll.RtGet("IDN_SELECTFEED",D45,E$38),static_data())</f>
        <v>151.625</v>
      </c>
      <c r="F45" s="64">
        <f>IF(RealTime,_xll.RtGet("IDN_SELECTFEED",D45,F$38),static_data())</f>
        <v>151.6875</v>
      </c>
      <c r="G45" s="64">
        <f>SafeMid(E45,F45)</f>
        <v>151.65625</v>
      </c>
      <c r="H45" s="2" t="str">
        <f>IF(RealTime,LEFT(_xll.RtGet("IDN",D45,"CONTR_MNTH"),3),static_data())</f>
        <v>MAR</v>
      </c>
      <c r="I45" s="336" t="s">
        <v>840</v>
      </c>
      <c r="Q45" s="155" t="s">
        <v>16</v>
      </c>
      <c r="R45" s="102" t="s">
        <v>508</v>
      </c>
      <c r="S45" s="164"/>
      <c r="T45" s="163">
        <f t="shared" si="28"/>
        <v>45985</v>
      </c>
      <c r="U45" s="288" t="b">
        <v>1</v>
      </c>
      <c r="V45" s="284" t="str">
        <v>16Y</v>
      </c>
      <c r="W45" s="137" t="str">
        <v>W</v>
      </c>
      <c r="X45" s="130" t="str">
        <f t="shared" si="1"/>
        <v>W14</v>
      </c>
      <c r="Y45" s="173">
        <f t="shared" si="2"/>
        <v>4</v>
      </c>
      <c r="Z45" s="175" t="str">
        <f t="shared" ref="Z45:Z76" si="33">CHOOSE(Y45,V45,TEXT(DataSTUB,"dd/mm/yy"),UPPER(TEXT(V45,"MMM YY")),V45,"")</f>
        <v>16Y</v>
      </c>
      <c r="AA45" s="163">
        <v>48540</v>
      </c>
      <c r="AB45" s="173" t="str">
        <f t="shared" si="4"/>
        <v>16Y</v>
      </c>
      <c r="AC45" s="335"/>
      <c r="AD45" s="6"/>
      <c r="AE45" s="158" t="str">
        <v>16Y</v>
      </c>
      <c r="AF45" s="134" t="str">
        <f t="shared" si="23"/>
        <v>USD_CURVE_3M_16Y</v>
      </c>
      <c r="AG45" s="385">
        <f>IF(RealTime,_xll.RtGet(IF(Y45=3,"IDN",RtChannel),$AF45,AG$12),"StaticData")</f>
        <v>2.3279873090000001</v>
      </c>
      <c r="AH45" s="386">
        <f>IF(RealTime,_xll.RtGet(IF($Y45=3,"IDN",RtChannel),$AF45,AH$12),"StaticData")</f>
        <v>2.3279873090000001</v>
      </c>
      <c r="AI45" s="385">
        <f>IF(RealTime,AG45,static_data())</f>
        <v>2.3279873090000001</v>
      </c>
      <c r="AJ45" s="385">
        <f>IF(RealTime,AH45,static_data())</f>
        <v>2.3279873090000001</v>
      </c>
      <c r="AK45" s="43">
        <f t="shared" si="5"/>
        <v>2.3279873090000001</v>
      </c>
      <c r="AN45" s="158" t="str">
        <v>16Y</v>
      </c>
      <c r="AO45" s="134" t="str">
        <f t="shared" si="16"/>
        <v>USD_CURVE_12M_16Y</v>
      </c>
      <c r="AP45" s="385">
        <f>IF(RealTime,_xll.RtGet(RtChannel,$AO45,AP$12),"StaticData")</f>
        <v>2.6970000360000004</v>
      </c>
      <c r="AQ45" s="386">
        <f>IF(RealTime,_xll.RtGet(RtChannel,$AO45,AQ$12),"StaticData")</f>
        <v>2.6970000360000004</v>
      </c>
      <c r="AR45" s="385">
        <f>IF(RealTime,AP45,static_data())</f>
        <v>2.6970000360000004</v>
      </c>
      <c r="AS45" s="385">
        <f>IF(RealTime,AQ45,static_data())</f>
        <v>2.6970000360000004</v>
      </c>
      <c r="AT45" s="43">
        <f t="shared" si="6"/>
        <v>2.6970000360000004</v>
      </c>
      <c r="AV45" s="158" t="str">
        <v>16Y</v>
      </c>
      <c r="AW45" s="134" t="str">
        <f t="shared" si="17"/>
        <v>USD_CURVE_1M_16Y</v>
      </c>
      <c r="AX45" s="385">
        <f>IF(RealTime,_xll.RtGet(RtChannel,$AW45,AX$12),"StaticData")</f>
        <v>2.2251823760000002</v>
      </c>
      <c r="AY45" s="386">
        <f>IF(RealTime,_xll.RtGet(RtChannel,$AW45,AY$12),"StaticData")</f>
        <v>2.2251823760000002</v>
      </c>
      <c r="AZ45" s="385">
        <f>IF(RealTime,AX45,static_data())</f>
        <v>2.2251823760000002</v>
      </c>
      <c r="BA45" s="385">
        <f>IF(RealTime,AY45,static_data())</f>
        <v>2.2251823760000002</v>
      </c>
      <c r="BB45" s="43">
        <f t="shared" si="7"/>
        <v>2.2251823760000002</v>
      </c>
      <c r="BD45" s="158" t="str">
        <v>16Y</v>
      </c>
      <c r="BE45" s="134" t="str">
        <f t="shared" si="18"/>
        <v>USD_CURVE_3M_16Y</v>
      </c>
      <c r="BF45" s="385">
        <f>IF(RealTime,_xll.RtGet(RtChannel,$BE45,BF$12),"StaticData")</f>
        <v>2.3279873090000001</v>
      </c>
      <c r="BG45" s="386">
        <f>IF(RealTime,_xll.RtGet(RtChannel,$BE45,BG$12),"StaticData")</f>
        <v>2.3279873090000001</v>
      </c>
      <c r="BH45" s="385">
        <f>IF(RealTime,BF45,static_data())</f>
        <v>2.3279873090000001</v>
      </c>
      <c r="BI45" s="385">
        <f>IF(RealTime,BG45,static_data())</f>
        <v>2.3279873090000001</v>
      </c>
      <c r="BJ45" s="43">
        <f t="shared" si="8"/>
        <v>2.3279873090000001</v>
      </c>
      <c r="BL45" s="382"/>
      <c r="BM45" s="158" t="str">
        <v>16Y</v>
      </c>
      <c r="BN45" s="134" t="str">
        <f t="shared" si="19"/>
        <v>USD_CURVE_6M_16Y</v>
      </c>
      <c r="BO45" s="385">
        <f>IF(RealTime,_xll.RtGet(RtChannel,$BN45,BO$12),"StaticData")</f>
        <v>2.4972618300000002</v>
      </c>
      <c r="BP45" s="386">
        <f>IF(RealTime,_xll.RtGet(RtChannel,$BN45,BP$12),"StaticData")</f>
        <v>2.4972618300000002</v>
      </c>
      <c r="BQ45" s="385">
        <f>IF(RealTime,BO45,static_data())</f>
        <v>2.4972618300000002</v>
      </c>
      <c r="BR45" s="385">
        <f>IF(RealTime,BP45,static_data())</f>
        <v>2.4972618300000002</v>
      </c>
      <c r="BS45" s="43">
        <f t="shared" ref="BS45:BS67" si="34">IF(LEN($V45)&gt;0,IF($W45="F",100-AVERAGE(BQ45:BR45),AVERAGE(BQ45:BR45)),"")</f>
        <v>2.4972618300000002</v>
      </c>
      <c r="BV45" s="136" t="s">
        <v>20</v>
      </c>
      <c r="BW45" s="137" t="str">
        <f t="shared" si="11"/>
        <v>20Y</v>
      </c>
      <c r="BX45" s="134" t="str">
        <f t="shared" si="24"/>
        <v>USD_CURVE_OIS_20Y</v>
      </c>
      <c r="BY45" s="70">
        <f>IF(RealTime,_xll.RtGet(RtChannel,$BX45,BY$12),"StaticData")</f>
        <v>2.036</v>
      </c>
      <c r="BZ45" s="70">
        <f>IF(RealTime,_xll.RtGet(RtChannel,$BX45,BZ$12),"StaticData")</f>
        <v>2.036</v>
      </c>
      <c r="CA45" s="79">
        <f>IF(RealTime,BY45,static_data())</f>
        <v>2.036</v>
      </c>
      <c r="CB45" s="71">
        <f>IF(RealTime,BZ45,static_data())</f>
        <v>2.036</v>
      </c>
      <c r="CC45" s="43">
        <f t="shared" si="32"/>
        <v>2.036</v>
      </c>
    </row>
    <row r="46" spans="1:81">
      <c r="B46" s="15" t="s">
        <v>80</v>
      </c>
      <c r="C46" s="61" t="str">
        <f>C$45</f>
        <v>H7</v>
      </c>
      <c r="D46" s="65" t="str">
        <f>CONCATENATE(B46,C46)</f>
        <v>TYH7</v>
      </c>
      <c r="E46" s="65">
        <f>IF(RealTime,_xll.RtGet("IDN_SELECTFEED",D46,E$38),static_data())</f>
        <v>125.125</v>
      </c>
      <c r="F46" s="66">
        <f>IF(RealTime,_xll.RtGet("IDN_SELECTFEED",D46,F$38),static_data())</f>
        <v>125.15625</v>
      </c>
      <c r="G46" s="66">
        <f>SafeMid(E46,F46)</f>
        <v>125.140625</v>
      </c>
      <c r="H46" s="2" t="str">
        <f>IF(RealTime,LEFT(_xll.RtGet("IDN",D46,"CONTR_MNTH"),3),static_data())</f>
        <v>MAR</v>
      </c>
      <c r="I46" s="336" t="s">
        <v>822</v>
      </c>
      <c r="Q46" s="155" t="s">
        <v>17</v>
      </c>
      <c r="R46" s="102" t="s">
        <v>508</v>
      </c>
      <c r="S46" s="164"/>
      <c r="T46" s="163">
        <f t="shared" si="28"/>
        <v>46349</v>
      </c>
      <c r="U46" s="288" t="b">
        <v>1</v>
      </c>
      <c r="V46" s="284" t="str">
        <v>17Y</v>
      </c>
      <c r="W46" s="137" t="str">
        <v>W</v>
      </c>
      <c r="X46" s="130" t="str">
        <f t="shared" si="1"/>
        <v>W15</v>
      </c>
      <c r="Y46" s="173">
        <f t="shared" si="2"/>
        <v>4</v>
      </c>
      <c r="Z46" s="175" t="str">
        <f t="shared" si="33"/>
        <v>17Y</v>
      </c>
      <c r="AA46" s="163">
        <v>48905</v>
      </c>
      <c r="AB46" s="173" t="str">
        <f t="shared" si="4"/>
        <v>17Y</v>
      </c>
      <c r="AC46" s="335"/>
      <c r="AD46" s="6"/>
      <c r="AE46" s="158" t="str">
        <v>17Y</v>
      </c>
      <c r="AF46" s="134" t="str">
        <f t="shared" si="23"/>
        <v>USD_CURVE_3M_17Y</v>
      </c>
      <c r="AG46" s="385">
        <f>IF(RealTime,_xll.RtGet(IF(Y46=3,"IDN",RtChannel),$AF46,AG$12),"StaticData")</f>
        <v>2.3462836610000002</v>
      </c>
      <c r="AH46" s="386">
        <f>IF(RealTime,_xll.RtGet(IF($Y46=3,"IDN",RtChannel),$AF46,AH$12),"StaticData")</f>
        <v>2.3462836610000002</v>
      </c>
      <c r="AI46" s="385">
        <f>IF(RealTime,AG46,static_data())</f>
        <v>2.3462836610000002</v>
      </c>
      <c r="AJ46" s="385">
        <f>IF(RealTime,AH46,static_data())</f>
        <v>2.3462836610000002</v>
      </c>
      <c r="AK46" s="43">
        <f t="shared" si="5"/>
        <v>2.3462836610000002</v>
      </c>
      <c r="AN46" s="158" t="str">
        <v>17Y</v>
      </c>
      <c r="AO46" s="134" t="str">
        <f t="shared" si="16"/>
        <v>USD_CURVE_12M_17Y</v>
      </c>
      <c r="AP46" s="385">
        <f>IF(RealTime,_xll.RtGet(RtChannel,$AO46,AP$12),"StaticData")</f>
        <v>2.7126230860000002</v>
      </c>
      <c r="AQ46" s="386">
        <f>IF(RealTime,_xll.RtGet(RtChannel,$AO46,AQ$12),"StaticData")</f>
        <v>2.7126230860000002</v>
      </c>
      <c r="AR46" s="385">
        <f>IF(RealTime,AP46,static_data())</f>
        <v>2.7126230860000002</v>
      </c>
      <c r="AS46" s="385">
        <f>IF(RealTime,AQ46,static_data())</f>
        <v>2.7126230860000002</v>
      </c>
      <c r="AT46" s="43">
        <f t="shared" si="6"/>
        <v>2.7126230860000002</v>
      </c>
      <c r="AV46" s="158" t="str">
        <v>17Y</v>
      </c>
      <c r="AW46" s="134" t="str">
        <f t="shared" si="17"/>
        <v>USD_CURVE_1M_17Y</v>
      </c>
      <c r="AX46" s="385">
        <f>IF(RealTime,_xll.RtGet(RtChannel,$AW46,AX$12),"StaticData")</f>
        <v>2.2425970799999999</v>
      </c>
      <c r="AY46" s="386">
        <f>IF(RealTime,_xll.RtGet(RtChannel,$AW46,AY$12),"StaticData")</f>
        <v>2.2425970799999999</v>
      </c>
      <c r="AZ46" s="385">
        <f>IF(RealTime,AX46,static_data())</f>
        <v>2.2425970799999999</v>
      </c>
      <c r="BA46" s="385">
        <f>IF(RealTime,AY46,static_data())</f>
        <v>2.2425970799999999</v>
      </c>
      <c r="BB46" s="43">
        <f t="shared" si="7"/>
        <v>2.2425970799999999</v>
      </c>
      <c r="BD46" s="158" t="str">
        <v>17Y</v>
      </c>
      <c r="BE46" s="134" t="str">
        <f t="shared" si="18"/>
        <v>USD_CURVE_3M_17Y</v>
      </c>
      <c r="BF46" s="385">
        <f>IF(RealTime,_xll.RtGet(RtChannel,$BE46,BF$12),"StaticData")</f>
        <v>2.3462836610000002</v>
      </c>
      <c r="BG46" s="386">
        <f>IF(RealTime,_xll.RtGet(RtChannel,$BE46,BG$12),"StaticData")</f>
        <v>2.3462836610000002</v>
      </c>
      <c r="BH46" s="385">
        <f>IF(RealTime,BF46,static_data())</f>
        <v>2.3462836610000002</v>
      </c>
      <c r="BI46" s="385">
        <f>IF(RealTime,BG46,static_data())</f>
        <v>2.3462836610000002</v>
      </c>
      <c r="BJ46" s="43">
        <f t="shared" si="8"/>
        <v>2.3462836610000002</v>
      </c>
      <c r="BL46" s="382"/>
      <c r="BM46" s="158" t="str">
        <v>17Y</v>
      </c>
      <c r="BN46" s="134" t="str">
        <f t="shared" si="19"/>
        <v>USD_CURVE_6M_17Y</v>
      </c>
      <c r="BO46" s="385">
        <f>IF(RealTime,_xll.RtGet(RtChannel,$BN46,BO$12),"StaticData")</f>
        <v>2.51468055</v>
      </c>
      <c r="BP46" s="386">
        <f>IF(RealTime,_xll.RtGet(RtChannel,$BN46,BP$12),"StaticData")</f>
        <v>2.51468055</v>
      </c>
      <c r="BQ46" s="385">
        <f>IF(RealTime,BO46,static_data())</f>
        <v>2.51468055</v>
      </c>
      <c r="BR46" s="385">
        <f>IF(RealTime,BP46,static_data())</f>
        <v>2.51468055</v>
      </c>
      <c r="BS46" s="43">
        <f t="shared" si="34"/>
        <v>2.51468055</v>
      </c>
      <c r="BV46" s="136" t="s">
        <v>21</v>
      </c>
      <c r="BW46" s="137" t="str">
        <f t="shared" si="11"/>
        <v>25Y</v>
      </c>
      <c r="BX46" s="134" t="str">
        <f t="shared" si="24"/>
        <v>USD_CURVE_OIS_25Y</v>
      </c>
      <c r="BY46" s="70">
        <f>IF(RealTime,_xll.RtGet(RtChannel,$BX46,BY$12),"StaticData")</f>
        <v>2.0659999999999998</v>
      </c>
      <c r="BZ46" s="70">
        <f>IF(RealTime,_xll.RtGet(RtChannel,$BX46,BZ$12),"StaticData")</f>
        <v>2.0659999999999998</v>
      </c>
      <c r="CA46" s="79">
        <f>IF(RealTime,BY46,static_data())</f>
        <v>2.0659999999999998</v>
      </c>
      <c r="CB46" s="71">
        <f>IF(RealTime,BZ46,static_data())</f>
        <v>2.0659999999999998</v>
      </c>
      <c r="CC46" s="43">
        <f t="shared" si="32"/>
        <v>2.0659999999999998</v>
      </c>
    </row>
    <row r="47" spans="1:81">
      <c r="B47" s="15" t="s">
        <v>81</v>
      </c>
      <c r="C47" s="61" t="str">
        <f>C$45</f>
        <v>H7</v>
      </c>
      <c r="D47" s="65" t="str">
        <f>CONCATENATE(B47,C47)</f>
        <v>FVH7</v>
      </c>
      <c r="E47" s="65">
        <f>IF(RealTime,_xll.RtGet("IDN_SELECTFEED",D47,E$38),static_data())</f>
        <v>118.2578125</v>
      </c>
      <c r="F47" s="66">
        <f>IF(RealTime,_xll.RtGet("IDN_SELECTFEED",D47,F$38),static_data())</f>
        <v>118.2734375</v>
      </c>
      <c r="G47" s="66">
        <f>SafeMid(E47,F47)</f>
        <v>118.265625</v>
      </c>
      <c r="H47" s="2" t="str">
        <f>IF(RealTime,LEFT(_xll.RtGet("IDN",D47,"CONTR_MNTH"),3),static_data())</f>
        <v>MAR</v>
      </c>
      <c r="I47" s="336" t="s">
        <v>823</v>
      </c>
      <c r="Q47" s="155" t="s">
        <v>31</v>
      </c>
      <c r="R47" s="102" t="s">
        <v>508</v>
      </c>
      <c r="S47" s="164"/>
      <c r="T47" s="163">
        <f t="shared" si="28"/>
        <v>46713</v>
      </c>
      <c r="U47" s="288" t="b">
        <v>1</v>
      </c>
      <c r="V47" s="284" t="str">
        <v>18Y</v>
      </c>
      <c r="W47" s="137" t="str">
        <v>W</v>
      </c>
      <c r="X47" s="130" t="str">
        <f t="shared" si="1"/>
        <v>W16</v>
      </c>
      <c r="Y47" s="173">
        <f t="shared" si="2"/>
        <v>4</v>
      </c>
      <c r="Z47" s="175" t="str">
        <f t="shared" si="33"/>
        <v>18Y</v>
      </c>
      <c r="AA47" s="163">
        <v>49270</v>
      </c>
      <c r="AB47" s="173" t="str">
        <f t="shared" si="4"/>
        <v>18Y</v>
      </c>
      <c r="AC47" s="335"/>
      <c r="AD47" s="6"/>
      <c r="AE47" s="158" t="str">
        <v>18Y</v>
      </c>
      <c r="AF47" s="134" t="str">
        <f t="shared" si="23"/>
        <v>USD_CURVE_3M_18Y</v>
      </c>
      <c r="AG47" s="385">
        <f>IF(RealTime,_xll.RtGet(IF(Y47=3,"IDN",RtChannel),$AF47,AG$12),"StaticData")</f>
        <v>2.3620728570000002</v>
      </c>
      <c r="AH47" s="386">
        <f>IF(RealTime,_xll.RtGet(IF($Y47=3,"IDN",RtChannel),$AF47,AH$12),"StaticData")</f>
        <v>2.3620728570000002</v>
      </c>
      <c r="AI47" s="385">
        <f>IF(RealTime,AG47,static_data())</f>
        <v>2.3620728570000002</v>
      </c>
      <c r="AJ47" s="385">
        <f>IF(RealTime,AH47,static_data())</f>
        <v>2.3620728570000002</v>
      </c>
      <c r="AK47" s="43">
        <f t="shared" si="5"/>
        <v>2.3620728570000002</v>
      </c>
      <c r="AN47" s="158" t="str">
        <v>18Y</v>
      </c>
      <c r="AO47" s="134" t="str">
        <f t="shared" si="16"/>
        <v>USD_CURVE_12M_18Y</v>
      </c>
      <c r="AP47" s="385">
        <f>IF(RealTime,_xll.RtGet(RtChannel,$AO47,AP$12),"StaticData")</f>
        <v>2.7263245130000002</v>
      </c>
      <c r="AQ47" s="386">
        <f>IF(RealTime,_xll.RtGet(RtChannel,$AO47,AQ$12),"StaticData")</f>
        <v>2.7263245130000002</v>
      </c>
      <c r="AR47" s="385">
        <f>IF(RealTime,AP47,static_data())</f>
        <v>2.7263245130000002</v>
      </c>
      <c r="AS47" s="385">
        <f>IF(RealTime,AQ47,static_data())</f>
        <v>2.7263245130000002</v>
      </c>
      <c r="AT47" s="43">
        <f t="shared" si="6"/>
        <v>2.7263245130000002</v>
      </c>
      <c r="AV47" s="158" t="str">
        <v>18Y</v>
      </c>
      <c r="AW47" s="134" t="str">
        <f t="shared" si="17"/>
        <v>USD_CURVE_1M_18Y</v>
      </c>
      <c r="AX47" s="385">
        <f>IF(RealTime,_xll.RtGet(RtChannel,$AW47,AX$12),"StaticData")</f>
        <v>2.2568712660000001</v>
      </c>
      <c r="AY47" s="386">
        <f>IF(RealTime,_xll.RtGet(RtChannel,$AW47,AY$12),"StaticData")</f>
        <v>2.2568712660000001</v>
      </c>
      <c r="AZ47" s="385">
        <f>IF(RealTime,AX47,static_data())</f>
        <v>2.2568712660000001</v>
      </c>
      <c r="BA47" s="385">
        <f>IF(RealTime,AY47,static_data())</f>
        <v>2.2568712660000001</v>
      </c>
      <c r="BB47" s="43">
        <f t="shared" si="7"/>
        <v>2.2568712660000001</v>
      </c>
      <c r="BD47" s="158" t="str">
        <v>18Y</v>
      </c>
      <c r="BE47" s="134" t="str">
        <f t="shared" si="18"/>
        <v>USD_CURVE_3M_18Y</v>
      </c>
      <c r="BF47" s="385">
        <f>IF(RealTime,_xll.RtGet(RtChannel,$BE47,BF$12),"StaticData")</f>
        <v>2.3620728570000002</v>
      </c>
      <c r="BG47" s="386">
        <f>IF(RealTime,_xll.RtGet(RtChannel,$BE47,BG$12),"StaticData")</f>
        <v>2.3620728570000002</v>
      </c>
      <c r="BH47" s="385">
        <f>IF(RealTime,BF47,static_data())</f>
        <v>2.3620728570000002</v>
      </c>
      <c r="BI47" s="385">
        <f>IF(RealTime,BG47,static_data())</f>
        <v>2.3620728570000002</v>
      </c>
      <c r="BJ47" s="43">
        <f t="shared" si="8"/>
        <v>2.3620728570000002</v>
      </c>
      <c r="BL47" s="382"/>
      <c r="BM47" s="158" t="str">
        <v>18Y</v>
      </c>
      <c r="BN47" s="134" t="str">
        <f t="shared" si="19"/>
        <v>USD_CURVE_6M_18Y</v>
      </c>
      <c r="BO47" s="385">
        <f>IF(RealTime,_xll.RtGet(RtChannel,$BN47,BO$12),"StaticData")</f>
        <v>2.5296913760000002</v>
      </c>
      <c r="BP47" s="386">
        <f>IF(RealTime,_xll.RtGet(RtChannel,$BN47,BP$12),"StaticData")</f>
        <v>2.5296913760000002</v>
      </c>
      <c r="BQ47" s="385">
        <f>IF(RealTime,BO47,static_data())</f>
        <v>2.5296913760000002</v>
      </c>
      <c r="BR47" s="385">
        <f>IF(RealTime,BP47,static_data())</f>
        <v>2.5296913760000002</v>
      </c>
      <c r="BS47" s="43">
        <f t="shared" si="34"/>
        <v>2.5296913760000002</v>
      </c>
      <c r="BV47" s="136" t="s">
        <v>22</v>
      </c>
      <c r="BW47" s="137" t="str">
        <f t="shared" si="11"/>
        <v>30Y</v>
      </c>
      <c r="BX47" s="134" t="str">
        <f t="shared" si="24"/>
        <v>USD_CURVE_OIS_30Y</v>
      </c>
      <c r="BY47" s="70">
        <f>IF(RealTime,_xll.RtGet(RtChannel,$BX47,BY$12),"StaticData")</f>
        <v>2.0750000000000002</v>
      </c>
      <c r="BZ47" s="70">
        <f>IF(RealTime,_xll.RtGet(RtChannel,$BX47,BZ$12),"StaticData")</f>
        <v>2.0750000000000002</v>
      </c>
      <c r="CA47" s="79">
        <f>IF(RealTime,BY47,static_data())</f>
        <v>2.0750000000000002</v>
      </c>
      <c r="CB47" s="71">
        <f>IF(RealTime,BZ47,static_data())</f>
        <v>2.0750000000000002</v>
      </c>
      <c r="CC47" s="43">
        <f t="shared" si="32"/>
        <v>2.0750000000000002</v>
      </c>
    </row>
    <row r="48" spans="1:81" ht="13.5" thickBot="1">
      <c r="B48" s="19" t="s">
        <v>82</v>
      </c>
      <c r="C48" s="62" t="str">
        <f>C$45</f>
        <v>H7</v>
      </c>
      <c r="D48" s="393" t="str">
        <f>CONCATENATE(B48,C48)</f>
        <v>TUH7</v>
      </c>
      <c r="E48" s="393">
        <f>IF(RealTime,_xll.RtGet("IDN_SELECTFEED",D48,E$38),static_data())</f>
        <v>108.5078125</v>
      </c>
      <c r="F48" s="67">
        <f>IF(RealTime,_xll.RtGet("IDN_SELECTFEED",D48,F$38),static_data())</f>
        <v>108.5234375</v>
      </c>
      <c r="G48" s="67">
        <f>SafeMid(E48,F48)</f>
        <v>108.515625</v>
      </c>
      <c r="H48" s="2" t="str">
        <f>IF(RealTime,LEFT(_xll.RtGet("IDN",D48,"CONTR_MNTH"),3),static_data())</f>
        <v>MAR</v>
      </c>
      <c r="Q48" s="155" t="s">
        <v>18</v>
      </c>
      <c r="R48" s="102" t="s">
        <v>508</v>
      </c>
      <c r="S48" s="164"/>
      <c r="T48" s="163">
        <f t="shared" si="28"/>
        <v>47079</v>
      </c>
      <c r="U48" s="288" t="b">
        <v>1</v>
      </c>
      <c r="V48" s="284" t="str">
        <v>19Y</v>
      </c>
      <c r="W48" s="137" t="str">
        <v>W</v>
      </c>
      <c r="X48" s="130" t="str">
        <f t="shared" si="1"/>
        <v>W17</v>
      </c>
      <c r="Y48" s="173">
        <f t="shared" si="2"/>
        <v>4</v>
      </c>
      <c r="Z48" s="175" t="str">
        <f t="shared" si="33"/>
        <v>19Y</v>
      </c>
      <c r="AA48" s="163">
        <v>49635</v>
      </c>
      <c r="AB48" s="173" t="str">
        <f t="shared" si="4"/>
        <v>19Y</v>
      </c>
      <c r="AC48" s="335"/>
      <c r="AD48" s="6"/>
      <c r="AE48" s="158" t="str">
        <v>19Y</v>
      </c>
      <c r="AF48" s="134" t="str">
        <f t="shared" si="23"/>
        <v>USD_CURVE_3M_19Y</v>
      </c>
      <c r="AG48" s="385">
        <f>IF(RealTime,_xll.RtGet(IF(Y48=3,"IDN",RtChannel),$AF48,AG$12),"StaticData")</f>
        <v>2.3752876840000003</v>
      </c>
      <c r="AH48" s="386">
        <f>IF(RealTime,_xll.RtGet(IF($Y48=3,"IDN",RtChannel),$AF48,AH$12),"StaticData")</f>
        <v>2.3752876840000003</v>
      </c>
      <c r="AI48" s="385">
        <f>IF(RealTime,AG48,static_data())</f>
        <v>2.3752876840000003</v>
      </c>
      <c r="AJ48" s="385">
        <f>IF(RealTime,AH48,static_data())</f>
        <v>2.3752876840000003</v>
      </c>
      <c r="AK48" s="43">
        <f t="shared" si="5"/>
        <v>2.3752876840000003</v>
      </c>
      <c r="AN48" s="158" t="str">
        <v>19Y</v>
      </c>
      <c r="AO48" s="134" t="str">
        <f t="shared" si="16"/>
        <v>USD_CURVE_12M_19Y</v>
      </c>
      <c r="AP48" s="385">
        <f>IF(RealTime,_xll.RtGet(RtChannel,$AO48,AP$12),"StaticData")</f>
        <v>2.737590602</v>
      </c>
      <c r="AQ48" s="386">
        <f>IF(RealTime,_xll.RtGet(RtChannel,$AO48,AQ$12),"StaticData")</f>
        <v>2.737590602</v>
      </c>
      <c r="AR48" s="385">
        <f>IF(RealTime,AP48,static_data())</f>
        <v>2.737590602</v>
      </c>
      <c r="AS48" s="385">
        <f>IF(RealTime,AQ48,static_data())</f>
        <v>2.737590602</v>
      </c>
      <c r="AT48" s="43">
        <f t="shared" si="6"/>
        <v>2.737590602</v>
      </c>
      <c r="AV48" s="158" t="str">
        <v>19Y</v>
      </c>
      <c r="AW48" s="134" t="str">
        <f t="shared" si="17"/>
        <v>USD_CURVE_1M_19Y</v>
      </c>
      <c r="AX48" s="385">
        <f>IF(RealTime,_xll.RtGet(RtChannel,$AW48,AX$12),"StaticData")</f>
        <v>2.2682461190000001</v>
      </c>
      <c r="AY48" s="386">
        <f>IF(RealTime,_xll.RtGet(RtChannel,$AW48,AY$12),"StaticData")</f>
        <v>2.2682461190000001</v>
      </c>
      <c r="AZ48" s="385">
        <f>IF(RealTime,AX48,static_data())</f>
        <v>2.2682461190000001</v>
      </c>
      <c r="BA48" s="385">
        <f>IF(RealTime,AY48,static_data())</f>
        <v>2.2682461190000001</v>
      </c>
      <c r="BB48" s="43">
        <f t="shared" si="7"/>
        <v>2.2682461190000001</v>
      </c>
      <c r="BD48" s="158" t="str">
        <v>19Y</v>
      </c>
      <c r="BE48" s="134" t="str">
        <f t="shared" ref="BE48:BE67" si="35">CHOOSE($Y48,BE$3&amp;$AE48&amp;BF$3,BE$4&amp;$AE48&amp;BF$4,BE$5&amp;$AB48&amp;BF$5,BE$6&amp;$AE48&amp;BF$6,"")</f>
        <v>USD_CURVE_3M_19Y</v>
      </c>
      <c r="BF48" s="385">
        <f>IF(RealTime,_xll.RtGet(RtChannel,$BE48,BF$12),"StaticData")</f>
        <v>2.3752876840000003</v>
      </c>
      <c r="BG48" s="386">
        <f>IF(RealTime,_xll.RtGet(RtChannel,$BE48,BG$12),"StaticData")</f>
        <v>2.3752876840000003</v>
      </c>
      <c r="BH48" s="385">
        <f>IF(RealTime,BF48,static_data())</f>
        <v>2.3752876840000003</v>
      </c>
      <c r="BI48" s="385">
        <f>IF(RealTime,BG48,static_data())</f>
        <v>2.3752876840000003</v>
      </c>
      <c r="BJ48" s="43">
        <f t="shared" si="8"/>
        <v>2.3752876840000003</v>
      </c>
      <c r="BL48" s="382"/>
      <c r="BM48" s="158" t="str">
        <v>19Y</v>
      </c>
      <c r="BN48" s="134" t="str">
        <f t="shared" ref="BN48:BN67" si="36">CHOOSE($Y48,BN$3&amp;$AE48&amp;BO$3,BN$4&amp;$AE48&amp;BO$4,BN$5&amp;$AB48&amp;BO$5,BN$6&amp;$AE48&amp;BO$6,"")</f>
        <v>USD_CURVE_6M_19Y</v>
      </c>
      <c r="BO48" s="385">
        <f>IF(RealTime,_xll.RtGet(RtChannel,$BN48,BO$12),"StaticData")</f>
        <v>2.542189751</v>
      </c>
      <c r="BP48" s="386">
        <f>IF(RealTime,_xll.RtGet(RtChannel,$BN48,BP$12),"StaticData")</f>
        <v>2.542189751</v>
      </c>
      <c r="BQ48" s="385">
        <f>IF(RealTime,BO48,static_data())</f>
        <v>2.542189751</v>
      </c>
      <c r="BR48" s="385">
        <f>IF(RealTime,BP48,static_data())</f>
        <v>2.542189751</v>
      </c>
      <c r="BS48" s="43">
        <f t="shared" si="34"/>
        <v>2.542189751</v>
      </c>
      <c r="BV48" s="136" t="s">
        <v>46</v>
      </c>
      <c r="BW48" s="137" t="str">
        <f t="shared" si="11"/>
        <v>40Y</v>
      </c>
      <c r="BX48" s="134" t="str">
        <f t="shared" si="24"/>
        <v>USD_CURVE_OIS_40Y</v>
      </c>
      <c r="BY48" s="70">
        <f>IF(RealTime,_xll.RtGet(RtChannel,$BX48,BY$12),"StaticData")</f>
        <v>2.0790000000000002</v>
      </c>
      <c r="BZ48" s="70">
        <f>IF(RealTime,_xll.RtGet(RtChannel,$BX48,BZ$12),"StaticData")</f>
        <v>2.0790000000000002</v>
      </c>
      <c r="CA48" s="79">
        <f>IF(RealTime,BY48,static_data())</f>
        <v>2.0790000000000002</v>
      </c>
      <c r="CB48" s="71">
        <f>IF(RealTime,BZ48,static_data())</f>
        <v>2.0790000000000002</v>
      </c>
      <c r="CC48" s="43">
        <f t="shared" si="32"/>
        <v>2.0790000000000002</v>
      </c>
    </row>
    <row r="49" spans="1:81" ht="13.5" thickTop="1">
      <c r="E49" s="5"/>
      <c r="F49" s="5"/>
      <c r="Q49" s="155" t="s">
        <v>32</v>
      </c>
      <c r="R49" s="102" t="s">
        <v>508</v>
      </c>
      <c r="S49" s="164"/>
      <c r="T49" s="163">
        <f t="shared" si="28"/>
        <v>47444</v>
      </c>
      <c r="U49" s="288" t="b">
        <v>1</v>
      </c>
      <c r="V49" s="284" t="str">
        <v>20Y</v>
      </c>
      <c r="W49" s="137" t="str">
        <v>W</v>
      </c>
      <c r="X49" s="130" t="str">
        <f t="shared" si="1"/>
        <v>W18</v>
      </c>
      <c r="Y49" s="173">
        <f t="shared" si="2"/>
        <v>4</v>
      </c>
      <c r="Z49" s="175" t="str">
        <f t="shared" si="33"/>
        <v>20Y</v>
      </c>
      <c r="AA49" s="163">
        <v>50003</v>
      </c>
      <c r="AB49" s="173" t="str">
        <f t="shared" si="4"/>
        <v>20Y</v>
      </c>
      <c r="AC49" s="335"/>
      <c r="AD49" s="6"/>
      <c r="AE49" s="158" t="str">
        <v>20Y</v>
      </c>
      <c r="AF49" s="134" t="str">
        <f t="shared" ref="AF49:AF67" si="37">CHOOSE($Y49,AF$3&amp;$V49&amp;AG$3,"USDXSTUBD=",AF$5&amp;$AB49&amp;AG$5,AF$6&amp;$V49&amp;AG$6,"")</f>
        <v>USD_CURVE_3M_20Y</v>
      </c>
      <c r="AG49" s="385">
        <f>IF(RealTime,_xll.RtGet(IF(Y49=3,"IDN",RtChannel),$AF49,AG$12),"StaticData")</f>
        <v>2.3869999900000001</v>
      </c>
      <c r="AH49" s="386">
        <f>IF(RealTime,_xll.RtGet(IF($Y49=3,"IDN",RtChannel),$AF49,AH$12),"StaticData")</f>
        <v>2.3869999900000001</v>
      </c>
      <c r="AI49" s="385">
        <f>IF(RealTime,AG49,static_data())</f>
        <v>2.3869999900000001</v>
      </c>
      <c r="AJ49" s="385">
        <f>IF(RealTime,AH49,static_data())</f>
        <v>2.3869999900000001</v>
      </c>
      <c r="AK49" s="43">
        <f t="shared" si="5"/>
        <v>2.3869999900000001</v>
      </c>
      <c r="AN49" s="158" t="str">
        <v>20Y</v>
      </c>
      <c r="AO49" s="134" t="str">
        <f t="shared" si="16"/>
        <v>USD_CURVE_12M_20Y</v>
      </c>
      <c r="AP49" s="385">
        <f>IF(RealTime,_xll.RtGet(RtChannel,$AO49,AP$12),"StaticData")</f>
        <v>2.7472867050000001</v>
      </c>
      <c r="AQ49" s="386">
        <f>IF(RealTime,_xll.RtGet(RtChannel,$AO49,AQ$12),"StaticData")</f>
        <v>2.7472867050000001</v>
      </c>
      <c r="AR49" s="385">
        <f>IF(RealTime,AP49,static_data())</f>
        <v>2.7472867050000001</v>
      </c>
      <c r="AS49" s="385">
        <f>IF(RealTime,AQ49,static_data())</f>
        <v>2.7472867050000001</v>
      </c>
      <c r="AT49" s="43">
        <f t="shared" si="6"/>
        <v>2.7472867050000001</v>
      </c>
      <c r="AV49" s="158" t="str">
        <v>20Y</v>
      </c>
      <c r="AW49" s="134" t="str">
        <f t="shared" si="17"/>
        <v>USD_CURVE_1M_20Y</v>
      </c>
      <c r="AX49" s="385">
        <f>IF(RealTime,_xll.RtGet(RtChannel,$AW49,AX$12),"StaticData")</f>
        <v>2.2779721099999999</v>
      </c>
      <c r="AY49" s="386">
        <f>IF(RealTime,_xll.RtGet(RtChannel,$AW49,AY$12),"StaticData")</f>
        <v>2.2779721099999999</v>
      </c>
      <c r="AZ49" s="385">
        <f>IF(RealTime,AX49,static_data())</f>
        <v>2.2779721099999999</v>
      </c>
      <c r="BA49" s="385">
        <f>IF(RealTime,AY49,static_data())</f>
        <v>2.2779721099999999</v>
      </c>
      <c r="BB49" s="43">
        <f t="shared" si="7"/>
        <v>2.2779721099999999</v>
      </c>
      <c r="BD49" s="158" t="str">
        <v>20Y</v>
      </c>
      <c r="BE49" s="134" t="str">
        <f t="shared" si="35"/>
        <v>USD_CURVE_3M_20Y</v>
      </c>
      <c r="BF49" s="385">
        <f>IF(RealTime,_xll.RtGet(RtChannel,$BE49,BF$12),"StaticData")</f>
        <v>2.3869999900000001</v>
      </c>
      <c r="BG49" s="386">
        <f>IF(RealTime,_xll.RtGet(RtChannel,$BE49,BG$12),"StaticData")</f>
        <v>2.3869999900000001</v>
      </c>
      <c r="BH49" s="385">
        <f>IF(RealTime,BF49,static_data())</f>
        <v>2.3869999900000001</v>
      </c>
      <c r="BI49" s="385">
        <f>IF(RealTime,BG49,static_data())</f>
        <v>2.3869999900000001</v>
      </c>
      <c r="BJ49" s="43">
        <f t="shared" si="8"/>
        <v>2.3869999900000001</v>
      </c>
      <c r="BL49" s="382"/>
      <c r="BM49" s="158" t="str">
        <v>20Y</v>
      </c>
      <c r="BN49" s="134" t="str">
        <f t="shared" si="36"/>
        <v>USD_CURVE_6M_20Y</v>
      </c>
      <c r="BO49" s="385">
        <f>IF(RealTime,_xll.RtGet(RtChannel,$BN49,BO$12),"StaticData")</f>
        <v>2.5532863020000001</v>
      </c>
      <c r="BP49" s="386">
        <f>IF(RealTime,_xll.RtGet(RtChannel,$BN49,BP$12),"StaticData")</f>
        <v>2.5532863020000001</v>
      </c>
      <c r="BQ49" s="385">
        <f>IF(RealTime,BO49,static_data())</f>
        <v>2.5532863020000001</v>
      </c>
      <c r="BR49" s="385">
        <f>IF(RealTime,BP49,static_data())</f>
        <v>2.5532863020000001</v>
      </c>
      <c r="BS49" s="43">
        <f t="shared" si="34"/>
        <v>2.5532863020000001</v>
      </c>
      <c r="BV49" s="136" t="s">
        <v>47</v>
      </c>
      <c r="BW49" s="137" t="str">
        <f t="shared" si="11"/>
        <v>50Y</v>
      </c>
      <c r="BX49" s="134" t="str">
        <f t="shared" si="24"/>
        <v>USD_CURVE_OIS_50Y</v>
      </c>
      <c r="BY49" s="70">
        <f>IF(RealTime,_xll.RtGet(RtChannel,$BX49,BY$12),"StaticData")</f>
        <v>2.0670000000000002</v>
      </c>
      <c r="BZ49" s="70">
        <f>IF(RealTime,_xll.RtGet(RtChannel,$BX49,BZ$12),"StaticData")</f>
        <v>2.0670000000000002</v>
      </c>
      <c r="CA49" s="79">
        <f>IF(RealTime,BY49,static_data())</f>
        <v>2.0670000000000002</v>
      </c>
      <c r="CB49" s="71">
        <f>IF(RealTime,BZ49,static_data())</f>
        <v>2.0670000000000002</v>
      </c>
      <c r="CC49" s="43">
        <f t="shared" si="32"/>
        <v>2.0670000000000002</v>
      </c>
    </row>
    <row r="50" spans="1:81">
      <c r="E50" s="5"/>
      <c r="F50" s="5"/>
      <c r="Q50" s="155" t="s">
        <v>33</v>
      </c>
      <c r="R50" s="102" t="s">
        <v>508</v>
      </c>
      <c r="S50" s="164"/>
      <c r="T50" s="163">
        <f t="shared" si="28"/>
        <v>47809</v>
      </c>
      <c r="U50" s="288" t="b">
        <v>1</v>
      </c>
      <c r="V50" s="284" t="str">
        <v>21Y</v>
      </c>
      <c r="W50" s="137" t="str">
        <v>W</v>
      </c>
      <c r="X50" s="130" t="str">
        <f t="shared" si="1"/>
        <v>W19</v>
      </c>
      <c r="Y50" s="173">
        <f t="shared" si="2"/>
        <v>4</v>
      </c>
      <c r="Z50" s="175" t="str">
        <f t="shared" si="33"/>
        <v>21Y</v>
      </c>
      <c r="AA50" s="163">
        <v>50367</v>
      </c>
      <c r="AB50" s="173" t="str">
        <f t="shared" si="4"/>
        <v>21Y</v>
      </c>
      <c r="AC50" s="335"/>
      <c r="AD50" s="6"/>
      <c r="AE50" s="158" t="str">
        <v>21Y</v>
      </c>
      <c r="AF50" s="134" t="str">
        <f t="shared" si="37"/>
        <v>USD_CURVE_3M_21Y</v>
      </c>
      <c r="AG50" s="385">
        <f>IF(RealTime,_xll.RtGet(IF(Y50=3,"IDN",RtChannel),$AF50,AG$12),"StaticData")</f>
        <v>2.3963493740000001</v>
      </c>
      <c r="AH50" s="386">
        <f>IF(RealTime,_xll.RtGet(IF($Y50=3,"IDN",RtChannel),$AF50,AH$12),"StaticData")</f>
        <v>2.3963493740000001</v>
      </c>
      <c r="AI50" s="385">
        <f>IF(RealTime,AG50,static_data())</f>
        <v>2.3963493740000001</v>
      </c>
      <c r="AJ50" s="385">
        <f>IF(RealTime,AH50,static_data())</f>
        <v>2.3963493740000001</v>
      </c>
      <c r="AK50" s="43">
        <f t="shared" si="5"/>
        <v>2.3963493740000001</v>
      </c>
      <c r="AN50" s="158" t="str">
        <v>21Y</v>
      </c>
      <c r="AO50" s="134" t="str">
        <f t="shared" si="16"/>
        <v>USD_CURVE_12M_21Y</v>
      </c>
      <c r="AP50" s="385">
        <f>IF(RealTime,_xll.RtGet(RtChannel,$AO50,AP$12),"StaticData")</f>
        <v>2.7542639040000001</v>
      </c>
      <c r="AQ50" s="386">
        <f>IF(RealTime,_xll.RtGet(RtChannel,$AO50,AQ$12),"StaticData")</f>
        <v>2.7542639040000001</v>
      </c>
      <c r="AR50" s="385">
        <f>IF(RealTime,AP50,static_data())</f>
        <v>2.7542639040000001</v>
      </c>
      <c r="AS50" s="385">
        <f>IF(RealTime,AQ50,static_data())</f>
        <v>2.7542639040000001</v>
      </c>
      <c r="AT50" s="43">
        <f t="shared" si="6"/>
        <v>2.7542639040000001</v>
      </c>
      <c r="AV50" s="158" t="str">
        <v>21Y</v>
      </c>
      <c r="AW50" s="134" t="str">
        <f t="shared" si="17"/>
        <v>USD_CURVE_1M_21Y</v>
      </c>
      <c r="AX50" s="385">
        <f>IF(RealTime,_xll.RtGet(RtChannel,$AW50,AX$12),"StaticData")</f>
        <v>2.285419101</v>
      </c>
      <c r="AY50" s="386">
        <f>IF(RealTime,_xll.RtGet(RtChannel,$AW50,AY$12),"StaticData")</f>
        <v>2.285419101</v>
      </c>
      <c r="AZ50" s="385">
        <f>IF(RealTime,AX50,static_data())</f>
        <v>2.285419101</v>
      </c>
      <c r="BA50" s="385">
        <f>IF(RealTime,AY50,static_data())</f>
        <v>2.285419101</v>
      </c>
      <c r="BB50" s="43">
        <f t="shared" si="7"/>
        <v>2.285419101</v>
      </c>
      <c r="BD50" s="158" t="str">
        <v>21Y</v>
      </c>
      <c r="BE50" s="134" t="str">
        <f t="shared" si="35"/>
        <v>USD_CURVE_3M_21Y</v>
      </c>
      <c r="BF50" s="385">
        <f>IF(RealTime,_xll.RtGet(RtChannel,$BE50,BF$12),"StaticData")</f>
        <v>2.3963493740000001</v>
      </c>
      <c r="BG50" s="386">
        <f>IF(RealTime,_xll.RtGet(RtChannel,$BE50,BG$12),"StaticData")</f>
        <v>2.3963493740000001</v>
      </c>
      <c r="BH50" s="385">
        <f>IF(RealTime,BF50,static_data())</f>
        <v>2.3963493740000001</v>
      </c>
      <c r="BI50" s="385">
        <f>IF(RealTime,BG50,static_data())</f>
        <v>2.3963493740000001</v>
      </c>
      <c r="BJ50" s="43">
        <f t="shared" si="8"/>
        <v>2.3963493740000001</v>
      </c>
      <c r="BL50" s="382"/>
      <c r="BM50" s="158" t="str">
        <v>21Y</v>
      </c>
      <c r="BN50" s="134" t="str">
        <f t="shared" si="36"/>
        <v>USD_CURVE_6M_21Y</v>
      </c>
      <c r="BO50" s="385">
        <f>IF(RealTime,_xll.RtGet(RtChannel,$BN50,BO$12),"StaticData")</f>
        <v>2.562055473</v>
      </c>
      <c r="BP50" s="386">
        <f>IF(RealTime,_xll.RtGet(RtChannel,$BN50,BP$12),"StaticData")</f>
        <v>2.562055473</v>
      </c>
      <c r="BQ50" s="385">
        <f>IF(RealTime,BO50,static_data())</f>
        <v>2.562055473</v>
      </c>
      <c r="BR50" s="385">
        <f>IF(RealTime,BP50,static_data())</f>
        <v>2.562055473</v>
      </c>
      <c r="BS50" s="43">
        <f t="shared" si="34"/>
        <v>2.562055473</v>
      </c>
      <c r="BV50" s="140" t="s">
        <v>48</v>
      </c>
      <c r="BW50" s="138" t="str">
        <f t="shared" si="11"/>
        <v>60Y</v>
      </c>
      <c r="BX50" s="135" t="str">
        <f t="shared" si="24"/>
        <v>USD_CURVE_OIS_60Y</v>
      </c>
      <c r="BY50" s="72">
        <f>IF(RealTime,_xll.RtGet(RtChannel,$BX50,BY$12),"StaticData")</f>
        <v>2.0563259359999999</v>
      </c>
      <c r="BZ50" s="72">
        <f>IF(RealTime,_xll.RtGet(RtChannel,$BX50,BZ$12),"StaticData")</f>
        <v>2.0563259359999999</v>
      </c>
      <c r="CA50" s="76">
        <f>IF(RealTime,BY50,static_data())</f>
        <v>2.0563259359999999</v>
      </c>
      <c r="CB50" s="73">
        <f>IF(RealTime,BZ50,static_data())</f>
        <v>2.0563259359999999</v>
      </c>
      <c r="CC50" s="44">
        <f>+AVERAGE(CA50:CB50)</f>
        <v>2.0563259359999999</v>
      </c>
    </row>
    <row r="51" spans="1:81">
      <c r="E51" s="5"/>
      <c r="F51" s="5"/>
      <c r="Q51" s="155" t="s">
        <v>19</v>
      </c>
      <c r="R51" s="102" t="s">
        <v>508</v>
      </c>
      <c r="S51" s="164"/>
      <c r="T51" s="163">
        <f t="shared" si="28"/>
        <v>48176</v>
      </c>
      <c r="U51" s="288" t="b">
        <v>1</v>
      </c>
      <c r="V51" s="284" t="str">
        <v>22Y</v>
      </c>
      <c r="W51" s="137" t="str">
        <v>W</v>
      </c>
      <c r="X51" s="130" t="str">
        <f t="shared" si="1"/>
        <v>W20</v>
      </c>
      <c r="Y51" s="173">
        <f t="shared" si="2"/>
        <v>4</v>
      </c>
      <c r="Z51" s="175" t="str">
        <f t="shared" si="33"/>
        <v>22Y</v>
      </c>
      <c r="AA51" s="163">
        <v>50731</v>
      </c>
      <c r="AB51" s="173" t="str">
        <f t="shared" si="4"/>
        <v>22Y</v>
      </c>
      <c r="AC51" s="335"/>
      <c r="AD51" s="6"/>
      <c r="AE51" s="158" t="str">
        <v>22Y</v>
      </c>
      <c r="AF51" s="134" t="str">
        <f t="shared" si="37"/>
        <v>USD_CURVE_3M_22Y</v>
      </c>
      <c r="AG51" s="385">
        <f>IF(RealTime,_xll.RtGet(IF(Y51=3,"IDN",RtChannel),$AF51,AG$12),"StaticData")</f>
        <v>2.4040574710000002</v>
      </c>
      <c r="AH51" s="386">
        <f>IF(RealTime,_xll.RtGet(IF($Y51=3,"IDN",RtChannel),$AF51,AH$12),"StaticData")</f>
        <v>2.4040574710000002</v>
      </c>
      <c r="AI51" s="385">
        <f>IF(RealTime,AG51,static_data())</f>
        <v>2.4040574710000002</v>
      </c>
      <c r="AJ51" s="385">
        <f>IF(RealTime,AH51,static_data())</f>
        <v>2.4040574710000002</v>
      </c>
      <c r="AK51" s="43">
        <f t="shared" si="5"/>
        <v>2.4040574710000002</v>
      </c>
      <c r="AN51" s="158" t="str">
        <v>22Y</v>
      </c>
      <c r="AO51" s="134" t="str">
        <f t="shared" si="16"/>
        <v>USD_CURVE_12M_22Y</v>
      </c>
      <c r="AP51" s="385">
        <f>IF(RealTime,_xll.RtGet(RtChannel,$AO51,AP$12),"StaticData")</f>
        <v>2.7593226280000001</v>
      </c>
      <c r="AQ51" s="386">
        <f>IF(RealTime,_xll.RtGet(RtChannel,$AO51,AQ$12),"StaticData")</f>
        <v>2.7593226280000001</v>
      </c>
      <c r="AR51" s="385">
        <f>IF(RealTime,AP51,static_data())</f>
        <v>2.7593226280000001</v>
      </c>
      <c r="AS51" s="385">
        <f>IF(RealTime,AQ51,static_data())</f>
        <v>2.7593226280000001</v>
      </c>
      <c r="AT51" s="43">
        <f t="shared" si="6"/>
        <v>2.7593226280000001</v>
      </c>
      <c r="AV51" s="158" t="str">
        <v>22Y</v>
      </c>
      <c r="AW51" s="134" t="str">
        <f t="shared" si="17"/>
        <v>USD_CURVE_1M_22Y</v>
      </c>
      <c r="AX51" s="385">
        <f>IF(RealTime,_xll.RtGet(RtChannel,$AW51,AX$12),"StaticData")</f>
        <v>2.2912846259999999</v>
      </c>
      <c r="AY51" s="386">
        <f>IF(RealTime,_xll.RtGet(RtChannel,$AW51,AY$12),"StaticData")</f>
        <v>2.2912846259999999</v>
      </c>
      <c r="AZ51" s="385">
        <f>IF(RealTime,AX51,static_data())</f>
        <v>2.2912846259999999</v>
      </c>
      <c r="BA51" s="385">
        <f>IF(RealTime,AY51,static_data())</f>
        <v>2.2912846259999999</v>
      </c>
      <c r="BB51" s="43">
        <f t="shared" si="7"/>
        <v>2.2912846259999999</v>
      </c>
      <c r="BD51" s="158" t="str">
        <v>22Y</v>
      </c>
      <c r="BE51" s="134" t="str">
        <f t="shared" si="35"/>
        <v>USD_CURVE_3M_22Y</v>
      </c>
      <c r="BF51" s="385">
        <f>IF(RealTime,_xll.RtGet(RtChannel,$BE51,BF$12),"StaticData")</f>
        <v>2.4040574710000002</v>
      </c>
      <c r="BG51" s="386">
        <f>IF(RealTime,_xll.RtGet(RtChannel,$BE51,BG$12),"StaticData")</f>
        <v>2.4040574710000002</v>
      </c>
      <c r="BH51" s="385">
        <f>IF(RealTime,BF51,static_data())</f>
        <v>2.4040574710000002</v>
      </c>
      <c r="BI51" s="385">
        <f>IF(RealTime,BG51,static_data())</f>
        <v>2.4040574710000002</v>
      </c>
      <c r="BJ51" s="43">
        <f t="shared" si="8"/>
        <v>2.4040574710000002</v>
      </c>
      <c r="BL51" s="382"/>
      <c r="BM51" s="158" t="str">
        <v>22Y</v>
      </c>
      <c r="BN51" s="134" t="str">
        <f t="shared" si="36"/>
        <v>USD_CURVE_6M_22Y</v>
      </c>
      <c r="BO51" s="385">
        <f>IF(RealTime,_xll.RtGet(RtChannel,$BN51,BO$12),"StaticData")</f>
        <v>2.5692007110000001</v>
      </c>
      <c r="BP51" s="386">
        <f>IF(RealTime,_xll.RtGet(RtChannel,$BN51,BP$12),"StaticData")</f>
        <v>2.5692007110000001</v>
      </c>
      <c r="BQ51" s="385">
        <f>IF(RealTime,BO51,static_data())</f>
        <v>2.5692007110000001</v>
      </c>
      <c r="BR51" s="385">
        <f>IF(RealTime,BP51,static_data())</f>
        <v>2.5692007110000001</v>
      </c>
      <c r="BS51" s="43">
        <f t="shared" si="34"/>
        <v>2.5692007110000001</v>
      </c>
    </row>
    <row r="52" spans="1:81">
      <c r="Q52" s="155" t="s">
        <v>34</v>
      </c>
      <c r="R52" s="102" t="s">
        <v>508</v>
      </c>
      <c r="S52" s="164"/>
      <c r="T52" s="163">
        <f t="shared" si="28"/>
        <v>48540</v>
      </c>
      <c r="U52" s="288" t="b">
        <v>1</v>
      </c>
      <c r="V52" s="284" t="str">
        <v>23Y</v>
      </c>
      <c r="W52" s="137" t="str">
        <v>W</v>
      </c>
      <c r="X52" s="130" t="str">
        <f t="shared" si="1"/>
        <v>W21</v>
      </c>
      <c r="Y52" s="173">
        <f t="shared" si="2"/>
        <v>4</v>
      </c>
      <c r="Z52" s="175" t="str">
        <f t="shared" si="33"/>
        <v>23Y</v>
      </c>
      <c r="AA52" s="163">
        <v>51096</v>
      </c>
      <c r="AB52" s="173" t="str">
        <f t="shared" si="4"/>
        <v>23Y</v>
      </c>
      <c r="AC52" s="335"/>
      <c r="AD52" s="6"/>
      <c r="AE52" s="158" t="str">
        <v>23Y</v>
      </c>
      <c r="AF52" s="134" t="str">
        <f t="shared" si="37"/>
        <v>USD_CURVE_3M_23Y</v>
      </c>
      <c r="AG52" s="385">
        <f>IF(RealTime,_xll.RtGet(IF(Y52=3,"IDN",RtChannel),$AF52,AG$12),"StaticData")</f>
        <v>2.410427774</v>
      </c>
      <c r="AH52" s="386">
        <f>IF(RealTime,_xll.RtGet(IF($Y52=3,"IDN",RtChannel),$AF52,AH$12),"StaticData")</f>
        <v>2.410427774</v>
      </c>
      <c r="AI52" s="385">
        <f>IF(RealTime,AG52,static_data())</f>
        <v>2.410427774</v>
      </c>
      <c r="AJ52" s="385">
        <f>IF(RealTime,AH52,static_data())</f>
        <v>2.410427774</v>
      </c>
      <c r="AK52" s="43">
        <f t="shared" si="5"/>
        <v>2.410427774</v>
      </c>
      <c r="AN52" s="158" t="str">
        <v>23Y</v>
      </c>
      <c r="AO52" s="134" t="str">
        <f t="shared" si="16"/>
        <v>USD_CURVE_12M_23Y</v>
      </c>
      <c r="AP52" s="385">
        <f>IF(RealTime,_xll.RtGet(RtChannel,$AO52,AP$12),"StaticData")</f>
        <v>2.76285121</v>
      </c>
      <c r="AQ52" s="386">
        <f>IF(RealTime,_xll.RtGet(RtChannel,$AO52,AQ$12),"StaticData")</f>
        <v>2.76285121</v>
      </c>
      <c r="AR52" s="385">
        <f>IF(RealTime,AP52,static_data())</f>
        <v>2.76285121</v>
      </c>
      <c r="AS52" s="385">
        <f>IF(RealTime,AQ52,static_data())</f>
        <v>2.76285121</v>
      </c>
      <c r="AT52" s="43">
        <f t="shared" si="6"/>
        <v>2.76285121</v>
      </c>
      <c r="AV52" s="158" t="str">
        <v>23Y</v>
      </c>
      <c r="AW52" s="134" t="str">
        <f t="shared" si="17"/>
        <v>USD_CURVE_1M_23Y</v>
      </c>
      <c r="AX52" s="385">
        <f>IF(RealTime,_xll.RtGet(RtChannel,$AW52,AX$12),"StaticData")</f>
        <v>2.2958488960000003</v>
      </c>
      <c r="AY52" s="386">
        <f>IF(RealTime,_xll.RtGet(RtChannel,$AW52,AY$12),"StaticData")</f>
        <v>2.2958488960000003</v>
      </c>
      <c r="AZ52" s="385">
        <f>IF(RealTime,AX52,static_data())</f>
        <v>2.2958488960000003</v>
      </c>
      <c r="BA52" s="385">
        <f>IF(RealTime,AY52,static_data())</f>
        <v>2.2958488960000003</v>
      </c>
      <c r="BB52" s="43">
        <f t="shared" si="7"/>
        <v>2.2958488960000003</v>
      </c>
      <c r="BD52" s="158" t="str">
        <v>23Y</v>
      </c>
      <c r="BE52" s="134" t="str">
        <f t="shared" si="35"/>
        <v>USD_CURVE_3M_23Y</v>
      </c>
      <c r="BF52" s="385">
        <f>IF(RealTime,_xll.RtGet(RtChannel,$BE52,BF$12),"StaticData")</f>
        <v>2.410427774</v>
      </c>
      <c r="BG52" s="386">
        <f>IF(RealTime,_xll.RtGet(RtChannel,$BE52,BG$12),"StaticData")</f>
        <v>2.410427774</v>
      </c>
      <c r="BH52" s="385">
        <f>IF(RealTime,BF52,static_data())</f>
        <v>2.410427774</v>
      </c>
      <c r="BI52" s="385">
        <f>IF(RealTime,BG52,static_data())</f>
        <v>2.410427774</v>
      </c>
      <c r="BJ52" s="43">
        <f t="shared" si="8"/>
        <v>2.410427774</v>
      </c>
      <c r="BL52" s="382"/>
      <c r="BM52" s="158" t="str">
        <v>23Y</v>
      </c>
      <c r="BN52" s="134" t="str">
        <f t="shared" si="36"/>
        <v>USD_CURVE_6M_23Y</v>
      </c>
      <c r="BO52" s="385">
        <f>IF(RealTime,_xll.RtGet(RtChannel,$BN52,BO$12),"StaticData")</f>
        <v>2.5749941299999999</v>
      </c>
      <c r="BP52" s="386">
        <f>IF(RealTime,_xll.RtGet(RtChannel,$BN52,BP$12),"StaticData")</f>
        <v>2.5749941299999999</v>
      </c>
      <c r="BQ52" s="385">
        <f>IF(RealTime,BO52,static_data())</f>
        <v>2.5749941299999999</v>
      </c>
      <c r="BR52" s="385">
        <f>IF(RealTime,BP52,static_data())</f>
        <v>2.5749941299999999</v>
      </c>
      <c r="BS52" s="43">
        <f t="shared" si="34"/>
        <v>2.5749941299999999</v>
      </c>
    </row>
    <row r="53" spans="1:81">
      <c r="Q53" s="155" t="s">
        <v>35</v>
      </c>
      <c r="R53" s="102" t="s">
        <v>508</v>
      </c>
      <c r="S53" s="164"/>
      <c r="T53" s="163">
        <f t="shared" si="28"/>
        <v>48905</v>
      </c>
      <c r="U53" s="288" t="b">
        <v>1</v>
      </c>
      <c r="V53" s="284" t="str">
        <v>24Y</v>
      </c>
      <c r="W53" s="137" t="str">
        <v>W</v>
      </c>
      <c r="X53" s="130" t="str">
        <f t="shared" si="1"/>
        <v>W22</v>
      </c>
      <c r="Y53" s="173">
        <f t="shared" si="2"/>
        <v>4</v>
      </c>
      <c r="Z53" s="175" t="str">
        <f t="shared" si="33"/>
        <v>24Y</v>
      </c>
      <c r="AA53" s="163">
        <v>51462</v>
      </c>
      <c r="AB53" s="173" t="str">
        <f t="shared" si="4"/>
        <v>24Y</v>
      </c>
      <c r="AC53" s="335"/>
      <c r="AD53" s="6"/>
      <c r="AE53" s="158" t="str">
        <v>24Y</v>
      </c>
      <c r="AF53" s="134" t="str">
        <f t="shared" si="37"/>
        <v>USD_CURVE_3M_24Y</v>
      </c>
      <c r="AG53" s="385">
        <f>IF(RealTime,_xll.RtGet(IF(Y53=3,"IDN",RtChannel),$AF53,AG$12),"StaticData")</f>
        <v>2.415482232</v>
      </c>
      <c r="AH53" s="386">
        <f>IF(RealTime,_xll.RtGet(IF($Y53=3,"IDN",RtChannel),$AF53,AH$12),"StaticData")</f>
        <v>2.415482232</v>
      </c>
      <c r="AI53" s="385">
        <f>IF(RealTime,AG53,static_data())</f>
        <v>2.415482232</v>
      </c>
      <c r="AJ53" s="385">
        <f>IF(RealTime,AH53,static_data())</f>
        <v>2.415482232</v>
      </c>
      <c r="AK53" s="43">
        <f t="shared" si="5"/>
        <v>2.415482232</v>
      </c>
      <c r="AN53" s="158" t="str">
        <v>24Y</v>
      </c>
      <c r="AO53" s="134" t="str">
        <f t="shared" si="16"/>
        <v>USD_CURVE_12M_24Y</v>
      </c>
      <c r="AP53" s="385">
        <f>IF(RealTime,_xll.RtGet(RtChannel,$AO53,AP$12),"StaticData")</f>
        <v>2.7649162220000001</v>
      </c>
      <c r="AQ53" s="386">
        <f>IF(RealTime,_xll.RtGet(RtChannel,$AO53,AQ$12),"StaticData")</f>
        <v>2.7649162220000001</v>
      </c>
      <c r="AR53" s="385">
        <f>IF(RealTime,AP53,static_data())</f>
        <v>2.7649162220000001</v>
      </c>
      <c r="AS53" s="385">
        <f>IF(RealTime,AQ53,static_data())</f>
        <v>2.7649162220000001</v>
      </c>
      <c r="AT53" s="43">
        <f t="shared" si="6"/>
        <v>2.7649162220000001</v>
      </c>
      <c r="AV53" s="158" t="str">
        <v>24Y</v>
      </c>
      <c r="AW53" s="134" t="str">
        <f t="shared" si="17"/>
        <v>USD_CURVE_1M_24Y</v>
      </c>
      <c r="AX53" s="385">
        <f>IF(RealTime,_xll.RtGet(RtChannel,$AW53,AX$12),"StaticData")</f>
        <v>2.2991290599999998</v>
      </c>
      <c r="AY53" s="386">
        <f>IF(RealTime,_xll.RtGet(RtChannel,$AW53,AY$12),"StaticData")</f>
        <v>2.2991290599999998</v>
      </c>
      <c r="AZ53" s="385">
        <f>IF(RealTime,AX53,static_data())</f>
        <v>2.2991290599999998</v>
      </c>
      <c r="BA53" s="385">
        <f>IF(RealTime,AY53,static_data())</f>
        <v>2.2991290599999998</v>
      </c>
      <c r="BB53" s="43">
        <f t="shared" si="7"/>
        <v>2.2991290599999998</v>
      </c>
      <c r="BD53" s="158" t="str">
        <v>24Y</v>
      </c>
      <c r="BE53" s="134" t="str">
        <f t="shared" si="35"/>
        <v>USD_CURVE_3M_24Y</v>
      </c>
      <c r="BF53" s="385">
        <f>IF(RealTime,_xll.RtGet(RtChannel,$BE53,BF$12),"StaticData")</f>
        <v>2.415482232</v>
      </c>
      <c r="BG53" s="386">
        <f>IF(RealTime,_xll.RtGet(RtChannel,$BE53,BG$12),"StaticData")</f>
        <v>2.415482232</v>
      </c>
      <c r="BH53" s="385">
        <f>IF(RealTime,BF53,static_data())</f>
        <v>2.415482232</v>
      </c>
      <c r="BI53" s="385">
        <f>IF(RealTime,BG53,static_data())</f>
        <v>2.415482232</v>
      </c>
      <c r="BJ53" s="43">
        <f t="shared" si="8"/>
        <v>2.415482232</v>
      </c>
      <c r="BL53" s="382"/>
      <c r="BM53" s="158" t="str">
        <v>24Y</v>
      </c>
      <c r="BN53" s="134" t="str">
        <f t="shared" si="36"/>
        <v>USD_CURVE_6M_24Y</v>
      </c>
      <c r="BO53" s="385">
        <f>IF(RealTime,_xll.RtGet(RtChannel,$BN53,BO$12),"StaticData")</f>
        <v>2.5794188670000002</v>
      </c>
      <c r="BP53" s="386">
        <f>IF(RealTime,_xll.RtGet(RtChannel,$BN53,BP$12),"StaticData")</f>
        <v>2.5794188670000002</v>
      </c>
      <c r="BQ53" s="385">
        <f>IF(RealTime,BO53,static_data())</f>
        <v>2.5794188670000002</v>
      </c>
      <c r="BR53" s="385">
        <f>IF(RealTime,BP53,static_data())</f>
        <v>2.5794188670000002</v>
      </c>
      <c r="BS53" s="43">
        <f t="shared" si="34"/>
        <v>2.5794188670000002</v>
      </c>
    </row>
    <row r="54" spans="1:81">
      <c r="Q54" s="155" t="s">
        <v>36</v>
      </c>
      <c r="R54" s="102" t="s">
        <v>508</v>
      </c>
      <c r="S54" s="164"/>
      <c r="T54" s="163">
        <f t="shared" si="28"/>
        <v>49270</v>
      </c>
      <c r="U54" s="288" t="b">
        <v>1</v>
      </c>
      <c r="V54" s="284" t="str">
        <v>25Y</v>
      </c>
      <c r="W54" s="137" t="str">
        <v>W</v>
      </c>
      <c r="X54" s="130" t="str">
        <f t="shared" si="1"/>
        <v>W23</v>
      </c>
      <c r="Y54" s="173">
        <f t="shared" si="2"/>
        <v>4</v>
      </c>
      <c r="Z54" s="175" t="str">
        <f t="shared" si="33"/>
        <v>25Y</v>
      </c>
      <c r="AA54" s="163">
        <v>51827</v>
      </c>
      <c r="AB54" s="173" t="str">
        <f t="shared" si="4"/>
        <v>25Y</v>
      </c>
      <c r="AC54" s="335"/>
      <c r="AD54" s="6"/>
      <c r="AE54" s="158" t="str">
        <v>25Y</v>
      </c>
      <c r="AF54" s="134" t="str">
        <f t="shared" si="37"/>
        <v>USD_CURVE_3M_25Y</v>
      </c>
      <c r="AG54" s="385">
        <f>IF(RealTime,_xll.RtGet(IF(Y54=3,"IDN",RtChannel),$AF54,AG$12),"StaticData")</f>
        <v>2.4199999890000004</v>
      </c>
      <c r="AH54" s="386">
        <f>IF(RealTime,_xll.RtGet(IF($Y54=3,"IDN",RtChannel),$AF54,AH$12),"StaticData")</f>
        <v>2.4199999890000004</v>
      </c>
      <c r="AI54" s="385">
        <f>IF(RealTime,AG54,static_data())</f>
        <v>2.4199999890000004</v>
      </c>
      <c r="AJ54" s="385">
        <f>IF(RealTime,AH54,static_data())</f>
        <v>2.4199999890000004</v>
      </c>
      <c r="AK54" s="43">
        <f t="shared" si="5"/>
        <v>2.4199999890000004</v>
      </c>
      <c r="AN54" s="158" t="str">
        <v>25Y</v>
      </c>
      <c r="AO54" s="134" t="str">
        <f t="shared" si="16"/>
        <v>USD_CURVE_12M_25Y</v>
      </c>
      <c r="AP54" s="385">
        <f>IF(RealTime,_xll.RtGet(RtChannel,$AO54,AP$12),"StaticData")</f>
        <v>2.766462309</v>
      </c>
      <c r="AQ54" s="386">
        <f>IF(RealTime,_xll.RtGet(RtChannel,$AO54,AQ$12),"StaticData")</f>
        <v>2.766462309</v>
      </c>
      <c r="AR54" s="385">
        <f>IF(RealTime,AP54,static_data())</f>
        <v>2.766462309</v>
      </c>
      <c r="AS54" s="385">
        <f>IF(RealTime,AQ54,static_data())</f>
        <v>2.766462309</v>
      </c>
      <c r="AT54" s="43">
        <f t="shared" si="6"/>
        <v>2.766462309</v>
      </c>
      <c r="AV54" s="158" t="str">
        <v>25Y</v>
      </c>
      <c r="AW54" s="134" t="str">
        <f t="shared" si="17"/>
        <v>USD_CURVE_1M_25Y</v>
      </c>
      <c r="AX54" s="385">
        <f>IF(RealTime,_xll.RtGet(RtChannel,$AW54,AX$12),"StaticData")</f>
        <v>2.3018724390000003</v>
      </c>
      <c r="AY54" s="386">
        <f>IF(RealTime,_xll.RtGet(RtChannel,$AW54,AY$12),"StaticData")</f>
        <v>2.3018724390000003</v>
      </c>
      <c r="AZ54" s="385">
        <f>IF(RealTime,AX54,static_data())</f>
        <v>2.3018724390000003</v>
      </c>
      <c r="BA54" s="385">
        <f>IF(RealTime,AY54,static_data())</f>
        <v>2.3018724390000003</v>
      </c>
      <c r="BB54" s="43">
        <f t="shared" si="7"/>
        <v>2.3018724390000003</v>
      </c>
      <c r="BD54" s="158" t="str">
        <v>25Y</v>
      </c>
      <c r="BE54" s="134" t="str">
        <f t="shared" si="35"/>
        <v>USD_CURVE_3M_25Y</v>
      </c>
      <c r="BF54" s="385">
        <f>IF(RealTime,_xll.RtGet(RtChannel,$BE54,BF$12),"StaticData")</f>
        <v>2.4199999890000004</v>
      </c>
      <c r="BG54" s="386">
        <f>IF(RealTime,_xll.RtGet(RtChannel,$BE54,BG$12),"StaticData")</f>
        <v>2.4199999890000004</v>
      </c>
      <c r="BH54" s="385">
        <f>IF(RealTime,BF54,static_data())</f>
        <v>2.4199999890000004</v>
      </c>
      <c r="BI54" s="385">
        <f>IF(RealTime,BG54,static_data())</f>
        <v>2.4199999890000004</v>
      </c>
      <c r="BJ54" s="43">
        <f t="shared" si="8"/>
        <v>2.4199999890000004</v>
      </c>
      <c r="BL54" s="382"/>
      <c r="BM54" s="158" t="str">
        <v>25Y</v>
      </c>
      <c r="BN54" s="134" t="str">
        <f t="shared" si="36"/>
        <v>USD_CURVE_6M_25Y</v>
      </c>
      <c r="BO54" s="385">
        <f>IF(RealTime,_xll.RtGet(RtChannel,$BN54,BO$12),"StaticData")</f>
        <v>2.5832782949999999</v>
      </c>
      <c r="BP54" s="386">
        <f>IF(RealTime,_xll.RtGet(RtChannel,$BN54,BP$12),"StaticData")</f>
        <v>2.5832782949999999</v>
      </c>
      <c r="BQ54" s="385">
        <f>IF(RealTime,BO54,static_data())</f>
        <v>2.5832782949999999</v>
      </c>
      <c r="BR54" s="385">
        <f>IF(RealTime,BP54,static_data())</f>
        <v>2.5832782949999999</v>
      </c>
      <c r="BS54" s="43">
        <f t="shared" si="34"/>
        <v>2.5832782949999999</v>
      </c>
    </row>
    <row r="55" spans="1:81">
      <c r="A55" s="332"/>
      <c r="B55" s="332"/>
      <c r="C55" s="332"/>
      <c r="D55" s="332"/>
      <c r="Q55" s="155" t="s">
        <v>37</v>
      </c>
      <c r="R55" s="102" t="s">
        <v>508</v>
      </c>
      <c r="S55" s="164"/>
      <c r="T55" s="163">
        <f t="shared" si="28"/>
        <v>49635</v>
      </c>
      <c r="U55" s="288" t="b">
        <v>1</v>
      </c>
      <c r="V55" s="284" t="str">
        <v>26Y</v>
      </c>
      <c r="W55" s="137" t="str">
        <v>W</v>
      </c>
      <c r="X55" s="130" t="str">
        <f t="shared" si="1"/>
        <v>W24</v>
      </c>
      <c r="Y55" s="173">
        <f t="shared" si="2"/>
        <v>4</v>
      </c>
      <c r="Z55" s="175" t="str">
        <f t="shared" si="33"/>
        <v>26Y</v>
      </c>
      <c r="AA55" s="163">
        <v>52194</v>
      </c>
      <c r="AB55" s="173" t="str">
        <f t="shared" si="4"/>
        <v>26Y</v>
      </c>
      <c r="AC55" s="335"/>
      <c r="AD55" s="6"/>
      <c r="AE55" s="158" t="str">
        <v>26Y</v>
      </c>
      <c r="AF55" s="134" t="str">
        <f t="shared" si="37"/>
        <v>USD_CURVE_3M_26Y</v>
      </c>
      <c r="AG55" s="385">
        <f>IF(RealTime,_xll.RtGet(IF(Y55=3,"IDN",RtChannel),$AF55,AG$12),"StaticData")</f>
        <v>2.423566084</v>
      </c>
      <c r="AH55" s="386">
        <f>IF(RealTime,_xll.RtGet(IF($Y55=3,"IDN",RtChannel),$AF55,AH$12),"StaticData")</f>
        <v>2.423566084</v>
      </c>
      <c r="AI55" s="385">
        <f>IF(RealTime,AG55,static_data())</f>
        <v>2.423566084</v>
      </c>
      <c r="AJ55" s="385">
        <f>IF(RealTime,AH55,static_data())</f>
        <v>2.423566084</v>
      </c>
      <c r="AK55" s="43">
        <f t="shared" si="5"/>
        <v>2.423566084</v>
      </c>
      <c r="AN55" s="158" t="str">
        <v>26Y</v>
      </c>
      <c r="AO55" s="134" t="str">
        <f t="shared" si="16"/>
        <v>USD_CURVE_12M_26Y</v>
      </c>
      <c r="AP55" s="385">
        <f>IF(RealTime,_xll.RtGet(RtChannel,$AO55,AP$12),"StaticData")</f>
        <v>2.7670431870000001</v>
      </c>
      <c r="AQ55" s="386">
        <f>IF(RealTime,_xll.RtGet(RtChannel,$AO55,AQ$12),"StaticData")</f>
        <v>2.7670431870000001</v>
      </c>
      <c r="AR55" s="385">
        <f>IF(RealTime,AP55,static_data())</f>
        <v>2.7670431870000001</v>
      </c>
      <c r="AS55" s="385">
        <f>IF(RealTime,AQ55,static_data())</f>
        <v>2.7670431870000001</v>
      </c>
      <c r="AT55" s="43">
        <f t="shared" si="6"/>
        <v>2.7670431870000001</v>
      </c>
      <c r="AV55" s="158" t="str">
        <v>26Y</v>
      </c>
      <c r="AW55" s="134" t="str">
        <f t="shared" si="17"/>
        <v>USD_CURVE_1M_26Y</v>
      </c>
      <c r="AX55" s="385">
        <f>IF(RealTime,_xll.RtGet(RtChannel,$AW55,AX$12),"StaticData")</f>
        <v>2.303686006</v>
      </c>
      <c r="AY55" s="386">
        <f>IF(RealTime,_xll.RtGet(RtChannel,$AW55,AY$12),"StaticData")</f>
        <v>2.303686006</v>
      </c>
      <c r="AZ55" s="385">
        <f>IF(RealTime,AX55,static_data())</f>
        <v>2.303686006</v>
      </c>
      <c r="BA55" s="385">
        <f>IF(RealTime,AY55,static_data())</f>
        <v>2.303686006</v>
      </c>
      <c r="BB55" s="43">
        <f t="shared" si="7"/>
        <v>2.303686006</v>
      </c>
      <c r="BD55" s="158" t="str">
        <v>26Y</v>
      </c>
      <c r="BE55" s="134" t="str">
        <f t="shared" si="35"/>
        <v>USD_CURVE_3M_26Y</v>
      </c>
      <c r="BF55" s="385">
        <f>IF(RealTime,_xll.RtGet(RtChannel,$BE55,BF$12),"StaticData")</f>
        <v>2.423566084</v>
      </c>
      <c r="BG55" s="386">
        <f>IF(RealTime,_xll.RtGet(RtChannel,$BE55,BG$12),"StaticData")</f>
        <v>2.423566084</v>
      </c>
      <c r="BH55" s="385">
        <f>IF(RealTime,BF55,static_data())</f>
        <v>2.423566084</v>
      </c>
      <c r="BI55" s="385">
        <f>IF(RealTime,BG55,static_data())</f>
        <v>2.423566084</v>
      </c>
      <c r="BJ55" s="43">
        <f t="shared" si="8"/>
        <v>2.423566084</v>
      </c>
      <c r="BL55" s="382"/>
      <c r="BM55" s="158" t="str">
        <v>26Y</v>
      </c>
      <c r="BN55" s="134" t="str">
        <f t="shared" si="36"/>
        <v>USD_CURVE_6M_26Y</v>
      </c>
      <c r="BO55" s="385">
        <f>IF(RealTime,_xll.RtGet(RtChannel,$BN55,BO$12),"StaticData")</f>
        <v>2.5861105390000003</v>
      </c>
      <c r="BP55" s="386">
        <f>IF(RealTime,_xll.RtGet(RtChannel,$BN55,BP$12),"StaticData")</f>
        <v>2.5861105390000003</v>
      </c>
      <c r="BQ55" s="385">
        <f>IF(RealTime,BO55,static_data())</f>
        <v>2.5861105390000003</v>
      </c>
      <c r="BR55" s="385">
        <f>IF(RealTime,BP55,static_data())</f>
        <v>2.5861105390000003</v>
      </c>
      <c r="BS55" s="43">
        <f t="shared" si="34"/>
        <v>2.5861105390000003</v>
      </c>
    </row>
    <row r="56" spans="1:81">
      <c r="A56" s="332"/>
      <c r="B56" s="332"/>
      <c r="C56" s="332"/>
      <c r="D56" s="332"/>
      <c r="Q56" s="155" t="s">
        <v>20</v>
      </c>
      <c r="R56" s="102" t="s">
        <v>508</v>
      </c>
      <c r="S56" s="164"/>
      <c r="T56" s="163">
        <f t="shared" si="28"/>
        <v>50003</v>
      </c>
      <c r="U56" s="288" t="b">
        <v>1</v>
      </c>
      <c r="V56" s="284" t="str">
        <v>27Y</v>
      </c>
      <c r="W56" s="137" t="str">
        <v>W</v>
      </c>
      <c r="X56" s="130" t="str">
        <f t="shared" si="1"/>
        <v>W25</v>
      </c>
      <c r="Y56" s="173">
        <f t="shared" si="2"/>
        <v>4</v>
      </c>
      <c r="Z56" s="175" t="str">
        <f t="shared" si="33"/>
        <v>27Y</v>
      </c>
      <c r="AA56" s="163">
        <v>52558</v>
      </c>
      <c r="AB56" s="173" t="str">
        <f t="shared" si="4"/>
        <v>27Y</v>
      </c>
      <c r="AC56" s="335"/>
      <c r="AD56" s="6"/>
      <c r="AE56" s="158" t="str">
        <v>27Y</v>
      </c>
      <c r="AF56" s="134" t="str">
        <f t="shared" si="37"/>
        <v>USD_CURVE_3M_27Y</v>
      </c>
      <c r="AG56" s="385">
        <f>IF(RealTime,_xll.RtGet(IF(Y56=3,"IDN",RtChannel),$AF56,AG$12),"StaticData")</f>
        <v>2.4264410940000003</v>
      </c>
      <c r="AH56" s="386">
        <f>IF(RealTime,_xll.RtGet(IF($Y56=3,"IDN",RtChannel),$AF56,AH$12),"StaticData")</f>
        <v>2.4264410940000003</v>
      </c>
      <c r="AI56" s="385">
        <f>IF(RealTime,AG56,static_data())</f>
        <v>2.4264410940000003</v>
      </c>
      <c r="AJ56" s="385">
        <f>IF(RealTime,AH56,static_data())</f>
        <v>2.4264410940000003</v>
      </c>
      <c r="AK56" s="43">
        <f t="shared" si="5"/>
        <v>2.4264410940000003</v>
      </c>
      <c r="AN56" s="158" t="str">
        <v>27Y</v>
      </c>
      <c r="AO56" s="134" t="str">
        <f t="shared" si="16"/>
        <v>USD_CURVE_12M_27Y</v>
      </c>
      <c r="AP56" s="385">
        <f>IF(RealTime,_xll.RtGet(RtChannel,$AO56,AP$12),"StaticData")</f>
        <v>2.7671544250000002</v>
      </c>
      <c r="AQ56" s="386">
        <f>IF(RealTime,_xll.RtGet(RtChannel,$AO56,AQ$12),"StaticData")</f>
        <v>2.7671544250000002</v>
      </c>
      <c r="AR56" s="385">
        <f>IF(RealTime,AP56,static_data())</f>
        <v>2.7671544250000002</v>
      </c>
      <c r="AS56" s="385">
        <f>IF(RealTime,AQ56,static_data())</f>
        <v>2.7671544250000002</v>
      </c>
      <c r="AT56" s="43">
        <f t="shared" si="6"/>
        <v>2.7671544250000002</v>
      </c>
      <c r="AV56" s="158" t="str">
        <v>27Y</v>
      </c>
      <c r="AW56" s="134" t="str">
        <f t="shared" si="17"/>
        <v>USD_CURVE_1M_27Y</v>
      </c>
      <c r="AX56" s="385">
        <f>IF(RealTime,_xll.RtGet(RtChannel,$AW56,AX$12),"StaticData")</f>
        <v>2.3049177370000002</v>
      </c>
      <c r="AY56" s="386">
        <f>IF(RealTime,_xll.RtGet(RtChannel,$AW56,AY$12),"StaticData")</f>
        <v>2.3049177370000002</v>
      </c>
      <c r="AZ56" s="385">
        <f>IF(RealTime,AX56,static_data())</f>
        <v>2.3049177370000002</v>
      </c>
      <c r="BA56" s="385">
        <f>IF(RealTime,AY56,static_data())</f>
        <v>2.3049177370000002</v>
      </c>
      <c r="BB56" s="43">
        <f t="shared" si="7"/>
        <v>2.3049177370000002</v>
      </c>
      <c r="BD56" s="158" t="str">
        <v>27Y</v>
      </c>
      <c r="BE56" s="134" t="str">
        <f t="shared" si="35"/>
        <v>USD_CURVE_3M_27Y</v>
      </c>
      <c r="BF56" s="385">
        <f>IF(RealTime,_xll.RtGet(RtChannel,$BE56,BF$12),"StaticData")</f>
        <v>2.4264410940000003</v>
      </c>
      <c r="BG56" s="386">
        <f>IF(RealTime,_xll.RtGet(RtChannel,$BE56,BG$12),"StaticData")</f>
        <v>2.4264410940000003</v>
      </c>
      <c r="BH56" s="385">
        <f>IF(RealTime,BF56,static_data())</f>
        <v>2.4264410940000003</v>
      </c>
      <c r="BI56" s="385">
        <f>IF(RealTime,BG56,static_data())</f>
        <v>2.4264410940000003</v>
      </c>
      <c r="BJ56" s="43">
        <f t="shared" si="8"/>
        <v>2.4264410940000003</v>
      </c>
      <c r="BL56" s="382"/>
      <c r="BM56" s="158" t="str">
        <v>27Y</v>
      </c>
      <c r="BN56" s="134" t="str">
        <f t="shared" si="36"/>
        <v>USD_CURVE_6M_27Y</v>
      </c>
      <c r="BO56" s="385">
        <f>IF(RealTime,_xll.RtGet(RtChannel,$BN56,BO$12),"StaticData")</f>
        <v>2.5882594650000001</v>
      </c>
      <c r="BP56" s="386">
        <f>IF(RealTime,_xll.RtGet(RtChannel,$BN56,BP$12),"StaticData")</f>
        <v>2.5882594650000001</v>
      </c>
      <c r="BQ56" s="385">
        <f>IF(RealTime,BO56,static_data())</f>
        <v>2.5882594650000001</v>
      </c>
      <c r="BR56" s="385">
        <f>IF(RealTime,BP56,static_data())</f>
        <v>2.5882594650000001</v>
      </c>
      <c r="BS56" s="43">
        <f t="shared" si="34"/>
        <v>2.5882594650000001</v>
      </c>
    </row>
    <row r="57" spans="1:81">
      <c r="A57" s="332"/>
      <c r="Q57" s="155" t="s">
        <v>38</v>
      </c>
      <c r="R57" s="102" t="s">
        <v>508</v>
      </c>
      <c r="S57" s="164"/>
      <c r="T57" s="163">
        <f t="shared" si="28"/>
        <v>50367</v>
      </c>
      <c r="U57" s="288" t="b">
        <v>1</v>
      </c>
      <c r="V57" s="284" t="str">
        <v>28Y</v>
      </c>
      <c r="W57" s="137" t="str">
        <v>W</v>
      </c>
      <c r="X57" s="130" t="str">
        <f t="shared" si="1"/>
        <v>W26</v>
      </c>
      <c r="Y57" s="173">
        <f t="shared" si="2"/>
        <v>4</v>
      </c>
      <c r="Z57" s="175" t="str">
        <f t="shared" si="33"/>
        <v>28Y</v>
      </c>
      <c r="AA57" s="163">
        <v>52923</v>
      </c>
      <c r="AB57" s="173" t="str">
        <f t="shared" si="4"/>
        <v>28Y</v>
      </c>
      <c r="AC57" s="335"/>
      <c r="AD57" s="6"/>
      <c r="AE57" s="158" t="str">
        <v>28Y</v>
      </c>
      <c r="AF57" s="134" t="str">
        <f t="shared" si="37"/>
        <v>USD_CURVE_3M_28Y</v>
      </c>
      <c r="AG57" s="385">
        <f>IF(RealTime,_xll.RtGet(IF(Y57=3,"IDN",RtChannel),$AF57,AG$12),"StaticData")</f>
        <v>2.4287602170000002</v>
      </c>
      <c r="AH57" s="386">
        <f>IF(RealTime,_xll.RtGet(IF($Y57=3,"IDN",RtChannel),$AF57,AH$12),"StaticData")</f>
        <v>2.4287602170000002</v>
      </c>
      <c r="AI57" s="385">
        <f>IF(RealTime,AG57,static_data())</f>
        <v>2.4287602170000002</v>
      </c>
      <c r="AJ57" s="385">
        <f>IF(RealTime,AH57,static_data())</f>
        <v>2.4287602170000002</v>
      </c>
      <c r="AK57" s="43">
        <f t="shared" si="5"/>
        <v>2.4287602170000002</v>
      </c>
      <c r="AN57" s="158" t="str">
        <v>28Y</v>
      </c>
      <c r="AO57" s="134" t="str">
        <f t="shared" si="16"/>
        <v>USD_CURVE_12M_28Y</v>
      </c>
      <c r="AP57" s="385">
        <f>IF(RealTime,_xll.RtGet(RtChannel,$AO57,AP$12),"StaticData")</f>
        <v>2.7670685370000001</v>
      </c>
      <c r="AQ57" s="386">
        <f>IF(RealTime,_xll.RtGet(RtChannel,$AO57,AQ$12),"StaticData")</f>
        <v>2.7670685370000001</v>
      </c>
      <c r="AR57" s="385">
        <f>IF(RealTime,AP57,static_data())</f>
        <v>2.7670685370000001</v>
      </c>
      <c r="AS57" s="385">
        <f>IF(RealTime,AQ57,static_data())</f>
        <v>2.7670685370000001</v>
      </c>
      <c r="AT57" s="43">
        <f t="shared" si="6"/>
        <v>2.7670685370000001</v>
      </c>
      <c r="AV57" s="158" t="str">
        <v>28Y</v>
      </c>
      <c r="AW57" s="134" t="str">
        <f t="shared" si="17"/>
        <v>USD_CURVE_1M_28Y</v>
      </c>
      <c r="AX57" s="385">
        <f>IF(RealTime,_xll.RtGet(RtChannel,$AW57,AX$12),"StaticData")</f>
        <v>2.3057596550000001</v>
      </c>
      <c r="AY57" s="386">
        <f>IF(RealTime,_xll.RtGet(RtChannel,$AW57,AY$12),"StaticData")</f>
        <v>2.3057596550000001</v>
      </c>
      <c r="AZ57" s="385">
        <f>IF(RealTime,AX57,static_data())</f>
        <v>2.3057596550000001</v>
      </c>
      <c r="BA57" s="385">
        <f>IF(RealTime,AY57,static_data())</f>
        <v>2.3057596550000001</v>
      </c>
      <c r="BB57" s="43">
        <f t="shared" si="7"/>
        <v>2.3057596550000001</v>
      </c>
      <c r="BD57" s="158" t="str">
        <v>28Y</v>
      </c>
      <c r="BE57" s="134" t="str">
        <f t="shared" si="35"/>
        <v>USD_CURVE_3M_28Y</v>
      </c>
      <c r="BF57" s="385">
        <f>IF(RealTime,_xll.RtGet(RtChannel,$BE57,BF$12),"StaticData")</f>
        <v>2.4287602170000002</v>
      </c>
      <c r="BG57" s="386">
        <f>IF(RealTime,_xll.RtGet(RtChannel,$BE57,BG$12),"StaticData")</f>
        <v>2.4287602170000002</v>
      </c>
      <c r="BH57" s="385">
        <f>IF(RealTime,BF57,static_data())</f>
        <v>2.4287602170000002</v>
      </c>
      <c r="BI57" s="385">
        <f>IF(RealTime,BG57,static_data())</f>
        <v>2.4287602170000002</v>
      </c>
      <c r="BJ57" s="43">
        <f t="shared" si="8"/>
        <v>2.4287602170000002</v>
      </c>
      <c r="BL57" s="382"/>
      <c r="BM57" s="158" t="str">
        <v>28Y</v>
      </c>
      <c r="BN57" s="134" t="str">
        <f t="shared" si="36"/>
        <v>USD_CURVE_6M_28Y</v>
      </c>
      <c r="BO57" s="385">
        <f>IF(RealTime,_xll.RtGet(RtChannel,$BN57,BO$12),"StaticData")</f>
        <v>2.5899188319999999</v>
      </c>
      <c r="BP57" s="386">
        <f>IF(RealTime,_xll.RtGet(RtChannel,$BN57,BP$12),"StaticData")</f>
        <v>2.5899188319999999</v>
      </c>
      <c r="BQ57" s="385">
        <f>IF(RealTime,BO57,static_data())</f>
        <v>2.5899188319999999</v>
      </c>
      <c r="BR57" s="385">
        <f>IF(RealTime,BP57,static_data())</f>
        <v>2.5899188319999999</v>
      </c>
      <c r="BS57" s="43">
        <f t="shared" si="34"/>
        <v>2.5899188319999999</v>
      </c>
    </row>
    <row r="58" spans="1:81">
      <c r="A58" s="332"/>
      <c r="Q58" s="155" t="s">
        <v>39</v>
      </c>
      <c r="R58" s="102" t="s">
        <v>508</v>
      </c>
      <c r="S58" s="164"/>
      <c r="T58" s="163">
        <f t="shared" si="28"/>
        <v>50731</v>
      </c>
      <c r="U58" s="288" t="b">
        <v>1</v>
      </c>
      <c r="V58" s="284" t="str">
        <v>29Y</v>
      </c>
      <c r="W58" s="137" t="str">
        <v>W</v>
      </c>
      <c r="X58" s="130" t="str">
        <f t="shared" si="1"/>
        <v>W27</v>
      </c>
      <c r="Y58" s="173">
        <f t="shared" si="2"/>
        <v>4</v>
      </c>
      <c r="Z58" s="175" t="str">
        <f t="shared" si="33"/>
        <v>29Y</v>
      </c>
      <c r="AA58" s="163">
        <v>53288</v>
      </c>
      <c r="AB58" s="173" t="str">
        <f t="shared" si="4"/>
        <v>29Y</v>
      </c>
      <c r="AC58" s="335"/>
      <c r="AD58" s="6"/>
      <c r="AE58" s="158" t="str">
        <v>29Y</v>
      </c>
      <c r="AF58" s="134" t="str">
        <f t="shared" si="37"/>
        <v>USD_CURVE_3M_29Y</v>
      </c>
      <c r="AG58" s="385">
        <f>IF(RealTime,_xll.RtGet(IF(Y58=3,"IDN",RtChannel),$AF58,AG$12),"StaticData")</f>
        <v>2.4305894350000004</v>
      </c>
      <c r="AH58" s="386">
        <f>IF(RealTime,_xll.RtGet(IF($Y58=3,"IDN",RtChannel),$AF58,AH$12),"StaticData")</f>
        <v>2.4305894350000004</v>
      </c>
      <c r="AI58" s="385">
        <f>IF(RealTime,AG58,static_data())</f>
        <v>2.4305894350000004</v>
      </c>
      <c r="AJ58" s="385">
        <f>IF(RealTime,AH58,static_data())</f>
        <v>2.4305894350000004</v>
      </c>
      <c r="AK58" s="43">
        <f t="shared" si="5"/>
        <v>2.4305894350000004</v>
      </c>
      <c r="AN58" s="158" t="str">
        <v>29Y</v>
      </c>
      <c r="AO58" s="134" t="str">
        <f t="shared" si="16"/>
        <v>USD_CURVE_12M_29Y</v>
      </c>
      <c r="AP58" s="385">
        <f>IF(RealTime,_xll.RtGet(RtChannel,$AO58,AP$12),"StaticData")</f>
        <v>2.766997398</v>
      </c>
      <c r="AQ58" s="386">
        <f>IF(RealTime,_xll.RtGet(RtChannel,$AO58,AQ$12),"StaticData")</f>
        <v>2.766997398</v>
      </c>
      <c r="AR58" s="385">
        <f>IF(RealTime,AP58,static_data())</f>
        <v>2.766997398</v>
      </c>
      <c r="AS58" s="385">
        <f>IF(RealTime,AQ58,static_data())</f>
        <v>2.766997398</v>
      </c>
      <c r="AT58" s="43">
        <f t="shared" si="6"/>
        <v>2.766997398</v>
      </c>
      <c r="AV58" s="158" t="str">
        <v>29Y</v>
      </c>
      <c r="AW58" s="134" t="str">
        <f t="shared" si="17"/>
        <v>USD_CURVE_1M_29Y</v>
      </c>
      <c r="AX58" s="385">
        <f>IF(RealTime,_xll.RtGet(RtChannel,$AW58,AX$12),"StaticData")</f>
        <v>2.3063465519999999</v>
      </c>
      <c r="AY58" s="386">
        <f>IF(RealTime,_xll.RtGet(RtChannel,$AW58,AY$12),"StaticData")</f>
        <v>2.3063465519999999</v>
      </c>
      <c r="AZ58" s="385">
        <f>IF(RealTime,AX58,static_data())</f>
        <v>2.3063465519999999</v>
      </c>
      <c r="BA58" s="385">
        <f>IF(RealTime,AY58,static_data())</f>
        <v>2.3063465519999999</v>
      </c>
      <c r="BB58" s="43">
        <f t="shared" si="7"/>
        <v>2.3063465519999999</v>
      </c>
      <c r="BD58" s="158" t="str">
        <v>29Y</v>
      </c>
      <c r="BE58" s="134" t="str">
        <f t="shared" si="35"/>
        <v>USD_CURVE_3M_29Y</v>
      </c>
      <c r="BF58" s="385">
        <f>IF(RealTime,_xll.RtGet(RtChannel,$BE58,BF$12),"StaticData")</f>
        <v>2.4305894350000004</v>
      </c>
      <c r="BG58" s="386">
        <f>IF(RealTime,_xll.RtGet(RtChannel,$BE58,BG$12),"StaticData")</f>
        <v>2.4305894350000004</v>
      </c>
      <c r="BH58" s="385">
        <f>IF(RealTime,BF58,static_data())</f>
        <v>2.4305894350000004</v>
      </c>
      <c r="BI58" s="385">
        <f>IF(RealTime,BG58,static_data())</f>
        <v>2.4305894350000004</v>
      </c>
      <c r="BJ58" s="43">
        <f t="shared" si="8"/>
        <v>2.4305894350000004</v>
      </c>
      <c r="BL58" s="382"/>
      <c r="BM58" s="158" t="str">
        <v>29Y</v>
      </c>
      <c r="BN58" s="134" t="str">
        <f t="shared" si="36"/>
        <v>USD_CURVE_6M_29Y</v>
      </c>
      <c r="BO58" s="385">
        <f>IF(RealTime,_xll.RtGet(RtChannel,$BN58,BO$12),"StaticData")</f>
        <v>2.5912112070000002</v>
      </c>
      <c r="BP58" s="386">
        <f>IF(RealTime,_xll.RtGet(RtChannel,$BN58,BP$12),"StaticData")</f>
        <v>2.5912112070000002</v>
      </c>
      <c r="BQ58" s="385">
        <f>IF(RealTime,BO58,static_data())</f>
        <v>2.5912112070000002</v>
      </c>
      <c r="BR58" s="385">
        <f>IF(RealTime,BP58,static_data())</f>
        <v>2.5912112070000002</v>
      </c>
      <c r="BS58" s="43">
        <f t="shared" si="34"/>
        <v>2.5912112070000002</v>
      </c>
    </row>
    <row r="59" spans="1:81">
      <c r="A59" s="332"/>
      <c r="Q59" s="155" t="s">
        <v>40</v>
      </c>
      <c r="R59" s="102" t="s">
        <v>508</v>
      </c>
      <c r="S59" s="164"/>
      <c r="T59" s="163">
        <f t="shared" si="28"/>
        <v>51096</v>
      </c>
      <c r="U59" s="288" t="b">
        <v>1</v>
      </c>
      <c r="V59" s="284" t="str">
        <v>30Y</v>
      </c>
      <c r="W59" s="137" t="str">
        <v>W</v>
      </c>
      <c r="X59" s="130" t="str">
        <f t="shared" si="1"/>
        <v>W28</v>
      </c>
      <c r="Y59" s="173">
        <f t="shared" si="2"/>
        <v>4</v>
      </c>
      <c r="Z59" s="175" t="str">
        <f t="shared" si="33"/>
        <v>30Y</v>
      </c>
      <c r="AA59" s="163">
        <v>53653</v>
      </c>
      <c r="AB59" s="173" t="str">
        <f t="shared" si="4"/>
        <v>30Y</v>
      </c>
      <c r="AC59" s="335"/>
      <c r="AD59" s="6"/>
      <c r="AE59" s="158" t="str">
        <v>30Y</v>
      </c>
      <c r="AF59" s="134" t="str">
        <f t="shared" si="37"/>
        <v>USD_CURVE_3M_30Y</v>
      </c>
      <c r="AG59" s="385">
        <f>IF(RealTime,_xll.RtGet(IF(Y59=3,"IDN",RtChannel),$AF59,AG$12),"StaticData")</f>
        <v>2.4318406889999999</v>
      </c>
      <c r="AH59" s="386">
        <f>IF(RealTime,_xll.RtGet(IF($Y59=3,"IDN",RtChannel),$AF59,AH$12),"StaticData")</f>
        <v>2.4318406889999999</v>
      </c>
      <c r="AI59" s="385">
        <f>IF(RealTime,AG59,static_data())</f>
        <v>2.4318406889999999</v>
      </c>
      <c r="AJ59" s="385">
        <f>IF(RealTime,AH59,static_data())</f>
        <v>2.4318406889999999</v>
      </c>
      <c r="AK59" s="43">
        <f t="shared" si="5"/>
        <v>2.4318406889999999</v>
      </c>
      <c r="AN59" s="158" t="str">
        <v>30Y</v>
      </c>
      <c r="AO59" s="134" t="str">
        <f t="shared" si="16"/>
        <v>USD_CURVE_12M_30Y</v>
      </c>
      <c r="AP59" s="385">
        <f>IF(RealTime,_xll.RtGet(RtChannel,$AO59,AP$12),"StaticData")</f>
        <v>2.7669480010000003</v>
      </c>
      <c r="AQ59" s="386">
        <f>IF(RealTime,_xll.RtGet(RtChannel,$AO59,AQ$12),"StaticData")</f>
        <v>2.7669480010000003</v>
      </c>
      <c r="AR59" s="385">
        <f>IF(RealTime,AP59,static_data())</f>
        <v>2.7669480010000003</v>
      </c>
      <c r="AS59" s="385">
        <f>IF(RealTime,AQ59,static_data())</f>
        <v>2.7669480010000003</v>
      </c>
      <c r="AT59" s="43">
        <f t="shared" si="6"/>
        <v>2.7669480010000003</v>
      </c>
      <c r="AV59" s="158" t="str">
        <v>30Y</v>
      </c>
      <c r="AW59" s="134" t="str">
        <f t="shared" si="17"/>
        <v>USD_CURVE_1M_30Y</v>
      </c>
      <c r="AX59" s="385">
        <f>IF(RealTime,_xll.RtGet(RtChannel,$AW59,AX$12),"StaticData")</f>
        <v>2.306651886</v>
      </c>
      <c r="AY59" s="386">
        <f>IF(RealTime,_xll.RtGet(RtChannel,$AW59,AY$12),"StaticData")</f>
        <v>2.306651886</v>
      </c>
      <c r="AZ59" s="385">
        <f>IF(RealTime,AX59,static_data())</f>
        <v>2.306651886</v>
      </c>
      <c r="BA59" s="385">
        <f>IF(RealTime,AY59,static_data())</f>
        <v>2.306651886</v>
      </c>
      <c r="BB59" s="43">
        <f t="shared" si="7"/>
        <v>2.306651886</v>
      </c>
      <c r="BD59" s="158" t="str">
        <v>30Y</v>
      </c>
      <c r="BE59" s="134" t="str">
        <f t="shared" si="35"/>
        <v>USD_CURVE_3M_30Y</v>
      </c>
      <c r="BF59" s="385">
        <f>IF(RealTime,_xll.RtGet(RtChannel,$BE59,BF$12),"StaticData")</f>
        <v>2.4318406889999999</v>
      </c>
      <c r="BG59" s="386">
        <f>IF(RealTime,_xll.RtGet(RtChannel,$BE59,BG$12),"StaticData")</f>
        <v>2.4318406889999999</v>
      </c>
      <c r="BH59" s="385">
        <f>IF(RealTime,BF59,static_data())</f>
        <v>2.4318406889999999</v>
      </c>
      <c r="BI59" s="385">
        <f>IF(RealTime,BG59,static_data())</f>
        <v>2.4318406889999999</v>
      </c>
      <c r="BJ59" s="43">
        <f t="shared" si="8"/>
        <v>2.4318406889999999</v>
      </c>
      <c r="BL59" s="382"/>
      <c r="BM59" s="158" t="str">
        <v>30Y</v>
      </c>
      <c r="BN59" s="134" t="str">
        <f t="shared" si="36"/>
        <v>USD_CURVE_6M_30Y</v>
      </c>
      <c r="BO59" s="385">
        <f>IF(RealTime,_xll.RtGet(RtChannel,$BN59,BO$12),"StaticData")</f>
        <v>2.5920845080000001</v>
      </c>
      <c r="BP59" s="386">
        <f>IF(RealTime,_xll.RtGet(RtChannel,$BN59,BP$12),"StaticData")</f>
        <v>2.5920845080000001</v>
      </c>
      <c r="BQ59" s="385">
        <f>IF(RealTime,BO59,static_data())</f>
        <v>2.5920845080000001</v>
      </c>
      <c r="BR59" s="385">
        <f>IF(RealTime,BP59,static_data())</f>
        <v>2.5920845080000001</v>
      </c>
      <c r="BS59" s="43">
        <f t="shared" si="34"/>
        <v>2.5920845080000001</v>
      </c>
    </row>
    <row r="60" spans="1:81">
      <c r="Q60" s="155" t="s">
        <v>41</v>
      </c>
      <c r="R60" s="102" t="s">
        <v>508</v>
      </c>
      <c r="S60" s="164"/>
      <c r="T60" s="163">
        <f t="shared" si="28"/>
        <v>51462</v>
      </c>
      <c r="U60" s="288" t="b">
        <v>1</v>
      </c>
      <c r="V60" s="284" t="str">
        <v>40Y</v>
      </c>
      <c r="W60" s="137" t="str">
        <v>W</v>
      </c>
      <c r="X60" s="130" t="str">
        <f t="shared" si="1"/>
        <v>W29</v>
      </c>
      <c r="Y60" s="173">
        <f t="shared" si="2"/>
        <v>4</v>
      </c>
      <c r="Z60" s="175" t="str">
        <f t="shared" si="33"/>
        <v>40Y</v>
      </c>
      <c r="AA60" s="163">
        <v>57306</v>
      </c>
      <c r="AB60" s="173" t="str">
        <f t="shared" si="4"/>
        <v>40Y</v>
      </c>
      <c r="AC60" s="335"/>
      <c r="AD60" s="6"/>
      <c r="AE60" s="158" t="str">
        <v>40Y</v>
      </c>
      <c r="AF60" s="134" t="str">
        <f t="shared" si="37"/>
        <v>USD_CURVE_3M_40Y</v>
      </c>
      <c r="AG60" s="385">
        <f>IF(RealTime,_xll.RtGet(IF(Y60=3,"IDN",RtChannel),$AF60,AG$12),"StaticData")</f>
        <v>2.4339999900000002</v>
      </c>
      <c r="AH60" s="386">
        <f>IF(RealTime,_xll.RtGet(IF($Y60=3,"IDN",RtChannel),$AF60,AH$12),"StaticData")</f>
        <v>2.4339999900000002</v>
      </c>
      <c r="AI60" s="385">
        <f>IF(RealTime,AG60,static_data())</f>
        <v>2.4339999900000002</v>
      </c>
      <c r="AJ60" s="385">
        <f>IF(RealTime,AH60,static_data())</f>
        <v>2.4339999900000002</v>
      </c>
      <c r="AK60" s="43">
        <f t="shared" si="5"/>
        <v>2.4339999900000002</v>
      </c>
      <c r="AN60" s="158" t="str">
        <v>40Y</v>
      </c>
      <c r="AO60" s="134" t="str">
        <f t="shared" si="16"/>
        <v>USD_CURVE_12M_40Y</v>
      </c>
      <c r="AP60" s="385">
        <f>IF(RealTime,_xll.RtGet(RtChannel,$AO60,AP$12),"StaticData")</f>
        <v>2.7691332970000002</v>
      </c>
      <c r="AQ60" s="386">
        <f>IF(RealTime,_xll.RtGet(RtChannel,$AO60,AQ$12),"StaticData")</f>
        <v>2.7691332970000002</v>
      </c>
      <c r="AR60" s="385">
        <f>IF(RealTime,AP60,static_data())</f>
        <v>2.7691332970000002</v>
      </c>
      <c r="AS60" s="385">
        <f>IF(RealTime,AQ60,static_data())</f>
        <v>2.7691332970000002</v>
      </c>
      <c r="AT60" s="43">
        <f t="shared" si="6"/>
        <v>2.7691332970000002</v>
      </c>
      <c r="AV60" s="158" t="str">
        <v>40Y</v>
      </c>
      <c r="AW60" s="134" t="str">
        <f t="shared" si="17"/>
        <v>USD_CURVE_1M_40Y</v>
      </c>
      <c r="AX60" s="385">
        <f>IF(RealTime,_xll.RtGet(RtChannel,$AW60,AX$12),"StaticData")</f>
        <v>2.3088000860000002</v>
      </c>
      <c r="AY60" s="386">
        <f>IF(RealTime,_xll.RtGet(RtChannel,$AW60,AY$12),"StaticData")</f>
        <v>2.3088000860000002</v>
      </c>
      <c r="AZ60" s="385">
        <f>IF(RealTime,AX60,static_data())</f>
        <v>2.3088000860000002</v>
      </c>
      <c r="BA60" s="385">
        <f>IF(RealTime,AY60,static_data())</f>
        <v>2.3088000860000002</v>
      </c>
      <c r="BB60" s="43">
        <f t="shared" si="7"/>
        <v>2.3088000860000002</v>
      </c>
      <c r="BD60" s="158" t="str">
        <v>40Y</v>
      </c>
      <c r="BE60" s="134" t="str">
        <f t="shared" si="35"/>
        <v>USD_CURVE_3M_40Y</v>
      </c>
      <c r="BF60" s="385">
        <f>IF(RealTime,_xll.RtGet(RtChannel,$BE60,BF$12),"StaticData")</f>
        <v>2.4339999900000002</v>
      </c>
      <c r="BG60" s="386">
        <f>IF(RealTime,_xll.RtGet(RtChannel,$BE60,BG$12),"StaticData")</f>
        <v>2.4339999900000002</v>
      </c>
      <c r="BH60" s="385">
        <f>IF(RealTime,BF60,static_data())</f>
        <v>2.4339999900000002</v>
      </c>
      <c r="BI60" s="385">
        <f>IF(RealTime,BG60,static_data())</f>
        <v>2.4339999900000002</v>
      </c>
      <c r="BJ60" s="43">
        <f t="shared" si="8"/>
        <v>2.4339999900000002</v>
      </c>
      <c r="BL60" s="382"/>
      <c r="BM60" s="158" t="str">
        <v>40Y</v>
      </c>
      <c r="BN60" s="134" t="str">
        <f t="shared" si="36"/>
        <v>USD_CURVE_6M_40Y</v>
      </c>
      <c r="BO60" s="385">
        <f>IF(RealTime,_xll.RtGet(RtChannel,$BN60,BO$12),"StaticData")</f>
        <v>2.594259241</v>
      </c>
      <c r="BP60" s="386">
        <f>IF(RealTime,_xll.RtGet(RtChannel,$BN60,BP$12),"StaticData")</f>
        <v>2.594259241</v>
      </c>
      <c r="BQ60" s="385">
        <f>IF(RealTime,BO60,static_data())</f>
        <v>2.594259241</v>
      </c>
      <c r="BR60" s="385">
        <f>IF(RealTime,BP60,static_data())</f>
        <v>2.594259241</v>
      </c>
      <c r="BS60" s="43">
        <f t="shared" si="34"/>
        <v>2.594259241</v>
      </c>
    </row>
    <row r="61" spans="1:81">
      <c r="Q61" s="155" t="s">
        <v>21</v>
      </c>
      <c r="R61" s="102" t="s">
        <v>508</v>
      </c>
      <c r="S61" s="164"/>
      <c r="T61" s="163">
        <f t="shared" si="28"/>
        <v>51827</v>
      </c>
      <c r="U61" s="288" t="b">
        <v>1</v>
      </c>
      <c r="V61" s="284" t="str">
        <v>50Y</v>
      </c>
      <c r="W61" s="137" t="str">
        <v>W</v>
      </c>
      <c r="X61" s="130" t="str">
        <f t="shared" si="1"/>
        <v>W30</v>
      </c>
      <c r="Y61" s="173">
        <f t="shared" si="2"/>
        <v>4</v>
      </c>
      <c r="Z61" s="175" t="str">
        <f t="shared" si="33"/>
        <v>50Y</v>
      </c>
      <c r="AA61" s="163">
        <v>60958</v>
      </c>
      <c r="AB61" s="173" t="str">
        <f t="shared" si="4"/>
        <v>50Y</v>
      </c>
      <c r="AC61" s="335"/>
      <c r="AD61" s="6"/>
      <c r="AE61" s="158" t="str">
        <v>50Y</v>
      </c>
      <c r="AF61" s="134" t="str">
        <f t="shared" si="37"/>
        <v>USD_CURVE_3M_50Y</v>
      </c>
      <c r="AG61" s="385">
        <f>IF(RealTime,_xll.RtGet(IF(Y61=3,"IDN",RtChannel),$AF61,AG$12),"StaticData")</f>
        <v>2.4319999890000004</v>
      </c>
      <c r="AH61" s="386">
        <f>IF(RealTime,_xll.RtGet(IF($Y61=3,"IDN",RtChannel),$AF61,AH$12),"StaticData")</f>
        <v>2.4319999890000004</v>
      </c>
      <c r="AI61" s="385">
        <f>IF(RealTime,AG61,static_data())</f>
        <v>2.4319999890000004</v>
      </c>
      <c r="AJ61" s="385">
        <f>IF(RealTime,AH61,static_data())</f>
        <v>2.4319999890000004</v>
      </c>
      <c r="AK61" s="43">
        <f t="shared" si="5"/>
        <v>2.4319999890000004</v>
      </c>
      <c r="AN61" s="158" t="str">
        <v>50Y</v>
      </c>
      <c r="AO61" s="134" t="str">
        <f t="shared" si="16"/>
        <v>USD_CURVE_12M_50Y</v>
      </c>
      <c r="AP61" s="385">
        <f>IF(RealTime,_xll.RtGet(RtChannel,$AO61,AP$12),"StaticData")</f>
        <v>2.767116025</v>
      </c>
      <c r="AQ61" s="386">
        <f>IF(RealTime,_xll.RtGet(RtChannel,$AO61,AQ$12),"StaticData")</f>
        <v>2.767116025</v>
      </c>
      <c r="AR61" s="385">
        <f>IF(RealTime,AP61,static_data())</f>
        <v>2.767116025</v>
      </c>
      <c r="AS61" s="385">
        <f>IF(RealTime,AQ61,static_data())</f>
        <v>2.767116025</v>
      </c>
      <c r="AT61" s="43">
        <f t="shared" si="6"/>
        <v>2.767116025</v>
      </c>
      <c r="AV61" s="158" t="str">
        <v>50Y</v>
      </c>
      <c r="AW61" s="134" t="str">
        <f t="shared" si="17"/>
        <v>USD_CURVE_1M_50Y</v>
      </c>
      <c r="AX61" s="385">
        <f>IF(RealTime,_xll.RtGet(RtChannel,$AW61,AX$12),"StaticData")</f>
        <v>2.3068078130000003</v>
      </c>
      <c r="AY61" s="386">
        <f>IF(RealTime,_xll.RtGet(RtChannel,$AW61,AY$12),"StaticData")</f>
        <v>2.3068078130000003</v>
      </c>
      <c r="AZ61" s="385">
        <f>IF(RealTime,AX61,static_data())</f>
        <v>2.3068078130000003</v>
      </c>
      <c r="BA61" s="385">
        <f>IF(RealTime,AY61,static_data())</f>
        <v>2.3068078130000003</v>
      </c>
      <c r="BB61" s="43">
        <f t="shared" si="7"/>
        <v>2.3068078130000003</v>
      </c>
      <c r="BD61" s="158" t="str">
        <v>50Y</v>
      </c>
      <c r="BE61" s="134" t="str">
        <f t="shared" si="35"/>
        <v>USD_CURVE_3M_50Y</v>
      </c>
      <c r="BF61" s="385">
        <f>IF(RealTime,_xll.RtGet(RtChannel,$BE61,BF$12),"StaticData")</f>
        <v>2.4319999890000004</v>
      </c>
      <c r="BG61" s="386">
        <f>IF(RealTime,_xll.RtGet(RtChannel,$BE61,BG$12),"StaticData")</f>
        <v>2.4319999890000004</v>
      </c>
      <c r="BH61" s="385">
        <f>IF(RealTime,BF61,static_data())</f>
        <v>2.4319999890000004</v>
      </c>
      <c r="BI61" s="385">
        <f>IF(RealTime,BG61,static_data())</f>
        <v>2.4319999890000004</v>
      </c>
      <c r="BJ61" s="43">
        <f t="shared" si="8"/>
        <v>2.4319999890000004</v>
      </c>
      <c r="BL61" s="382"/>
      <c r="BM61" s="158" t="str">
        <v>50Y</v>
      </c>
      <c r="BN61" s="134" t="str">
        <f t="shared" si="36"/>
        <v>USD_CURVE_6M_50Y</v>
      </c>
      <c r="BO61" s="385">
        <f>IF(RealTime,_xll.RtGet(RtChannel,$BN61,BO$12),"StaticData")</f>
        <v>2.5922509499999999</v>
      </c>
      <c r="BP61" s="386">
        <f>IF(RealTime,_xll.RtGet(RtChannel,$BN61,BP$12),"StaticData")</f>
        <v>2.5922509499999999</v>
      </c>
      <c r="BQ61" s="385">
        <f>IF(RealTime,BO61,static_data())</f>
        <v>2.5922509499999999</v>
      </c>
      <c r="BR61" s="385">
        <f>IF(RealTime,BP61,static_data())</f>
        <v>2.5922509499999999</v>
      </c>
      <c r="BS61" s="43">
        <f t="shared" si="34"/>
        <v>2.5922509499999999</v>
      </c>
    </row>
    <row r="62" spans="1:81">
      <c r="Q62" s="155" t="s">
        <v>42</v>
      </c>
      <c r="R62" s="102" t="s">
        <v>508</v>
      </c>
      <c r="S62" s="164"/>
      <c r="T62" s="163">
        <f t="shared" si="28"/>
        <v>52194</v>
      </c>
      <c r="U62" s="288" t="b">
        <v>1</v>
      </c>
      <c r="V62" s="284" t="str">
        <v>60Y</v>
      </c>
      <c r="W62" s="137" t="str">
        <v>W</v>
      </c>
      <c r="X62" s="130" t="str">
        <f t="shared" si="1"/>
        <v>W31</v>
      </c>
      <c r="Y62" s="173">
        <f t="shared" si="2"/>
        <v>4</v>
      </c>
      <c r="Z62" s="175" t="str">
        <f t="shared" si="33"/>
        <v>60Y</v>
      </c>
      <c r="AA62" s="163">
        <v>64612</v>
      </c>
      <c r="AB62" s="173" t="str">
        <f t="shared" si="4"/>
        <v>60Y</v>
      </c>
      <c r="AC62" s="335"/>
      <c r="AD62" s="6"/>
      <c r="AE62" s="158" t="str">
        <v>60Y</v>
      </c>
      <c r="AF62" s="134" t="str">
        <f t="shared" si="37"/>
        <v>USD_CURVE_3M_60Y</v>
      </c>
      <c r="AG62" s="385">
        <f>IF(RealTime,_xll.RtGet(IF(Y62=3,"IDN",RtChannel),$AF62,AG$12),"StaticData")</f>
        <v>2.4305924030000003</v>
      </c>
      <c r="AH62" s="386">
        <f>IF(RealTime,_xll.RtGet(IF($Y62=3,"IDN",RtChannel),$AF62,AH$12),"StaticData")</f>
        <v>2.4305924030000003</v>
      </c>
      <c r="AI62" s="385">
        <f>IF(RealTime,AG62,static_data())</f>
        <v>2.4305924030000003</v>
      </c>
      <c r="AJ62" s="385">
        <f>IF(RealTime,AH62,static_data())</f>
        <v>2.4305924030000003</v>
      </c>
      <c r="AK62" s="43">
        <f t="shared" si="5"/>
        <v>2.4305924030000003</v>
      </c>
      <c r="AN62" s="158" t="str">
        <v>60Y</v>
      </c>
      <c r="AO62" s="134" t="str">
        <f t="shared" si="16"/>
        <v>USD_CURVE_12M_60Y</v>
      </c>
      <c r="AP62" s="385">
        <f>IF(RealTime,_xll.RtGet(RtChannel,$AO62,AP$12),"StaticData")</f>
        <v>2.76569391</v>
      </c>
      <c r="AQ62" s="386">
        <f>IF(RealTime,_xll.RtGet(RtChannel,$AO62,AQ$12),"StaticData")</f>
        <v>2.76569391</v>
      </c>
      <c r="AR62" s="385">
        <f>IF(RealTime,AP62,static_data())</f>
        <v>2.76569391</v>
      </c>
      <c r="AS62" s="385">
        <f>IF(RealTime,AQ62,static_data())</f>
        <v>2.76569391</v>
      </c>
      <c r="AT62" s="43">
        <f t="shared" si="6"/>
        <v>2.76569391</v>
      </c>
      <c r="AV62" s="158" t="str">
        <v>60Y</v>
      </c>
      <c r="AW62" s="134" t="str">
        <f t="shared" si="17"/>
        <v>USD_CURVE_1M_60Y</v>
      </c>
      <c r="AX62" s="385">
        <f>IF(RealTime,_xll.RtGet(RtChannel,$AW62,AX$12),"StaticData")</f>
        <v>2.3048958880000003</v>
      </c>
      <c r="AY62" s="386">
        <f>IF(RealTime,_xll.RtGet(RtChannel,$AW62,AY$12),"StaticData")</f>
        <v>2.3048958880000003</v>
      </c>
      <c r="AZ62" s="385">
        <f>IF(RealTime,AX62,static_data())</f>
        <v>2.3048958880000003</v>
      </c>
      <c r="BA62" s="385">
        <f>IF(RealTime,AY62,static_data())</f>
        <v>2.3048958880000003</v>
      </c>
      <c r="BB62" s="43">
        <f t="shared" si="7"/>
        <v>2.3048958880000003</v>
      </c>
      <c r="BD62" s="158" t="str">
        <v>60Y</v>
      </c>
      <c r="BE62" s="134" t="str">
        <f t="shared" si="35"/>
        <v>USD_CURVE_3M_60Y</v>
      </c>
      <c r="BF62" s="385">
        <f>IF(RealTime,_xll.RtGet(RtChannel,$BE62,BF$12),"StaticData")</f>
        <v>2.4305924030000003</v>
      </c>
      <c r="BG62" s="386">
        <f>IF(RealTime,_xll.RtGet(RtChannel,$BE62,BG$12),"StaticData")</f>
        <v>2.4305924030000003</v>
      </c>
      <c r="BH62" s="385">
        <f>IF(RealTime,BF62,static_data())</f>
        <v>2.4305924030000003</v>
      </c>
      <c r="BI62" s="385">
        <f>IF(RealTime,BG62,static_data())</f>
        <v>2.4305924030000003</v>
      </c>
      <c r="BJ62" s="43">
        <f t="shared" si="8"/>
        <v>2.4305924030000003</v>
      </c>
      <c r="BL62" s="382"/>
      <c r="BM62" s="158" t="str">
        <v>60Y</v>
      </c>
      <c r="BN62" s="134" t="str">
        <f t="shared" si="36"/>
        <v>USD_CURVE_6M_60Y</v>
      </c>
      <c r="BO62" s="385">
        <f>IF(RealTime,_xll.RtGet(RtChannel,$BN62,BO$12),"StaticData")</f>
        <v>2.5908363970000003</v>
      </c>
      <c r="BP62" s="386">
        <f>IF(RealTime,_xll.RtGet(RtChannel,$BN62,BP$12),"StaticData")</f>
        <v>2.5908363970000003</v>
      </c>
      <c r="BQ62" s="385">
        <f>IF(RealTime,BO62,static_data())</f>
        <v>2.5908363970000003</v>
      </c>
      <c r="BR62" s="385">
        <f>IF(RealTime,BP62,static_data())</f>
        <v>2.5908363970000003</v>
      </c>
      <c r="BS62" s="43">
        <f t="shared" si="34"/>
        <v>2.5908363970000003</v>
      </c>
    </row>
    <row r="63" spans="1:81">
      <c r="Q63" s="155" t="s">
        <v>43</v>
      </c>
      <c r="R63" s="102" t="s">
        <v>508</v>
      </c>
      <c r="S63" s="164"/>
      <c r="T63" s="163">
        <f t="shared" si="28"/>
        <v>52558</v>
      </c>
      <c r="U63" s="288" t="b">
        <v>1</v>
      </c>
      <c r="V63" s="284" t="str">
        <v/>
      </c>
      <c r="W63" s="137" t="str">
        <v/>
      </c>
      <c r="X63" s="130" t="str">
        <f t="shared" si="1"/>
        <v/>
      </c>
      <c r="Y63" s="173">
        <f t="shared" si="2"/>
        <v>5</v>
      </c>
      <c r="Z63" s="175" t="str">
        <f t="shared" si="33"/>
        <v/>
      </c>
      <c r="AA63" s="163" t="str">
        <v/>
      </c>
      <c r="AB63" s="173" t="str">
        <f t="shared" si="4"/>
        <v/>
      </c>
      <c r="AC63" s="335"/>
      <c r="AD63" s="6"/>
      <c r="AE63" s="158" t="str">
        <v/>
      </c>
      <c r="AF63" s="134" t="str">
        <f t="shared" si="37"/>
        <v/>
      </c>
      <c r="AG63" s="385" t="str">
        <f>IF(RealTime,_xll.RtGet(IF(Y63=3,"IDN",RtChannel),$AF63,AG$12),"StaticData")</f>
        <v>#N/A No instrument defined.</v>
      </c>
      <c r="AH63" s="386" t="str">
        <f>IF(RealTime,_xll.RtGet(IF($Y63=3,"IDN",RtChannel),$AF63,AH$12),"StaticData")</f>
        <v>#N/A No instrument defined.</v>
      </c>
      <c r="AI63" s="385" t="str">
        <f>IF(RealTime,AG63,static_data())</f>
        <v>#N/A No instrument defined.</v>
      </c>
      <c r="AJ63" s="385" t="str">
        <f>IF(RealTime,AH63,static_data())</f>
        <v>#N/A No instrument defined.</v>
      </c>
      <c r="AK63" s="43" t="str">
        <f t="shared" si="5"/>
        <v/>
      </c>
      <c r="AN63" s="158" t="str">
        <v/>
      </c>
      <c r="AO63" s="134" t="str">
        <f t="shared" si="16"/>
        <v/>
      </c>
      <c r="AP63" s="385" t="str">
        <f>IF(RealTime,_xll.RtGet(RtChannel,$AO63,AP$12),"StaticData")</f>
        <v>#N/A No instrument defined.</v>
      </c>
      <c r="AQ63" s="386" t="str">
        <f>IF(RealTime,_xll.RtGet(RtChannel,$AO63,AQ$12),"StaticData")</f>
        <v>#N/A No instrument defined.</v>
      </c>
      <c r="AR63" s="385" t="str">
        <f>IF(RealTime,AP63,static_data())</f>
        <v>#N/A No instrument defined.</v>
      </c>
      <c r="AS63" s="385" t="str">
        <f>IF(RealTime,AQ63,static_data())</f>
        <v>#N/A No instrument defined.</v>
      </c>
      <c r="AT63" s="43" t="str">
        <f t="shared" si="6"/>
        <v/>
      </c>
      <c r="AV63" s="158" t="str">
        <v/>
      </c>
      <c r="AW63" s="134" t="str">
        <f t="shared" si="17"/>
        <v/>
      </c>
      <c r="AX63" s="385" t="str">
        <f>IF(RealTime,_xll.RtGet(RtChannel,$AW63,AX$12),"StaticData")</f>
        <v>#N/A No instrument defined.</v>
      </c>
      <c r="AY63" s="386" t="str">
        <f>IF(RealTime,_xll.RtGet(RtChannel,$AW63,AY$12),"StaticData")</f>
        <v>#N/A No instrument defined.</v>
      </c>
      <c r="AZ63" s="385" t="str">
        <f>IF(RealTime,AX63,static_data())</f>
        <v>#N/A No instrument defined.</v>
      </c>
      <c r="BA63" s="385" t="str">
        <f>IF(RealTime,AY63,static_data())</f>
        <v>#N/A No instrument defined.</v>
      </c>
      <c r="BB63" s="43" t="str">
        <f t="shared" si="7"/>
        <v/>
      </c>
      <c r="BD63" s="158" t="str">
        <v/>
      </c>
      <c r="BE63" s="134" t="str">
        <f t="shared" si="35"/>
        <v/>
      </c>
      <c r="BF63" s="385" t="str">
        <f>IF(RealTime,_xll.RtGet(RtChannel,$BE63,BF$12),"StaticData")</f>
        <v>#N/A No instrument defined.</v>
      </c>
      <c r="BG63" s="386" t="str">
        <f>IF(RealTime,_xll.RtGet(RtChannel,$BE63,BG$12),"StaticData")</f>
        <v>#N/A No instrument defined.</v>
      </c>
      <c r="BH63" s="385" t="str">
        <f>IF(RealTime,BF63,static_data())</f>
        <v>#N/A No instrument defined.</v>
      </c>
      <c r="BI63" s="385" t="str">
        <f>IF(RealTime,BG63,static_data())</f>
        <v>#N/A No instrument defined.</v>
      </c>
      <c r="BJ63" s="43" t="str">
        <f t="shared" si="8"/>
        <v/>
      </c>
      <c r="BL63" s="382"/>
      <c r="BM63" s="158" t="str">
        <v/>
      </c>
      <c r="BN63" s="134" t="str">
        <f t="shared" si="36"/>
        <v/>
      </c>
      <c r="BO63" s="385" t="str">
        <f>IF(RealTime,_xll.RtGet(RtChannel,$BN63,BO$12),"StaticData")</f>
        <v>#N/A No instrument defined.</v>
      </c>
      <c r="BP63" s="386" t="str">
        <f>IF(RealTime,_xll.RtGet(RtChannel,$BN63,BP$12),"StaticData")</f>
        <v>#N/A No instrument defined.</v>
      </c>
      <c r="BQ63" s="385" t="str">
        <f>IF(RealTime,BO63,static_data())</f>
        <v>#N/A No instrument defined.</v>
      </c>
      <c r="BR63" s="385" t="str">
        <f>IF(RealTime,BP63,static_data())</f>
        <v>#N/A No instrument defined.</v>
      </c>
      <c r="BS63" s="43" t="str">
        <f t="shared" si="34"/>
        <v/>
      </c>
    </row>
    <row r="64" spans="1:81">
      <c r="Q64" s="155" t="s">
        <v>44</v>
      </c>
      <c r="R64" s="102" t="s">
        <v>508</v>
      </c>
      <c r="S64" s="164"/>
      <c r="T64" s="163">
        <f t="shared" si="28"/>
        <v>52923</v>
      </c>
      <c r="U64" s="288" t="b">
        <v>1</v>
      </c>
      <c r="V64" s="284" t="str">
        <v/>
      </c>
      <c r="W64" s="137" t="str">
        <v/>
      </c>
      <c r="X64" s="130" t="str">
        <f t="shared" si="1"/>
        <v/>
      </c>
      <c r="Y64" s="173">
        <f t="shared" si="2"/>
        <v>5</v>
      </c>
      <c r="Z64" s="175" t="str">
        <f t="shared" si="33"/>
        <v/>
      </c>
      <c r="AA64" s="163" t="str">
        <v/>
      </c>
      <c r="AB64" s="173" t="str">
        <f t="shared" si="4"/>
        <v/>
      </c>
      <c r="AC64" s="335"/>
      <c r="AD64" s="6"/>
      <c r="AE64" s="158" t="str">
        <v/>
      </c>
      <c r="AF64" s="134" t="str">
        <f t="shared" si="37"/>
        <v/>
      </c>
      <c r="AG64" s="385" t="str">
        <f>IF(RealTime,_xll.RtGet(IF(Y64=3,"IDN",RtChannel),$AF64,AG$12),"StaticData")</f>
        <v>#N/A No instrument defined.</v>
      </c>
      <c r="AH64" s="386" t="str">
        <f>IF(RealTime,_xll.RtGet(IF($Y64=3,"IDN",RtChannel),$AF64,AH$12),"StaticData")</f>
        <v>#N/A No instrument defined.</v>
      </c>
      <c r="AI64" s="385" t="str">
        <f>IF(RealTime,AG64,static_data())</f>
        <v>#N/A No instrument defined.</v>
      </c>
      <c r="AJ64" s="385" t="str">
        <f>IF(RealTime,AH64,static_data())</f>
        <v>#N/A No instrument defined.</v>
      </c>
      <c r="AK64" s="43" t="str">
        <f t="shared" si="5"/>
        <v/>
      </c>
      <c r="AN64" s="158" t="str">
        <v/>
      </c>
      <c r="AO64" s="134" t="str">
        <f t="shared" si="16"/>
        <v/>
      </c>
      <c r="AP64" s="385" t="str">
        <f>IF(RealTime,_xll.RtGet(RtChannel,$AO64,AP$12),"StaticData")</f>
        <v>#N/A No instrument defined.</v>
      </c>
      <c r="AQ64" s="386" t="str">
        <f>IF(RealTime,_xll.RtGet(RtChannel,$AO64,AQ$12),"StaticData")</f>
        <v>#N/A No instrument defined.</v>
      </c>
      <c r="AR64" s="385" t="str">
        <f>IF(RealTime,AP64,static_data())</f>
        <v>#N/A No instrument defined.</v>
      </c>
      <c r="AS64" s="385" t="str">
        <f>IF(RealTime,AQ64,static_data())</f>
        <v>#N/A No instrument defined.</v>
      </c>
      <c r="AT64" s="43" t="str">
        <f t="shared" si="6"/>
        <v/>
      </c>
      <c r="AV64" s="158" t="str">
        <v/>
      </c>
      <c r="AW64" s="134" t="str">
        <f t="shared" si="17"/>
        <v/>
      </c>
      <c r="AX64" s="385" t="str">
        <f>IF(RealTime,_xll.RtGet(RtChannel,$AW64,AX$12),"StaticData")</f>
        <v>#N/A No instrument defined.</v>
      </c>
      <c r="AY64" s="386" t="str">
        <f>IF(RealTime,_xll.RtGet(RtChannel,$AW64,AY$12),"StaticData")</f>
        <v>#N/A No instrument defined.</v>
      </c>
      <c r="AZ64" s="385" t="str">
        <f>IF(RealTime,AX64,static_data())</f>
        <v>#N/A No instrument defined.</v>
      </c>
      <c r="BA64" s="385" t="str">
        <f>IF(RealTime,AY64,static_data())</f>
        <v>#N/A No instrument defined.</v>
      </c>
      <c r="BB64" s="43" t="str">
        <f t="shared" si="7"/>
        <v/>
      </c>
      <c r="BD64" s="158" t="str">
        <v/>
      </c>
      <c r="BE64" s="134" t="str">
        <f t="shared" si="35"/>
        <v/>
      </c>
      <c r="BF64" s="385" t="str">
        <f>IF(RealTime,_xll.RtGet(RtChannel,$BE64,BF$12),"StaticData")</f>
        <v>#N/A No instrument defined.</v>
      </c>
      <c r="BG64" s="386" t="str">
        <f>IF(RealTime,_xll.RtGet(RtChannel,$BE64,BG$12),"StaticData")</f>
        <v>#N/A No instrument defined.</v>
      </c>
      <c r="BH64" s="385" t="str">
        <f>IF(RealTime,BF64,static_data())</f>
        <v>#N/A No instrument defined.</v>
      </c>
      <c r="BI64" s="385" t="str">
        <f>IF(RealTime,BG64,static_data())</f>
        <v>#N/A No instrument defined.</v>
      </c>
      <c r="BJ64" s="43" t="str">
        <f t="shared" si="8"/>
        <v/>
      </c>
      <c r="BL64" s="382"/>
      <c r="BM64" s="158" t="str">
        <v/>
      </c>
      <c r="BN64" s="134" t="str">
        <f t="shared" si="36"/>
        <v/>
      </c>
      <c r="BO64" s="385" t="str">
        <f>IF(RealTime,_xll.RtGet(RtChannel,$BN64,BO$12),"StaticData")</f>
        <v>#N/A No instrument defined.</v>
      </c>
      <c r="BP64" s="386" t="str">
        <f>IF(RealTime,_xll.RtGet(RtChannel,$BN64,BP$12),"StaticData")</f>
        <v>#N/A No instrument defined.</v>
      </c>
      <c r="BQ64" s="385" t="str">
        <f>IF(RealTime,BO64,static_data())</f>
        <v>#N/A No instrument defined.</v>
      </c>
      <c r="BR64" s="385" t="str">
        <f>IF(RealTime,BP64,static_data())</f>
        <v>#N/A No instrument defined.</v>
      </c>
      <c r="BS64" s="43" t="str">
        <f t="shared" si="34"/>
        <v/>
      </c>
    </row>
    <row r="65" spans="17:71">
      <c r="Q65" s="155" t="s">
        <v>45</v>
      </c>
      <c r="R65" s="102" t="s">
        <v>508</v>
      </c>
      <c r="S65" s="164"/>
      <c r="T65" s="163">
        <f t="shared" si="28"/>
        <v>53288</v>
      </c>
      <c r="U65" s="288" t="b">
        <v>1</v>
      </c>
      <c r="V65" s="284" t="str">
        <v/>
      </c>
      <c r="W65" s="137" t="str">
        <v/>
      </c>
      <c r="X65" s="130" t="str">
        <f t="shared" si="1"/>
        <v/>
      </c>
      <c r="Y65" s="173">
        <f t="shared" si="2"/>
        <v>5</v>
      </c>
      <c r="Z65" s="175" t="str">
        <f t="shared" si="33"/>
        <v/>
      </c>
      <c r="AA65" s="163" t="str">
        <v/>
      </c>
      <c r="AB65" s="173" t="str">
        <f t="shared" si="4"/>
        <v/>
      </c>
      <c r="AC65" s="335"/>
      <c r="AD65" s="6"/>
      <c r="AE65" s="158" t="str">
        <v/>
      </c>
      <c r="AF65" s="134" t="str">
        <f t="shared" si="37"/>
        <v/>
      </c>
      <c r="AG65" s="385" t="str">
        <f>IF(RealTime,_xll.RtGet(IF(Y65=3,"IDN",RtChannel),$AF65,AG$12),"StaticData")</f>
        <v>#N/A No instrument defined.</v>
      </c>
      <c r="AH65" s="386" t="str">
        <f>IF(RealTime,_xll.RtGet(IF($Y65=3,"IDN",RtChannel),$AF65,AH$12),"StaticData")</f>
        <v>#N/A No instrument defined.</v>
      </c>
      <c r="AI65" s="385" t="str">
        <f>IF(RealTime,AG65,static_data())</f>
        <v>#N/A No instrument defined.</v>
      </c>
      <c r="AJ65" s="385" t="str">
        <f>IF(RealTime,AH65,static_data())</f>
        <v>#N/A No instrument defined.</v>
      </c>
      <c r="AK65" s="43" t="str">
        <f t="shared" si="5"/>
        <v/>
      </c>
      <c r="AN65" s="158" t="str">
        <v/>
      </c>
      <c r="AO65" s="134" t="str">
        <f t="shared" si="16"/>
        <v/>
      </c>
      <c r="AP65" s="385" t="str">
        <f>IF(RealTime,_xll.RtGet(RtChannel,$AO65,AP$12),"StaticData")</f>
        <v>#N/A No instrument defined.</v>
      </c>
      <c r="AQ65" s="386" t="str">
        <f>IF(RealTime,_xll.RtGet(RtChannel,$AO65,AQ$12),"StaticData")</f>
        <v>#N/A No instrument defined.</v>
      </c>
      <c r="AR65" s="385" t="str">
        <f>IF(RealTime,AP65,static_data())</f>
        <v>#N/A No instrument defined.</v>
      </c>
      <c r="AS65" s="385" t="str">
        <f>IF(RealTime,AQ65,static_data())</f>
        <v>#N/A No instrument defined.</v>
      </c>
      <c r="AT65" s="43" t="str">
        <f t="shared" si="6"/>
        <v/>
      </c>
      <c r="AV65" s="158" t="str">
        <v/>
      </c>
      <c r="AW65" s="134" t="str">
        <f t="shared" si="17"/>
        <v/>
      </c>
      <c r="AX65" s="385" t="str">
        <f>IF(RealTime,_xll.RtGet(RtChannel,$AW65,AX$12),"StaticData")</f>
        <v>#N/A No instrument defined.</v>
      </c>
      <c r="AY65" s="386" t="str">
        <f>IF(RealTime,_xll.RtGet(RtChannel,$AW65,AY$12),"StaticData")</f>
        <v>#N/A No instrument defined.</v>
      </c>
      <c r="AZ65" s="385" t="str">
        <f>IF(RealTime,AX65,static_data())</f>
        <v>#N/A No instrument defined.</v>
      </c>
      <c r="BA65" s="385" t="str">
        <f>IF(RealTime,AY65,static_data())</f>
        <v>#N/A No instrument defined.</v>
      </c>
      <c r="BB65" s="43" t="str">
        <f t="shared" si="7"/>
        <v/>
      </c>
      <c r="BD65" s="158" t="str">
        <v/>
      </c>
      <c r="BE65" s="134" t="str">
        <f t="shared" si="35"/>
        <v/>
      </c>
      <c r="BF65" s="385" t="str">
        <f>IF(RealTime,_xll.RtGet(RtChannel,$BE65,BF$12),"StaticData")</f>
        <v>#N/A No instrument defined.</v>
      </c>
      <c r="BG65" s="386" t="str">
        <f>IF(RealTime,_xll.RtGet(RtChannel,$BE65,BG$12),"StaticData")</f>
        <v>#N/A No instrument defined.</v>
      </c>
      <c r="BH65" s="385" t="str">
        <f>IF(RealTime,BF65,static_data())</f>
        <v>#N/A No instrument defined.</v>
      </c>
      <c r="BI65" s="385" t="str">
        <f>IF(RealTime,BG65,static_data())</f>
        <v>#N/A No instrument defined.</v>
      </c>
      <c r="BJ65" s="43" t="str">
        <f t="shared" si="8"/>
        <v/>
      </c>
      <c r="BL65" s="382"/>
      <c r="BM65" s="158" t="str">
        <v/>
      </c>
      <c r="BN65" s="134" t="str">
        <f t="shared" si="36"/>
        <v/>
      </c>
      <c r="BO65" s="385" t="str">
        <f>IF(RealTime,_xll.RtGet(RtChannel,$BN65,BO$12),"StaticData")</f>
        <v>#N/A No instrument defined.</v>
      </c>
      <c r="BP65" s="386" t="str">
        <f>IF(RealTime,_xll.RtGet(RtChannel,$BN65,BP$12),"StaticData")</f>
        <v>#N/A No instrument defined.</v>
      </c>
      <c r="BQ65" s="385" t="str">
        <f>IF(RealTime,BO65,static_data())</f>
        <v>#N/A No instrument defined.</v>
      </c>
      <c r="BR65" s="385" t="str">
        <f>IF(RealTime,BP65,static_data())</f>
        <v>#N/A No instrument defined.</v>
      </c>
      <c r="BS65" s="43" t="str">
        <f t="shared" si="34"/>
        <v/>
      </c>
    </row>
    <row r="66" spans="17:71">
      <c r="Q66" s="155" t="s">
        <v>22</v>
      </c>
      <c r="R66" s="102" t="s">
        <v>508</v>
      </c>
      <c r="S66" s="164"/>
      <c r="T66" s="163">
        <f t="shared" si="28"/>
        <v>53653</v>
      </c>
      <c r="U66" s="288" t="b">
        <v>1</v>
      </c>
      <c r="V66" s="284" t="str">
        <v/>
      </c>
      <c r="W66" s="137" t="str">
        <v/>
      </c>
      <c r="X66" s="130" t="str">
        <f t="shared" si="1"/>
        <v/>
      </c>
      <c r="Y66" s="173">
        <f t="shared" si="2"/>
        <v>5</v>
      </c>
      <c r="Z66" s="175" t="str">
        <f t="shared" si="33"/>
        <v/>
      </c>
      <c r="AA66" s="163" t="str">
        <v/>
      </c>
      <c r="AB66" s="173" t="str">
        <f t="shared" si="4"/>
        <v/>
      </c>
      <c r="AC66" s="335"/>
      <c r="AD66" s="6"/>
      <c r="AE66" s="158" t="str">
        <v/>
      </c>
      <c r="AF66" s="134" t="str">
        <f t="shared" si="37"/>
        <v/>
      </c>
      <c r="AG66" s="385" t="str">
        <f>IF(RealTime,_xll.RtGet(IF(Y66=3,"IDN",RtChannel),$AF66,AG$12),"StaticData")</f>
        <v>#N/A No instrument defined.</v>
      </c>
      <c r="AH66" s="386" t="str">
        <f>IF(RealTime,_xll.RtGet(IF($Y66=3,"IDN",RtChannel),$AF66,AH$12),"StaticData")</f>
        <v>#N/A No instrument defined.</v>
      </c>
      <c r="AI66" s="385" t="str">
        <f>IF(RealTime,AG66,static_data())</f>
        <v>#N/A No instrument defined.</v>
      </c>
      <c r="AJ66" s="385" t="str">
        <f>IF(RealTime,AH66,static_data())</f>
        <v>#N/A No instrument defined.</v>
      </c>
      <c r="AK66" s="43" t="str">
        <f t="shared" si="5"/>
        <v/>
      </c>
      <c r="AN66" s="158" t="str">
        <v/>
      </c>
      <c r="AO66" s="134" t="str">
        <f t="shared" si="16"/>
        <v/>
      </c>
      <c r="AP66" s="385" t="str">
        <f>IF(RealTime,_xll.RtGet(RtChannel,$AO66,AP$12),"StaticData")</f>
        <v>#N/A No instrument defined.</v>
      </c>
      <c r="AQ66" s="386" t="str">
        <f>IF(RealTime,_xll.RtGet(RtChannel,$AO66,AQ$12),"StaticData")</f>
        <v>#N/A No instrument defined.</v>
      </c>
      <c r="AR66" s="385" t="str">
        <f>IF(RealTime,AP66,static_data())</f>
        <v>#N/A No instrument defined.</v>
      </c>
      <c r="AS66" s="385" t="str">
        <f>IF(RealTime,AQ66,static_data())</f>
        <v>#N/A No instrument defined.</v>
      </c>
      <c r="AT66" s="43" t="str">
        <f t="shared" si="6"/>
        <v/>
      </c>
      <c r="AV66" s="158" t="str">
        <v/>
      </c>
      <c r="AW66" s="134" t="str">
        <f t="shared" si="17"/>
        <v/>
      </c>
      <c r="AX66" s="385" t="str">
        <f>IF(RealTime,_xll.RtGet(RtChannel,$AW66,AX$12),"StaticData")</f>
        <v>#N/A No instrument defined.</v>
      </c>
      <c r="AY66" s="386" t="str">
        <f>IF(RealTime,_xll.RtGet(RtChannel,$AW66,AY$12),"StaticData")</f>
        <v>#N/A No instrument defined.</v>
      </c>
      <c r="AZ66" s="385" t="str">
        <f>IF(RealTime,AX66,static_data())</f>
        <v>#N/A No instrument defined.</v>
      </c>
      <c r="BA66" s="385" t="str">
        <f>IF(RealTime,AY66,static_data())</f>
        <v>#N/A No instrument defined.</v>
      </c>
      <c r="BB66" s="43" t="str">
        <f t="shared" si="7"/>
        <v/>
      </c>
      <c r="BD66" s="158" t="str">
        <v/>
      </c>
      <c r="BE66" s="134" t="str">
        <f t="shared" si="35"/>
        <v/>
      </c>
      <c r="BF66" s="385" t="str">
        <f>IF(RealTime,_xll.RtGet(RtChannel,$BE66,BF$12),"StaticData")</f>
        <v>#N/A No instrument defined.</v>
      </c>
      <c r="BG66" s="386" t="str">
        <f>IF(RealTime,_xll.RtGet(RtChannel,$BE66,BG$12),"StaticData")</f>
        <v>#N/A No instrument defined.</v>
      </c>
      <c r="BH66" s="385" t="str">
        <f>IF(RealTime,BF66,static_data())</f>
        <v>#N/A No instrument defined.</v>
      </c>
      <c r="BI66" s="385" t="str">
        <f>IF(RealTime,BG66,static_data())</f>
        <v>#N/A No instrument defined.</v>
      </c>
      <c r="BJ66" s="43" t="str">
        <f t="shared" si="8"/>
        <v/>
      </c>
      <c r="BL66" s="382"/>
      <c r="BM66" s="158" t="str">
        <v/>
      </c>
      <c r="BN66" s="134" t="str">
        <f t="shared" si="36"/>
        <v/>
      </c>
      <c r="BO66" s="385" t="str">
        <f>IF(RealTime,_xll.RtGet(RtChannel,$BN66,BO$12),"StaticData")</f>
        <v>#N/A No instrument defined.</v>
      </c>
      <c r="BP66" s="386" t="str">
        <f>IF(RealTime,_xll.RtGet(RtChannel,$BN66,BP$12),"StaticData")</f>
        <v>#N/A No instrument defined.</v>
      </c>
      <c r="BQ66" s="385" t="str">
        <f>IF(RealTime,BO66,static_data())</f>
        <v>#N/A No instrument defined.</v>
      </c>
      <c r="BR66" s="385" t="str">
        <f>IF(RealTime,BP66,static_data())</f>
        <v>#N/A No instrument defined.</v>
      </c>
      <c r="BS66" s="43" t="str">
        <f t="shared" si="34"/>
        <v/>
      </c>
    </row>
    <row r="67" spans="17:71">
      <c r="Q67" s="155" t="s">
        <v>46</v>
      </c>
      <c r="R67" s="102" t="s">
        <v>508</v>
      </c>
      <c r="S67" s="164"/>
      <c r="T67" s="163">
        <f t="shared" si="28"/>
        <v>57306</v>
      </c>
      <c r="U67" s="288" t="b">
        <v>1</v>
      </c>
      <c r="V67" s="284" t="str">
        <v/>
      </c>
      <c r="W67" s="137" t="str">
        <v/>
      </c>
      <c r="X67" s="130" t="str">
        <f t="shared" si="1"/>
        <v/>
      </c>
      <c r="Y67" s="173">
        <f t="shared" si="2"/>
        <v>5</v>
      </c>
      <c r="Z67" s="175" t="str">
        <f t="shared" si="33"/>
        <v/>
      </c>
      <c r="AA67" s="163" t="str">
        <v/>
      </c>
      <c r="AB67" s="173" t="str">
        <f t="shared" si="4"/>
        <v/>
      </c>
      <c r="AC67" s="335"/>
      <c r="AD67" s="6"/>
      <c r="AE67" s="159" t="str">
        <v/>
      </c>
      <c r="AF67" s="135" t="str">
        <f t="shared" si="37"/>
        <v/>
      </c>
      <c r="AG67" s="388" t="str">
        <f>IF(RealTime,_xll.RtGet(IF(Y67=3,"IDN",RtChannel),$AF67,AG$12),"StaticData")</f>
        <v>#N/A No instrument defined.</v>
      </c>
      <c r="AH67" s="389" t="str">
        <f>IF(RealTime,_xll.RtGet(IF($Y67=3,"IDN",RtChannel),$AF67,AH$12),"StaticData")</f>
        <v>#N/A No instrument defined.</v>
      </c>
      <c r="AI67" s="388" t="str">
        <f>IF(RealTime,AG67,static_data())</f>
        <v>#N/A No instrument defined.</v>
      </c>
      <c r="AJ67" s="388" t="str">
        <f>IF(RealTime,AH67,static_data())</f>
        <v>#N/A No instrument defined.</v>
      </c>
      <c r="AK67" s="44" t="str">
        <f t="shared" si="5"/>
        <v/>
      </c>
      <c r="AN67" s="159" t="str">
        <v/>
      </c>
      <c r="AO67" s="135" t="str">
        <f t="shared" si="16"/>
        <v/>
      </c>
      <c r="AP67" s="388" t="str">
        <f>IF(RealTime,_xll.RtGet(RtChannel,$AO67,AP$12),"StaticData")</f>
        <v>#N/A No instrument defined.</v>
      </c>
      <c r="AQ67" s="389" t="str">
        <f>IF(RealTime,_xll.RtGet(RtChannel,$AO67,AQ$12),"StaticData")</f>
        <v>#N/A No instrument defined.</v>
      </c>
      <c r="AR67" s="388" t="str">
        <f>IF(RealTime,AP67,static_data())</f>
        <v>#N/A No instrument defined.</v>
      </c>
      <c r="AS67" s="388" t="str">
        <f>IF(RealTime,AQ67,static_data())</f>
        <v>#N/A No instrument defined.</v>
      </c>
      <c r="AT67" s="44" t="str">
        <f t="shared" si="6"/>
        <v/>
      </c>
      <c r="AV67" s="159" t="str">
        <v/>
      </c>
      <c r="AW67" s="135" t="str">
        <f t="shared" si="17"/>
        <v/>
      </c>
      <c r="AX67" s="388" t="str">
        <f>IF(RealTime,_xll.RtGet(RtChannel,$AW67,AX$12),"StaticData")</f>
        <v>#N/A No instrument defined.</v>
      </c>
      <c r="AY67" s="389" t="str">
        <f>IF(RealTime,_xll.RtGet(RtChannel,$AW67,AY$12),"StaticData")</f>
        <v>#N/A No instrument defined.</v>
      </c>
      <c r="AZ67" s="388" t="str">
        <f>IF(RealTime,AX67,static_data())</f>
        <v>#N/A No instrument defined.</v>
      </c>
      <c r="BA67" s="388" t="str">
        <f>IF(RealTime,AY67,static_data())</f>
        <v>#N/A No instrument defined.</v>
      </c>
      <c r="BB67" s="44" t="str">
        <f t="shared" si="7"/>
        <v/>
      </c>
      <c r="BD67" s="159" t="str">
        <v/>
      </c>
      <c r="BE67" s="135" t="str">
        <f t="shared" si="35"/>
        <v/>
      </c>
      <c r="BF67" s="388" t="str">
        <f>IF(RealTime,_xll.RtGet(RtChannel,$BE67,BF$12),"StaticData")</f>
        <v>#N/A No instrument defined.</v>
      </c>
      <c r="BG67" s="389" t="str">
        <f>IF(RealTime,_xll.RtGet(RtChannel,$BE67,BG$12),"StaticData")</f>
        <v>#N/A No instrument defined.</v>
      </c>
      <c r="BH67" s="388" t="str">
        <f>IF(RealTime,BF67,static_data())</f>
        <v>#N/A No instrument defined.</v>
      </c>
      <c r="BI67" s="388" t="str">
        <f>IF(RealTime,BG67,static_data())</f>
        <v>#N/A No instrument defined.</v>
      </c>
      <c r="BJ67" s="44" t="str">
        <f t="shared" si="8"/>
        <v/>
      </c>
      <c r="BL67" s="382"/>
      <c r="BM67" s="159" t="str">
        <v/>
      </c>
      <c r="BN67" s="135" t="str">
        <f t="shared" si="36"/>
        <v/>
      </c>
      <c r="BO67" s="388" t="str">
        <f>IF(RealTime,_xll.RtGet(RtChannel,$BN67,BO$12),"StaticData")</f>
        <v>#N/A No instrument defined.</v>
      </c>
      <c r="BP67" s="389" t="str">
        <f>IF(RealTime,_xll.RtGet(RtChannel,$BN67,BP$12),"StaticData")</f>
        <v>#N/A No instrument defined.</v>
      </c>
      <c r="BQ67" s="388" t="str">
        <f>IF(RealTime,BO67,static_data())</f>
        <v>#N/A No instrument defined.</v>
      </c>
      <c r="BR67" s="388" t="str">
        <f>IF(RealTime,BP67,static_data())</f>
        <v>#N/A No instrument defined.</v>
      </c>
      <c r="BS67" s="44" t="str">
        <f t="shared" si="34"/>
        <v/>
      </c>
    </row>
    <row r="68" spans="17:71">
      <c r="Q68" s="155" t="s">
        <v>47</v>
      </c>
      <c r="R68" s="102" t="s">
        <v>508</v>
      </c>
      <c r="S68" s="164"/>
      <c r="T68" s="163">
        <f t="shared" si="28"/>
        <v>60958</v>
      </c>
      <c r="U68" s="288" t="b">
        <v>1</v>
      </c>
      <c r="V68" s="284" t="str">
        <v/>
      </c>
      <c r="W68" s="137" t="str">
        <v/>
      </c>
      <c r="X68" s="130" t="str">
        <f t="shared" si="1"/>
        <v/>
      </c>
      <c r="Y68" s="173">
        <f t="shared" si="2"/>
        <v>5</v>
      </c>
      <c r="Z68" s="175" t="str">
        <f t="shared" si="33"/>
        <v/>
      </c>
      <c r="AA68" s="163" t="str">
        <v/>
      </c>
      <c r="AB68" s="173" t="str">
        <f t="shared" si="4"/>
        <v/>
      </c>
      <c r="AC68" s="335"/>
      <c r="AD68" s="6"/>
      <c r="AE68" s="5"/>
    </row>
    <row r="69" spans="17:71">
      <c r="Q69" s="155" t="s">
        <v>48</v>
      </c>
      <c r="R69" s="102" t="s">
        <v>508</v>
      </c>
      <c r="S69" s="164"/>
      <c r="T69" s="163">
        <f t="shared" si="28"/>
        <v>64612</v>
      </c>
      <c r="U69" s="288" t="b">
        <v>1</v>
      </c>
      <c r="V69" s="284" t="str">
        <v/>
      </c>
      <c r="W69" s="137" t="str">
        <v/>
      </c>
      <c r="X69" s="130" t="str">
        <f t="shared" si="1"/>
        <v/>
      </c>
      <c r="Y69" s="173">
        <f t="shared" si="2"/>
        <v>5</v>
      </c>
      <c r="Z69" s="175" t="str">
        <f t="shared" si="33"/>
        <v/>
      </c>
      <c r="AA69" s="163" t="str">
        <v/>
      </c>
      <c r="AB69" s="173" t="str">
        <f t="shared" si="4"/>
        <v/>
      </c>
      <c r="AC69" s="335"/>
      <c r="AD69" s="6"/>
      <c r="AE69" s="5"/>
    </row>
    <row r="70" spans="17:71">
      <c r="Q70" s="155"/>
      <c r="R70" s="102" t="s">
        <v>508</v>
      </c>
      <c r="S70" s="164"/>
      <c r="T70" s="163" t="e">
        <f t="shared" si="28"/>
        <v>#VALUE!</v>
      </c>
      <c r="U70" s="288" t="b">
        <v>0</v>
      </c>
      <c r="V70" s="284" t="str">
        <v/>
      </c>
      <c r="W70" s="137" t="str">
        <v/>
      </c>
      <c r="X70" s="130" t="str">
        <f t="shared" si="1"/>
        <v/>
      </c>
      <c r="Y70" s="173">
        <f t="shared" si="2"/>
        <v>5</v>
      </c>
      <c r="Z70" s="175" t="str">
        <f t="shared" si="33"/>
        <v/>
      </c>
      <c r="AA70" s="163" t="str">
        <v/>
      </c>
      <c r="AB70" s="173" t="str">
        <f t="shared" si="4"/>
        <v/>
      </c>
      <c r="AC70" s="335"/>
      <c r="AD70" s="6"/>
      <c r="AE70" s="5"/>
    </row>
    <row r="71" spans="17:71">
      <c r="Q71" s="155"/>
      <c r="R71" s="102" t="s">
        <v>508</v>
      </c>
      <c r="S71" s="164"/>
      <c r="T71" s="163" t="e">
        <f t="shared" si="28"/>
        <v>#VALUE!</v>
      </c>
      <c r="U71" s="288" t="b">
        <v>0</v>
      </c>
      <c r="V71" s="284" t="str">
        <v/>
      </c>
      <c r="W71" s="137" t="str">
        <v/>
      </c>
      <c r="X71" s="130" t="str">
        <f t="shared" si="1"/>
        <v/>
      </c>
      <c r="Y71" s="173">
        <f t="shared" si="2"/>
        <v>5</v>
      </c>
      <c r="Z71" s="175" t="str">
        <f t="shared" si="33"/>
        <v/>
      </c>
      <c r="AA71" s="163" t="str">
        <v/>
      </c>
      <c r="AB71" s="173" t="str">
        <f t="shared" si="4"/>
        <v/>
      </c>
      <c r="AC71" s="335"/>
      <c r="AD71" s="6"/>
      <c r="AE71" s="5"/>
    </row>
    <row r="72" spans="17:71">
      <c r="Q72" s="155"/>
      <c r="R72" s="102" t="s">
        <v>508</v>
      </c>
      <c r="S72" s="164"/>
      <c r="T72" s="163" t="e">
        <f t="shared" si="28"/>
        <v>#VALUE!</v>
      </c>
      <c r="U72" s="288" t="b">
        <v>0</v>
      </c>
      <c r="V72" s="284" t="str">
        <v/>
      </c>
      <c r="W72" s="137" t="str">
        <v/>
      </c>
      <c r="X72" s="130" t="str">
        <f t="shared" si="1"/>
        <v/>
      </c>
      <c r="Y72" s="173">
        <f t="shared" si="2"/>
        <v>5</v>
      </c>
      <c r="Z72" s="175" t="str">
        <f t="shared" si="33"/>
        <v/>
      </c>
      <c r="AA72" s="163" t="str">
        <v/>
      </c>
      <c r="AB72" s="173" t="str">
        <f t="shared" si="4"/>
        <v/>
      </c>
      <c r="AC72" s="335"/>
      <c r="AD72" s="6"/>
      <c r="AE72" s="5"/>
    </row>
    <row r="73" spans="17:71">
      <c r="Q73" s="155"/>
      <c r="R73" s="102" t="s">
        <v>508</v>
      </c>
      <c r="S73" s="164"/>
      <c r="T73" s="163" t="e">
        <f t="shared" si="28"/>
        <v>#VALUE!</v>
      </c>
      <c r="U73" s="288" t="b">
        <v>0</v>
      </c>
      <c r="V73" s="284" t="str">
        <v/>
      </c>
      <c r="W73" s="137" t="str">
        <v/>
      </c>
      <c r="X73" s="130" t="str">
        <f t="shared" si="1"/>
        <v/>
      </c>
      <c r="Y73" s="173">
        <f t="shared" si="2"/>
        <v>5</v>
      </c>
      <c r="Z73" s="175" t="str">
        <f t="shared" si="33"/>
        <v/>
      </c>
      <c r="AA73" s="163" t="str">
        <v/>
      </c>
      <c r="AB73" s="173" t="str">
        <f t="shared" si="4"/>
        <v/>
      </c>
      <c r="AC73" s="335"/>
      <c r="AD73" s="6"/>
      <c r="AE73" s="5"/>
    </row>
    <row r="74" spans="17:71">
      <c r="Q74" s="155"/>
      <c r="R74" s="102" t="s">
        <v>508</v>
      </c>
      <c r="S74" s="164"/>
      <c r="T74" s="163" t="e">
        <f t="shared" si="28"/>
        <v>#VALUE!</v>
      </c>
      <c r="U74" s="288" t="b">
        <v>0</v>
      </c>
      <c r="V74" s="284" t="str">
        <v/>
      </c>
      <c r="W74" s="137" t="str">
        <v/>
      </c>
      <c r="X74" s="130" t="str">
        <f t="shared" si="1"/>
        <v/>
      </c>
      <c r="Y74" s="173">
        <f t="shared" si="2"/>
        <v>5</v>
      </c>
      <c r="Z74" s="175" t="str">
        <f t="shared" si="33"/>
        <v/>
      </c>
      <c r="AA74" s="163" t="str">
        <v/>
      </c>
      <c r="AB74" s="173" t="str">
        <f t="shared" si="4"/>
        <v/>
      </c>
      <c r="AC74" s="335"/>
      <c r="AD74" s="6"/>
      <c r="AE74" s="5"/>
    </row>
    <row r="75" spans="17:71">
      <c r="Q75" s="155"/>
      <c r="R75" s="102" t="s">
        <v>508</v>
      </c>
      <c r="S75" s="164"/>
      <c r="T75" s="163" t="e">
        <f t="shared" si="28"/>
        <v>#VALUE!</v>
      </c>
      <c r="U75" s="288" t="b">
        <v>0</v>
      </c>
      <c r="V75" s="284" t="str">
        <v/>
      </c>
      <c r="W75" s="137" t="str">
        <v/>
      </c>
      <c r="X75" s="130" t="str">
        <f t="shared" si="1"/>
        <v/>
      </c>
      <c r="Y75" s="173">
        <f t="shared" si="2"/>
        <v>5</v>
      </c>
      <c r="Z75" s="175" t="str">
        <f t="shared" si="33"/>
        <v/>
      </c>
      <c r="AA75" s="163" t="str">
        <v/>
      </c>
      <c r="AB75" s="173" t="str">
        <f t="shared" si="4"/>
        <v/>
      </c>
      <c r="AC75" s="335"/>
      <c r="AD75" s="6"/>
      <c r="AE75" s="5"/>
    </row>
    <row r="76" spans="17:71">
      <c r="Q76" s="155"/>
      <c r="R76" s="102" t="s">
        <v>508</v>
      </c>
      <c r="S76" s="164"/>
      <c r="T76" s="163" t="e">
        <f t="shared" si="28"/>
        <v>#VALUE!</v>
      </c>
      <c r="U76" s="288" t="b">
        <v>0</v>
      </c>
      <c r="V76" s="284" t="str">
        <v/>
      </c>
      <c r="W76" s="137" t="str">
        <v/>
      </c>
      <c r="X76" s="130" t="str">
        <f t="shared" si="1"/>
        <v/>
      </c>
      <c r="Y76" s="173">
        <f t="shared" si="2"/>
        <v>5</v>
      </c>
      <c r="Z76" s="175" t="str">
        <f t="shared" si="33"/>
        <v/>
      </c>
      <c r="AA76" s="163" t="str">
        <v/>
      </c>
      <c r="AB76" s="173" t="str">
        <f t="shared" si="4"/>
        <v/>
      </c>
      <c r="AC76" s="335"/>
      <c r="AD76" s="6"/>
      <c r="AE76" s="5"/>
    </row>
    <row r="77" spans="17:71">
      <c r="Q77" s="155"/>
      <c r="R77" s="102" t="s">
        <v>508</v>
      </c>
      <c r="S77" s="165"/>
      <c r="T77" s="163" t="e">
        <f t="shared" si="28"/>
        <v>#VALUE!</v>
      </c>
      <c r="U77" s="288" t="b">
        <v>0</v>
      </c>
      <c r="V77" s="284" t="str">
        <v/>
      </c>
      <c r="W77" s="137" t="str">
        <v/>
      </c>
      <c r="X77" s="130" t="str">
        <f t="shared" ref="X77:X78" si="38">IF(LEN(W77)&gt;0,IF(W77&lt;&gt;W76,W77&amp;"1",W77&amp;MID(X76,2,3)+1),"")</f>
        <v/>
      </c>
      <c r="Y77" s="173">
        <f t="shared" ref="Y77:Y78" si="39">IF(LEN(W77)&gt;0,FIND(W77,InstrCodes),LEN(InstrCodes)+1)</f>
        <v>5</v>
      </c>
      <c r="Z77" s="175" t="str">
        <f t="shared" ref="Z77:Z78" si="40">CHOOSE(Y77,V77,TEXT(DataSTUB,"dd/mm/yy"),UPPER(TEXT(V77,"MMM YY")),V77,"")</f>
        <v/>
      </c>
      <c r="AA77" s="163" t="str">
        <v/>
      </c>
      <c r="AB77" s="173" t="str">
        <f t="shared" ref="AB77:AB78" si="41">IF($W77="F",UPPER(TEXT(FutCode(V77),"MMM YY")),V77)</f>
        <v/>
      </c>
      <c r="AC77" s="335"/>
      <c r="AD77" s="6"/>
      <c r="AE77" s="5"/>
    </row>
    <row r="78" spans="17:71">
      <c r="Q78" s="156"/>
      <c r="R78" s="308" t="s">
        <v>508</v>
      </c>
      <c r="S78" s="166"/>
      <c r="T78" s="369" t="e">
        <f t="shared" si="28"/>
        <v>#VALUE!</v>
      </c>
      <c r="U78" s="292" t="b">
        <v>0</v>
      </c>
      <c r="V78" s="285" t="str">
        <v/>
      </c>
      <c r="W78" s="138" t="str">
        <v/>
      </c>
      <c r="X78" s="139" t="str">
        <f t="shared" si="38"/>
        <v/>
      </c>
      <c r="Y78" s="333">
        <f t="shared" si="39"/>
        <v>5</v>
      </c>
      <c r="Z78" s="176" t="str">
        <f t="shared" si="40"/>
        <v/>
      </c>
      <c r="AA78" s="369" t="str">
        <v/>
      </c>
      <c r="AB78" s="333" t="str">
        <f t="shared" si="41"/>
        <v/>
      </c>
      <c r="AC78" s="335"/>
      <c r="AD78" s="6"/>
      <c r="AE78" s="5"/>
    </row>
    <row r="79" spans="17:71">
      <c r="Q79" s="332"/>
      <c r="R79" s="332"/>
      <c r="T79" s="332"/>
      <c r="U79" s="332"/>
      <c r="V79" s="332"/>
      <c r="W79" s="332"/>
      <c r="X79" s="332"/>
      <c r="Y79" s="6"/>
      <c r="Z79" s="6"/>
      <c r="AA79" s="6"/>
      <c r="AB79" s="332"/>
      <c r="AD79" s="6"/>
      <c r="AE79" s="5"/>
    </row>
    <row r="80" spans="17:71">
      <c r="Q80" s="332"/>
      <c r="R80" s="332"/>
      <c r="T80" s="332"/>
      <c r="U80" s="332"/>
      <c r="V80" s="332"/>
      <c r="W80" s="332"/>
      <c r="X80" s="332"/>
      <c r="Y80" s="6"/>
      <c r="Z80" s="6"/>
      <c r="AA80" s="6"/>
      <c r="AB80" s="332"/>
      <c r="AD80" s="6"/>
      <c r="AE80" s="5"/>
    </row>
    <row r="81" spans="5:31">
      <c r="U81" s="332"/>
      <c r="AE81" s="5"/>
    </row>
    <row r="82" spans="5:31">
      <c r="E82" s="5"/>
      <c r="F82" s="5"/>
      <c r="AE82" s="5"/>
    </row>
    <row r="83" spans="5:31">
      <c r="E83" s="5"/>
      <c r="F83" s="5"/>
      <c r="AE83" s="5"/>
    </row>
    <row r="84" spans="5:31">
      <c r="E84" s="5"/>
      <c r="F84" s="5"/>
      <c r="AE84" s="5"/>
    </row>
    <row r="85" spans="5:31">
      <c r="E85" s="5"/>
      <c r="F85" s="5"/>
      <c r="AE85" s="5"/>
    </row>
    <row r="86" spans="5:31">
      <c r="E86" s="5"/>
      <c r="F86" s="5"/>
      <c r="AE86" s="5"/>
    </row>
    <row r="87" spans="5:31">
      <c r="E87" s="5"/>
      <c r="F87" s="5"/>
      <c r="AE87" s="5"/>
    </row>
    <row r="88" spans="5:31">
      <c r="E88" s="5"/>
      <c r="F88" s="5"/>
      <c r="AE88" s="5"/>
    </row>
    <row r="89" spans="5:31">
      <c r="E89" s="5"/>
      <c r="F89" s="5"/>
      <c r="AE89" s="5"/>
    </row>
    <row r="90" spans="5:31">
      <c r="E90" s="5"/>
      <c r="F90" s="5"/>
      <c r="AE90" s="5"/>
    </row>
    <row r="91" spans="5:31">
      <c r="E91" s="5"/>
      <c r="F91" s="5"/>
      <c r="AE91" s="5"/>
    </row>
    <row r="92" spans="5:31">
      <c r="E92" s="5"/>
      <c r="F92" s="5"/>
      <c r="AE92" s="5"/>
    </row>
    <row r="93" spans="5:31">
      <c r="E93" s="5"/>
      <c r="F93" s="5"/>
      <c r="AE93" s="5"/>
    </row>
    <row r="94" spans="5:31">
      <c r="E94" s="5"/>
      <c r="F94" s="5"/>
      <c r="AE94" s="5"/>
    </row>
    <row r="95" spans="5:31">
      <c r="E95" s="5"/>
      <c r="F95" s="5"/>
      <c r="AE95" s="5"/>
    </row>
    <row r="96" spans="5:31">
      <c r="E96" s="5"/>
      <c r="F96" s="5"/>
      <c r="AE96" s="5"/>
    </row>
    <row r="97" spans="5:31">
      <c r="E97" s="5"/>
      <c r="F97" s="5"/>
      <c r="AE97" s="5"/>
    </row>
    <row r="98" spans="5:31">
      <c r="E98" s="5"/>
      <c r="F98" s="5"/>
      <c r="AE98" s="5"/>
    </row>
    <row r="99" spans="5:31">
      <c r="E99" s="5"/>
      <c r="F99" s="5"/>
      <c r="AE99" s="5"/>
    </row>
    <row r="100" spans="5:31">
      <c r="E100" s="5"/>
      <c r="F100" s="5"/>
      <c r="AE100" s="5"/>
    </row>
    <row r="101" spans="5:31">
      <c r="E101" s="5"/>
      <c r="F101" s="5"/>
      <c r="AE101" s="5"/>
    </row>
    <row r="102" spans="5:31">
      <c r="E102" s="5"/>
      <c r="F102" s="5"/>
      <c r="AE102" s="5"/>
    </row>
    <row r="103" spans="5:31">
      <c r="E103" s="5"/>
      <c r="F103" s="5"/>
      <c r="AE103" s="5"/>
    </row>
    <row r="104" spans="5:31">
      <c r="E104" s="5"/>
      <c r="F104" s="5"/>
      <c r="AE104" s="5"/>
    </row>
    <row r="105" spans="5:31">
      <c r="E105" s="5"/>
      <c r="F105" s="5"/>
      <c r="AE105" s="5"/>
    </row>
    <row r="106" spans="5:31">
      <c r="E106" s="5"/>
      <c r="F106" s="5"/>
      <c r="AE106" s="5"/>
    </row>
    <row r="107" spans="5:31">
      <c r="E107" s="5"/>
      <c r="F107" s="5"/>
      <c r="AE107" s="5"/>
    </row>
    <row r="108" spans="5:31">
      <c r="E108" s="5"/>
      <c r="F108" s="5"/>
      <c r="AE108" s="5"/>
    </row>
    <row r="109" spans="5:31">
      <c r="E109" s="5"/>
      <c r="F109" s="5"/>
      <c r="AE109" s="5"/>
    </row>
    <row r="110" spans="5:31">
      <c r="E110" s="5"/>
      <c r="F110" s="5"/>
      <c r="AE110" s="5"/>
    </row>
    <row r="111" spans="5:31">
      <c r="E111" s="5"/>
      <c r="F111" s="5"/>
      <c r="AE111" s="5"/>
    </row>
    <row r="112" spans="5:31">
      <c r="E112" s="5"/>
      <c r="F112" s="5"/>
      <c r="AE112" s="5"/>
    </row>
    <row r="113" spans="5:31">
      <c r="E113" s="5"/>
      <c r="F113" s="5"/>
      <c r="AE113" s="5"/>
    </row>
    <row r="114" spans="5:31">
      <c r="E114" s="5"/>
      <c r="F114" s="5"/>
      <c r="AE114" s="5"/>
    </row>
    <row r="115" spans="5:31">
      <c r="E115" s="5"/>
      <c r="F115" s="5"/>
      <c r="AE115" s="5"/>
    </row>
    <row r="116" spans="5:31">
      <c r="E116" s="5"/>
      <c r="F116" s="5"/>
      <c r="AE116" s="5"/>
    </row>
    <row r="117" spans="5:31">
      <c r="E117" s="5"/>
      <c r="F117" s="5"/>
      <c r="AE117" s="5"/>
    </row>
    <row r="118" spans="5:31">
      <c r="E118" s="5"/>
      <c r="F118" s="5"/>
      <c r="AE118" s="5"/>
    </row>
    <row r="119" spans="5:31">
      <c r="E119" s="5"/>
      <c r="F119" s="5"/>
      <c r="AE119" s="5"/>
    </row>
    <row r="120" spans="5:31">
      <c r="E120" s="5"/>
      <c r="F120" s="5"/>
      <c r="AE120" s="5"/>
    </row>
    <row r="121" spans="5:31">
      <c r="E121" s="5"/>
      <c r="F121" s="5"/>
      <c r="AE121" s="5"/>
    </row>
    <row r="122" spans="5:31">
      <c r="E122" s="5"/>
      <c r="F122" s="5"/>
      <c r="AE122" s="5"/>
    </row>
    <row r="123" spans="5:31">
      <c r="E123" s="5"/>
      <c r="F123" s="5"/>
      <c r="AE123" s="5"/>
    </row>
    <row r="124" spans="5:31">
      <c r="E124" s="5"/>
      <c r="F124" s="5"/>
      <c r="AE124" s="5"/>
    </row>
    <row r="125" spans="5:31">
      <c r="E125" s="5"/>
      <c r="F125" s="5"/>
      <c r="AE125" s="5"/>
    </row>
    <row r="126" spans="5:31">
      <c r="E126" s="5"/>
      <c r="F126" s="5"/>
      <c r="AE126" s="5"/>
    </row>
    <row r="127" spans="5:31">
      <c r="E127" s="5"/>
      <c r="F127" s="5"/>
      <c r="AE127" s="5"/>
    </row>
    <row r="128" spans="5:31">
      <c r="E128" s="5"/>
      <c r="F128" s="5"/>
      <c r="AE128" s="5"/>
    </row>
    <row r="129" spans="5:31">
      <c r="E129" s="5"/>
      <c r="F129" s="5"/>
      <c r="AE129" s="5"/>
    </row>
    <row r="130" spans="5:31">
      <c r="E130" s="5"/>
      <c r="F130" s="5"/>
      <c r="AE130" s="5"/>
    </row>
    <row r="131" spans="5:31">
      <c r="E131" s="5"/>
      <c r="F131" s="5"/>
      <c r="AE131" s="5"/>
    </row>
    <row r="132" spans="5:31">
      <c r="E132" s="5"/>
      <c r="F132" s="5"/>
      <c r="AE132" s="5"/>
    </row>
    <row r="133" spans="5:31">
      <c r="E133" s="5"/>
      <c r="F133" s="5"/>
      <c r="AE133" s="5"/>
    </row>
    <row r="134" spans="5:31">
      <c r="E134" s="5"/>
      <c r="F134" s="5"/>
      <c r="AE134" s="5"/>
    </row>
    <row r="135" spans="5:31">
      <c r="E135" s="5"/>
      <c r="F135" s="5"/>
      <c r="AE135" s="5"/>
    </row>
    <row r="136" spans="5:31">
      <c r="E136" s="5"/>
      <c r="F136" s="5"/>
      <c r="AE136" s="5"/>
    </row>
    <row r="137" spans="5:31">
      <c r="E137" s="5"/>
      <c r="F137" s="5"/>
      <c r="AE137" s="5"/>
    </row>
    <row r="138" spans="5:31">
      <c r="E138" s="5"/>
      <c r="F138" s="5"/>
      <c r="AE138" s="5"/>
    </row>
    <row r="139" spans="5:31">
      <c r="E139" s="5"/>
      <c r="F139" s="5"/>
      <c r="AE139" s="5"/>
    </row>
    <row r="140" spans="5:31">
      <c r="E140" s="5"/>
      <c r="F140" s="5"/>
      <c r="AE140" s="5"/>
    </row>
    <row r="141" spans="5:31">
      <c r="E141" s="5"/>
      <c r="F141" s="5"/>
      <c r="AE141" s="5"/>
    </row>
    <row r="142" spans="5:31">
      <c r="E142" s="5"/>
      <c r="F142" s="5"/>
      <c r="AE142" s="5"/>
    </row>
    <row r="143" spans="5:31">
      <c r="E143" s="5"/>
      <c r="F143" s="5"/>
      <c r="AE143" s="5"/>
    </row>
    <row r="144" spans="5:31">
      <c r="E144" s="5"/>
      <c r="F144" s="5"/>
      <c r="AE144" s="5"/>
    </row>
    <row r="145" spans="5:31">
      <c r="E145" s="5"/>
      <c r="F145" s="5"/>
      <c r="AE145" s="5"/>
    </row>
    <row r="146" spans="5:31">
      <c r="E146" s="5"/>
      <c r="F146" s="5"/>
      <c r="AE146" s="5"/>
    </row>
    <row r="147" spans="5:31">
      <c r="E147" s="5"/>
      <c r="F147" s="5"/>
      <c r="AE147" s="5"/>
    </row>
    <row r="148" spans="5:31">
      <c r="E148" s="5"/>
      <c r="F148" s="5"/>
      <c r="AE148" s="5"/>
    </row>
    <row r="149" spans="5:31">
      <c r="E149" s="5"/>
      <c r="F149" s="5"/>
      <c r="AE149" s="5"/>
    </row>
    <row r="150" spans="5:31">
      <c r="E150" s="5"/>
      <c r="F150" s="5"/>
      <c r="AE150" s="5"/>
    </row>
    <row r="151" spans="5:31">
      <c r="E151" s="5"/>
      <c r="F151" s="5"/>
      <c r="AE151" s="5"/>
    </row>
    <row r="152" spans="5:31">
      <c r="E152" s="5"/>
      <c r="F152" s="5"/>
      <c r="AE152" s="5"/>
    </row>
    <row r="153" spans="5:31">
      <c r="E153" s="5"/>
      <c r="F153" s="5"/>
      <c r="AE153" s="5"/>
    </row>
    <row r="154" spans="5:31">
      <c r="E154" s="5"/>
      <c r="F154" s="5"/>
      <c r="AE154" s="5"/>
    </row>
    <row r="155" spans="5:31">
      <c r="E155" s="5"/>
      <c r="F155" s="5"/>
      <c r="AE155" s="5"/>
    </row>
    <row r="156" spans="5:31">
      <c r="E156" s="5"/>
      <c r="F156" s="5"/>
      <c r="AE156" s="5"/>
    </row>
    <row r="157" spans="5:31">
      <c r="E157" s="5"/>
      <c r="F157" s="5"/>
      <c r="AE157" s="5"/>
    </row>
    <row r="158" spans="5:31">
      <c r="E158" s="5"/>
      <c r="F158" s="5"/>
      <c r="AE158" s="5"/>
    </row>
    <row r="159" spans="5:31">
      <c r="E159" s="5"/>
      <c r="F159" s="5"/>
      <c r="AE159" s="5"/>
    </row>
    <row r="160" spans="5:31">
      <c r="E160" s="5"/>
      <c r="F160" s="5"/>
      <c r="AE160" s="5"/>
    </row>
    <row r="161" spans="5:31">
      <c r="E161" s="5"/>
      <c r="F161" s="5"/>
      <c r="AE161" s="5"/>
    </row>
    <row r="162" spans="5:31">
      <c r="E162" s="5"/>
      <c r="F162" s="5"/>
      <c r="AE162" s="5"/>
    </row>
    <row r="163" spans="5:31">
      <c r="E163" s="5"/>
      <c r="F163" s="5"/>
      <c r="AE163" s="5"/>
    </row>
    <row r="164" spans="5:31">
      <c r="E164" s="5"/>
      <c r="F164" s="5"/>
      <c r="AE164" s="5"/>
    </row>
    <row r="165" spans="5:31">
      <c r="E165" s="5"/>
      <c r="F165" s="5"/>
      <c r="AE165" s="5"/>
    </row>
    <row r="166" spans="5:31">
      <c r="E166" s="5"/>
      <c r="F166" s="5"/>
      <c r="AE166" s="5"/>
    </row>
    <row r="167" spans="5:31">
      <c r="E167" s="5"/>
      <c r="F167" s="5"/>
      <c r="AE167" s="5"/>
    </row>
    <row r="168" spans="5:31">
      <c r="E168" s="5"/>
      <c r="F168" s="5"/>
      <c r="AE168" s="5"/>
    </row>
    <row r="169" spans="5:31">
      <c r="E169" s="5"/>
      <c r="F169" s="5"/>
      <c r="AE169" s="5"/>
    </row>
    <row r="170" spans="5:31">
      <c r="E170" s="5"/>
      <c r="F170" s="5"/>
      <c r="AE170" s="5"/>
    </row>
    <row r="171" spans="5:31">
      <c r="E171" s="5"/>
      <c r="F171" s="5"/>
      <c r="AE171" s="5"/>
    </row>
    <row r="172" spans="5:31">
      <c r="F172" s="5"/>
      <c r="AE172" s="5"/>
    </row>
    <row r="173" spans="5:31">
      <c r="F173" s="5"/>
      <c r="AE173" s="142"/>
    </row>
    <row r="174" spans="5:31">
      <c r="F174" s="5"/>
      <c r="AE174" s="142"/>
    </row>
  </sheetData>
  <mergeCells count="15">
    <mergeCell ref="L14:O14"/>
    <mergeCell ref="O15:O16"/>
    <mergeCell ref="V11:AB11"/>
    <mergeCell ref="AF11:AK11"/>
    <mergeCell ref="AO11:AT11"/>
    <mergeCell ref="BW11:CC11"/>
    <mergeCell ref="AW11:BB11"/>
    <mergeCell ref="BE11:BJ11"/>
    <mergeCell ref="BM11:BS11"/>
    <mergeCell ref="B1:C1"/>
    <mergeCell ref="E1:G1"/>
    <mergeCell ref="L1:N1"/>
    <mergeCell ref="J4:J5"/>
    <mergeCell ref="L2:N2"/>
    <mergeCell ref="Q11:U11"/>
  </mergeCells>
  <conditionalFormatting sqref="V14:AB78 V13:Z13 AB13">
    <cfRule type="expression" dxfId="27" priority="9">
      <formula>NOT(LEN($V13)&gt;0)</formula>
    </cfRule>
  </conditionalFormatting>
  <conditionalFormatting sqref="AO13:AT67 AW13:BB67 BE13:BJ67 AF13:AK67">
    <cfRule type="expression" dxfId="26" priority="8">
      <formula>NOT(LEN(#REF!)&gt;0)</formula>
    </cfRule>
  </conditionalFormatting>
  <conditionalFormatting sqref="AC29:AC34">
    <cfRule type="expression" dxfId="25" priority="6">
      <formula>NOT(LEN($V29)&gt;0)</formula>
    </cfRule>
    <cfRule type="expression" dxfId="24" priority="7">
      <formula>LEN(AC29)=0</formula>
    </cfRule>
  </conditionalFormatting>
  <conditionalFormatting sqref="F15:F34">
    <cfRule type="cellIs" dxfId="23" priority="5" operator="notEqual">
      <formula>#REF!</formula>
    </cfRule>
  </conditionalFormatting>
  <conditionalFormatting sqref="AA13">
    <cfRule type="expression" dxfId="22" priority="4">
      <formula>NOT(LEN($V13)&gt;0)</formula>
    </cfRule>
  </conditionalFormatting>
  <conditionalFormatting sqref="BO13:BR63">
    <cfRule type="expression" dxfId="21" priority="3">
      <formula>NOT(LEN(#REF!)&gt;0)</formula>
    </cfRule>
  </conditionalFormatting>
  <conditionalFormatting sqref="BN64:BS67">
    <cfRule type="expression" dxfId="20" priority="1">
      <formula>NOT(LEN(#REF!)&gt;0)</formula>
    </cfRule>
  </conditionalFormatting>
  <pageMargins left="0.75" right="0.75" top="1" bottom="1" header="0.5" footer="0.5"/>
  <pageSetup paperSize="9" orientation="portrait" r:id="rId1"/>
  <headerFooter alignWithMargins="0"/>
  <ignoredErrors>
    <ignoredError sqref="G45:G48" evalError="1"/>
  </ignoredError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BT174"/>
  <sheetViews>
    <sheetView workbookViewId="0"/>
  </sheetViews>
  <sheetFormatPr defaultColWidth="10.7109375" defaultRowHeight="12.75" outlineLevelCol="1"/>
  <cols>
    <col min="1" max="1" width="1.7109375" style="316" customWidth="1"/>
    <col min="2" max="2" width="17.5703125" style="316" bestFit="1" customWidth="1"/>
    <col min="3" max="3" width="3" style="316" bestFit="1" customWidth="1"/>
    <col min="4" max="4" width="4.85546875" style="316" bestFit="1" customWidth="1"/>
    <col min="5" max="5" width="11.5703125" style="316" bestFit="1" customWidth="1"/>
    <col min="6" max="7" width="10.7109375" style="316"/>
    <col min="8" max="8" width="11.140625" style="316" bestFit="1" customWidth="1"/>
    <col min="9" max="15" width="10.7109375" style="316"/>
    <col min="16" max="16" width="1.7109375" style="316" customWidth="1" outlineLevel="1"/>
    <col min="17" max="17" width="11.5703125" style="316" customWidth="1"/>
    <col min="18" max="18" width="10" style="316" customWidth="1"/>
    <col min="19" max="19" width="11" style="316" customWidth="1"/>
    <col min="20" max="20" width="11.28515625" style="316" customWidth="1"/>
    <col min="21" max="21" width="10" style="316" customWidth="1"/>
    <col min="22" max="22" width="11" style="316" bestFit="1" customWidth="1"/>
    <col min="23" max="24" width="11" style="316" customWidth="1"/>
    <col min="25" max="27" width="10" style="316" customWidth="1"/>
    <col min="28" max="28" width="16.85546875" style="316" bestFit="1" customWidth="1"/>
    <col min="29" max="29" width="1.7109375" style="316" customWidth="1"/>
    <col min="30" max="30" width="11.140625" style="316" bestFit="1" customWidth="1"/>
    <col min="31" max="31" width="27.140625" style="316" customWidth="1"/>
    <col min="32" max="36" width="10.7109375" style="316" customWidth="1"/>
    <col min="37" max="37" width="0" style="316" hidden="1" customWidth="1"/>
    <col min="38" max="38" width="1.7109375" style="316" customWidth="1"/>
    <col min="39" max="39" width="11.140625" style="316" bestFit="1" customWidth="1"/>
    <col min="40" max="40" width="25.5703125" style="316" customWidth="1"/>
    <col min="41" max="45" width="10.7109375" style="316" customWidth="1"/>
    <col min="46" max="46" width="1.7109375" style="316" customWidth="1"/>
    <col min="47" max="47" width="11.140625" style="316" bestFit="1" customWidth="1"/>
    <col min="48" max="48" width="28.140625" style="316" customWidth="1"/>
    <col min="49" max="53" width="10.7109375" style="316" customWidth="1"/>
    <col min="54" max="54" width="1.7109375" style="316" customWidth="1"/>
    <col min="55" max="55" width="11.140625" style="316" bestFit="1" customWidth="1"/>
    <col min="56" max="56" width="20.42578125" style="316" customWidth="1"/>
    <col min="57" max="61" width="10.7109375" style="316" customWidth="1"/>
    <col min="62" max="62" width="1.7109375" style="316" customWidth="1"/>
    <col min="63" max="63" width="6.140625" style="316" bestFit="1" customWidth="1"/>
    <col min="64" max="64" width="10.7109375" style="316" customWidth="1"/>
    <col min="65" max="65" width="20.7109375" style="316" customWidth="1"/>
    <col min="66" max="70" width="10.7109375" style="316" customWidth="1"/>
    <col min="71" max="71" width="1.7109375" style="316" customWidth="1"/>
    <col min="72" max="72" width="6.140625" style="316" bestFit="1" customWidth="1"/>
    <col min="73" max="73" width="11.85546875" style="316" customWidth="1"/>
    <col min="74" max="74" width="20.28515625" style="316" customWidth="1"/>
    <col min="75" max="80" width="10.7109375" style="316" customWidth="1"/>
    <col min="81" max="16384" width="10.7109375" style="316"/>
  </cols>
  <sheetData>
    <row r="1" spans="1:72">
      <c r="B1" s="316" t="s">
        <v>737</v>
      </c>
      <c r="E1" s="316" t="s">
        <v>743</v>
      </c>
      <c r="I1" s="316" t="s">
        <v>700</v>
      </c>
      <c r="L1" s="316" t="s">
        <v>826</v>
      </c>
      <c r="X1" s="52"/>
      <c r="Y1" s="52"/>
    </row>
    <row r="2" spans="1:72">
      <c r="B2" s="316" t="s">
        <v>255</v>
      </c>
      <c r="C2" s="316" t="s">
        <v>249</v>
      </c>
      <c r="E2" s="316">
        <v>3</v>
      </c>
      <c r="F2" s="316" t="s">
        <v>702</v>
      </c>
      <c r="I2" s="273">
        <v>41626</v>
      </c>
      <c r="L2" s="316">
        <v>41639</v>
      </c>
      <c r="M2" s="316" t="s">
        <v>705</v>
      </c>
      <c r="X2" s="52"/>
      <c r="Y2" s="52"/>
      <c r="AF2" s="316" t="s">
        <v>512</v>
      </c>
      <c r="AG2" s="316" t="s">
        <v>513</v>
      </c>
      <c r="AO2" s="316" t="s">
        <v>512</v>
      </c>
      <c r="AP2" s="316" t="s">
        <v>513</v>
      </c>
      <c r="AW2" s="316" t="s">
        <v>512</v>
      </c>
      <c r="AX2" s="316" t="s">
        <v>513</v>
      </c>
      <c r="BE2" s="316" t="s">
        <v>512</v>
      </c>
      <c r="BF2" s="316" t="s">
        <v>513</v>
      </c>
      <c r="BN2" s="316" t="s">
        <v>512</v>
      </c>
      <c r="BO2" s="316" t="s">
        <v>513</v>
      </c>
    </row>
    <row r="3" spans="1:72">
      <c r="B3" s="316" t="s">
        <v>736</v>
      </c>
      <c r="C3" s="316" t="s">
        <v>794</v>
      </c>
      <c r="E3" s="273">
        <v>41518</v>
      </c>
      <c r="F3" s="316" t="s">
        <v>703</v>
      </c>
      <c r="I3" s="273">
        <v>41717</v>
      </c>
      <c r="L3" s="273">
        <v>41608</v>
      </c>
      <c r="M3" s="316" t="s">
        <v>706</v>
      </c>
      <c r="V3" s="316" t="s">
        <v>206</v>
      </c>
      <c r="X3" s="52"/>
      <c r="Y3" s="52"/>
      <c r="AF3" s="316" t="s">
        <v>1034</v>
      </c>
      <c r="AG3" s="316" t="s">
        <v>522</v>
      </c>
      <c r="AH3" s="316" t="s">
        <v>724</v>
      </c>
      <c r="AO3" s="316" t="s">
        <v>813</v>
      </c>
      <c r="AQ3" s="316" t="s">
        <v>724</v>
      </c>
      <c r="AW3" s="316" t="s">
        <v>816</v>
      </c>
      <c r="AY3" s="316" t="s">
        <v>724</v>
      </c>
      <c r="BE3" s="316" t="s">
        <v>817</v>
      </c>
      <c r="BG3" s="316" t="s">
        <v>724</v>
      </c>
      <c r="BN3" s="316" t="s">
        <v>818</v>
      </c>
      <c r="BP3" s="316" t="s">
        <v>724</v>
      </c>
      <c r="BR3" s="54"/>
      <c r="BS3" s="51"/>
      <c r="BT3" s="51"/>
    </row>
    <row r="4" spans="1:72">
      <c r="B4" s="316" t="s">
        <v>735</v>
      </c>
      <c r="C4" s="316">
        <v>20</v>
      </c>
      <c r="E4" s="273">
        <v>41535</v>
      </c>
      <c r="F4" s="316" t="s">
        <v>698</v>
      </c>
      <c r="I4" s="273">
        <v>41808</v>
      </c>
      <c r="J4" s="316" t="s">
        <v>701</v>
      </c>
      <c r="L4" s="273" t="s">
        <v>827</v>
      </c>
      <c r="V4" s="316" t="s">
        <v>479</v>
      </c>
      <c r="X4" s="52"/>
      <c r="Y4" s="52"/>
      <c r="AF4" s="316" t="s">
        <v>1036</v>
      </c>
      <c r="AG4" s="316" t="s">
        <v>522</v>
      </c>
      <c r="AH4" s="316" t="s">
        <v>725</v>
      </c>
      <c r="AO4" s="316" t="s">
        <v>813</v>
      </c>
      <c r="AQ4" s="316" t="s">
        <v>725</v>
      </c>
      <c r="AW4" s="316" t="s">
        <v>816</v>
      </c>
      <c r="AY4" s="316" t="s">
        <v>725</v>
      </c>
      <c r="BE4" s="316" t="s">
        <v>817</v>
      </c>
      <c r="BG4" s="316" t="s">
        <v>725</v>
      </c>
      <c r="BN4" s="316" t="s">
        <v>818</v>
      </c>
      <c r="BP4" s="316" t="s">
        <v>725</v>
      </c>
      <c r="BR4" s="54"/>
      <c r="BS4" s="51"/>
      <c r="BT4" s="51"/>
    </row>
    <row r="5" spans="1:72">
      <c r="B5" s="316" t="s">
        <v>734</v>
      </c>
      <c r="C5" s="316" t="e">
        <v>#NAME?</v>
      </c>
      <c r="E5" s="273">
        <v>41626</v>
      </c>
      <c r="F5" s="316" t="s">
        <v>704</v>
      </c>
      <c r="I5" s="273">
        <v>41899</v>
      </c>
      <c r="L5" s="273">
        <v>41639</v>
      </c>
      <c r="M5" s="316" t="s">
        <v>205</v>
      </c>
      <c r="N5" s="316" t="s">
        <v>192</v>
      </c>
      <c r="V5" s="316" t="s">
        <v>52</v>
      </c>
      <c r="X5" s="52"/>
      <c r="Y5" s="52"/>
      <c r="AF5" s="316" t="s">
        <v>811</v>
      </c>
      <c r="AH5" s="316" t="s">
        <v>697</v>
      </c>
      <c r="AO5" s="316" t="s">
        <v>814</v>
      </c>
      <c r="AQ5" s="316" t="s">
        <v>697</v>
      </c>
      <c r="AW5" s="316" t="s">
        <v>1037</v>
      </c>
      <c r="AY5" s="316" t="s">
        <v>697</v>
      </c>
      <c r="BE5" s="316" t="s">
        <v>1039</v>
      </c>
      <c r="BG5" s="316" t="s">
        <v>697</v>
      </c>
      <c r="BN5" s="316" t="s">
        <v>1040</v>
      </c>
      <c r="BP5" s="316" t="s">
        <v>697</v>
      </c>
      <c r="BR5" s="54"/>
      <c r="BS5" s="51"/>
      <c r="BT5" s="51"/>
    </row>
    <row r="6" spans="1:72">
      <c r="L6" s="316">
        <v>41729</v>
      </c>
      <c r="M6" s="316" t="s">
        <v>199</v>
      </c>
      <c r="N6" s="316" t="s">
        <v>213</v>
      </c>
      <c r="V6" s="316" t="s">
        <v>7</v>
      </c>
      <c r="X6" s="52"/>
      <c r="Y6" s="52"/>
      <c r="AF6" s="316" t="s">
        <v>812</v>
      </c>
      <c r="AH6" s="316" t="s">
        <v>726</v>
      </c>
      <c r="AO6" s="316" t="s">
        <v>815</v>
      </c>
      <c r="AQ6" s="316" t="s">
        <v>726</v>
      </c>
      <c r="AW6" s="316" t="s">
        <v>1038</v>
      </c>
      <c r="AY6" s="316" t="s">
        <v>726</v>
      </c>
      <c r="BE6" s="316" t="s">
        <v>812</v>
      </c>
      <c r="BG6" s="316" t="s">
        <v>726</v>
      </c>
      <c r="BN6" s="316" t="s">
        <v>819</v>
      </c>
      <c r="BP6" s="316" t="s">
        <v>726</v>
      </c>
      <c r="BR6" s="54"/>
      <c r="BS6" s="51"/>
      <c r="BT6" s="51"/>
    </row>
    <row r="7" spans="1:72">
      <c r="V7" s="316" t="s">
        <v>25</v>
      </c>
      <c r="X7" s="52"/>
      <c r="Y7" s="52"/>
    </row>
    <row r="8" spans="1:72">
      <c r="I8" s="316" t="s">
        <v>228</v>
      </c>
      <c r="V8" s="316" t="s">
        <v>28</v>
      </c>
      <c r="X8" s="52"/>
      <c r="Y8" s="52"/>
      <c r="BR8" s="54"/>
      <c r="BS8" s="51"/>
      <c r="BT8" s="51"/>
    </row>
    <row r="9" spans="1:72">
      <c r="I9" s="316" t="s">
        <v>850</v>
      </c>
      <c r="X9" s="52"/>
      <c r="Y9" s="52"/>
    </row>
    <row r="10" spans="1:72">
      <c r="X10" s="52"/>
      <c r="Y10" s="52"/>
    </row>
    <row r="11" spans="1:72">
      <c r="B11" s="316" t="s">
        <v>156</v>
      </c>
      <c r="C11" s="316">
        <v>41591.750555555554</v>
      </c>
      <c r="Q11" s="316" t="s">
        <v>523</v>
      </c>
      <c r="V11" s="316" t="s">
        <v>242</v>
      </c>
      <c r="AF11" s="316" t="s">
        <v>479</v>
      </c>
      <c r="AO11" s="316" t="s">
        <v>52</v>
      </c>
      <c r="AW11" s="316" t="s">
        <v>7</v>
      </c>
      <c r="BE11" s="316" t="s">
        <v>25</v>
      </c>
      <c r="BM11" s="316" t="s">
        <v>28</v>
      </c>
    </row>
    <row r="12" spans="1:72">
      <c r="B12" s="316" t="s">
        <v>92</v>
      </c>
      <c r="C12" s="316">
        <v>41808</v>
      </c>
      <c r="E12" s="273"/>
      <c r="Q12" s="316" t="s">
        <v>506</v>
      </c>
      <c r="R12" s="316" t="s">
        <v>229</v>
      </c>
      <c r="T12" s="316" t="s">
        <v>158</v>
      </c>
      <c r="U12" s="316" t="s">
        <v>524</v>
      </c>
      <c r="V12" s="316" t="s">
        <v>206</v>
      </c>
      <c r="W12" s="316" t="s">
        <v>229</v>
      </c>
      <c r="X12" s="52" t="s">
        <v>556</v>
      </c>
      <c r="Y12" s="52" t="s">
        <v>559</v>
      </c>
      <c r="Z12" s="316" t="s">
        <v>545</v>
      </c>
      <c r="AA12" s="316" t="s">
        <v>158</v>
      </c>
      <c r="AB12" s="316" t="s">
        <v>557</v>
      </c>
      <c r="AC12" s="316" t="s">
        <v>807</v>
      </c>
      <c r="AF12" s="316" t="s">
        <v>248</v>
      </c>
      <c r="AG12" s="316" t="s">
        <v>70</v>
      </c>
      <c r="AH12" s="316" t="s">
        <v>71</v>
      </c>
      <c r="AI12" s="316" t="s">
        <v>70</v>
      </c>
      <c r="AJ12" s="52" t="s">
        <v>71</v>
      </c>
      <c r="AK12" s="316" t="s">
        <v>72</v>
      </c>
      <c r="AO12" s="316" t="s">
        <v>248</v>
      </c>
      <c r="AP12" s="316" t="s">
        <v>70</v>
      </c>
      <c r="AQ12" s="316" t="s">
        <v>71</v>
      </c>
      <c r="AR12" s="316" t="s">
        <v>70</v>
      </c>
      <c r="AS12" s="52" t="s">
        <v>71</v>
      </c>
      <c r="AT12" s="316" t="s">
        <v>72</v>
      </c>
      <c r="AW12" s="316" t="s">
        <v>248</v>
      </c>
      <c r="AX12" s="316" t="s">
        <v>70</v>
      </c>
      <c r="AY12" s="316" t="s">
        <v>71</v>
      </c>
      <c r="AZ12" s="316" t="s">
        <v>70</v>
      </c>
      <c r="BA12" s="316" t="s">
        <v>71</v>
      </c>
      <c r="BB12" s="52" t="s">
        <v>72</v>
      </c>
      <c r="BE12" s="316" t="s">
        <v>248</v>
      </c>
      <c r="BF12" s="316" t="s">
        <v>70</v>
      </c>
      <c r="BG12" s="316" t="s">
        <v>71</v>
      </c>
      <c r="BH12" s="316" t="s">
        <v>70</v>
      </c>
      <c r="BI12" s="316" t="s">
        <v>71</v>
      </c>
      <c r="BJ12" s="316" t="s">
        <v>72</v>
      </c>
      <c r="BM12" s="316" t="s">
        <v>228</v>
      </c>
      <c r="BN12" s="316" t="s">
        <v>248</v>
      </c>
      <c r="BO12" s="316" t="s">
        <v>70</v>
      </c>
      <c r="BP12" s="316" t="s">
        <v>71</v>
      </c>
      <c r="BQ12" s="316" t="s">
        <v>70</v>
      </c>
      <c r="BR12" s="316" t="s">
        <v>71</v>
      </c>
      <c r="BS12" s="52" t="s">
        <v>72</v>
      </c>
      <c r="BT12" s="52"/>
    </row>
    <row r="13" spans="1:72">
      <c r="F13" s="316" t="s">
        <v>558</v>
      </c>
      <c r="Q13" s="316" t="s">
        <v>3</v>
      </c>
      <c r="R13" s="316" t="s">
        <v>504</v>
      </c>
      <c r="S13" s="316" t="s">
        <v>484</v>
      </c>
      <c r="T13" s="273">
        <v>41592.750555555554</v>
      </c>
      <c r="U13" s="316" t="b">
        <v>1</v>
      </c>
      <c r="V13" s="316" t="s">
        <v>3</v>
      </c>
      <c r="W13" s="316" t="s">
        <v>504</v>
      </c>
      <c r="X13" s="52" t="s">
        <v>560</v>
      </c>
      <c r="Y13" s="52">
        <v>1</v>
      </c>
      <c r="Z13" s="316" t="s">
        <v>3</v>
      </c>
      <c r="AA13" s="316">
        <v>41592.750555555554</v>
      </c>
      <c r="AB13" s="316" t="s">
        <v>3</v>
      </c>
      <c r="AE13" s="316" t="s">
        <v>3</v>
      </c>
      <c r="AF13" s="316" t="s">
        <v>808</v>
      </c>
      <c r="AG13" s="316">
        <v>0.21</v>
      </c>
      <c r="AH13" s="316">
        <v>0.21</v>
      </c>
      <c r="AI13" s="316">
        <v>0.21</v>
      </c>
      <c r="AJ13" s="52">
        <v>0.21</v>
      </c>
      <c r="AK13" s="316">
        <v>0.21</v>
      </c>
      <c r="AN13" s="316" t="s">
        <v>3</v>
      </c>
      <c r="AO13" s="316" t="s">
        <v>808</v>
      </c>
      <c r="AP13" s="316">
        <v>0.21</v>
      </c>
      <c r="AQ13" s="316">
        <v>0.21</v>
      </c>
      <c r="AR13" s="316">
        <v>0.21</v>
      </c>
      <c r="AS13" s="52">
        <v>0.21</v>
      </c>
      <c r="AT13" s="316">
        <v>0.21</v>
      </c>
      <c r="AV13" s="316" t="s">
        <v>3</v>
      </c>
      <c r="AW13" s="316" t="s">
        <v>808</v>
      </c>
      <c r="AX13" s="316">
        <v>0.21</v>
      </c>
      <c r="AY13" s="316">
        <v>0.21</v>
      </c>
      <c r="AZ13" s="316">
        <v>0.21</v>
      </c>
      <c r="BA13" s="316">
        <v>0.21</v>
      </c>
      <c r="BB13" s="52">
        <v>0.21</v>
      </c>
      <c r="BD13" s="316" t="s">
        <v>3</v>
      </c>
      <c r="BE13" s="316" t="s">
        <v>808</v>
      </c>
      <c r="BF13" s="316">
        <v>0.21</v>
      </c>
      <c r="BG13" s="316">
        <v>0.21</v>
      </c>
      <c r="BH13" s="316">
        <v>0.21</v>
      </c>
      <c r="BI13" s="316">
        <v>0.21</v>
      </c>
      <c r="BJ13" s="316">
        <v>0.21</v>
      </c>
      <c r="BM13" s="316" t="s">
        <v>3</v>
      </c>
      <c r="BN13" s="316" t="s">
        <v>808</v>
      </c>
      <c r="BO13" s="316">
        <v>0.21</v>
      </c>
      <c r="BP13" s="316">
        <v>0.21</v>
      </c>
      <c r="BQ13" s="316">
        <v>0.21</v>
      </c>
      <c r="BR13" s="316">
        <v>0.21</v>
      </c>
      <c r="BS13" s="52">
        <v>0.21</v>
      </c>
      <c r="BT13" s="54"/>
    </row>
    <row r="14" spans="1:72">
      <c r="B14" s="316" t="s">
        <v>191</v>
      </c>
      <c r="C14" s="316" t="s">
        <v>70</v>
      </c>
      <c r="D14" s="316" t="s">
        <v>71</v>
      </c>
      <c r="E14" s="153" t="s">
        <v>72</v>
      </c>
      <c r="F14" s="316" t="s">
        <v>481</v>
      </c>
      <c r="G14" s="316" t="s">
        <v>722</v>
      </c>
      <c r="H14" s="316" t="s">
        <v>723</v>
      </c>
      <c r="I14" s="316" t="s">
        <v>228</v>
      </c>
      <c r="J14" s="55" t="s">
        <v>194</v>
      </c>
      <c r="K14" s="274"/>
      <c r="L14" s="274" t="s">
        <v>738</v>
      </c>
      <c r="N14" s="80"/>
      <c r="Q14" s="316" t="s">
        <v>4</v>
      </c>
      <c r="R14" s="316" t="s">
        <v>504</v>
      </c>
      <c r="S14" s="316" t="s">
        <v>485</v>
      </c>
      <c r="T14" s="273">
        <v>41593.750555555554</v>
      </c>
      <c r="U14" s="316" t="b">
        <v>1</v>
      </c>
      <c r="V14" s="316" t="s">
        <v>4</v>
      </c>
      <c r="W14" s="316" t="s">
        <v>504</v>
      </c>
      <c r="X14" s="52" t="s">
        <v>561</v>
      </c>
      <c r="Y14" s="52">
        <v>1</v>
      </c>
      <c r="Z14" s="316" t="s">
        <v>4</v>
      </c>
      <c r="AA14" s="316">
        <v>41593.750555555554</v>
      </c>
      <c r="AB14" s="316" t="s">
        <v>4</v>
      </c>
      <c r="AE14" s="316" t="s">
        <v>4</v>
      </c>
      <c r="AF14" s="316" t="s">
        <v>809</v>
      </c>
      <c r="AG14" s="316">
        <v>0.21</v>
      </c>
      <c r="AH14" s="316">
        <v>0.21</v>
      </c>
      <c r="AI14" s="316">
        <v>0.21</v>
      </c>
      <c r="AJ14" s="52">
        <v>0.21</v>
      </c>
      <c r="AK14" s="316">
        <v>0.21</v>
      </c>
      <c r="AN14" s="316" t="s">
        <v>4</v>
      </c>
      <c r="AO14" s="316" t="s">
        <v>809</v>
      </c>
      <c r="AP14" s="316">
        <v>0.21</v>
      </c>
      <c r="AQ14" s="316">
        <v>0.21</v>
      </c>
      <c r="AR14" s="316">
        <v>0.21</v>
      </c>
      <c r="AS14" s="52">
        <v>0.21</v>
      </c>
      <c r="AT14" s="316">
        <v>0.21</v>
      </c>
      <c r="AV14" s="316" t="s">
        <v>4</v>
      </c>
      <c r="AW14" s="316" t="s">
        <v>809</v>
      </c>
      <c r="AX14" s="316">
        <v>0.21</v>
      </c>
      <c r="AY14" s="316">
        <v>0.21</v>
      </c>
      <c r="AZ14" s="316">
        <v>0.21</v>
      </c>
      <c r="BA14" s="316">
        <v>0.21</v>
      </c>
      <c r="BB14" s="52">
        <v>0.21</v>
      </c>
      <c r="BD14" s="316" t="s">
        <v>4</v>
      </c>
      <c r="BE14" s="316" t="s">
        <v>809</v>
      </c>
      <c r="BF14" s="316">
        <v>0.21</v>
      </c>
      <c r="BG14" s="316">
        <v>0.21</v>
      </c>
      <c r="BH14" s="316">
        <v>0.21</v>
      </c>
      <c r="BI14" s="316">
        <v>0.21</v>
      </c>
      <c r="BJ14" s="316">
        <v>0.21</v>
      </c>
      <c r="BM14" s="316" t="s">
        <v>4</v>
      </c>
      <c r="BN14" s="316" t="s">
        <v>809</v>
      </c>
      <c r="BO14" s="316">
        <v>0.21</v>
      </c>
      <c r="BP14" s="316">
        <v>0.21</v>
      </c>
      <c r="BQ14" s="316">
        <v>0.21</v>
      </c>
      <c r="BR14" s="316">
        <v>0.21</v>
      </c>
      <c r="BS14" s="52">
        <v>0.21</v>
      </c>
      <c r="BT14" s="54"/>
    </row>
    <row r="15" spans="1:72">
      <c r="A15" s="316">
        <v>1</v>
      </c>
      <c r="B15" s="316" t="s">
        <v>795</v>
      </c>
      <c r="C15" s="316">
        <v>99.745000000000005</v>
      </c>
      <c r="D15" s="316">
        <v>99.747500000000002</v>
      </c>
      <c r="E15" s="153">
        <v>99.746250000000003</v>
      </c>
      <c r="F15" s="316" t="e">
        <v>#VALUE!</v>
      </c>
      <c r="G15" s="316" t="s">
        <v>851</v>
      </c>
      <c r="H15" s="316" t="e">
        <v>#VALUE!</v>
      </c>
      <c r="I15" s="316" t="e">
        <v>#VALUE!</v>
      </c>
      <c r="J15" s="55" t="e">
        <v>#N/A</v>
      </c>
      <c r="K15" s="274"/>
      <c r="L15" s="274" t="s">
        <v>206</v>
      </c>
      <c r="M15" s="316">
        <v>4</v>
      </c>
      <c r="N15" s="80"/>
      <c r="O15" s="316" t="s">
        <v>807</v>
      </c>
      <c r="Q15" s="316" t="s">
        <v>23</v>
      </c>
      <c r="R15" s="316" t="s">
        <v>504</v>
      </c>
      <c r="S15" s="316" t="s">
        <v>486</v>
      </c>
      <c r="T15" s="273">
        <v>41596.750555555554</v>
      </c>
      <c r="U15" s="316" t="b">
        <v>1</v>
      </c>
      <c r="V15" s="316" t="s">
        <v>23</v>
      </c>
      <c r="W15" s="316" t="s">
        <v>504</v>
      </c>
      <c r="X15" s="52" t="s">
        <v>562</v>
      </c>
      <c r="Y15" s="52">
        <v>1</v>
      </c>
      <c r="Z15" s="316" t="s">
        <v>23</v>
      </c>
      <c r="AA15" s="316">
        <v>41596.750555555554</v>
      </c>
      <c r="AB15" s="316" t="s">
        <v>23</v>
      </c>
      <c r="AE15" s="316" t="s">
        <v>23</v>
      </c>
      <c r="AF15" s="316" t="s">
        <v>810</v>
      </c>
      <c r="AG15" s="316">
        <v>0.21</v>
      </c>
      <c r="AH15" s="316">
        <v>0.21</v>
      </c>
      <c r="AI15" s="316">
        <v>0.21</v>
      </c>
      <c r="AJ15" s="52">
        <v>0.21</v>
      </c>
      <c r="AK15" s="316">
        <v>0.21</v>
      </c>
      <c r="AN15" s="316" t="s">
        <v>23</v>
      </c>
      <c r="AO15" s="316" t="s">
        <v>810</v>
      </c>
      <c r="AP15" s="316">
        <v>0.21</v>
      </c>
      <c r="AQ15" s="316">
        <v>0.21</v>
      </c>
      <c r="AR15" s="316">
        <v>0.21</v>
      </c>
      <c r="AS15" s="52">
        <v>0.21</v>
      </c>
      <c r="AT15" s="316">
        <v>0.21</v>
      </c>
      <c r="AV15" s="316" t="s">
        <v>23</v>
      </c>
      <c r="AW15" s="316" t="s">
        <v>810</v>
      </c>
      <c r="AX15" s="316">
        <v>0.21</v>
      </c>
      <c r="AY15" s="316">
        <v>0.21</v>
      </c>
      <c r="AZ15" s="316">
        <v>0.21</v>
      </c>
      <c r="BA15" s="316">
        <v>0.21</v>
      </c>
      <c r="BB15" s="52">
        <v>0.21</v>
      </c>
      <c r="BD15" s="316" t="s">
        <v>23</v>
      </c>
      <c r="BE15" s="316" t="s">
        <v>810</v>
      </c>
      <c r="BF15" s="316">
        <v>0.21</v>
      </c>
      <c r="BG15" s="316">
        <v>0.21</v>
      </c>
      <c r="BH15" s="316">
        <v>0.21</v>
      </c>
      <c r="BI15" s="316">
        <v>0.21</v>
      </c>
      <c r="BJ15" s="316">
        <v>0.21</v>
      </c>
      <c r="BM15" s="316" t="s">
        <v>23</v>
      </c>
      <c r="BN15" s="316" t="s">
        <v>810</v>
      </c>
      <c r="BO15" s="316">
        <v>0.21</v>
      </c>
      <c r="BP15" s="316">
        <v>0.21</v>
      </c>
      <c r="BQ15" s="316">
        <v>0.21</v>
      </c>
      <c r="BR15" s="316">
        <v>0.21</v>
      </c>
      <c r="BS15" s="52">
        <v>0.21</v>
      </c>
      <c r="BT15" s="54"/>
    </row>
    <row r="16" spans="1:72">
      <c r="A16" s="316">
        <v>2</v>
      </c>
      <c r="B16" s="316" t="s">
        <v>796</v>
      </c>
      <c r="C16" s="316">
        <v>99.734999999999999</v>
      </c>
      <c r="D16" s="316">
        <v>99.74</v>
      </c>
      <c r="E16" s="153">
        <v>99.737499999999997</v>
      </c>
      <c r="F16" s="316">
        <v>41598</v>
      </c>
      <c r="G16" s="316" t="s">
        <v>852</v>
      </c>
      <c r="H16" s="316" t="s">
        <v>853</v>
      </c>
      <c r="I16" s="316" t="s">
        <v>854</v>
      </c>
      <c r="J16" s="55" t="e">
        <v>#N/A</v>
      </c>
      <c r="K16" s="274"/>
      <c r="L16" s="274" t="s">
        <v>699</v>
      </c>
      <c r="M16" s="316" t="s">
        <v>158</v>
      </c>
      <c r="N16" s="80" t="s">
        <v>228</v>
      </c>
      <c r="Q16" s="316" t="s">
        <v>5</v>
      </c>
      <c r="R16" s="316" t="s">
        <v>504</v>
      </c>
      <c r="S16" s="316" t="s">
        <v>5</v>
      </c>
      <c r="T16" s="273">
        <v>41600.750555555554</v>
      </c>
      <c r="U16" s="316" t="b">
        <v>1</v>
      </c>
      <c r="V16" s="316" t="s">
        <v>5</v>
      </c>
      <c r="W16" s="316" t="s">
        <v>504</v>
      </c>
      <c r="X16" s="52" t="s">
        <v>563</v>
      </c>
      <c r="Y16" s="52">
        <v>1</v>
      </c>
      <c r="Z16" s="316" t="s">
        <v>5</v>
      </c>
      <c r="AA16" s="316">
        <v>41600.750555555554</v>
      </c>
      <c r="AB16" s="316" t="s">
        <v>5</v>
      </c>
      <c r="AE16" s="316" t="s">
        <v>5</v>
      </c>
      <c r="AF16" s="316" t="s">
        <v>1035</v>
      </c>
      <c r="AG16" s="316">
        <v>0.1225</v>
      </c>
      <c r="AH16" s="316">
        <v>0.13250000000000001</v>
      </c>
      <c r="AI16" s="316">
        <v>0.1225</v>
      </c>
      <c r="AJ16" s="52">
        <v>0.13250000000000001</v>
      </c>
      <c r="AK16" s="316">
        <v>0.1275</v>
      </c>
      <c r="AN16" s="316" t="s">
        <v>5</v>
      </c>
      <c r="AO16" s="316" t="s">
        <v>855</v>
      </c>
      <c r="AP16" s="316">
        <v>0.97129999999999994</v>
      </c>
      <c r="AQ16" s="316">
        <v>1.0012999999999999</v>
      </c>
      <c r="AR16" s="316">
        <v>0.97129999999999994</v>
      </c>
      <c r="AS16" s="52">
        <v>1.0012999999999999</v>
      </c>
      <c r="AT16" s="316">
        <v>0.98629999999999995</v>
      </c>
      <c r="AV16" s="316" t="s">
        <v>5</v>
      </c>
      <c r="AW16" s="316" t="s">
        <v>856</v>
      </c>
      <c r="AX16" s="316">
        <v>0.22234241600000001</v>
      </c>
      <c r="AY16" s="316">
        <v>0.22234241600000001</v>
      </c>
      <c r="AZ16" s="316">
        <v>0.22234241600000001</v>
      </c>
      <c r="BA16" s="316">
        <v>0.22234241600000001</v>
      </c>
      <c r="BB16" s="52">
        <v>0.22234241600000001</v>
      </c>
      <c r="BD16" s="316" t="s">
        <v>5</v>
      </c>
      <c r="BE16" s="316" t="s">
        <v>857</v>
      </c>
      <c r="BF16" s="316">
        <v>0.19020000000000001</v>
      </c>
      <c r="BG16" s="316">
        <v>0.19020000000000001</v>
      </c>
      <c r="BH16" s="316">
        <v>0.19020000000000001</v>
      </c>
      <c r="BI16" s="316">
        <v>0.19020000000000001</v>
      </c>
      <c r="BJ16" s="316">
        <v>0.19020000000000001</v>
      </c>
      <c r="BM16" s="316" t="s">
        <v>5</v>
      </c>
      <c r="BN16" s="316" t="s">
        <v>858</v>
      </c>
      <c r="BO16" s="316">
        <v>0.34279999999999999</v>
      </c>
      <c r="BP16" s="316">
        <v>0.34279999999999999</v>
      </c>
      <c r="BQ16" s="316">
        <v>0.34279999999999999</v>
      </c>
      <c r="BR16" s="316">
        <v>0.34279999999999999</v>
      </c>
      <c r="BS16" s="52">
        <v>0.34279999999999999</v>
      </c>
      <c r="BT16" s="54"/>
    </row>
    <row r="17" spans="1:72">
      <c r="A17" s="316">
        <v>3</v>
      </c>
      <c r="B17" s="316" t="s">
        <v>797</v>
      </c>
      <c r="C17" s="316">
        <v>99.724999999999994</v>
      </c>
      <c r="D17" s="316">
        <v>99.73</v>
      </c>
      <c r="E17" s="153">
        <v>99.727500000000006</v>
      </c>
      <c r="F17" s="316">
        <v>41626</v>
      </c>
      <c r="G17" s="316" t="s">
        <v>192</v>
      </c>
      <c r="H17" s="316" t="s">
        <v>205</v>
      </c>
      <c r="I17" s="316" t="s">
        <v>859</v>
      </c>
      <c r="J17" s="55">
        <v>99.724999999999994</v>
      </c>
      <c r="K17" s="274"/>
      <c r="L17" s="274" t="s">
        <v>200</v>
      </c>
      <c r="M17" s="316">
        <v>41808</v>
      </c>
      <c r="N17" s="80" t="s">
        <v>214</v>
      </c>
      <c r="O17" s="316">
        <v>0</v>
      </c>
      <c r="Q17" s="316" t="s">
        <v>6</v>
      </c>
      <c r="R17" s="316" t="s">
        <v>504</v>
      </c>
      <c r="S17" s="316" t="s">
        <v>6</v>
      </c>
      <c r="T17" s="273">
        <v>41607.750555555554</v>
      </c>
      <c r="U17" s="316" t="b">
        <v>1</v>
      </c>
      <c r="V17" s="316" t="s">
        <v>6</v>
      </c>
      <c r="W17" s="316" t="s">
        <v>504</v>
      </c>
      <c r="X17" s="52" t="s">
        <v>564</v>
      </c>
      <c r="Y17" s="52">
        <v>1</v>
      </c>
      <c r="Z17" s="316" t="s">
        <v>6</v>
      </c>
      <c r="AA17" s="316">
        <v>41607.750555555554</v>
      </c>
      <c r="AB17" s="316" t="s">
        <v>6</v>
      </c>
      <c r="AE17" s="316" t="s">
        <v>6</v>
      </c>
      <c r="AF17" s="316" t="s">
        <v>1073</v>
      </c>
      <c r="AG17" s="316">
        <v>0.13422500000000001</v>
      </c>
      <c r="AH17" s="316">
        <v>0.14422500000000002</v>
      </c>
      <c r="AI17" s="316">
        <v>0.13422500000000001</v>
      </c>
      <c r="AJ17" s="52">
        <v>0.14422500000000002</v>
      </c>
      <c r="AK17" s="316">
        <v>0.13922500000000002</v>
      </c>
      <c r="AN17" s="316" t="s">
        <v>6</v>
      </c>
      <c r="AO17" s="316" t="s">
        <v>860</v>
      </c>
      <c r="AP17" s="316">
        <v>0.5636000000000001</v>
      </c>
      <c r="AQ17" s="316">
        <v>0.5636000000000001</v>
      </c>
      <c r="AR17" s="316">
        <v>0.5636000000000001</v>
      </c>
      <c r="AS17" s="52">
        <v>0.5636000000000001</v>
      </c>
      <c r="AT17" s="316">
        <v>0.5636000000000001</v>
      </c>
      <c r="AV17" s="316" t="s">
        <v>6</v>
      </c>
      <c r="AW17" s="316" t="s">
        <v>861</v>
      </c>
      <c r="AX17" s="316">
        <v>0.21265951899999999</v>
      </c>
      <c r="AY17" s="316">
        <v>0.21265951899999999</v>
      </c>
      <c r="AZ17" s="316">
        <v>0.21265951899999999</v>
      </c>
      <c r="BA17" s="316">
        <v>0.21265951899999999</v>
      </c>
      <c r="BB17" s="52">
        <v>0.21265951899999999</v>
      </c>
      <c r="BD17" s="316" t="s">
        <v>6</v>
      </c>
      <c r="BE17" s="316" t="s">
        <v>862</v>
      </c>
      <c r="BF17" s="316">
        <v>0.196536772</v>
      </c>
      <c r="BG17" s="316">
        <v>0.196536772</v>
      </c>
      <c r="BH17" s="316">
        <v>0.196536772</v>
      </c>
      <c r="BI17" s="316">
        <v>0.196536772</v>
      </c>
      <c r="BJ17" s="316">
        <v>0.196536772</v>
      </c>
      <c r="BM17" s="316" t="s">
        <v>6</v>
      </c>
      <c r="BN17" s="316" t="s">
        <v>863</v>
      </c>
      <c r="BO17" s="316">
        <v>0.342499999</v>
      </c>
      <c r="BP17" s="316">
        <v>0.342499999</v>
      </c>
      <c r="BQ17" s="316">
        <v>0.342499999</v>
      </c>
      <c r="BR17" s="316">
        <v>0.342499999</v>
      </c>
      <c r="BS17" s="52">
        <v>0.342499999</v>
      </c>
      <c r="BT17" s="54"/>
    </row>
    <row r="18" spans="1:72">
      <c r="A18" s="316">
        <v>4</v>
      </c>
      <c r="B18" s="316" t="s">
        <v>798</v>
      </c>
      <c r="C18" s="316">
        <v>99.71</v>
      </c>
      <c r="D18" s="316">
        <v>99.715000000000003</v>
      </c>
      <c r="E18" s="153">
        <v>99.712500000000006</v>
      </c>
      <c r="F18" s="316">
        <v>41654</v>
      </c>
      <c r="G18" s="316" t="s">
        <v>574</v>
      </c>
      <c r="H18" s="316" t="s">
        <v>864</v>
      </c>
      <c r="I18" s="316" t="s">
        <v>865</v>
      </c>
      <c r="J18" s="55" t="e">
        <v>#N/A</v>
      </c>
      <c r="K18" s="274"/>
      <c r="L18" s="274" t="s">
        <v>201</v>
      </c>
      <c r="M18" s="316">
        <v>41899</v>
      </c>
      <c r="N18" s="80" t="s">
        <v>215</v>
      </c>
      <c r="O18" s="316">
        <v>0</v>
      </c>
      <c r="Q18" s="316" t="s">
        <v>24</v>
      </c>
      <c r="R18" s="316" t="s">
        <v>504</v>
      </c>
      <c r="S18" s="316" t="s">
        <v>24</v>
      </c>
      <c r="T18" s="273">
        <v>41614.750555555554</v>
      </c>
      <c r="U18" s="316" t="b">
        <v>1</v>
      </c>
      <c r="V18" s="316" t="s">
        <v>24</v>
      </c>
      <c r="W18" s="316" t="s">
        <v>504</v>
      </c>
      <c r="X18" s="52" t="s">
        <v>565</v>
      </c>
      <c r="Y18" s="52">
        <v>1</v>
      </c>
      <c r="Z18" s="316" t="s">
        <v>24</v>
      </c>
      <c r="AA18" s="316">
        <v>41614.750555555554</v>
      </c>
      <c r="AB18" s="316" t="s">
        <v>24</v>
      </c>
      <c r="AE18" s="316" t="s">
        <v>24</v>
      </c>
      <c r="AF18" s="316" t="s">
        <v>1074</v>
      </c>
      <c r="AG18" s="316">
        <v>0.14595000000000002</v>
      </c>
      <c r="AH18" s="316">
        <v>0.15595000000000003</v>
      </c>
      <c r="AI18" s="316">
        <v>0.14595000000000002</v>
      </c>
      <c r="AJ18" s="52">
        <v>0.15595000000000003</v>
      </c>
      <c r="AK18" s="316">
        <v>0.15095000000000003</v>
      </c>
      <c r="AN18" s="316" t="s">
        <v>24</v>
      </c>
      <c r="AO18" s="316" t="s">
        <v>866</v>
      </c>
      <c r="AP18" s="316">
        <v>0.5636000000000001</v>
      </c>
      <c r="AQ18" s="316">
        <v>0.5636000000000001</v>
      </c>
      <c r="AR18" s="316">
        <v>0.5636000000000001</v>
      </c>
      <c r="AS18" s="52">
        <v>0.5636000000000001</v>
      </c>
      <c r="AT18" s="316">
        <v>0.5636000000000001</v>
      </c>
      <c r="AV18" s="316" t="s">
        <v>24</v>
      </c>
      <c r="AW18" s="316" t="s">
        <v>867</v>
      </c>
      <c r="AX18" s="316">
        <v>0.196251546</v>
      </c>
      <c r="AY18" s="316">
        <v>0.196251546</v>
      </c>
      <c r="AZ18" s="316">
        <v>0.196251546</v>
      </c>
      <c r="BA18" s="316">
        <v>0.196251546</v>
      </c>
      <c r="BB18" s="52">
        <v>0.196251546</v>
      </c>
      <c r="BD18" s="316" t="s">
        <v>24</v>
      </c>
      <c r="BE18" s="316" t="s">
        <v>868</v>
      </c>
      <c r="BF18" s="316">
        <v>0.20318287699999998</v>
      </c>
      <c r="BG18" s="316">
        <v>0.20318287699999998</v>
      </c>
      <c r="BH18" s="316">
        <v>0.20318287699999998</v>
      </c>
      <c r="BI18" s="316">
        <v>0.20318287699999998</v>
      </c>
      <c r="BJ18" s="316">
        <v>0.20318287699999998</v>
      </c>
      <c r="BM18" s="316" t="s">
        <v>24</v>
      </c>
      <c r="BN18" s="316" t="s">
        <v>869</v>
      </c>
      <c r="BO18" s="316">
        <v>0.34229999799999994</v>
      </c>
      <c r="BP18" s="316">
        <v>0.34229999799999994</v>
      </c>
      <c r="BQ18" s="316">
        <v>0.34229999799999994</v>
      </c>
      <c r="BR18" s="316">
        <v>0.34229999799999994</v>
      </c>
      <c r="BS18" s="52">
        <v>0.34229999799999994</v>
      </c>
      <c r="BT18" s="54"/>
    </row>
    <row r="19" spans="1:72">
      <c r="A19" s="316">
        <v>5</v>
      </c>
      <c r="B19" s="316" t="s">
        <v>799</v>
      </c>
      <c r="C19" s="316">
        <v>0</v>
      </c>
      <c r="D19" s="316">
        <v>0</v>
      </c>
      <c r="E19" s="153" t="e">
        <v>#N/A</v>
      </c>
      <c r="F19" s="316">
        <v>41689</v>
      </c>
      <c r="G19" s="316" t="s">
        <v>870</v>
      </c>
      <c r="H19" s="316" t="s">
        <v>871</v>
      </c>
      <c r="I19" s="316" t="s">
        <v>872</v>
      </c>
      <c r="J19" s="55" t="e">
        <v>#N/A</v>
      </c>
      <c r="K19" s="274"/>
      <c r="L19" s="274" t="s">
        <v>202</v>
      </c>
      <c r="M19" s="316">
        <v>41990</v>
      </c>
      <c r="N19" s="80" t="s">
        <v>216</v>
      </c>
      <c r="O19" s="316">
        <v>0</v>
      </c>
      <c r="Q19" s="316" t="s">
        <v>7</v>
      </c>
      <c r="R19" s="316" t="s">
        <v>504</v>
      </c>
      <c r="S19" s="316" t="s">
        <v>7</v>
      </c>
      <c r="T19" s="273">
        <v>41624</v>
      </c>
      <c r="U19" s="316" t="b">
        <v>1</v>
      </c>
      <c r="V19" s="316" t="s">
        <v>7</v>
      </c>
      <c r="W19" s="316" t="s">
        <v>504</v>
      </c>
      <c r="X19" s="52" t="s">
        <v>566</v>
      </c>
      <c r="Y19" s="52">
        <v>1</v>
      </c>
      <c r="Z19" s="316" t="s">
        <v>7</v>
      </c>
      <c r="AA19" s="316">
        <v>41624</v>
      </c>
      <c r="AB19" s="316" t="s">
        <v>7</v>
      </c>
      <c r="AE19" s="316" t="s">
        <v>7</v>
      </c>
      <c r="AF19" s="316" t="s">
        <v>1075</v>
      </c>
      <c r="AG19" s="316">
        <v>0.16270000000000001</v>
      </c>
      <c r="AH19" s="316">
        <v>0.17270000000000002</v>
      </c>
      <c r="AI19" s="316">
        <v>0.16270000000000001</v>
      </c>
      <c r="AJ19" s="52">
        <v>0.17270000000000002</v>
      </c>
      <c r="AK19" s="316">
        <v>0.16770000000000002</v>
      </c>
      <c r="AN19" s="316" t="s">
        <v>7</v>
      </c>
      <c r="AO19" s="316" t="s">
        <v>873</v>
      </c>
      <c r="AP19" s="316">
        <v>0.5636000000000001</v>
      </c>
      <c r="AQ19" s="316">
        <v>0.5636000000000001</v>
      </c>
      <c r="AR19" s="316">
        <v>0.5636000000000001</v>
      </c>
      <c r="AS19" s="52">
        <v>0.5636000000000001</v>
      </c>
      <c r="AT19" s="316">
        <v>0.5636000000000001</v>
      </c>
      <c r="AV19" s="316" t="s">
        <v>7</v>
      </c>
      <c r="AW19" s="316" t="s">
        <v>874</v>
      </c>
      <c r="AX19" s="316">
        <v>0.16879847800000003</v>
      </c>
      <c r="AY19" s="316">
        <v>0.16879847800000003</v>
      </c>
      <c r="AZ19" s="316">
        <v>0.16879847800000003</v>
      </c>
      <c r="BA19" s="316">
        <v>0.16879847800000003</v>
      </c>
      <c r="BB19" s="52">
        <v>0.16879847800000003</v>
      </c>
      <c r="BD19" s="316" t="s">
        <v>7</v>
      </c>
      <c r="BE19" s="316" t="s">
        <v>875</v>
      </c>
      <c r="BF19" s="316">
        <v>0.21190000000000003</v>
      </c>
      <c r="BG19" s="316">
        <v>0.21190000000000003</v>
      </c>
      <c r="BH19" s="316">
        <v>0.21190000000000003</v>
      </c>
      <c r="BI19" s="316">
        <v>0.21190000000000003</v>
      </c>
      <c r="BJ19" s="316">
        <v>0.21190000000000003</v>
      </c>
      <c r="BM19" s="316" t="s">
        <v>7</v>
      </c>
      <c r="BN19" s="316" t="s">
        <v>876</v>
      </c>
      <c r="BO19" s="316">
        <v>0.34199999999999997</v>
      </c>
      <c r="BP19" s="316">
        <v>0.34199999999999997</v>
      </c>
      <c r="BQ19" s="316">
        <v>0.34199999999999997</v>
      </c>
      <c r="BR19" s="316">
        <v>0.34199999999999997</v>
      </c>
      <c r="BS19" s="52">
        <v>0.34199999999999997</v>
      </c>
      <c r="BT19" s="54"/>
    </row>
    <row r="20" spans="1:72">
      <c r="A20" s="316">
        <v>6</v>
      </c>
      <c r="B20" s="316" t="s">
        <v>800</v>
      </c>
      <c r="C20" s="316">
        <v>99.68</v>
      </c>
      <c r="D20" s="316">
        <v>99.685000000000002</v>
      </c>
      <c r="E20" s="153">
        <v>99.682500000000005</v>
      </c>
      <c r="F20" s="316">
        <v>41717</v>
      </c>
      <c r="G20" s="316" t="s">
        <v>213</v>
      </c>
      <c r="H20" s="316" t="s">
        <v>199</v>
      </c>
      <c r="I20" s="316" t="s">
        <v>877</v>
      </c>
      <c r="J20" s="55">
        <v>99.674999999999997</v>
      </c>
      <c r="K20" s="274"/>
      <c r="L20" s="274" t="s">
        <v>203</v>
      </c>
      <c r="M20" s="316">
        <v>42081</v>
      </c>
      <c r="N20" s="80" t="s">
        <v>217</v>
      </c>
      <c r="O20" s="316">
        <v>0</v>
      </c>
      <c r="Q20" s="316" t="s">
        <v>8</v>
      </c>
      <c r="R20" s="316" t="s">
        <v>504</v>
      </c>
      <c r="S20" s="316" t="s">
        <v>8</v>
      </c>
      <c r="T20" s="273">
        <v>41654</v>
      </c>
      <c r="U20" s="316" t="b">
        <v>1</v>
      </c>
      <c r="V20" s="316" t="s">
        <v>8</v>
      </c>
      <c r="W20" s="316" t="s">
        <v>504</v>
      </c>
      <c r="X20" s="52" t="s">
        <v>567</v>
      </c>
      <c r="Y20" s="52">
        <v>1</v>
      </c>
      <c r="Z20" s="316" t="s">
        <v>8</v>
      </c>
      <c r="AA20" s="316">
        <v>41654</v>
      </c>
      <c r="AB20" s="316" t="s">
        <v>8</v>
      </c>
      <c r="AE20" s="316" t="s">
        <v>8</v>
      </c>
      <c r="AF20" s="316" t="s">
        <v>1076</v>
      </c>
      <c r="AG20" s="316">
        <v>0.20225000000000001</v>
      </c>
      <c r="AH20" s="316">
        <v>0.21225000000000002</v>
      </c>
      <c r="AI20" s="316">
        <v>0.20225000000000001</v>
      </c>
      <c r="AJ20" s="52">
        <v>0.21225000000000002</v>
      </c>
      <c r="AK20" s="316">
        <v>0.20725000000000002</v>
      </c>
      <c r="AN20" s="316" t="s">
        <v>8</v>
      </c>
      <c r="AO20" s="316" t="s">
        <v>878</v>
      </c>
      <c r="AP20" s="316">
        <v>0.5656000000000001</v>
      </c>
      <c r="AQ20" s="316">
        <v>0.5656000000000001</v>
      </c>
      <c r="AR20" s="316">
        <v>0.5656000000000001</v>
      </c>
      <c r="AS20" s="52">
        <v>0.5656000000000001</v>
      </c>
      <c r="AT20" s="316">
        <v>0.5656000000000001</v>
      </c>
      <c r="AV20" s="316" t="s">
        <v>8</v>
      </c>
      <c r="AW20" s="316" t="s">
        <v>879</v>
      </c>
      <c r="AX20" s="316">
        <v>0.19242060499999999</v>
      </c>
      <c r="AY20" s="316">
        <v>0.19242060499999999</v>
      </c>
      <c r="AZ20" s="316">
        <v>0.19242060499999999</v>
      </c>
      <c r="BA20" s="316">
        <v>0.19242060499999999</v>
      </c>
      <c r="BB20" s="52">
        <v>0.19242060499999999</v>
      </c>
      <c r="BD20" s="316" t="s">
        <v>8</v>
      </c>
      <c r="BE20" s="316" t="s">
        <v>880</v>
      </c>
      <c r="BF20" s="316">
        <v>0.23150000000000001</v>
      </c>
      <c r="BG20" s="316">
        <v>0.23150000000000001</v>
      </c>
      <c r="BH20" s="316">
        <v>0.23150000000000001</v>
      </c>
      <c r="BI20" s="316">
        <v>0.23150000000000001</v>
      </c>
      <c r="BJ20" s="316">
        <v>0.23150000000000001</v>
      </c>
      <c r="BM20" s="316" t="s">
        <v>8</v>
      </c>
      <c r="BN20" s="316" t="s">
        <v>881</v>
      </c>
      <c r="BO20" s="316">
        <v>0.34339999999999998</v>
      </c>
      <c r="BP20" s="316">
        <v>0.34339999999999998</v>
      </c>
      <c r="BQ20" s="316">
        <v>0.34339999999999998</v>
      </c>
      <c r="BR20" s="316">
        <v>0.34339999999999998</v>
      </c>
      <c r="BS20" s="52">
        <v>0.34339999999999998</v>
      </c>
      <c r="BT20" s="54"/>
    </row>
    <row r="21" spans="1:72">
      <c r="A21" s="316">
        <v>7</v>
      </c>
      <c r="B21" s="316" t="s">
        <v>801</v>
      </c>
      <c r="C21" s="316">
        <v>99.625</v>
      </c>
      <c r="D21" s="316">
        <v>99.63</v>
      </c>
      <c r="E21" s="153">
        <v>99.627499999999998</v>
      </c>
      <c r="F21" s="316">
        <v>41808</v>
      </c>
      <c r="G21" s="316" t="s">
        <v>214</v>
      </c>
      <c r="H21" s="316" t="s">
        <v>200</v>
      </c>
      <c r="I21" s="316" t="s">
        <v>882</v>
      </c>
      <c r="J21" s="55">
        <v>99.625</v>
      </c>
      <c r="K21" s="274"/>
      <c r="L21" s="274" t="s">
        <v>204</v>
      </c>
      <c r="M21" s="316">
        <v>42172</v>
      </c>
      <c r="N21" s="80" t="s">
        <v>218</v>
      </c>
      <c r="O21" s="316">
        <v>0</v>
      </c>
      <c r="Q21" s="316" t="s">
        <v>25</v>
      </c>
      <c r="R21" s="316" t="s">
        <v>504</v>
      </c>
      <c r="S21" s="316" t="s">
        <v>25</v>
      </c>
      <c r="T21" s="273">
        <v>41687</v>
      </c>
      <c r="U21" s="316" t="b">
        <v>1</v>
      </c>
      <c r="V21" s="316" t="s">
        <v>25</v>
      </c>
      <c r="W21" s="316" t="s">
        <v>504</v>
      </c>
      <c r="X21" s="52" t="s">
        <v>568</v>
      </c>
      <c r="Y21" s="52">
        <v>1</v>
      </c>
      <c r="Z21" s="316" t="s">
        <v>25</v>
      </c>
      <c r="AA21" s="316">
        <v>41687</v>
      </c>
      <c r="AB21" s="316" t="s">
        <v>25</v>
      </c>
      <c r="AE21" s="316" t="s">
        <v>25</v>
      </c>
      <c r="AF21" s="316" t="s">
        <v>1077</v>
      </c>
      <c r="AG21" s="316">
        <v>0.2356</v>
      </c>
      <c r="AH21" s="316">
        <v>0.24560000000000001</v>
      </c>
      <c r="AI21" s="316">
        <v>0.2356</v>
      </c>
      <c r="AJ21" s="52">
        <v>0.24560000000000001</v>
      </c>
      <c r="AK21" s="316">
        <v>0.24060000000000001</v>
      </c>
      <c r="AN21" s="316" t="s">
        <v>25</v>
      </c>
      <c r="AO21" s="316" t="s">
        <v>883</v>
      </c>
      <c r="AP21" s="316">
        <v>0.56765957700000014</v>
      </c>
      <c r="AQ21" s="316">
        <v>0.56765957700000014</v>
      </c>
      <c r="AR21" s="316">
        <v>0.56765957700000014</v>
      </c>
      <c r="AS21" s="52">
        <v>0.56765957700000014</v>
      </c>
      <c r="AT21" s="316">
        <v>0.56765957700000014</v>
      </c>
      <c r="AV21" s="316" t="s">
        <v>25</v>
      </c>
      <c r="AW21" s="316" t="s">
        <v>884</v>
      </c>
      <c r="AX21" s="316">
        <v>0.19287673</v>
      </c>
      <c r="AY21" s="316">
        <v>0.19287673</v>
      </c>
      <c r="AZ21" s="316">
        <v>0.19287673</v>
      </c>
      <c r="BA21" s="316">
        <v>0.19287673</v>
      </c>
      <c r="BB21" s="52">
        <v>0.19287673</v>
      </c>
      <c r="BD21" s="316" t="s">
        <v>25</v>
      </c>
      <c r="BE21" s="316" t="s">
        <v>885</v>
      </c>
      <c r="BF21" s="316">
        <v>0.24094894700000005</v>
      </c>
      <c r="BG21" s="316">
        <v>0.24094894700000005</v>
      </c>
      <c r="BH21" s="316">
        <v>0.24094894700000005</v>
      </c>
      <c r="BI21" s="316">
        <v>0.24094894700000005</v>
      </c>
      <c r="BJ21" s="316">
        <v>0.24094894700000005</v>
      </c>
      <c r="BM21" s="316" t="s">
        <v>25</v>
      </c>
      <c r="BN21" s="316" t="s">
        <v>886</v>
      </c>
      <c r="BO21" s="316">
        <v>0.34536470700000005</v>
      </c>
      <c r="BP21" s="316">
        <v>0.34536470700000005</v>
      </c>
      <c r="BQ21" s="316">
        <v>0.34536470700000005</v>
      </c>
      <c r="BR21" s="316">
        <v>0.34536470700000005</v>
      </c>
      <c r="BS21" s="52">
        <v>0.34536470700000005</v>
      </c>
      <c r="BT21" s="54"/>
    </row>
    <row r="22" spans="1:72">
      <c r="A22" s="316">
        <v>8</v>
      </c>
      <c r="B22" s="316" t="s">
        <v>802</v>
      </c>
      <c r="C22" s="316">
        <v>99.54</v>
      </c>
      <c r="D22" s="316">
        <v>99.545000000000002</v>
      </c>
      <c r="E22" s="153">
        <v>99.542500000000004</v>
      </c>
      <c r="F22" s="316">
        <v>41899</v>
      </c>
      <c r="G22" s="316" t="s">
        <v>215</v>
      </c>
      <c r="H22" s="316" t="s">
        <v>201</v>
      </c>
      <c r="I22" s="316" t="s">
        <v>887</v>
      </c>
      <c r="J22" s="55">
        <v>99.54</v>
      </c>
      <c r="K22" s="274"/>
      <c r="L22" s="274" t="s">
        <v>223</v>
      </c>
      <c r="M22" s="316">
        <v>42263</v>
      </c>
      <c r="N22" s="80" t="s">
        <v>219</v>
      </c>
      <c r="O22" s="316">
        <v>5.0000000000000001E-3</v>
      </c>
      <c r="Q22" s="316" t="s">
        <v>26</v>
      </c>
      <c r="R22" s="316" t="s">
        <v>504</v>
      </c>
      <c r="S22" s="316" t="s">
        <v>26</v>
      </c>
      <c r="T22" s="273">
        <v>41715</v>
      </c>
      <c r="U22" s="316" t="b">
        <v>1</v>
      </c>
      <c r="V22" s="316" t="s">
        <v>26</v>
      </c>
      <c r="W22" s="316" t="s">
        <v>504</v>
      </c>
      <c r="X22" s="52" t="s">
        <v>569</v>
      </c>
      <c r="Y22" s="52">
        <v>1</v>
      </c>
      <c r="Z22" s="316" t="s">
        <v>26</v>
      </c>
      <c r="AA22" s="316">
        <v>41715</v>
      </c>
      <c r="AB22" s="316" t="s">
        <v>26</v>
      </c>
      <c r="AE22" s="316" t="s">
        <v>26</v>
      </c>
      <c r="AF22" s="316" t="s">
        <v>1078</v>
      </c>
      <c r="AG22" s="316">
        <v>0.27164186000000001</v>
      </c>
      <c r="AH22" s="316">
        <v>0.28164186000000002</v>
      </c>
      <c r="AI22" s="316">
        <v>0.27164186000000001</v>
      </c>
      <c r="AJ22" s="52">
        <v>0.28164186000000002</v>
      </c>
      <c r="AK22" s="316">
        <v>0.27664186000000002</v>
      </c>
      <c r="AN22" s="316" t="s">
        <v>26</v>
      </c>
      <c r="AO22" s="316" t="s">
        <v>888</v>
      </c>
      <c r="AP22" s="316">
        <v>0.56960000000000011</v>
      </c>
      <c r="AQ22" s="316">
        <v>0.56960000000000011</v>
      </c>
      <c r="AR22" s="316">
        <v>0.56960000000000011</v>
      </c>
      <c r="AS22" s="52">
        <v>0.56960000000000011</v>
      </c>
      <c r="AT22" s="316">
        <v>0.56960000000000011</v>
      </c>
      <c r="AV22" s="316" t="s">
        <v>26</v>
      </c>
      <c r="AW22" s="316" t="s">
        <v>889</v>
      </c>
      <c r="AX22" s="316">
        <v>0.19300824900000002</v>
      </c>
      <c r="AY22" s="316">
        <v>0.19300824900000002</v>
      </c>
      <c r="AZ22" s="316">
        <v>0.19300824900000002</v>
      </c>
      <c r="BA22" s="316">
        <v>0.19300824900000002</v>
      </c>
      <c r="BB22" s="52">
        <v>0.19300824900000002</v>
      </c>
      <c r="BD22" s="316" t="s">
        <v>26</v>
      </c>
      <c r="BE22" s="316" t="s">
        <v>890</v>
      </c>
      <c r="BF22" s="316">
        <v>0.23846061500000001</v>
      </c>
      <c r="BG22" s="316">
        <v>0.23846061500000001</v>
      </c>
      <c r="BH22" s="316">
        <v>0.23846061500000001</v>
      </c>
      <c r="BI22" s="316">
        <v>0.23846061500000001</v>
      </c>
      <c r="BJ22" s="316">
        <v>0.23846061500000001</v>
      </c>
      <c r="BM22" s="316" t="s">
        <v>26</v>
      </c>
      <c r="BN22" s="316" t="s">
        <v>891</v>
      </c>
      <c r="BO22" s="316">
        <v>0.34759999999999996</v>
      </c>
      <c r="BP22" s="316">
        <v>0.34759999999999996</v>
      </c>
      <c r="BQ22" s="316">
        <v>0.34759999999999996</v>
      </c>
      <c r="BR22" s="316">
        <v>0.34759999999999996</v>
      </c>
      <c r="BS22" s="52">
        <v>0.34759999999999996</v>
      </c>
      <c r="BT22" s="54"/>
    </row>
    <row r="23" spans="1:72">
      <c r="A23" s="316">
        <v>9</v>
      </c>
      <c r="B23" s="316" t="s">
        <v>803</v>
      </c>
      <c r="C23" s="316">
        <v>99.424999999999997</v>
      </c>
      <c r="D23" s="316">
        <v>99.43</v>
      </c>
      <c r="E23" s="153">
        <v>99.427499999999995</v>
      </c>
      <c r="F23" s="316">
        <v>41990</v>
      </c>
      <c r="G23" s="316" t="s">
        <v>216</v>
      </c>
      <c r="H23" s="316" t="s">
        <v>202</v>
      </c>
      <c r="I23" s="316" t="s">
        <v>892</v>
      </c>
      <c r="J23" s="55">
        <v>99.43</v>
      </c>
      <c r="K23" s="274"/>
      <c r="L23" s="274"/>
      <c r="N23" s="80"/>
      <c r="Q23" s="316" t="s">
        <v>27</v>
      </c>
      <c r="R23" s="316" t="s">
        <v>504</v>
      </c>
      <c r="S23" s="316" t="s">
        <v>27</v>
      </c>
      <c r="T23" s="273">
        <v>41744</v>
      </c>
      <c r="U23" s="316" t="b">
        <v>1</v>
      </c>
      <c r="V23" s="316" t="s">
        <v>27</v>
      </c>
      <c r="W23" s="316" t="s">
        <v>504</v>
      </c>
      <c r="X23" s="52" t="s">
        <v>570</v>
      </c>
      <c r="Y23" s="52">
        <v>1</v>
      </c>
      <c r="Z23" s="316" t="s">
        <v>27</v>
      </c>
      <c r="AA23" s="316">
        <v>41744</v>
      </c>
      <c r="AB23" s="316" t="s">
        <v>27</v>
      </c>
      <c r="AE23" s="316" t="s">
        <v>27</v>
      </c>
      <c r="AF23" s="316" t="s">
        <v>1079</v>
      </c>
      <c r="AG23" s="316">
        <v>0.31035348800000001</v>
      </c>
      <c r="AH23" s="316">
        <v>0.32035348800000002</v>
      </c>
      <c r="AI23" s="316">
        <v>0.31035348800000001</v>
      </c>
      <c r="AJ23" s="52">
        <v>0.32035348800000002</v>
      </c>
      <c r="AK23" s="316">
        <v>0.31535348800000002</v>
      </c>
      <c r="AN23" s="316" t="s">
        <v>27</v>
      </c>
      <c r="AO23" s="316" t="s">
        <v>893</v>
      </c>
      <c r="AP23" s="316">
        <v>0.57260000000000011</v>
      </c>
      <c r="AQ23" s="316">
        <v>0.57260000000000011</v>
      </c>
      <c r="AR23" s="316">
        <v>0.57260000000000011</v>
      </c>
      <c r="AS23" s="52">
        <v>0.57260000000000011</v>
      </c>
      <c r="AT23" s="316">
        <v>0.57260000000000011</v>
      </c>
      <c r="AV23" s="316" t="s">
        <v>27</v>
      </c>
      <c r="AW23" s="316" t="s">
        <v>894</v>
      </c>
      <c r="AX23" s="316">
        <v>0.18025749100000002</v>
      </c>
      <c r="AY23" s="316">
        <v>0.18025749100000002</v>
      </c>
      <c r="AZ23" s="316">
        <v>0.18025749100000002</v>
      </c>
      <c r="BA23" s="316">
        <v>0.18025749100000002</v>
      </c>
      <c r="BB23" s="52">
        <v>0.18025749100000002</v>
      </c>
      <c r="BD23" s="316" t="s">
        <v>27</v>
      </c>
      <c r="BE23" s="316" t="s">
        <v>895</v>
      </c>
      <c r="BF23" s="316">
        <v>0.24075634900000004</v>
      </c>
      <c r="BG23" s="316">
        <v>0.24075634900000004</v>
      </c>
      <c r="BH23" s="316">
        <v>0.24075634900000004</v>
      </c>
      <c r="BI23" s="316">
        <v>0.24075634900000004</v>
      </c>
      <c r="BJ23" s="316">
        <v>0.24075634900000004</v>
      </c>
      <c r="BM23" s="316" t="s">
        <v>27</v>
      </c>
      <c r="BN23" s="316" t="s">
        <v>896</v>
      </c>
      <c r="BO23" s="316">
        <v>0.3513</v>
      </c>
      <c r="BP23" s="316">
        <v>0.3513</v>
      </c>
      <c r="BQ23" s="316">
        <v>0.3513</v>
      </c>
      <c r="BR23" s="316">
        <v>0.3513</v>
      </c>
      <c r="BS23" s="52">
        <v>0.3513</v>
      </c>
      <c r="BT23" s="54"/>
    </row>
    <row r="24" spans="1:72">
      <c r="A24" s="316">
        <v>10</v>
      </c>
      <c r="B24" s="316" t="s">
        <v>804</v>
      </c>
      <c r="C24" s="316">
        <v>99.275000000000006</v>
      </c>
      <c r="D24" s="316">
        <v>99.28</v>
      </c>
      <c r="E24" s="153">
        <v>99.277500000000003</v>
      </c>
      <c r="F24" s="316">
        <v>42081</v>
      </c>
      <c r="G24" s="316" t="s">
        <v>217</v>
      </c>
      <c r="H24" s="316" t="s">
        <v>203</v>
      </c>
      <c r="I24" s="316" t="s">
        <v>897</v>
      </c>
      <c r="J24" s="55">
        <v>99.275000000000006</v>
      </c>
      <c r="K24" s="274"/>
      <c r="L24" s="274"/>
      <c r="N24" s="80"/>
      <c r="Q24" s="316" t="s">
        <v>28</v>
      </c>
      <c r="R24" s="316" t="s">
        <v>504</v>
      </c>
      <c r="S24" s="316" t="s">
        <v>28</v>
      </c>
      <c r="T24" s="273">
        <v>41774</v>
      </c>
      <c r="U24" s="316" t="b">
        <v>1</v>
      </c>
      <c r="V24" s="316" t="s">
        <v>28</v>
      </c>
      <c r="W24" s="316" t="s">
        <v>504</v>
      </c>
      <c r="X24" s="52" t="s">
        <v>571</v>
      </c>
      <c r="Y24" s="52">
        <v>1</v>
      </c>
      <c r="Z24" s="316" t="s">
        <v>28</v>
      </c>
      <c r="AA24" s="316">
        <v>41774</v>
      </c>
      <c r="AB24" s="316" t="s">
        <v>28</v>
      </c>
      <c r="AE24" s="316" t="s">
        <v>28</v>
      </c>
      <c r="AF24" s="316" t="s">
        <v>1080</v>
      </c>
      <c r="AG24" s="316">
        <v>0.35039999999999999</v>
      </c>
      <c r="AH24" s="316">
        <v>0.3604</v>
      </c>
      <c r="AI24" s="316">
        <v>0.35039999999999999</v>
      </c>
      <c r="AJ24" s="52">
        <v>0.3604</v>
      </c>
      <c r="AK24" s="316">
        <v>0.35539999999999999</v>
      </c>
      <c r="AN24" s="316" t="s">
        <v>28</v>
      </c>
      <c r="AO24" s="316" t="s">
        <v>898</v>
      </c>
      <c r="AP24" s="316">
        <v>0.57560000000000011</v>
      </c>
      <c r="AQ24" s="316">
        <v>0.57560000000000011</v>
      </c>
      <c r="AR24" s="316">
        <v>0.57560000000000011</v>
      </c>
      <c r="AS24" s="52">
        <v>0.57560000000000011</v>
      </c>
      <c r="AT24" s="316">
        <v>0.57560000000000011</v>
      </c>
      <c r="AV24" s="316" t="s">
        <v>28</v>
      </c>
      <c r="AW24" s="316" t="s">
        <v>899</v>
      </c>
      <c r="AX24" s="316">
        <v>0.183363845</v>
      </c>
      <c r="AY24" s="316">
        <v>0.183363845</v>
      </c>
      <c r="AZ24" s="316">
        <v>0.183363845</v>
      </c>
      <c r="BA24" s="316">
        <v>0.183363845</v>
      </c>
      <c r="BB24" s="52">
        <v>0.183363845</v>
      </c>
      <c r="BD24" s="316" t="s">
        <v>28</v>
      </c>
      <c r="BE24" s="316" t="s">
        <v>900</v>
      </c>
      <c r="BF24" s="316">
        <v>0.24715420000000002</v>
      </c>
      <c r="BG24" s="316">
        <v>0.24715420000000002</v>
      </c>
      <c r="BH24" s="316">
        <v>0.24715420000000002</v>
      </c>
      <c r="BI24" s="316">
        <v>0.24715420000000002</v>
      </c>
      <c r="BJ24" s="316">
        <v>0.24715420000000002</v>
      </c>
      <c r="BM24" s="316" t="s">
        <v>28</v>
      </c>
      <c r="BN24" s="316" t="s">
        <v>901</v>
      </c>
      <c r="BO24" s="316">
        <v>0.35539999999999999</v>
      </c>
      <c r="BP24" s="316">
        <v>0.35539999999999999</v>
      </c>
      <c r="BQ24" s="316">
        <v>0.35539999999999999</v>
      </c>
      <c r="BR24" s="316">
        <v>0.35539999999999999</v>
      </c>
      <c r="BS24" s="52">
        <v>0.35539999999999999</v>
      </c>
      <c r="BT24" s="54"/>
    </row>
    <row r="25" spans="1:72">
      <c r="A25" s="316">
        <v>11</v>
      </c>
      <c r="B25" s="316" t="s">
        <v>805</v>
      </c>
      <c r="C25" s="316">
        <v>99.09</v>
      </c>
      <c r="D25" s="316">
        <v>99.094999999999999</v>
      </c>
      <c r="E25" s="153">
        <v>99.092500000000001</v>
      </c>
      <c r="F25" s="316">
        <v>42172</v>
      </c>
      <c r="G25" s="316" t="s">
        <v>218</v>
      </c>
      <c r="H25" s="316" t="s">
        <v>204</v>
      </c>
      <c r="I25" s="316" t="s">
        <v>902</v>
      </c>
      <c r="J25" s="55">
        <v>99.1</v>
      </c>
      <c r="K25" s="274"/>
      <c r="L25" s="274"/>
      <c r="N25" s="80"/>
      <c r="Q25" s="316" t="s">
        <v>29</v>
      </c>
      <c r="R25" s="316" t="s">
        <v>504</v>
      </c>
      <c r="S25" s="316" t="s">
        <v>29</v>
      </c>
      <c r="T25" s="273">
        <v>41806</v>
      </c>
      <c r="U25" s="316" t="b">
        <v>1</v>
      </c>
      <c r="V25" s="316" t="s">
        <v>29</v>
      </c>
      <c r="W25" s="316" t="s">
        <v>504</v>
      </c>
      <c r="X25" s="52" t="s">
        <v>625</v>
      </c>
      <c r="Y25" s="52">
        <v>1</v>
      </c>
      <c r="Z25" s="316" t="s">
        <v>29</v>
      </c>
      <c r="AA25" s="316">
        <v>41806</v>
      </c>
      <c r="AB25" s="316" t="s">
        <v>29</v>
      </c>
      <c r="AE25" s="316" t="s">
        <v>29</v>
      </c>
      <c r="AF25" s="316" t="s">
        <v>1081</v>
      </c>
      <c r="AG25" s="316">
        <v>0.39103655900000001</v>
      </c>
      <c r="AH25" s="316">
        <v>0.40103655900000001</v>
      </c>
      <c r="AI25" s="316">
        <v>0.39103655900000001</v>
      </c>
      <c r="AJ25" s="52">
        <v>0.40103655900000001</v>
      </c>
      <c r="AK25" s="316">
        <v>0.39603655900000001</v>
      </c>
      <c r="AN25" s="316" t="s">
        <v>29</v>
      </c>
      <c r="AO25" s="316" t="s">
        <v>903</v>
      </c>
      <c r="AP25" s="316">
        <v>0.57828317499999993</v>
      </c>
      <c r="AQ25" s="316">
        <v>0.57828317499999993</v>
      </c>
      <c r="AR25" s="316">
        <v>0.57828317499999993</v>
      </c>
      <c r="AS25" s="52">
        <v>0.57828317499999993</v>
      </c>
      <c r="AT25" s="316">
        <v>0.57828317499999993</v>
      </c>
      <c r="AV25" s="316" t="s">
        <v>29</v>
      </c>
      <c r="AW25" s="316" t="s">
        <v>904</v>
      </c>
      <c r="AX25" s="316">
        <v>0.18897765899999999</v>
      </c>
      <c r="AY25" s="316">
        <v>0.18897765899999999</v>
      </c>
      <c r="AZ25" s="316">
        <v>0.18897765899999999</v>
      </c>
      <c r="BA25" s="316">
        <v>0.18897765899999999</v>
      </c>
      <c r="BB25" s="52">
        <v>0.18897765899999999</v>
      </c>
      <c r="BD25" s="316" t="s">
        <v>29</v>
      </c>
      <c r="BE25" s="316" t="s">
        <v>905</v>
      </c>
      <c r="BF25" s="316">
        <v>0.25450694100000004</v>
      </c>
      <c r="BG25" s="316">
        <v>0.25450694100000004</v>
      </c>
      <c r="BH25" s="316">
        <v>0.25450694100000004</v>
      </c>
      <c r="BI25" s="316">
        <v>0.25450694100000004</v>
      </c>
      <c r="BJ25" s="316">
        <v>0.25450694100000004</v>
      </c>
      <c r="BM25" s="316" t="s">
        <v>29</v>
      </c>
      <c r="BN25" s="316" t="s">
        <v>906</v>
      </c>
      <c r="BO25" s="316">
        <v>0.35918029500000004</v>
      </c>
      <c r="BP25" s="316">
        <v>0.35918029500000004</v>
      </c>
      <c r="BQ25" s="316">
        <v>0.35918029500000004</v>
      </c>
      <c r="BR25" s="316">
        <v>0.35918029500000004</v>
      </c>
      <c r="BS25" s="52">
        <v>0.35918029500000004</v>
      </c>
      <c r="BT25" s="54"/>
    </row>
    <row r="26" spans="1:72">
      <c r="A26" s="316">
        <v>12</v>
      </c>
      <c r="B26" s="316" t="s">
        <v>806</v>
      </c>
      <c r="C26" s="316">
        <v>98.864999999999995</v>
      </c>
      <c r="D26" s="316">
        <v>98.87</v>
      </c>
      <c r="E26" s="153">
        <v>98.867500000000007</v>
      </c>
      <c r="F26" s="316">
        <v>42263</v>
      </c>
      <c r="G26" s="316" t="s">
        <v>219</v>
      </c>
      <c r="H26" s="316" t="s">
        <v>223</v>
      </c>
      <c r="I26" s="316" t="s">
        <v>907</v>
      </c>
      <c r="J26" s="55">
        <v>98.875</v>
      </c>
      <c r="N26" s="80"/>
      <c r="Q26" s="316" t="s">
        <v>30</v>
      </c>
      <c r="R26" s="316" t="s">
        <v>504</v>
      </c>
      <c r="S26" s="316" t="s">
        <v>30</v>
      </c>
      <c r="T26" s="273">
        <v>41835</v>
      </c>
      <c r="U26" s="316" t="b">
        <v>0</v>
      </c>
      <c r="V26" s="316" t="s">
        <v>630</v>
      </c>
      <c r="W26" s="316" t="s">
        <v>507</v>
      </c>
      <c r="X26" s="52" t="s">
        <v>572</v>
      </c>
      <c r="Y26" s="52">
        <v>2</v>
      </c>
      <c r="Z26" s="316" t="s">
        <v>631</v>
      </c>
      <c r="AA26" s="316">
        <v>41808</v>
      </c>
      <c r="AB26" s="316" t="s">
        <v>630</v>
      </c>
      <c r="AE26" s="316" t="s">
        <v>630</v>
      </c>
      <c r="AF26" s="316" t="s">
        <v>1082</v>
      </c>
      <c r="AG26" s="316">
        <v>0.35055281399999999</v>
      </c>
      <c r="AH26" s="316">
        <v>0.35055281399999999</v>
      </c>
      <c r="AI26" s="316">
        <v>0.35055281399999999</v>
      </c>
      <c r="AJ26" s="52">
        <v>0.35055281399999999</v>
      </c>
      <c r="AK26" s="316">
        <v>0.35055281399999999</v>
      </c>
      <c r="AN26" s="316" t="s">
        <v>630</v>
      </c>
      <c r="AO26" s="316" t="s">
        <v>908</v>
      </c>
      <c r="AP26" s="316">
        <v>0.57843804700000001</v>
      </c>
      <c r="AQ26" s="316">
        <v>0.57843804700000001</v>
      </c>
      <c r="AR26" s="316">
        <v>0.57843804700000001</v>
      </c>
      <c r="AS26" s="52">
        <v>0.57843804700000001</v>
      </c>
      <c r="AT26" s="316">
        <v>0.57843804700000001</v>
      </c>
      <c r="AV26" s="316" t="s">
        <v>630</v>
      </c>
      <c r="AW26" s="316" t="s">
        <v>909</v>
      </c>
      <c r="AX26" s="316">
        <v>0.19447544700000002</v>
      </c>
      <c r="AY26" s="316">
        <v>0.19447544700000002</v>
      </c>
      <c r="AZ26" s="316">
        <v>0.19447544700000002</v>
      </c>
      <c r="BA26" s="316">
        <v>0.19447544700000002</v>
      </c>
      <c r="BB26" s="52">
        <v>0.19447544700000002</v>
      </c>
      <c r="BD26" s="316" t="s">
        <v>630</v>
      </c>
      <c r="BE26" s="316" t="s">
        <v>910</v>
      </c>
      <c r="BF26" s="316">
        <v>0.25493010799999999</v>
      </c>
      <c r="BG26" s="316">
        <v>0.25493010799999999</v>
      </c>
      <c r="BH26" s="316">
        <v>0.25493010799999999</v>
      </c>
      <c r="BI26" s="316">
        <v>0.25493010799999999</v>
      </c>
      <c r="BJ26" s="316">
        <v>0.25493010799999999</v>
      </c>
      <c r="BM26" s="316" t="s">
        <v>630</v>
      </c>
      <c r="BN26" s="316" t="s">
        <v>911</v>
      </c>
      <c r="BO26" s="316">
        <v>0.35945122599999996</v>
      </c>
      <c r="BP26" s="316">
        <v>0.35945122599999996</v>
      </c>
      <c r="BQ26" s="316">
        <v>0.35945122599999996</v>
      </c>
      <c r="BR26" s="316">
        <v>0.35945122599999996</v>
      </c>
      <c r="BS26" s="52">
        <v>0.35945122599999996</v>
      </c>
      <c r="BT26" s="54"/>
    </row>
    <row r="27" spans="1:72">
      <c r="A27" s="316">
        <v>13</v>
      </c>
      <c r="B27" s="316" t="s">
        <v>1015</v>
      </c>
      <c r="C27" s="316">
        <v>98.6</v>
      </c>
      <c r="D27" s="316">
        <v>98.61</v>
      </c>
      <c r="E27" s="153">
        <v>98.605000000000004</v>
      </c>
      <c r="F27" s="316">
        <v>42354</v>
      </c>
      <c r="G27" s="316" t="s">
        <v>487</v>
      </c>
      <c r="H27" s="316" t="s">
        <v>489</v>
      </c>
      <c r="I27" s="316" t="s">
        <v>1083</v>
      </c>
      <c r="J27" s="55" t="e">
        <v>#N/A</v>
      </c>
      <c r="N27" s="80"/>
      <c r="Q27" s="316" t="s">
        <v>49</v>
      </c>
      <c r="R27" s="316" t="s">
        <v>504</v>
      </c>
      <c r="S27" s="316" t="s">
        <v>49</v>
      </c>
      <c r="T27" s="273">
        <v>41866</v>
      </c>
      <c r="U27" s="316" t="b">
        <v>0</v>
      </c>
      <c r="V27" s="316">
        <v>41808</v>
      </c>
      <c r="W27" s="316" t="s">
        <v>505</v>
      </c>
      <c r="X27" s="52" t="s">
        <v>482</v>
      </c>
      <c r="Y27" s="52">
        <v>3</v>
      </c>
      <c r="Z27" s="316" t="s">
        <v>200</v>
      </c>
      <c r="AA27" s="316">
        <v>41808</v>
      </c>
      <c r="AB27" s="316" t="s">
        <v>214</v>
      </c>
      <c r="AE27" s="316">
        <v>41808</v>
      </c>
      <c r="AF27" s="316" t="s">
        <v>801</v>
      </c>
      <c r="AG27" s="316">
        <v>99.69</v>
      </c>
      <c r="AH27" s="316">
        <v>99.694999999999993</v>
      </c>
      <c r="AI27" s="316">
        <v>99.69</v>
      </c>
      <c r="AJ27" s="52">
        <v>99.694999999999993</v>
      </c>
      <c r="AK27" s="316">
        <v>0.30750000000000455</v>
      </c>
      <c r="AN27" s="316">
        <v>41808</v>
      </c>
      <c r="AO27" s="316" t="s">
        <v>912</v>
      </c>
      <c r="AP27" s="316">
        <v>99.401472022999997</v>
      </c>
      <c r="AQ27" s="316">
        <v>99.401472022999997</v>
      </c>
      <c r="AR27" s="316">
        <v>99.401472022999997</v>
      </c>
      <c r="AS27" s="52">
        <v>99.401472022999997</v>
      </c>
      <c r="AT27" s="316">
        <v>0.59852797700000337</v>
      </c>
      <c r="AV27" s="316">
        <v>41808</v>
      </c>
      <c r="AW27" s="316" t="s">
        <v>1084</v>
      </c>
      <c r="AX27" s="316">
        <v>99.760356204000004</v>
      </c>
      <c r="AY27" s="316">
        <v>99.760356204000004</v>
      </c>
      <c r="AZ27" s="316">
        <v>99.760356204000004</v>
      </c>
      <c r="BA27" s="316">
        <v>99.760356204000004</v>
      </c>
      <c r="BB27" s="52">
        <v>0.23964379599999575</v>
      </c>
      <c r="BD27" s="316">
        <v>41808</v>
      </c>
      <c r="BE27" s="316" t="s">
        <v>1085</v>
      </c>
      <c r="BF27" s="316">
        <v>99.692499999999995</v>
      </c>
      <c r="BG27" s="316">
        <v>99.692499999999995</v>
      </c>
      <c r="BH27" s="316">
        <v>99.692499999999995</v>
      </c>
      <c r="BI27" s="316">
        <v>99.692499999999995</v>
      </c>
      <c r="BJ27" s="316">
        <v>0.30750000000000455</v>
      </c>
      <c r="BM27" s="316">
        <v>41808</v>
      </c>
      <c r="BN27" s="316" t="s">
        <v>1086</v>
      </c>
      <c r="BO27" s="316">
        <v>99.589563764000019</v>
      </c>
      <c r="BP27" s="316">
        <v>99.589563764000019</v>
      </c>
      <c r="BQ27" s="316">
        <v>99.589563764000019</v>
      </c>
      <c r="BR27" s="316">
        <v>99.589563764000019</v>
      </c>
      <c r="BS27" s="52">
        <v>0.41043623599998114</v>
      </c>
      <c r="BT27" s="54"/>
    </row>
    <row r="28" spans="1:72">
      <c r="A28" s="316">
        <v>14</v>
      </c>
      <c r="B28" s="316" t="s">
        <v>1016</v>
      </c>
      <c r="C28" s="316">
        <v>98.32</v>
      </c>
      <c r="D28" s="316">
        <v>98.325000000000003</v>
      </c>
      <c r="E28" s="153">
        <v>98.322500000000005</v>
      </c>
      <c r="F28" s="316">
        <v>42445</v>
      </c>
      <c r="G28" s="316" t="s">
        <v>490</v>
      </c>
      <c r="H28" s="316" t="s">
        <v>492</v>
      </c>
      <c r="I28" s="316" t="s">
        <v>1087</v>
      </c>
      <c r="J28" s="55" t="e">
        <v>#N/A</v>
      </c>
      <c r="N28" s="80"/>
      <c r="Q28" s="316" t="s">
        <v>630</v>
      </c>
      <c r="R28" s="316" t="s">
        <v>507</v>
      </c>
      <c r="S28" s="316" t="s">
        <v>92</v>
      </c>
      <c r="T28" s="273">
        <v>41808</v>
      </c>
      <c r="U28" s="316" t="b">
        <v>1</v>
      </c>
      <c r="V28" s="316">
        <v>41899</v>
      </c>
      <c r="W28" s="316" t="s">
        <v>505</v>
      </c>
      <c r="X28" s="52" t="s">
        <v>483</v>
      </c>
      <c r="Y28" s="52">
        <v>3</v>
      </c>
      <c r="Z28" s="316" t="s">
        <v>201</v>
      </c>
      <c r="AA28" s="316">
        <v>41899</v>
      </c>
      <c r="AB28" s="316" t="s">
        <v>215</v>
      </c>
      <c r="AE28" s="316">
        <v>41899</v>
      </c>
      <c r="AF28" s="316" t="s">
        <v>802</v>
      </c>
      <c r="AG28" s="316">
        <v>99.65</v>
      </c>
      <c r="AH28" s="316">
        <v>99.655000000000001</v>
      </c>
      <c r="AI28" s="316">
        <v>99.65</v>
      </c>
      <c r="AJ28" s="52">
        <v>99.655000000000001</v>
      </c>
      <c r="AK28" s="316">
        <v>0.3475000000000108</v>
      </c>
      <c r="AN28" s="316">
        <v>41899</v>
      </c>
      <c r="AO28" s="316" t="s">
        <v>913</v>
      </c>
      <c r="AP28" s="316">
        <v>99.367952613</v>
      </c>
      <c r="AQ28" s="316">
        <v>99.367952613</v>
      </c>
      <c r="AR28" s="316">
        <v>99.367952613</v>
      </c>
      <c r="AS28" s="52">
        <v>99.367952613</v>
      </c>
      <c r="AT28" s="316">
        <v>0.63204738700000007</v>
      </c>
      <c r="AV28" s="316">
        <v>41899</v>
      </c>
      <c r="AW28" s="316" t="s">
        <v>1088</v>
      </c>
      <c r="AX28" s="316">
        <v>99.729042884999998</v>
      </c>
      <c r="AY28" s="316">
        <v>99.729042884999998</v>
      </c>
      <c r="AZ28" s="316">
        <v>99.729042884999998</v>
      </c>
      <c r="BA28" s="316">
        <v>99.729042884999998</v>
      </c>
      <c r="BB28" s="52">
        <v>0.27095711500000164</v>
      </c>
      <c r="BD28" s="316">
        <v>41899</v>
      </c>
      <c r="BE28" s="316" t="s">
        <v>1089</v>
      </c>
      <c r="BF28" s="316">
        <v>99.652500000000003</v>
      </c>
      <c r="BG28" s="316">
        <v>99.652500000000003</v>
      </c>
      <c r="BH28" s="316">
        <v>99.652500000000003</v>
      </c>
      <c r="BI28" s="316">
        <v>99.652500000000003</v>
      </c>
      <c r="BJ28" s="316">
        <v>0.3475000000000108</v>
      </c>
      <c r="BM28" s="316">
        <v>41899</v>
      </c>
      <c r="BN28" s="316" t="s">
        <v>1090</v>
      </c>
      <c r="BO28" s="316">
        <v>99.550907718999994</v>
      </c>
      <c r="BP28" s="316">
        <v>99.550907718999994</v>
      </c>
      <c r="BQ28" s="316">
        <v>99.550907718999994</v>
      </c>
      <c r="BR28" s="316">
        <v>99.550907718999994</v>
      </c>
      <c r="BS28" s="52">
        <v>0.44909228100000576</v>
      </c>
      <c r="BT28" s="54"/>
    </row>
    <row r="29" spans="1:72">
      <c r="A29" s="316">
        <v>15</v>
      </c>
      <c r="B29" s="316" t="s">
        <v>1017</v>
      </c>
      <c r="C29" s="316">
        <v>98.04</v>
      </c>
      <c r="D29" s="316">
        <v>98.05</v>
      </c>
      <c r="E29" s="153">
        <v>98.045000000000002</v>
      </c>
      <c r="F29" s="316">
        <v>42536</v>
      </c>
      <c r="G29" s="316" t="s">
        <v>745</v>
      </c>
      <c r="H29" s="316" t="s">
        <v>494</v>
      </c>
      <c r="I29" s="316" t="s">
        <v>1091</v>
      </c>
      <c r="J29" s="55" t="e">
        <v>#N/A</v>
      </c>
      <c r="N29" s="80"/>
      <c r="Q29" s="273">
        <v>41808</v>
      </c>
      <c r="R29" s="316" t="s">
        <v>505</v>
      </c>
      <c r="T29" s="273">
        <v>41808</v>
      </c>
      <c r="U29" s="316" t="b">
        <v>1</v>
      </c>
      <c r="V29" s="273">
        <v>41990</v>
      </c>
      <c r="W29" s="316" t="s">
        <v>505</v>
      </c>
      <c r="X29" s="52" t="s">
        <v>573</v>
      </c>
      <c r="Y29" s="52">
        <v>3</v>
      </c>
      <c r="Z29" s="274" t="s">
        <v>202</v>
      </c>
      <c r="AA29" s="316">
        <v>41990</v>
      </c>
      <c r="AB29" s="316" t="s">
        <v>216</v>
      </c>
      <c r="AC29" s="316">
        <v>0</v>
      </c>
      <c r="AD29" s="273"/>
      <c r="AE29" s="316">
        <v>41990</v>
      </c>
      <c r="AF29" s="316" t="s">
        <v>803</v>
      </c>
      <c r="AG29" s="316">
        <v>99.575000000000003</v>
      </c>
      <c r="AH29" s="316">
        <v>99.58</v>
      </c>
      <c r="AI29" s="316">
        <v>99.575000000000003</v>
      </c>
      <c r="AJ29" s="52">
        <v>99.58</v>
      </c>
      <c r="AK29" s="316">
        <v>0.42250000000001364</v>
      </c>
      <c r="AL29" s="273"/>
      <c r="AN29" s="316">
        <v>41990</v>
      </c>
      <c r="AO29" s="316" t="s">
        <v>914</v>
      </c>
      <c r="AP29" s="316">
        <v>99.291530682000015</v>
      </c>
      <c r="AQ29" s="316">
        <v>99.291530682000015</v>
      </c>
      <c r="AR29" s="316">
        <v>99.291530682000015</v>
      </c>
      <c r="AS29" s="52">
        <v>99.291530682000015</v>
      </c>
      <c r="AT29" s="273">
        <v>0.70846931799998458</v>
      </c>
      <c r="AV29" s="316">
        <v>41990</v>
      </c>
      <c r="AW29" s="316" t="s">
        <v>1092</v>
      </c>
      <c r="AX29" s="316">
        <v>99.656981071999979</v>
      </c>
      <c r="AY29" s="316">
        <v>99.656981071999979</v>
      </c>
      <c r="AZ29" s="316">
        <v>99.656981071999979</v>
      </c>
      <c r="BA29" s="316">
        <v>99.656981071999979</v>
      </c>
      <c r="BB29" s="52">
        <v>0.34301892800002065</v>
      </c>
      <c r="BD29" s="316">
        <v>41990</v>
      </c>
      <c r="BE29" s="316" t="s">
        <v>1093</v>
      </c>
      <c r="BF29" s="316">
        <v>99.577500000000001</v>
      </c>
      <c r="BG29" s="316">
        <v>99.577500000000001</v>
      </c>
      <c r="BH29" s="316">
        <v>99.577500000000001</v>
      </c>
      <c r="BI29" s="316">
        <v>99.577500000000001</v>
      </c>
      <c r="BJ29" s="316">
        <v>0.42249999999999943</v>
      </c>
      <c r="BM29" s="316">
        <v>41990</v>
      </c>
      <c r="BN29" s="316" t="s">
        <v>1094</v>
      </c>
      <c r="BO29" s="316">
        <v>99.48623549700001</v>
      </c>
      <c r="BP29" s="316">
        <v>99.48623549700001</v>
      </c>
      <c r="BQ29" s="316">
        <v>99.48623549700001</v>
      </c>
      <c r="BR29" s="316">
        <v>99.48623549700001</v>
      </c>
      <c r="BS29" s="52">
        <v>0.51376450299999021</v>
      </c>
      <c r="BT29" s="54"/>
    </row>
    <row r="30" spans="1:72">
      <c r="A30" s="316">
        <v>16</v>
      </c>
      <c r="B30" s="316" t="s">
        <v>1018</v>
      </c>
      <c r="C30" s="316">
        <v>97.765000000000001</v>
      </c>
      <c r="D30" s="316">
        <v>97.77</v>
      </c>
      <c r="E30" s="153">
        <v>97.767499999999998</v>
      </c>
      <c r="F30" s="316">
        <v>42634</v>
      </c>
      <c r="G30" s="316" t="s">
        <v>1056</v>
      </c>
      <c r="H30" s="316" t="s">
        <v>1057</v>
      </c>
      <c r="I30" s="316" t="s">
        <v>1095</v>
      </c>
      <c r="J30" s="55" t="e">
        <v>#N/A</v>
      </c>
      <c r="N30" s="80"/>
      <c r="Q30" s="273">
        <v>41899</v>
      </c>
      <c r="R30" s="316" t="s">
        <v>505</v>
      </c>
      <c r="T30" s="273">
        <v>41899</v>
      </c>
      <c r="U30" s="316" t="b">
        <v>1</v>
      </c>
      <c r="V30" s="273">
        <v>42081</v>
      </c>
      <c r="W30" s="316" t="s">
        <v>505</v>
      </c>
      <c r="X30" s="52" t="s">
        <v>574</v>
      </c>
      <c r="Y30" s="52">
        <v>3</v>
      </c>
      <c r="Z30" s="274" t="s">
        <v>203</v>
      </c>
      <c r="AA30" s="316">
        <v>42081</v>
      </c>
      <c r="AB30" s="316" t="s">
        <v>217</v>
      </c>
      <c r="AC30" s="316">
        <v>0</v>
      </c>
      <c r="AD30" s="273"/>
      <c r="AE30" s="316">
        <v>42081</v>
      </c>
      <c r="AF30" s="316" t="s">
        <v>804</v>
      </c>
      <c r="AG30" s="316">
        <v>99.474999999999994</v>
      </c>
      <c r="AH30" s="316">
        <v>99.48</v>
      </c>
      <c r="AI30" s="316">
        <v>99.474999999999994</v>
      </c>
      <c r="AJ30" s="52">
        <v>99.48</v>
      </c>
      <c r="AK30" s="316">
        <v>0.52250000000000796</v>
      </c>
      <c r="AL30" s="273"/>
      <c r="AN30" s="316">
        <v>42081</v>
      </c>
      <c r="AO30" s="316" t="s">
        <v>915</v>
      </c>
      <c r="AP30" s="316">
        <v>99.185477359999979</v>
      </c>
      <c r="AQ30" s="316">
        <v>99.185477359999979</v>
      </c>
      <c r="AR30" s="316">
        <v>99.185477359999979</v>
      </c>
      <c r="AS30" s="52">
        <v>99.185477359999979</v>
      </c>
      <c r="AT30" s="273">
        <v>0.81452264000002117</v>
      </c>
      <c r="AV30" s="316">
        <v>42081</v>
      </c>
      <c r="AW30" s="316" t="s">
        <v>1096</v>
      </c>
      <c r="AX30" s="316">
        <v>99.55162759000001</v>
      </c>
      <c r="AY30" s="316">
        <v>99.55162759000001</v>
      </c>
      <c r="AZ30" s="316">
        <v>99.55162759000001</v>
      </c>
      <c r="BA30" s="316">
        <v>99.55162759000001</v>
      </c>
      <c r="BB30" s="52">
        <v>0.4483724099999904</v>
      </c>
      <c r="BD30" s="316">
        <v>42081</v>
      </c>
      <c r="BE30" s="316" t="s">
        <v>1097</v>
      </c>
      <c r="BF30" s="316">
        <v>99.477500000000006</v>
      </c>
      <c r="BG30" s="316">
        <v>99.477500000000006</v>
      </c>
      <c r="BH30" s="316">
        <v>99.477500000000006</v>
      </c>
      <c r="BI30" s="316">
        <v>99.477500000000006</v>
      </c>
      <c r="BJ30" s="316">
        <v>0.52249999999999375</v>
      </c>
      <c r="BM30" s="316">
        <v>42081</v>
      </c>
      <c r="BN30" s="316" t="s">
        <v>1098</v>
      </c>
      <c r="BO30" s="316">
        <v>99.388108072999984</v>
      </c>
      <c r="BP30" s="316">
        <v>99.388108072999984</v>
      </c>
      <c r="BQ30" s="316">
        <v>99.388108072999984</v>
      </c>
      <c r="BR30" s="316">
        <v>99.388108072999984</v>
      </c>
      <c r="BS30" s="52">
        <v>0.61189192700001627</v>
      </c>
      <c r="BT30" s="54"/>
    </row>
    <row r="31" spans="1:72">
      <c r="A31" s="316">
        <v>17</v>
      </c>
      <c r="B31" s="316" t="s">
        <v>1019</v>
      </c>
      <c r="C31" s="316">
        <v>97.495000000000005</v>
      </c>
      <c r="D31" s="316">
        <v>97.5</v>
      </c>
      <c r="E31" s="153">
        <v>97.497500000000002</v>
      </c>
      <c r="F31" s="316">
        <v>42725</v>
      </c>
      <c r="G31" s="316" t="s">
        <v>1059</v>
      </c>
      <c r="H31" s="316" t="s">
        <v>1060</v>
      </c>
      <c r="I31" s="316" t="s">
        <v>1099</v>
      </c>
      <c r="J31" s="55" t="e">
        <v>#N/A</v>
      </c>
      <c r="N31" s="80"/>
      <c r="Q31" s="273">
        <v>41990</v>
      </c>
      <c r="R31" s="316" t="s">
        <v>505</v>
      </c>
      <c r="T31" s="273">
        <v>41990</v>
      </c>
      <c r="U31" s="316" t="b">
        <v>1</v>
      </c>
      <c r="V31" s="273">
        <v>42172</v>
      </c>
      <c r="W31" s="316" t="s">
        <v>505</v>
      </c>
      <c r="X31" s="52" t="s">
        <v>575</v>
      </c>
      <c r="Y31" s="52">
        <v>3</v>
      </c>
      <c r="Z31" s="274" t="s">
        <v>204</v>
      </c>
      <c r="AA31" s="316">
        <v>42172</v>
      </c>
      <c r="AB31" s="316" t="s">
        <v>218</v>
      </c>
      <c r="AC31" s="316">
        <v>0</v>
      </c>
      <c r="AD31" s="273"/>
      <c r="AE31" s="316">
        <v>42172</v>
      </c>
      <c r="AF31" s="316" t="s">
        <v>805</v>
      </c>
      <c r="AG31" s="316">
        <v>99.35</v>
      </c>
      <c r="AH31" s="316">
        <v>99.355000000000004</v>
      </c>
      <c r="AI31" s="316">
        <v>99.35</v>
      </c>
      <c r="AJ31" s="52">
        <v>99.355000000000004</v>
      </c>
      <c r="AK31" s="316">
        <v>0.64750000000000796</v>
      </c>
      <c r="AL31" s="273"/>
      <c r="AN31" s="316">
        <v>42172</v>
      </c>
      <c r="AO31" s="316" t="s">
        <v>916</v>
      </c>
      <c r="AP31" s="316">
        <v>99.054134305000005</v>
      </c>
      <c r="AQ31" s="316">
        <v>99.054134305000005</v>
      </c>
      <c r="AR31" s="316">
        <v>99.054134305000005</v>
      </c>
      <c r="AS31" s="52">
        <v>99.054134305000005</v>
      </c>
      <c r="AT31" s="273">
        <v>0.94586569499999484</v>
      </c>
      <c r="AV31" s="316">
        <v>42172</v>
      </c>
      <c r="AW31" s="316" t="s">
        <v>1100</v>
      </c>
      <c r="AX31" s="316">
        <v>99.418280994000014</v>
      </c>
      <c r="AY31" s="316">
        <v>99.418280994000014</v>
      </c>
      <c r="AZ31" s="316">
        <v>99.418280994000014</v>
      </c>
      <c r="BA31" s="316">
        <v>99.418280994000014</v>
      </c>
      <c r="BB31" s="52">
        <v>0.58171900599998594</v>
      </c>
      <c r="BD31" s="316">
        <v>42172</v>
      </c>
      <c r="BE31" s="316" t="s">
        <v>1101</v>
      </c>
      <c r="BF31" s="316">
        <v>99.352500000000006</v>
      </c>
      <c r="BG31" s="316">
        <v>99.352500000000006</v>
      </c>
      <c r="BH31" s="316">
        <v>99.352500000000006</v>
      </c>
      <c r="BI31" s="316">
        <v>99.352500000000006</v>
      </c>
      <c r="BJ31" s="316">
        <v>0.64750000000000796</v>
      </c>
      <c r="BM31" s="316">
        <v>42172</v>
      </c>
      <c r="BN31" s="316" t="s">
        <v>1102</v>
      </c>
      <c r="BO31" s="316">
        <v>99.25894890299999</v>
      </c>
      <c r="BP31" s="316">
        <v>99.25894890299999</v>
      </c>
      <c r="BQ31" s="316">
        <v>99.25894890299999</v>
      </c>
      <c r="BR31" s="316">
        <v>99.25894890299999</v>
      </c>
      <c r="BS31" s="52">
        <v>0.74105109700001037</v>
      </c>
      <c r="BT31" s="54"/>
    </row>
    <row r="32" spans="1:72">
      <c r="A32" s="316">
        <v>18</v>
      </c>
      <c r="B32" s="316" t="s">
        <v>1020</v>
      </c>
      <c r="C32" s="316">
        <v>97.254999999999995</v>
      </c>
      <c r="D32" s="316">
        <v>97.26</v>
      </c>
      <c r="E32" s="316">
        <v>97.257499999999993</v>
      </c>
      <c r="F32" s="316">
        <v>42809</v>
      </c>
      <c r="G32" s="316" t="s">
        <v>1062</v>
      </c>
      <c r="H32" s="316" t="s">
        <v>1063</v>
      </c>
      <c r="I32" s="316" t="s">
        <v>1103</v>
      </c>
      <c r="J32" s="316" t="e">
        <v>#N/A</v>
      </c>
      <c r="Q32" s="273">
        <v>42081</v>
      </c>
      <c r="R32" s="316" t="s">
        <v>505</v>
      </c>
      <c r="T32" s="273">
        <v>42081</v>
      </c>
      <c r="U32" s="316" t="b">
        <v>1</v>
      </c>
      <c r="V32" s="273">
        <v>42263</v>
      </c>
      <c r="W32" s="316" t="s">
        <v>505</v>
      </c>
      <c r="X32" s="52" t="s">
        <v>718</v>
      </c>
      <c r="Y32" s="52">
        <v>3</v>
      </c>
      <c r="Z32" s="274" t="s">
        <v>223</v>
      </c>
      <c r="AA32" s="316">
        <v>42263</v>
      </c>
      <c r="AB32" s="316" t="s">
        <v>219</v>
      </c>
      <c r="AC32" s="316">
        <v>5.0000000000000001E-3</v>
      </c>
      <c r="AD32" s="273"/>
      <c r="AE32" s="316">
        <v>42263</v>
      </c>
      <c r="AF32" s="316" t="s">
        <v>806</v>
      </c>
      <c r="AG32" s="316">
        <v>99.204999999999998</v>
      </c>
      <c r="AH32" s="316">
        <v>99.21</v>
      </c>
      <c r="AI32" s="316">
        <v>99.204999999999998</v>
      </c>
      <c r="AJ32" s="52">
        <v>99.21</v>
      </c>
      <c r="AK32" s="52">
        <v>0.78749999999998976</v>
      </c>
      <c r="AL32" s="273"/>
      <c r="AN32" s="316">
        <v>42263</v>
      </c>
      <c r="AO32" s="316" t="s">
        <v>917</v>
      </c>
      <c r="AP32" s="316">
        <v>98.897383045000012</v>
      </c>
      <c r="AQ32" s="316">
        <v>98.897383045000012</v>
      </c>
      <c r="AR32" s="316">
        <v>98.897383045000012</v>
      </c>
      <c r="AS32" s="52">
        <v>98.897383045000012</v>
      </c>
      <c r="AT32" s="273">
        <v>1.0976169549999879</v>
      </c>
      <c r="AV32" s="316">
        <v>42263</v>
      </c>
      <c r="AW32" s="316" t="s">
        <v>1104</v>
      </c>
      <c r="AX32" s="316">
        <v>99.256905681000021</v>
      </c>
      <c r="AY32" s="316">
        <v>99.256905681000021</v>
      </c>
      <c r="AZ32" s="316">
        <v>99.256905681000021</v>
      </c>
      <c r="BA32" s="316">
        <v>99.256905681000021</v>
      </c>
      <c r="BB32" s="52">
        <v>0.73809431899997946</v>
      </c>
      <c r="BD32" s="316">
        <v>42263</v>
      </c>
      <c r="BE32" s="316" t="s">
        <v>1105</v>
      </c>
      <c r="BF32" s="316">
        <v>99.207499999999996</v>
      </c>
      <c r="BG32" s="316">
        <v>99.207499999999996</v>
      </c>
      <c r="BH32" s="316">
        <v>99.207499999999996</v>
      </c>
      <c r="BI32" s="316">
        <v>99.207499999999996</v>
      </c>
      <c r="BJ32" s="316">
        <v>0.79249999999998977</v>
      </c>
      <c r="BM32" s="316">
        <v>42263</v>
      </c>
      <c r="BN32" s="316" t="s">
        <v>1106</v>
      </c>
      <c r="BO32" s="316">
        <v>99.09882174900001</v>
      </c>
      <c r="BP32" s="316">
        <v>99.09882174900001</v>
      </c>
      <c r="BQ32" s="316">
        <v>99.09882174900001</v>
      </c>
      <c r="BR32" s="316">
        <v>99.09882174900001</v>
      </c>
      <c r="BS32" s="52">
        <v>0.90117825099999038</v>
      </c>
      <c r="BT32" s="54"/>
    </row>
    <row r="33" spans="1:72">
      <c r="A33" s="316">
        <v>19</v>
      </c>
      <c r="B33" s="316" t="s">
        <v>1021</v>
      </c>
      <c r="C33" s="316">
        <v>97.015000000000001</v>
      </c>
      <c r="D33" s="316">
        <v>97.02</v>
      </c>
      <c r="E33" s="316">
        <v>97.017499999999998</v>
      </c>
      <c r="F33" s="316">
        <v>42907</v>
      </c>
      <c r="G33" s="316" t="s">
        <v>1065</v>
      </c>
      <c r="H33" s="316" t="s">
        <v>1066</v>
      </c>
      <c r="I33" s="316" t="s">
        <v>1107</v>
      </c>
      <c r="J33" s="316" t="e">
        <v>#N/A</v>
      </c>
      <c r="Q33" s="273">
        <v>42172</v>
      </c>
      <c r="R33" s="316" t="s">
        <v>505</v>
      </c>
      <c r="T33" s="273">
        <v>42172</v>
      </c>
      <c r="U33" s="316" t="b">
        <v>1</v>
      </c>
      <c r="V33" s="273" t="s">
        <v>10</v>
      </c>
      <c r="W33" s="316" t="s">
        <v>508</v>
      </c>
      <c r="X33" s="52" t="s">
        <v>576</v>
      </c>
      <c r="Y33" s="52">
        <v>4</v>
      </c>
      <c r="Z33" s="274" t="s">
        <v>10</v>
      </c>
      <c r="AA33" s="316">
        <v>42689</v>
      </c>
      <c r="AB33" s="316" t="s">
        <v>10</v>
      </c>
      <c r="AC33" s="316" t="s">
        <v>65</v>
      </c>
      <c r="AD33" s="273"/>
      <c r="AE33" s="316" t="s">
        <v>10</v>
      </c>
      <c r="AF33" s="316" t="s">
        <v>919</v>
      </c>
      <c r="AG33" s="316">
        <v>0.69899999999999995</v>
      </c>
      <c r="AH33" s="316">
        <v>0.69899999999999995</v>
      </c>
      <c r="AI33" s="316">
        <v>0.69899999999999995</v>
      </c>
      <c r="AJ33" s="52">
        <v>0.69899999999999995</v>
      </c>
      <c r="AK33" s="316">
        <v>0.69899999999999995</v>
      </c>
      <c r="AL33" s="273"/>
      <c r="AN33" s="316" t="s">
        <v>10</v>
      </c>
      <c r="AO33" s="316" t="s">
        <v>918</v>
      </c>
      <c r="AP33" s="316">
        <v>0.99821233799999987</v>
      </c>
      <c r="AQ33" s="316">
        <v>0.99821233799999987</v>
      </c>
      <c r="AR33" s="316">
        <v>0.99821233799999987</v>
      </c>
      <c r="AS33" s="52">
        <v>0.99821233799999987</v>
      </c>
      <c r="AT33" s="273">
        <v>0.99821233799999987</v>
      </c>
      <c r="AV33" s="316" t="s">
        <v>10</v>
      </c>
      <c r="AW33" s="316" t="s">
        <v>1108</v>
      </c>
      <c r="AX33" s="316">
        <v>0.63256211999999978</v>
      </c>
      <c r="AY33" s="316">
        <v>0.63256211999999978</v>
      </c>
      <c r="AZ33" s="316">
        <v>0.63256211999999978</v>
      </c>
      <c r="BA33" s="316">
        <v>0.63256211999999978</v>
      </c>
      <c r="BB33" s="52">
        <v>0.63256211999999978</v>
      </c>
      <c r="BD33" s="316" t="s">
        <v>10</v>
      </c>
      <c r="BE33" s="316" t="s">
        <v>919</v>
      </c>
      <c r="BF33" s="316">
        <v>0.69899999999999995</v>
      </c>
      <c r="BG33" s="316">
        <v>0.69899999999999995</v>
      </c>
      <c r="BH33" s="316">
        <v>0.69899999999999995</v>
      </c>
      <c r="BI33" s="316">
        <v>0.69899999999999995</v>
      </c>
      <c r="BJ33" s="316">
        <v>0.69899999999999995</v>
      </c>
      <c r="BM33" s="316" t="s">
        <v>10</v>
      </c>
      <c r="BN33" s="316" t="s">
        <v>920</v>
      </c>
      <c r="BO33" s="316">
        <v>0.79957545499999993</v>
      </c>
      <c r="BP33" s="316">
        <v>0.79957545499999993</v>
      </c>
      <c r="BQ33" s="316">
        <v>0.79957545499999993</v>
      </c>
      <c r="BR33" s="316">
        <v>0.79957545499999993</v>
      </c>
      <c r="BS33" s="52">
        <v>0.79957545499999993</v>
      </c>
      <c r="BT33" s="54"/>
    </row>
    <row r="34" spans="1:72">
      <c r="A34" s="316">
        <v>20</v>
      </c>
      <c r="B34" s="316" t="s">
        <v>1022</v>
      </c>
      <c r="C34" s="316">
        <v>96.795000000000002</v>
      </c>
      <c r="D34" s="316">
        <v>96.8</v>
      </c>
      <c r="E34" s="316">
        <v>96.797499999999999</v>
      </c>
      <c r="F34" s="316">
        <v>42998</v>
      </c>
      <c r="G34" s="316" t="s">
        <v>1068</v>
      </c>
      <c r="H34" s="316" t="s">
        <v>1069</v>
      </c>
      <c r="I34" s="316" t="s">
        <v>1109</v>
      </c>
      <c r="J34" s="316" t="e">
        <v>#N/A</v>
      </c>
      <c r="Q34" s="273">
        <v>42263</v>
      </c>
      <c r="R34" s="316" t="s">
        <v>505</v>
      </c>
      <c r="T34" s="273">
        <v>42263</v>
      </c>
      <c r="U34" s="316" t="b">
        <v>1</v>
      </c>
      <c r="V34" s="273" t="s">
        <v>11</v>
      </c>
      <c r="W34" s="316" t="s">
        <v>508</v>
      </c>
      <c r="X34" s="52" t="s">
        <v>577</v>
      </c>
      <c r="Y34" s="52">
        <v>4</v>
      </c>
      <c r="Z34" s="274" t="s">
        <v>11</v>
      </c>
      <c r="AA34" s="316">
        <v>43054</v>
      </c>
      <c r="AB34" s="316" t="s">
        <v>11</v>
      </c>
      <c r="AC34" s="316" t="s">
        <v>65</v>
      </c>
      <c r="AD34" s="273"/>
      <c r="AE34" s="316" t="s">
        <v>11</v>
      </c>
      <c r="AF34" s="316" t="s">
        <v>922</v>
      </c>
      <c r="AG34" s="316">
        <v>1.091</v>
      </c>
      <c r="AH34" s="316">
        <v>1.091</v>
      </c>
      <c r="AI34" s="316">
        <v>1.091</v>
      </c>
      <c r="AJ34" s="52">
        <v>1.091</v>
      </c>
      <c r="AK34" s="316">
        <v>1.091</v>
      </c>
      <c r="AL34" s="273"/>
      <c r="AN34" s="316" t="s">
        <v>11</v>
      </c>
      <c r="AO34" s="316" t="s">
        <v>921</v>
      </c>
      <c r="AP34" s="316">
        <v>1.3859029730000001</v>
      </c>
      <c r="AQ34" s="316">
        <v>1.3859029730000001</v>
      </c>
      <c r="AR34" s="316">
        <v>1.3859029730000001</v>
      </c>
      <c r="AS34" s="52">
        <v>1.3859029730000001</v>
      </c>
      <c r="AT34" s="273">
        <v>1.3859029730000001</v>
      </c>
      <c r="AV34" s="316" t="s">
        <v>11</v>
      </c>
      <c r="AW34" s="316" t="s">
        <v>1110</v>
      </c>
      <c r="AX34" s="316">
        <v>1.0222378040000002</v>
      </c>
      <c r="AY34" s="316">
        <v>1.0222378040000002</v>
      </c>
      <c r="AZ34" s="316">
        <v>1.0222378040000002</v>
      </c>
      <c r="BA34" s="316">
        <v>1.0222378040000002</v>
      </c>
      <c r="BB34" s="52">
        <v>1.0222378040000002</v>
      </c>
      <c r="BD34" s="316" t="s">
        <v>11</v>
      </c>
      <c r="BE34" s="316" t="s">
        <v>922</v>
      </c>
      <c r="BF34" s="316">
        <v>1.091</v>
      </c>
      <c r="BG34" s="316">
        <v>1.091</v>
      </c>
      <c r="BH34" s="316">
        <v>1.091</v>
      </c>
      <c r="BI34" s="316">
        <v>1.091</v>
      </c>
      <c r="BJ34" s="316">
        <v>1.091</v>
      </c>
      <c r="BM34" s="316" t="s">
        <v>11</v>
      </c>
      <c r="BN34" s="316" t="s">
        <v>923</v>
      </c>
      <c r="BO34" s="316">
        <v>1.1930941159999999</v>
      </c>
      <c r="BP34" s="316">
        <v>1.1930941159999999</v>
      </c>
      <c r="BQ34" s="316">
        <v>1.1930941159999999</v>
      </c>
      <c r="BR34" s="316">
        <v>1.1930941159999999</v>
      </c>
      <c r="BS34" s="52">
        <v>1.1930941159999999</v>
      </c>
      <c r="BT34" s="54"/>
    </row>
    <row r="35" spans="1:72">
      <c r="R35" s="316" t="s">
        <v>505</v>
      </c>
      <c r="T35" s="316" t="s">
        <v>65</v>
      </c>
      <c r="U35" s="316" t="b">
        <v>0</v>
      </c>
      <c r="V35" s="316" t="s">
        <v>12</v>
      </c>
      <c r="W35" s="316" t="s">
        <v>508</v>
      </c>
      <c r="X35" s="52" t="s">
        <v>578</v>
      </c>
      <c r="Y35" s="52">
        <v>4</v>
      </c>
      <c r="Z35" s="316" t="s">
        <v>12</v>
      </c>
      <c r="AA35" s="316">
        <v>43419</v>
      </c>
      <c r="AB35" s="316" t="s">
        <v>12</v>
      </c>
      <c r="AE35" s="316" t="s">
        <v>12</v>
      </c>
      <c r="AF35" s="316" t="s">
        <v>925</v>
      </c>
      <c r="AG35" s="316">
        <v>1.498</v>
      </c>
      <c r="AH35" s="316">
        <v>1.498</v>
      </c>
      <c r="AI35" s="316">
        <v>1.498</v>
      </c>
      <c r="AJ35" s="52">
        <v>1.498</v>
      </c>
      <c r="AK35" s="316">
        <v>1.498</v>
      </c>
      <c r="AN35" s="316" t="s">
        <v>12</v>
      </c>
      <c r="AO35" s="316" t="s">
        <v>924</v>
      </c>
      <c r="AP35" s="316">
        <v>1.7882651600000001</v>
      </c>
      <c r="AQ35" s="316">
        <v>1.7882651600000001</v>
      </c>
      <c r="AR35" s="316">
        <v>1.7882651600000001</v>
      </c>
      <c r="AS35" s="52">
        <v>1.7882651600000001</v>
      </c>
      <c r="AT35" s="316">
        <v>1.7882651600000001</v>
      </c>
      <c r="AV35" s="316" t="s">
        <v>12</v>
      </c>
      <c r="AW35" s="316" t="s">
        <v>1111</v>
      </c>
      <c r="AX35" s="316">
        <v>1.427285189</v>
      </c>
      <c r="AY35" s="316">
        <v>1.427285189</v>
      </c>
      <c r="AZ35" s="316">
        <v>1.427285189</v>
      </c>
      <c r="BA35" s="316">
        <v>1.427285189</v>
      </c>
      <c r="BB35" s="52">
        <v>1.427285189</v>
      </c>
      <c r="BD35" s="316" t="s">
        <v>12</v>
      </c>
      <c r="BE35" s="316" t="s">
        <v>925</v>
      </c>
      <c r="BF35" s="316">
        <v>1.498</v>
      </c>
      <c r="BG35" s="316">
        <v>1.498</v>
      </c>
      <c r="BH35" s="316">
        <v>1.498</v>
      </c>
      <c r="BI35" s="316">
        <v>1.498</v>
      </c>
      <c r="BJ35" s="316">
        <v>1.498</v>
      </c>
      <c r="BM35" s="316" t="s">
        <v>12</v>
      </c>
      <c r="BN35" s="316" t="s">
        <v>926</v>
      </c>
      <c r="BO35" s="316">
        <v>1.6004518830000001</v>
      </c>
      <c r="BP35" s="316">
        <v>1.6004518830000001</v>
      </c>
      <c r="BQ35" s="316">
        <v>1.6004518830000001</v>
      </c>
      <c r="BR35" s="316">
        <v>1.6004518830000001</v>
      </c>
      <c r="BS35" s="52">
        <v>1.6004518830000001</v>
      </c>
      <c r="BT35" s="54"/>
    </row>
    <row r="36" spans="1:72">
      <c r="R36" s="316" t="s">
        <v>505</v>
      </c>
      <c r="T36" s="316" t="s">
        <v>65</v>
      </c>
      <c r="U36" s="316" t="b">
        <v>0</v>
      </c>
      <c r="V36" s="316" t="s">
        <v>13</v>
      </c>
      <c r="W36" s="316" t="s">
        <v>508</v>
      </c>
      <c r="X36" s="52" t="s">
        <v>579</v>
      </c>
      <c r="Y36" s="52">
        <v>4</v>
      </c>
      <c r="Z36" s="316" t="s">
        <v>13</v>
      </c>
      <c r="AA36" s="316">
        <v>43784</v>
      </c>
      <c r="AB36" s="316" t="s">
        <v>13</v>
      </c>
      <c r="AE36" s="316" t="s">
        <v>13</v>
      </c>
      <c r="AF36" s="316" t="s">
        <v>928</v>
      </c>
      <c r="AG36" s="316">
        <v>1.875</v>
      </c>
      <c r="AH36" s="316">
        <v>1.875</v>
      </c>
      <c r="AI36" s="316">
        <v>1.875</v>
      </c>
      <c r="AJ36" s="52">
        <v>1.875</v>
      </c>
      <c r="AK36" s="316">
        <v>1.875</v>
      </c>
      <c r="AN36" s="316" t="s">
        <v>13</v>
      </c>
      <c r="AO36" s="316" t="s">
        <v>927</v>
      </c>
      <c r="AP36" s="316">
        <v>2.1614809199999998</v>
      </c>
      <c r="AQ36" s="316">
        <v>2.1614809199999998</v>
      </c>
      <c r="AR36" s="316">
        <v>2.1614809199999998</v>
      </c>
      <c r="AS36" s="52">
        <v>2.1614809199999998</v>
      </c>
      <c r="AT36" s="316">
        <v>2.1614809199999998</v>
      </c>
      <c r="AV36" s="316" t="s">
        <v>13</v>
      </c>
      <c r="AW36" s="316" t="s">
        <v>1112</v>
      </c>
      <c r="AX36" s="316">
        <v>1.8073011399999999</v>
      </c>
      <c r="AY36" s="316">
        <v>1.8073011399999999</v>
      </c>
      <c r="AZ36" s="316">
        <v>1.8073011399999999</v>
      </c>
      <c r="BA36" s="316">
        <v>1.8073011399999999</v>
      </c>
      <c r="BB36" s="52">
        <v>1.8073011399999999</v>
      </c>
      <c r="BD36" s="316" t="s">
        <v>13</v>
      </c>
      <c r="BE36" s="316" t="s">
        <v>928</v>
      </c>
      <c r="BF36" s="316">
        <v>1.875</v>
      </c>
      <c r="BG36" s="316">
        <v>1.875</v>
      </c>
      <c r="BH36" s="316">
        <v>1.875</v>
      </c>
      <c r="BI36" s="316">
        <v>1.875</v>
      </c>
      <c r="BJ36" s="316">
        <v>1.875</v>
      </c>
      <c r="BM36" s="316" t="s">
        <v>13</v>
      </c>
      <c r="BN36" s="316" t="s">
        <v>929</v>
      </c>
      <c r="BO36" s="316">
        <v>1.9786674469999999</v>
      </c>
      <c r="BP36" s="316">
        <v>1.9786674469999999</v>
      </c>
      <c r="BQ36" s="316">
        <v>1.9786674469999999</v>
      </c>
      <c r="BR36" s="316">
        <v>1.9786674469999999</v>
      </c>
      <c r="BS36" s="52">
        <v>1.9786674469999999</v>
      </c>
      <c r="BT36" s="54"/>
    </row>
    <row r="37" spans="1:72">
      <c r="R37" s="316" t="s">
        <v>505</v>
      </c>
      <c r="T37" s="316" t="s">
        <v>65</v>
      </c>
      <c r="U37" s="316" t="b">
        <v>0</v>
      </c>
      <c r="V37" s="316" t="s">
        <v>14</v>
      </c>
      <c r="W37" s="316" t="s">
        <v>508</v>
      </c>
      <c r="X37" s="52" t="s">
        <v>580</v>
      </c>
      <c r="Y37" s="52">
        <v>4</v>
      </c>
      <c r="Z37" s="316" t="s">
        <v>14</v>
      </c>
      <c r="AA37" s="316">
        <v>44151</v>
      </c>
      <c r="AB37" s="316" t="s">
        <v>14</v>
      </c>
      <c r="AE37" s="316" t="s">
        <v>14</v>
      </c>
      <c r="AF37" s="316" t="s">
        <v>931</v>
      </c>
      <c r="AG37" s="316">
        <v>2.1819999999999999</v>
      </c>
      <c r="AH37" s="316">
        <v>2.1819999999999999</v>
      </c>
      <c r="AI37" s="316">
        <v>2.1819999999999999</v>
      </c>
      <c r="AJ37" s="52">
        <v>2.1819999999999999</v>
      </c>
      <c r="AK37" s="316">
        <v>2.1819999999999999</v>
      </c>
      <c r="AN37" s="316" t="s">
        <v>14</v>
      </c>
      <c r="AO37" s="316" t="s">
        <v>930</v>
      </c>
      <c r="AP37" s="316">
        <v>2.4649237980000005</v>
      </c>
      <c r="AQ37" s="316">
        <v>2.4649237980000005</v>
      </c>
      <c r="AR37" s="316">
        <v>2.4649237980000005</v>
      </c>
      <c r="AS37" s="52">
        <v>2.4649237980000005</v>
      </c>
      <c r="AT37" s="316">
        <v>2.4649237980000005</v>
      </c>
      <c r="AV37" s="316" t="s">
        <v>14</v>
      </c>
      <c r="AW37" s="316" t="s">
        <v>1113</v>
      </c>
      <c r="AX37" s="316">
        <v>2.1153173400000003</v>
      </c>
      <c r="AY37" s="316">
        <v>2.1153173400000003</v>
      </c>
      <c r="AZ37" s="316">
        <v>2.1153173400000003</v>
      </c>
      <c r="BA37" s="316">
        <v>2.1153173400000003</v>
      </c>
      <c r="BB37" s="52">
        <v>2.1153173400000003</v>
      </c>
      <c r="BD37" s="316" t="s">
        <v>14</v>
      </c>
      <c r="BE37" s="316" t="s">
        <v>931</v>
      </c>
      <c r="BF37" s="316">
        <v>2.1819999999999999</v>
      </c>
      <c r="BG37" s="316">
        <v>2.1819999999999999</v>
      </c>
      <c r="BH37" s="316">
        <v>2.1819999999999999</v>
      </c>
      <c r="BI37" s="316">
        <v>2.1819999999999999</v>
      </c>
      <c r="BJ37" s="316">
        <v>2.1819999999999999</v>
      </c>
      <c r="BM37" s="316" t="s">
        <v>14</v>
      </c>
      <c r="BN37" s="316" t="s">
        <v>932</v>
      </c>
      <c r="BO37" s="316">
        <v>2.2859776680000006</v>
      </c>
      <c r="BP37" s="316">
        <v>2.2859776680000006</v>
      </c>
      <c r="BQ37" s="316">
        <v>2.2859776680000006</v>
      </c>
      <c r="BR37" s="316">
        <v>2.2859776680000006</v>
      </c>
      <c r="BS37" s="52">
        <v>2.2859776680000006</v>
      </c>
      <c r="BT37" s="54"/>
    </row>
    <row r="38" spans="1:72">
      <c r="E38" s="316" t="s">
        <v>73</v>
      </c>
      <c r="F38" s="316" t="s">
        <v>74</v>
      </c>
      <c r="G38" s="316" t="s">
        <v>75</v>
      </c>
      <c r="R38" s="316" t="s">
        <v>505</v>
      </c>
      <c r="T38" s="316" t="s">
        <v>65</v>
      </c>
      <c r="U38" s="316" t="b">
        <v>0</v>
      </c>
      <c r="V38" s="316" t="s">
        <v>15</v>
      </c>
      <c r="W38" s="316" t="s">
        <v>508</v>
      </c>
      <c r="X38" s="52" t="s">
        <v>581</v>
      </c>
      <c r="Y38" s="52">
        <v>4</v>
      </c>
      <c r="Z38" s="316" t="s">
        <v>15</v>
      </c>
      <c r="AA38" s="316">
        <v>44515</v>
      </c>
      <c r="AB38" s="316" t="s">
        <v>15</v>
      </c>
      <c r="AE38" s="316" t="s">
        <v>15</v>
      </c>
      <c r="AF38" s="316" t="s">
        <v>934</v>
      </c>
      <c r="AG38" s="316">
        <v>2.4389999999999996</v>
      </c>
      <c r="AH38" s="316">
        <v>2.4389999999999996</v>
      </c>
      <c r="AI38" s="316">
        <v>2.4389999999999996</v>
      </c>
      <c r="AJ38" s="52">
        <v>2.4389999999999996</v>
      </c>
      <c r="AK38" s="316">
        <v>2.4389999999999996</v>
      </c>
      <c r="AN38" s="316" t="s">
        <v>15</v>
      </c>
      <c r="AO38" s="316" t="s">
        <v>933</v>
      </c>
      <c r="AP38" s="316">
        <v>2.7184725389999995</v>
      </c>
      <c r="AQ38" s="316">
        <v>2.7184725389999995</v>
      </c>
      <c r="AR38" s="316">
        <v>2.7184725389999995</v>
      </c>
      <c r="AS38" s="52">
        <v>2.7184725389999995</v>
      </c>
      <c r="AT38" s="316">
        <v>2.7184725389999995</v>
      </c>
      <c r="AV38" s="316" t="s">
        <v>15</v>
      </c>
      <c r="AW38" s="316" t="s">
        <v>1114</v>
      </c>
      <c r="AX38" s="316">
        <v>2.3745155680000001</v>
      </c>
      <c r="AY38" s="316">
        <v>2.3745155680000001</v>
      </c>
      <c r="AZ38" s="316">
        <v>2.3745155680000001</v>
      </c>
      <c r="BA38" s="316">
        <v>2.3745155680000001</v>
      </c>
      <c r="BB38" s="52">
        <v>2.3745155680000001</v>
      </c>
      <c r="BD38" s="316" t="s">
        <v>15</v>
      </c>
      <c r="BE38" s="316" t="s">
        <v>934</v>
      </c>
      <c r="BF38" s="316">
        <v>2.4389999999999996</v>
      </c>
      <c r="BG38" s="316">
        <v>2.4389999999999996</v>
      </c>
      <c r="BH38" s="316">
        <v>2.4389999999999996</v>
      </c>
      <c r="BI38" s="316">
        <v>2.4389999999999996</v>
      </c>
      <c r="BJ38" s="316">
        <v>2.4389999999999996</v>
      </c>
      <c r="BM38" s="316" t="s">
        <v>15</v>
      </c>
      <c r="BN38" s="316" t="s">
        <v>935</v>
      </c>
      <c r="BO38" s="316">
        <v>2.5443585139999998</v>
      </c>
      <c r="BP38" s="316">
        <v>2.5443585139999998</v>
      </c>
      <c r="BQ38" s="316">
        <v>2.5443585139999998</v>
      </c>
      <c r="BR38" s="316">
        <v>2.5443585139999998</v>
      </c>
      <c r="BS38" s="52">
        <v>2.5443585139999998</v>
      </c>
      <c r="BT38" s="54"/>
    </row>
    <row r="39" spans="1:72">
      <c r="B39" s="274" t="s">
        <v>79</v>
      </c>
      <c r="C39" s="273" t="s">
        <v>192</v>
      </c>
      <c r="D39" s="316" t="s">
        <v>1115</v>
      </c>
      <c r="E39" s="316" t="s">
        <v>1116</v>
      </c>
      <c r="F39" s="316" t="s">
        <v>1116</v>
      </c>
      <c r="G39" s="316" t="e">
        <v>#VALUE!</v>
      </c>
      <c r="H39" s="316" t="s">
        <v>1117</v>
      </c>
      <c r="I39" s="316" t="s">
        <v>839</v>
      </c>
      <c r="Q39" s="316" t="s">
        <v>10</v>
      </c>
      <c r="R39" s="316" t="s">
        <v>508</v>
      </c>
      <c r="T39" s="316">
        <v>42689</v>
      </c>
      <c r="U39" s="316" t="b">
        <v>1</v>
      </c>
      <c r="V39" s="316" t="s">
        <v>16</v>
      </c>
      <c r="W39" s="316" t="s">
        <v>508</v>
      </c>
      <c r="X39" s="52" t="s">
        <v>582</v>
      </c>
      <c r="Y39" s="52">
        <v>4</v>
      </c>
      <c r="Z39" s="316" t="s">
        <v>16</v>
      </c>
      <c r="AA39" s="316">
        <v>44880</v>
      </c>
      <c r="AB39" s="316" t="s">
        <v>16</v>
      </c>
      <c r="AE39" s="316" t="s">
        <v>16</v>
      </c>
      <c r="AF39" s="316" t="s">
        <v>937</v>
      </c>
      <c r="AG39" s="316">
        <v>2.6509999999999998</v>
      </c>
      <c r="AH39" s="316">
        <v>2.6509999999999998</v>
      </c>
      <c r="AI39" s="316">
        <v>2.6509999999999998</v>
      </c>
      <c r="AJ39" s="52">
        <v>2.6509999999999998</v>
      </c>
      <c r="AK39" s="52">
        <v>2.6509999999999998</v>
      </c>
      <c r="AN39" s="316" t="s">
        <v>16</v>
      </c>
      <c r="AO39" s="316" t="s">
        <v>936</v>
      </c>
      <c r="AP39" s="316">
        <v>2.9271933860000003</v>
      </c>
      <c r="AQ39" s="316">
        <v>2.9271933860000003</v>
      </c>
      <c r="AR39" s="316">
        <v>2.9271933860000003</v>
      </c>
      <c r="AS39" s="52">
        <v>2.9271933860000003</v>
      </c>
      <c r="AT39" s="316">
        <v>2.9271933860000003</v>
      </c>
      <c r="AV39" s="316" t="s">
        <v>16</v>
      </c>
      <c r="AW39" s="316" t="s">
        <v>1118</v>
      </c>
      <c r="AX39" s="316">
        <v>2.5906628909999996</v>
      </c>
      <c r="AY39" s="316">
        <v>2.5906628909999996</v>
      </c>
      <c r="AZ39" s="316">
        <v>2.5906628909999996</v>
      </c>
      <c r="BA39" s="316">
        <v>2.5906628909999996</v>
      </c>
      <c r="BB39" s="52">
        <v>2.5906628909999996</v>
      </c>
      <c r="BD39" s="316" t="s">
        <v>16</v>
      </c>
      <c r="BE39" s="316" t="s">
        <v>937</v>
      </c>
      <c r="BF39" s="316">
        <v>2.6509999999999998</v>
      </c>
      <c r="BG39" s="316">
        <v>2.6509999999999998</v>
      </c>
      <c r="BH39" s="316">
        <v>2.6509999999999998</v>
      </c>
      <c r="BI39" s="316">
        <v>2.6509999999999998</v>
      </c>
      <c r="BJ39" s="316">
        <v>2.6509999999999998</v>
      </c>
      <c r="BM39" s="316" t="s">
        <v>16</v>
      </c>
      <c r="BN39" s="316" t="s">
        <v>938</v>
      </c>
      <c r="BO39" s="316">
        <v>2.7567929649999998</v>
      </c>
      <c r="BP39" s="316">
        <v>2.7567929649999998</v>
      </c>
      <c r="BQ39" s="316">
        <v>2.7567929649999998</v>
      </c>
      <c r="BR39" s="316">
        <v>2.7567929649999998</v>
      </c>
      <c r="BS39" s="52">
        <v>2.7567929649999998</v>
      </c>
      <c r="BT39" s="54"/>
    </row>
    <row r="40" spans="1:72">
      <c r="B40" s="274" t="s">
        <v>80</v>
      </c>
      <c r="C40" s="273" t="s">
        <v>192</v>
      </c>
      <c r="D40" s="316" t="s">
        <v>1119</v>
      </c>
      <c r="E40" s="316" t="s">
        <v>1116</v>
      </c>
      <c r="F40" s="316" t="s">
        <v>1116</v>
      </c>
      <c r="G40" s="316" t="e">
        <v>#VALUE!</v>
      </c>
      <c r="H40" s="316" t="s">
        <v>1117</v>
      </c>
      <c r="I40" s="316" t="s">
        <v>821</v>
      </c>
      <c r="L40" s="81"/>
      <c r="Q40" s="316" t="s">
        <v>11</v>
      </c>
      <c r="R40" s="316" t="s">
        <v>508</v>
      </c>
      <c r="T40" s="316">
        <v>43054</v>
      </c>
      <c r="U40" s="316" t="b">
        <v>1</v>
      </c>
      <c r="V40" s="316" t="s">
        <v>17</v>
      </c>
      <c r="W40" s="316" t="s">
        <v>508</v>
      </c>
      <c r="X40" s="52" t="s">
        <v>583</v>
      </c>
      <c r="Y40" s="52">
        <v>4</v>
      </c>
      <c r="Z40" s="316" t="s">
        <v>17</v>
      </c>
      <c r="AA40" s="316">
        <v>45245</v>
      </c>
      <c r="AB40" s="316" t="s">
        <v>17</v>
      </c>
      <c r="AE40" s="316" t="s">
        <v>17</v>
      </c>
      <c r="AF40" s="316" t="s">
        <v>940</v>
      </c>
      <c r="AG40" s="316">
        <v>2.8289999999999997</v>
      </c>
      <c r="AH40" s="316">
        <v>2.8289999999999997</v>
      </c>
      <c r="AI40" s="316">
        <v>2.8289999999999997</v>
      </c>
      <c r="AJ40" s="52">
        <v>2.8289999999999997</v>
      </c>
      <c r="AK40" s="316">
        <v>2.8289999999999997</v>
      </c>
      <c r="AN40" s="316" t="s">
        <v>17</v>
      </c>
      <c r="AO40" s="316" t="s">
        <v>939</v>
      </c>
      <c r="AP40" s="316">
        <v>3.1020380929999996</v>
      </c>
      <c r="AQ40" s="316">
        <v>3.1020380929999996</v>
      </c>
      <c r="AR40" s="316">
        <v>3.1020380929999996</v>
      </c>
      <c r="AS40" s="52">
        <v>3.1020380929999996</v>
      </c>
      <c r="AT40" s="316">
        <v>3.1020380929999996</v>
      </c>
      <c r="AV40" s="316" t="s">
        <v>17</v>
      </c>
      <c r="AW40" s="316" t="s">
        <v>1120</v>
      </c>
      <c r="AX40" s="316">
        <v>2.7729414299999995</v>
      </c>
      <c r="AY40" s="316">
        <v>2.7729414299999995</v>
      </c>
      <c r="AZ40" s="316">
        <v>2.7729414299999995</v>
      </c>
      <c r="BA40" s="316">
        <v>2.7729414299999995</v>
      </c>
      <c r="BB40" s="52">
        <v>2.7729414299999995</v>
      </c>
      <c r="BD40" s="316" t="s">
        <v>17</v>
      </c>
      <c r="BE40" s="316" t="s">
        <v>940</v>
      </c>
      <c r="BF40" s="316">
        <v>2.8289999999999997</v>
      </c>
      <c r="BG40" s="316">
        <v>2.8289999999999997</v>
      </c>
      <c r="BH40" s="316">
        <v>2.8289999999999997</v>
      </c>
      <c r="BI40" s="316">
        <v>2.8289999999999997</v>
      </c>
      <c r="BJ40" s="316">
        <v>2.8289999999999997</v>
      </c>
      <c r="BM40" s="316" t="s">
        <v>17</v>
      </c>
      <c r="BN40" s="316" t="s">
        <v>941</v>
      </c>
      <c r="BO40" s="316">
        <v>2.935297705</v>
      </c>
      <c r="BP40" s="316">
        <v>2.935297705</v>
      </c>
      <c r="BQ40" s="316">
        <v>2.935297705</v>
      </c>
      <c r="BR40" s="316">
        <v>2.935297705</v>
      </c>
      <c r="BS40" s="52">
        <v>2.935297705</v>
      </c>
      <c r="BT40" s="54"/>
    </row>
    <row r="41" spans="1:72">
      <c r="B41" s="274" t="s">
        <v>81</v>
      </c>
      <c r="C41" s="273" t="s">
        <v>192</v>
      </c>
      <c r="D41" s="316" t="s">
        <v>1121</v>
      </c>
      <c r="E41" s="316" t="s">
        <v>1116</v>
      </c>
      <c r="F41" s="316" t="s">
        <v>1116</v>
      </c>
      <c r="G41" s="316" t="e">
        <v>#VALUE!</v>
      </c>
      <c r="H41" s="316" t="s">
        <v>1117</v>
      </c>
      <c r="I41" s="316" t="s">
        <v>1117</v>
      </c>
      <c r="L41" s="81"/>
      <c r="Q41" s="316" t="s">
        <v>12</v>
      </c>
      <c r="R41" s="316" t="s">
        <v>508</v>
      </c>
      <c r="T41" s="316">
        <v>43419</v>
      </c>
      <c r="U41" s="316" t="b">
        <v>1</v>
      </c>
      <c r="V41" s="316" t="s">
        <v>31</v>
      </c>
      <c r="W41" s="316" t="s">
        <v>508</v>
      </c>
      <c r="X41" s="52" t="s">
        <v>584</v>
      </c>
      <c r="Y41" s="52">
        <v>4</v>
      </c>
      <c r="Z41" s="316" t="s">
        <v>31</v>
      </c>
      <c r="AA41" s="316">
        <v>45611</v>
      </c>
      <c r="AB41" s="316" t="s">
        <v>31</v>
      </c>
      <c r="AE41" s="316" t="s">
        <v>31</v>
      </c>
      <c r="AF41" s="316" t="s">
        <v>943</v>
      </c>
      <c r="AG41" s="316">
        <v>2.9810885620000001</v>
      </c>
      <c r="AH41" s="316">
        <v>2.9810885620000001</v>
      </c>
      <c r="AI41" s="316">
        <v>2.9810885620000001</v>
      </c>
      <c r="AJ41" s="52">
        <v>2.9810885620000001</v>
      </c>
      <c r="AK41" s="316">
        <v>2.9810885620000001</v>
      </c>
      <c r="AN41" s="316" t="s">
        <v>31</v>
      </c>
      <c r="AO41" s="316" t="s">
        <v>942</v>
      </c>
      <c r="AP41" s="316">
        <v>3.2512805450000002</v>
      </c>
      <c r="AQ41" s="316">
        <v>3.2512805450000002</v>
      </c>
      <c r="AR41" s="316">
        <v>3.2512805450000002</v>
      </c>
      <c r="AS41" s="52">
        <v>3.2512805450000002</v>
      </c>
      <c r="AT41" s="316">
        <v>3.2512805450000002</v>
      </c>
      <c r="AV41" s="316" t="s">
        <v>31</v>
      </c>
      <c r="AW41" s="316" t="s">
        <v>1122</v>
      </c>
      <c r="AX41" s="316">
        <v>2.9266453179999994</v>
      </c>
      <c r="AY41" s="316">
        <v>2.9266453179999994</v>
      </c>
      <c r="AZ41" s="316">
        <v>2.9266453179999994</v>
      </c>
      <c r="BA41" s="316">
        <v>2.9266453179999994</v>
      </c>
      <c r="BB41" s="52">
        <v>2.9266453179999994</v>
      </c>
      <c r="BD41" s="316" t="s">
        <v>31</v>
      </c>
      <c r="BE41" s="316" t="s">
        <v>943</v>
      </c>
      <c r="BF41" s="316">
        <v>2.9810885620000001</v>
      </c>
      <c r="BG41" s="316">
        <v>2.9810885620000001</v>
      </c>
      <c r="BH41" s="316">
        <v>2.9810885620000001</v>
      </c>
      <c r="BI41" s="316">
        <v>2.9810885620000001</v>
      </c>
      <c r="BJ41" s="316">
        <v>2.9810885620000001</v>
      </c>
      <c r="BM41" s="316" t="s">
        <v>31</v>
      </c>
      <c r="BN41" s="316" t="s">
        <v>944</v>
      </c>
      <c r="BO41" s="316">
        <v>3.0874171910000001</v>
      </c>
      <c r="BP41" s="316">
        <v>3.0874171910000001</v>
      </c>
      <c r="BQ41" s="316">
        <v>3.0874171910000001</v>
      </c>
      <c r="BR41" s="316">
        <v>3.0874171910000001</v>
      </c>
      <c r="BS41" s="52">
        <v>3.0874171910000001</v>
      </c>
      <c r="BT41" s="54"/>
    </row>
    <row r="42" spans="1:72">
      <c r="B42" s="274" t="s">
        <v>82</v>
      </c>
      <c r="C42" s="273" t="s">
        <v>192</v>
      </c>
      <c r="D42" s="316" t="s">
        <v>1123</v>
      </c>
      <c r="E42" s="316" t="s">
        <v>1116</v>
      </c>
      <c r="F42" s="316" t="s">
        <v>1116</v>
      </c>
      <c r="G42" s="316" t="e">
        <v>#VALUE!</v>
      </c>
      <c r="H42" s="316" t="s">
        <v>1117</v>
      </c>
      <c r="L42" s="81"/>
      <c r="Q42" s="316" t="s">
        <v>13</v>
      </c>
      <c r="R42" s="316" t="s">
        <v>508</v>
      </c>
      <c r="T42" s="316">
        <v>43784</v>
      </c>
      <c r="U42" s="316" t="b">
        <v>1</v>
      </c>
      <c r="V42" s="316" t="s">
        <v>18</v>
      </c>
      <c r="W42" s="316" t="s">
        <v>508</v>
      </c>
      <c r="X42" s="52" t="s">
        <v>585</v>
      </c>
      <c r="Y42" s="52">
        <v>4</v>
      </c>
      <c r="Z42" s="316" t="s">
        <v>18</v>
      </c>
      <c r="AA42" s="316">
        <v>45978</v>
      </c>
      <c r="AB42" s="316" t="s">
        <v>18</v>
      </c>
      <c r="AE42" s="316" t="s">
        <v>18</v>
      </c>
      <c r="AF42" s="316" t="s">
        <v>946</v>
      </c>
      <c r="AG42" s="316">
        <v>3.109</v>
      </c>
      <c r="AH42" s="316">
        <v>3.109</v>
      </c>
      <c r="AI42" s="316">
        <v>3.109</v>
      </c>
      <c r="AJ42" s="52">
        <v>3.109</v>
      </c>
      <c r="AK42" s="316">
        <v>3.109</v>
      </c>
      <c r="AN42" s="316" t="s">
        <v>18</v>
      </c>
      <c r="AO42" s="316" t="s">
        <v>945</v>
      </c>
      <c r="AP42" s="316">
        <v>3.3768511689999992</v>
      </c>
      <c r="AQ42" s="316">
        <v>3.3768511689999992</v>
      </c>
      <c r="AR42" s="316">
        <v>3.3768511689999992</v>
      </c>
      <c r="AS42" s="52">
        <v>3.3768511689999992</v>
      </c>
      <c r="AT42" s="316">
        <v>3.3768511689999992</v>
      </c>
      <c r="AV42" s="316" t="s">
        <v>18</v>
      </c>
      <c r="AW42" s="316" t="s">
        <v>1124</v>
      </c>
      <c r="AX42" s="316">
        <v>3.0554069829999992</v>
      </c>
      <c r="AY42" s="316">
        <v>3.0554069829999992</v>
      </c>
      <c r="AZ42" s="316">
        <v>3.0554069829999992</v>
      </c>
      <c r="BA42" s="316">
        <v>3.0554069829999992</v>
      </c>
      <c r="BB42" s="52">
        <v>3.0554069829999992</v>
      </c>
      <c r="BD42" s="316" t="s">
        <v>18</v>
      </c>
      <c r="BE42" s="316" t="s">
        <v>946</v>
      </c>
      <c r="BF42" s="316">
        <v>3.109</v>
      </c>
      <c r="BG42" s="316">
        <v>3.109</v>
      </c>
      <c r="BH42" s="316">
        <v>3.109</v>
      </c>
      <c r="BI42" s="316">
        <v>3.109</v>
      </c>
      <c r="BJ42" s="316">
        <v>3.109</v>
      </c>
      <c r="BM42" s="316" t="s">
        <v>18</v>
      </c>
      <c r="BN42" s="316" t="s">
        <v>947</v>
      </c>
      <c r="BO42" s="316">
        <v>3.2152427979999998</v>
      </c>
      <c r="BP42" s="316">
        <v>3.2152427979999998</v>
      </c>
      <c r="BQ42" s="316">
        <v>3.2152427979999998</v>
      </c>
      <c r="BR42" s="316">
        <v>3.2152427979999998</v>
      </c>
      <c r="BS42" s="52">
        <v>3.2152427979999998</v>
      </c>
      <c r="BT42" s="54"/>
    </row>
    <row r="43" spans="1:72">
      <c r="B43" s="274"/>
      <c r="C43" s="273"/>
      <c r="L43" s="81"/>
      <c r="Q43" s="316" t="s">
        <v>14</v>
      </c>
      <c r="R43" s="316" t="s">
        <v>508</v>
      </c>
      <c r="T43" s="316">
        <v>44151</v>
      </c>
      <c r="U43" s="316" t="b">
        <v>1</v>
      </c>
      <c r="V43" s="316" t="s">
        <v>32</v>
      </c>
      <c r="W43" s="316" t="s">
        <v>508</v>
      </c>
      <c r="X43" s="52" t="s">
        <v>586</v>
      </c>
      <c r="Y43" s="52">
        <v>4</v>
      </c>
      <c r="Z43" s="316" t="s">
        <v>32</v>
      </c>
      <c r="AA43" s="316">
        <v>46342</v>
      </c>
      <c r="AB43" s="316" t="s">
        <v>32</v>
      </c>
      <c r="AE43" s="316" t="s">
        <v>32</v>
      </c>
      <c r="AF43" s="316" t="s">
        <v>949</v>
      </c>
      <c r="AG43" s="316">
        <v>3.2132724919999998</v>
      </c>
      <c r="AH43" s="316">
        <v>3.2132724919999998</v>
      </c>
      <c r="AI43" s="316">
        <v>3.2132724919999998</v>
      </c>
      <c r="AJ43" s="52">
        <v>3.2132724919999998</v>
      </c>
      <c r="AK43" s="316">
        <v>3.2132724919999998</v>
      </c>
      <c r="AN43" s="316" t="s">
        <v>32</v>
      </c>
      <c r="AO43" s="316" t="s">
        <v>948</v>
      </c>
      <c r="AP43" s="316">
        <v>3.4785220400000001</v>
      </c>
      <c r="AQ43" s="316">
        <v>3.4785220400000001</v>
      </c>
      <c r="AR43" s="316">
        <v>3.4785220400000001</v>
      </c>
      <c r="AS43" s="52">
        <v>3.4785220400000001</v>
      </c>
      <c r="AT43" s="316">
        <v>3.4785220400000001</v>
      </c>
      <c r="AV43" s="316" t="s">
        <v>32</v>
      </c>
      <c r="AW43" s="316" t="s">
        <v>1125</v>
      </c>
      <c r="AX43" s="316">
        <v>3.1614881589999997</v>
      </c>
      <c r="AY43" s="316">
        <v>3.1614881589999997</v>
      </c>
      <c r="AZ43" s="316">
        <v>3.1614881589999997</v>
      </c>
      <c r="BA43" s="316">
        <v>3.1614881589999997</v>
      </c>
      <c r="BB43" s="52">
        <v>3.1614881589999997</v>
      </c>
      <c r="BD43" s="316" t="s">
        <v>32</v>
      </c>
      <c r="BE43" s="316" t="s">
        <v>949</v>
      </c>
      <c r="BF43" s="316">
        <v>3.2132724919999998</v>
      </c>
      <c r="BG43" s="316">
        <v>3.2132724919999998</v>
      </c>
      <c r="BH43" s="316">
        <v>3.2132724919999998</v>
      </c>
      <c r="BI43" s="316">
        <v>3.2132724919999998</v>
      </c>
      <c r="BJ43" s="316">
        <v>3.2132724919999998</v>
      </c>
      <c r="BM43" s="316" t="s">
        <v>32</v>
      </c>
      <c r="BN43" s="316" t="s">
        <v>950</v>
      </c>
      <c r="BO43" s="316">
        <v>3.3197098809999996</v>
      </c>
      <c r="BP43" s="316">
        <v>3.3197098809999996</v>
      </c>
      <c r="BQ43" s="316">
        <v>3.3197098809999996</v>
      </c>
      <c r="BR43" s="316">
        <v>3.3197098809999996</v>
      </c>
      <c r="BS43" s="52">
        <v>3.3197098809999996</v>
      </c>
      <c r="BT43" s="54"/>
    </row>
    <row r="44" spans="1:72">
      <c r="E44" s="316" t="s">
        <v>73</v>
      </c>
      <c r="F44" s="316" t="s">
        <v>74</v>
      </c>
      <c r="G44" s="316" t="s">
        <v>75</v>
      </c>
      <c r="Q44" s="316" t="s">
        <v>15</v>
      </c>
      <c r="R44" s="316" t="s">
        <v>508</v>
      </c>
      <c r="T44" s="316">
        <v>44515</v>
      </c>
      <c r="U44" s="316" t="b">
        <v>1</v>
      </c>
      <c r="V44" s="316" t="s">
        <v>33</v>
      </c>
      <c r="W44" s="316" t="s">
        <v>508</v>
      </c>
      <c r="X44" s="52" t="s">
        <v>587</v>
      </c>
      <c r="Y44" s="52">
        <v>4</v>
      </c>
      <c r="Z44" s="316" t="s">
        <v>33</v>
      </c>
      <c r="AA44" s="316">
        <v>46706</v>
      </c>
      <c r="AB44" s="316" t="s">
        <v>33</v>
      </c>
      <c r="AE44" s="316" t="s">
        <v>33</v>
      </c>
      <c r="AF44" s="316" t="s">
        <v>952</v>
      </c>
      <c r="AG44" s="316">
        <v>3.2992544819999998</v>
      </c>
      <c r="AH44" s="316">
        <v>3.2992544819999998</v>
      </c>
      <c r="AI44" s="316">
        <v>3.2992544819999998</v>
      </c>
      <c r="AJ44" s="52">
        <v>3.2992544819999998</v>
      </c>
      <c r="AK44" s="316">
        <v>3.2992544819999998</v>
      </c>
      <c r="AN44" s="316" t="s">
        <v>33</v>
      </c>
      <c r="AO44" s="316" t="s">
        <v>951</v>
      </c>
      <c r="AP44" s="316">
        <v>3.5619906430000001</v>
      </c>
      <c r="AQ44" s="316">
        <v>3.5619906430000001</v>
      </c>
      <c r="AR44" s="316">
        <v>3.5619906430000001</v>
      </c>
      <c r="AS44" s="52">
        <v>3.5619906430000001</v>
      </c>
      <c r="AT44" s="316">
        <v>3.5619906430000001</v>
      </c>
      <c r="AV44" s="316" t="s">
        <v>33</v>
      </c>
      <c r="AW44" s="316" t="s">
        <v>1126</v>
      </c>
      <c r="AX44" s="316">
        <v>3.2498023329999994</v>
      </c>
      <c r="AY44" s="316">
        <v>3.2498023329999994</v>
      </c>
      <c r="AZ44" s="316">
        <v>3.2498023329999994</v>
      </c>
      <c r="BA44" s="316">
        <v>3.2498023329999994</v>
      </c>
      <c r="BB44" s="52">
        <v>3.2498023329999994</v>
      </c>
      <c r="BD44" s="316" t="s">
        <v>33</v>
      </c>
      <c r="BE44" s="316" t="s">
        <v>952</v>
      </c>
      <c r="BF44" s="316">
        <v>3.2992544819999998</v>
      </c>
      <c r="BG44" s="316">
        <v>3.2992544819999998</v>
      </c>
      <c r="BH44" s="316">
        <v>3.2992544819999998</v>
      </c>
      <c r="BI44" s="316">
        <v>3.2992544819999998</v>
      </c>
      <c r="BJ44" s="316">
        <v>3.2992544819999998</v>
      </c>
      <c r="BM44" s="316" t="s">
        <v>33</v>
      </c>
      <c r="BN44" s="316" t="s">
        <v>953</v>
      </c>
      <c r="BO44" s="316">
        <v>3.4060258289999994</v>
      </c>
      <c r="BP44" s="316">
        <v>3.4060258289999994</v>
      </c>
      <c r="BQ44" s="316">
        <v>3.4060258289999994</v>
      </c>
      <c r="BR44" s="316">
        <v>3.4060258289999994</v>
      </c>
      <c r="BS44" s="52">
        <v>3.4060258289999994</v>
      </c>
      <c r="BT44" s="54"/>
    </row>
    <row r="45" spans="1:72">
      <c r="B45" s="316" t="s">
        <v>79</v>
      </c>
      <c r="C45" s="316" t="s">
        <v>213</v>
      </c>
      <c r="D45" s="316" t="s">
        <v>1127</v>
      </c>
      <c r="E45" s="316" t="s">
        <v>1116</v>
      </c>
      <c r="F45" s="316" t="s">
        <v>1116</v>
      </c>
      <c r="G45" s="316" t="e">
        <v>#VALUE!</v>
      </c>
      <c r="H45" s="316" t="s">
        <v>1117</v>
      </c>
      <c r="I45" s="316" t="s">
        <v>840</v>
      </c>
      <c r="Q45" s="316" t="s">
        <v>16</v>
      </c>
      <c r="R45" s="316" t="s">
        <v>508</v>
      </c>
      <c r="T45" s="316">
        <v>44880</v>
      </c>
      <c r="U45" s="316" t="b">
        <v>1</v>
      </c>
      <c r="V45" s="316" t="s">
        <v>19</v>
      </c>
      <c r="W45" s="316" t="s">
        <v>508</v>
      </c>
      <c r="X45" s="52" t="s">
        <v>588</v>
      </c>
      <c r="Y45" s="52">
        <v>4</v>
      </c>
      <c r="Z45" s="316" t="s">
        <v>19</v>
      </c>
      <c r="AA45" s="316">
        <v>47072</v>
      </c>
      <c r="AB45" s="316" t="s">
        <v>19</v>
      </c>
      <c r="AE45" s="316" t="s">
        <v>19</v>
      </c>
      <c r="AF45" s="316" t="s">
        <v>955</v>
      </c>
      <c r="AG45" s="316">
        <v>3.3709999999999996</v>
      </c>
      <c r="AH45" s="316">
        <v>3.3709999999999996</v>
      </c>
      <c r="AI45" s="316">
        <v>3.3709999999999996</v>
      </c>
      <c r="AJ45" s="52">
        <v>3.3709999999999996</v>
      </c>
      <c r="AK45" s="316">
        <v>3.3709999999999996</v>
      </c>
      <c r="AN45" s="316" t="s">
        <v>19</v>
      </c>
      <c r="AO45" s="316" t="s">
        <v>954</v>
      </c>
      <c r="AP45" s="316">
        <v>3.6316048899999998</v>
      </c>
      <c r="AQ45" s="316">
        <v>3.6316048899999998</v>
      </c>
      <c r="AR45" s="316">
        <v>3.6316048899999998</v>
      </c>
      <c r="AS45" s="52">
        <v>3.6316048899999998</v>
      </c>
      <c r="AT45" s="316">
        <v>3.6316048899999998</v>
      </c>
      <c r="AV45" s="316" t="s">
        <v>19</v>
      </c>
      <c r="AW45" s="316" t="s">
        <v>1128</v>
      </c>
      <c r="AX45" s="316">
        <v>3.3237594219999997</v>
      </c>
      <c r="AY45" s="316">
        <v>3.3237594219999997</v>
      </c>
      <c r="AZ45" s="316">
        <v>3.3237594219999997</v>
      </c>
      <c r="BA45" s="316">
        <v>3.3237594219999997</v>
      </c>
      <c r="BB45" s="52">
        <v>3.3237594219999997</v>
      </c>
      <c r="BD45" s="316" t="s">
        <v>19</v>
      </c>
      <c r="BE45" s="316" t="s">
        <v>955</v>
      </c>
      <c r="BF45" s="316">
        <v>3.3709999999999996</v>
      </c>
      <c r="BG45" s="316">
        <v>3.3709999999999996</v>
      </c>
      <c r="BH45" s="316">
        <v>3.3709999999999996</v>
      </c>
      <c r="BI45" s="316">
        <v>3.3709999999999996</v>
      </c>
      <c r="BJ45" s="316">
        <v>3.3709999999999996</v>
      </c>
      <c r="BM45" s="316" t="s">
        <v>19</v>
      </c>
      <c r="BN45" s="316" t="s">
        <v>956</v>
      </c>
      <c r="BO45" s="316">
        <v>3.4780598619999998</v>
      </c>
      <c r="BP45" s="316">
        <v>3.4780598619999998</v>
      </c>
      <c r="BQ45" s="316">
        <v>3.4780598619999998</v>
      </c>
      <c r="BR45" s="316">
        <v>3.4780598619999998</v>
      </c>
      <c r="BS45" s="52">
        <v>3.4780598619999998</v>
      </c>
      <c r="BT45" s="54"/>
    </row>
    <row r="46" spans="1:72">
      <c r="B46" s="316" t="s">
        <v>80</v>
      </c>
      <c r="C46" s="316" t="s">
        <v>213</v>
      </c>
      <c r="D46" s="316" t="s">
        <v>1129</v>
      </c>
      <c r="E46" s="316" t="s">
        <v>1116</v>
      </c>
      <c r="F46" s="316" t="s">
        <v>1116</v>
      </c>
      <c r="G46" s="316" t="e">
        <v>#VALUE!</v>
      </c>
      <c r="H46" s="316" t="s">
        <v>1117</v>
      </c>
      <c r="I46" s="316" t="s">
        <v>822</v>
      </c>
      <c r="J46" s="81"/>
      <c r="Q46" s="316" t="s">
        <v>17</v>
      </c>
      <c r="R46" s="316" t="s">
        <v>508</v>
      </c>
      <c r="T46" s="316">
        <v>45245</v>
      </c>
      <c r="U46" s="316" t="b">
        <v>1</v>
      </c>
      <c r="V46" s="316" t="s">
        <v>34</v>
      </c>
      <c r="W46" s="316" t="s">
        <v>508</v>
      </c>
      <c r="X46" s="52" t="s">
        <v>589</v>
      </c>
      <c r="Y46" s="52">
        <v>4</v>
      </c>
      <c r="Z46" s="316" t="s">
        <v>34</v>
      </c>
      <c r="AA46" s="316">
        <v>47437</v>
      </c>
      <c r="AB46" s="316" t="s">
        <v>34</v>
      </c>
      <c r="AE46" s="316" t="s">
        <v>34</v>
      </c>
      <c r="AF46" s="316" t="s">
        <v>958</v>
      </c>
      <c r="AG46" s="316">
        <v>3.4306512139999996</v>
      </c>
      <c r="AH46" s="316">
        <v>3.4306512139999996</v>
      </c>
      <c r="AI46" s="316">
        <v>3.4306512139999996</v>
      </c>
      <c r="AJ46" s="52">
        <v>3.4306512139999996</v>
      </c>
      <c r="AK46" s="316">
        <v>3.4306512139999996</v>
      </c>
      <c r="AN46" s="316" t="s">
        <v>34</v>
      </c>
      <c r="AO46" s="316" t="s">
        <v>957</v>
      </c>
      <c r="AP46" s="316">
        <v>3.6892529309999995</v>
      </c>
      <c r="AQ46" s="316">
        <v>3.6892529309999995</v>
      </c>
      <c r="AR46" s="316">
        <v>3.6892529309999995</v>
      </c>
      <c r="AS46" s="52">
        <v>3.6892529309999995</v>
      </c>
      <c r="AT46" s="316">
        <v>3.6892529309999995</v>
      </c>
      <c r="AV46" s="316" t="s">
        <v>34</v>
      </c>
      <c r="AW46" s="316" t="s">
        <v>1130</v>
      </c>
      <c r="AX46" s="316">
        <v>3.3851226739999998</v>
      </c>
      <c r="AY46" s="316">
        <v>3.3851226739999998</v>
      </c>
      <c r="AZ46" s="316">
        <v>3.3851226739999998</v>
      </c>
      <c r="BA46" s="316">
        <v>3.3851226739999998</v>
      </c>
      <c r="BB46" s="52">
        <v>3.3851226739999998</v>
      </c>
      <c r="BD46" s="316" t="s">
        <v>34</v>
      </c>
      <c r="BE46" s="316" t="s">
        <v>958</v>
      </c>
      <c r="BF46" s="316">
        <v>3.4306512139999996</v>
      </c>
      <c r="BG46" s="316">
        <v>3.4306512139999996</v>
      </c>
      <c r="BH46" s="316">
        <v>3.4306512139999996</v>
      </c>
      <c r="BI46" s="316">
        <v>3.4306512139999996</v>
      </c>
      <c r="BJ46" s="316">
        <v>3.4306512139999996</v>
      </c>
      <c r="BM46" s="316" t="s">
        <v>34</v>
      </c>
      <c r="BN46" s="316" t="s">
        <v>959</v>
      </c>
      <c r="BO46" s="316">
        <v>3.5378498119999997</v>
      </c>
      <c r="BP46" s="316">
        <v>3.5378498119999997</v>
      </c>
      <c r="BQ46" s="316">
        <v>3.5378498119999997</v>
      </c>
      <c r="BR46" s="316">
        <v>3.5378498119999997</v>
      </c>
      <c r="BS46" s="52">
        <v>3.5378498119999997</v>
      </c>
      <c r="BT46" s="54"/>
    </row>
    <row r="47" spans="1:72">
      <c r="B47" s="316" t="s">
        <v>81</v>
      </c>
      <c r="C47" s="316" t="s">
        <v>213</v>
      </c>
      <c r="D47" s="316" t="s">
        <v>1131</v>
      </c>
      <c r="E47" s="316" t="s">
        <v>1116</v>
      </c>
      <c r="F47" s="316" t="s">
        <v>1116</v>
      </c>
      <c r="G47" s="316" t="e">
        <v>#VALUE!</v>
      </c>
      <c r="H47" s="316" t="s">
        <v>1117</v>
      </c>
      <c r="I47" s="316" t="s">
        <v>823</v>
      </c>
      <c r="J47" s="81"/>
      <c r="Q47" s="316" t="s">
        <v>31</v>
      </c>
      <c r="R47" s="316" t="s">
        <v>508</v>
      </c>
      <c r="T47" s="316">
        <v>45611</v>
      </c>
      <c r="U47" s="316" t="b">
        <v>1</v>
      </c>
      <c r="V47" s="316" t="s">
        <v>35</v>
      </c>
      <c r="W47" s="316" t="s">
        <v>508</v>
      </c>
      <c r="X47" s="52" t="s">
        <v>590</v>
      </c>
      <c r="Y47" s="52">
        <v>4</v>
      </c>
      <c r="Z47" s="316" t="s">
        <v>35</v>
      </c>
      <c r="AA47" s="316">
        <v>47802</v>
      </c>
      <c r="AB47" s="316" t="s">
        <v>35</v>
      </c>
      <c r="AE47" s="316" t="s">
        <v>35</v>
      </c>
      <c r="AF47" s="316" t="s">
        <v>961</v>
      </c>
      <c r="AG47" s="316">
        <v>3.4807970470000007</v>
      </c>
      <c r="AH47" s="316">
        <v>3.4807970470000007</v>
      </c>
      <c r="AI47" s="316">
        <v>3.4807970470000007</v>
      </c>
      <c r="AJ47" s="52">
        <v>3.4807970470000007</v>
      </c>
      <c r="AK47" s="316">
        <v>3.4807970470000007</v>
      </c>
      <c r="AN47" s="316" t="s">
        <v>35</v>
      </c>
      <c r="AO47" s="316" t="s">
        <v>960</v>
      </c>
      <c r="AP47" s="316">
        <v>3.7376253289999997</v>
      </c>
      <c r="AQ47" s="316">
        <v>3.7376253289999997</v>
      </c>
      <c r="AR47" s="316">
        <v>3.7376253289999997</v>
      </c>
      <c r="AS47" s="52">
        <v>3.7376253289999997</v>
      </c>
      <c r="AT47" s="316">
        <v>3.7376253289999997</v>
      </c>
      <c r="AV47" s="316" t="s">
        <v>35</v>
      </c>
      <c r="AW47" s="316" t="s">
        <v>1132</v>
      </c>
      <c r="AX47" s="316">
        <v>3.4365855789999995</v>
      </c>
      <c r="AY47" s="316">
        <v>3.4365855789999995</v>
      </c>
      <c r="AZ47" s="316">
        <v>3.4365855789999995</v>
      </c>
      <c r="BA47" s="316">
        <v>3.4365855789999995</v>
      </c>
      <c r="BB47" s="52">
        <v>3.4365855789999995</v>
      </c>
      <c r="BD47" s="316" t="s">
        <v>35</v>
      </c>
      <c r="BE47" s="316" t="s">
        <v>961</v>
      </c>
      <c r="BF47" s="316">
        <v>3.4807970470000007</v>
      </c>
      <c r="BG47" s="316">
        <v>3.4807970470000007</v>
      </c>
      <c r="BH47" s="316">
        <v>3.4807970470000007</v>
      </c>
      <c r="BI47" s="316">
        <v>3.4807970470000007</v>
      </c>
      <c r="BJ47" s="316">
        <v>3.4807970470000007</v>
      </c>
      <c r="BM47" s="316" t="s">
        <v>35</v>
      </c>
      <c r="BN47" s="316" t="s">
        <v>962</v>
      </c>
      <c r="BO47" s="316">
        <v>3.588021313</v>
      </c>
      <c r="BP47" s="316">
        <v>3.588021313</v>
      </c>
      <c r="BQ47" s="316">
        <v>3.588021313</v>
      </c>
      <c r="BR47" s="316">
        <v>3.588021313</v>
      </c>
      <c r="BS47" s="52">
        <v>3.588021313</v>
      </c>
      <c r="BT47" s="54"/>
    </row>
    <row r="48" spans="1:72">
      <c r="B48" s="316" t="s">
        <v>82</v>
      </c>
      <c r="C48" s="316" t="s">
        <v>213</v>
      </c>
      <c r="D48" s="316" t="s">
        <v>1133</v>
      </c>
      <c r="E48" s="316" t="s">
        <v>1116</v>
      </c>
      <c r="F48" s="316" t="s">
        <v>1116</v>
      </c>
      <c r="G48" s="316" t="e">
        <v>#VALUE!</v>
      </c>
      <c r="H48" s="316" t="s">
        <v>1117</v>
      </c>
      <c r="Q48" s="316" t="s">
        <v>18</v>
      </c>
      <c r="R48" s="316" t="s">
        <v>508</v>
      </c>
      <c r="T48" s="316">
        <v>45978</v>
      </c>
      <c r="U48" s="316" t="b">
        <v>1</v>
      </c>
      <c r="V48" s="316" t="s">
        <v>36</v>
      </c>
      <c r="W48" s="316" t="s">
        <v>508</v>
      </c>
      <c r="X48" s="52" t="s">
        <v>591</v>
      </c>
      <c r="Y48" s="52">
        <v>4</v>
      </c>
      <c r="Z48" s="316" t="s">
        <v>36</v>
      </c>
      <c r="AA48" s="316">
        <v>48169</v>
      </c>
      <c r="AB48" s="316" t="s">
        <v>36</v>
      </c>
      <c r="AE48" s="316" t="s">
        <v>36</v>
      </c>
      <c r="AF48" s="316" t="s">
        <v>964</v>
      </c>
      <c r="AG48" s="316">
        <v>3.5235356850000001</v>
      </c>
      <c r="AH48" s="316">
        <v>3.5235356850000001</v>
      </c>
      <c r="AI48" s="316">
        <v>3.5235356850000001</v>
      </c>
      <c r="AJ48" s="52">
        <v>3.5235356850000001</v>
      </c>
      <c r="AK48" s="316">
        <v>3.5235356850000001</v>
      </c>
      <c r="AN48" s="316" t="s">
        <v>36</v>
      </c>
      <c r="AO48" s="316" t="s">
        <v>963</v>
      </c>
      <c r="AP48" s="316">
        <v>3.7788254189999995</v>
      </c>
      <c r="AQ48" s="316">
        <v>3.7788254189999995</v>
      </c>
      <c r="AR48" s="316">
        <v>3.7788254189999995</v>
      </c>
      <c r="AS48" s="52">
        <v>3.7788254189999995</v>
      </c>
      <c r="AT48" s="316">
        <v>3.7788254189999995</v>
      </c>
      <c r="AV48" s="316" t="s">
        <v>36</v>
      </c>
      <c r="AW48" s="316" t="s">
        <v>1134</v>
      </c>
      <c r="AX48" s="316">
        <v>3.4804048720000003</v>
      </c>
      <c r="AY48" s="316">
        <v>3.4804048720000003</v>
      </c>
      <c r="AZ48" s="316">
        <v>3.4804048720000003</v>
      </c>
      <c r="BA48" s="316">
        <v>3.4804048720000003</v>
      </c>
      <c r="BB48" s="52">
        <v>3.4804048720000003</v>
      </c>
      <c r="BD48" s="316" t="s">
        <v>36</v>
      </c>
      <c r="BE48" s="316" t="s">
        <v>964</v>
      </c>
      <c r="BF48" s="316">
        <v>3.5235356850000001</v>
      </c>
      <c r="BG48" s="316">
        <v>3.5235356850000001</v>
      </c>
      <c r="BH48" s="316">
        <v>3.5235356850000001</v>
      </c>
      <c r="BI48" s="316">
        <v>3.5235356850000001</v>
      </c>
      <c r="BJ48" s="316">
        <v>3.5235356850000001</v>
      </c>
      <c r="BM48" s="316" t="s">
        <v>36</v>
      </c>
      <c r="BN48" s="316" t="s">
        <v>965</v>
      </c>
      <c r="BO48" s="316">
        <v>3.6307217630000004</v>
      </c>
      <c r="BP48" s="316">
        <v>3.6307217630000004</v>
      </c>
      <c r="BQ48" s="316">
        <v>3.6307217630000004</v>
      </c>
      <c r="BR48" s="316">
        <v>3.6307217630000004</v>
      </c>
      <c r="BS48" s="52">
        <v>3.6307217630000004</v>
      </c>
      <c r="BT48" s="54"/>
    </row>
    <row r="49" spans="10:72">
      <c r="K49" s="81"/>
      <c r="L49" s="81"/>
      <c r="Q49" s="316" t="s">
        <v>32</v>
      </c>
      <c r="R49" s="316" t="s">
        <v>508</v>
      </c>
      <c r="T49" s="316">
        <v>46342</v>
      </c>
      <c r="U49" s="316" t="b">
        <v>1</v>
      </c>
      <c r="V49" s="316" t="s">
        <v>37</v>
      </c>
      <c r="W49" s="316" t="s">
        <v>508</v>
      </c>
      <c r="X49" s="52" t="s">
        <v>592</v>
      </c>
      <c r="Y49" s="52">
        <v>4</v>
      </c>
      <c r="Z49" s="316" t="s">
        <v>37</v>
      </c>
      <c r="AA49" s="316">
        <v>48533</v>
      </c>
      <c r="AB49" s="316" t="s">
        <v>37</v>
      </c>
      <c r="AE49" s="316" t="s">
        <v>37</v>
      </c>
      <c r="AF49" s="316" t="s">
        <v>967</v>
      </c>
      <c r="AG49" s="316">
        <v>3.5597280769999999</v>
      </c>
      <c r="AH49" s="316">
        <v>3.5597280769999999</v>
      </c>
      <c r="AI49" s="316">
        <v>3.5597280769999999</v>
      </c>
      <c r="AJ49" s="52">
        <v>3.5597280769999999</v>
      </c>
      <c r="AK49" s="316">
        <v>3.5597280769999999</v>
      </c>
      <c r="AN49" s="316" t="s">
        <v>37</v>
      </c>
      <c r="AO49" s="316" t="s">
        <v>966</v>
      </c>
      <c r="AP49" s="316">
        <v>3.8136932289999996</v>
      </c>
      <c r="AQ49" s="316">
        <v>3.8136932289999996</v>
      </c>
      <c r="AR49" s="316">
        <v>3.8136932289999996</v>
      </c>
      <c r="AS49" s="52">
        <v>3.8136932289999996</v>
      </c>
      <c r="AT49" s="316">
        <v>3.8136932289999996</v>
      </c>
      <c r="AV49" s="316" t="s">
        <v>37</v>
      </c>
      <c r="AW49" s="316" t="s">
        <v>1135</v>
      </c>
      <c r="AX49" s="316">
        <v>3.5175414729999996</v>
      </c>
      <c r="AY49" s="316">
        <v>3.5175414729999996</v>
      </c>
      <c r="AZ49" s="316">
        <v>3.5175414729999996</v>
      </c>
      <c r="BA49" s="316">
        <v>3.5175414729999996</v>
      </c>
      <c r="BB49" s="52">
        <v>3.5175414729999996</v>
      </c>
      <c r="BD49" s="316" t="s">
        <v>37</v>
      </c>
      <c r="BE49" s="316" t="s">
        <v>967</v>
      </c>
      <c r="BF49" s="316">
        <v>3.5597280769999999</v>
      </c>
      <c r="BG49" s="316">
        <v>3.5597280769999999</v>
      </c>
      <c r="BH49" s="316">
        <v>3.5597280769999999</v>
      </c>
      <c r="BI49" s="316">
        <v>3.5597280769999999</v>
      </c>
      <c r="BJ49" s="316">
        <v>3.5597280769999999</v>
      </c>
      <c r="BM49" s="316" t="s">
        <v>37</v>
      </c>
      <c r="BN49" s="316" t="s">
        <v>968</v>
      </c>
      <c r="BO49" s="316">
        <v>3.6668456409999997</v>
      </c>
      <c r="BP49" s="316">
        <v>3.6668456409999997</v>
      </c>
      <c r="BQ49" s="316">
        <v>3.6668456409999997</v>
      </c>
      <c r="BR49" s="316">
        <v>3.6668456409999997</v>
      </c>
      <c r="BS49" s="52">
        <v>3.6668456409999997</v>
      </c>
      <c r="BT49" s="54"/>
    </row>
    <row r="50" spans="10:72">
      <c r="K50" s="81"/>
      <c r="L50" s="81"/>
      <c r="Q50" s="316" t="s">
        <v>33</v>
      </c>
      <c r="R50" s="316" t="s">
        <v>508</v>
      </c>
      <c r="T50" s="316">
        <v>46706</v>
      </c>
      <c r="U50" s="316" t="b">
        <v>1</v>
      </c>
      <c r="V50" s="316" t="s">
        <v>20</v>
      </c>
      <c r="W50" s="316" t="s">
        <v>508</v>
      </c>
      <c r="X50" s="52" t="s">
        <v>593</v>
      </c>
      <c r="Y50" s="52">
        <v>4</v>
      </c>
      <c r="Z50" s="52" t="s">
        <v>20</v>
      </c>
      <c r="AA50" s="316">
        <v>48898</v>
      </c>
      <c r="AB50" s="316" t="s">
        <v>20</v>
      </c>
      <c r="AE50" s="316" t="s">
        <v>20</v>
      </c>
      <c r="AF50" s="316" t="s">
        <v>970</v>
      </c>
      <c r="AG50" s="316">
        <v>3.5909999999999997</v>
      </c>
      <c r="AH50" s="316">
        <v>3.5909999999999997</v>
      </c>
      <c r="AI50" s="316">
        <v>3.5909999999999997</v>
      </c>
      <c r="AJ50" s="52">
        <v>3.5909999999999997</v>
      </c>
      <c r="AK50" s="316">
        <v>3.5909999999999997</v>
      </c>
      <c r="AN50" s="316" t="s">
        <v>20</v>
      </c>
      <c r="AO50" s="316" t="s">
        <v>969</v>
      </c>
      <c r="AP50" s="316">
        <v>3.8438068839999997</v>
      </c>
      <c r="AQ50" s="316">
        <v>3.8438068839999997</v>
      </c>
      <c r="AR50" s="316">
        <v>3.8438068839999997</v>
      </c>
      <c r="AS50" s="52">
        <v>3.8438068839999997</v>
      </c>
      <c r="AT50" s="316">
        <v>3.8438068839999997</v>
      </c>
      <c r="AV50" s="316" t="s">
        <v>20</v>
      </c>
      <c r="AW50" s="316" t="s">
        <v>1136</v>
      </c>
      <c r="AX50" s="316">
        <v>3.5497174289999998</v>
      </c>
      <c r="AY50" s="316">
        <v>3.5497174289999998</v>
      </c>
      <c r="AZ50" s="316">
        <v>3.5497174289999998</v>
      </c>
      <c r="BA50" s="316">
        <v>3.5497174289999998</v>
      </c>
      <c r="BB50" s="52">
        <v>3.5497174289999998</v>
      </c>
      <c r="BD50" s="316" t="s">
        <v>20</v>
      </c>
      <c r="BE50" s="316" t="s">
        <v>970</v>
      </c>
      <c r="BF50" s="316">
        <v>3.5909999999999997</v>
      </c>
      <c r="BG50" s="316">
        <v>3.5909999999999997</v>
      </c>
      <c r="BH50" s="316">
        <v>3.5909999999999997</v>
      </c>
      <c r="BI50" s="316">
        <v>3.5909999999999997</v>
      </c>
      <c r="BJ50" s="316">
        <v>3.5909999999999997</v>
      </c>
      <c r="BM50" s="316" t="s">
        <v>20</v>
      </c>
      <c r="BN50" s="316" t="s">
        <v>971</v>
      </c>
      <c r="BO50" s="316">
        <v>3.6980451639999994</v>
      </c>
      <c r="BP50" s="316">
        <v>3.6980451639999994</v>
      </c>
      <c r="BQ50" s="316">
        <v>3.6980451639999994</v>
      </c>
      <c r="BR50" s="316">
        <v>3.6980451639999994</v>
      </c>
      <c r="BS50" s="52">
        <v>3.6980451639999994</v>
      </c>
      <c r="BT50" s="54"/>
    </row>
    <row r="51" spans="10:72">
      <c r="J51" s="81"/>
      <c r="K51" s="81"/>
      <c r="L51" s="81"/>
      <c r="Q51" s="316" t="s">
        <v>19</v>
      </c>
      <c r="R51" s="316" t="s">
        <v>508</v>
      </c>
      <c r="T51" s="316">
        <v>47072</v>
      </c>
      <c r="U51" s="316" t="b">
        <v>1</v>
      </c>
      <c r="V51" s="316" t="s">
        <v>38</v>
      </c>
      <c r="W51" s="316" t="s">
        <v>508</v>
      </c>
      <c r="X51" s="52" t="s">
        <v>594</v>
      </c>
      <c r="Y51" s="52">
        <v>4</v>
      </c>
      <c r="Z51" s="316" t="s">
        <v>38</v>
      </c>
      <c r="AA51" s="316">
        <v>49263</v>
      </c>
      <c r="AB51" s="316" t="s">
        <v>38</v>
      </c>
      <c r="AE51" s="316" t="s">
        <v>38</v>
      </c>
      <c r="AF51" s="316" t="s">
        <v>973</v>
      </c>
      <c r="AG51" s="316">
        <v>3.6181560580000003</v>
      </c>
      <c r="AH51" s="316">
        <v>3.6181560580000003</v>
      </c>
      <c r="AI51" s="316">
        <v>3.6181560580000003</v>
      </c>
      <c r="AJ51" s="52">
        <v>3.6181560580000003</v>
      </c>
      <c r="AK51" s="316">
        <v>3.6181560580000003</v>
      </c>
      <c r="AN51" s="316" t="s">
        <v>38</v>
      </c>
      <c r="AO51" s="316" t="s">
        <v>972</v>
      </c>
      <c r="AP51" s="316">
        <v>3.8697901829999997</v>
      </c>
      <c r="AQ51" s="316">
        <v>3.8697901829999997</v>
      </c>
      <c r="AR51" s="316">
        <v>3.8697901829999997</v>
      </c>
      <c r="AS51" s="52">
        <v>3.8697901829999997</v>
      </c>
      <c r="AT51" s="316">
        <v>3.8697901829999997</v>
      </c>
      <c r="AV51" s="316" t="s">
        <v>38</v>
      </c>
      <c r="AW51" s="316" t="s">
        <v>1137</v>
      </c>
      <c r="AX51" s="316">
        <v>3.5777870630000002</v>
      </c>
      <c r="AY51" s="316">
        <v>3.5777870630000002</v>
      </c>
      <c r="AZ51" s="316">
        <v>3.5777870630000002</v>
      </c>
      <c r="BA51" s="316">
        <v>3.5777870630000002</v>
      </c>
      <c r="BB51" s="52">
        <v>3.5777870630000002</v>
      </c>
      <c r="BD51" s="316" t="s">
        <v>38</v>
      </c>
      <c r="BE51" s="316" t="s">
        <v>973</v>
      </c>
      <c r="BF51" s="316">
        <v>3.6181560580000003</v>
      </c>
      <c r="BG51" s="316">
        <v>3.6181560580000003</v>
      </c>
      <c r="BH51" s="316">
        <v>3.6181560580000003</v>
      </c>
      <c r="BI51" s="316">
        <v>3.6181560580000003</v>
      </c>
      <c r="BJ51" s="316">
        <v>3.6181560580000003</v>
      </c>
      <c r="BM51" s="316" t="s">
        <v>38</v>
      </c>
      <c r="BN51" s="316" t="s">
        <v>974</v>
      </c>
      <c r="BO51" s="316">
        <v>3.7251405470000005</v>
      </c>
      <c r="BP51" s="316">
        <v>3.7251405470000005</v>
      </c>
      <c r="BQ51" s="316">
        <v>3.7251405470000005</v>
      </c>
      <c r="BR51" s="316">
        <v>3.7251405470000005</v>
      </c>
      <c r="BS51" s="52">
        <v>3.7251405470000005</v>
      </c>
      <c r="BT51" s="54"/>
    </row>
    <row r="52" spans="10:72">
      <c r="J52" s="81"/>
      <c r="K52" s="81"/>
      <c r="L52" s="81"/>
      <c r="Q52" s="316" t="s">
        <v>34</v>
      </c>
      <c r="R52" s="316" t="s">
        <v>508</v>
      </c>
      <c r="T52" s="316">
        <v>47437</v>
      </c>
      <c r="U52" s="316" t="b">
        <v>1</v>
      </c>
      <c r="V52" s="316" t="s">
        <v>39</v>
      </c>
      <c r="W52" s="316" t="s">
        <v>508</v>
      </c>
      <c r="X52" s="52" t="s">
        <v>595</v>
      </c>
      <c r="Y52" s="52">
        <v>4</v>
      </c>
      <c r="Z52" s="316" t="s">
        <v>39</v>
      </c>
      <c r="AA52" s="316">
        <v>49628</v>
      </c>
      <c r="AB52" s="316" t="s">
        <v>39</v>
      </c>
      <c r="AE52" s="316" t="s">
        <v>39</v>
      </c>
      <c r="AF52" s="316" t="s">
        <v>976</v>
      </c>
      <c r="AG52" s="316">
        <v>3.6419589889999995</v>
      </c>
      <c r="AH52" s="316">
        <v>3.6419589889999995</v>
      </c>
      <c r="AI52" s="316">
        <v>3.6419589889999995</v>
      </c>
      <c r="AJ52" s="52">
        <v>3.6419589889999995</v>
      </c>
      <c r="AK52" s="52">
        <v>3.6419589889999995</v>
      </c>
      <c r="AN52" s="316" t="s">
        <v>39</v>
      </c>
      <c r="AO52" s="316" t="s">
        <v>975</v>
      </c>
      <c r="AP52" s="316">
        <v>3.8924312369999998</v>
      </c>
      <c r="AQ52" s="316">
        <v>3.8924312369999998</v>
      </c>
      <c r="AR52" s="316">
        <v>3.8924312369999998</v>
      </c>
      <c r="AS52" s="52">
        <v>3.8924312369999998</v>
      </c>
      <c r="AT52" s="316">
        <v>3.8924312369999998</v>
      </c>
      <c r="AV52" s="316" t="s">
        <v>39</v>
      </c>
      <c r="AW52" s="316" t="s">
        <v>1138</v>
      </c>
      <c r="AX52" s="316">
        <v>3.6025086839999996</v>
      </c>
      <c r="AY52" s="316">
        <v>3.6025086839999996</v>
      </c>
      <c r="AZ52" s="316">
        <v>3.6025086839999996</v>
      </c>
      <c r="BA52" s="316">
        <v>3.6025086839999996</v>
      </c>
      <c r="BB52" s="52">
        <v>3.6025086839999996</v>
      </c>
      <c r="BD52" s="316" t="s">
        <v>39</v>
      </c>
      <c r="BE52" s="316" t="s">
        <v>976</v>
      </c>
      <c r="BF52" s="316">
        <v>3.6419589889999995</v>
      </c>
      <c r="BG52" s="316">
        <v>3.6419589889999995</v>
      </c>
      <c r="BH52" s="316">
        <v>3.6419589889999995</v>
      </c>
      <c r="BI52" s="316">
        <v>3.6419589889999995</v>
      </c>
      <c r="BJ52" s="316">
        <v>3.6419589889999995</v>
      </c>
      <c r="BM52" s="316" t="s">
        <v>39</v>
      </c>
      <c r="BN52" s="316" t="s">
        <v>977</v>
      </c>
      <c r="BO52" s="316">
        <v>3.7488961860000001</v>
      </c>
      <c r="BP52" s="316">
        <v>3.7488961860000001</v>
      </c>
      <c r="BQ52" s="316">
        <v>3.7488961860000001</v>
      </c>
      <c r="BR52" s="316">
        <v>3.7488961860000001</v>
      </c>
      <c r="BS52" s="52">
        <v>3.7488961860000001</v>
      </c>
      <c r="BT52" s="54"/>
    </row>
    <row r="53" spans="10:72">
      <c r="Q53" s="316" t="s">
        <v>35</v>
      </c>
      <c r="R53" s="316" t="s">
        <v>508</v>
      </c>
      <c r="T53" s="316">
        <v>47802</v>
      </c>
      <c r="U53" s="316" t="b">
        <v>1</v>
      </c>
      <c r="V53" s="316" t="s">
        <v>40</v>
      </c>
      <c r="W53" s="316" t="s">
        <v>508</v>
      </c>
      <c r="X53" s="52" t="s">
        <v>596</v>
      </c>
      <c r="Y53" s="52">
        <v>4</v>
      </c>
      <c r="Z53" s="316" t="s">
        <v>40</v>
      </c>
      <c r="AA53" s="316">
        <v>49996</v>
      </c>
      <c r="AB53" s="316" t="s">
        <v>40</v>
      </c>
      <c r="AE53" s="316" t="s">
        <v>40</v>
      </c>
      <c r="AF53" s="316" t="s">
        <v>979</v>
      </c>
      <c r="AG53" s="316">
        <v>3.6632138190000001</v>
      </c>
      <c r="AH53" s="316">
        <v>3.6632138190000001</v>
      </c>
      <c r="AI53" s="316">
        <v>3.6632138190000001</v>
      </c>
      <c r="AJ53" s="52">
        <v>3.6632138190000001</v>
      </c>
      <c r="AK53" s="316">
        <v>3.6632138190000001</v>
      </c>
      <c r="AN53" s="316" t="s">
        <v>40</v>
      </c>
      <c r="AO53" s="316" t="s">
        <v>978</v>
      </c>
      <c r="AP53" s="316">
        <v>3.9125594149999992</v>
      </c>
      <c r="AQ53" s="316">
        <v>3.9125594149999992</v>
      </c>
      <c r="AR53" s="316">
        <v>3.9125594149999992</v>
      </c>
      <c r="AS53" s="52">
        <v>3.9125594149999992</v>
      </c>
      <c r="AT53" s="316">
        <v>3.9125594149999992</v>
      </c>
      <c r="AV53" s="316" t="s">
        <v>40</v>
      </c>
      <c r="AW53" s="316" t="s">
        <v>1139</v>
      </c>
      <c r="AX53" s="316">
        <v>3.6246795650000001</v>
      </c>
      <c r="AY53" s="316">
        <v>3.6246795650000001</v>
      </c>
      <c r="AZ53" s="316">
        <v>3.6246795650000001</v>
      </c>
      <c r="BA53" s="316">
        <v>3.6246795650000001</v>
      </c>
      <c r="BB53" s="52">
        <v>3.6246795650000001</v>
      </c>
      <c r="BD53" s="316" t="s">
        <v>40</v>
      </c>
      <c r="BE53" s="316" t="s">
        <v>979</v>
      </c>
      <c r="BF53" s="316">
        <v>3.6632138190000001</v>
      </c>
      <c r="BG53" s="316">
        <v>3.6632138190000001</v>
      </c>
      <c r="BH53" s="316">
        <v>3.6632138190000001</v>
      </c>
      <c r="BI53" s="316">
        <v>3.6632138190000001</v>
      </c>
      <c r="BJ53" s="316">
        <v>3.6632138190000001</v>
      </c>
      <c r="BM53" s="316" t="s">
        <v>40</v>
      </c>
      <c r="BN53" s="316" t="s">
        <v>980</v>
      </c>
      <c r="BO53" s="316">
        <v>3.7701149890000001</v>
      </c>
      <c r="BP53" s="316">
        <v>3.7701149890000001</v>
      </c>
      <c r="BQ53" s="316">
        <v>3.7701149890000001</v>
      </c>
      <c r="BR53" s="316">
        <v>3.7701149890000001</v>
      </c>
      <c r="BS53" s="52">
        <v>3.7701149890000001</v>
      </c>
      <c r="BT53" s="54"/>
    </row>
    <row r="54" spans="10:72">
      <c r="Q54" s="316" t="s">
        <v>36</v>
      </c>
      <c r="R54" s="316" t="s">
        <v>508</v>
      </c>
      <c r="T54" s="316">
        <v>48169</v>
      </c>
      <c r="U54" s="316" t="b">
        <v>1</v>
      </c>
      <c r="V54" s="316" t="s">
        <v>41</v>
      </c>
      <c r="W54" s="316" t="s">
        <v>508</v>
      </c>
      <c r="X54" s="52" t="s">
        <v>597</v>
      </c>
      <c r="Y54" s="52">
        <v>4</v>
      </c>
      <c r="Z54" s="52" t="s">
        <v>41</v>
      </c>
      <c r="AA54" s="316">
        <v>50360</v>
      </c>
      <c r="AB54" s="316" t="s">
        <v>41</v>
      </c>
      <c r="AE54" s="316" t="s">
        <v>41</v>
      </c>
      <c r="AF54" s="316" t="s">
        <v>982</v>
      </c>
      <c r="AG54" s="316">
        <v>3.6819994929999997</v>
      </c>
      <c r="AH54" s="316">
        <v>3.6819994929999997</v>
      </c>
      <c r="AI54" s="316">
        <v>3.6819994929999997</v>
      </c>
      <c r="AJ54" s="52">
        <v>3.6819994929999997</v>
      </c>
      <c r="AK54" s="316">
        <v>3.6819994929999997</v>
      </c>
      <c r="AN54" s="316" t="s">
        <v>41</v>
      </c>
      <c r="AO54" s="316" t="s">
        <v>981</v>
      </c>
      <c r="AP54" s="316">
        <v>3.9302746849999997</v>
      </c>
      <c r="AQ54" s="316">
        <v>3.9302746849999997</v>
      </c>
      <c r="AR54" s="316">
        <v>3.9302746849999997</v>
      </c>
      <c r="AS54" s="52">
        <v>3.9302746849999997</v>
      </c>
      <c r="AT54" s="316">
        <v>3.9302746849999997</v>
      </c>
      <c r="AV54" s="316" t="s">
        <v>41</v>
      </c>
      <c r="AW54" s="316" t="s">
        <v>1140</v>
      </c>
      <c r="AX54" s="316">
        <v>3.6443481599999998</v>
      </c>
      <c r="AY54" s="316">
        <v>3.6443481599999998</v>
      </c>
      <c r="AZ54" s="316">
        <v>3.6443481599999998</v>
      </c>
      <c r="BA54" s="316">
        <v>3.6443481599999998</v>
      </c>
      <c r="BB54" s="52">
        <v>3.6443481599999998</v>
      </c>
      <c r="BD54" s="316" t="s">
        <v>41</v>
      </c>
      <c r="BE54" s="316" t="s">
        <v>982</v>
      </c>
      <c r="BF54" s="316">
        <v>3.6819994929999997</v>
      </c>
      <c r="BG54" s="316">
        <v>3.6819994929999997</v>
      </c>
      <c r="BH54" s="316">
        <v>3.6819994929999997</v>
      </c>
      <c r="BI54" s="316">
        <v>3.6819994929999997</v>
      </c>
      <c r="BJ54" s="316">
        <v>3.6819994929999997</v>
      </c>
      <c r="BM54" s="316" t="s">
        <v>41</v>
      </c>
      <c r="BN54" s="316" t="s">
        <v>983</v>
      </c>
      <c r="BO54" s="316">
        <v>3.7888708920000003</v>
      </c>
      <c r="BP54" s="316">
        <v>3.7888708920000003</v>
      </c>
      <c r="BQ54" s="316">
        <v>3.7888708920000003</v>
      </c>
      <c r="BR54" s="316">
        <v>3.7888708920000003</v>
      </c>
      <c r="BS54" s="52">
        <v>3.7888708920000003</v>
      </c>
      <c r="BT54" s="54"/>
    </row>
    <row r="55" spans="10:72">
      <c r="Q55" s="316" t="s">
        <v>37</v>
      </c>
      <c r="R55" s="316" t="s">
        <v>508</v>
      </c>
      <c r="T55" s="316">
        <v>48533</v>
      </c>
      <c r="U55" s="316" t="b">
        <v>1</v>
      </c>
      <c r="V55" s="316" t="s">
        <v>21</v>
      </c>
      <c r="W55" s="316" t="s">
        <v>508</v>
      </c>
      <c r="X55" s="52" t="s">
        <v>598</v>
      </c>
      <c r="Y55" s="52">
        <v>4</v>
      </c>
      <c r="Z55" s="52" t="s">
        <v>21</v>
      </c>
      <c r="AA55" s="316">
        <v>50724</v>
      </c>
      <c r="AB55" s="316" t="s">
        <v>21</v>
      </c>
      <c r="AE55" s="316" t="s">
        <v>21</v>
      </c>
      <c r="AF55" s="316" t="s">
        <v>985</v>
      </c>
      <c r="AG55" s="316">
        <v>3.6989999999999998</v>
      </c>
      <c r="AH55" s="316">
        <v>3.6989999999999998</v>
      </c>
      <c r="AI55" s="316">
        <v>3.6989999999999998</v>
      </c>
      <c r="AJ55" s="52">
        <v>3.6989999999999998</v>
      </c>
      <c r="AK55" s="316">
        <v>3.6989999999999998</v>
      </c>
      <c r="AN55" s="316" t="s">
        <v>21</v>
      </c>
      <c r="AO55" s="316" t="s">
        <v>984</v>
      </c>
      <c r="AP55" s="316">
        <v>3.946274759</v>
      </c>
      <c r="AQ55" s="316">
        <v>3.946274759</v>
      </c>
      <c r="AR55" s="316">
        <v>3.946274759</v>
      </c>
      <c r="AS55" s="52">
        <v>3.946274759</v>
      </c>
      <c r="AT55" s="316">
        <v>3.946274759</v>
      </c>
      <c r="AV55" s="316" t="s">
        <v>21</v>
      </c>
      <c r="AW55" s="316" t="s">
        <v>1141</v>
      </c>
      <c r="AX55" s="316">
        <v>3.6621972530000004</v>
      </c>
      <c r="AY55" s="316">
        <v>3.6621972530000004</v>
      </c>
      <c r="AZ55" s="316">
        <v>3.6621972530000004</v>
      </c>
      <c r="BA55" s="316">
        <v>3.6621972530000004</v>
      </c>
      <c r="BB55" s="52">
        <v>3.6621972530000004</v>
      </c>
      <c r="BD55" s="316" t="s">
        <v>21</v>
      </c>
      <c r="BE55" s="316" t="s">
        <v>985</v>
      </c>
      <c r="BF55" s="316">
        <v>3.6989999999999998</v>
      </c>
      <c r="BG55" s="316">
        <v>3.6989999999999998</v>
      </c>
      <c r="BH55" s="316">
        <v>3.6989999999999998</v>
      </c>
      <c r="BI55" s="316">
        <v>3.6989999999999998</v>
      </c>
      <c r="BJ55" s="316">
        <v>3.6989999999999998</v>
      </c>
      <c r="BM55" s="316" t="s">
        <v>21</v>
      </c>
      <c r="BN55" s="316" t="s">
        <v>986</v>
      </c>
      <c r="BO55" s="316">
        <v>3.8058442709999998</v>
      </c>
      <c r="BP55" s="316">
        <v>3.8058442709999998</v>
      </c>
      <c r="BQ55" s="316">
        <v>3.8058442709999998</v>
      </c>
      <c r="BR55" s="316">
        <v>3.8058442709999998</v>
      </c>
      <c r="BS55" s="52">
        <v>3.8058442709999998</v>
      </c>
      <c r="BT55" s="54"/>
    </row>
    <row r="56" spans="10:72">
      <c r="Q56" s="316" t="s">
        <v>20</v>
      </c>
      <c r="R56" s="316" t="s">
        <v>508</v>
      </c>
      <c r="T56" s="316">
        <v>48898</v>
      </c>
      <c r="U56" s="316" t="b">
        <v>1</v>
      </c>
      <c r="V56" s="316" t="s">
        <v>42</v>
      </c>
      <c r="W56" s="316" t="s">
        <v>508</v>
      </c>
      <c r="X56" s="52" t="s">
        <v>599</v>
      </c>
      <c r="Y56" s="52">
        <v>4</v>
      </c>
      <c r="Z56" s="316" t="s">
        <v>42</v>
      </c>
      <c r="AA56" s="316">
        <v>51089</v>
      </c>
      <c r="AB56" s="316" t="s">
        <v>42</v>
      </c>
      <c r="AE56" s="316" t="s">
        <v>42</v>
      </c>
      <c r="AF56" s="316" t="s">
        <v>988</v>
      </c>
      <c r="AG56" s="316">
        <v>3.7145207460000007</v>
      </c>
      <c r="AH56" s="316">
        <v>3.7145207460000007</v>
      </c>
      <c r="AI56" s="316">
        <v>3.7145207460000007</v>
      </c>
      <c r="AJ56" s="52">
        <v>3.7145207460000007</v>
      </c>
      <c r="AK56" s="316">
        <v>3.7145207460000007</v>
      </c>
      <c r="AN56" s="316" t="s">
        <v>42</v>
      </c>
      <c r="AO56" s="316" t="s">
        <v>987</v>
      </c>
      <c r="AP56" s="316">
        <v>3.9608351529999997</v>
      </c>
      <c r="AQ56" s="316">
        <v>3.9608351529999997</v>
      </c>
      <c r="AR56" s="316">
        <v>3.9608351529999997</v>
      </c>
      <c r="AS56" s="52">
        <v>3.9608351529999997</v>
      </c>
      <c r="AT56" s="316">
        <v>3.9608351529999997</v>
      </c>
      <c r="AV56" s="316" t="s">
        <v>42</v>
      </c>
      <c r="AW56" s="316" t="s">
        <v>1142</v>
      </c>
      <c r="AX56" s="316">
        <v>3.6785184229999994</v>
      </c>
      <c r="AY56" s="316">
        <v>3.6785184229999994</v>
      </c>
      <c r="AZ56" s="316">
        <v>3.6785184229999994</v>
      </c>
      <c r="BA56" s="316">
        <v>3.6785184229999994</v>
      </c>
      <c r="BB56" s="52">
        <v>3.6785184229999994</v>
      </c>
      <c r="BD56" s="316" t="s">
        <v>42</v>
      </c>
      <c r="BE56" s="316" t="s">
        <v>988</v>
      </c>
      <c r="BF56" s="316">
        <v>3.7145207460000007</v>
      </c>
      <c r="BG56" s="316">
        <v>3.7145207460000007</v>
      </c>
      <c r="BH56" s="316">
        <v>3.7145207460000007</v>
      </c>
      <c r="BI56" s="316">
        <v>3.7145207460000007</v>
      </c>
      <c r="BJ56" s="316">
        <v>3.7145207460000007</v>
      </c>
      <c r="BM56" s="316" t="s">
        <v>42</v>
      </c>
      <c r="BN56" s="316" t="s">
        <v>989</v>
      </c>
      <c r="BO56" s="316">
        <v>3.8213359599999999</v>
      </c>
      <c r="BP56" s="316">
        <v>3.8213359599999999</v>
      </c>
      <c r="BQ56" s="316">
        <v>3.8213359599999999</v>
      </c>
      <c r="BR56" s="316">
        <v>3.8213359599999999</v>
      </c>
      <c r="BS56" s="52">
        <v>3.8213359599999999</v>
      </c>
      <c r="BT56" s="54"/>
    </row>
    <row r="57" spans="10:72">
      <c r="Q57" s="316" t="s">
        <v>38</v>
      </c>
      <c r="R57" s="316" t="s">
        <v>508</v>
      </c>
      <c r="T57" s="316">
        <v>49263</v>
      </c>
      <c r="U57" s="316" t="b">
        <v>1</v>
      </c>
      <c r="V57" s="316" t="s">
        <v>43</v>
      </c>
      <c r="W57" s="316" t="s">
        <v>508</v>
      </c>
      <c r="X57" s="52" t="s">
        <v>600</v>
      </c>
      <c r="Y57" s="52">
        <v>4</v>
      </c>
      <c r="Z57" s="316" t="s">
        <v>43</v>
      </c>
      <c r="AA57" s="316">
        <v>51455</v>
      </c>
      <c r="AB57" s="316" t="s">
        <v>43</v>
      </c>
      <c r="AE57" s="316" t="s">
        <v>43</v>
      </c>
      <c r="AF57" s="316" t="s">
        <v>991</v>
      </c>
      <c r="AG57" s="316">
        <v>3.7284471029999997</v>
      </c>
      <c r="AH57" s="316">
        <v>3.7284471029999997</v>
      </c>
      <c r="AI57" s="316">
        <v>3.7284471029999997</v>
      </c>
      <c r="AJ57" s="52">
        <v>3.7284471029999997</v>
      </c>
      <c r="AK57" s="316">
        <v>3.7284471029999997</v>
      </c>
      <c r="AN57" s="316" t="s">
        <v>43</v>
      </c>
      <c r="AO57" s="316" t="s">
        <v>990</v>
      </c>
      <c r="AP57" s="316">
        <v>3.9738532639999997</v>
      </c>
      <c r="AQ57" s="316">
        <v>3.9738532639999997</v>
      </c>
      <c r="AR57" s="316">
        <v>3.9738532639999997</v>
      </c>
      <c r="AS57" s="52">
        <v>3.9738532639999997</v>
      </c>
      <c r="AT57" s="316">
        <v>3.9738532639999997</v>
      </c>
      <c r="AV57" s="316" t="s">
        <v>43</v>
      </c>
      <c r="AW57" s="316" t="s">
        <v>1143</v>
      </c>
      <c r="AX57" s="316">
        <v>3.6931643800000002</v>
      </c>
      <c r="AY57" s="316">
        <v>3.6931643800000002</v>
      </c>
      <c r="AZ57" s="316">
        <v>3.6931643800000002</v>
      </c>
      <c r="BA57" s="316">
        <v>3.6931643800000002</v>
      </c>
      <c r="BB57" s="52">
        <v>3.6931643800000002</v>
      </c>
      <c r="BD57" s="316" t="s">
        <v>43</v>
      </c>
      <c r="BE57" s="316" t="s">
        <v>991</v>
      </c>
      <c r="BF57" s="316">
        <v>3.7284471029999997</v>
      </c>
      <c r="BG57" s="316">
        <v>3.7284471029999997</v>
      </c>
      <c r="BH57" s="316">
        <v>3.7284471029999997</v>
      </c>
      <c r="BI57" s="316">
        <v>3.7284471029999997</v>
      </c>
      <c r="BJ57" s="316">
        <v>3.7284471029999997</v>
      </c>
      <c r="BM57" s="316" t="s">
        <v>43</v>
      </c>
      <c r="BN57" s="316" t="s">
        <v>992</v>
      </c>
      <c r="BO57" s="316">
        <v>3.8352312319999999</v>
      </c>
      <c r="BP57" s="316">
        <v>3.8352312319999999</v>
      </c>
      <c r="BQ57" s="316">
        <v>3.8352312319999999</v>
      </c>
      <c r="BR57" s="316">
        <v>3.8352312319999999</v>
      </c>
      <c r="BS57" s="52">
        <v>3.8352312319999999</v>
      </c>
      <c r="BT57" s="54"/>
    </row>
    <row r="58" spans="10:72">
      <c r="Q58" s="316" t="s">
        <v>39</v>
      </c>
      <c r="R58" s="316" t="s">
        <v>508</v>
      </c>
      <c r="T58" s="316">
        <v>49628</v>
      </c>
      <c r="U58" s="316" t="b">
        <v>1</v>
      </c>
      <c r="V58" s="316" t="s">
        <v>44</v>
      </c>
      <c r="W58" s="316" t="s">
        <v>508</v>
      </c>
      <c r="X58" s="52" t="s">
        <v>601</v>
      </c>
      <c r="Y58" s="52">
        <v>4</v>
      </c>
      <c r="Z58" s="316" t="s">
        <v>44</v>
      </c>
      <c r="AA58" s="316">
        <v>51820</v>
      </c>
      <c r="AB58" s="316" t="s">
        <v>44</v>
      </c>
      <c r="AE58" s="316" t="s">
        <v>44</v>
      </c>
      <c r="AF58" s="316" t="s">
        <v>994</v>
      </c>
      <c r="AG58" s="316">
        <v>3.7405453080000002</v>
      </c>
      <c r="AH58" s="316">
        <v>3.7405453080000002</v>
      </c>
      <c r="AI58" s="316">
        <v>3.7405453080000002</v>
      </c>
      <c r="AJ58" s="52">
        <v>3.7405453080000002</v>
      </c>
      <c r="AK58" s="316">
        <v>3.7405453080000002</v>
      </c>
      <c r="AN58" s="316" t="s">
        <v>44</v>
      </c>
      <c r="AO58" s="316" t="s">
        <v>993</v>
      </c>
      <c r="AP58" s="316">
        <v>3.9851050629999998</v>
      </c>
      <c r="AQ58" s="316">
        <v>3.9851050629999998</v>
      </c>
      <c r="AR58" s="316">
        <v>3.9851050629999998</v>
      </c>
      <c r="AS58" s="52">
        <v>3.9851050629999998</v>
      </c>
      <c r="AT58" s="316">
        <v>3.9851050629999998</v>
      </c>
      <c r="AV58" s="316" t="s">
        <v>44</v>
      </c>
      <c r="AW58" s="316" t="s">
        <v>1144</v>
      </c>
      <c r="AX58" s="316">
        <v>3.7058717270000003</v>
      </c>
      <c r="AY58" s="316">
        <v>3.7058717270000003</v>
      </c>
      <c r="AZ58" s="316">
        <v>3.7058717270000003</v>
      </c>
      <c r="BA58" s="316">
        <v>3.7058717270000003</v>
      </c>
      <c r="BB58" s="52">
        <v>3.7058717270000003</v>
      </c>
      <c r="BD58" s="316" t="s">
        <v>44</v>
      </c>
      <c r="BE58" s="316" t="s">
        <v>994</v>
      </c>
      <c r="BF58" s="316">
        <v>3.7405453080000002</v>
      </c>
      <c r="BG58" s="316">
        <v>3.7405453080000002</v>
      </c>
      <c r="BH58" s="316">
        <v>3.7405453080000002</v>
      </c>
      <c r="BI58" s="316">
        <v>3.7405453080000002</v>
      </c>
      <c r="BJ58" s="316">
        <v>3.7405453080000002</v>
      </c>
      <c r="BM58" s="316" t="s">
        <v>44</v>
      </c>
      <c r="BN58" s="316" t="s">
        <v>995</v>
      </c>
      <c r="BO58" s="316">
        <v>3.8473016229999999</v>
      </c>
      <c r="BP58" s="316">
        <v>3.8473016229999999</v>
      </c>
      <c r="BQ58" s="316">
        <v>3.8473016229999999</v>
      </c>
      <c r="BR58" s="316">
        <v>3.8473016229999999</v>
      </c>
      <c r="BS58" s="52">
        <v>3.8473016229999999</v>
      </c>
      <c r="BT58" s="54"/>
    </row>
    <row r="59" spans="10:72">
      <c r="Q59" s="316" t="s">
        <v>40</v>
      </c>
      <c r="R59" s="316" t="s">
        <v>508</v>
      </c>
      <c r="T59" s="316">
        <v>49996</v>
      </c>
      <c r="U59" s="316" t="b">
        <v>1</v>
      </c>
      <c r="V59" s="316" t="s">
        <v>45</v>
      </c>
      <c r="W59" s="316" t="s">
        <v>508</v>
      </c>
      <c r="X59" s="52" t="s">
        <v>602</v>
      </c>
      <c r="Y59" s="52">
        <v>4</v>
      </c>
      <c r="Z59" s="316" t="s">
        <v>45</v>
      </c>
      <c r="AA59" s="316">
        <v>52187</v>
      </c>
      <c r="AB59" s="316" t="s">
        <v>45</v>
      </c>
      <c r="AE59" s="316" t="s">
        <v>45</v>
      </c>
      <c r="AF59" s="316" t="s">
        <v>997</v>
      </c>
      <c r="AG59" s="316">
        <v>3.7508069639999997</v>
      </c>
      <c r="AH59" s="316">
        <v>3.7508069639999997</v>
      </c>
      <c r="AI59" s="316">
        <v>3.7508069639999997</v>
      </c>
      <c r="AJ59" s="52">
        <v>3.7508069639999997</v>
      </c>
      <c r="AK59" s="316">
        <v>3.7508069639999997</v>
      </c>
      <c r="AN59" s="316" t="s">
        <v>45</v>
      </c>
      <c r="AO59" s="316" t="s">
        <v>996</v>
      </c>
      <c r="AP59" s="316">
        <v>3.9945879209999999</v>
      </c>
      <c r="AQ59" s="316">
        <v>3.9945879209999999</v>
      </c>
      <c r="AR59" s="316">
        <v>3.9945879209999999</v>
      </c>
      <c r="AS59" s="52">
        <v>3.9945879209999999</v>
      </c>
      <c r="AT59" s="316">
        <v>3.9945879209999999</v>
      </c>
      <c r="AV59" s="316" t="s">
        <v>45</v>
      </c>
      <c r="AW59" s="316" t="s">
        <v>1145</v>
      </c>
      <c r="AX59" s="316">
        <v>3.7166201109999997</v>
      </c>
      <c r="AY59" s="316">
        <v>3.7166201109999997</v>
      </c>
      <c r="AZ59" s="316">
        <v>3.7166201109999997</v>
      </c>
      <c r="BA59" s="316">
        <v>3.7166201109999997</v>
      </c>
      <c r="BB59" s="52">
        <v>3.7166201109999997</v>
      </c>
      <c r="BD59" s="316" t="s">
        <v>45</v>
      </c>
      <c r="BE59" s="316" t="s">
        <v>997</v>
      </c>
      <c r="BF59" s="316">
        <v>3.7508069639999997</v>
      </c>
      <c r="BG59" s="316">
        <v>3.7508069639999997</v>
      </c>
      <c r="BH59" s="316">
        <v>3.7508069639999997</v>
      </c>
      <c r="BI59" s="316">
        <v>3.7508069639999997</v>
      </c>
      <c r="BJ59" s="316">
        <v>3.7508069639999997</v>
      </c>
      <c r="BM59" s="316" t="s">
        <v>45</v>
      </c>
      <c r="BN59" s="316" t="s">
        <v>998</v>
      </c>
      <c r="BO59" s="316">
        <v>3.8575478229999995</v>
      </c>
      <c r="BP59" s="316">
        <v>3.8575478229999995</v>
      </c>
      <c r="BQ59" s="316">
        <v>3.8575478229999995</v>
      </c>
      <c r="BR59" s="316">
        <v>3.8575478229999995</v>
      </c>
      <c r="BS59" s="52">
        <v>3.8575478229999995</v>
      </c>
      <c r="BT59" s="54"/>
    </row>
    <row r="60" spans="10:72">
      <c r="Q60" s="316" t="s">
        <v>41</v>
      </c>
      <c r="R60" s="316" t="s">
        <v>508</v>
      </c>
      <c r="T60" s="316">
        <v>50360</v>
      </c>
      <c r="U60" s="316" t="b">
        <v>1</v>
      </c>
      <c r="V60" s="316" t="s">
        <v>22</v>
      </c>
      <c r="W60" s="316" t="s">
        <v>508</v>
      </c>
      <c r="X60" s="52" t="s">
        <v>603</v>
      </c>
      <c r="Y60" s="52">
        <v>4</v>
      </c>
      <c r="Z60" s="316" t="s">
        <v>22</v>
      </c>
      <c r="AA60" s="316">
        <v>52551</v>
      </c>
      <c r="AB60" s="316" t="s">
        <v>22</v>
      </c>
      <c r="AE60" s="316" t="s">
        <v>22</v>
      </c>
      <c r="AF60" s="316" t="s">
        <v>1000</v>
      </c>
      <c r="AG60" s="316">
        <v>3.7589999999999999</v>
      </c>
      <c r="AH60" s="316">
        <v>3.7589999999999999</v>
      </c>
      <c r="AI60" s="316">
        <v>3.7589999999999999</v>
      </c>
      <c r="AJ60" s="52">
        <v>3.7589999999999999</v>
      </c>
      <c r="AK60" s="316">
        <v>3.7589999999999999</v>
      </c>
      <c r="AN60" s="316" t="s">
        <v>22</v>
      </c>
      <c r="AO60" s="316" t="s">
        <v>999</v>
      </c>
      <c r="AP60" s="316">
        <v>4.0020719569999992</v>
      </c>
      <c r="AQ60" s="316">
        <v>4.0020719569999992</v>
      </c>
      <c r="AR60" s="316">
        <v>4.0020719569999992</v>
      </c>
      <c r="AS60" s="52">
        <v>4.0020719569999992</v>
      </c>
      <c r="AT60" s="316">
        <v>4.0020719569999992</v>
      </c>
      <c r="AV60" s="316" t="s">
        <v>22</v>
      </c>
      <c r="AW60" s="316" t="s">
        <v>1146</v>
      </c>
      <c r="AX60" s="316">
        <v>3.7251615570000007</v>
      </c>
      <c r="AY60" s="316">
        <v>3.7251615570000007</v>
      </c>
      <c r="AZ60" s="316">
        <v>3.7251615570000007</v>
      </c>
      <c r="BA60" s="316">
        <v>3.7251615570000007</v>
      </c>
      <c r="BB60" s="52">
        <v>3.7251615570000007</v>
      </c>
      <c r="BD60" s="316" t="s">
        <v>22</v>
      </c>
      <c r="BE60" s="316" t="s">
        <v>1000</v>
      </c>
      <c r="BF60" s="316">
        <v>3.7589999999999999</v>
      </c>
      <c r="BG60" s="316">
        <v>3.7589999999999999</v>
      </c>
      <c r="BH60" s="316">
        <v>3.7589999999999999</v>
      </c>
      <c r="BI60" s="316">
        <v>3.7589999999999999</v>
      </c>
      <c r="BJ60" s="316">
        <v>3.7589999999999999</v>
      </c>
      <c r="BM60" s="316" t="s">
        <v>22</v>
      </c>
      <c r="BN60" s="316" t="s">
        <v>1001</v>
      </c>
      <c r="BO60" s="316">
        <v>3.8657474929999993</v>
      </c>
      <c r="BP60" s="316">
        <v>3.8657474929999993</v>
      </c>
      <c r="BQ60" s="316">
        <v>3.8657474929999993</v>
      </c>
      <c r="BR60" s="316">
        <v>3.8657474929999993</v>
      </c>
      <c r="BS60" s="52">
        <v>3.8657474929999993</v>
      </c>
      <c r="BT60" s="54"/>
    </row>
    <row r="61" spans="10:72">
      <c r="Q61" s="316" t="s">
        <v>21</v>
      </c>
      <c r="R61" s="316" t="s">
        <v>508</v>
      </c>
      <c r="T61" s="316">
        <v>50724</v>
      </c>
      <c r="U61" s="316" t="b">
        <v>1</v>
      </c>
      <c r="V61" s="316" t="s">
        <v>46</v>
      </c>
      <c r="W61" s="316" t="s">
        <v>508</v>
      </c>
      <c r="X61" s="52" t="s">
        <v>604</v>
      </c>
      <c r="Y61" s="52">
        <v>4</v>
      </c>
      <c r="Z61" s="52" t="s">
        <v>46</v>
      </c>
      <c r="AA61" s="316">
        <v>56205</v>
      </c>
      <c r="AB61" s="316" t="s">
        <v>46</v>
      </c>
      <c r="AE61" s="316" t="s">
        <v>46</v>
      </c>
      <c r="AF61" s="316" t="s">
        <v>1003</v>
      </c>
      <c r="AG61" s="316">
        <v>3.774</v>
      </c>
      <c r="AH61" s="316">
        <v>3.774</v>
      </c>
      <c r="AI61" s="316">
        <v>3.774</v>
      </c>
      <c r="AJ61" s="52">
        <v>3.774</v>
      </c>
      <c r="AK61" s="316">
        <v>3.774</v>
      </c>
      <c r="AN61" s="316" t="s">
        <v>46</v>
      </c>
      <c r="AO61" s="316" t="s">
        <v>1002</v>
      </c>
      <c r="AP61" s="316">
        <v>4.0188520109999999</v>
      </c>
      <c r="AQ61" s="316">
        <v>4.0188520109999999</v>
      </c>
      <c r="AR61" s="316">
        <v>4.0188520109999999</v>
      </c>
      <c r="AS61" s="52">
        <v>4.0188520109999999</v>
      </c>
      <c r="AT61" s="316">
        <v>4.0188520109999999</v>
      </c>
      <c r="AV61" s="316" t="s">
        <v>46</v>
      </c>
      <c r="AW61" s="316" t="s">
        <v>1147</v>
      </c>
      <c r="AX61" s="316">
        <v>3.7399297470000006</v>
      </c>
      <c r="AY61" s="316">
        <v>3.7399297470000006</v>
      </c>
      <c r="AZ61" s="316">
        <v>3.7399297470000006</v>
      </c>
      <c r="BA61" s="316">
        <v>3.7399297470000006</v>
      </c>
      <c r="BB61" s="52">
        <v>3.7399297470000006</v>
      </c>
      <c r="BD61" s="316" t="s">
        <v>46</v>
      </c>
      <c r="BE61" s="316" t="s">
        <v>1003</v>
      </c>
      <c r="BF61" s="316">
        <v>3.774</v>
      </c>
      <c r="BG61" s="316">
        <v>3.774</v>
      </c>
      <c r="BH61" s="316">
        <v>3.774</v>
      </c>
      <c r="BI61" s="316">
        <v>3.774</v>
      </c>
      <c r="BJ61" s="316">
        <v>3.774</v>
      </c>
      <c r="BM61" s="316" t="s">
        <v>46</v>
      </c>
      <c r="BN61" s="316" t="s">
        <v>1004</v>
      </c>
      <c r="BO61" s="316">
        <v>3.88167324</v>
      </c>
      <c r="BP61" s="316">
        <v>3.88167324</v>
      </c>
      <c r="BQ61" s="316">
        <v>3.88167324</v>
      </c>
      <c r="BR61" s="316">
        <v>3.88167324</v>
      </c>
      <c r="BS61" s="52">
        <v>3.88167324</v>
      </c>
      <c r="BT61" s="54"/>
    </row>
    <row r="62" spans="10:72">
      <c r="Q62" s="316" t="s">
        <v>42</v>
      </c>
      <c r="R62" s="316" t="s">
        <v>508</v>
      </c>
      <c r="T62" s="316">
        <v>51089</v>
      </c>
      <c r="U62" s="316" t="b">
        <v>1</v>
      </c>
      <c r="V62" s="316" t="s">
        <v>47</v>
      </c>
      <c r="W62" s="316" t="s">
        <v>508</v>
      </c>
      <c r="X62" s="52" t="s">
        <v>605</v>
      </c>
      <c r="Y62" s="52">
        <v>4</v>
      </c>
      <c r="Z62" s="316" t="s">
        <v>47</v>
      </c>
      <c r="AA62" s="316">
        <v>59855</v>
      </c>
      <c r="AB62" s="316" t="s">
        <v>47</v>
      </c>
      <c r="AE62" s="316" t="s">
        <v>47</v>
      </c>
      <c r="AF62" s="316" t="s">
        <v>1006</v>
      </c>
      <c r="AG62" s="316">
        <v>3.762</v>
      </c>
      <c r="AH62" s="316">
        <v>3.762</v>
      </c>
      <c r="AI62" s="316">
        <v>3.762</v>
      </c>
      <c r="AJ62" s="52">
        <v>3.762</v>
      </c>
      <c r="AK62" s="316">
        <v>3.762</v>
      </c>
      <c r="AN62" s="316" t="s">
        <v>47</v>
      </c>
      <c r="AO62" s="316" t="s">
        <v>1005</v>
      </c>
      <c r="AP62" s="316">
        <v>4.0089747509999993</v>
      </c>
      <c r="AQ62" s="316">
        <v>4.0089747509999993</v>
      </c>
      <c r="AR62" s="316">
        <v>4.0089747509999993</v>
      </c>
      <c r="AS62" s="52">
        <v>4.0089747509999993</v>
      </c>
      <c r="AT62" s="316">
        <v>4.0089747509999993</v>
      </c>
      <c r="AV62" s="316" t="s">
        <v>47</v>
      </c>
      <c r="AW62" s="316" t="s">
        <v>1148</v>
      </c>
      <c r="AX62" s="316">
        <v>3.7277005010000006</v>
      </c>
      <c r="AY62" s="316">
        <v>3.7277005010000006</v>
      </c>
      <c r="AZ62" s="316">
        <v>3.7277005010000006</v>
      </c>
      <c r="BA62" s="316">
        <v>3.7277005010000006</v>
      </c>
      <c r="BB62" s="52">
        <v>3.7277005010000006</v>
      </c>
      <c r="BD62" s="316" t="s">
        <v>47</v>
      </c>
      <c r="BE62" s="316" t="s">
        <v>1006</v>
      </c>
      <c r="BF62" s="316">
        <v>3.762</v>
      </c>
      <c r="BG62" s="316">
        <v>3.762</v>
      </c>
      <c r="BH62" s="316">
        <v>3.762</v>
      </c>
      <c r="BI62" s="316">
        <v>3.762</v>
      </c>
      <c r="BJ62" s="316">
        <v>3.762</v>
      </c>
      <c r="BM62" s="316" t="s">
        <v>47</v>
      </c>
      <c r="BN62" s="316" t="s">
        <v>1007</v>
      </c>
      <c r="BO62" s="316">
        <v>3.8707293899999997</v>
      </c>
      <c r="BP62" s="316">
        <v>3.8707293899999997</v>
      </c>
      <c r="BQ62" s="316">
        <v>3.8707293899999997</v>
      </c>
      <c r="BR62" s="316">
        <v>3.8707293899999997</v>
      </c>
      <c r="BS62" s="52">
        <v>3.8707293899999997</v>
      </c>
      <c r="BT62" s="54"/>
    </row>
    <row r="63" spans="10:72">
      <c r="Q63" s="316" t="s">
        <v>43</v>
      </c>
      <c r="R63" s="316" t="s">
        <v>508</v>
      </c>
      <c r="T63" s="316">
        <v>51455</v>
      </c>
      <c r="U63" s="316" t="b">
        <v>1</v>
      </c>
      <c r="V63" s="316" t="s">
        <v>48</v>
      </c>
      <c r="W63" s="316" t="s">
        <v>508</v>
      </c>
      <c r="X63" s="52" t="s">
        <v>606</v>
      </c>
      <c r="Y63" s="52">
        <v>4</v>
      </c>
      <c r="Z63" s="316" t="s">
        <v>48</v>
      </c>
      <c r="AA63" s="316">
        <v>63508</v>
      </c>
      <c r="AB63" s="316" t="s">
        <v>48</v>
      </c>
      <c r="AE63" s="316" t="s">
        <v>48</v>
      </c>
      <c r="AF63" s="316" t="s">
        <v>1009</v>
      </c>
      <c r="AG63" s="316">
        <v>3.75304255</v>
      </c>
      <c r="AH63" s="316">
        <v>3.75304255</v>
      </c>
      <c r="AI63" s="316">
        <v>3.75304255</v>
      </c>
      <c r="AJ63" s="52">
        <v>3.75304255</v>
      </c>
      <c r="AK63" s="316">
        <v>3.75304255</v>
      </c>
      <c r="AN63" s="316" t="s">
        <v>48</v>
      </c>
      <c r="AO63" s="316" t="s">
        <v>1008</v>
      </c>
      <c r="AP63" s="316">
        <v>4.0015703340000002</v>
      </c>
      <c r="AQ63" s="316">
        <v>4.0015703340000002</v>
      </c>
      <c r="AR63" s="316">
        <v>4.0015703340000002</v>
      </c>
      <c r="AS63" s="52">
        <v>4.0015703340000002</v>
      </c>
      <c r="AT63" s="316">
        <v>4.0015703340000002</v>
      </c>
      <c r="AV63" s="316" t="s">
        <v>48</v>
      </c>
      <c r="AW63" s="316" t="s">
        <v>1149</v>
      </c>
      <c r="AX63" s="316">
        <v>3.7189527570000003</v>
      </c>
      <c r="AY63" s="316">
        <v>3.7189527570000003</v>
      </c>
      <c r="AZ63" s="316">
        <v>3.7189527570000003</v>
      </c>
      <c r="BA63" s="316">
        <v>3.7189527570000003</v>
      </c>
      <c r="BB63" s="52">
        <v>3.7189527570000003</v>
      </c>
      <c r="BD63" s="316" t="s">
        <v>48</v>
      </c>
      <c r="BE63" s="316" t="s">
        <v>1009</v>
      </c>
      <c r="BF63" s="316">
        <v>3.75304255</v>
      </c>
      <c r="BG63" s="316">
        <v>3.75304255</v>
      </c>
      <c r="BH63" s="316">
        <v>3.75304255</v>
      </c>
      <c r="BI63" s="316">
        <v>3.75304255</v>
      </c>
      <c r="BJ63" s="316">
        <v>3.75304255</v>
      </c>
      <c r="BM63" s="316" t="s">
        <v>48</v>
      </c>
      <c r="BN63" s="316" t="s">
        <v>1010</v>
      </c>
      <c r="BO63" s="316">
        <v>3.8627628019999998</v>
      </c>
      <c r="BP63" s="316">
        <v>3.8627628019999998</v>
      </c>
      <c r="BQ63" s="316">
        <v>3.8627628019999998</v>
      </c>
      <c r="BR63" s="316">
        <v>3.8627628019999998</v>
      </c>
      <c r="BS63" s="52">
        <v>3.8627628019999998</v>
      </c>
      <c r="BT63" s="54"/>
    </row>
    <row r="64" spans="10:72">
      <c r="Q64" s="316" t="s">
        <v>44</v>
      </c>
      <c r="R64" s="316" t="s">
        <v>508</v>
      </c>
      <c r="T64" s="316">
        <v>51820</v>
      </c>
      <c r="U64" s="316" t="b">
        <v>1</v>
      </c>
      <c r="V64" s="316" t="s">
        <v>65</v>
      </c>
      <c r="W64" s="316" t="s">
        <v>65</v>
      </c>
      <c r="X64" s="52" t="s">
        <v>65</v>
      </c>
      <c r="Y64" s="52">
        <v>5</v>
      </c>
      <c r="Z64" s="316" t="s">
        <v>65</v>
      </c>
      <c r="AA64" s="316" t="s">
        <v>65</v>
      </c>
      <c r="AB64" s="316" t="s">
        <v>65</v>
      </c>
      <c r="AE64" s="316" t="s">
        <v>65</v>
      </c>
      <c r="AF64" s="316" t="s">
        <v>65</v>
      </c>
      <c r="AG64" s="316" t="s">
        <v>549</v>
      </c>
      <c r="AH64" s="316" t="s">
        <v>549</v>
      </c>
      <c r="AI64" s="316" t="s">
        <v>549</v>
      </c>
      <c r="AJ64" s="52" t="s">
        <v>549</v>
      </c>
      <c r="AK64" s="316" t="s">
        <v>65</v>
      </c>
      <c r="AN64" s="316" t="s">
        <v>65</v>
      </c>
      <c r="AO64" s="316" t="s">
        <v>65</v>
      </c>
      <c r="AP64" s="316" t="s">
        <v>549</v>
      </c>
      <c r="AQ64" s="316" t="s">
        <v>549</v>
      </c>
      <c r="AR64" s="316" t="s">
        <v>549</v>
      </c>
      <c r="AS64" s="52" t="s">
        <v>549</v>
      </c>
      <c r="AT64" s="316" t="s">
        <v>65</v>
      </c>
      <c r="AV64" s="316" t="s">
        <v>65</v>
      </c>
      <c r="AW64" s="316" t="s">
        <v>65</v>
      </c>
      <c r="AX64" s="316" t="s">
        <v>549</v>
      </c>
      <c r="AY64" s="316" t="s">
        <v>549</v>
      </c>
      <c r="AZ64" s="316" t="s">
        <v>549</v>
      </c>
      <c r="BA64" s="316" t="s">
        <v>549</v>
      </c>
      <c r="BB64" s="52" t="s">
        <v>65</v>
      </c>
      <c r="BD64" s="316" t="s">
        <v>65</v>
      </c>
      <c r="BE64" s="316" t="s">
        <v>65</v>
      </c>
      <c r="BF64" s="316" t="s">
        <v>549</v>
      </c>
      <c r="BG64" s="316" t="s">
        <v>549</v>
      </c>
      <c r="BH64" s="316" t="s">
        <v>549</v>
      </c>
      <c r="BI64" s="316" t="s">
        <v>549</v>
      </c>
      <c r="BJ64" s="316" t="s">
        <v>65</v>
      </c>
      <c r="BM64" s="316" t="s">
        <v>65</v>
      </c>
      <c r="BN64" s="316" t="s">
        <v>65</v>
      </c>
      <c r="BO64" s="316" t="s">
        <v>549</v>
      </c>
      <c r="BP64" s="316" t="s">
        <v>549</v>
      </c>
      <c r="BQ64" s="316" t="s">
        <v>549</v>
      </c>
      <c r="BR64" s="316" t="s">
        <v>549</v>
      </c>
      <c r="BS64" s="52" t="s">
        <v>65</v>
      </c>
      <c r="BT64" s="54"/>
    </row>
    <row r="65" spans="17:72">
      <c r="Q65" s="316" t="s">
        <v>45</v>
      </c>
      <c r="R65" s="316" t="s">
        <v>508</v>
      </c>
      <c r="T65" s="316">
        <v>52187</v>
      </c>
      <c r="U65" s="316" t="b">
        <v>1</v>
      </c>
      <c r="V65" s="316" t="s">
        <v>65</v>
      </c>
      <c r="W65" s="316" t="s">
        <v>65</v>
      </c>
      <c r="X65" s="52" t="s">
        <v>65</v>
      </c>
      <c r="Y65" s="52">
        <v>5</v>
      </c>
      <c r="Z65" s="316" t="s">
        <v>65</v>
      </c>
      <c r="AA65" s="316" t="s">
        <v>65</v>
      </c>
      <c r="AB65" s="316" t="s">
        <v>65</v>
      </c>
      <c r="AE65" s="316" t="s">
        <v>65</v>
      </c>
      <c r="AF65" s="316" t="s">
        <v>65</v>
      </c>
      <c r="AG65" s="316" t="s">
        <v>549</v>
      </c>
      <c r="AH65" s="316" t="s">
        <v>549</v>
      </c>
      <c r="AI65" s="316" t="s">
        <v>549</v>
      </c>
      <c r="AJ65" s="52" t="s">
        <v>549</v>
      </c>
      <c r="AK65" s="316" t="s">
        <v>65</v>
      </c>
      <c r="AN65" s="316" t="s">
        <v>65</v>
      </c>
      <c r="AO65" s="316" t="s">
        <v>65</v>
      </c>
      <c r="AP65" s="316" t="s">
        <v>549</v>
      </c>
      <c r="AQ65" s="316" t="s">
        <v>549</v>
      </c>
      <c r="AR65" s="316" t="s">
        <v>549</v>
      </c>
      <c r="AS65" s="52" t="s">
        <v>549</v>
      </c>
      <c r="AT65" s="316" t="s">
        <v>65</v>
      </c>
      <c r="AV65" s="316" t="s">
        <v>65</v>
      </c>
      <c r="AW65" s="316" t="s">
        <v>65</v>
      </c>
      <c r="AX65" s="316" t="s">
        <v>549</v>
      </c>
      <c r="AY65" s="316" t="s">
        <v>549</v>
      </c>
      <c r="AZ65" s="316" t="s">
        <v>549</v>
      </c>
      <c r="BA65" s="316" t="s">
        <v>549</v>
      </c>
      <c r="BB65" s="52" t="s">
        <v>65</v>
      </c>
      <c r="BD65" s="316" t="s">
        <v>65</v>
      </c>
      <c r="BE65" s="316" t="s">
        <v>65</v>
      </c>
      <c r="BF65" s="316" t="s">
        <v>549</v>
      </c>
      <c r="BG65" s="316" t="s">
        <v>549</v>
      </c>
      <c r="BH65" s="316" t="s">
        <v>549</v>
      </c>
      <c r="BI65" s="316" t="s">
        <v>549</v>
      </c>
      <c r="BJ65" s="316" t="s">
        <v>65</v>
      </c>
      <c r="BM65" s="316" t="s">
        <v>65</v>
      </c>
      <c r="BN65" s="316" t="s">
        <v>65</v>
      </c>
      <c r="BO65" s="316" t="s">
        <v>549</v>
      </c>
      <c r="BP65" s="316" t="s">
        <v>549</v>
      </c>
      <c r="BQ65" s="316" t="s">
        <v>549</v>
      </c>
      <c r="BR65" s="316" t="s">
        <v>549</v>
      </c>
      <c r="BS65" s="52" t="s">
        <v>65</v>
      </c>
      <c r="BT65" s="54"/>
    </row>
    <row r="66" spans="17:72">
      <c r="Q66" s="316" t="s">
        <v>22</v>
      </c>
      <c r="R66" s="316" t="s">
        <v>508</v>
      </c>
      <c r="T66" s="316">
        <v>52551</v>
      </c>
      <c r="U66" s="316" t="b">
        <v>1</v>
      </c>
      <c r="V66" s="316" t="s">
        <v>65</v>
      </c>
      <c r="W66" s="316" t="s">
        <v>65</v>
      </c>
      <c r="X66" s="52" t="s">
        <v>65</v>
      </c>
      <c r="Y66" s="52">
        <v>5</v>
      </c>
      <c r="Z66" s="316" t="s">
        <v>65</v>
      </c>
      <c r="AA66" s="316" t="s">
        <v>65</v>
      </c>
      <c r="AB66" s="316" t="s">
        <v>65</v>
      </c>
      <c r="AE66" s="316" t="s">
        <v>65</v>
      </c>
      <c r="AF66" s="316" t="s">
        <v>65</v>
      </c>
      <c r="AG66" s="316" t="s">
        <v>549</v>
      </c>
      <c r="AH66" s="316" t="s">
        <v>549</v>
      </c>
      <c r="AI66" s="316" t="s">
        <v>549</v>
      </c>
      <c r="AJ66" s="52" t="s">
        <v>549</v>
      </c>
      <c r="AK66" s="316" t="s">
        <v>65</v>
      </c>
      <c r="AN66" s="316" t="s">
        <v>65</v>
      </c>
      <c r="AO66" s="316" t="s">
        <v>65</v>
      </c>
      <c r="AP66" s="316" t="s">
        <v>549</v>
      </c>
      <c r="AQ66" s="316" t="s">
        <v>549</v>
      </c>
      <c r="AR66" s="316" t="s">
        <v>549</v>
      </c>
      <c r="AS66" s="52" t="s">
        <v>549</v>
      </c>
      <c r="AT66" s="316" t="s">
        <v>65</v>
      </c>
      <c r="AV66" s="316" t="s">
        <v>65</v>
      </c>
      <c r="AW66" s="316" t="s">
        <v>65</v>
      </c>
      <c r="AX66" s="316" t="s">
        <v>549</v>
      </c>
      <c r="AY66" s="316" t="s">
        <v>549</v>
      </c>
      <c r="AZ66" s="316" t="s">
        <v>549</v>
      </c>
      <c r="BA66" s="316" t="s">
        <v>549</v>
      </c>
      <c r="BB66" s="52" t="s">
        <v>65</v>
      </c>
      <c r="BD66" s="316" t="s">
        <v>65</v>
      </c>
      <c r="BE66" s="316" t="s">
        <v>65</v>
      </c>
      <c r="BF66" s="316" t="s">
        <v>549</v>
      </c>
      <c r="BG66" s="316" t="s">
        <v>549</v>
      </c>
      <c r="BH66" s="316" t="s">
        <v>549</v>
      </c>
      <c r="BI66" s="316" t="s">
        <v>549</v>
      </c>
      <c r="BJ66" s="316" t="s">
        <v>65</v>
      </c>
      <c r="BM66" s="316" t="s">
        <v>65</v>
      </c>
      <c r="BN66" s="316" t="s">
        <v>65</v>
      </c>
      <c r="BO66" s="316" t="s">
        <v>549</v>
      </c>
      <c r="BP66" s="316" t="s">
        <v>549</v>
      </c>
      <c r="BQ66" s="316" t="s">
        <v>549</v>
      </c>
      <c r="BR66" s="316" t="s">
        <v>549</v>
      </c>
      <c r="BS66" s="52" t="s">
        <v>65</v>
      </c>
      <c r="BT66" s="54"/>
    </row>
    <row r="67" spans="17:72">
      <c r="Q67" s="316" t="s">
        <v>46</v>
      </c>
      <c r="R67" s="316" t="s">
        <v>508</v>
      </c>
      <c r="T67" s="316">
        <v>56205</v>
      </c>
      <c r="U67" s="316" t="b">
        <v>1</v>
      </c>
      <c r="V67" s="316" t="s">
        <v>65</v>
      </c>
      <c r="W67" s="316" t="s">
        <v>65</v>
      </c>
      <c r="X67" s="52" t="s">
        <v>65</v>
      </c>
      <c r="Y67" s="52">
        <v>5</v>
      </c>
      <c r="Z67" s="316" t="s">
        <v>65</v>
      </c>
      <c r="AA67" s="316" t="s">
        <v>65</v>
      </c>
      <c r="AB67" s="316" t="s">
        <v>65</v>
      </c>
      <c r="AE67" s="316" t="s">
        <v>65</v>
      </c>
      <c r="AF67" s="316" t="s">
        <v>65</v>
      </c>
      <c r="AG67" s="316" t="s">
        <v>549</v>
      </c>
      <c r="AH67" s="316" t="s">
        <v>549</v>
      </c>
      <c r="AI67" s="316" t="s">
        <v>549</v>
      </c>
      <c r="AJ67" s="52" t="s">
        <v>549</v>
      </c>
      <c r="AK67" s="316" t="s">
        <v>65</v>
      </c>
      <c r="AN67" s="316" t="s">
        <v>65</v>
      </c>
      <c r="AO67" s="316" t="s">
        <v>65</v>
      </c>
      <c r="AP67" s="316" t="s">
        <v>549</v>
      </c>
      <c r="AQ67" s="316" t="s">
        <v>549</v>
      </c>
      <c r="AR67" s="316" t="s">
        <v>549</v>
      </c>
      <c r="AS67" s="52" t="s">
        <v>549</v>
      </c>
      <c r="AT67" s="316" t="s">
        <v>65</v>
      </c>
      <c r="AV67" s="316" t="s">
        <v>65</v>
      </c>
      <c r="AW67" s="316" t="s">
        <v>65</v>
      </c>
      <c r="AX67" s="316" t="s">
        <v>549</v>
      </c>
      <c r="AY67" s="316" t="s">
        <v>549</v>
      </c>
      <c r="AZ67" s="316" t="s">
        <v>549</v>
      </c>
      <c r="BA67" s="316" t="s">
        <v>549</v>
      </c>
      <c r="BB67" s="52" t="s">
        <v>65</v>
      </c>
      <c r="BD67" s="316" t="s">
        <v>65</v>
      </c>
      <c r="BE67" s="316" t="s">
        <v>65</v>
      </c>
      <c r="BF67" s="316" t="s">
        <v>549</v>
      </c>
      <c r="BG67" s="316" t="s">
        <v>549</v>
      </c>
      <c r="BH67" s="316" t="s">
        <v>549</v>
      </c>
      <c r="BI67" s="316" t="s">
        <v>549</v>
      </c>
      <c r="BJ67" s="316" t="s">
        <v>65</v>
      </c>
      <c r="BM67" s="316" t="s">
        <v>65</v>
      </c>
      <c r="BN67" s="316" t="s">
        <v>65</v>
      </c>
      <c r="BO67" s="316" t="s">
        <v>549</v>
      </c>
      <c r="BP67" s="316" t="s">
        <v>549</v>
      </c>
      <c r="BQ67" s="316" t="s">
        <v>549</v>
      </c>
      <c r="BR67" s="316" t="s">
        <v>549</v>
      </c>
      <c r="BS67" s="52" t="s">
        <v>65</v>
      </c>
      <c r="BT67" s="54"/>
    </row>
    <row r="68" spans="17:72">
      <c r="Q68" s="316" t="s">
        <v>47</v>
      </c>
      <c r="R68" s="316" t="s">
        <v>508</v>
      </c>
      <c r="T68" s="316">
        <v>59855</v>
      </c>
      <c r="U68" s="316" t="b">
        <v>1</v>
      </c>
      <c r="V68" s="316" t="s">
        <v>65</v>
      </c>
      <c r="W68" s="316" t="s">
        <v>65</v>
      </c>
      <c r="X68" s="52" t="s">
        <v>65</v>
      </c>
      <c r="Y68" s="52">
        <v>5</v>
      </c>
      <c r="Z68" s="316" t="s">
        <v>65</v>
      </c>
      <c r="AA68" s="316" t="s">
        <v>65</v>
      </c>
      <c r="AB68" s="316" t="s">
        <v>65</v>
      </c>
      <c r="AE68" s="316" t="s">
        <v>65</v>
      </c>
      <c r="AF68" s="316" t="s">
        <v>65</v>
      </c>
      <c r="AG68" s="316" t="s">
        <v>549</v>
      </c>
      <c r="AH68" s="316" t="s">
        <v>549</v>
      </c>
      <c r="AI68" s="316" t="s">
        <v>549</v>
      </c>
      <c r="AJ68" s="52" t="s">
        <v>549</v>
      </c>
      <c r="AK68" s="316" t="s">
        <v>65</v>
      </c>
      <c r="AN68" s="316" t="s">
        <v>65</v>
      </c>
      <c r="AO68" s="316" t="s">
        <v>65</v>
      </c>
      <c r="AP68" s="316" t="s">
        <v>549</v>
      </c>
      <c r="AQ68" s="316" t="s">
        <v>549</v>
      </c>
      <c r="AR68" s="316" t="s">
        <v>549</v>
      </c>
      <c r="AS68" s="52" t="s">
        <v>549</v>
      </c>
      <c r="AT68" s="316" t="s">
        <v>65</v>
      </c>
      <c r="AV68" s="316" t="s">
        <v>65</v>
      </c>
      <c r="AW68" s="316" t="s">
        <v>65</v>
      </c>
      <c r="AX68" s="316" t="s">
        <v>549</v>
      </c>
      <c r="AY68" s="316" t="s">
        <v>549</v>
      </c>
      <c r="AZ68" s="316" t="s">
        <v>549</v>
      </c>
      <c r="BA68" s="316" t="s">
        <v>549</v>
      </c>
      <c r="BB68" s="52" t="s">
        <v>65</v>
      </c>
      <c r="BD68" s="316" t="s">
        <v>65</v>
      </c>
      <c r="BE68" s="316" t="s">
        <v>65</v>
      </c>
      <c r="BF68" s="316" t="s">
        <v>549</v>
      </c>
      <c r="BG68" s="316" t="s">
        <v>549</v>
      </c>
      <c r="BH68" s="316" t="s">
        <v>549</v>
      </c>
      <c r="BI68" s="316" t="s">
        <v>549</v>
      </c>
      <c r="BJ68" s="316" t="s">
        <v>65</v>
      </c>
      <c r="BM68" s="316" t="s">
        <v>65</v>
      </c>
      <c r="BN68" s="316" t="s">
        <v>65</v>
      </c>
      <c r="BO68" s="316" t="s">
        <v>549</v>
      </c>
      <c r="BP68" s="316" t="s">
        <v>549</v>
      </c>
      <c r="BQ68" s="316" t="s">
        <v>549</v>
      </c>
      <c r="BR68" s="316" t="s">
        <v>549</v>
      </c>
      <c r="BS68" s="52" t="s">
        <v>65</v>
      </c>
      <c r="BT68" s="54"/>
    </row>
    <row r="69" spans="17:72">
      <c r="Q69" s="316" t="s">
        <v>48</v>
      </c>
      <c r="R69" s="316" t="s">
        <v>508</v>
      </c>
      <c r="T69" s="316">
        <v>63508</v>
      </c>
      <c r="U69" s="316" t="b">
        <v>1</v>
      </c>
      <c r="V69" s="316" t="s">
        <v>65</v>
      </c>
      <c r="W69" s="316" t="s">
        <v>65</v>
      </c>
      <c r="X69" s="52" t="s">
        <v>65</v>
      </c>
      <c r="Y69" s="52">
        <v>5</v>
      </c>
      <c r="Z69" s="316" t="s">
        <v>65</v>
      </c>
      <c r="AA69" s="316" t="s">
        <v>65</v>
      </c>
      <c r="AB69" s="316" t="s">
        <v>65</v>
      </c>
      <c r="AE69" s="316" t="s">
        <v>65</v>
      </c>
      <c r="AF69" s="316" t="s">
        <v>65</v>
      </c>
      <c r="AG69" s="316" t="s">
        <v>549</v>
      </c>
      <c r="AH69" s="316" t="s">
        <v>549</v>
      </c>
      <c r="AI69" s="316" t="s">
        <v>549</v>
      </c>
      <c r="AJ69" s="52" t="s">
        <v>549</v>
      </c>
      <c r="AK69" s="316" t="s">
        <v>65</v>
      </c>
      <c r="AN69" s="316" t="s">
        <v>65</v>
      </c>
      <c r="AO69" s="316" t="s">
        <v>65</v>
      </c>
      <c r="AP69" s="316" t="s">
        <v>549</v>
      </c>
      <c r="AQ69" s="316" t="s">
        <v>549</v>
      </c>
      <c r="AR69" s="316" t="s">
        <v>549</v>
      </c>
      <c r="AS69" s="52" t="s">
        <v>549</v>
      </c>
      <c r="AT69" s="316" t="s">
        <v>65</v>
      </c>
      <c r="AV69" s="316" t="s">
        <v>65</v>
      </c>
      <c r="AW69" s="316" t="s">
        <v>65</v>
      </c>
      <c r="AX69" s="316" t="s">
        <v>549</v>
      </c>
      <c r="AY69" s="316" t="s">
        <v>549</v>
      </c>
      <c r="AZ69" s="316" t="s">
        <v>549</v>
      </c>
      <c r="BA69" s="316" t="s">
        <v>549</v>
      </c>
      <c r="BB69" s="52" t="s">
        <v>65</v>
      </c>
      <c r="BD69" s="316" t="s">
        <v>65</v>
      </c>
      <c r="BE69" s="316" t="s">
        <v>65</v>
      </c>
      <c r="BF69" s="316" t="s">
        <v>549</v>
      </c>
      <c r="BG69" s="316" t="s">
        <v>549</v>
      </c>
      <c r="BH69" s="316" t="s">
        <v>549</v>
      </c>
      <c r="BI69" s="316" t="s">
        <v>549</v>
      </c>
      <c r="BJ69" s="316" t="s">
        <v>65</v>
      </c>
      <c r="BM69" s="316" t="s">
        <v>65</v>
      </c>
      <c r="BN69" s="316" t="s">
        <v>65</v>
      </c>
      <c r="BO69" s="316" t="s">
        <v>549</v>
      </c>
      <c r="BP69" s="316" t="s">
        <v>549</v>
      </c>
      <c r="BQ69" s="316" t="s">
        <v>549</v>
      </c>
      <c r="BR69" s="316" t="s">
        <v>549</v>
      </c>
      <c r="BS69" s="52" t="s">
        <v>65</v>
      </c>
      <c r="BT69" s="54"/>
    </row>
    <row r="70" spans="17:72">
      <c r="R70" s="316" t="s">
        <v>508</v>
      </c>
      <c r="T70" s="316" t="e">
        <v>#VALUE!</v>
      </c>
      <c r="U70" s="316" t="b">
        <v>0</v>
      </c>
      <c r="V70" s="316" t="s">
        <v>65</v>
      </c>
      <c r="W70" s="316" t="s">
        <v>65</v>
      </c>
      <c r="X70" s="52" t="s">
        <v>65</v>
      </c>
      <c r="Y70" s="52">
        <v>5</v>
      </c>
      <c r="Z70" s="316" t="s">
        <v>65</v>
      </c>
      <c r="AA70" s="316" t="s">
        <v>65</v>
      </c>
      <c r="AB70" s="316" t="s">
        <v>65</v>
      </c>
      <c r="AE70" s="316" t="s">
        <v>65</v>
      </c>
      <c r="AF70" s="316" t="s">
        <v>65</v>
      </c>
      <c r="AG70" s="316" t="s">
        <v>549</v>
      </c>
      <c r="AH70" s="316" t="s">
        <v>549</v>
      </c>
      <c r="AI70" s="316" t="s">
        <v>549</v>
      </c>
      <c r="AJ70" s="52" t="s">
        <v>549</v>
      </c>
      <c r="AK70" s="316" t="s">
        <v>65</v>
      </c>
      <c r="AN70" s="316" t="s">
        <v>65</v>
      </c>
      <c r="AO70" s="316" t="s">
        <v>65</v>
      </c>
      <c r="AP70" s="316" t="s">
        <v>549</v>
      </c>
      <c r="AQ70" s="316" t="s">
        <v>549</v>
      </c>
      <c r="AR70" s="316" t="s">
        <v>549</v>
      </c>
      <c r="AS70" s="52" t="s">
        <v>549</v>
      </c>
      <c r="AT70" s="316" t="s">
        <v>65</v>
      </c>
      <c r="AV70" s="316" t="s">
        <v>65</v>
      </c>
      <c r="AW70" s="316" t="s">
        <v>65</v>
      </c>
      <c r="AX70" s="316" t="s">
        <v>549</v>
      </c>
      <c r="AY70" s="316" t="s">
        <v>549</v>
      </c>
      <c r="AZ70" s="316" t="s">
        <v>549</v>
      </c>
      <c r="BA70" s="316" t="s">
        <v>549</v>
      </c>
      <c r="BB70" s="52" t="s">
        <v>65</v>
      </c>
      <c r="BD70" s="316" t="s">
        <v>65</v>
      </c>
      <c r="BE70" s="316" t="s">
        <v>65</v>
      </c>
      <c r="BF70" s="316" t="s">
        <v>549</v>
      </c>
      <c r="BG70" s="316" t="s">
        <v>549</v>
      </c>
      <c r="BH70" s="316" t="s">
        <v>549</v>
      </c>
      <c r="BI70" s="316" t="s">
        <v>549</v>
      </c>
      <c r="BJ70" s="316" t="s">
        <v>65</v>
      </c>
      <c r="BM70" s="316" t="s">
        <v>65</v>
      </c>
      <c r="BN70" s="316" t="s">
        <v>65</v>
      </c>
      <c r="BO70" s="316" t="s">
        <v>549</v>
      </c>
      <c r="BP70" s="316" t="s">
        <v>549</v>
      </c>
      <c r="BQ70" s="316" t="s">
        <v>549</v>
      </c>
      <c r="BR70" s="316" t="s">
        <v>549</v>
      </c>
      <c r="BS70" s="52" t="s">
        <v>65</v>
      </c>
      <c r="BT70" s="54"/>
    </row>
    <row r="71" spans="17:72">
      <c r="R71" s="316" t="s">
        <v>508</v>
      </c>
      <c r="T71" s="316" t="e">
        <v>#VALUE!</v>
      </c>
      <c r="U71" s="316" t="b">
        <v>0</v>
      </c>
      <c r="V71" s="316" t="s">
        <v>65</v>
      </c>
      <c r="W71" s="316" t="s">
        <v>65</v>
      </c>
      <c r="X71" s="52" t="s">
        <v>65</v>
      </c>
      <c r="Y71" s="52">
        <v>5</v>
      </c>
      <c r="Z71" s="316" t="s">
        <v>65</v>
      </c>
      <c r="AA71" s="316" t="s">
        <v>65</v>
      </c>
      <c r="AB71" s="316" t="s">
        <v>65</v>
      </c>
      <c r="AE71" s="316" t="s">
        <v>65</v>
      </c>
      <c r="AF71" s="316" t="s">
        <v>65</v>
      </c>
      <c r="AG71" s="316" t="s">
        <v>549</v>
      </c>
      <c r="AH71" s="316" t="s">
        <v>549</v>
      </c>
      <c r="AI71" s="316" t="s">
        <v>549</v>
      </c>
      <c r="AJ71" s="52" t="s">
        <v>549</v>
      </c>
      <c r="AK71" s="316" t="s">
        <v>65</v>
      </c>
      <c r="AN71" s="316" t="s">
        <v>65</v>
      </c>
      <c r="AO71" s="316" t="s">
        <v>65</v>
      </c>
      <c r="AP71" s="316" t="s">
        <v>549</v>
      </c>
      <c r="AQ71" s="316" t="s">
        <v>549</v>
      </c>
      <c r="AR71" s="316" t="s">
        <v>549</v>
      </c>
      <c r="AS71" s="52" t="s">
        <v>549</v>
      </c>
      <c r="AT71" s="316" t="s">
        <v>65</v>
      </c>
      <c r="AV71" s="316" t="s">
        <v>65</v>
      </c>
      <c r="AW71" s="316" t="s">
        <v>65</v>
      </c>
      <c r="AX71" s="316" t="s">
        <v>549</v>
      </c>
      <c r="AY71" s="316" t="s">
        <v>549</v>
      </c>
      <c r="AZ71" s="316" t="s">
        <v>549</v>
      </c>
      <c r="BA71" s="316" t="s">
        <v>549</v>
      </c>
      <c r="BB71" s="52" t="s">
        <v>65</v>
      </c>
      <c r="BD71" s="316" t="s">
        <v>65</v>
      </c>
      <c r="BE71" s="316" t="s">
        <v>65</v>
      </c>
      <c r="BF71" s="316" t="s">
        <v>549</v>
      </c>
      <c r="BG71" s="316" t="s">
        <v>549</v>
      </c>
      <c r="BH71" s="316" t="s">
        <v>549</v>
      </c>
      <c r="BI71" s="316" t="s">
        <v>549</v>
      </c>
      <c r="BJ71" s="316" t="s">
        <v>65</v>
      </c>
      <c r="BM71" s="316" t="s">
        <v>65</v>
      </c>
      <c r="BN71" s="316" t="s">
        <v>65</v>
      </c>
      <c r="BO71" s="316" t="s">
        <v>549</v>
      </c>
      <c r="BP71" s="316" t="s">
        <v>549</v>
      </c>
      <c r="BQ71" s="316" t="s">
        <v>549</v>
      </c>
      <c r="BR71" s="316" t="s">
        <v>549</v>
      </c>
      <c r="BS71" s="52" t="s">
        <v>65</v>
      </c>
      <c r="BT71" s="54"/>
    </row>
    <row r="72" spans="17:72">
      <c r="R72" s="316" t="s">
        <v>508</v>
      </c>
      <c r="T72" s="316" t="e">
        <v>#VALUE!</v>
      </c>
      <c r="U72" s="316" t="b">
        <v>0</v>
      </c>
      <c r="V72" s="316" t="s">
        <v>65</v>
      </c>
      <c r="W72" s="316" t="s">
        <v>65</v>
      </c>
      <c r="X72" s="52" t="s">
        <v>65</v>
      </c>
      <c r="Y72" s="52">
        <v>5</v>
      </c>
      <c r="Z72" s="316" t="s">
        <v>65</v>
      </c>
      <c r="AA72" s="316" t="s">
        <v>65</v>
      </c>
      <c r="AB72" s="316" t="s">
        <v>65</v>
      </c>
      <c r="AE72" s="316" t="s">
        <v>65</v>
      </c>
      <c r="AF72" s="316" t="s">
        <v>65</v>
      </c>
      <c r="AG72" s="316" t="s">
        <v>549</v>
      </c>
      <c r="AH72" s="316" t="s">
        <v>549</v>
      </c>
      <c r="AI72" s="316" t="s">
        <v>549</v>
      </c>
      <c r="AJ72" s="52" t="s">
        <v>549</v>
      </c>
      <c r="AK72" s="316" t="s">
        <v>65</v>
      </c>
      <c r="AN72" s="316" t="s">
        <v>65</v>
      </c>
      <c r="AO72" s="316" t="s">
        <v>65</v>
      </c>
      <c r="AP72" s="316" t="s">
        <v>549</v>
      </c>
      <c r="AQ72" s="316" t="s">
        <v>549</v>
      </c>
      <c r="AR72" s="316" t="s">
        <v>549</v>
      </c>
      <c r="AS72" s="52" t="s">
        <v>549</v>
      </c>
      <c r="AT72" s="316" t="s">
        <v>65</v>
      </c>
      <c r="AV72" s="316" t="s">
        <v>65</v>
      </c>
      <c r="AW72" s="316" t="s">
        <v>65</v>
      </c>
      <c r="AX72" s="316" t="s">
        <v>549</v>
      </c>
      <c r="AY72" s="316" t="s">
        <v>549</v>
      </c>
      <c r="AZ72" s="316" t="s">
        <v>549</v>
      </c>
      <c r="BA72" s="316" t="s">
        <v>549</v>
      </c>
      <c r="BB72" s="52" t="s">
        <v>65</v>
      </c>
      <c r="BD72" s="316" t="s">
        <v>65</v>
      </c>
      <c r="BE72" s="316" t="s">
        <v>65</v>
      </c>
      <c r="BF72" s="316" t="s">
        <v>549</v>
      </c>
      <c r="BG72" s="316" t="s">
        <v>549</v>
      </c>
      <c r="BH72" s="316" t="s">
        <v>549</v>
      </c>
      <c r="BI72" s="316" t="s">
        <v>549</v>
      </c>
      <c r="BJ72" s="316" t="s">
        <v>65</v>
      </c>
      <c r="BM72" s="316" t="s">
        <v>65</v>
      </c>
      <c r="BN72" s="316" t="s">
        <v>65</v>
      </c>
      <c r="BO72" s="316" t="s">
        <v>549</v>
      </c>
      <c r="BP72" s="316" t="s">
        <v>549</v>
      </c>
      <c r="BQ72" s="316" t="s">
        <v>549</v>
      </c>
      <c r="BR72" s="316" t="s">
        <v>549</v>
      </c>
      <c r="BS72" s="52" t="s">
        <v>65</v>
      </c>
      <c r="BT72" s="54"/>
    </row>
    <row r="73" spans="17:72">
      <c r="R73" s="316" t="s">
        <v>508</v>
      </c>
      <c r="T73" s="316" t="e">
        <v>#VALUE!</v>
      </c>
      <c r="U73" s="316" t="b">
        <v>0</v>
      </c>
      <c r="V73" s="316" t="s">
        <v>65</v>
      </c>
      <c r="W73" s="316" t="s">
        <v>65</v>
      </c>
      <c r="X73" s="52" t="s">
        <v>65</v>
      </c>
      <c r="Y73" s="52">
        <v>5</v>
      </c>
      <c r="Z73" s="316" t="s">
        <v>65</v>
      </c>
      <c r="AA73" s="316" t="s">
        <v>65</v>
      </c>
      <c r="AB73" s="316" t="s">
        <v>65</v>
      </c>
      <c r="AE73" s="316" t="s">
        <v>65</v>
      </c>
      <c r="AF73" s="316" t="s">
        <v>65</v>
      </c>
      <c r="AG73" s="316" t="s">
        <v>549</v>
      </c>
      <c r="AH73" s="316" t="s">
        <v>549</v>
      </c>
      <c r="AI73" s="316" t="s">
        <v>549</v>
      </c>
      <c r="AJ73" s="52" t="s">
        <v>549</v>
      </c>
      <c r="AK73" s="316" t="s">
        <v>65</v>
      </c>
      <c r="AN73" s="316" t="s">
        <v>65</v>
      </c>
      <c r="AO73" s="316" t="s">
        <v>65</v>
      </c>
      <c r="AP73" s="316" t="s">
        <v>549</v>
      </c>
      <c r="AQ73" s="316" t="s">
        <v>549</v>
      </c>
      <c r="AR73" s="316" t="s">
        <v>549</v>
      </c>
      <c r="AS73" s="52" t="s">
        <v>549</v>
      </c>
      <c r="AT73" s="316" t="s">
        <v>65</v>
      </c>
      <c r="AV73" s="316" t="s">
        <v>65</v>
      </c>
      <c r="AW73" s="316" t="s">
        <v>65</v>
      </c>
      <c r="AX73" s="316" t="s">
        <v>549</v>
      </c>
      <c r="AY73" s="316" t="s">
        <v>549</v>
      </c>
      <c r="AZ73" s="316" t="s">
        <v>549</v>
      </c>
      <c r="BA73" s="316" t="s">
        <v>549</v>
      </c>
      <c r="BB73" s="52" t="s">
        <v>65</v>
      </c>
      <c r="BD73" s="316" t="s">
        <v>65</v>
      </c>
      <c r="BE73" s="316" t="s">
        <v>65</v>
      </c>
      <c r="BF73" s="316" t="s">
        <v>549</v>
      </c>
      <c r="BG73" s="316" t="s">
        <v>549</v>
      </c>
      <c r="BH73" s="316" t="s">
        <v>549</v>
      </c>
      <c r="BI73" s="316" t="s">
        <v>549</v>
      </c>
      <c r="BJ73" s="316" t="s">
        <v>65</v>
      </c>
      <c r="BM73" s="316" t="s">
        <v>65</v>
      </c>
      <c r="BN73" s="316" t="s">
        <v>65</v>
      </c>
      <c r="BO73" s="316" t="s">
        <v>549</v>
      </c>
      <c r="BP73" s="316" t="s">
        <v>549</v>
      </c>
      <c r="BQ73" s="316" t="s">
        <v>549</v>
      </c>
      <c r="BR73" s="316" t="s">
        <v>549</v>
      </c>
      <c r="BS73" s="52" t="s">
        <v>65</v>
      </c>
      <c r="BT73" s="54"/>
    </row>
    <row r="74" spans="17:72">
      <c r="R74" s="316" t="s">
        <v>508</v>
      </c>
      <c r="T74" s="316" t="e">
        <v>#VALUE!</v>
      </c>
      <c r="U74" s="316" t="b">
        <v>0</v>
      </c>
      <c r="V74" s="316" t="s">
        <v>65</v>
      </c>
      <c r="W74" s="316" t="s">
        <v>65</v>
      </c>
      <c r="X74" s="52" t="s">
        <v>65</v>
      </c>
      <c r="Y74" s="52">
        <v>5</v>
      </c>
      <c r="Z74" s="316" t="s">
        <v>65</v>
      </c>
      <c r="AA74" s="316" t="s">
        <v>65</v>
      </c>
      <c r="AB74" s="316" t="s">
        <v>65</v>
      </c>
      <c r="AE74" s="316" t="s">
        <v>65</v>
      </c>
      <c r="AF74" s="316" t="s">
        <v>65</v>
      </c>
      <c r="AG74" s="316" t="s">
        <v>549</v>
      </c>
      <c r="AH74" s="316" t="s">
        <v>549</v>
      </c>
      <c r="AI74" s="316" t="s">
        <v>549</v>
      </c>
      <c r="AJ74" s="52" t="s">
        <v>549</v>
      </c>
      <c r="AK74" s="316" t="s">
        <v>65</v>
      </c>
      <c r="AN74" s="316" t="s">
        <v>65</v>
      </c>
      <c r="AO74" s="316" t="s">
        <v>65</v>
      </c>
      <c r="AP74" s="316" t="s">
        <v>549</v>
      </c>
      <c r="AQ74" s="316" t="s">
        <v>549</v>
      </c>
      <c r="AR74" s="316" t="s">
        <v>549</v>
      </c>
      <c r="AS74" s="52" t="s">
        <v>549</v>
      </c>
      <c r="AT74" s="316" t="s">
        <v>65</v>
      </c>
      <c r="AV74" s="316" t="s">
        <v>65</v>
      </c>
      <c r="AW74" s="316" t="s">
        <v>65</v>
      </c>
      <c r="AX74" s="316" t="s">
        <v>549</v>
      </c>
      <c r="AY74" s="316" t="s">
        <v>549</v>
      </c>
      <c r="AZ74" s="316" t="s">
        <v>549</v>
      </c>
      <c r="BA74" s="316" t="s">
        <v>549</v>
      </c>
      <c r="BB74" s="52" t="s">
        <v>65</v>
      </c>
      <c r="BD74" s="316" t="s">
        <v>65</v>
      </c>
      <c r="BE74" s="316" t="s">
        <v>65</v>
      </c>
      <c r="BF74" s="316" t="s">
        <v>549</v>
      </c>
      <c r="BG74" s="316" t="s">
        <v>549</v>
      </c>
      <c r="BH74" s="316" t="s">
        <v>549</v>
      </c>
      <c r="BI74" s="316" t="s">
        <v>549</v>
      </c>
      <c r="BJ74" s="316" t="s">
        <v>65</v>
      </c>
      <c r="BM74" s="316" t="s">
        <v>65</v>
      </c>
      <c r="BN74" s="316" t="s">
        <v>65</v>
      </c>
      <c r="BO74" s="316" t="s">
        <v>549</v>
      </c>
      <c r="BP74" s="316" t="s">
        <v>549</v>
      </c>
      <c r="BQ74" s="316" t="s">
        <v>549</v>
      </c>
      <c r="BR74" s="316" t="s">
        <v>549</v>
      </c>
      <c r="BS74" s="52" t="s">
        <v>65</v>
      </c>
      <c r="BT74" s="54"/>
    </row>
    <row r="75" spans="17:72">
      <c r="R75" s="316" t="s">
        <v>508</v>
      </c>
      <c r="T75" s="316" t="e">
        <v>#VALUE!</v>
      </c>
      <c r="U75" s="316" t="b">
        <v>0</v>
      </c>
      <c r="V75" s="316" t="s">
        <v>65</v>
      </c>
      <c r="W75" s="316" t="s">
        <v>65</v>
      </c>
      <c r="X75" s="52" t="s">
        <v>65</v>
      </c>
      <c r="Y75" s="52">
        <v>5</v>
      </c>
      <c r="Z75" s="316" t="s">
        <v>65</v>
      </c>
      <c r="AA75" s="316" t="s">
        <v>65</v>
      </c>
      <c r="AB75" s="316" t="s">
        <v>65</v>
      </c>
      <c r="AE75" s="316" t="s">
        <v>65</v>
      </c>
      <c r="AF75" s="316" t="s">
        <v>65</v>
      </c>
      <c r="AG75" s="316" t="s">
        <v>549</v>
      </c>
      <c r="AH75" s="316" t="s">
        <v>549</v>
      </c>
      <c r="AI75" s="316" t="s">
        <v>549</v>
      </c>
      <c r="AJ75" s="52" t="s">
        <v>549</v>
      </c>
      <c r="AK75" s="316" t="s">
        <v>65</v>
      </c>
      <c r="AN75" s="316" t="s">
        <v>65</v>
      </c>
      <c r="AO75" s="316" t="s">
        <v>65</v>
      </c>
      <c r="AP75" s="316" t="s">
        <v>549</v>
      </c>
      <c r="AQ75" s="316" t="s">
        <v>549</v>
      </c>
      <c r="AR75" s="316" t="s">
        <v>549</v>
      </c>
      <c r="AS75" s="52" t="s">
        <v>549</v>
      </c>
      <c r="AT75" s="316" t="s">
        <v>65</v>
      </c>
      <c r="AV75" s="316" t="s">
        <v>65</v>
      </c>
      <c r="AW75" s="316" t="s">
        <v>65</v>
      </c>
      <c r="AX75" s="316" t="s">
        <v>549</v>
      </c>
      <c r="AY75" s="316" t="s">
        <v>549</v>
      </c>
      <c r="AZ75" s="316" t="s">
        <v>549</v>
      </c>
      <c r="BA75" s="316" t="s">
        <v>549</v>
      </c>
      <c r="BB75" s="52" t="s">
        <v>65</v>
      </c>
      <c r="BD75" s="316" t="s">
        <v>65</v>
      </c>
      <c r="BE75" s="316" t="s">
        <v>65</v>
      </c>
      <c r="BF75" s="316" t="s">
        <v>549</v>
      </c>
      <c r="BG75" s="316" t="s">
        <v>549</v>
      </c>
      <c r="BH75" s="316" t="s">
        <v>549</v>
      </c>
      <c r="BI75" s="316" t="s">
        <v>549</v>
      </c>
      <c r="BJ75" s="316" t="s">
        <v>65</v>
      </c>
      <c r="BM75" s="316" t="s">
        <v>65</v>
      </c>
      <c r="BN75" s="316" t="s">
        <v>65</v>
      </c>
      <c r="BO75" s="316" t="s">
        <v>549</v>
      </c>
      <c r="BP75" s="316" t="s">
        <v>549</v>
      </c>
      <c r="BQ75" s="316" t="s">
        <v>549</v>
      </c>
      <c r="BR75" s="316" t="s">
        <v>549</v>
      </c>
      <c r="BS75" s="52" t="s">
        <v>65</v>
      </c>
      <c r="BT75" s="54"/>
    </row>
    <row r="76" spans="17:72">
      <c r="R76" s="316" t="s">
        <v>508</v>
      </c>
      <c r="T76" s="316" t="e">
        <v>#VALUE!</v>
      </c>
      <c r="U76" s="316" t="b">
        <v>0</v>
      </c>
      <c r="V76" s="316" t="s">
        <v>65</v>
      </c>
      <c r="W76" s="316" t="s">
        <v>65</v>
      </c>
      <c r="X76" s="52" t="s">
        <v>65</v>
      </c>
      <c r="Y76" s="52">
        <v>5</v>
      </c>
      <c r="Z76" s="316" t="s">
        <v>65</v>
      </c>
      <c r="AA76" s="316" t="s">
        <v>65</v>
      </c>
      <c r="AB76" s="316" t="s">
        <v>65</v>
      </c>
      <c r="AE76" s="316" t="s">
        <v>65</v>
      </c>
      <c r="AF76" s="316" t="s">
        <v>65</v>
      </c>
      <c r="AG76" s="316" t="s">
        <v>549</v>
      </c>
      <c r="AH76" s="316" t="s">
        <v>549</v>
      </c>
      <c r="AI76" s="316" t="s">
        <v>549</v>
      </c>
      <c r="AJ76" s="52" t="s">
        <v>549</v>
      </c>
      <c r="AK76" s="316" t="s">
        <v>65</v>
      </c>
      <c r="AN76" s="316" t="s">
        <v>65</v>
      </c>
      <c r="AO76" s="316" t="s">
        <v>65</v>
      </c>
      <c r="AP76" s="316" t="s">
        <v>549</v>
      </c>
      <c r="AQ76" s="316" t="s">
        <v>549</v>
      </c>
      <c r="AR76" s="316" t="s">
        <v>549</v>
      </c>
      <c r="AS76" s="52" t="s">
        <v>549</v>
      </c>
      <c r="AT76" s="316" t="s">
        <v>65</v>
      </c>
      <c r="AV76" s="316" t="s">
        <v>65</v>
      </c>
      <c r="AW76" s="316" t="s">
        <v>65</v>
      </c>
      <c r="AX76" s="316" t="s">
        <v>549</v>
      </c>
      <c r="AY76" s="316" t="s">
        <v>549</v>
      </c>
      <c r="AZ76" s="316" t="s">
        <v>549</v>
      </c>
      <c r="BA76" s="316" t="s">
        <v>549</v>
      </c>
      <c r="BB76" s="52" t="s">
        <v>65</v>
      </c>
      <c r="BD76" s="316" t="s">
        <v>65</v>
      </c>
      <c r="BE76" s="316" t="s">
        <v>65</v>
      </c>
      <c r="BF76" s="316" t="s">
        <v>549</v>
      </c>
      <c r="BG76" s="316" t="s">
        <v>549</v>
      </c>
      <c r="BH76" s="316" t="s">
        <v>549</v>
      </c>
      <c r="BI76" s="316" t="s">
        <v>549</v>
      </c>
      <c r="BJ76" s="316" t="s">
        <v>65</v>
      </c>
      <c r="BM76" s="316" t="s">
        <v>65</v>
      </c>
      <c r="BN76" s="316" t="s">
        <v>65</v>
      </c>
      <c r="BO76" s="316" t="s">
        <v>549</v>
      </c>
      <c r="BP76" s="316" t="s">
        <v>549</v>
      </c>
      <c r="BQ76" s="316" t="s">
        <v>549</v>
      </c>
      <c r="BR76" s="316" t="s">
        <v>549</v>
      </c>
      <c r="BS76" s="52" t="s">
        <v>65</v>
      </c>
      <c r="BT76" s="54"/>
    </row>
    <row r="77" spans="17:72">
      <c r="R77" s="316" t="s">
        <v>508</v>
      </c>
      <c r="T77" s="316" t="e">
        <v>#VALUE!</v>
      </c>
      <c r="U77" s="316" t="b">
        <v>0</v>
      </c>
      <c r="V77" s="316" t="s">
        <v>65</v>
      </c>
      <c r="W77" s="316" t="s">
        <v>65</v>
      </c>
      <c r="X77" s="52" t="s">
        <v>65</v>
      </c>
      <c r="Y77" s="52">
        <v>5</v>
      </c>
      <c r="Z77" s="316" t="s">
        <v>65</v>
      </c>
      <c r="AA77" s="316" t="s">
        <v>65</v>
      </c>
      <c r="AB77" s="316" t="s">
        <v>65</v>
      </c>
      <c r="AE77" s="316" t="s">
        <v>65</v>
      </c>
      <c r="AF77" s="316" t="s">
        <v>65</v>
      </c>
      <c r="AG77" s="316" t="s">
        <v>549</v>
      </c>
      <c r="AH77" s="316" t="s">
        <v>549</v>
      </c>
      <c r="AI77" s="316" t="s">
        <v>549</v>
      </c>
      <c r="AJ77" s="52" t="s">
        <v>549</v>
      </c>
      <c r="AK77" s="316" t="s">
        <v>65</v>
      </c>
      <c r="AN77" s="316" t="s">
        <v>65</v>
      </c>
      <c r="AO77" s="316" t="s">
        <v>65</v>
      </c>
      <c r="AP77" s="316" t="s">
        <v>549</v>
      </c>
      <c r="AQ77" s="316" t="s">
        <v>549</v>
      </c>
      <c r="AR77" s="316" t="s">
        <v>549</v>
      </c>
      <c r="AS77" s="52" t="s">
        <v>549</v>
      </c>
      <c r="AT77" s="316" t="s">
        <v>65</v>
      </c>
      <c r="AV77" s="316" t="s">
        <v>65</v>
      </c>
      <c r="AW77" s="316" t="s">
        <v>65</v>
      </c>
      <c r="AZ77" s="316">
        <v>0</v>
      </c>
      <c r="BA77" s="316">
        <v>0</v>
      </c>
      <c r="BB77" s="52" t="s">
        <v>65</v>
      </c>
      <c r="BD77" s="316" t="s">
        <v>65</v>
      </c>
      <c r="BE77" s="316" t="s">
        <v>65</v>
      </c>
      <c r="BF77" s="316" t="s">
        <v>549</v>
      </c>
      <c r="BG77" s="316" t="s">
        <v>549</v>
      </c>
      <c r="BH77" s="316" t="s">
        <v>549</v>
      </c>
      <c r="BI77" s="316" t="s">
        <v>549</v>
      </c>
      <c r="BJ77" s="316" t="s">
        <v>65</v>
      </c>
      <c r="BM77" s="316" t="s">
        <v>65</v>
      </c>
      <c r="BN77" s="316" t="s">
        <v>65</v>
      </c>
      <c r="BO77" s="316" t="s">
        <v>549</v>
      </c>
      <c r="BP77" s="316" t="s">
        <v>549</v>
      </c>
      <c r="BQ77" s="316" t="s">
        <v>549</v>
      </c>
      <c r="BR77" s="316" t="s">
        <v>549</v>
      </c>
      <c r="BS77" s="52" t="s">
        <v>65</v>
      </c>
      <c r="BT77" s="54"/>
    </row>
    <row r="78" spans="17:72">
      <c r="R78" s="316" t="s">
        <v>508</v>
      </c>
      <c r="T78" s="316" t="e">
        <v>#VALUE!</v>
      </c>
      <c r="U78" s="316" t="b">
        <v>0</v>
      </c>
      <c r="V78" s="316" t="s">
        <v>65</v>
      </c>
      <c r="W78" s="316" t="s">
        <v>65</v>
      </c>
      <c r="X78" s="52" t="s">
        <v>65</v>
      </c>
      <c r="Y78" s="52">
        <v>5</v>
      </c>
      <c r="Z78" s="316" t="s">
        <v>65</v>
      </c>
      <c r="AA78" s="316" t="s">
        <v>65</v>
      </c>
      <c r="AB78" s="316" t="s">
        <v>65</v>
      </c>
      <c r="AE78" s="316" t="s">
        <v>65</v>
      </c>
      <c r="AF78" s="316" t="s">
        <v>65</v>
      </c>
      <c r="AG78" s="316" t="s">
        <v>549</v>
      </c>
      <c r="AH78" s="316" t="s">
        <v>549</v>
      </c>
      <c r="AI78" s="316" t="s">
        <v>549</v>
      </c>
      <c r="AJ78" s="52" t="s">
        <v>549</v>
      </c>
      <c r="AK78" s="316" t="s">
        <v>65</v>
      </c>
      <c r="AN78" s="316" t="s">
        <v>65</v>
      </c>
      <c r="AO78" s="316" t="s">
        <v>65</v>
      </c>
      <c r="AP78" s="316" t="s">
        <v>549</v>
      </c>
      <c r="AQ78" s="316" t="s">
        <v>549</v>
      </c>
      <c r="AR78" s="316" t="s">
        <v>549</v>
      </c>
      <c r="AS78" s="52" t="s">
        <v>549</v>
      </c>
      <c r="AT78" s="316" t="s">
        <v>65</v>
      </c>
      <c r="AV78" s="316" t="s">
        <v>65</v>
      </c>
      <c r="AW78" s="316" t="s">
        <v>65</v>
      </c>
      <c r="AZ78" s="316">
        <v>0</v>
      </c>
      <c r="BA78" s="316">
        <v>0</v>
      </c>
      <c r="BB78" s="52" t="s">
        <v>65</v>
      </c>
      <c r="BD78" s="316" t="s">
        <v>65</v>
      </c>
      <c r="BE78" s="316" t="s">
        <v>65</v>
      </c>
      <c r="BF78" s="316" t="s">
        <v>549</v>
      </c>
      <c r="BG78" s="316" t="s">
        <v>549</v>
      </c>
      <c r="BH78" s="316" t="s">
        <v>549</v>
      </c>
      <c r="BI78" s="316" t="s">
        <v>549</v>
      </c>
      <c r="BJ78" s="316" t="s">
        <v>65</v>
      </c>
      <c r="BM78" s="316" t="s">
        <v>65</v>
      </c>
      <c r="BN78" s="316" t="s">
        <v>65</v>
      </c>
      <c r="BO78" s="316" t="s">
        <v>549</v>
      </c>
      <c r="BP78" s="316" t="s">
        <v>549</v>
      </c>
      <c r="BQ78" s="316" t="s">
        <v>549</v>
      </c>
      <c r="BR78" s="316" t="s">
        <v>549</v>
      </c>
      <c r="BS78" s="52" t="s">
        <v>65</v>
      </c>
    </row>
    <row r="79" spans="17:72">
      <c r="X79" s="52"/>
      <c r="Y79" s="52"/>
      <c r="AJ79" s="52"/>
      <c r="AS79" s="52"/>
      <c r="BB79" s="52"/>
      <c r="BS79" s="52"/>
    </row>
    <row r="80" spans="17:72">
      <c r="X80" s="52"/>
      <c r="Y80" s="52"/>
      <c r="BS80" s="52"/>
    </row>
    <row r="81" spans="24:25">
      <c r="X81" s="52"/>
      <c r="Y81" s="52"/>
    </row>
    <row r="82" spans="24:25">
      <c r="X82" s="52"/>
      <c r="Y82" s="52"/>
    </row>
    <row r="83" spans="24:25">
      <c r="X83" s="52"/>
      <c r="Y83" s="52"/>
    </row>
    <row r="84" spans="24:25">
      <c r="X84" s="52"/>
      <c r="Y84" s="52"/>
    </row>
    <row r="85" spans="24:25">
      <c r="X85" s="52"/>
      <c r="Y85" s="52"/>
    </row>
    <row r="86" spans="24:25">
      <c r="X86" s="52"/>
      <c r="Y86" s="52"/>
    </row>
    <row r="87" spans="24:25">
      <c r="X87" s="52"/>
      <c r="Y87" s="52"/>
    </row>
    <row r="88" spans="24:25">
      <c r="X88" s="52"/>
      <c r="Y88" s="52"/>
    </row>
    <row r="89" spans="24:25">
      <c r="X89" s="52"/>
      <c r="Y89" s="52"/>
    </row>
    <row r="90" spans="24:25">
      <c r="X90" s="52"/>
      <c r="Y90" s="52"/>
    </row>
    <row r="91" spans="24:25">
      <c r="X91" s="52"/>
      <c r="Y91" s="52"/>
    </row>
    <row r="92" spans="24:25">
      <c r="X92" s="52"/>
      <c r="Y92" s="52"/>
    </row>
    <row r="93" spans="24:25">
      <c r="X93" s="52"/>
      <c r="Y93" s="52"/>
    </row>
    <row r="94" spans="24:25">
      <c r="X94" s="52"/>
      <c r="Y94" s="52"/>
    </row>
    <row r="95" spans="24:25">
      <c r="X95" s="52"/>
      <c r="Y95" s="52"/>
    </row>
    <row r="96" spans="24:25">
      <c r="X96" s="52"/>
      <c r="Y96" s="52"/>
    </row>
    <row r="97" spans="24:25">
      <c r="X97" s="52"/>
      <c r="Y97" s="52"/>
    </row>
    <row r="98" spans="24:25">
      <c r="X98" s="52"/>
      <c r="Y98" s="52"/>
    </row>
    <row r="99" spans="24:25">
      <c r="X99" s="52"/>
      <c r="Y99" s="52"/>
    </row>
    <row r="100" spans="24:25">
      <c r="X100" s="52"/>
      <c r="Y100" s="52"/>
    </row>
    <row r="101" spans="24:25">
      <c r="X101" s="52"/>
      <c r="Y101" s="52"/>
    </row>
    <row r="102" spans="24:25">
      <c r="X102" s="52"/>
      <c r="Y102" s="52"/>
    </row>
    <row r="103" spans="24:25">
      <c r="X103" s="52"/>
      <c r="Y103" s="52"/>
    </row>
    <row r="104" spans="24:25">
      <c r="X104" s="52"/>
      <c r="Y104" s="52"/>
    </row>
    <row r="105" spans="24:25">
      <c r="X105" s="52"/>
      <c r="Y105" s="52"/>
    </row>
    <row r="106" spans="24:25">
      <c r="X106" s="52"/>
      <c r="Y106" s="52"/>
    </row>
    <row r="107" spans="24:25">
      <c r="X107" s="52"/>
      <c r="Y107" s="52"/>
    </row>
    <row r="108" spans="24:25">
      <c r="X108" s="52"/>
      <c r="Y108" s="52"/>
    </row>
    <row r="109" spans="24:25">
      <c r="X109" s="52"/>
      <c r="Y109" s="52"/>
    </row>
    <row r="110" spans="24:25">
      <c r="X110" s="52"/>
      <c r="Y110" s="52"/>
    </row>
    <row r="111" spans="24:25">
      <c r="X111" s="52"/>
      <c r="Y111" s="52"/>
    </row>
    <row r="112" spans="24:25">
      <c r="X112" s="52"/>
      <c r="Y112" s="52"/>
    </row>
    <row r="113" spans="24:25">
      <c r="X113" s="52"/>
      <c r="Y113" s="52"/>
    </row>
    <row r="114" spans="24:25">
      <c r="X114" s="52"/>
      <c r="Y114" s="52"/>
    </row>
    <row r="115" spans="24:25">
      <c r="X115" s="52"/>
      <c r="Y115" s="52"/>
    </row>
    <row r="116" spans="24:25">
      <c r="X116" s="52"/>
      <c r="Y116" s="52"/>
    </row>
    <row r="117" spans="24:25">
      <c r="X117" s="52"/>
      <c r="Y117" s="52"/>
    </row>
    <row r="118" spans="24:25">
      <c r="X118" s="52"/>
      <c r="Y118" s="52"/>
    </row>
    <row r="119" spans="24:25">
      <c r="X119" s="52"/>
      <c r="Y119" s="52"/>
    </row>
    <row r="120" spans="24:25">
      <c r="X120" s="52"/>
      <c r="Y120" s="52"/>
    </row>
    <row r="121" spans="24:25">
      <c r="X121" s="52"/>
      <c r="Y121" s="52"/>
    </row>
    <row r="122" spans="24:25">
      <c r="X122" s="52"/>
      <c r="Y122" s="52"/>
    </row>
    <row r="123" spans="24:25">
      <c r="X123" s="52"/>
      <c r="Y123" s="52"/>
    </row>
    <row r="124" spans="24:25">
      <c r="X124" s="52"/>
      <c r="Y124" s="52"/>
    </row>
    <row r="125" spans="24:25">
      <c r="X125" s="52"/>
      <c r="Y125" s="52"/>
    </row>
    <row r="126" spans="24:25">
      <c r="X126" s="52"/>
      <c r="Y126" s="52"/>
    </row>
    <row r="127" spans="24:25">
      <c r="X127" s="52"/>
      <c r="Y127" s="52"/>
    </row>
    <row r="128" spans="24:25">
      <c r="X128" s="52"/>
      <c r="Y128" s="52"/>
    </row>
    <row r="129" spans="24:25">
      <c r="X129" s="52"/>
      <c r="Y129" s="52"/>
    </row>
    <row r="130" spans="24:25">
      <c r="X130" s="52"/>
      <c r="Y130" s="52"/>
    </row>
    <row r="131" spans="24:25">
      <c r="X131" s="52"/>
      <c r="Y131" s="52"/>
    </row>
    <row r="132" spans="24:25">
      <c r="X132" s="52"/>
      <c r="Y132" s="52"/>
    </row>
    <row r="133" spans="24:25">
      <c r="X133" s="52"/>
      <c r="Y133" s="52"/>
    </row>
    <row r="134" spans="24:25">
      <c r="X134" s="52"/>
      <c r="Y134" s="52"/>
    </row>
    <row r="135" spans="24:25">
      <c r="X135" s="52"/>
      <c r="Y135" s="52"/>
    </row>
    <row r="136" spans="24:25">
      <c r="X136" s="52"/>
      <c r="Y136" s="52"/>
    </row>
    <row r="137" spans="24:25">
      <c r="X137" s="52"/>
      <c r="Y137" s="52"/>
    </row>
    <row r="138" spans="24:25">
      <c r="X138" s="52"/>
      <c r="Y138" s="52"/>
    </row>
    <row r="139" spans="24:25">
      <c r="X139" s="52"/>
      <c r="Y139" s="52"/>
    </row>
    <row r="140" spans="24:25">
      <c r="X140" s="52"/>
      <c r="Y140" s="52"/>
    </row>
    <row r="141" spans="24:25">
      <c r="X141" s="52"/>
      <c r="Y141" s="52"/>
    </row>
    <row r="142" spans="24:25">
      <c r="X142" s="52"/>
      <c r="Y142" s="52"/>
    </row>
    <row r="143" spans="24:25">
      <c r="X143" s="52"/>
      <c r="Y143" s="52"/>
    </row>
    <row r="144" spans="24:25">
      <c r="X144" s="52"/>
      <c r="Y144" s="52"/>
    </row>
    <row r="145" spans="24:25">
      <c r="X145" s="52"/>
      <c r="Y145" s="52"/>
    </row>
    <row r="146" spans="24:25">
      <c r="X146" s="52"/>
      <c r="Y146" s="52"/>
    </row>
    <row r="147" spans="24:25">
      <c r="X147" s="52"/>
      <c r="Y147" s="52"/>
    </row>
    <row r="148" spans="24:25">
      <c r="X148" s="52"/>
      <c r="Y148" s="52"/>
    </row>
    <row r="149" spans="24:25">
      <c r="X149" s="52"/>
      <c r="Y149" s="52"/>
    </row>
    <row r="150" spans="24:25">
      <c r="X150" s="52"/>
      <c r="Y150" s="52"/>
    </row>
    <row r="151" spans="24:25">
      <c r="X151" s="52"/>
      <c r="Y151" s="52"/>
    </row>
    <row r="152" spans="24:25">
      <c r="X152" s="52"/>
      <c r="Y152" s="52"/>
    </row>
    <row r="153" spans="24:25">
      <c r="X153" s="52"/>
      <c r="Y153" s="52"/>
    </row>
    <row r="154" spans="24:25">
      <c r="X154" s="52"/>
      <c r="Y154" s="52"/>
    </row>
    <row r="155" spans="24:25">
      <c r="X155" s="52"/>
      <c r="Y155" s="52"/>
    </row>
    <row r="156" spans="24:25">
      <c r="X156" s="52"/>
      <c r="Y156" s="52"/>
    </row>
    <row r="157" spans="24:25">
      <c r="X157" s="52"/>
      <c r="Y157" s="52"/>
    </row>
    <row r="158" spans="24:25">
      <c r="X158" s="52"/>
      <c r="Y158" s="52"/>
    </row>
    <row r="159" spans="24:25">
      <c r="X159" s="52"/>
      <c r="Y159" s="52"/>
    </row>
    <row r="160" spans="24:25">
      <c r="X160" s="52"/>
      <c r="Y160" s="52"/>
    </row>
    <row r="161" spans="24:25">
      <c r="X161" s="52"/>
      <c r="Y161" s="52"/>
    </row>
    <row r="162" spans="24:25">
      <c r="X162" s="52"/>
      <c r="Y162" s="52"/>
    </row>
    <row r="163" spans="24:25">
      <c r="X163" s="52"/>
      <c r="Y163" s="52"/>
    </row>
    <row r="164" spans="24:25">
      <c r="X164" s="52"/>
      <c r="Y164" s="52"/>
    </row>
    <row r="165" spans="24:25">
      <c r="X165" s="52"/>
      <c r="Y165" s="52"/>
    </row>
    <row r="166" spans="24:25">
      <c r="X166" s="52"/>
      <c r="Y166" s="52"/>
    </row>
    <row r="167" spans="24:25">
      <c r="X167" s="52"/>
      <c r="Y167" s="52"/>
    </row>
    <row r="168" spans="24:25">
      <c r="X168" s="52"/>
      <c r="Y168" s="52"/>
    </row>
    <row r="169" spans="24:25">
      <c r="X169" s="52"/>
      <c r="Y169" s="52"/>
    </row>
    <row r="170" spans="24:25">
      <c r="X170" s="52"/>
      <c r="Y170" s="52"/>
    </row>
    <row r="171" spans="24:25">
      <c r="X171" s="52"/>
      <c r="Y171" s="52"/>
    </row>
    <row r="172" spans="24:25">
      <c r="X172" s="52"/>
      <c r="Y172" s="52"/>
    </row>
    <row r="173" spans="24:25">
      <c r="X173" s="52"/>
      <c r="Y173" s="52"/>
    </row>
    <row r="174" spans="24:25">
      <c r="X174" s="52"/>
      <c r="Y174" s="52"/>
    </row>
  </sheetData>
  <pageMargins left="0.75" right="0.75" top="1" bottom="1" header="0.5" footer="0.5"/>
  <pageSetup paperSize="9" orientation="portrait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6"/>
  </sheetPr>
  <dimension ref="A1:AO56"/>
  <sheetViews>
    <sheetView workbookViewId="0">
      <selection activeCell="AO11" sqref="AO11:AO12"/>
    </sheetView>
  </sheetViews>
  <sheetFormatPr defaultRowHeight="12.75"/>
  <cols>
    <col min="1" max="18" width="9.140625" style="401"/>
    <col min="19" max="19" width="7.140625" style="121" bestFit="1" customWidth="1"/>
    <col min="20" max="21" width="4.7109375" style="401" bestFit="1" customWidth="1"/>
    <col min="22" max="22" width="3" style="401" customWidth="1"/>
    <col min="23" max="24" width="3" style="121" bestFit="1" customWidth="1"/>
    <col min="25" max="25" width="6.7109375" style="401" bestFit="1" customWidth="1"/>
    <col min="26" max="26" width="9.140625" style="121"/>
    <col min="27" max="27" width="9.140625" style="401"/>
    <col min="28" max="28" width="11.28515625" style="121" bestFit="1" customWidth="1"/>
    <col min="29" max="29" width="11.28515625" style="401" customWidth="1"/>
    <col min="30" max="35" width="9.140625" style="121"/>
    <col min="36" max="36" width="9.140625" style="401"/>
    <col min="37" max="16384" width="9.140625" style="121"/>
  </cols>
  <sheetData>
    <row r="1" spans="19:41">
      <c r="T1" s="401" t="s">
        <v>4989</v>
      </c>
      <c r="U1" s="401" t="s">
        <v>4989</v>
      </c>
      <c r="V1" s="401" t="s">
        <v>4989</v>
      </c>
      <c r="W1" s="407"/>
      <c r="X1" s="407"/>
      <c r="Y1" s="407"/>
      <c r="AA1" s="407"/>
    </row>
    <row r="2" spans="19:41">
      <c r="T2" s="401" t="s">
        <v>4990</v>
      </c>
      <c r="U2" s="401" t="s">
        <v>4991</v>
      </c>
      <c r="V2" s="401" t="s">
        <v>4992</v>
      </c>
      <c r="W2" s="401"/>
      <c r="X2" s="401"/>
      <c r="Y2" s="402"/>
      <c r="Z2" s="402" t="str">
        <f t="array" ref="Z2:Z16">RemoverFilter(IF(Common_Instrument="D",CommonBucket,""),"","")</f>
        <v>O/N</v>
      </c>
      <c r="AA2" s="402" t="s">
        <v>3</v>
      </c>
      <c r="AD2" s="401"/>
      <c r="AE2" s="401"/>
      <c r="AF2" s="401"/>
      <c r="AG2" s="401"/>
      <c r="AH2" s="401"/>
    </row>
    <row r="3" spans="19:41">
      <c r="S3" s="401"/>
      <c r="W3" s="401"/>
      <c r="X3" s="401"/>
      <c r="Y3" s="405"/>
      <c r="Z3" s="405" t="str">
        <v>T/N</v>
      </c>
      <c r="AA3" s="405" t="s">
        <v>4</v>
      </c>
      <c r="AB3" s="179" t="s">
        <v>1155</v>
      </c>
      <c r="AC3" s="179"/>
      <c r="AD3" s="179"/>
      <c r="AE3" s="179"/>
      <c r="AF3" s="179"/>
      <c r="AG3" s="179"/>
      <c r="AH3" s="179"/>
      <c r="AJ3" s="545" t="s">
        <v>1156</v>
      </c>
      <c r="AK3" s="546"/>
      <c r="AL3" s="546"/>
      <c r="AM3" s="546"/>
      <c r="AN3" s="546"/>
      <c r="AO3" s="586"/>
    </row>
    <row r="4" spans="19:41">
      <c r="S4" s="401"/>
      <c r="W4" s="401"/>
      <c r="X4" s="401"/>
      <c r="Y4" s="403"/>
      <c r="Z4" s="403" t="str">
        <v>S/N</v>
      </c>
      <c r="AA4" s="403" t="s">
        <v>23</v>
      </c>
      <c r="AB4" s="325" t="s">
        <v>1157</v>
      </c>
      <c r="AC4" s="325" t="s">
        <v>1163</v>
      </c>
      <c r="AD4" s="325" t="s">
        <v>1150</v>
      </c>
      <c r="AE4" s="325" t="s">
        <v>1151</v>
      </c>
      <c r="AF4" s="325" t="s">
        <v>1152</v>
      </c>
      <c r="AG4" s="325" t="s">
        <v>1153</v>
      </c>
      <c r="AH4" s="325" t="s">
        <v>1154</v>
      </c>
      <c r="AI4" s="401"/>
      <c r="AJ4" s="325" t="str">
        <f>AC4</f>
        <v>EurStd</v>
      </c>
      <c r="AK4" s="325" t="str">
        <f t="shared" ref="AK4:AO4" si="0">AD4</f>
        <v>Eur3M</v>
      </c>
      <c r="AL4" s="325" t="str">
        <f t="shared" si="0"/>
        <v>Eur6M</v>
      </c>
      <c r="AM4" s="325" t="str">
        <f t="shared" si="0"/>
        <v>Eur1Y</v>
      </c>
      <c r="AN4" s="325" t="str">
        <f t="shared" si="0"/>
        <v>Eur1M</v>
      </c>
      <c r="AO4" s="325" t="str">
        <f t="shared" si="0"/>
        <v>EurOIS</v>
      </c>
    </row>
    <row r="5" spans="19:41">
      <c r="S5" s="336">
        <f t="shared" ref="S5:S16" si="1">IF(LEN(Z5)&gt;0,MATCH(Z5,CommonBucket,0),"")</f>
        <v>4</v>
      </c>
      <c r="T5" s="336">
        <f t="shared" ref="T5:T16" si="2">IF(LEN(Z5)&gt;0,MATCH(Z5,Bucket3M,0),"")</f>
        <v>2</v>
      </c>
      <c r="U5" s="336">
        <f t="shared" ref="U5:U16" si="3">IF(LEN(Z5)&gt;0,MATCH(Z5,Bucket6M,0),"")</f>
        <v>2</v>
      </c>
      <c r="V5" s="336">
        <f t="shared" ref="V5:V16" si="4">IF(LEN(Z5)&gt;0,MATCH(Z5,Bucket1Y,0),"")</f>
        <v>2</v>
      </c>
      <c r="W5" s="336">
        <f t="shared" ref="W5:W16" si="5">IF(LEN(AA5)&gt;0,MATCH($AA5,Bucket1M,0),"")</f>
        <v>4</v>
      </c>
      <c r="X5" s="336">
        <f t="shared" ref="X5:X16" si="6">IF(LEN(AA5)&gt;0,MATCH($AA5,BucketOIS,0),"")</f>
        <v>4</v>
      </c>
      <c r="Y5" s="403"/>
      <c r="Z5" s="403" t="str">
        <v>1W</v>
      </c>
      <c r="AA5" s="403" t="s">
        <v>5</v>
      </c>
      <c r="AB5" s="410">
        <f>IF(LEN(Z5)&gt;0,INDEX(BucketMaturity,EurChart!$S5),"")</f>
        <v>42703</v>
      </c>
      <c r="AC5" s="408">
        <f>IF(LEN($Z5)&gt;0,INDEX('eur disaggregated'!chg_bps_StdNoFut,EurChart!$S5),NA())</f>
        <v>0</v>
      </c>
      <c r="AD5" s="408">
        <f>IF(LEN($Z5)&gt;0,INDEX('eur disaggregated'!chg_bps_3MnoFut,EurChart!$T5),NA())</f>
        <v>0.18670050000000327</v>
      </c>
      <c r="AE5" s="408">
        <f>IF(LEN($Z5)&gt;0,INDEX('eur disaggregated'!chg_bps_6M,EurChart!$U5),NA())</f>
        <v>0.2066256999999988</v>
      </c>
      <c r="AF5" s="408">
        <f>IF(LEN($Z5)&gt;0,INDEX('eur disaggregated'!chg_bps_1Y,EurChart!$V5),NA())</f>
        <v>1.1603671999999996</v>
      </c>
      <c r="AG5" s="408">
        <f>IF(LEN(AA5)&gt;0,INDEX('eur disaggregated'!chg_bps_1M,EurChart!$W5),"")</f>
        <v>-0.46000000000000485</v>
      </c>
      <c r="AH5" s="408">
        <f>IF(LEN(AA5)&gt;0,INDEX('eur disaggregated'!chg_bps_OIS,EurChart!$X5),"")</f>
        <v>-5.5511151231257827E-15</v>
      </c>
      <c r="AJ5" s="408">
        <f>IF(LEN($Z5)&gt;0,INDEX(MID_Std,EurChart!$S5),NA())</f>
        <v>-0.37</v>
      </c>
      <c r="AK5" s="408">
        <f>IF(LEN($Z5)&gt;0,INDEX(MID_3M,EurChart!$T5),NA())</f>
        <v>-0.32241291599999999</v>
      </c>
      <c r="AL5" s="408">
        <f>IF(LEN($Z5)&gt;0,INDEX(MID_6M,EurChart!$U5),NA())</f>
        <v>-0.23559751900000001</v>
      </c>
      <c r="AM5" s="408">
        <f>IF(LEN($Z5)&gt;0,INDEX(MID_1Y,EurChart!$V5),NA())</f>
        <v>-0.11261497100000001</v>
      </c>
      <c r="AN5" s="408">
        <f>IF(LEN($AA5)&gt;0,INDEX(MID_1M,EurChart!$W5),"")</f>
        <v>-0.37010000000000004</v>
      </c>
      <c r="AO5" s="408">
        <f>IF(LEN($AA5)&gt;0,INDEX(MID_OIS,EurChart!$X5),"")</f>
        <v>-0.34900000000000003</v>
      </c>
    </row>
    <row r="6" spans="19:41">
      <c r="S6" s="336">
        <f t="shared" si="1"/>
        <v>5</v>
      </c>
      <c r="T6" s="336">
        <f t="shared" si="2"/>
        <v>3</v>
      </c>
      <c r="U6" s="336">
        <f t="shared" si="3"/>
        <v>3</v>
      </c>
      <c r="V6" s="336">
        <f t="shared" si="4"/>
        <v>3</v>
      </c>
      <c r="W6" s="336">
        <f t="shared" si="5"/>
        <v>5</v>
      </c>
      <c r="X6" s="336">
        <f t="shared" si="6"/>
        <v>5</v>
      </c>
      <c r="Y6" s="403"/>
      <c r="Z6" s="403" t="str">
        <v>2W</v>
      </c>
      <c r="AA6" s="403" t="s">
        <v>6</v>
      </c>
      <c r="AB6" s="410">
        <f>IF(LEN(Z6)&gt;0,INDEX(BucketMaturity,EurChart!$S6),"")</f>
        <v>42710</v>
      </c>
      <c r="AC6" s="408">
        <f>IF(LEN($Z6)&gt;0,INDEX('eur disaggregated'!chg_bps_StdNoFut,EurChart!$S6),NA())</f>
        <v>0</v>
      </c>
      <c r="AD6" s="408">
        <f>IF(LEN($Z6)&gt;0,INDEX('eur disaggregated'!chg_bps_3MnoFut,EurChart!$T6),NA())</f>
        <v>0.18668900000000099</v>
      </c>
      <c r="AE6" s="408">
        <f>IF(LEN($Z6)&gt;0,INDEX('eur disaggregated'!chg_bps_6M,EurChart!$U6),NA())</f>
        <v>0.2066162999999982</v>
      </c>
      <c r="AF6" s="408">
        <f>IF(LEN($Z6)&gt;0,INDEX('eur disaggregated'!chg_bps_1Y,EurChart!$V6),NA())</f>
        <v>1.1603404999999998</v>
      </c>
      <c r="AG6" s="408">
        <f>IF(LEN(AA6)&gt;0,INDEX('eur disaggregated'!chg_bps_1M,EurChart!$W6),"")</f>
        <v>-0.37000000000000366</v>
      </c>
      <c r="AH6" s="408">
        <f>IF(LEN(AA6)&gt;0,INDEX('eur disaggregated'!chg_bps_OIS,EurChart!$X6),"")</f>
        <v>-5.5511151231257827E-15</v>
      </c>
      <c r="AJ6" s="408">
        <f>IF(LEN($Z6)&gt;0,INDEX(MID_Std,EurChart!$S6),NA())</f>
        <v>-0.37</v>
      </c>
      <c r="AK6" s="408">
        <f>IF(LEN($Z6)&gt;0,INDEX(MID_3M,EurChart!$T6),NA())</f>
        <v>-0.320088812</v>
      </c>
      <c r="AL6" s="408">
        <f>IF(LEN($Z6)&gt;0,INDEX(MID_6M,EurChart!$U6),NA())</f>
        <v>-0.23327804700000002</v>
      </c>
      <c r="AM6" s="408">
        <f>IF(LEN($Z6)&gt;0,INDEX(MID_1Y,EurChart!$V6),NA())</f>
        <v>-0.112613738</v>
      </c>
      <c r="AN6" s="408">
        <f>IF(LEN($AA6)&gt;0,INDEX(MID_1M,EurChart!$W6),"")</f>
        <v>-0.36910000000000004</v>
      </c>
      <c r="AO6" s="408">
        <f>IF(LEN($AA6)&gt;0,INDEX(MID_OIS,EurChart!$X6),"")</f>
        <v>-0.34700000000000003</v>
      </c>
    </row>
    <row r="7" spans="19:41">
      <c r="S7" s="336">
        <f t="shared" si="1"/>
        <v>6</v>
      </c>
      <c r="T7" s="336">
        <f t="shared" si="2"/>
        <v>4</v>
      </c>
      <c r="U7" s="336">
        <f t="shared" si="3"/>
        <v>4</v>
      </c>
      <c r="V7" s="336">
        <f t="shared" si="4"/>
        <v>4</v>
      </c>
      <c r="W7" s="336">
        <f t="shared" si="5"/>
        <v>6</v>
      </c>
      <c r="X7" s="336">
        <f t="shared" si="6"/>
        <v>6</v>
      </c>
      <c r="Y7" s="403"/>
      <c r="Z7" s="403" t="str">
        <v>3W</v>
      </c>
      <c r="AA7" s="403" t="s">
        <v>24</v>
      </c>
      <c r="AB7" s="410">
        <f>IF(LEN(Z7)&gt;0,INDEX(BucketMaturity,EurChart!$S7),"")</f>
        <v>42717</v>
      </c>
      <c r="AC7" s="408">
        <f>IF(LEN($Z7)&gt;0,INDEX('eur disaggregated'!chg_bps_StdNoFut,EurChart!$S7),NA())</f>
        <v>0</v>
      </c>
      <c r="AD7" s="408">
        <f>IF(LEN($Z7)&gt;0,INDEX('eur disaggregated'!chg_bps_3MnoFut,EurChart!$T7),NA())</f>
        <v>0.18667729999999882</v>
      </c>
      <c r="AE7" s="408">
        <f>IF(LEN($Z7)&gt;0,INDEX('eur disaggregated'!chg_bps_6M,EurChart!$U7),NA())</f>
        <v>0.20660679999999765</v>
      </c>
      <c r="AF7" s="408">
        <f>IF(LEN($Z7)&gt;0,INDEX('eur disaggregated'!chg_bps_1Y,EurChart!$V7),NA())</f>
        <v>1.1603138</v>
      </c>
      <c r="AG7" s="408">
        <f>IF(LEN(AA7)&gt;0,INDEX('eur disaggregated'!chg_bps_1M,EurChart!$W7),"")</f>
        <v>-0.29000000000000137</v>
      </c>
      <c r="AH7" s="408">
        <f>IF(LEN(AA7)&gt;0,INDEX('eur disaggregated'!chg_bps_OIS,EurChart!$X7),"")</f>
        <v>-5.5511151231257827E-15</v>
      </c>
      <c r="AJ7" s="408">
        <f>IF(LEN($Z7)&gt;0,INDEX(MID_Std,EurChart!$S7),NA())</f>
        <v>-0.37</v>
      </c>
      <c r="AK7" s="408">
        <f>IF(LEN($Z7)&gt;0,INDEX(MID_3M,EurChart!$T7),NA())</f>
        <v>-0.32085013500000004</v>
      </c>
      <c r="AL7" s="408">
        <f>IF(LEN($Z7)&gt;0,INDEX(MID_6M,EurChart!$U7),NA())</f>
        <v>-0.23404408000000002</v>
      </c>
      <c r="AM7" s="408">
        <f>IF(LEN($Z7)&gt;0,INDEX(MID_1Y,EurChart!$V7),NA())</f>
        <v>-0.112612505</v>
      </c>
      <c r="AN7" s="408">
        <f>IF(LEN($AA7)&gt;0,INDEX(MID_1M,EurChart!$W7),"")</f>
        <v>-0.371</v>
      </c>
      <c r="AO7" s="408">
        <f>IF(LEN($AA7)&gt;0,INDEX(MID_OIS,EurChart!$X7),"")</f>
        <v>-0.34800000000000003</v>
      </c>
    </row>
    <row r="8" spans="19:41">
      <c r="S8" s="336">
        <f t="shared" si="1"/>
        <v>7</v>
      </c>
      <c r="T8" s="336">
        <f t="shared" si="2"/>
        <v>5</v>
      </c>
      <c r="U8" s="336">
        <f t="shared" si="3"/>
        <v>5</v>
      </c>
      <c r="V8" s="336">
        <f t="shared" si="4"/>
        <v>5</v>
      </c>
      <c r="W8" s="336">
        <f t="shared" si="5"/>
        <v>7</v>
      </c>
      <c r="X8" s="336">
        <f t="shared" si="6"/>
        <v>7</v>
      </c>
      <c r="Y8" s="403"/>
      <c r="Z8" s="403" t="str">
        <v>1M</v>
      </c>
      <c r="AA8" s="403" t="s">
        <v>7</v>
      </c>
      <c r="AB8" s="410">
        <f>IF(LEN(Z8)&gt;0,INDEX(BucketMaturity,EurChart!$S8),"")</f>
        <v>42726</v>
      </c>
      <c r="AC8" s="408">
        <f>IF(LEN($Z8)&gt;0,INDEX('eur disaggregated'!chg_bps_StdNoFut,EurChart!$S8),NA())</f>
        <v>0</v>
      </c>
      <c r="AD8" s="408">
        <f>IF(LEN($Z8)&gt;0,INDEX('eur disaggregated'!chg_bps_3MnoFut,EurChart!$T8),NA())</f>
        <v>0.18999999999999573</v>
      </c>
      <c r="AE8" s="408">
        <f>IF(LEN($Z8)&gt;0,INDEX('eur disaggregated'!chg_bps_6M,EurChart!$U8),NA())</f>
        <v>0.20999999999999908</v>
      </c>
      <c r="AF8" s="408">
        <f>IF(LEN($Z8)&gt;0,INDEX('eur disaggregated'!chg_bps_1Y,EurChart!$V8),NA())</f>
        <v>1.1602580000000002</v>
      </c>
      <c r="AG8" s="408">
        <f>IF(LEN(AA8)&gt;0,INDEX('eur disaggregated'!chg_bps_1M,EurChart!$W8),"")</f>
        <v>-0.20000000000000018</v>
      </c>
      <c r="AH8" s="408">
        <f>IF(LEN(AA8)&gt;0,INDEX('eur disaggregated'!chg_bps_OIS,EurChart!$X8),"")</f>
        <v>-5.5511151231257827E-15</v>
      </c>
      <c r="AJ8" s="408">
        <f>IF(LEN($Z8)&gt;0,INDEX(MID_Std,EurChart!$S8),NA())</f>
        <v>-0.37</v>
      </c>
      <c r="AK8" s="408">
        <f>IF(LEN($Z8)&gt;0,INDEX(MID_3M,EurChart!$T8),NA())</f>
        <v>-0.32130000000000003</v>
      </c>
      <c r="AL8" s="408">
        <f>IF(LEN($Z8)&gt;0,INDEX(MID_6M,EurChart!$U8),NA())</f>
        <v>-0.23450000000000001</v>
      </c>
      <c r="AM8" s="408">
        <f>IF(LEN($Z8)&gt;0,INDEX(MID_1Y,EurChart!$V8),NA())</f>
        <v>-0.11261092</v>
      </c>
      <c r="AN8" s="408">
        <f>IF(LEN($AA8)&gt;0,INDEX(MID_1M,EurChart!$W8),"")</f>
        <v>-0.373</v>
      </c>
      <c r="AO8" s="408">
        <f>IF(LEN($AA8)&gt;0,INDEX(MID_OIS,EurChart!$X8),"")</f>
        <v>-0.34900000000000003</v>
      </c>
    </row>
    <row r="9" spans="19:41">
      <c r="S9" s="336">
        <f t="shared" si="1"/>
        <v>8</v>
      </c>
      <c r="T9" s="336">
        <f t="shared" si="2"/>
        <v>6</v>
      </c>
      <c r="U9" s="336">
        <f t="shared" si="3"/>
        <v>6</v>
      </c>
      <c r="V9" s="336">
        <f t="shared" si="4"/>
        <v>6</v>
      </c>
      <c r="W9" s="336">
        <f t="shared" si="5"/>
        <v>8</v>
      </c>
      <c r="X9" s="336">
        <f t="shared" si="6"/>
        <v>8</v>
      </c>
      <c r="Y9" s="403"/>
      <c r="Z9" s="403" t="str">
        <v>2M</v>
      </c>
      <c r="AA9" s="403" t="s">
        <v>8</v>
      </c>
      <c r="AB9" s="410">
        <f>IF(LEN(Z9)&gt;0,INDEX(BucketMaturity,EurChart!$S9),"")</f>
        <v>42758</v>
      </c>
      <c r="AC9" s="408">
        <f>IF(LEN($Z9)&gt;0,INDEX('eur disaggregated'!chg_bps_StdNoFut,EurChart!$S9),NA())</f>
        <v>0</v>
      </c>
      <c r="AD9" s="408">
        <f>IF(LEN($Z9)&gt;0,INDEX('eur disaggregated'!chg_bps_3MnoFut,EurChart!$T9),NA())</f>
        <v>4.0000000000001146E-2</v>
      </c>
      <c r="AE9" s="408">
        <f>IF(LEN($Z9)&gt;0,INDEX('eur disaggregated'!chg_bps_6M,EurChart!$U9),NA())</f>
        <v>0.10000000000000009</v>
      </c>
      <c r="AF9" s="408">
        <f>IF(LEN($Z9)&gt;0,INDEX('eur disaggregated'!chg_bps_1Y,EurChart!$V9),NA())</f>
        <v>1.1601788000000002</v>
      </c>
      <c r="AG9" s="408">
        <f>IF(LEN(AA9)&gt;0,INDEX('eur disaggregated'!chg_bps_1M,EurChart!$W9),"")</f>
        <v>-0.20000000000000018</v>
      </c>
      <c r="AH9" s="408">
        <f>IF(LEN(AA9)&gt;0,INDEX('eur disaggregated'!chg_bps_OIS,EurChart!$X9),"")</f>
        <v>-0.10623440000000484</v>
      </c>
      <c r="AJ9" s="408">
        <f>IF(LEN($Z9)&gt;0,INDEX(MID_Std,EurChart!$S9),NA())</f>
        <v>-0.33</v>
      </c>
      <c r="AK9" s="408">
        <f>IF(LEN($Z9)&gt;0,INDEX(MID_3M,EurChart!$T9),NA())</f>
        <v>-0.31609999999999999</v>
      </c>
      <c r="AL9" s="408">
        <f>IF(LEN($Z9)&gt;0,INDEX(MID_6M,EurChart!$U9),NA())</f>
        <v>-0.2286</v>
      </c>
      <c r="AM9" s="408">
        <f>IF(LEN($Z9)&gt;0,INDEX(MID_1Y,EurChart!$V9),NA())</f>
        <v>-0.112605283</v>
      </c>
      <c r="AN9" s="408">
        <f>IF(LEN($AA9)&gt;0,INDEX(MID_1M,EurChart!$W9),"")</f>
        <v>-0.374</v>
      </c>
      <c r="AO9" s="408">
        <f>IF(LEN($AA9)&gt;0,INDEX(MID_OIS,EurChart!$X9),"")</f>
        <v>-0.34806234400000002</v>
      </c>
    </row>
    <row r="10" spans="19:41">
      <c r="S10" s="336">
        <f t="shared" si="1"/>
        <v>9</v>
      </c>
      <c r="T10" s="336">
        <f t="shared" si="2"/>
        <v>7</v>
      </c>
      <c r="U10" s="336">
        <f t="shared" si="3"/>
        <v>7</v>
      </c>
      <c r="V10" s="336">
        <f t="shared" si="4"/>
        <v>7</v>
      </c>
      <c r="W10" s="336">
        <f t="shared" si="5"/>
        <v>9</v>
      </c>
      <c r="X10" s="336">
        <f t="shared" si="6"/>
        <v>9</v>
      </c>
      <c r="Y10" s="403"/>
      <c r="Z10" s="403" t="str">
        <v>3M</v>
      </c>
      <c r="AA10" s="403" t="s">
        <v>25</v>
      </c>
      <c r="AB10" s="410">
        <f>IF(LEN(Z10)&gt;0,INDEX(BucketMaturity,EurChart!$S10),"")</f>
        <v>42788</v>
      </c>
      <c r="AC10" s="408">
        <f>IF(LEN($Z10)&gt;0,INDEX('eur disaggregated'!chg_bps_StdNoFut,EurChart!$S10),NA())</f>
        <v>-5.5511151231257827E-15</v>
      </c>
      <c r="AD10" s="408">
        <f>IF(LEN($Z10)&gt;0,INDEX('eur disaggregated'!chg_bps_3MnoFut,EurChart!$T10),NA())</f>
        <v>5.9999999999998943E-2</v>
      </c>
      <c r="AE10" s="408">
        <f>IF(LEN($Z10)&gt;0,INDEX('eur disaggregated'!chg_bps_6M,EurChart!$U10),NA())</f>
        <v>0.13999999999999846</v>
      </c>
      <c r="AF10" s="408">
        <f>IF(LEN($Z10)&gt;0,INDEX('eur disaggregated'!chg_bps_1Y,EurChart!$V10),NA())</f>
        <v>1.1599999999999999</v>
      </c>
      <c r="AG10" s="408">
        <f>IF(LEN(AA10)&gt;0,INDEX('eur disaggregated'!chg_bps_1M,EurChart!$W10),"")</f>
        <v>-0.20000000000000018</v>
      </c>
      <c r="AH10" s="408">
        <f>IF(LEN(AA10)&gt;0,INDEX('eur disaggregated'!chg_bps_OIS,EurChart!$X10),"")</f>
        <v>1.8560299999997865E-2</v>
      </c>
      <c r="AJ10" s="408">
        <f>IF(LEN($Z10)&gt;0,INDEX(MID_Std,EurChart!$S10),NA())</f>
        <v>-0.30000000000000004</v>
      </c>
      <c r="AK10" s="408">
        <f>IF(LEN($Z10)&gt;0,INDEX(MID_3M,EurChart!$T10),NA())</f>
        <v>-0.3125</v>
      </c>
      <c r="AL10" s="408">
        <f>IF(LEN($Z10)&gt;0,INDEX(MID_6M,EurChart!$U10),NA())</f>
        <v>-0.22440000000000002</v>
      </c>
      <c r="AM10" s="408">
        <f>IF(LEN($Z10)&gt;0,INDEX(MID_1Y,EurChart!$V10),NA())</f>
        <v>-0.11260000000000001</v>
      </c>
      <c r="AN10" s="408">
        <f>IF(LEN($AA10)&gt;0,INDEX(MID_1M,EurChart!$W10),"")</f>
        <v>-0.374</v>
      </c>
      <c r="AO10" s="408">
        <f>IF(LEN($AA10)&gt;0,INDEX(MID_OIS,EurChart!$X10),"")</f>
        <v>-0.34842114200000002</v>
      </c>
    </row>
    <row r="11" spans="19:41">
      <c r="S11" s="336">
        <f t="shared" si="1"/>
        <v>10</v>
      </c>
      <c r="T11" s="336" t="e">
        <f t="shared" si="2"/>
        <v>#N/A</v>
      </c>
      <c r="U11" s="336">
        <f t="shared" si="3"/>
        <v>8</v>
      </c>
      <c r="V11" s="336">
        <f t="shared" si="4"/>
        <v>8</v>
      </c>
      <c r="W11" s="336">
        <f t="shared" si="5"/>
        <v>10</v>
      </c>
      <c r="X11" s="336">
        <f t="shared" si="6"/>
        <v>10</v>
      </c>
      <c r="Y11" s="403"/>
      <c r="Z11" s="403" t="str">
        <v>4M</v>
      </c>
      <c r="AA11" s="403" t="s">
        <v>26</v>
      </c>
      <c r="AB11" s="410">
        <f>IF(LEN(Z11)&gt;0,INDEX(BucketMaturity,EurChart!$S11),"")</f>
        <v>42816</v>
      </c>
      <c r="AC11" s="408">
        <f>IF(LEN($Z11)&gt;0,INDEX('eur disaggregated'!chg_bps_StdNoFut,EurChart!$S11),NA())</f>
        <v>0</v>
      </c>
      <c r="AD11" s="408" t="e">
        <f>IF(LEN($Z11)&gt;0,INDEX('eur disaggregated'!chg_bps_3MnoFut,EurChart!$T11),NA())</f>
        <v>#N/A</v>
      </c>
      <c r="AE11" s="408">
        <f>IF(LEN($Z11)&gt;0,INDEX('eur disaggregated'!chg_bps_6M,EurChart!$U11),NA())</f>
        <v>-2.7755575615628914E-15</v>
      </c>
      <c r="AF11" s="408">
        <f>IF(LEN($Z11)&gt;0,INDEX('eur disaggregated'!chg_bps_1Y,EurChart!$V11),NA())</f>
        <v>1.0928429999999989</v>
      </c>
      <c r="AG11" s="408">
        <f>IF(LEN(AA11)&gt;0,INDEX('eur disaggregated'!chg_bps_1M,EurChart!$W11),"")</f>
        <v>-0.20000000000000018</v>
      </c>
      <c r="AH11" s="408">
        <f>IF(LEN(AA11)&gt;0,INDEX('eur disaggregated'!chg_bps_OIS,EurChart!$X11),"")</f>
        <v>-9.8416800000006299E-2</v>
      </c>
      <c r="AJ11" s="408">
        <f>IF(LEN($Z11)&gt;0,INDEX(MID_Std,EurChart!$S11),NA())</f>
        <v>-0.27</v>
      </c>
      <c r="AK11" s="408" t="e">
        <f>IF(LEN($Z11)&gt;0,INDEX(MID_3M,EurChart!$T11),NA())</f>
        <v>#N/A</v>
      </c>
      <c r="AL11" s="408">
        <f>IF(LEN($Z11)&gt;0,INDEX(MID_6M,EurChart!$U11),NA())</f>
        <v>-0.22160000000000002</v>
      </c>
      <c r="AM11" s="408">
        <f>IF(LEN($Z11)&gt;0,INDEX(MID_1Y,EurChart!$V11),NA())</f>
        <v>-0.11106135600000001</v>
      </c>
      <c r="AN11" s="408">
        <f>IF(LEN($AA11)&gt;0,INDEX(MID_1M,EurChart!$W11),"")</f>
        <v>-0.374</v>
      </c>
      <c r="AO11" s="408">
        <f>IF(LEN($AA11)&gt;0,INDEX(MID_OIS,EurChart!$X11),"")</f>
        <v>-0.34998089400000004</v>
      </c>
    </row>
    <row r="12" spans="19:41">
      <c r="S12" s="336">
        <f t="shared" si="1"/>
        <v>11</v>
      </c>
      <c r="T12" s="336" t="e">
        <f t="shared" si="2"/>
        <v>#N/A</v>
      </c>
      <c r="U12" s="336">
        <f t="shared" si="3"/>
        <v>9</v>
      </c>
      <c r="V12" s="336">
        <f t="shared" si="4"/>
        <v>9</v>
      </c>
      <c r="W12" s="336">
        <f t="shared" si="5"/>
        <v>11</v>
      </c>
      <c r="X12" s="336">
        <f t="shared" si="6"/>
        <v>11</v>
      </c>
      <c r="Y12" s="403"/>
      <c r="Z12" s="403" t="str">
        <v>5M</v>
      </c>
      <c r="AA12" s="403" t="s">
        <v>27</v>
      </c>
      <c r="AB12" s="410">
        <f>IF(LEN(Z12)&gt;0,INDEX(BucketMaturity,EurChart!$S12),"")</f>
        <v>42849</v>
      </c>
      <c r="AC12" s="408">
        <f>IF(LEN($Z12)&gt;0,INDEX('eur disaggregated'!chg_bps_StdNoFut,EurChart!$S12),NA())</f>
        <v>0</v>
      </c>
      <c r="AD12" s="408" t="e">
        <f>IF(LEN($Z12)&gt;0,INDEX('eur disaggregated'!chg_bps_3MnoFut,EurChart!$T12),NA())</f>
        <v>#N/A</v>
      </c>
      <c r="AE12" s="408">
        <f>IF(LEN($Z12)&gt;0,INDEX('eur disaggregated'!chg_bps_6M,EurChart!$U12),NA())</f>
        <v>2.9999999999999472E-2</v>
      </c>
      <c r="AF12" s="408">
        <f>IF(LEN($Z12)&gt;0,INDEX('eur disaggregated'!chg_bps_1Y,EurChart!$V12),NA())</f>
        <v>0.99881489999999884</v>
      </c>
      <c r="AG12" s="408">
        <f>IF(LEN(AA12)&gt;0,INDEX('eur disaggregated'!chg_bps_1M,EurChart!$W12),"")</f>
        <v>-0.10000000000000009</v>
      </c>
      <c r="AH12" s="408">
        <f>IF(LEN(AA12)&gt;0,INDEX('eur disaggregated'!chg_bps_OIS,EurChart!$X12),"")</f>
        <v>-0.10112130000000108</v>
      </c>
      <c r="AJ12" s="408">
        <f>IF(LEN($Z12)&gt;0,INDEX(MID_Std,EurChart!$S12),NA())</f>
        <v>-0.24</v>
      </c>
      <c r="AK12" s="408" t="e">
        <f>IF(LEN($Z12)&gt;0,INDEX(MID_3M,EurChart!$T12),NA())</f>
        <v>#N/A</v>
      </c>
      <c r="AL12" s="408">
        <f>IF(LEN($Z12)&gt;0,INDEX(MID_6M,EurChart!$U12),NA())</f>
        <v>-0.2177</v>
      </c>
      <c r="AM12" s="408">
        <f>IF(LEN($Z12)&gt;0,INDEX(MID_1Y,EurChart!$V12),NA())</f>
        <v>-0.10671071400000001</v>
      </c>
      <c r="AN12" s="408">
        <f>IF(LEN($AA12)&gt;0,INDEX(MID_1M,EurChart!$W12),"")</f>
        <v>-0.374</v>
      </c>
      <c r="AO12" s="408">
        <f>IF(LEN($AA12)&gt;0,INDEX(MID_OIS,EurChart!$X12),"")</f>
        <v>-0.35113541700000001</v>
      </c>
    </row>
    <row r="13" spans="19:41">
      <c r="S13" s="336">
        <f t="shared" si="1"/>
        <v>12</v>
      </c>
      <c r="T13" s="336" t="e">
        <f t="shared" si="2"/>
        <v>#N/A</v>
      </c>
      <c r="U13" s="336">
        <f t="shared" si="3"/>
        <v>10</v>
      </c>
      <c r="V13" s="336">
        <f t="shared" si="4"/>
        <v>10</v>
      </c>
      <c r="W13" s="336">
        <f t="shared" si="5"/>
        <v>12</v>
      </c>
      <c r="X13" s="336">
        <f t="shared" si="6"/>
        <v>12</v>
      </c>
      <c r="Y13" s="403"/>
      <c r="Z13" s="403" t="str">
        <v>6M</v>
      </c>
      <c r="AA13" s="404" t="s">
        <v>28</v>
      </c>
      <c r="AB13" s="123">
        <f>IF(LEN(Z13)&gt;0,INDEX(BucketMaturity,EurChart!$S13),"")</f>
        <v>42877</v>
      </c>
      <c r="AC13" s="408">
        <f>IF(LEN($Z13)&gt;0,INDEX('eur disaggregated'!chg_bps_StdNoFut,EurChart!$S13),NA())</f>
        <v>0</v>
      </c>
      <c r="AD13" s="408" t="e">
        <f>IF(LEN($Z13)&gt;0,INDEX('eur disaggregated'!chg_bps_3MnoFut,EurChart!$T13),NA())</f>
        <v>#N/A</v>
      </c>
      <c r="AE13" s="408">
        <f>IF(LEN($Z13)&gt;0,INDEX('eur disaggregated'!chg_bps_6M,EurChart!$U13),NA())</f>
        <v>-2.7755575615628914E-15</v>
      </c>
      <c r="AF13" s="408">
        <f>IF(LEN($Z13)&gt;0,INDEX('eur disaggregated'!chg_bps_1Y,EurChart!$V13),NA())</f>
        <v>0.80999999999999961</v>
      </c>
      <c r="AG13" s="408">
        <f>IF(LEN(AA13)&gt;0,INDEX('eur disaggregated'!chg_bps_1M,EurChart!$W13),"")</f>
        <v>-0.10000000000000009</v>
      </c>
      <c r="AH13" s="408">
        <f>IF(LEN(AA13)&gt;0,INDEX('eur disaggregated'!chg_bps_OIS,EurChart!$X13),"")</f>
        <v>-6.092280000000172E-2</v>
      </c>
      <c r="AJ13" s="408">
        <f>IF(LEN($Z13)&gt;0,INDEX(MID_Std,EurChart!$S13),NA())</f>
        <v>-0.21</v>
      </c>
      <c r="AK13" s="408" t="e">
        <f>IF(LEN($Z13)&gt;0,INDEX(MID_3M,EurChart!$T13),NA())</f>
        <v>#N/A</v>
      </c>
      <c r="AL13" s="408">
        <f>IF(LEN($Z13)&gt;0,INDEX(MID_6M,EurChart!$U13),NA())</f>
        <v>-0.21450000000000002</v>
      </c>
      <c r="AM13" s="408">
        <f>IF(LEN($Z13)&gt;0,INDEX(MID_1Y,EurChart!$V13),NA())</f>
        <v>-0.10260000000000001</v>
      </c>
      <c r="AN13" s="408">
        <f>IF(LEN($AA13)&gt;0,INDEX(MID_1M,EurChart!$W13),"")</f>
        <v>-0.374</v>
      </c>
      <c r="AO13" s="408">
        <f>IF(LEN($AA13)&gt;0,INDEX(MID_OIS,EurChart!$X13),"")</f>
        <v>-0.35219644999999999</v>
      </c>
    </row>
    <row r="14" spans="19:41">
      <c r="S14" s="336" t="str">
        <f t="shared" si="1"/>
        <v/>
      </c>
      <c r="T14" s="336" t="str">
        <f t="shared" si="2"/>
        <v/>
      </c>
      <c r="U14" s="336" t="str">
        <f t="shared" si="3"/>
        <v/>
      </c>
      <c r="V14" s="336" t="str">
        <f t="shared" si="4"/>
        <v/>
      </c>
      <c r="W14" s="336">
        <f t="shared" si="5"/>
        <v>13</v>
      </c>
      <c r="X14" s="336">
        <f t="shared" si="6"/>
        <v>13</v>
      </c>
      <c r="Y14" s="403"/>
      <c r="Z14" s="403" t="str">
        <v/>
      </c>
      <c r="AA14" s="403" t="s">
        <v>29</v>
      </c>
      <c r="AB14" s="410" t="e">
        <f>IF(LEN(AA14)&gt;0,INDEX(BucketEurOis_SourceMaturities,EurChart!$W14),"")</f>
        <v>#NAME?</v>
      </c>
      <c r="AC14" s="408" t="e">
        <f>IF(LEN($Z14)&gt;0,INDEX('eur disaggregated'!chg_bps_StdNoFut,EurChart!$S14),NA())</f>
        <v>#N/A</v>
      </c>
      <c r="AD14" s="408" t="e">
        <f>IF(LEN($Z14)&gt;0,INDEX('eur disaggregated'!chg_bps_3MnoFut,EurChart!$T14),NA())</f>
        <v>#N/A</v>
      </c>
      <c r="AE14" s="408" t="e">
        <f>IF(LEN($Z14)&gt;0,INDEX('eur disaggregated'!chg_bps_6M,EurChart!$U14),NA())</f>
        <v>#N/A</v>
      </c>
      <c r="AF14" s="408" t="e">
        <f>IF(LEN($Z14)&gt;0,INDEX('eur disaggregated'!chg_bps_1Y,EurChart!$V14),NA())</f>
        <v>#N/A</v>
      </c>
      <c r="AG14" s="408">
        <f>IF(LEN(AA14)&gt;0,INDEX('eur disaggregated'!chg_bps_1M,EurChart!$W14),"")</f>
        <v>-0.10000000000000009</v>
      </c>
      <c r="AH14" s="408">
        <f>IF(LEN(AA14)&gt;0,INDEX('eur disaggregated'!chg_bps_OIS,EurChart!$X14),"")</f>
        <v>-5.8057799999999826E-2</v>
      </c>
      <c r="AJ14" s="408" t="e">
        <f>IF(LEN($Z14)&gt;0,INDEX(MID_Std,EurChart!$S14),NA())</f>
        <v>#N/A</v>
      </c>
      <c r="AK14" s="408" t="e">
        <f>IF(LEN($Z14)&gt;0,INDEX(MID_3M,EurChart!$T14),NA())</f>
        <v>#N/A</v>
      </c>
      <c r="AL14" s="408" t="e">
        <f>IF(LEN($Z14)&gt;0,INDEX(MID_6M,EurChart!$U14),NA())</f>
        <v>#N/A</v>
      </c>
      <c r="AM14" s="408" t="e">
        <f>IF(LEN($Z14)&gt;0,INDEX(MID_1Y,EurChart!$V14),NA())</f>
        <v>#N/A</v>
      </c>
      <c r="AN14" s="408">
        <f>IF(LEN($AA14)&gt;0,INDEX(MID_1M,EurChart!$W14),"")</f>
        <v>-0.374</v>
      </c>
      <c r="AO14" s="408">
        <f>IF(LEN($AA14)&gt;0,INDEX(MID_OIS,EurChart!$X14),"")</f>
        <v>-0.35331696400000001</v>
      </c>
    </row>
    <row r="15" spans="19:41">
      <c r="S15" s="336" t="str">
        <f t="shared" si="1"/>
        <v/>
      </c>
      <c r="T15" s="336" t="str">
        <f t="shared" si="2"/>
        <v/>
      </c>
      <c r="U15" s="336" t="str">
        <f t="shared" si="3"/>
        <v/>
      </c>
      <c r="V15" s="336" t="str">
        <f t="shared" si="4"/>
        <v/>
      </c>
      <c r="W15" s="336">
        <f t="shared" si="5"/>
        <v>14</v>
      </c>
      <c r="X15" s="336">
        <f t="shared" si="6"/>
        <v>14</v>
      </c>
      <c r="Y15" s="403"/>
      <c r="Z15" s="403" t="str">
        <v/>
      </c>
      <c r="AA15" s="403" t="s">
        <v>30</v>
      </c>
      <c r="AB15" s="410" t="e">
        <f>IF(LEN(AA15)&gt;0,INDEX(BucketEurOis_SourceMaturities,EurChart!$W15),"")</f>
        <v>#NAME?</v>
      </c>
      <c r="AC15" s="408" t="e">
        <f>IF(LEN($Z15)&gt;0,INDEX('eur disaggregated'!chg_bps_StdNoFut,EurChart!$S15),NA())</f>
        <v>#N/A</v>
      </c>
      <c r="AD15" s="408" t="e">
        <f>IF(LEN($Z15)&gt;0,INDEX('eur disaggregated'!chg_bps_3MnoFut,EurChart!$T15),NA())</f>
        <v>#N/A</v>
      </c>
      <c r="AE15" s="408" t="e">
        <f>IF(LEN($Z15)&gt;0,INDEX('eur disaggregated'!chg_bps_6M,EurChart!$U15),NA())</f>
        <v>#N/A</v>
      </c>
      <c r="AF15" s="408" t="e">
        <f>IF(LEN($Z15)&gt;0,INDEX('eur disaggregated'!chg_bps_1Y,EurChart!$V15),NA())</f>
        <v>#N/A</v>
      </c>
      <c r="AG15" s="408">
        <f>IF(LEN(AA15)&gt;0,INDEX('eur disaggregated'!chg_bps_1M,EurChart!$W15),"")</f>
        <v>-0.10000000000000009</v>
      </c>
      <c r="AH15" s="408">
        <f>IF(LEN(AA15)&gt;0,INDEX('eur disaggregated'!chg_bps_OIS,EurChart!$X15),"")</f>
        <v>-6.649840000000351E-2</v>
      </c>
      <c r="AJ15" s="408" t="e">
        <f>IF(LEN($Z15)&gt;0,INDEX(MID_Std,EurChart!$S15),NA())</f>
        <v>#N/A</v>
      </c>
      <c r="AK15" s="408" t="e">
        <f>IF(LEN($Z15)&gt;0,INDEX(MID_3M,EurChart!$T15),NA())</f>
        <v>#N/A</v>
      </c>
      <c r="AL15" s="408" t="e">
        <f>IF(LEN($Z15)&gt;0,INDEX(MID_6M,EurChart!$U15),NA())</f>
        <v>#N/A</v>
      </c>
      <c r="AM15" s="408" t="e">
        <f>IF(LEN($Z15)&gt;0,INDEX(MID_1Y,EurChart!$V15),NA())</f>
        <v>#N/A</v>
      </c>
      <c r="AN15" s="408">
        <f>IF(LEN($AA15)&gt;0,INDEX(MID_1M,EurChart!$W15),"")</f>
        <v>-0.373</v>
      </c>
      <c r="AO15" s="408">
        <f>IF(LEN($AA15)&gt;0,INDEX(MID_OIS,EurChart!$X15),"")</f>
        <v>-0.35393896700000005</v>
      </c>
    </row>
    <row r="16" spans="19:41">
      <c r="S16" s="336" t="str">
        <f t="shared" si="1"/>
        <v/>
      </c>
      <c r="T16" s="336" t="str">
        <f t="shared" si="2"/>
        <v/>
      </c>
      <c r="U16" s="336" t="str">
        <f t="shared" si="3"/>
        <v/>
      </c>
      <c r="V16" s="336" t="str">
        <f t="shared" si="4"/>
        <v/>
      </c>
      <c r="W16" s="336">
        <f t="shared" si="5"/>
        <v>15</v>
      </c>
      <c r="X16" s="336">
        <f t="shared" si="6"/>
        <v>15</v>
      </c>
      <c r="Y16" s="404"/>
      <c r="Z16" s="404" t="str">
        <v/>
      </c>
      <c r="AA16" s="404" t="s">
        <v>49</v>
      </c>
      <c r="AB16" s="123" t="e">
        <f>IF(LEN(AA16)&gt;0,INDEX(BucketEurOis_SourceMaturities,EurChart!$W16),"")</f>
        <v>#NAME?</v>
      </c>
      <c r="AC16" s="408" t="e">
        <f>IF(LEN($Z16)&gt;0,INDEX('eur disaggregated'!chg_bps_StdNoFut,EurChart!$S16),NA())</f>
        <v>#N/A</v>
      </c>
      <c r="AD16" s="408" t="e">
        <f>IF(LEN($Z16)&gt;0,INDEX('eur disaggregated'!chg_bps_3MnoFut,EurChart!$T16),NA())</f>
        <v>#N/A</v>
      </c>
      <c r="AE16" s="408" t="e">
        <f>IF(LEN($Z16)&gt;0,INDEX('eur disaggregated'!chg_bps_6M,EurChart!$U16),NA())</f>
        <v>#N/A</v>
      </c>
      <c r="AF16" s="408" t="e">
        <f>IF(LEN($Z16)&gt;0,INDEX('eur disaggregated'!chg_bps_1Y,EurChart!$V16),NA())</f>
        <v>#N/A</v>
      </c>
      <c r="AG16" s="408">
        <f>IF(LEN(AA16)&gt;0,INDEX('eur disaggregated'!chg_bps_1M,EurChart!$W16),"")</f>
        <v>-0.10000000000000009</v>
      </c>
      <c r="AH16" s="408">
        <f>IF(LEN(AA16)&gt;0,INDEX('eur disaggregated'!chg_bps_OIS,EurChart!$X16),"")</f>
        <v>-6.8323900000005766E-2</v>
      </c>
      <c r="AJ16" s="408" t="e">
        <f>IF(LEN($Z16)&gt;0,INDEX(MID_Std,EurChart!$S16),NA())</f>
        <v>#N/A</v>
      </c>
      <c r="AK16" s="408" t="e">
        <f>IF(LEN($Z16)&gt;0,INDEX(MID_3M,EurChart!$T16),NA())</f>
        <v>#N/A</v>
      </c>
      <c r="AL16" s="408" t="e">
        <f>IF(LEN($Z16)&gt;0,INDEX(MID_6M,EurChart!$U16),NA())</f>
        <v>#N/A</v>
      </c>
      <c r="AM16" s="408" t="e">
        <f>IF(LEN($Z16)&gt;0,INDEX(MID_1Y,EurChart!$V16),NA())</f>
        <v>#N/A</v>
      </c>
      <c r="AN16" s="408">
        <f>IF(LEN($AA16)&gt;0,INDEX(MID_1M,EurChart!$W16),"")</f>
        <v>-0.373</v>
      </c>
      <c r="AO16" s="408">
        <f>IF(LEN($AA16)&gt;0,INDEX(MID_OIS,EurChart!$X16),"")</f>
        <v>-0.35436553600000004</v>
      </c>
    </row>
    <row r="17" spans="19:41">
      <c r="S17" s="336"/>
      <c r="T17" s="336"/>
      <c r="U17" s="336"/>
      <c r="V17" s="336"/>
      <c r="W17" s="336" t="str">
        <f>IF(LEN(Z17)&gt;0,MATCH($Z17,[0]!Bucket1M,0),"")</f>
        <v/>
      </c>
      <c r="X17" s="336" t="str">
        <f>IF(LEN(AA17)&gt;0,MATCH($AA17,[0]!BucketOIS,0),"")</f>
        <v/>
      </c>
      <c r="AB17" s="406"/>
      <c r="AC17" s="406"/>
      <c r="AD17" s="401"/>
      <c r="AG17" s="401"/>
      <c r="AH17" s="401"/>
    </row>
    <row r="18" spans="19:41">
      <c r="S18" s="336">
        <f t="shared" ref="S18:S45" si="7">IF(LEN(Z18)&gt;0,MATCH(Z18,CommonBucket,0),"")</f>
        <v>20</v>
      </c>
      <c r="T18" s="336">
        <f t="shared" ref="T18:T45" si="8">IF(LEN(Z18)&gt;0,MATCH(Z18,Bucket3M,0),"")</f>
        <v>26</v>
      </c>
      <c r="U18" s="336">
        <f t="shared" ref="U18:U45" si="9">IF(LEN(Z18)&gt;0,MATCH(Z18,Bucket6M,0),"")</f>
        <v>30</v>
      </c>
      <c r="V18" s="336">
        <f t="shared" ref="V18:V45" si="10">IF(LEN(Z18)&gt;0,MATCH(Z18,Bucket1Y,0),"")</f>
        <v>29</v>
      </c>
      <c r="W18" s="336">
        <f t="shared" ref="W18:W45" si="11">IF(LEN(Z18)&gt;0,MATCH($Z18,Bucket1M,0),"")</f>
        <v>26</v>
      </c>
      <c r="X18" s="336">
        <f t="shared" ref="X18:X45" si="12">IF(LEN(Z18)&gt;0,MATCH($Z18,BucketOIS,0),"")</f>
        <v>31</v>
      </c>
      <c r="Y18" s="402"/>
      <c r="Z18" s="402" t="str">
        <f t="array" ref="Z18:Z45">RemoverFilter(IF(Common_Instrument="W",CommonBucket,""),"","")</f>
        <v>3Y</v>
      </c>
      <c r="AB18" s="409">
        <f>IF(LEN(Z18)&gt;0,INDEX(BucketMaturity,EurChart!$S18),"")</f>
        <v>43791</v>
      </c>
      <c r="AC18" s="408">
        <f>IF(LEN($Z18)&gt;0,INDEX('eur disaggregated'!chg_bps_StdNoFut,EurChart!$S18),NA())</f>
        <v>-10021.25</v>
      </c>
      <c r="AD18" s="408">
        <f>IF(LEN($Z18)&gt;0,INDEX('eur disaggregated'!chg_bps_3MnoFut,EurChart!$T18),NA())</f>
        <v>0.10000000000000009</v>
      </c>
      <c r="AE18" s="408">
        <f>IF(LEN($Z18)&gt;0,INDEX('eur disaggregated'!chg_bps_6M,EurChart!$U18),NA())</f>
        <v>0.10000000000000009</v>
      </c>
      <c r="AF18" s="408">
        <f>IF(LEN($Z18)&gt;0,INDEX('eur disaggregated'!chg_bps_1Y,EurChart!$V18),NA())</f>
        <v>0</v>
      </c>
      <c r="AG18" s="408">
        <f>IF(LEN(Z18)&gt;0,INDEX('eur disaggregated'!chg_bps_1M,EurChart!$W18),"")</f>
        <v>9.9999999999994538E-2</v>
      </c>
      <c r="AH18" s="408">
        <f>IF(LEN(Z18)&gt;0,INDEX('eur disaggregated'!chg_bps_OIS,EurChart!$X18),"")</f>
        <v>9.9999999999994538E-2</v>
      </c>
      <c r="AJ18" s="408">
        <f>IF(LEN($Z18)&gt;0,INDEX(MID_Std,EurChart!$S18),NA())</f>
        <v>-0.06</v>
      </c>
      <c r="AK18" s="408">
        <f>IF(LEN($Z18)&gt;0,INDEX(MID_3M,EurChart!$T18),NA())</f>
        <v>-0.185</v>
      </c>
      <c r="AL18" s="408">
        <f>IF(LEN($Z18)&gt;0,INDEX(MID_6M,EurChart!$U18),NA())</f>
        <v>-0.06</v>
      </c>
      <c r="AM18" s="408">
        <f>IF(LEN($Z18)&gt;0,INDEX(MID_1Y,EurChart!$V18),NA())</f>
        <v>6.9000000000000006E-2</v>
      </c>
      <c r="AN18" s="408">
        <f>IF(LEN($Z18)&gt;0,INDEX(MID_1M,EurChart!$W18),"")</f>
        <v>-0.28800000000000003</v>
      </c>
      <c r="AO18" s="408">
        <f>IF(LEN($Z18)&gt;0,INDEX(MID_OIS,EurChart!$X18),"")</f>
        <v>-0.28100000000000003</v>
      </c>
    </row>
    <row r="19" spans="19:41">
      <c r="S19" s="336">
        <f t="shared" si="7"/>
        <v>21</v>
      </c>
      <c r="T19" s="336">
        <f t="shared" si="8"/>
        <v>27</v>
      </c>
      <c r="U19" s="336">
        <f t="shared" si="9"/>
        <v>31</v>
      </c>
      <c r="V19" s="336">
        <f t="shared" si="10"/>
        <v>30</v>
      </c>
      <c r="W19" s="336">
        <f t="shared" si="11"/>
        <v>27</v>
      </c>
      <c r="X19" s="336">
        <f t="shared" si="12"/>
        <v>32</v>
      </c>
      <c r="Y19" s="403"/>
      <c r="Z19" s="403" t="str">
        <v>4Y</v>
      </c>
      <c r="AB19" s="410">
        <f>IF(LEN(Z19)&gt;0,INDEX(BucketMaturity,EurChart!$S19),"")</f>
        <v>44158</v>
      </c>
      <c r="AC19" s="408">
        <f>IF(LEN($Z19)&gt;0,INDEX('eur disaggregated'!chg_bps_StdNoFut,EurChart!$S19),NA())</f>
        <v>9.3000000000000007</v>
      </c>
      <c r="AD19" s="408">
        <f>IF(LEN($Z19)&gt;0,INDEX('eur disaggregated'!chg_bps_3MnoFut,EurChart!$T19),NA())</f>
        <v>0.39999999999999897</v>
      </c>
      <c r="AE19" s="408">
        <f>IF(LEN($Z19)&gt;0,INDEX('eur disaggregated'!chg_bps_6M,EurChart!$U19),NA())</f>
        <v>0.4</v>
      </c>
      <c r="AF19" s="408">
        <f>IF(LEN($Z19)&gt;0,INDEX('eur disaggregated'!chg_bps_1Y,EurChart!$V19),NA())</f>
        <v>0.30000000000000027</v>
      </c>
      <c r="AG19" s="408">
        <f>IF(LEN(Z19)&gt;0,INDEX('eur disaggregated'!chg_bps_1M,EurChart!$W19),"")</f>
        <v>0.40000000000000036</v>
      </c>
      <c r="AH19" s="408">
        <f>IF(LEN(Z19)&gt;0,INDEX('eur disaggregated'!chg_bps_OIS,EurChart!$X19),"")</f>
        <v>0.29999999999999749</v>
      </c>
      <c r="AJ19" s="408">
        <f>IF(LEN($Z19)&gt;0,INDEX(MID_Std,EurChart!$S19),NA())</f>
        <v>3.2000000000000001E-2</v>
      </c>
      <c r="AK19" s="408">
        <f>IF(LEN($Z19)&gt;0,INDEX(MID_3M,EurChart!$T19),NA())</f>
        <v>-0.10100000000000001</v>
      </c>
      <c r="AL19" s="408">
        <f>IF(LEN($Z19)&gt;0,INDEX(MID_6M,EurChart!$U19),NA())</f>
        <v>3.2000000000000001E-2</v>
      </c>
      <c r="AM19" s="408">
        <f>IF(LEN($Z19)&gt;0,INDEX(MID_1Y,EurChart!$V19),NA())</f>
        <v>0.16400000000000001</v>
      </c>
      <c r="AN19" s="408">
        <f>IF(LEN($Z19)&gt;0,INDEX(MID_1M,EurChart!$W19),"")</f>
        <v>-0.20899999999999999</v>
      </c>
      <c r="AO19" s="408">
        <f>IF(LEN($Z19)&gt;0,INDEX(MID_OIS,EurChart!$X19),"")</f>
        <v>-0.20500000000000002</v>
      </c>
    </row>
    <row r="20" spans="19:41">
      <c r="S20" s="336">
        <f t="shared" si="7"/>
        <v>22</v>
      </c>
      <c r="T20" s="336">
        <f t="shared" si="8"/>
        <v>28</v>
      </c>
      <c r="U20" s="336">
        <f t="shared" si="9"/>
        <v>32</v>
      </c>
      <c r="V20" s="336">
        <f t="shared" si="10"/>
        <v>31</v>
      </c>
      <c r="W20" s="336">
        <f t="shared" si="11"/>
        <v>28</v>
      </c>
      <c r="X20" s="336">
        <f t="shared" si="12"/>
        <v>33</v>
      </c>
      <c r="Y20" s="403"/>
      <c r="Z20" s="403" t="str">
        <v>5Y</v>
      </c>
      <c r="AB20" s="410">
        <f>IF(LEN(Z20)&gt;0,INDEX(BucketMaturity,EurChart!$S20),"")</f>
        <v>44522</v>
      </c>
      <c r="AC20" s="408">
        <f>IF(LEN($Z20)&gt;0,INDEX('eur disaggregated'!chg_bps_StdNoFut,EurChart!$S20),NA())</f>
        <v>11.000000000000002</v>
      </c>
      <c r="AD20" s="408">
        <f>IF(LEN($Z20)&gt;0,INDEX('eur disaggregated'!chg_bps_3MnoFut,EurChart!$T20),NA())</f>
        <v>0.6</v>
      </c>
      <c r="AE20" s="408">
        <f>IF(LEN($Z20)&gt;0,INDEX('eur disaggregated'!chg_bps_6M,EurChart!$U20),NA())</f>
        <v>0.60000000000000053</v>
      </c>
      <c r="AF20" s="408">
        <f>IF(LEN($Z20)&gt;0,INDEX('eur disaggregated'!chg_bps_1Y,EurChart!$V20),NA())</f>
        <v>0.50000000000000044</v>
      </c>
      <c r="AG20" s="408">
        <f>IF(LEN(Z20)&gt;0,INDEX('eur disaggregated'!chg_bps_1M,EurChart!$W20),"")</f>
        <v>0.5999999999999992</v>
      </c>
      <c r="AH20" s="408">
        <f>IF(LEN(Z20)&gt;0,INDEX('eur disaggregated'!chg_bps_OIS,EurChart!$X20),"")</f>
        <v>0.60000000000000053</v>
      </c>
      <c r="AJ20" s="408">
        <f>IF(LEN($Z20)&gt;0,INDEX(MID_Std,EurChart!$S20),NA())</f>
        <v>0.13800000000000001</v>
      </c>
      <c r="AK20" s="408">
        <f>IF(LEN($Z20)&gt;0,INDEX(MID_3M,EurChart!$T20),NA())</f>
        <v>0</v>
      </c>
      <c r="AL20" s="408">
        <f>IF(LEN($Z20)&gt;0,INDEX(MID_6M,EurChart!$U20),NA())</f>
        <v>0.13800000000000001</v>
      </c>
      <c r="AM20" s="408">
        <f>IF(LEN($Z20)&gt;0,INDEX(MID_1Y,EurChart!$V20),NA())</f>
        <v>0.27200000000000002</v>
      </c>
      <c r="AN20" s="408">
        <f>IF(LEN($Z20)&gt;0,INDEX(MID_1M,EurChart!$W20),"")</f>
        <v>-0.113</v>
      </c>
      <c r="AO20" s="408">
        <f>IF(LEN($Z20)&gt;0,INDEX(MID_OIS,EurChart!$X20),"")</f>
        <v>-0.107</v>
      </c>
    </row>
    <row r="21" spans="19:41">
      <c r="S21" s="336">
        <f t="shared" si="7"/>
        <v>23</v>
      </c>
      <c r="T21" s="336">
        <f t="shared" si="8"/>
        <v>29</v>
      </c>
      <c r="U21" s="336">
        <f t="shared" si="9"/>
        <v>33</v>
      </c>
      <c r="V21" s="336">
        <f t="shared" si="10"/>
        <v>32</v>
      </c>
      <c r="W21" s="336">
        <f t="shared" si="11"/>
        <v>29</v>
      </c>
      <c r="X21" s="336">
        <f t="shared" si="12"/>
        <v>34</v>
      </c>
      <c r="Y21" s="403"/>
      <c r="Z21" s="403" t="str">
        <v>6Y</v>
      </c>
      <c r="AB21" s="410">
        <f>IF(LEN(Z21)&gt;0,INDEX(BucketMaturity,EurChart!$S21),"")</f>
        <v>44887</v>
      </c>
      <c r="AC21" s="408">
        <f>IF(LEN($Z21)&gt;0,INDEX('eur disaggregated'!chg_bps_StdNoFut,EurChart!$S21),NA())</f>
        <v>11.799999999999999</v>
      </c>
      <c r="AD21" s="408">
        <f>IF(LEN($Z21)&gt;0,INDEX('eur disaggregated'!chg_bps_3MnoFut,EurChart!$T21),NA())</f>
        <v>0.9000000000000008</v>
      </c>
      <c r="AE21" s="408">
        <f>IF(LEN($Z21)&gt;0,INDEX('eur disaggregated'!chg_bps_6M,EurChart!$U21),NA())</f>
        <v>0.80000000000000071</v>
      </c>
      <c r="AF21" s="408">
        <f>IF(LEN($Z21)&gt;0,INDEX('eur disaggregated'!chg_bps_1Y,EurChart!$V21),NA())</f>
        <v>0.70000000000000062</v>
      </c>
      <c r="AG21" s="408">
        <f>IF(LEN(Z21)&gt;0,INDEX('eur disaggregated'!chg_bps_1M,EurChart!$W21),"")</f>
        <v>0.89999999999999991</v>
      </c>
      <c r="AH21" s="408">
        <f>IF(LEN(Z21)&gt;0,INDEX('eur disaggregated'!chg_bps_OIS,EurChart!$X21),"")</f>
        <v>0.8</v>
      </c>
      <c r="AJ21" s="408">
        <f>IF(LEN($Z21)&gt;0,INDEX(MID_Std,EurChart!$S21),NA())</f>
        <v>0.25</v>
      </c>
      <c r="AK21" s="408">
        <f>IF(LEN($Z21)&gt;0,INDEX(MID_3M,EurChart!$T21),NA())</f>
        <v>0.112</v>
      </c>
      <c r="AL21" s="408">
        <f>IF(LEN($Z21)&gt;0,INDEX(MID_6M,EurChart!$U21),NA())</f>
        <v>0.25</v>
      </c>
      <c r="AM21" s="408">
        <f>IF(LEN($Z21)&gt;0,INDEX(MID_1Y,EurChart!$V21),NA())</f>
        <v>0.38400000000000001</v>
      </c>
      <c r="AN21" s="408">
        <f>IF(LEN($Z21)&gt;0,INDEX(MID_1M,EurChart!$W21),"")</f>
        <v>-2E-3</v>
      </c>
      <c r="AO21" s="408">
        <f>IF(LEN($Z21)&gt;0,INDEX(MID_OIS,EurChart!$X21),"")</f>
        <v>3.0000000000000001E-3</v>
      </c>
    </row>
    <row r="22" spans="19:41">
      <c r="S22" s="336">
        <f t="shared" si="7"/>
        <v>24</v>
      </c>
      <c r="T22" s="336">
        <f t="shared" si="8"/>
        <v>30</v>
      </c>
      <c r="U22" s="336">
        <f t="shared" si="9"/>
        <v>34</v>
      </c>
      <c r="V22" s="336">
        <f t="shared" si="10"/>
        <v>33</v>
      </c>
      <c r="W22" s="336">
        <f t="shared" si="11"/>
        <v>30</v>
      </c>
      <c r="X22" s="336">
        <f t="shared" si="12"/>
        <v>35</v>
      </c>
      <c r="Y22" s="403"/>
      <c r="Z22" s="403" t="str">
        <v>7Y</v>
      </c>
      <c r="AB22" s="410">
        <f>IF(LEN(Z22)&gt;0,INDEX(BucketMaturity,EurChart!$S22),"")</f>
        <v>45252</v>
      </c>
      <c r="AC22" s="408">
        <f>IF(LEN($Z22)&gt;0,INDEX('eur disaggregated'!chg_bps_StdNoFut,EurChart!$S22),NA())</f>
        <v>12.2</v>
      </c>
      <c r="AD22" s="408">
        <f>IF(LEN($Z22)&gt;0,INDEX('eur disaggregated'!chg_bps_3MnoFut,EurChart!$T22),NA())</f>
        <v>1.0000000000000009</v>
      </c>
      <c r="AE22" s="408">
        <f>IF(LEN($Z22)&gt;0,INDEX('eur disaggregated'!chg_bps_6M,EurChart!$U22),NA())</f>
        <v>0.9000000000000008</v>
      </c>
      <c r="AF22" s="408">
        <f>IF(LEN($Z22)&gt;0,INDEX('eur disaggregated'!chg_bps_1Y,EurChart!$V22),NA())</f>
        <v>0.80000000000000071</v>
      </c>
      <c r="AG22" s="408">
        <f>IF(LEN(Z22)&gt;0,INDEX('eur disaggregated'!chg_bps_1M,EurChart!$W22),"")</f>
        <v>1.0000000000000009</v>
      </c>
      <c r="AH22" s="408">
        <f>IF(LEN(Z22)&gt;0,INDEX('eur disaggregated'!chg_bps_OIS,EurChart!$X22),"")</f>
        <v>1.0000000000000009</v>
      </c>
      <c r="AJ22" s="408">
        <f>IF(LEN($Z22)&gt;0,INDEX(MID_Std,EurChart!$S22),NA())</f>
        <v>0.36399999999999999</v>
      </c>
      <c r="AK22" s="408">
        <f>IF(LEN($Z22)&gt;0,INDEX(MID_3M,EurChart!$T22),NA())</f>
        <v>0.22800000000000001</v>
      </c>
      <c r="AL22" s="408">
        <f>IF(LEN($Z22)&gt;0,INDEX(MID_6M,EurChart!$U22),NA())</f>
        <v>0.36399999999999999</v>
      </c>
      <c r="AM22" s="408">
        <f>IF(LEN($Z22)&gt;0,INDEX(MID_1Y,EurChart!$V22),NA())</f>
        <v>0.497</v>
      </c>
      <c r="AN22" s="408">
        <f>IF(LEN($Z22)&gt;0,INDEX(MID_1M,EurChart!$W22),"")</f>
        <v>0.115</v>
      </c>
      <c r="AO22" s="408">
        <f>IF(LEN($Z22)&gt;0,INDEX(MID_OIS,EurChart!$X22),"")</f>
        <v>0.11900000000000001</v>
      </c>
    </row>
    <row r="23" spans="19:41">
      <c r="S23" s="336">
        <f t="shared" si="7"/>
        <v>25</v>
      </c>
      <c r="T23" s="336">
        <f t="shared" si="8"/>
        <v>31</v>
      </c>
      <c r="U23" s="336">
        <f t="shared" si="9"/>
        <v>35</v>
      </c>
      <c r="V23" s="336">
        <f t="shared" si="10"/>
        <v>34</v>
      </c>
      <c r="W23" s="336">
        <f t="shared" si="11"/>
        <v>31</v>
      </c>
      <c r="X23" s="336">
        <f t="shared" si="12"/>
        <v>36</v>
      </c>
      <c r="Y23" s="403"/>
      <c r="Z23" s="403" t="str">
        <v>8Y</v>
      </c>
      <c r="AB23" s="410">
        <f>IF(LEN(Z23)&gt;0,INDEX(BucketMaturity,EurChart!$S23),"")</f>
        <v>45618</v>
      </c>
      <c r="AC23" s="408">
        <f>IF(LEN($Z23)&gt;0,INDEX('eur disaggregated'!chg_bps_StdNoFut,EurChart!$S23),NA())</f>
        <v>12.200000000000005</v>
      </c>
      <c r="AD23" s="408">
        <f>IF(LEN($Z23)&gt;0,INDEX('eur disaggregated'!chg_bps_3MnoFut,EurChart!$T23),NA())</f>
        <v>1.0000000000000009</v>
      </c>
      <c r="AE23" s="408">
        <f>IF(LEN($Z23)&gt;0,INDEX('eur disaggregated'!chg_bps_6M,EurChart!$U23),NA())</f>
        <v>1.0000000000000009</v>
      </c>
      <c r="AF23" s="408">
        <f>IF(LEN($Z23)&gt;0,INDEX('eur disaggregated'!chg_bps_1Y,EurChart!$V23),NA())</f>
        <v>0.9000000000000008</v>
      </c>
      <c r="AG23" s="408">
        <f>IF(LEN(Z23)&gt;0,INDEX('eur disaggregated'!chg_bps_1M,EurChart!$W23),"")</f>
        <v>1.100000000000001</v>
      </c>
      <c r="AH23" s="408">
        <f>IF(LEN(Z23)&gt;0,INDEX('eur disaggregated'!chg_bps_OIS,EurChart!$X23),"")</f>
        <v>1.0000000000000009</v>
      </c>
      <c r="AJ23" s="408">
        <f>IF(LEN($Z23)&gt;0,INDEX(MID_Std,EurChart!$S23),NA())</f>
        <v>0.47700000000000004</v>
      </c>
      <c r="AK23" s="408">
        <f>IF(LEN($Z23)&gt;0,INDEX(MID_3M,EurChart!$T23),NA())</f>
        <v>0.34400000000000003</v>
      </c>
      <c r="AL23" s="408">
        <f>IF(LEN($Z23)&gt;0,INDEX(MID_6M,EurChart!$U23),NA())</f>
        <v>0.47700000000000004</v>
      </c>
      <c r="AM23" s="408">
        <f>IF(LEN($Z23)&gt;0,INDEX(MID_1Y,EurChart!$V23),NA())</f>
        <v>0.60799999999999998</v>
      </c>
      <c r="AN23" s="408">
        <f>IF(LEN($Z23)&gt;0,INDEX(MID_1M,EurChart!$W23),"")</f>
        <v>0.23300000000000001</v>
      </c>
      <c r="AO23" s="408">
        <f>IF(LEN($Z23)&gt;0,INDEX(MID_OIS,EurChart!$X23),"")</f>
        <v>0.23600000000000002</v>
      </c>
    </row>
    <row r="24" spans="19:41">
      <c r="S24" s="336">
        <f t="shared" si="7"/>
        <v>26</v>
      </c>
      <c r="T24" s="336">
        <f t="shared" si="8"/>
        <v>32</v>
      </c>
      <c r="U24" s="336">
        <f t="shared" si="9"/>
        <v>36</v>
      </c>
      <c r="V24" s="336">
        <f t="shared" si="10"/>
        <v>35</v>
      </c>
      <c r="W24" s="336">
        <f t="shared" si="11"/>
        <v>32</v>
      </c>
      <c r="X24" s="336">
        <f t="shared" si="12"/>
        <v>37</v>
      </c>
      <c r="Y24" s="403"/>
      <c r="Z24" s="403" t="str">
        <v>9Y</v>
      </c>
      <c r="AB24" s="410">
        <f>IF(LEN(Z24)&gt;0,INDEX(BucketMaturity,EurChart!$S24),"")</f>
        <v>45985</v>
      </c>
      <c r="AC24" s="408">
        <f>IF(LEN($Z24)&gt;0,INDEX('eur disaggregated'!chg_bps_StdNoFut,EurChart!$S24),NA())</f>
        <v>11.799999999999994</v>
      </c>
      <c r="AD24" s="408">
        <f>IF(LEN($Z24)&gt;0,INDEX('eur disaggregated'!chg_bps_3MnoFut,EurChart!$T24),NA())</f>
        <v>1.2000000000000011</v>
      </c>
      <c r="AE24" s="408">
        <f>IF(LEN($Z24)&gt;0,INDEX('eur disaggregated'!chg_bps_6M,EurChart!$U24),NA())</f>
        <v>1.100000000000001</v>
      </c>
      <c r="AF24" s="408">
        <f>IF(LEN($Z24)&gt;0,INDEX('eur disaggregated'!chg_bps_1Y,EurChart!$V24),NA())</f>
        <v>1.0000000000000009</v>
      </c>
      <c r="AG24" s="408">
        <f>IF(LEN(Z24)&gt;0,INDEX('eur disaggregated'!chg_bps_1M,EurChart!$W24),"")</f>
        <v>1.2000000000000011</v>
      </c>
      <c r="AH24" s="408">
        <f>IF(LEN(Z24)&gt;0,INDEX('eur disaggregated'!chg_bps_OIS,EurChart!$X24),"")</f>
        <v>1.100000000000001</v>
      </c>
      <c r="AJ24" s="408">
        <f>IF(LEN($Z24)&gt;0,INDEX(MID_Std,EurChart!$S24),NA())</f>
        <v>0.58499999999999996</v>
      </c>
      <c r="AK24" s="408">
        <f>IF(LEN($Z24)&gt;0,INDEX(MID_3M,EurChart!$T24),NA())</f>
        <v>0.45800000000000002</v>
      </c>
      <c r="AL24" s="408">
        <f>IF(LEN($Z24)&gt;0,INDEX(MID_6M,EurChart!$U24),NA())</f>
        <v>0.58499999999999996</v>
      </c>
      <c r="AM24" s="408">
        <f>IF(LEN($Z24)&gt;0,INDEX(MID_1Y,EurChart!$V24),NA())</f>
        <v>0.71399999999999997</v>
      </c>
      <c r="AN24" s="408">
        <f>IF(LEN($Z24)&gt;0,INDEX(MID_1M,EurChart!$W24),"")</f>
        <v>0.34800000000000003</v>
      </c>
      <c r="AO24" s="408">
        <f>IF(LEN($Z24)&gt;0,INDEX(MID_OIS,EurChart!$X24),"")</f>
        <v>0.34900000000000003</v>
      </c>
    </row>
    <row r="25" spans="19:41">
      <c r="S25" s="336">
        <f t="shared" si="7"/>
        <v>27</v>
      </c>
      <c r="T25" s="336">
        <f t="shared" si="8"/>
        <v>33</v>
      </c>
      <c r="U25" s="336">
        <f t="shared" si="9"/>
        <v>37</v>
      </c>
      <c r="V25" s="336">
        <f t="shared" si="10"/>
        <v>36</v>
      </c>
      <c r="W25" s="336">
        <f t="shared" si="11"/>
        <v>33</v>
      </c>
      <c r="X25" s="336">
        <f t="shared" si="12"/>
        <v>38</v>
      </c>
      <c r="Y25" s="403"/>
      <c r="Z25" s="403" t="str">
        <v>10Y</v>
      </c>
      <c r="AB25" s="410">
        <f>IF(LEN(Z25)&gt;0,INDEX(BucketMaturity,EurChart!$S25),"")</f>
        <v>46349</v>
      </c>
      <c r="AC25" s="408">
        <f>IF(LEN($Z25)&gt;0,INDEX('eur disaggregated'!chg_bps_StdNoFut,EurChart!$S25),NA())</f>
        <v>10.80000000000001</v>
      </c>
      <c r="AD25" s="408">
        <f>IF(LEN($Z25)&gt;0,INDEX('eur disaggregated'!chg_bps_3MnoFut,EurChart!$T25),NA())</f>
        <v>1.2000000000000011</v>
      </c>
      <c r="AE25" s="408">
        <f>IF(LEN($Z25)&gt;0,INDEX('eur disaggregated'!chg_bps_6M,EurChart!$U25),NA())</f>
        <v>1.100000000000001</v>
      </c>
      <c r="AF25" s="408">
        <f>IF(LEN($Z25)&gt;0,INDEX('eur disaggregated'!chg_bps_1Y,EurChart!$V25),NA())</f>
        <v>1.100000000000001</v>
      </c>
      <c r="AG25" s="408">
        <f>IF(LEN(Z25)&gt;0,INDEX('eur disaggregated'!chg_bps_1M,EurChart!$W25),"")</f>
        <v>1.2000000000000011</v>
      </c>
      <c r="AH25" s="408">
        <f>IF(LEN(Z25)&gt;0,INDEX('eur disaggregated'!chg_bps_OIS,EurChart!$X25),"")</f>
        <v>1.3000000000000012</v>
      </c>
      <c r="AJ25" s="408">
        <f>IF(LEN($Z25)&gt;0,INDEX(MID_Std,EurChart!$S25),NA())</f>
        <v>0.68200000000000005</v>
      </c>
      <c r="AK25" s="408">
        <f>IF(LEN($Z25)&gt;0,INDEX(MID_3M,EurChart!$T25),NA())</f>
        <v>0.56200000000000006</v>
      </c>
      <c r="AL25" s="408">
        <f>IF(LEN($Z25)&gt;0,INDEX(MID_6M,EurChart!$U25),NA())</f>
        <v>0.68200000000000005</v>
      </c>
      <c r="AM25" s="408">
        <f>IF(LEN($Z25)&gt;0,INDEX(MID_1Y,EurChart!$V25),NA())</f>
        <v>0.80700000000000005</v>
      </c>
      <c r="AN25" s="408">
        <f>IF(LEN($Z25)&gt;0,INDEX(MID_1M,EurChart!$W25),"")</f>
        <v>0.45400000000000001</v>
      </c>
      <c r="AO25" s="408">
        <f>IF(LEN($Z25)&gt;0,INDEX(MID_OIS,EurChart!$X25),"")</f>
        <v>0.45400000000000001</v>
      </c>
    </row>
    <row r="26" spans="19:41">
      <c r="S26" s="336">
        <f t="shared" si="7"/>
        <v>28</v>
      </c>
      <c r="T26" s="336">
        <f t="shared" si="8"/>
        <v>34</v>
      </c>
      <c r="U26" s="336">
        <f t="shared" si="9"/>
        <v>38</v>
      </c>
      <c r="V26" s="336">
        <f t="shared" si="10"/>
        <v>37</v>
      </c>
      <c r="W26" s="336">
        <f t="shared" si="11"/>
        <v>34</v>
      </c>
      <c r="X26" s="336">
        <f t="shared" si="12"/>
        <v>39</v>
      </c>
      <c r="Y26" s="403"/>
      <c r="Z26" s="403" t="str">
        <v>11Y</v>
      </c>
      <c r="AB26" s="410">
        <f>IF(LEN(Z26)&gt;0,INDEX(BucketMaturity,EurChart!$S26),"")</f>
        <v>46713</v>
      </c>
      <c r="AC26" s="408">
        <f>IF(LEN($Z26)&gt;0,INDEX('eur disaggregated'!chg_bps_StdNoFut,EurChart!$S26),NA())</f>
        <v>9.7790120999999957</v>
      </c>
      <c r="AD26" s="408">
        <f>IF(LEN($Z26)&gt;0,INDEX('eur disaggregated'!chg_bps_3MnoFut,EurChart!$T26),NA())</f>
        <v>1.1995161000000087</v>
      </c>
      <c r="AE26" s="408">
        <f>IF(LEN($Z26)&gt;0,INDEX('eur disaggregated'!chg_bps_6M,EurChart!$U26),NA())</f>
        <v>1.1079641000000029</v>
      </c>
      <c r="AF26" s="408">
        <f>IF(LEN($Z26)&gt;0,INDEX('eur disaggregated'!chg_bps_1Y,EurChart!$V26),NA())</f>
        <v>1.1347286999999984</v>
      </c>
      <c r="AG26" s="408">
        <f>IF(LEN(Z26)&gt;0,INDEX('eur disaggregated'!chg_bps_1M,EurChart!$W26),"")</f>
        <v>1.2099839000000001</v>
      </c>
      <c r="AH26" s="408">
        <f>IF(LEN(Z26)&gt;0,INDEX('eur disaggregated'!chg_bps_OIS,EurChart!$X26),"")</f>
        <v>1.3000000000000012</v>
      </c>
      <c r="AJ26" s="408">
        <f>IF(LEN($Z26)&gt;0,INDEX(MID_Std,EurChart!$S26),NA())</f>
        <v>0.76879012099999999</v>
      </c>
      <c r="AK26" s="408">
        <f>IF(LEN($Z26)&gt;0,INDEX(MID_3M,EurChart!$T26),NA())</f>
        <v>0.65547676100000007</v>
      </c>
      <c r="AL26" s="408">
        <f>IF(LEN($Z26)&gt;0,INDEX(MID_6M,EurChart!$U26),NA())</f>
        <v>0.76879012099999999</v>
      </c>
      <c r="AM26" s="408">
        <f>IF(LEN($Z26)&gt;0,INDEX(MID_1Y,EurChart!$V26),NA())</f>
        <v>0.887186947</v>
      </c>
      <c r="AN26" s="408">
        <f>IF(LEN($Z26)&gt;0,INDEX(MID_1M,EurChart!$W26),"")</f>
        <v>0.54869200699999998</v>
      </c>
      <c r="AO26" s="408">
        <f>IF(LEN($Z26)&gt;0,INDEX(MID_OIS,EurChart!$X26),"")</f>
        <v>0.54800000000000004</v>
      </c>
    </row>
    <row r="27" spans="19:41">
      <c r="S27" s="336">
        <f t="shared" si="7"/>
        <v>29</v>
      </c>
      <c r="T27" s="336">
        <f t="shared" si="8"/>
        <v>35</v>
      </c>
      <c r="U27" s="336">
        <f t="shared" si="9"/>
        <v>39</v>
      </c>
      <c r="V27" s="336">
        <f t="shared" si="10"/>
        <v>38</v>
      </c>
      <c r="W27" s="336">
        <f t="shared" si="11"/>
        <v>35</v>
      </c>
      <c r="X27" s="336">
        <f t="shared" si="12"/>
        <v>40</v>
      </c>
      <c r="Y27" s="403"/>
      <c r="Z27" s="403" t="str">
        <v>12Y</v>
      </c>
      <c r="AB27" s="410">
        <f>IF(LEN(Z27)&gt;0,INDEX(BucketMaturity,EurChart!$S27),"")</f>
        <v>47079</v>
      </c>
      <c r="AC27" s="408">
        <f>IF(LEN($Z27)&gt;0,INDEX('eur disaggregated'!chg_bps_StdNoFut,EurChart!$S27),NA())</f>
        <v>8.828952000000001</v>
      </c>
      <c r="AD27" s="408">
        <f>IF(LEN($Z27)&gt;0,INDEX('eur disaggregated'!chg_bps_3MnoFut,EurChart!$T27),NA())</f>
        <v>1.2000000000000011</v>
      </c>
      <c r="AE27" s="408">
        <f>IF(LEN($Z27)&gt;0,INDEX('eur disaggregated'!chg_bps_6M,EurChart!$U27),NA())</f>
        <v>1.100000000000001</v>
      </c>
      <c r="AF27" s="408">
        <f>IF(LEN($Z27)&gt;0,INDEX('eur disaggregated'!chg_bps_1Y,EurChart!$V27),NA())</f>
        <v>1.1000000000000121</v>
      </c>
      <c r="AG27" s="408">
        <f>IF(LEN(Z27)&gt;0,INDEX('eur disaggregated'!chg_bps_1M,EurChart!$W27),"")</f>
        <v>1.2000000000000011</v>
      </c>
      <c r="AH27" s="408">
        <f>IF(LEN(Z27)&gt;0,INDEX('eur disaggregated'!chg_bps_OIS,EurChart!$X27),"")</f>
        <v>1.2000000000000011</v>
      </c>
      <c r="AJ27" s="408">
        <f>IF(LEN($Z27)&gt;0,INDEX(MID_Std,EurChart!$S27),NA())</f>
        <v>0.84599999999999997</v>
      </c>
      <c r="AK27" s="408">
        <f>IF(LEN($Z27)&gt;0,INDEX(MID_3M,EurChart!$T27),NA())</f>
        <v>0.73899999999999999</v>
      </c>
      <c r="AL27" s="408">
        <f>IF(LEN($Z27)&gt;0,INDEX(MID_6M,EurChart!$U27),NA())</f>
        <v>0.84599999999999997</v>
      </c>
      <c r="AM27" s="408">
        <f>IF(LEN($Z27)&gt;0,INDEX(MID_1Y,EurChart!$V27),NA())</f>
        <v>0.95700000000000007</v>
      </c>
      <c r="AN27" s="408">
        <f>IF(LEN($Z27)&gt;0,INDEX(MID_1M,EurChart!$W27),"")</f>
        <v>0.63300000000000001</v>
      </c>
      <c r="AO27" s="408">
        <f>IF(LEN($Z27)&gt;0,INDEX(MID_OIS,EurChart!$X27),"")</f>
        <v>0.63100000000000001</v>
      </c>
    </row>
    <row r="28" spans="19:41">
      <c r="S28" s="336">
        <f t="shared" si="7"/>
        <v>30</v>
      </c>
      <c r="T28" s="336">
        <f t="shared" si="8"/>
        <v>36</v>
      </c>
      <c r="U28" s="336">
        <f t="shared" si="9"/>
        <v>40</v>
      </c>
      <c r="V28" s="336">
        <f t="shared" si="10"/>
        <v>39</v>
      </c>
      <c r="W28" s="336">
        <f t="shared" si="11"/>
        <v>36</v>
      </c>
      <c r="X28" s="336">
        <f t="shared" si="12"/>
        <v>41</v>
      </c>
      <c r="Y28" s="403"/>
      <c r="Z28" s="403" t="str">
        <v>13Y</v>
      </c>
      <c r="AB28" s="410">
        <f>IF(LEN(Z28)&gt;0,INDEX(BucketMaturity,EurChart!$S28),"")</f>
        <v>47444</v>
      </c>
      <c r="AC28" s="408">
        <f>IF(LEN($Z28)&gt;0,INDEX('eur disaggregated'!chg_bps_StdNoFut,EurChart!$S28),NA())</f>
        <v>7.748333400000007</v>
      </c>
      <c r="AD28" s="408">
        <f>IF(LEN($Z28)&gt;0,INDEX('eur disaggregated'!chg_bps_3MnoFut,EurChart!$T28),NA())</f>
        <v>1.2457964000000099</v>
      </c>
      <c r="AE28" s="408">
        <f>IF(LEN($Z28)&gt;0,INDEX('eur disaggregated'!chg_bps_6M,EurChart!$U28),NA())</f>
        <v>1.1374753000000015</v>
      </c>
      <c r="AF28" s="408">
        <f>IF(LEN($Z28)&gt;0,INDEX('eur disaggregated'!chg_bps_1Y,EurChart!$V28),NA())</f>
        <v>1.1223132000000025</v>
      </c>
      <c r="AG28" s="408">
        <f>IF(LEN(Z28)&gt;0,INDEX('eur disaggregated'!chg_bps_1M,EurChart!$W28),"")</f>
        <v>1.2372835000000082</v>
      </c>
      <c r="AH28" s="408">
        <f>IF(LEN(Z28)&gt;0,INDEX('eur disaggregated'!chg_bps_OIS,EurChart!$X28),"")</f>
        <v>1.2250558000000078</v>
      </c>
      <c r="AJ28" s="408">
        <f>IF(LEN($Z28)&gt;0,INDEX(MID_Std,EurChart!$S28),NA())</f>
        <v>0.91248333400000003</v>
      </c>
      <c r="AK28" s="408">
        <f>IF(LEN($Z28)&gt;0,INDEX(MID_3M,EurChart!$T28),NA())</f>
        <v>0.81152931300000009</v>
      </c>
      <c r="AL28" s="408">
        <f>IF(LEN($Z28)&gt;0,INDEX(MID_6M,EurChart!$U28),NA())</f>
        <v>0.91248333400000003</v>
      </c>
      <c r="AM28" s="408">
        <f>IF(LEN($Z28)&gt;0,INDEX(MID_1Y,EurChart!$V28),NA())</f>
        <v>1.017136847</v>
      </c>
      <c r="AN28" s="408">
        <f>IF(LEN($Z28)&gt;0,INDEX(MID_1M,EurChart!$W28),"")</f>
        <v>0.70696389400000004</v>
      </c>
      <c r="AO28" s="408">
        <f>IF(LEN($Z28)&gt;0,INDEX(MID_OIS,EurChart!$X28),"")</f>
        <v>0.70400698500000003</v>
      </c>
    </row>
    <row r="29" spans="19:41">
      <c r="S29" s="336">
        <f t="shared" si="7"/>
        <v>31</v>
      </c>
      <c r="T29" s="336">
        <f t="shared" si="8"/>
        <v>37</v>
      </c>
      <c r="U29" s="336">
        <f t="shared" si="9"/>
        <v>41</v>
      </c>
      <c r="V29" s="336">
        <f t="shared" si="10"/>
        <v>40</v>
      </c>
      <c r="W29" s="336">
        <f t="shared" si="11"/>
        <v>37</v>
      </c>
      <c r="X29" s="336">
        <f t="shared" si="12"/>
        <v>42</v>
      </c>
      <c r="Y29" s="403"/>
      <c r="Z29" s="403" t="str">
        <v>14Y</v>
      </c>
      <c r="AB29" s="410">
        <f>IF(LEN(Z29)&gt;0,INDEX(BucketMaturity,EurChart!$S29),"")</f>
        <v>47809</v>
      </c>
      <c r="AC29" s="408">
        <f>IF(LEN($Z29)&gt;0,INDEX('eur disaggregated'!chg_bps_StdNoFut,EurChart!$S29),NA())</f>
        <v>6.8068860000000004</v>
      </c>
      <c r="AD29" s="408">
        <f>IF(LEN($Z29)&gt;0,INDEX('eur disaggregated'!chg_bps_3MnoFut,EurChart!$T29),NA())</f>
        <v>1.2698204999999962</v>
      </c>
      <c r="AE29" s="408">
        <f>IF(LEN($Z29)&gt;0,INDEX('eur disaggregated'!chg_bps_6M,EurChart!$U29),NA())</f>
        <v>1.1622859000000041</v>
      </c>
      <c r="AF29" s="408">
        <f>IF(LEN($Z29)&gt;0,INDEX('eur disaggregated'!chg_bps_1Y,EurChart!$V29),NA())</f>
        <v>1.1523280000000025</v>
      </c>
      <c r="AG29" s="408">
        <f>IF(LEN(Z29)&gt;0,INDEX('eur disaggregated'!chg_bps_1M,EurChart!$W29),"")</f>
        <v>1.2603311999999978</v>
      </c>
      <c r="AH29" s="408">
        <f>IF(LEN(Z29)&gt;0,INDEX('eur disaggregated'!chg_bps_OIS,EurChart!$X29),"")</f>
        <v>1.2977312999999935</v>
      </c>
      <c r="AJ29" s="408">
        <f>IF(LEN($Z29)&gt;0,INDEX(MID_Std,EurChart!$S29),NA())</f>
        <v>0.96917744100000003</v>
      </c>
      <c r="AK29" s="408">
        <f>IF(LEN($Z29)&gt;0,INDEX(MID_3M,EurChart!$T29),NA())</f>
        <v>0.87391950200000001</v>
      </c>
      <c r="AL29" s="408">
        <f>IF(LEN($Z29)&gt;0,INDEX(MID_6M,EurChart!$U29),NA())</f>
        <v>0.96917744100000003</v>
      </c>
      <c r="AM29" s="408">
        <f>IF(LEN($Z29)&gt;0,INDEX(MID_1Y,EurChart!$V29),NA())</f>
        <v>1.068621249</v>
      </c>
      <c r="AN29" s="408">
        <f>IF(LEN($Z29)&gt;0,INDEX(MID_1M,EurChart!$W29),"")</f>
        <v>0.771427961</v>
      </c>
      <c r="AO29" s="408">
        <f>IF(LEN($Z29)&gt;0,INDEX(MID_OIS,EurChart!$X29),"")</f>
        <v>0.76784660999999998</v>
      </c>
    </row>
    <row r="30" spans="19:41">
      <c r="S30" s="336">
        <f t="shared" si="7"/>
        <v>32</v>
      </c>
      <c r="T30" s="336">
        <f t="shared" si="8"/>
        <v>38</v>
      </c>
      <c r="U30" s="336">
        <f t="shared" si="9"/>
        <v>42</v>
      </c>
      <c r="V30" s="336">
        <f t="shared" si="10"/>
        <v>41</v>
      </c>
      <c r="W30" s="336">
        <f t="shared" si="11"/>
        <v>38</v>
      </c>
      <c r="X30" s="336">
        <f t="shared" si="12"/>
        <v>43</v>
      </c>
      <c r="Y30" s="403"/>
      <c r="Z30" s="403" t="str">
        <v>15Y</v>
      </c>
      <c r="AB30" s="410">
        <f>IF(LEN(Z30)&gt;0,INDEX(BucketMaturity,EurChart!$S30),"")</f>
        <v>48176</v>
      </c>
      <c r="AC30" s="408">
        <f>IF(LEN($Z30)&gt;0,INDEX('eur disaggregated'!chg_bps_StdNoFut,EurChart!$S30),NA())</f>
        <v>5.9445418000000139</v>
      </c>
      <c r="AD30" s="408">
        <f>IF(LEN($Z30)&gt;0,INDEX('eur disaggregated'!chg_bps_3MnoFut,EurChart!$T30),NA())</f>
        <v>1.3000000000000012</v>
      </c>
      <c r="AE30" s="408">
        <f>IF(LEN($Z30)&gt;0,INDEX('eur disaggregated'!chg_bps_6M,EurChart!$U30),NA())</f>
        <v>1.2000000000000233</v>
      </c>
      <c r="AF30" s="408">
        <f>IF(LEN($Z30)&gt;0,INDEX('eur disaggregated'!chg_bps_1Y,EurChart!$V30),NA())</f>
        <v>1.2000000000000011</v>
      </c>
      <c r="AG30" s="408">
        <f>IF(LEN(Z30)&gt;0,INDEX('eur disaggregated'!chg_bps_1M,EurChart!$W30),"")</f>
        <v>1.3000000000000123</v>
      </c>
      <c r="AH30" s="408">
        <f>IF(LEN(Z30)&gt;0,INDEX('eur disaggregated'!chg_bps_OIS,EurChart!$X30),"")</f>
        <v>1.4000000000000012</v>
      </c>
      <c r="AJ30" s="408">
        <f>IF(LEN($Z30)&gt;0,INDEX(MID_Std,EurChart!$S30),NA())</f>
        <v>1.0170000000000001</v>
      </c>
      <c r="AK30" s="408">
        <f>IF(LEN($Z30)&gt;0,INDEX(MID_3M,EurChart!$T30),NA())</f>
        <v>0.92700000000000005</v>
      </c>
      <c r="AL30" s="408">
        <f>IF(LEN($Z30)&gt;0,INDEX(MID_6M,EurChart!$U30),NA())</f>
        <v>1.0170000000000001</v>
      </c>
      <c r="AM30" s="408">
        <f>IF(LEN($Z30)&gt;0,INDEX(MID_1Y,EurChart!$V30),NA())</f>
        <v>1.1120000000000001</v>
      </c>
      <c r="AN30" s="408">
        <f>IF(LEN($Z30)&gt;0,INDEX(MID_1M,EurChart!$W30),"")</f>
        <v>0.82700000000000007</v>
      </c>
      <c r="AO30" s="408">
        <f>IF(LEN($Z30)&gt;0,INDEX(MID_OIS,EurChart!$X30),"")</f>
        <v>0.82300000000000006</v>
      </c>
    </row>
    <row r="31" spans="19:41">
      <c r="S31" s="336">
        <f t="shared" si="7"/>
        <v>33</v>
      </c>
      <c r="T31" s="336">
        <f t="shared" si="8"/>
        <v>39</v>
      </c>
      <c r="U31" s="336">
        <f t="shared" si="9"/>
        <v>43</v>
      </c>
      <c r="V31" s="336">
        <f t="shared" si="10"/>
        <v>42</v>
      </c>
      <c r="W31" s="336">
        <f t="shared" si="11"/>
        <v>39</v>
      </c>
      <c r="X31" s="336">
        <f t="shared" si="12"/>
        <v>44</v>
      </c>
      <c r="Y31" s="403"/>
      <c r="Z31" s="403" t="str">
        <v>16Y</v>
      </c>
      <c r="AB31" s="410">
        <f>IF(LEN(Z31)&gt;0,INDEX(BucketMaturity,EurChart!$S31),"")</f>
        <v>48540</v>
      </c>
      <c r="AC31" s="408">
        <f>IF(LEN($Z31)&gt;0,INDEX('eur disaggregated'!chg_bps_StdNoFut,EurChart!$S31),NA())</f>
        <v>5.123802700000013</v>
      </c>
      <c r="AD31" s="408">
        <f>IF(LEN($Z31)&gt;0,INDEX('eur disaggregated'!chg_bps_3MnoFut,EurChart!$T31),NA())</f>
        <v>1.3874162000000023</v>
      </c>
      <c r="AE31" s="408">
        <f>IF(LEN($Z31)&gt;0,INDEX('eur disaggregated'!chg_bps_6M,EurChart!$U31),NA())</f>
        <v>1.2069480000000077</v>
      </c>
      <c r="AF31" s="408">
        <f>IF(LEN($Z31)&gt;0,INDEX('eur disaggregated'!chg_bps_1Y,EurChart!$V31),NA())</f>
        <v>1.2155800000000161</v>
      </c>
      <c r="AG31" s="408">
        <f>IF(LEN(Z31)&gt;0,INDEX('eur disaggregated'!chg_bps_1M,EurChart!$W31),"")</f>
        <v>1.304610000000006</v>
      </c>
      <c r="AH31" s="408">
        <f>IF(LEN(Z31)&gt;0,INDEX('eur disaggregated'!chg_bps_OIS,EurChart!$X31),"")</f>
        <v>1.4405897000000056</v>
      </c>
      <c r="AJ31" s="408">
        <f>IF(LEN($Z31)&gt;0,INDEX(MID_Std,EurChart!$S31),NA())</f>
        <v>1.056238027</v>
      </c>
      <c r="AK31" s="408">
        <f>IF(LEN($Z31)&gt;0,INDEX(MID_3M,EurChart!$T31),NA())</f>
        <v>0.97089252999999998</v>
      </c>
      <c r="AL31" s="408">
        <f>IF(LEN($Z31)&gt;0,INDEX(MID_6M,EurChart!$U31),NA())</f>
        <v>1.056238027</v>
      </c>
      <c r="AM31" s="408">
        <f>IF(LEN($Z31)&gt;0,INDEX(MID_1Y,EurChart!$V31),NA())</f>
        <v>1.1473398620000002</v>
      </c>
      <c r="AN31" s="408">
        <f>IF(LEN($Z31)&gt;0,INDEX(MID_1M,EurChart!$W31),"")</f>
        <v>0.87354075800000008</v>
      </c>
      <c r="AO31" s="408">
        <f>IF(LEN($Z31)&gt;0,INDEX(MID_OIS,EurChart!$X31),"")</f>
        <v>0.86908227800000004</v>
      </c>
    </row>
    <row r="32" spans="19:41">
      <c r="S32" s="336">
        <f t="shared" si="7"/>
        <v>34</v>
      </c>
      <c r="T32" s="336">
        <f t="shared" si="8"/>
        <v>40</v>
      </c>
      <c r="U32" s="336">
        <f t="shared" si="9"/>
        <v>44</v>
      </c>
      <c r="V32" s="336">
        <f t="shared" si="10"/>
        <v>43</v>
      </c>
      <c r="W32" s="336">
        <f t="shared" si="11"/>
        <v>40</v>
      </c>
      <c r="X32" s="336">
        <f t="shared" si="12"/>
        <v>45</v>
      </c>
      <c r="Y32" s="403"/>
      <c r="Z32" s="403" t="str">
        <v>17Y</v>
      </c>
      <c r="AB32" s="410">
        <f>IF(LEN(Z32)&gt;0,INDEX(BucketMaturity,EurChart!$S32),"")</f>
        <v>48905</v>
      </c>
      <c r="AC32" s="408">
        <f>IF(LEN($Z32)&gt;0,INDEX('eur disaggregated'!chg_bps_StdNoFut,EurChart!$S32),NA())</f>
        <v>4.3848169000000103</v>
      </c>
      <c r="AD32" s="408">
        <f>IF(LEN($Z32)&gt;0,INDEX('eur disaggregated'!chg_bps_3MnoFut,EurChart!$T32),NA())</f>
        <v>1.3095052000000051</v>
      </c>
      <c r="AE32" s="408">
        <f>IF(LEN($Z32)&gt;0,INDEX('eur disaggregated'!chg_bps_6M,EurChart!$U32),NA())</f>
        <v>1.2499181999999998</v>
      </c>
      <c r="AF32" s="408">
        <f>IF(LEN($Z32)&gt;0,INDEX('eur disaggregated'!chg_bps_1Y,EurChart!$V32),NA())</f>
        <v>1.258924699999997</v>
      </c>
      <c r="AG32" s="408">
        <f>IF(LEN(Z32)&gt;0,INDEX('eur disaggregated'!chg_bps_1M,EurChart!$W32),"")</f>
        <v>1.3514656000000125</v>
      </c>
      <c r="AH32" s="408">
        <f>IF(LEN(Z32)&gt;0,INDEX('eur disaggregated'!chg_bps_OIS,EurChart!$X32),"")</f>
        <v>1.4969400000000022</v>
      </c>
      <c r="AJ32" s="408">
        <f>IF(LEN($Z32)&gt;0,INDEX(MID_Std,EurChart!$S32),NA())</f>
        <v>1.0880167160000001</v>
      </c>
      <c r="AK32" s="408">
        <f>IF(LEN($Z32)&gt;0,INDEX(MID_3M,EurChart!$T32),NA())</f>
        <v>1.006846275</v>
      </c>
      <c r="AL32" s="408">
        <f>IF(LEN($Z32)&gt;0,INDEX(MID_6M,EurChart!$U32),NA())</f>
        <v>1.0880167160000001</v>
      </c>
      <c r="AM32" s="408">
        <f>IF(LEN($Z32)&gt;0,INDEX(MID_1Y,EurChart!$V32),NA())</f>
        <v>1.175596181</v>
      </c>
      <c r="AN32" s="408">
        <f>IF(LEN($Z32)&gt;0,INDEX(MID_1M,EurChart!$W32),"")</f>
        <v>0.91223364700000009</v>
      </c>
      <c r="AO32" s="408">
        <f>IF(LEN($Z32)&gt;0,INDEX(MID_OIS,EurChart!$X32),"")</f>
        <v>0.90753701900000006</v>
      </c>
    </row>
    <row r="33" spans="19:41">
      <c r="S33" s="336">
        <f t="shared" si="7"/>
        <v>35</v>
      </c>
      <c r="T33" s="336">
        <f t="shared" si="8"/>
        <v>41</v>
      </c>
      <c r="U33" s="336">
        <f t="shared" si="9"/>
        <v>45</v>
      </c>
      <c r="V33" s="336">
        <f t="shared" si="10"/>
        <v>44</v>
      </c>
      <c r="W33" s="336">
        <f t="shared" si="11"/>
        <v>41</v>
      </c>
      <c r="X33" s="336">
        <f t="shared" si="12"/>
        <v>46</v>
      </c>
      <c r="Y33" s="403"/>
      <c r="Z33" s="403" t="str">
        <v>18Y</v>
      </c>
      <c r="AB33" s="410">
        <f>IF(LEN(Z33)&gt;0,INDEX(BucketMaturity,EurChart!$S33),"")</f>
        <v>49270</v>
      </c>
      <c r="AC33" s="408">
        <f>IF(LEN($Z33)&gt;0,INDEX('eur disaggregated'!chg_bps_StdNoFut,EurChart!$S33),NA())</f>
        <v>3.786932799999998</v>
      </c>
      <c r="AD33" s="408">
        <f>IF(LEN($Z33)&gt;0,INDEX('eur disaggregated'!chg_bps_3MnoFut,EurChart!$T33),NA())</f>
        <v>1.3226345000000084</v>
      </c>
      <c r="AE33" s="408">
        <f>IF(LEN($Z33)&gt;0,INDEX('eur disaggregated'!chg_bps_6M,EurChart!$U33),NA())</f>
        <v>1.2874618999999976</v>
      </c>
      <c r="AF33" s="408">
        <f>IF(LEN($Z33)&gt;0,INDEX('eur disaggregated'!chg_bps_1Y,EurChart!$V33),NA())</f>
        <v>1.2952391000000008</v>
      </c>
      <c r="AG33" s="408">
        <f>IF(LEN(Z33)&gt;0,INDEX('eur disaggregated'!chg_bps_1M,EurChart!$W33),"")</f>
        <v>1.3886858999999974</v>
      </c>
      <c r="AH33" s="408">
        <f>IF(LEN(Z33)&gt;0,INDEX('eur disaggregated'!chg_bps_OIS,EurChart!$X33),"")</f>
        <v>1.5252926000000055</v>
      </c>
      <c r="AJ33" s="408">
        <f>IF(LEN($Z33)&gt;0,INDEX(MID_Std,EurChart!$S33),NA())</f>
        <v>1.113386862</v>
      </c>
      <c r="AK33" s="408">
        <f>IF(LEN($Z33)&gt;0,INDEX(MID_3M,EurChart!$T33),NA())</f>
        <v>1.035952159</v>
      </c>
      <c r="AL33" s="408">
        <f>IF(LEN($Z33)&gt;0,INDEX(MID_6M,EurChart!$U33),NA())</f>
        <v>1.113386862</v>
      </c>
      <c r="AM33" s="408">
        <f>IF(LEN($Z33)&gt;0,INDEX(MID_1Y,EurChart!$V33),NA())</f>
        <v>1.1978043700000001</v>
      </c>
      <c r="AN33" s="408">
        <f>IF(LEN($Z33)&gt;0,INDEX(MID_1M,EurChart!$W33),"")</f>
        <v>0.94404319800000003</v>
      </c>
      <c r="AO33" s="408">
        <f>IF(LEN($Z33)&gt;0,INDEX(MID_OIS,EurChart!$X33),"")</f>
        <v>0.93919380500000005</v>
      </c>
    </row>
    <row r="34" spans="19:41">
      <c r="S34" s="336">
        <f t="shared" si="7"/>
        <v>36</v>
      </c>
      <c r="T34" s="336">
        <f t="shared" si="8"/>
        <v>42</v>
      </c>
      <c r="U34" s="336">
        <f t="shared" si="9"/>
        <v>46</v>
      </c>
      <c r="V34" s="336">
        <f t="shared" si="10"/>
        <v>45</v>
      </c>
      <c r="W34" s="336">
        <f t="shared" si="11"/>
        <v>42</v>
      </c>
      <c r="X34" s="336">
        <f t="shared" si="12"/>
        <v>47</v>
      </c>
      <c r="Y34" s="403"/>
      <c r="Z34" s="403" t="str">
        <v>19Y</v>
      </c>
      <c r="AB34" s="410">
        <f>IF(LEN(Z34)&gt;0,INDEX(BucketMaturity,EurChart!$S34),"")</f>
        <v>49635</v>
      </c>
      <c r="AC34" s="408">
        <f>IF(LEN($Z34)&gt;0,INDEX('eur disaggregated'!chg_bps_StdNoFut,EurChart!$S34),NA())</f>
        <v>3.2805820000000097</v>
      </c>
      <c r="AD34" s="408">
        <f>IF(LEN($Z34)&gt;0,INDEX('eur disaggregated'!chg_bps_3MnoFut,EurChart!$T34),NA())</f>
        <v>1.3594163000000048</v>
      </c>
      <c r="AE34" s="408">
        <f>IF(LEN($Z34)&gt;0,INDEX('eur disaggregated'!chg_bps_6M,EurChart!$U34),NA())</f>
        <v>1.34433570000001</v>
      </c>
      <c r="AF34" s="408">
        <f>IF(LEN($Z34)&gt;0,INDEX('eur disaggregated'!chg_bps_1Y,EurChart!$V34),NA())</f>
        <v>1.3477941000000104</v>
      </c>
      <c r="AG34" s="408">
        <f>IF(LEN(Z34)&gt;0,INDEX('eur disaggregated'!chg_bps_1M,EurChart!$W34),"")</f>
        <v>1.4468641000000004</v>
      </c>
      <c r="AH34" s="408">
        <f>IF(LEN(Z34)&gt;0,INDEX('eur disaggregated'!chg_bps_OIS,EurChart!$X34),"")</f>
        <v>1.5656285000000159</v>
      </c>
      <c r="AJ34" s="408">
        <f>IF(LEN($Z34)&gt;0,INDEX(MID_Std,EurChart!$S34),NA())</f>
        <v>1.1333180630000002</v>
      </c>
      <c r="AK34" s="408">
        <f>IF(LEN($Z34)&gt;0,INDEX(MID_3M,EurChart!$T34),NA())</f>
        <v>1.059246618</v>
      </c>
      <c r="AL34" s="408">
        <f>IF(LEN($Z34)&gt;0,INDEX(MID_6M,EurChart!$U34),NA())</f>
        <v>1.1333180630000002</v>
      </c>
      <c r="AM34" s="408">
        <f>IF(LEN($Z34)&gt;0,INDEX(MID_1Y,EurChart!$V34),NA())</f>
        <v>1.2148926760000001</v>
      </c>
      <c r="AN34" s="408">
        <f>IF(LEN($Z34)&gt;0,INDEX(MID_1M,EurChart!$W34),"")</f>
        <v>0.96990550100000006</v>
      </c>
      <c r="AO34" s="408">
        <f>IF(LEN($Z34)&gt;0,INDEX(MID_OIS,EurChart!$X34),"")</f>
        <v>0.96499198300000011</v>
      </c>
    </row>
    <row r="35" spans="19:41">
      <c r="S35" s="336">
        <f t="shared" si="7"/>
        <v>37</v>
      </c>
      <c r="T35" s="336">
        <f t="shared" si="8"/>
        <v>43</v>
      </c>
      <c r="U35" s="336">
        <f t="shared" si="9"/>
        <v>47</v>
      </c>
      <c r="V35" s="336">
        <f t="shared" si="10"/>
        <v>46</v>
      </c>
      <c r="W35" s="336">
        <f t="shared" si="11"/>
        <v>43</v>
      </c>
      <c r="X35" s="336">
        <f t="shared" si="12"/>
        <v>48</v>
      </c>
      <c r="Y35" s="403"/>
      <c r="Z35" s="403" t="str">
        <v>20Y</v>
      </c>
      <c r="AB35" s="410">
        <f>IF(LEN(Z35)&gt;0,INDEX(BucketMaturity,EurChart!$S35),"")</f>
        <v>50003</v>
      </c>
      <c r="AC35" s="408">
        <f>IF(LEN($Z35)&gt;0,INDEX('eur disaggregated'!chg_bps_StdNoFut,EurChart!$S35),NA())</f>
        <v>2.9125293999999968</v>
      </c>
      <c r="AD35" s="408">
        <f>IF(LEN($Z35)&gt;0,INDEX('eur disaggregated'!chg_bps_3MnoFut,EurChart!$T35),NA())</f>
        <v>1.4000000000000012</v>
      </c>
      <c r="AE35" s="408">
        <f>IF(LEN($Z35)&gt;0,INDEX('eur disaggregated'!chg_bps_6M,EurChart!$U35),NA())</f>
        <v>1.4000000000000012</v>
      </c>
      <c r="AF35" s="408">
        <f>IF(LEN($Z35)&gt;0,INDEX('eur disaggregated'!chg_bps_1Y,EurChart!$V35),NA())</f>
        <v>1.4000000000000012</v>
      </c>
      <c r="AG35" s="408">
        <f>IF(LEN(Z35)&gt;0,INDEX('eur disaggregated'!chg_bps_1M,EurChart!$W35),"")</f>
        <v>1.5000000000000013</v>
      </c>
      <c r="AH35" s="408">
        <f>IF(LEN(Z35)&gt;0,INDEX('eur disaggregated'!chg_bps_OIS,EurChart!$X35),"")</f>
        <v>1.6000000000000014</v>
      </c>
      <c r="AJ35" s="408">
        <f>IF(LEN($Z35)&gt;0,INDEX(MID_Std,EurChart!$S35),NA())</f>
        <v>1.149</v>
      </c>
      <c r="AK35" s="408">
        <f>IF(LEN($Z35)&gt;0,INDEX(MID_3M,EurChart!$T35),NA())</f>
        <v>1.0780000000000001</v>
      </c>
      <c r="AL35" s="408">
        <f>IF(LEN($Z35)&gt;0,INDEX(MID_6M,EurChart!$U35),NA())</f>
        <v>1.149</v>
      </c>
      <c r="AM35" s="408">
        <f>IF(LEN($Z35)&gt;0,INDEX(MID_1Y,EurChart!$V35),NA())</f>
        <v>1.228</v>
      </c>
      <c r="AN35" s="408">
        <f>IF(LEN($Z35)&gt;0,INDEX(MID_1M,EurChart!$W35),"")</f>
        <v>0.99099999999999999</v>
      </c>
      <c r="AO35" s="408">
        <f>IF(LEN($Z35)&gt;0,INDEX(MID_OIS,EurChart!$X35),"")</f>
        <v>0.98599999999999999</v>
      </c>
    </row>
    <row r="36" spans="19:41">
      <c r="S36" s="336">
        <f t="shared" si="7"/>
        <v>38</v>
      </c>
      <c r="T36" s="336">
        <f t="shared" si="8"/>
        <v>44</v>
      </c>
      <c r="U36" s="336">
        <f t="shared" si="9"/>
        <v>48</v>
      </c>
      <c r="V36" s="336">
        <f t="shared" si="10"/>
        <v>47</v>
      </c>
      <c r="W36" s="336">
        <f t="shared" si="11"/>
        <v>44</v>
      </c>
      <c r="X36" s="336">
        <f t="shared" si="12"/>
        <v>49</v>
      </c>
      <c r="Y36" s="403"/>
      <c r="Z36" s="403" t="str">
        <v>21Y</v>
      </c>
      <c r="AB36" s="410">
        <f>IF(LEN(Z36)&gt;0,INDEX(BucketMaturity,EurChart!$S36),"")</f>
        <v>50367</v>
      </c>
      <c r="AC36" s="408">
        <f>IF(LEN($Z36)&gt;0,INDEX('eur disaggregated'!chg_bps_StdNoFut,EurChart!$S36),NA())</f>
        <v>2.5757542000000022</v>
      </c>
      <c r="AD36" s="408">
        <f>IF(LEN($Z36)&gt;0,INDEX('eur disaggregated'!chg_bps_3MnoFut,EurChart!$T36),NA())</f>
        <v>1.4159267000000142</v>
      </c>
      <c r="AE36" s="408">
        <f>IF(LEN($Z36)&gt;0,INDEX('eur disaggregated'!chg_bps_6M,EurChart!$U36),NA())</f>
        <v>1.4286519000000109</v>
      </c>
      <c r="AF36" s="408">
        <f>IF(LEN($Z36)&gt;0,INDEX('eur disaggregated'!chg_bps_1Y,EurChart!$V36),NA())</f>
        <v>1.4317002999999939</v>
      </c>
      <c r="AG36" s="408">
        <f>IF(LEN(Z36)&gt;0,INDEX('eur disaggregated'!chg_bps_1M,EurChart!$W36),"")</f>
        <v>1.5120656000000121</v>
      </c>
      <c r="AH36" s="408">
        <f>IF(LEN(Z36)&gt;0,INDEX('eur disaggregated'!chg_bps_OIS,EurChart!$X36),"")</f>
        <v>1.5984339000000181</v>
      </c>
      <c r="AJ36" s="408">
        <f>IF(LEN($Z36)&gt;0,INDEX(MID_Std,EurChart!$S36),NA())</f>
        <v>1.160757542</v>
      </c>
      <c r="AK36" s="408">
        <f>IF(LEN($Z36)&gt;0,INDEX(MID_3M,EurChart!$T36),NA())</f>
        <v>1.0925542560000001</v>
      </c>
      <c r="AL36" s="408">
        <f>IF(LEN($Z36)&gt;0,INDEX(MID_6M,EurChart!$U36),NA())</f>
        <v>1.160757542</v>
      </c>
      <c r="AM36" s="408">
        <f>IF(LEN($Z36)&gt;0,INDEX(MID_1Y,EurChart!$V36),NA())</f>
        <v>1.237440104</v>
      </c>
      <c r="AN36" s="408">
        <f>IF(LEN($Z36)&gt;0,INDEX(MID_1M,EurChart!$W36),"")</f>
        <v>1.0075749920000001</v>
      </c>
      <c r="AO36" s="408">
        <f>IF(LEN($Z36)&gt;0,INDEX(MID_OIS,EurChart!$X36),"")</f>
        <v>1.0026954190000001</v>
      </c>
    </row>
    <row r="37" spans="19:41">
      <c r="S37" s="336">
        <f t="shared" si="7"/>
        <v>39</v>
      </c>
      <c r="T37" s="336">
        <f t="shared" si="8"/>
        <v>45</v>
      </c>
      <c r="U37" s="336">
        <f t="shared" si="9"/>
        <v>49</v>
      </c>
      <c r="V37" s="336">
        <f t="shared" si="10"/>
        <v>48</v>
      </c>
      <c r="W37" s="336">
        <f t="shared" si="11"/>
        <v>45</v>
      </c>
      <c r="X37" s="336">
        <f t="shared" si="12"/>
        <v>50</v>
      </c>
      <c r="Y37" s="403"/>
      <c r="Z37" s="403" t="str">
        <v>22Y</v>
      </c>
      <c r="AB37" s="410">
        <f>IF(LEN(Z37)&gt;0,INDEX(BucketMaturity,EurChart!$S37),"")</f>
        <v>50731</v>
      </c>
      <c r="AC37" s="408">
        <f>IF(LEN($Z37)&gt;0,INDEX('eur disaggregated'!chg_bps_StdNoFut,EurChart!$S37),NA())</f>
        <v>2.3131807000000171</v>
      </c>
      <c r="AD37" s="408">
        <f>IF(LEN($Z37)&gt;0,INDEX('eur disaggregated'!chg_bps_3MnoFut,EurChart!$T37),NA())</f>
        <v>1.4310229000000119</v>
      </c>
      <c r="AE37" s="408">
        <f>IF(LEN($Z37)&gt;0,INDEX('eur disaggregated'!chg_bps_6M,EurChart!$U37),NA())</f>
        <v>1.4502273000000176</v>
      </c>
      <c r="AF37" s="408">
        <f>IF(LEN($Z37)&gt;0,INDEX('eur disaggregated'!chg_bps_1Y,EurChart!$V37),NA())</f>
        <v>1.4578329000000112</v>
      </c>
      <c r="AG37" s="408">
        <f>IF(LEN(Z37)&gt;0,INDEX('eur disaggregated'!chg_bps_1M,EurChart!$W37),"")</f>
        <v>1.5117035000000056</v>
      </c>
      <c r="AH37" s="408">
        <f>IF(LEN(Z37)&gt;0,INDEX('eur disaggregated'!chg_bps_OIS,EurChart!$X37),"")</f>
        <v>1.4913222000000115</v>
      </c>
      <c r="AJ37" s="408">
        <f>IF(LEN($Z37)&gt;0,INDEX(MID_Std,EurChart!$S37),NA())</f>
        <v>1.1696028300000001</v>
      </c>
      <c r="AK37" s="408">
        <f>IF(LEN($Z37)&gt;0,INDEX(MID_3M,EurChart!$T37),NA())</f>
        <v>1.1039757320000001</v>
      </c>
      <c r="AL37" s="408">
        <f>IF(LEN($Z37)&gt;0,INDEX(MID_6M,EurChart!$U37),NA())</f>
        <v>1.1696028300000001</v>
      </c>
      <c r="AM37" s="408">
        <f>IF(LEN($Z37)&gt;0,INDEX(MID_1Y,EurChart!$V37),NA())</f>
        <v>1.2441663220000001</v>
      </c>
      <c r="AN37" s="408">
        <f>IF(LEN($Z37)&gt;0,INDEX(MID_1M,EurChart!$W37),"")</f>
        <v>1.0207472180000001</v>
      </c>
      <c r="AO37" s="408">
        <f>IF(LEN($Z37)&gt;0,INDEX(MID_OIS,EurChart!$X37),"")</f>
        <v>1.0160598250000001</v>
      </c>
    </row>
    <row r="38" spans="19:41">
      <c r="S38" s="336">
        <f t="shared" si="7"/>
        <v>40</v>
      </c>
      <c r="T38" s="336">
        <f t="shared" si="8"/>
        <v>46</v>
      </c>
      <c r="U38" s="336">
        <f t="shared" si="9"/>
        <v>50</v>
      </c>
      <c r="V38" s="336">
        <f t="shared" si="10"/>
        <v>49</v>
      </c>
      <c r="W38" s="336">
        <f t="shared" si="11"/>
        <v>46</v>
      </c>
      <c r="X38" s="336">
        <f t="shared" si="12"/>
        <v>51</v>
      </c>
      <c r="Y38" s="403"/>
      <c r="Z38" s="403" t="str">
        <v>23Y</v>
      </c>
      <c r="AB38" s="410">
        <f>IF(LEN(Z38)&gt;0,INDEX(BucketMaturity,EurChart!$S38),"")</f>
        <v>51096</v>
      </c>
      <c r="AC38" s="408">
        <f>IF(LEN($Z38)&gt;0,INDEX('eur disaggregated'!chg_bps_StdNoFut,EurChart!$S38),NA())</f>
        <v>2.1074326000000143</v>
      </c>
      <c r="AD38" s="408">
        <f>IF(LEN($Z38)&gt;0,INDEX('eur disaggregated'!chg_bps_3MnoFut,EurChart!$T38),NA())</f>
        <v>1.4498228000000113</v>
      </c>
      <c r="AE38" s="408">
        <f>IF(LEN($Z38)&gt;0,INDEX('eur disaggregated'!chg_bps_6M,EurChart!$U38),NA())</f>
        <v>1.468679500000003</v>
      </c>
      <c r="AF38" s="408">
        <f>IF(LEN($Z38)&gt;0,INDEX('eur disaggregated'!chg_bps_1Y,EurChart!$V38),NA())</f>
        <v>1.4789208999999914</v>
      </c>
      <c r="AG38" s="408">
        <f>IF(LEN(Z38)&gt;0,INDEX('eur disaggregated'!chg_bps_1M,EurChart!$W38),"")</f>
        <v>1.5073086000000124</v>
      </c>
      <c r="AH38" s="408">
        <f>IF(LEN(Z38)&gt;0,INDEX('eur disaggregated'!chg_bps_OIS,EurChart!$X38),"")</f>
        <v>1.4871545000000097</v>
      </c>
      <c r="AJ38" s="408">
        <f>IF(LEN($Z38)&gt;0,INDEX(MID_Std,EurChart!$S38),NA())</f>
        <v>1.1761748830000001</v>
      </c>
      <c r="AK38" s="408">
        <f>IF(LEN($Z38)&gt;0,INDEX(MID_3M,EurChart!$T38),NA())</f>
        <v>1.1129306330000002</v>
      </c>
      <c r="AL38" s="408">
        <f>IF(LEN($Z38)&gt;0,INDEX(MID_6M,EurChart!$U38),NA())</f>
        <v>1.1761748830000001</v>
      </c>
      <c r="AM38" s="408">
        <f>IF(LEN($Z38)&gt;0,INDEX(MID_1Y,EurChart!$V38),NA())</f>
        <v>1.248773637</v>
      </c>
      <c r="AN38" s="408">
        <f>IF(LEN($Z38)&gt;0,INDEX(MID_1M,EurChart!$W38),"")</f>
        <v>1.0312464020000001</v>
      </c>
      <c r="AO38" s="408">
        <f>IF(LEN($Z38)&gt;0,INDEX(MID_OIS,EurChart!$X38),"")</f>
        <v>1.0268020600000001</v>
      </c>
    </row>
    <row r="39" spans="19:41">
      <c r="S39" s="336">
        <f t="shared" si="7"/>
        <v>41</v>
      </c>
      <c r="T39" s="336">
        <f t="shared" si="8"/>
        <v>47</v>
      </c>
      <c r="U39" s="336">
        <f t="shared" si="9"/>
        <v>51</v>
      </c>
      <c r="V39" s="336">
        <f t="shared" si="10"/>
        <v>50</v>
      </c>
      <c r="W39" s="336">
        <f t="shared" si="11"/>
        <v>47</v>
      </c>
      <c r="X39" s="336">
        <f t="shared" si="12"/>
        <v>52</v>
      </c>
      <c r="Y39" s="403"/>
      <c r="Z39" s="403" t="str">
        <v>24Y</v>
      </c>
      <c r="AB39" s="410">
        <f>IF(LEN(Z39)&gt;0,INDEX(BucketMaturity,EurChart!$S39),"")</f>
        <v>51462</v>
      </c>
      <c r="AC39" s="408">
        <f>IF(LEN($Z39)&gt;0,INDEX('eur disaggregated'!chg_bps_StdNoFut,EurChart!$S39),NA())</f>
        <v>1.9703049000000084</v>
      </c>
      <c r="AD39" s="408">
        <f>IF(LEN($Z39)&gt;0,INDEX('eur disaggregated'!chg_bps_3MnoFut,EurChart!$T39),NA())</f>
        <v>1.4703831000000056</v>
      </c>
      <c r="AE39" s="408">
        <f>IF(LEN($Z39)&gt;0,INDEX('eur disaggregated'!chg_bps_6M,EurChart!$U39),NA())</f>
        <v>1.4833739000000179</v>
      </c>
      <c r="AF39" s="408">
        <f>IF(LEN($Z39)&gt;0,INDEX('eur disaggregated'!chg_bps_1Y,EurChart!$V39),NA())</f>
        <v>1.4925134999999923</v>
      </c>
      <c r="AG39" s="408">
        <f>IF(LEN(Z39)&gt;0,INDEX('eur disaggregated'!chg_bps_1M,EurChart!$W39),"")</f>
        <v>1.4993398000000102</v>
      </c>
      <c r="AH39" s="408">
        <f>IF(LEN(Z39)&gt;0,INDEX('eur disaggregated'!chg_bps_OIS,EurChart!$X39),"")</f>
        <v>1.5857698999999892</v>
      </c>
      <c r="AJ39" s="408">
        <f>IF(LEN($Z39)&gt;0,INDEX(MID_Std,EurChart!$S39),NA())</f>
        <v>1.1811911370000001</v>
      </c>
      <c r="AK39" s="408">
        <f>IF(LEN($Z39)&gt;0,INDEX(MID_3M,EurChart!$T39),NA())</f>
        <v>1.120149227</v>
      </c>
      <c r="AL39" s="408">
        <f>IF(LEN($Z39)&gt;0,INDEX(MID_6M,EurChart!$U39),NA())</f>
        <v>1.1811911370000001</v>
      </c>
      <c r="AM39" s="408">
        <f>IF(LEN($Z39)&gt;0,INDEX(MID_1Y,EurChart!$V39),NA())</f>
        <v>1.251949306</v>
      </c>
      <c r="AN39" s="408">
        <f>IF(LEN($Z39)&gt;0,INDEX(MID_1M,EurChart!$W39),"")</f>
        <v>1.0398523320000002</v>
      </c>
      <c r="AO39" s="408">
        <f>IF(LEN($Z39)&gt;0,INDEX(MID_OIS,EurChart!$X39),"")</f>
        <v>1.035577118</v>
      </c>
    </row>
    <row r="40" spans="19:41">
      <c r="S40" s="336">
        <f t="shared" si="7"/>
        <v>42</v>
      </c>
      <c r="T40" s="336">
        <f t="shared" si="8"/>
        <v>48</v>
      </c>
      <c r="U40" s="336">
        <f t="shared" si="9"/>
        <v>52</v>
      </c>
      <c r="V40" s="336">
        <f t="shared" si="10"/>
        <v>51</v>
      </c>
      <c r="W40" s="336">
        <f t="shared" si="11"/>
        <v>48</v>
      </c>
      <c r="X40" s="336">
        <f t="shared" si="12"/>
        <v>53</v>
      </c>
      <c r="Y40" s="403"/>
      <c r="Z40" s="403" t="str">
        <v>25Y</v>
      </c>
      <c r="AB40" s="410">
        <f>IF(LEN(Z40)&gt;0,INDEX(BucketMaturity,EurChart!$S40),"")</f>
        <v>51827</v>
      </c>
      <c r="AC40" s="408">
        <f>IF(LEN($Z40)&gt;0,INDEX('eur disaggregated'!chg_bps_StdNoFut,EurChart!$S40),NA())</f>
        <v>1.8642602000000119</v>
      </c>
      <c r="AD40" s="408">
        <f>IF(LEN($Z40)&gt;0,INDEX('eur disaggregated'!chg_bps_3MnoFut,EurChart!$T40),NA())</f>
        <v>1.5000000000000124</v>
      </c>
      <c r="AE40" s="408">
        <f>IF(LEN($Z40)&gt;0,INDEX('eur disaggregated'!chg_bps_6M,EurChart!$U40),NA())</f>
        <v>1.5000000000000124</v>
      </c>
      <c r="AF40" s="408">
        <f>IF(LEN($Z40)&gt;0,INDEX('eur disaggregated'!chg_bps_1Y,EurChart!$V40),NA())</f>
        <v>1.4999999999999902</v>
      </c>
      <c r="AG40" s="408">
        <f>IF(LEN(Z40)&gt;0,INDEX('eur disaggregated'!chg_bps_1M,EurChart!$W40),"")</f>
        <v>1.4999999999999902</v>
      </c>
      <c r="AH40" s="408">
        <f>IF(LEN(Z40)&gt;0,INDEX('eur disaggregated'!chg_bps_OIS,EurChart!$X40),"")</f>
        <v>1.6000000000000014</v>
      </c>
      <c r="AJ40" s="408">
        <f>IF(LEN($Z40)&gt;0,INDEX(MID_Std,EurChart!$S40),NA())</f>
        <v>1.1850000000000001</v>
      </c>
      <c r="AK40" s="408">
        <f>IF(LEN($Z40)&gt;0,INDEX(MID_3M,EurChart!$T40),NA())</f>
        <v>1.1260000000000001</v>
      </c>
      <c r="AL40" s="408">
        <f>IF(LEN($Z40)&gt;0,INDEX(MID_6M,EurChart!$U40),NA())</f>
        <v>1.1850000000000001</v>
      </c>
      <c r="AM40" s="408">
        <f>IF(LEN($Z40)&gt;0,INDEX(MID_1Y,EurChart!$V40),NA())</f>
        <v>1.254</v>
      </c>
      <c r="AN40" s="408">
        <f>IF(LEN($Z40)&gt;0,INDEX(MID_1M,EurChart!$W40),"")</f>
        <v>1.0469999999999999</v>
      </c>
      <c r="AO40" s="408">
        <f>IF(LEN($Z40)&gt;0,INDEX(MID_OIS,EurChart!$X40),"")</f>
        <v>1.0429999999999999</v>
      </c>
    </row>
    <row r="41" spans="19:41">
      <c r="S41" s="336">
        <f t="shared" si="7"/>
        <v>43</v>
      </c>
      <c r="T41" s="336">
        <f t="shared" si="8"/>
        <v>49</v>
      </c>
      <c r="U41" s="336">
        <f t="shared" si="9"/>
        <v>53</v>
      </c>
      <c r="V41" s="336">
        <f t="shared" si="10"/>
        <v>52</v>
      </c>
      <c r="W41" s="336">
        <f t="shared" si="11"/>
        <v>49</v>
      </c>
      <c r="X41" s="336">
        <f t="shared" si="12"/>
        <v>54</v>
      </c>
      <c r="Y41" s="403"/>
      <c r="Z41" s="403" t="str">
        <v>26Y</v>
      </c>
      <c r="AB41" s="410">
        <f>IF(LEN(Z41)&gt;0,INDEX(BucketMaturity,EurChart!$S41),"")</f>
        <v>52194</v>
      </c>
      <c r="AC41" s="408">
        <f>IF(LEN($Z41)&gt;0,INDEX('eur disaggregated'!chg_bps_StdNoFut,EurChart!$S41),NA())</f>
        <v>1.8245798000000146</v>
      </c>
      <c r="AD41" s="408">
        <f>IF(LEN($Z41)&gt;0,INDEX('eur disaggregated'!chg_bps_3MnoFut,EurChart!$T41),NA())</f>
        <v>1.5383373000000145</v>
      </c>
      <c r="AE41" s="408">
        <f>IF(LEN($Z41)&gt;0,INDEX('eur disaggregated'!chg_bps_6M,EurChart!$U41),NA())</f>
        <v>1.5193163000000176</v>
      </c>
      <c r="AF41" s="408">
        <f>IF(LEN($Z41)&gt;0,INDEX('eur disaggregated'!chg_bps_1Y,EurChart!$V41),NA())</f>
        <v>1.5010476000000272</v>
      </c>
      <c r="AG41" s="408">
        <f>IF(LEN(Z41)&gt;0,INDEX('eur disaggregated'!chg_bps_1M,EurChart!$W41),"")</f>
        <v>1.5111948000000153</v>
      </c>
      <c r="AH41" s="408">
        <f>IF(LEN(Z41)&gt;0,INDEX('eur disaggregated'!chg_bps_OIS,EurChart!$X41),"")</f>
        <v>1.6308534999999846</v>
      </c>
      <c r="AJ41" s="408">
        <f>IF(LEN($Z41)&gt;0,INDEX(MID_Std,EurChart!$S41),NA())</f>
        <v>1.1882457980000001</v>
      </c>
      <c r="AK41" s="408">
        <f>IF(LEN($Z41)&gt;0,INDEX(MID_3M,EurChart!$T41),NA())</f>
        <v>1.1311609710000001</v>
      </c>
      <c r="AL41" s="408">
        <f>IF(LEN($Z41)&gt;0,INDEX(MID_6M,EurChart!$U41),NA())</f>
        <v>1.1882457980000001</v>
      </c>
      <c r="AM41" s="408">
        <f>IF(LEN($Z41)&gt;0,INDEX(MID_1Y,EurChart!$V41),NA())</f>
        <v>1.2555407980000002</v>
      </c>
      <c r="AN41" s="408">
        <f>IF(LEN($Z41)&gt;0,INDEX(MID_1M,EurChart!$W41),"")</f>
        <v>1.0534187500000001</v>
      </c>
      <c r="AO41" s="408">
        <f>IF(LEN($Z41)&gt;0,INDEX(MID_OIS,EurChart!$X41),"")</f>
        <v>1.0496823399999999</v>
      </c>
    </row>
    <row r="42" spans="19:41">
      <c r="S42" s="336">
        <f t="shared" si="7"/>
        <v>44</v>
      </c>
      <c r="T42" s="336">
        <f t="shared" si="8"/>
        <v>50</v>
      </c>
      <c r="U42" s="336">
        <f t="shared" si="9"/>
        <v>54</v>
      </c>
      <c r="V42" s="336">
        <f t="shared" si="10"/>
        <v>53</v>
      </c>
      <c r="W42" s="336">
        <f t="shared" si="11"/>
        <v>50</v>
      </c>
      <c r="X42" s="336">
        <f t="shared" si="12"/>
        <v>55</v>
      </c>
      <c r="Y42" s="403"/>
      <c r="Z42" s="403" t="str">
        <v>27Y</v>
      </c>
      <c r="AB42" s="410">
        <f>IF(LEN(Z42)&gt;0,INDEX(BucketMaturity,EurChart!$S42),"")</f>
        <v>52558</v>
      </c>
      <c r="AC42" s="408">
        <f>IF(LEN($Z42)&gt;0,INDEX('eur disaggregated'!chg_bps_StdNoFut,EurChart!$S42),NA())</f>
        <v>1.791587100000025</v>
      </c>
      <c r="AD42" s="408">
        <f>IF(LEN($Z42)&gt;0,INDEX('eur disaggregated'!chg_bps_3MnoFut,EurChart!$T42),NA())</f>
        <v>1.5782160999999961</v>
      </c>
      <c r="AE42" s="408">
        <f>IF(LEN($Z42)&gt;0,INDEX('eur disaggregated'!chg_bps_6M,EurChart!$U42),NA())</f>
        <v>1.5382373000000227</v>
      </c>
      <c r="AF42" s="408">
        <f>IF(LEN($Z42)&gt;0,INDEX('eur disaggregated'!chg_bps_1Y,EurChart!$V42),NA())</f>
        <v>1.4975321999999958</v>
      </c>
      <c r="AG42" s="408">
        <f>IF(LEN(Z42)&gt;0,INDEX('eur disaggregated'!chg_bps_1M,EurChart!$W42),"")</f>
        <v>1.525864400000021</v>
      </c>
      <c r="AH42" s="408">
        <f>IF(LEN(Z42)&gt;0,INDEX('eur disaggregated'!chg_bps_OIS,EurChart!$X42),"")</f>
        <v>1.6679297000000259</v>
      </c>
      <c r="AJ42" s="408">
        <f>IF(LEN($Z42)&gt;0,INDEX(MID_Std,EurChart!$S42),NA())</f>
        <v>1.1909685060000001</v>
      </c>
      <c r="AK42" s="408">
        <f>IF(LEN($Z42)&gt;0,INDEX(MID_3M,EurChart!$T42),NA())</f>
        <v>1.135686806</v>
      </c>
      <c r="AL42" s="408">
        <f>IF(LEN($Z42)&gt;0,INDEX(MID_6M,EurChart!$U42),NA())</f>
        <v>1.1909685060000001</v>
      </c>
      <c r="AM42" s="408">
        <f>IF(LEN($Z42)&gt;0,INDEX(MID_1Y,EurChart!$V42),NA())</f>
        <v>1.256670749</v>
      </c>
      <c r="AN42" s="408">
        <f>IF(LEN($Z42)&gt;0,INDEX(MID_1M,EurChart!$W42),"")</f>
        <v>1.0591606790000001</v>
      </c>
      <c r="AO42" s="408">
        <f>IF(LEN($Z42)&gt;0,INDEX(MID_OIS,EurChart!$X42),"")</f>
        <v>1.0556614720000002</v>
      </c>
    </row>
    <row r="43" spans="19:41">
      <c r="S43" s="336">
        <f t="shared" si="7"/>
        <v>45</v>
      </c>
      <c r="T43" s="336">
        <f t="shared" si="8"/>
        <v>51</v>
      </c>
      <c r="U43" s="336">
        <f t="shared" si="9"/>
        <v>55</v>
      </c>
      <c r="V43" s="336">
        <f t="shared" si="10"/>
        <v>54</v>
      </c>
      <c r="W43" s="336">
        <f t="shared" si="11"/>
        <v>51</v>
      </c>
      <c r="X43" s="336">
        <f t="shared" si="12"/>
        <v>56</v>
      </c>
      <c r="Y43" s="403"/>
      <c r="Z43" s="403" t="str">
        <v>28Y</v>
      </c>
      <c r="AB43" s="410">
        <f>IF(LEN(Z43)&gt;0,INDEX(BucketMaturity,EurChart!$S43),"")</f>
        <v>52923</v>
      </c>
      <c r="AC43" s="408">
        <f>IF(LEN($Z43)&gt;0,INDEX('eur disaggregated'!chg_bps_StdNoFut,EurChart!$S43),NA())</f>
        <v>1.7685569000000179</v>
      </c>
      <c r="AD43" s="408">
        <f>IF(LEN($Z43)&gt;0,INDEX('eur disaggregated'!chg_bps_3MnoFut,EurChart!$T43),NA())</f>
        <v>1.6207269999999996</v>
      </c>
      <c r="AE43" s="408">
        <f>IF(LEN($Z43)&gt;0,INDEX('eur disaggregated'!chg_bps_6M,EurChart!$U43),NA())</f>
        <v>1.4586560000000137</v>
      </c>
      <c r="AF43" s="408">
        <f>IF(LEN($Z43)&gt;0,INDEX('eur disaggregated'!chg_bps_1Y,EurChart!$V43),NA())</f>
        <v>1.4940636000000174</v>
      </c>
      <c r="AG43" s="408">
        <f>IF(LEN(Z43)&gt;0,INDEX('eur disaggregated'!chg_bps_1M,EurChart!$W43),"")</f>
        <v>1.5470835000000127</v>
      </c>
      <c r="AH43" s="408">
        <f>IF(LEN(Z43)&gt;0,INDEX('eur disaggregated'!chg_bps_OIS,EurChart!$X43),"")</f>
        <v>1.7119054999999994</v>
      </c>
      <c r="AJ43" s="408">
        <f>IF(LEN($Z43)&gt;0,INDEX(MID_Std,EurChart!$S43),NA())</f>
        <v>1.1932717020000001</v>
      </c>
      <c r="AK43" s="408">
        <f>IF(LEN($Z43)&gt;0,INDEX(MID_3M,EurChart!$T43),NA())</f>
        <v>1.1397416300000001</v>
      </c>
      <c r="AL43" s="408">
        <f>IF(LEN($Z43)&gt;0,INDEX(MID_6M,EurChart!$U43),NA())</f>
        <v>1.1932717020000001</v>
      </c>
      <c r="AM43" s="408">
        <f>IF(LEN($Z43)&gt;0,INDEX(MID_1Y,EurChart!$V43),NA())</f>
        <v>1.2575300580000002</v>
      </c>
      <c r="AN43" s="408">
        <f>IF(LEN($Z43)&gt;0,INDEX(MID_1M,EurChart!$W43),"")</f>
        <v>1.0644036780000001</v>
      </c>
      <c r="AO43" s="408">
        <f>IF(LEN($Z43)&gt;0,INDEX(MID_OIS,EurChart!$X43),"")</f>
        <v>1.06103456</v>
      </c>
    </row>
    <row r="44" spans="19:41">
      <c r="S44" s="336">
        <f t="shared" si="7"/>
        <v>46</v>
      </c>
      <c r="T44" s="336">
        <f t="shared" si="8"/>
        <v>52</v>
      </c>
      <c r="U44" s="336">
        <f t="shared" si="9"/>
        <v>56</v>
      </c>
      <c r="V44" s="336">
        <f t="shared" si="10"/>
        <v>55</v>
      </c>
      <c r="W44" s="336">
        <f t="shared" si="11"/>
        <v>52</v>
      </c>
      <c r="X44" s="336">
        <f t="shared" si="12"/>
        <v>57</v>
      </c>
      <c r="Y44" s="403"/>
      <c r="Z44" s="403" t="str">
        <v>29Y</v>
      </c>
      <c r="AB44" s="410">
        <f>IF(LEN(Z44)&gt;0,INDEX(BucketMaturity,EurChart!$S44),"")</f>
        <v>53288</v>
      </c>
      <c r="AC44" s="408">
        <f>IF(LEN($Z44)&gt;0,INDEX('eur disaggregated'!chg_bps_StdNoFut,EurChart!$S44),NA())</f>
        <v>1.6238724000000149</v>
      </c>
      <c r="AD44" s="408">
        <f>IF(LEN($Z44)&gt;0,INDEX('eur disaggregated'!chg_bps_3MnoFut,EurChart!$T44),NA())</f>
        <v>1.661529000000006</v>
      </c>
      <c r="AE44" s="408">
        <f>IF(LEN($Z44)&gt;0,INDEX('eur disaggregated'!chg_bps_6M,EurChart!$U44),NA())</f>
        <v>1.5792180000000045</v>
      </c>
      <c r="AF44" s="408">
        <f>IF(LEN($Z44)&gt;0,INDEX('eur disaggregated'!chg_bps_1Y,EurChart!$V44),NA())</f>
        <v>1.4938165000000225</v>
      </c>
      <c r="AG44" s="408">
        <f>IF(LEN(Z44)&gt;0,INDEX('eur disaggregated'!chg_bps_1M,EurChart!$W44),"")</f>
        <v>1.5712084000000015</v>
      </c>
      <c r="AH44" s="408">
        <f>IF(LEN(Z44)&gt;0,INDEX('eur disaggregated'!chg_bps_OIS,EurChart!$X44),"")</f>
        <v>1.7561965000000068</v>
      </c>
      <c r="AJ44" s="408">
        <f>IF(LEN($Z44)&gt;0,INDEX(MID_Std,EurChart!$S44),NA())</f>
        <v>1.1949238660000001</v>
      </c>
      <c r="AK44" s="408">
        <f>IF(LEN($Z44)&gt;0,INDEX(MID_3M,EurChart!$T44),NA())</f>
        <v>1.143141545</v>
      </c>
      <c r="AL44" s="408">
        <f>IF(LEN($Z44)&gt;0,INDEX(MID_6M,EurChart!$U44),NA())</f>
        <v>1.1949238660000001</v>
      </c>
      <c r="AM44" s="408">
        <f>IF(LEN($Z44)&gt;0,INDEX(MID_1Y,EurChart!$V44),NA())</f>
        <v>1.2579301230000002</v>
      </c>
      <c r="AN44" s="408">
        <f>IF(LEN($Z44)&gt;0,INDEX(MID_1M,EurChart!$W44),"")</f>
        <v>1.068979127</v>
      </c>
      <c r="AO44" s="408">
        <f>IF(LEN($Z44)&gt;0,INDEX(MID_OIS,EurChart!$X44),"")</f>
        <v>1.065806679</v>
      </c>
    </row>
    <row r="45" spans="19:41">
      <c r="S45" s="336">
        <f t="shared" si="7"/>
        <v>47</v>
      </c>
      <c r="T45" s="336">
        <f t="shared" si="8"/>
        <v>53</v>
      </c>
      <c r="U45" s="336">
        <f t="shared" si="9"/>
        <v>57</v>
      </c>
      <c r="V45" s="336">
        <f t="shared" si="10"/>
        <v>56</v>
      </c>
      <c r="W45" s="336">
        <f t="shared" si="11"/>
        <v>53</v>
      </c>
      <c r="X45" s="336">
        <f t="shared" si="12"/>
        <v>58</v>
      </c>
      <c r="Y45" s="404"/>
      <c r="Z45" s="404" t="str">
        <v>30Y</v>
      </c>
      <c r="AB45" s="123">
        <f>IF(LEN(Z45)&gt;0,INDEX(BucketMaturity,EurChart!$S45),"")</f>
        <v>53653</v>
      </c>
      <c r="AC45" s="408">
        <f>IF(LEN($Z45)&gt;0,INDEX('eur disaggregated'!chg_bps_StdNoFut,EurChart!$S45),NA())</f>
        <v>1.6868313999999884</v>
      </c>
      <c r="AD45" s="408">
        <f>IF(LEN($Z45)&gt;0,INDEX('eur disaggregated'!chg_bps_3MnoFut,EurChart!$T45),NA())</f>
        <v>1.7000000000000126</v>
      </c>
      <c r="AE45" s="408">
        <f>IF(LEN($Z45)&gt;0,INDEX('eur disaggregated'!chg_bps_6M,EurChart!$U45),NA())</f>
        <v>1.6000000000000014</v>
      </c>
      <c r="AF45" s="408">
        <f>IF(LEN($Z45)&gt;0,INDEX('eur disaggregated'!chg_bps_1Y,EurChart!$V45),NA())</f>
        <v>1.4999999999999902</v>
      </c>
      <c r="AG45" s="408">
        <f>IF(LEN(Z45)&gt;0,INDEX('eur disaggregated'!chg_bps_1M,EurChart!$W45),"")</f>
        <v>1.6000000000000014</v>
      </c>
      <c r="AH45" s="408">
        <f>IF(LEN(Z45)&gt;0,INDEX('eur disaggregated'!chg_bps_OIS,EurChart!$X45),"")</f>
        <v>1.8000000000000016</v>
      </c>
      <c r="AJ45" s="408">
        <f>IF(LEN($Z45)&gt;0,INDEX(MID_Std,EurChart!$S45),NA())</f>
        <v>1.196</v>
      </c>
      <c r="AK45" s="408">
        <f>IF(LEN($Z45)&gt;0,INDEX(MID_3M,EurChart!$T45),NA())</f>
        <v>1.1460000000000001</v>
      </c>
      <c r="AL45" s="408">
        <f>IF(LEN($Z45)&gt;0,INDEX(MID_6M,EurChart!$U45),NA())</f>
        <v>1.196</v>
      </c>
      <c r="AM45" s="408">
        <f>IF(LEN($Z45)&gt;0,INDEX(MID_1Y,EurChart!$V45),NA())</f>
        <v>1.258</v>
      </c>
      <c r="AN45" s="408">
        <f>IF(LEN($Z45)&gt;0,INDEX(MID_1M,EurChart!$W45),"")</f>
        <v>1.073</v>
      </c>
      <c r="AO45" s="408">
        <f>IF(LEN($Z45)&gt;0,INDEX(MID_OIS,EurChart!$X45),"")</f>
        <v>1.07</v>
      </c>
    </row>
    <row r="46" spans="19:41">
      <c r="X46" s="401"/>
      <c r="AH46" s="401"/>
    </row>
    <row r="47" spans="19:41">
      <c r="X47" s="401"/>
      <c r="AG47" s="401"/>
      <c r="AH47" s="401"/>
    </row>
    <row r="48" spans="19:41">
      <c r="X48" s="401"/>
      <c r="AG48" s="401"/>
      <c r="AH48" s="401"/>
    </row>
    <row r="49" spans="24:34">
      <c r="X49" s="401"/>
      <c r="AG49" s="401"/>
      <c r="AH49" s="401"/>
    </row>
    <row r="50" spans="24:34">
      <c r="X50" s="401"/>
      <c r="AG50" s="401"/>
      <c r="AH50" s="401"/>
    </row>
    <row r="51" spans="24:34">
      <c r="X51" s="401"/>
      <c r="AG51" s="401"/>
      <c r="AH51" s="401"/>
    </row>
    <row r="52" spans="24:34">
      <c r="X52" s="401"/>
      <c r="AG52" s="401"/>
      <c r="AH52" s="401"/>
    </row>
    <row r="53" spans="24:34">
      <c r="X53" s="401"/>
      <c r="AG53" s="401"/>
      <c r="AH53" s="401"/>
    </row>
    <row r="54" spans="24:34">
      <c r="X54" s="401"/>
      <c r="AG54" s="401"/>
      <c r="AH54" s="401"/>
    </row>
    <row r="55" spans="24:34">
      <c r="X55" s="401"/>
      <c r="AG55" s="401"/>
      <c r="AH55" s="401"/>
    </row>
    <row r="56" spans="24:34">
      <c r="X56" s="401"/>
      <c r="AG56" s="401"/>
      <c r="AH56" s="401"/>
    </row>
  </sheetData>
  <mergeCells count="1">
    <mergeCell ref="AJ3:AO3"/>
  </mergeCells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>
    <tabColor theme="6"/>
  </sheetPr>
  <dimension ref="S1:AK55"/>
  <sheetViews>
    <sheetView workbookViewId="0">
      <selection activeCell="AK11" sqref="AK11"/>
    </sheetView>
  </sheetViews>
  <sheetFormatPr defaultRowHeight="12.75"/>
  <cols>
    <col min="1" max="18" width="9.140625" style="401"/>
    <col min="19" max="19" width="3" style="401" customWidth="1"/>
    <col min="20" max="20" width="3.140625" customWidth="1"/>
    <col min="21" max="21" width="3" customWidth="1"/>
    <col min="22" max="23" width="9.140625" style="401"/>
    <col min="24" max="24" width="11.28515625" style="401" bestFit="1" customWidth="1"/>
    <col min="25" max="16384" width="9.140625" style="401"/>
  </cols>
  <sheetData>
    <row r="1" spans="19:37">
      <c r="T1" s="401"/>
      <c r="U1" s="401"/>
    </row>
    <row r="2" spans="19:37">
      <c r="T2" s="401"/>
      <c r="U2" s="401"/>
      <c r="V2" s="402" t="str">
        <f t="array" ref="V2:V16">RemoverFilter(IF(UsdCommon_Instrument="D",UsdCommonBucket,""),"","")</f>
        <v>O/N</v>
      </c>
      <c r="W2" s="402" t="s">
        <v>3</v>
      </c>
    </row>
    <row r="3" spans="19:37">
      <c r="T3" s="401"/>
      <c r="U3" s="401"/>
      <c r="V3" s="405" t="str">
        <v>T/N</v>
      </c>
      <c r="W3" s="405" t="s">
        <v>4</v>
      </c>
      <c r="X3" s="179" t="s">
        <v>1155</v>
      </c>
      <c r="Y3" s="179"/>
      <c r="Z3" s="179"/>
      <c r="AA3" s="179"/>
      <c r="AB3" s="179"/>
      <c r="AC3" s="179"/>
      <c r="AD3" s="179"/>
      <c r="AF3" s="179" t="s">
        <v>1156</v>
      </c>
      <c r="AG3" s="179"/>
      <c r="AH3" s="179"/>
      <c r="AI3" s="179"/>
      <c r="AJ3" s="179"/>
      <c r="AK3" s="179"/>
    </row>
    <row r="4" spans="19:37">
      <c r="T4" s="401"/>
      <c r="U4" s="401"/>
      <c r="V4" s="403" t="str">
        <v>S/N</v>
      </c>
      <c r="W4" s="403" t="s">
        <v>23</v>
      </c>
      <c r="X4" s="325" t="s">
        <v>1157</v>
      </c>
      <c r="Y4" s="325" t="s">
        <v>1159</v>
      </c>
      <c r="Z4" s="325" t="s">
        <v>1160</v>
      </c>
      <c r="AA4" s="325" t="s">
        <v>1158</v>
      </c>
      <c r="AB4" s="325" t="s">
        <v>1161</v>
      </c>
      <c r="AC4" s="325" t="s">
        <v>1162</v>
      </c>
      <c r="AD4" s="325" t="s">
        <v>1170</v>
      </c>
      <c r="AF4" s="325" t="s">
        <v>1159</v>
      </c>
      <c r="AG4" s="325" t="s">
        <v>1160</v>
      </c>
      <c r="AH4" s="325" t="s">
        <v>1158</v>
      </c>
      <c r="AI4" s="325" t="s">
        <v>1161</v>
      </c>
      <c r="AJ4" s="325" t="s">
        <v>1162</v>
      </c>
      <c r="AK4" s="325" t="s">
        <v>1170</v>
      </c>
    </row>
    <row r="5" spans="19:37">
      <c r="S5" s="336">
        <f t="shared" ref="S5:S45" si="0">IF(LEN(V5)&gt;0,MATCH(V5,UsdCommonBucket,0),"")</f>
        <v>4</v>
      </c>
      <c r="T5" s="336">
        <f t="shared" ref="T5:T17" si="1">IF(LEN(W5)&gt;0,MATCH($W5,UsdBucketOIS,0),"")</f>
        <v>4</v>
      </c>
      <c r="U5" s="401"/>
      <c r="V5" s="403" t="str">
        <v>1W</v>
      </c>
      <c r="W5" s="403" t="s">
        <v>5</v>
      </c>
      <c r="X5" s="410">
        <f>IF(LEN(V5)&gt;0,INDEX(UsdBucketMaturity,UsdChart!$S5),"")</f>
        <v>42703</v>
      </c>
      <c r="Y5" s="408">
        <f>IF(LEN($V5)&gt;0,INDEX('usd disaggregated'!chg_bps_StdnoFut,UsdChart!$S5),NA())</f>
        <v>0</v>
      </c>
      <c r="Z5" s="408">
        <f>IF(LEN($V5)&gt;0,INDEX('usd disaggregated'!chg_bps_12M,UsdChart!$S5),NA())</f>
        <v>-4.8542236000000072</v>
      </c>
      <c r="AA5" s="408">
        <f>IF(LEN($V5)&gt;0,INDEX('usd disaggregated'!chg_bps_3MnoFut,UsdChart!$S5),NA())</f>
        <v>-1.2134456999999932</v>
      </c>
      <c r="AB5" s="408">
        <f>IF(LEN(V5)&gt;0,INDEX('usd disaggregated'!chg_bps_1M,UsdChart!$S5),NA())</f>
        <v>-1.2499999999999956</v>
      </c>
      <c r="AC5" s="408">
        <f>IF(LEN(V5)&gt;0,INDEX('usd disaggregated'!chg_bps_6M,UsdChart!$S5),NA())</f>
        <v>-3.4801141999999841</v>
      </c>
      <c r="AD5" s="408">
        <f>IF(LEN(W5)&gt;0,INDEX('usd disaggregated'!chg_bps_OIS,$T5),NA())</f>
        <v>0.65184640000000571</v>
      </c>
      <c r="AF5" s="408">
        <f>IF(LEN($V5)&gt;0,INDEX(UsdMID_Std,UsdChart!$S5),NA())</f>
        <v>0.45922000000000002</v>
      </c>
      <c r="AG5" s="408">
        <f>IF(LEN($V5)&gt;0,INDEX(UsdMID_12M,UsdChart!$S5),NA())</f>
        <v>1.001770249</v>
      </c>
      <c r="AH5" s="408">
        <f>IF(LEN($V5)&gt;0,INDEX(UsdMID_3M,UsdChart!$S5),NA())</f>
        <v>0.75096189700000004</v>
      </c>
      <c r="AI5" s="408">
        <f>IF(LEN($V5)&gt;0,INDEX(UsdMID_1M,UsdChart!$S5),NA())</f>
        <v>0.52580000000000005</v>
      </c>
      <c r="AJ5" s="408">
        <f>IF(LEN($V5)&gt;0,INDEX(UsdMID_6M,UsdChart!$S5),NA())</f>
        <v>1.0324999380000002</v>
      </c>
      <c r="AK5" s="408">
        <f t="shared" ref="AK5:AK16" si="2">IF(LEN($W5)&gt;0,INDEX(UsdMID_Ois,$T5),"")</f>
        <v>0.43057680800000003</v>
      </c>
    </row>
    <row r="6" spans="19:37">
      <c r="S6" s="336">
        <f t="shared" si="0"/>
        <v>5</v>
      </c>
      <c r="T6" s="336">
        <f t="shared" si="1"/>
        <v>5</v>
      </c>
      <c r="U6" s="401"/>
      <c r="V6" s="403" t="str">
        <v>2W</v>
      </c>
      <c r="W6" s="403" t="s">
        <v>6</v>
      </c>
      <c r="X6" s="410">
        <f>IF(LEN(V6)&gt;0,INDEX(UsdBucketMaturity,UsdChart!$S6),"")</f>
        <v>42710</v>
      </c>
      <c r="Y6" s="411">
        <f>IF(LEN($V6)&gt;0,INDEX('usd disaggregated'!chg_bps_StdnoFut,UsdChart!$S6),NA())</f>
        <v>5.5511151231257827E-15</v>
      </c>
      <c r="Z6" s="411">
        <f>IF(LEN($V6)&gt;0,INDEX('usd disaggregated'!chg_bps_12M,UsdChart!$S6),NA())</f>
        <v>-4.8383572999999958</v>
      </c>
      <c r="AA6" s="408">
        <f>IF(LEN($V6)&gt;0,INDEX('usd disaggregated'!chg_bps_3MnoFut,UsdChart!$S6),NA())</f>
        <v>-1.169755699999997</v>
      </c>
      <c r="AB6" s="411">
        <f>IF(LEN(V6)&gt;0,INDEX('usd disaggregated'!chg_bps_1M,UsdChart!$S6),NA())</f>
        <v>-0.79683229999999439</v>
      </c>
      <c r="AC6" s="411">
        <f>IF(LEN(V6)&gt;0,INDEX('usd disaggregated'!chg_bps_6M,UsdChart!$S6),NA())</f>
        <v>-3.402697099999985</v>
      </c>
      <c r="AD6" s="411">
        <f>IF(LEN(W6)&gt;0,INDEX('usd disaggregated'!chg_bps_OIS,$T6),NA())</f>
        <v>0.78186000000000089</v>
      </c>
      <c r="AF6" s="408">
        <f>IF(LEN($V6)&gt;0,INDEX(UsdMID_Std,UsdChart!$S6),NA())</f>
        <v>0.49043391300000005</v>
      </c>
      <c r="AG6" s="408">
        <f>IF(LEN($V6)&gt;0,INDEX(UsdMID_12M,UsdChart!$S6),NA())</f>
        <v>1.0099497850000001</v>
      </c>
      <c r="AH6" s="408">
        <f>IF(LEN($V6)&gt;0,INDEX(UsdMID_3M,UsdChart!$S6),NA())</f>
        <v>0.75795110300000001</v>
      </c>
      <c r="AI6" s="408">
        <f>IF(LEN($V6)&gt;0,INDEX(UsdMID_1M,UsdChart!$S6),NA())</f>
        <v>0.53407363100000005</v>
      </c>
      <c r="AJ6" s="408">
        <f>IF(LEN($V6)&gt;0,INDEX(UsdMID_6M,UsdChart!$S6),NA())</f>
        <v>1.0404006220000002</v>
      </c>
      <c r="AK6" s="408">
        <f t="shared" si="2"/>
        <v>0.43418442800000001</v>
      </c>
    </row>
    <row r="7" spans="19:37">
      <c r="S7" s="336">
        <f t="shared" si="0"/>
        <v>6</v>
      </c>
      <c r="T7" s="336">
        <f t="shared" si="1"/>
        <v>6</v>
      </c>
      <c r="U7" s="401"/>
      <c r="V7" s="403" t="str">
        <v>3W</v>
      </c>
      <c r="W7" s="403" t="s">
        <v>24</v>
      </c>
      <c r="X7" s="410">
        <f>IF(LEN(V7)&gt;0,INDEX(UsdBucketMaturity,UsdChart!$S7),"")</f>
        <v>42717</v>
      </c>
      <c r="Y7" s="411">
        <f>IF(LEN($V7)&gt;0,INDEX('usd disaggregated'!chg_bps_StdnoFut,UsdChart!$S7),NA())</f>
        <v>0</v>
      </c>
      <c r="Z7" s="411">
        <f>IF(LEN($V7)&gt;0,INDEX('usd disaggregated'!chg_bps_12M,UsdChart!$S7),NA())</f>
        <v>-4.811278699999999</v>
      </c>
      <c r="AA7" s="408">
        <f>IF(LEN($V7)&gt;0,INDEX('usd disaggregated'!chg_bps_3MnoFut,UsdChart!$S7),NA())</f>
        <v>-1.0968059999999946</v>
      </c>
      <c r="AB7" s="411">
        <f>IF(LEN(V7)&gt;0,INDEX('usd disaggregated'!chg_bps_1M,UsdChart!$S7),NA())</f>
        <v>-0.38176659999999973</v>
      </c>
      <c r="AC7" s="411">
        <f>IF(LEN(V7)&gt;0,INDEX('usd disaggregated'!chg_bps_6M,UsdChart!$S7),NA())</f>
        <v>-3.2731641000000034</v>
      </c>
      <c r="AD7" s="411">
        <f>IF(LEN(W7)&gt;0,INDEX('usd disaggregated'!chg_bps_OIS,$T7),NA())</f>
        <v>0.8641999999999983</v>
      </c>
      <c r="AF7" s="408">
        <f>IF(LEN($V7)&gt;0,INDEX(UsdMID_Std,UsdChart!$S7),NA())</f>
        <v>0.52164782600000004</v>
      </c>
      <c r="AG7" s="408">
        <f>IF(LEN($V7)&gt;0,INDEX(UsdMID_12M,UsdChart!$S7),NA())</f>
        <v>1.023521613</v>
      </c>
      <c r="AH7" s="408">
        <f>IF(LEN($V7)&gt;0,INDEX(UsdMID_3M,UsdChart!$S7),NA())</f>
        <v>0.76956600800000008</v>
      </c>
      <c r="AI7" s="408">
        <f>IF(LEN($V7)&gt;0,INDEX(UsdMID_1M,UsdChart!$S7),NA())</f>
        <v>0.54491440700000005</v>
      </c>
      <c r="AJ7" s="408">
        <f>IF(LEN($V7)&gt;0,INDEX(UsdMID_6M,UsdChart!$S7),NA())</f>
        <v>1.053503616</v>
      </c>
      <c r="AK7" s="408">
        <f t="shared" si="2"/>
        <v>0.442736615</v>
      </c>
    </row>
    <row r="8" spans="19:37">
      <c r="S8" s="336">
        <f t="shared" si="0"/>
        <v>7</v>
      </c>
      <c r="T8" s="336">
        <f t="shared" si="1"/>
        <v>7</v>
      </c>
      <c r="U8" s="401"/>
      <c r="V8" s="403" t="str">
        <v>1M</v>
      </c>
      <c r="W8" s="403" t="s">
        <v>7</v>
      </c>
      <c r="X8" s="410">
        <f>IF(LEN(V8)&gt;0,INDEX(UsdBucketMaturity,UsdChart!$S8),"")</f>
        <v>42726</v>
      </c>
      <c r="Y8" s="411">
        <f>IF(LEN($V8)&gt;0,INDEX('usd disaggregated'!chg_bps_StdnoFut,UsdChart!$S8),NA())</f>
        <v>1.1102230246251565E-14</v>
      </c>
      <c r="Z8" s="411">
        <f>IF(LEN($V8)&gt;0,INDEX('usd disaggregated'!chg_bps_12M,UsdChart!$S8),NA())</f>
        <v>-4.7600000000000087</v>
      </c>
      <c r="AA8" s="408">
        <f>IF(LEN($V8)&gt;0,INDEX('usd disaggregated'!chg_bps_3MnoFut,UsdChart!$S8),NA())</f>
        <v>-0.95999999999999419</v>
      </c>
      <c r="AB8" s="411">
        <f>IF(LEN(V8)&gt;0,INDEX('usd disaggregated'!chg_bps_1M,UsdChart!$S8),NA())</f>
        <v>1.1102230246251565E-14</v>
      </c>
      <c r="AC8" s="411">
        <f>IF(LEN(V8)&gt;0,INDEX('usd disaggregated'!chg_bps_6M,UsdChart!$S8),NA())</f>
        <v>-3.0299998999999911</v>
      </c>
      <c r="AD8" s="411">
        <f>IF(LEN(W8)&gt;0,INDEX('usd disaggregated'!chg_bps_OIS,$T8),NA())</f>
        <v>0.9000000000000008</v>
      </c>
      <c r="AF8" s="408">
        <f>IF(LEN($V8)&gt;0,INDEX(UsdMID_Std,UsdChart!$S8),NA())</f>
        <v>0.56178000000000006</v>
      </c>
      <c r="AG8" s="408">
        <f>IF(LEN($V8)&gt;0,INDEX(UsdMID_12M,UsdChart!$S8),NA())</f>
        <v>1.0488999999999999</v>
      </c>
      <c r="AH8" s="408">
        <f>IF(LEN($V8)&gt;0,INDEX(UsdMID_3M,UsdChart!$S8),NA())</f>
        <v>0.7913</v>
      </c>
      <c r="AI8" s="408">
        <f>IF(LEN($V8)&gt;0,INDEX(UsdMID_1M,UsdChart!$S8),NA())</f>
        <v>0.56180000000000008</v>
      </c>
      <c r="AJ8" s="408">
        <f>IF(LEN($V8)&gt;0,INDEX(UsdMID_6M,UsdChart!$S8),NA())</f>
        <v>1.0780000000000001</v>
      </c>
      <c r="AK8" s="408">
        <f t="shared" si="2"/>
        <v>0.46100000000000002</v>
      </c>
    </row>
    <row r="9" spans="19:37">
      <c r="S9" s="336">
        <f t="shared" si="0"/>
        <v>8</v>
      </c>
      <c r="T9" s="336">
        <f t="shared" si="1"/>
        <v>8</v>
      </c>
      <c r="U9" s="401"/>
      <c r="V9" s="403" t="str">
        <v>2M</v>
      </c>
      <c r="W9" s="403" t="s">
        <v>8</v>
      </c>
      <c r="X9" s="410">
        <f>IF(LEN(V9)&gt;0,INDEX(UsdBucketMaturity,UsdChart!$S9),"")</f>
        <v>42758</v>
      </c>
      <c r="Y9" s="411">
        <f>IF(LEN($V9)&gt;0,INDEX('usd disaggregated'!chg_bps_StdnoFut,UsdChart!$S9),NA())</f>
        <v>0</v>
      </c>
      <c r="Z9" s="411">
        <f>IF(LEN($V9)&gt;0,INDEX('usd disaggregated'!chg_bps_12M,UsdChart!$S9),NA())</f>
        <v>-4.7800000000000065</v>
      </c>
      <c r="AA9" s="408">
        <f>IF(LEN($V9)&gt;0,INDEX('usd disaggregated'!chg_bps_3MnoFut,UsdChart!$S9),NA())</f>
        <v>-0.55999999999999384</v>
      </c>
      <c r="AB9" s="411">
        <f>IF(LEN(V9)&gt;0,INDEX('usd disaggregated'!chg_bps_1M,UsdChart!$S9),NA())</f>
        <v>0.25595090000001264</v>
      </c>
      <c r="AC9" s="411">
        <f>IF(LEN(V9)&gt;0,INDEX('usd disaggregated'!chg_bps_6M,UsdChart!$S9),NA())</f>
        <v>-2.1400000000000086</v>
      </c>
      <c r="AD9" s="411">
        <f>IF(LEN(W9)&gt;0,INDEX('usd disaggregated'!chg_bps_OIS,$T9),NA())</f>
        <v>0.50000000000000044</v>
      </c>
      <c r="AF9" s="408">
        <f>IF(LEN($V9)&gt;0,INDEX(UsdMID_Std,UsdChart!$S9),NA())</f>
        <v>0.70333000000000001</v>
      </c>
      <c r="AG9" s="408">
        <f>IF(LEN($V9)&gt;0,INDEX(UsdMID_12M,UsdChart!$S9),NA())</f>
        <v>1.1553</v>
      </c>
      <c r="AH9" s="408">
        <f>IF(LEN($V9)&gt;0,INDEX(UsdMID_3M,UsdChart!$S9),NA())</f>
        <v>0.87790000000000001</v>
      </c>
      <c r="AI9" s="408">
        <f>IF(LEN($V9)&gt;0,INDEX(UsdMID_1M,UsdChart!$S9),NA())</f>
        <v>0.62863645900000009</v>
      </c>
      <c r="AJ9" s="408">
        <f>IF(LEN($V9)&gt;0,INDEX(UsdMID_6M,UsdChart!$S9),NA())</f>
        <v>1.1778</v>
      </c>
      <c r="AK9" s="408">
        <f t="shared" si="2"/>
        <v>0.53900000000000003</v>
      </c>
    </row>
    <row r="10" spans="19:37">
      <c r="S10" s="336">
        <f t="shared" si="0"/>
        <v>9</v>
      </c>
      <c r="T10" s="336">
        <f t="shared" si="1"/>
        <v>9</v>
      </c>
      <c r="U10" s="401"/>
      <c r="V10" s="403" t="str">
        <v>3M</v>
      </c>
      <c r="W10" s="403" t="s">
        <v>25</v>
      </c>
      <c r="X10" s="410">
        <f>IF(LEN(V10)&gt;0,INDEX(UsdBucketMaturity,UsdChart!$S10),"")</f>
        <v>42788</v>
      </c>
      <c r="Y10" s="411">
        <f>IF(LEN($V10)&gt;0,INDEX('usd disaggregated'!chg_bps_StdnoFut,UsdChart!$S10),NA())</f>
        <v>0</v>
      </c>
      <c r="Z10" s="411">
        <f>IF(LEN($V10)&gt;0,INDEX('usd disaggregated'!chg_bps_12M,UsdChart!$S10),NA())</f>
        <v>-4.269999999999996</v>
      </c>
      <c r="AA10" s="408">
        <f>IF(LEN($V10)&gt;0,INDEX('usd disaggregated'!chg_bps_3MnoFut,UsdChart!$S10),NA())</f>
        <v>0</v>
      </c>
      <c r="AB10" s="411">
        <f>IF(LEN(V10)&gt;0,INDEX('usd disaggregated'!chg_bps_1M,UsdChart!$S10),NA())</f>
        <v>0.49959210000001253</v>
      </c>
      <c r="AC10" s="411">
        <f>IF(LEN(V10)&gt;0,INDEX('usd disaggregated'!chg_bps_6M,UsdChart!$S10),NA())</f>
        <v>-1.1600000000000055</v>
      </c>
      <c r="AD10" s="411">
        <f>IF(LEN(W10)&gt;0,INDEX('usd disaggregated'!chg_bps_OIS,$T10),NA())</f>
        <v>0.50000000000000044</v>
      </c>
      <c r="AF10" s="408">
        <f>IF(LEN($V10)&gt;0,INDEX(UsdMID_Std,UsdChart!$S10),NA())</f>
        <v>0.91122000000000003</v>
      </c>
      <c r="AG10" s="408">
        <f>IF(LEN($V10)&gt;0,INDEX(UsdMID_12M,UsdChart!$S10),NA())</f>
        <v>1.21</v>
      </c>
      <c r="AH10" s="408">
        <f>IF(LEN($V10)&gt;0,INDEX(UsdMID_3M,UsdChart!$S10),NA())</f>
        <v>0.91120000000000001</v>
      </c>
      <c r="AI10" s="408">
        <f>IF(LEN($V10)&gt;0,INDEX(UsdMID_1M,UsdChart!$S10),NA())</f>
        <v>0.67206114300000008</v>
      </c>
      <c r="AJ10" s="408">
        <f>IF(LEN($V10)&gt;0,INDEX(UsdMID_6M,UsdChart!$S10),NA())</f>
        <v>1.2202</v>
      </c>
      <c r="AK10" s="408">
        <f t="shared" si="2"/>
        <v>0.56700000000000006</v>
      </c>
    </row>
    <row r="11" spans="19:37">
      <c r="S11" s="336">
        <f t="shared" si="0"/>
        <v>10</v>
      </c>
      <c r="T11" s="336">
        <f t="shared" si="1"/>
        <v>10</v>
      </c>
      <c r="U11" s="401"/>
      <c r="V11" s="403" t="str">
        <v>4M</v>
      </c>
      <c r="W11" s="403" t="s">
        <v>26</v>
      </c>
      <c r="X11" s="410">
        <f>IF(LEN(V11)&gt;0,INDEX(UsdBucketMaturity,UsdChart!$S11),"")</f>
        <v>42816</v>
      </c>
      <c r="Y11" s="411">
        <f>IF(LEN($V11)&gt;0,INDEX('usd disaggregated'!chg_bps_StdnoFut,UsdChart!$S11),NA())</f>
        <v>0.12712560000003315</v>
      </c>
      <c r="Z11" s="411">
        <f>IF(LEN($V11)&gt;0,INDEX('usd disaggregated'!chg_bps_12M,UsdChart!$S11),NA())</f>
        <v>-3.9699999999999847</v>
      </c>
      <c r="AA11" s="408">
        <f>IF(LEN($V11)&gt;0,INDEX('usd disaggregated'!chg_bps_3MnoFut,UsdChart!$S11),NA())</f>
        <v>0.21565230000000213</v>
      </c>
      <c r="AB11" s="411">
        <f>IF(LEN(V11)&gt;0,INDEX('usd disaggregated'!chg_bps_1M,UsdChart!$S11),NA())</f>
        <v>0.49324139999999961</v>
      </c>
      <c r="AC11" s="411">
        <f>IF(LEN(V11)&gt;0,INDEX('usd disaggregated'!chg_bps_6M,UsdChart!$S11),NA())</f>
        <v>-0.60000000000000053</v>
      </c>
      <c r="AD11" s="411">
        <f>IF(LEN(W11)&gt;0,INDEX('usd disaggregated'!chg_bps_OIS,$T11),NA())</f>
        <v>0.40000000000000036</v>
      </c>
      <c r="AF11" s="408">
        <f>IF(LEN($V11)&gt;0,INDEX(UsdMID_Std,UsdChart!$S11),NA())</f>
        <v>1.0256330340000002</v>
      </c>
      <c r="AG11" s="408">
        <f>IF(LEN($V11)&gt;0,INDEX(UsdMID_12M,UsdChart!$S11),NA())</f>
        <v>1.2509000000000001</v>
      </c>
      <c r="AH11" s="408">
        <f>IF(LEN($V11)&gt;0,INDEX(UsdMID_3M,UsdChart!$S11),NA())</f>
        <v>0.92934836700000001</v>
      </c>
      <c r="AI11" s="408">
        <f>IF(LEN($V11)&gt;0,INDEX(UsdMID_1M,UsdChart!$S11),NA())</f>
        <v>0.69271515100000003</v>
      </c>
      <c r="AJ11" s="408">
        <f>IF(LEN($V11)&gt;0,INDEX(UsdMID_6M,UsdChart!$S11),NA())</f>
        <v>1.2444</v>
      </c>
      <c r="AK11" s="408">
        <f t="shared" si="2"/>
        <v>0.58299999999999996</v>
      </c>
    </row>
    <row r="12" spans="19:37">
      <c r="S12" s="336">
        <f t="shared" si="0"/>
        <v>11</v>
      </c>
      <c r="T12" s="336">
        <f t="shared" si="1"/>
        <v>11</v>
      </c>
      <c r="U12" s="401"/>
      <c r="V12" s="403" t="str">
        <v>5M</v>
      </c>
      <c r="W12" s="403" t="s">
        <v>27</v>
      </c>
      <c r="X12" s="410">
        <f>IF(LEN(V12)&gt;0,INDEX(UsdBucketMaturity,UsdChart!$S12),"")</f>
        <v>42849</v>
      </c>
      <c r="Y12" s="411">
        <f>IF(LEN($V12)&gt;0,INDEX('usd disaggregated'!chg_bps_StdnoFut,UsdChart!$S12),NA())</f>
        <v>1.0851076999999876</v>
      </c>
      <c r="Z12" s="411">
        <f>IF(LEN($V12)&gt;0,INDEX('usd disaggregated'!chg_bps_12M,UsdChart!$S12),NA())</f>
        <v>-3.3499999999999863</v>
      </c>
      <c r="AA12" s="408">
        <f>IF(LEN($V12)&gt;0,INDEX('usd disaggregated'!chg_bps_3MnoFut,UsdChart!$S12),NA())</f>
        <v>0.20080130000000862</v>
      </c>
      <c r="AB12" s="411">
        <f>IF(LEN(V12)&gt;0,INDEX('usd disaggregated'!chg_bps_1M,UsdChart!$S12),NA())</f>
        <v>0.55697670000001143</v>
      </c>
      <c r="AC12" s="411">
        <f>IF(LEN(V12)&gt;0,INDEX('usd disaggregated'!chg_bps_6M,UsdChart!$S12),NA())</f>
        <v>-0.11999999999998678</v>
      </c>
      <c r="AD12" s="411">
        <f>IF(LEN(W12)&gt;0,INDEX('usd disaggregated'!chg_bps_OIS,$T12),NA())</f>
        <v>0.40000000000001146</v>
      </c>
      <c r="AF12" s="408">
        <f>IF(LEN($V12)&gt;0,INDEX(UsdMID_Std,UsdChart!$S12),NA())</f>
        <v>1.1604769660000001</v>
      </c>
      <c r="AG12" s="408">
        <f>IF(LEN($V12)&gt;0,INDEX(UsdMID_12M,UsdChart!$S12),NA())</f>
        <v>1.2974000000000001</v>
      </c>
      <c r="AH12" s="408">
        <f>IF(LEN($V12)&gt;0,INDEX(UsdMID_3M,UsdChart!$S12),NA())</f>
        <v>0.93792661900000007</v>
      </c>
      <c r="AI12" s="408">
        <f>IF(LEN($V12)&gt;0,INDEX(UsdMID_1M,UsdChart!$S12),NA())</f>
        <v>0.70817661100000007</v>
      </c>
      <c r="AJ12" s="408">
        <f>IF(LEN($V12)&gt;0,INDEX(UsdMID_6M,UsdChart!$S12),NA())</f>
        <v>1.2647000000000002</v>
      </c>
      <c r="AK12" s="408">
        <f t="shared" si="2"/>
        <v>0.60000000000000009</v>
      </c>
    </row>
    <row r="13" spans="19:37">
      <c r="S13" s="336">
        <f t="shared" si="0"/>
        <v>12</v>
      </c>
      <c r="T13" s="336">
        <f t="shared" si="1"/>
        <v>12</v>
      </c>
      <c r="U13" s="401"/>
      <c r="V13" s="403" t="str">
        <v>6M</v>
      </c>
      <c r="W13" s="404" t="s">
        <v>28</v>
      </c>
      <c r="X13" s="123">
        <f>IF(LEN(V13)&gt;0,INDEX(UsdBucketMaturity,UsdChart!$S13),"")</f>
        <v>42877</v>
      </c>
      <c r="Y13" s="411">
        <f>IF(LEN($V13)&gt;0,INDEX('usd disaggregated'!chg_bps_StdnoFut,UsdChart!$S13),NA())</f>
        <v>0</v>
      </c>
      <c r="Z13" s="411">
        <f>IF(LEN($V13)&gt;0,INDEX('usd disaggregated'!chg_bps_12M,UsdChart!$S13),NA())</f>
        <v>-3.2699999999999951</v>
      </c>
      <c r="AA13" s="408">
        <f>IF(LEN($V13)&gt;0,INDEX('usd disaggregated'!chg_bps_3MnoFut,UsdChart!$S13),NA())</f>
        <v>0.19938550000000443</v>
      </c>
      <c r="AB13" s="411">
        <f>IF(LEN(V13)&gt;0,INDEX('usd disaggregated'!chg_bps_1M,UsdChart!$S13),NA())</f>
        <v>0.39995970000000769</v>
      </c>
      <c r="AC13" s="411">
        <f>IF(LEN(V13)&gt;0,INDEX('usd disaggregated'!chg_bps_6M,UsdChart!$S13),NA())</f>
        <v>2.2204460492503131E-14</v>
      </c>
      <c r="AD13" s="411">
        <f>IF(LEN(W13)&gt;0,INDEX('usd disaggregated'!chg_bps_OIS,$T13),NA())</f>
        <v>0.30000000000000027</v>
      </c>
      <c r="AF13" s="408">
        <f>IF(LEN($V13)&gt;0,INDEX(UsdMID_Std,UsdChart!$S13),NA())</f>
        <v>1.2748900000000001</v>
      </c>
      <c r="AG13" s="408">
        <f>IF(LEN($V13)&gt;0,INDEX(UsdMID_12M,UsdChart!$S13),NA())</f>
        <v>1.3355000000000001</v>
      </c>
      <c r="AH13" s="408">
        <f>IF(LEN($V13)&gt;0,INDEX(UsdMID_3M,UsdChart!$S13),NA())</f>
        <v>0.95317375900000001</v>
      </c>
      <c r="AI13" s="408">
        <f>IF(LEN($V13)&gt;0,INDEX(UsdMID_1M,UsdChart!$S13),NA())</f>
        <v>0.72115729700000009</v>
      </c>
      <c r="AJ13" s="408">
        <f>IF(LEN($V13)&gt;0,INDEX(UsdMID_6M,UsdChart!$S13),NA())</f>
        <v>1.2749000000000001</v>
      </c>
      <c r="AK13" s="408">
        <f t="shared" si="2"/>
        <v>0.61299999999999999</v>
      </c>
    </row>
    <row r="14" spans="19:37">
      <c r="S14" s="336" t="str">
        <f t="shared" si="0"/>
        <v/>
      </c>
      <c r="T14" s="336">
        <f t="shared" si="1"/>
        <v>13</v>
      </c>
      <c r="U14" s="401"/>
      <c r="V14" s="403" t="str">
        <v/>
      </c>
      <c r="W14" s="403" t="s">
        <v>29</v>
      </c>
      <c r="X14" s="409">
        <f>IF(LEN(W14)&gt;0,INDEX(BucketUsdOis_SourceMaturities,UsdChart!$T14),"")</f>
        <v>42881</v>
      </c>
      <c r="Y14" s="411" t="e">
        <f>IF(LEN($V14)&gt;0,INDEX('usd disaggregated'!chg_bps_StdnoFut,UsdChart!$S14),NA())</f>
        <v>#N/A</v>
      </c>
      <c r="Z14" s="411" t="e">
        <f>IF(LEN($V14)&gt;0,INDEX('usd disaggregated'!chg_bps_12M,UsdChart!$S14),NA())</f>
        <v>#N/A</v>
      </c>
      <c r="AA14" s="408" t="e">
        <f>IF(LEN($V14)&gt;0,INDEX('usd disaggregated'!chg_bps_3MnoFut,UsdChart!$S14),NA())</f>
        <v>#N/A</v>
      </c>
      <c r="AB14" s="411" t="e">
        <f>IF(LEN(V14)&gt;0,INDEX('usd disaggregated'!chg_bps_1M,UsdChart!$S14),NA())</f>
        <v>#N/A</v>
      </c>
      <c r="AC14" s="411" t="e">
        <f>IF(LEN(V14)&gt;0,INDEX('usd disaggregated'!chg_bps_6M,UsdChart!$S14),NA())</f>
        <v>#N/A</v>
      </c>
      <c r="AD14" s="411">
        <f>IF(LEN(W14)&gt;0,INDEX('usd disaggregated'!chg_bps_OIS,$T14),NA())</f>
        <v>0.30000000000000027</v>
      </c>
      <c r="AF14" s="408" t="e">
        <f>IF(LEN($V14)&gt;0,INDEX(UsdMID_Std,UsdChart!$S14),NA())</f>
        <v>#N/A</v>
      </c>
      <c r="AG14" s="408" t="e">
        <f>IF(LEN($V14)&gt;0,INDEX(UsdMID_12M,UsdChart!$S14),NA())</f>
        <v>#N/A</v>
      </c>
      <c r="AH14" s="408" t="e">
        <f>IF(LEN($V14)&gt;0,INDEX(UsdMID_3M,UsdChart!$S14),NA())</f>
        <v>#N/A</v>
      </c>
      <c r="AI14" s="408" t="e">
        <f>IF(LEN($V14)&gt;0,INDEX(UsdMID_1M,UsdChart!$S14),NA())</f>
        <v>#N/A</v>
      </c>
      <c r="AJ14" s="408" t="e">
        <f>IF(LEN($V14)&gt;0,INDEX(UsdMID_6M,UsdChart!$S14),NA())</f>
        <v>#N/A</v>
      </c>
      <c r="AK14" s="408">
        <f t="shared" si="2"/>
        <v>0.627</v>
      </c>
    </row>
    <row r="15" spans="19:37">
      <c r="S15" s="336" t="str">
        <f t="shared" si="0"/>
        <v/>
      </c>
      <c r="T15" s="336">
        <f t="shared" si="1"/>
        <v>14</v>
      </c>
      <c r="U15" s="401"/>
      <c r="V15" s="403" t="str">
        <v/>
      </c>
      <c r="W15" s="403" t="s">
        <v>30</v>
      </c>
      <c r="X15" s="410">
        <f>IF(LEN(W15)&gt;0,INDEX(BucketUsdOis_SourceMaturities,UsdChart!$T15),"")</f>
        <v>42912</v>
      </c>
      <c r="Y15" s="411" t="e">
        <f>IF(LEN($V15)&gt;0,INDEX('usd disaggregated'!chg_bps_StdnoFut,UsdChart!$S15),NA())</f>
        <v>#N/A</v>
      </c>
      <c r="Z15" s="411" t="e">
        <f>IF(LEN($V15)&gt;0,INDEX('usd disaggregated'!chg_bps_12M,UsdChart!$S15),NA())</f>
        <v>#N/A</v>
      </c>
      <c r="AA15" s="408" t="e">
        <f>IF(LEN($V15)&gt;0,INDEX('usd disaggregated'!chg_bps_3MnoFut,UsdChart!$S15),NA())</f>
        <v>#N/A</v>
      </c>
      <c r="AB15" s="411" t="e">
        <f>IF(LEN(V15)&gt;0,INDEX('usd disaggregated'!chg_bps_1M,UsdChart!$S15),NA())</f>
        <v>#N/A</v>
      </c>
      <c r="AC15" s="411" t="e">
        <f>IF(LEN(V15)&gt;0,INDEX('usd disaggregated'!chg_bps_6M,UsdChart!$S15),NA())</f>
        <v>#N/A</v>
      </c>
      <c r="AD15" s="411">
        <f>IF(LEN(W15)&gt;0,INDEX('usd disaggregated'!chg_bps_OIS,$T15),NA())</f>
        <v>0.60000000000000053</v>
      </c>
      <c r="AF15" s="408" t="e">
        <f>IF(LEN($V15)&gt;0,INDEX(UsdMID_Std,UsdChart!$S15),NA())</f>
        <v>#N/A</v>
      </c>
      <c r="AG15" s="408" t="e">
        <f>IF(LEN($V15)&gt;0,INDEX(UsdMID_12M,UsdChart!$S15),NA())</f>
        <v>#N/A</v>
      </c>
      <c r="AH15" s="408" t="e">
        <f>IF(LEN($V15)&gt;0,INDEX(UsdMID_3M,UsdChart!$S15),NA())</f>
        <v>#N/A</v>
      </c>
      <c r="AI15" s="408" t="e">
        <f>IF(LEN($V15)&gt;0,INDEX(UsdMID_1M,UsdChart!$S15),NA())</f>
        <v>#N/A</v>
      </c>
      <c r="AJ15" s="408" t="e">
        <f>IF(LEN($V15)&gt;0,INDEX(UsdMID_6M,UsdChart!$S15),NA())</f>
        <v>#N/A</v>
      </c>
      <c r="AK15" s="408">
        <f t="shared" si="2"/>
        <v>0.64800000000000002</v>
      </c>
    </row>
    <row r="16" spans="19:37">
      <c r="S16" s="336" t="str">
        <f t="shared" si="0"/>
        <v/>
      </c>
      <c r="T16" s="336">
        <f t="shared" si="1"/>
        <v>15</v>
      </c>
      <c r="U16" s="401"/>
      <c r="V16" s="404" t="str">
        <v/>
      </c>
      <c r="W16" s="404" t="s">
        <v>49</v>
      </c>
      <c r="X16" s="123">
        <f>IF(LEN(W16)&gt;0,INDEX(BucketUsdOis_SourceMaturities,UsdChart!$T16),"")</f>
        <v>42942</v>
      </c>
      <c r="Y16" s="411" t="e">
        <f>IF(LEN($V16)&gt;0,INDEX('usd disaggregated'!chg_bps_StdnoFut,UsdChart!$S16),NA())</f>
        <v>#N/A</v>
      </c>
      <c r="Z16" s="411" t="e">
        <f>IF(LEN($V16)&gt;0,INDEX('usd disaggregated'!chg_bps_12M,UsdChart!$S16),NA())</f>
        <v>#N/A</v>
      </c>
      <c r="AA16" s="408" t="e">
        <f>IF(LEN($V16)&gt;0,INDEX('usd disaggregated'!chg_bps_3MnoFut,UsdChart!$S16),NA())</f>
        <v>#N/A</v>
      </c>
      <c r="AB16" s="411" t="e">
        <f>IF(LEN(V16)&gt;0,INDEX('usd disaggregated'!chg_bps_1M,UsdChart!$S16),NA())</f>
        <v>#N/A</v>
      </c>
      <c r="AC16" s="411" t="e">
        <f>IF(LEN(V16)&gt;0,INDEX('usd disaggregated'!chg_bps_6M,UsdChart!$S16),NA())</f>
        <v>#N/A</v>
      </c>
      <c r="AD16" s="411">
        <f>IF(LEN(W16)&gt;0,INDEX('usd disaggregated'!chg_bps_OIS,$T16),NA())</f>
        <v>0.40000000000000036</v>
      </c>
      <c r="AF16" s="408" t="e">
        <f>IF(LEN($V16)&gt;0,INDEX(UsdMID_Std,UsdChart!$S16),NA())</f>
        <v>#N/A</v>
      </c>
      <c r="AG16" s="408" t="e">
        <f>IF(LEN($V16)&gt;0,INDEX(UsdMID_12M,UsdChart!$S16),NA())</f>
        <v>#N/A</v>
      </c>
      <c r="AH16" s="408" t="e">
        <f>IF(LEN($V16)&gt;0,INDEX(UsdMID_3M,UsdChart!$S16),NA())</f>
        <v>#N/A</v>
      </c>
      <c r="AI16" s="408" t="e">
        <f>IF(LEN($V16)&gt;0,INDEX(UsdMID_1M,UsdChart!$S16),NA())</f>
        <v>#N/A</v>
      </c>
      <c r="AJ16" s="408" t="e">
        <f>IF(LEN($V16)&gt;0,INDEX(UsdMID_6M,UsdChart!$S16),NA())</f>
        <v>#N/A</v>
      </c>
      <c r="AK16" s="408">
        <f t="shared" si="2"/>
        <v>0.66400000000000003</v>
      </c>
    </row>
    <row r="17" spans="19:37">
      <c r="S17" s="336" t="str">
        <f t="shared" si="0"/>
        <v/>
      </c>
      <c r="T17" s="336" t="str">
        <f t="shared" si="1"/>
        <v/>
      </c>
      <c r="U17" s="401"/>
      <c r="X17" s="406"/>
      <c r="AC17" s="401" t="str">
        <f>IF(LEN(V17)&gt;0,INDEX('usd disaggregated'!chg_bps_6M,UsdChart!$S17),"")</f>
        <v/>
      </c>
      <c r="AF17" s="401" t="str">
        <f>IF(LEN($V17)&gt;0,INDEX([0]!MID_Std,UsdChart!$S17),"")</f>
        <v/>
      </c>
      <c r="AG17" s="401" t="str">
        <f>IF(LEN($V17)&gt;0,INDEX(UsdMkt!MID_12M,UsdChart!$S17),"")</f>
        <v/>
      </c>
      <c r="AH17" s="401" t="str">
        <f>IF(LEN($V17)&gt;0,INDEX([0]!MID_3M,UsdChart!$S17),"")</f>
        <v/>
      </c>
      <c r="AI17" s="401" t="str">
        <f>IF(LEN($V17)&gt;0,INDEX([0]!MID_1M,UsdChart!$S17),"")</f>
        <v/>
      </c>
      <c r="AJ17" s="401" t="str">
        <f>IF(LEN($V17)&gt;0,INDEX([0]!MID_6M,UsdChart!$S17),"")</f>
        <v/>
      </c>
    </row>
    <row r="18" spans="19:37">
      <c r="S18" s="336">
        <f t="shared" si="0"/>
        <v>20</v>
      </c>
      <c r="T18" s="336">
        <f t="shared" ref="T18:T45" si="3">IF(LEN(V18)&gt;0,MATCH($V18,UsdBucketOIS,0),"")</f>
        <v>23</v>
      </c>
      <c r="U18" s="401"/>
      <c r="V18" s="402" t="str">
        <f t="array" ref="V18:V45">RemoverFilter(IF(UsdCommon_Instrument="W",UsdCommonBucket,""),"","")</f>
        <v>3Y</v>
      </c>
      <c r="X18" s="409">
        <f>IF(LEN(V18)&gt;0,INDEX(BucketMaturity,UsdChart!$S18),"")</f>
        <v>43791</v>
      </c>
      <c r="Y18" s="408">
        <f>IF(LEN($V18)&gt;0,INDEX('usd disaggregated'!chg_bps_StdnoFut,UsdChart!$S18),"")</f>
        <v>2.6999984000000143</v>
      </c>
      <c r="Z18" s="408">
        <f>IF(LEN($V18)&gt;0,INDEX('usd disaggregated'!chg_bps_12M,UsdChart!$S18),"")</f>
        <v>2.4551680000000298</v>
      </c>
      <c r="AA18" s="408">
        <f>IF(LEN($V18)&gt;0,INDEX('usd disaggregated'!chg_bps_3MnoFut,UsdChart!$S18),NA())</f>
        <v>2.6999984000000143</v>
      </c>
      <c r="AB18" s="408">
        <f>IF(LEN(V18)&gt;0,INDEX('usd disaggregated'!chg_bps_1M,UsdChart!$S18),"")</f>
        <v>2.9988642000000176</v>
      </c>
      <c r="AC18" s="408">
        <f>IF(LEN(V18)&gt;0,INDEX('usd disaggregated'!chg_bps_6M,UsdChart!$S18),"")</f>
        <v>2.7030646000000047</v>
      </c>
      <c r="AD18" s="411">
        <f>IF(LEN(V18)&gt;0,INDEX('usd disaggregated'!chg_bps_OIS,$T18),NA())</f>
        <v>2.8000000000000025</v>
      </c>
      <c r="AF18" s="408">
        <f>IF(LEN($V18)&gt;0,INDEX(UsdMID_Std,UsdChart!$S18),"")</f>
        <v>1.4539999840000002</v>
      </c>
      <c r="AG18" s="408">
        <f>IF(LEN($V18)&gt;0,INDEX(UsdMID_12M,UsdChart!$S18),"")</f>
        <v>1.9537483160000002</v>
      </c>
      <c r="AH18" s="408">
        <f>IF(LEN($V18)&gt;0,INDEX(UsdMID_3M,UsdChart!$S18),"")</f>
        <v>1.4539999840000002</v>
      </c>
      <c r="AI18" s="408">
        <f>IF(LEN($V18)&gt;0,INDEX(UsdMID_1M,UsdChart!$S18),"")</f>
        <v>1.2629602240000002</v>
      </c>
      <c r="AJ18" s="408">
        <f>IF(LEN($V18)&gt;0,INDEX(UsdMID_6M,UsdChart!$S18),"")</f>
        <v>1.6930762450000001</v>
      </c>
      <c r="AK18" s="408">
        <f t="shared" ref="AK18:AK45" si="4">IF(LEN($V18)&gt;0,INDEX(UsdMID_Ois,$T18),"")</f>
        <v>1.113</v>
      </c>
    </row>
    <row r="19" spans="19:37">
      <c r="S19" s="336">
        <f t="shared" si="0"/>
        <v>21</v>
      </c>
      <c r="T19" s="336">
        <f t="shared" si="3"/>
        <v>24</v>
      </c>
      <c r="U19" s="401"/>
      <c r="V19" s="403" t="str">
        <v>4Y</v>
      </c>
      <c r="X19" s="410">
        <f>IF(LEN(V19)&gt;0,INDEX(BucketMaturity,UsdChart!$S19),"")</f>
        <v>44158</v>
      </c>
      <c r="Y19" s="408">
        <f>IF(LEN($V19)&gt;0,INDEX('usd disaggregated'!chg_bps_StdnoFut,UsdChart!$S19),"")</f>
        <v>3.8999988000000041</v>
      </c>
      <c r="Z19" s="408">
        <f>IF(LEN($V19)&gt;0,INDEX('usd disaggregated'!chg_bps_12M,UsdChart!$S19),"")</f>
        <v>3.2801379000000352</v>
      </c>
      <c r="AA19" s="408">
        <f>IF(LEN($V19)&gt;0,INDEX('usd disaggregated'!chg_bps_3MnoFut,UsdChart!$S19),NA())</f>
        <v>3.8999988000000041</v>
      </c>
      <c r="AB19" s="408">
        <f>IF(LEN(V19)&gt;0,INDEX('usd disaggregated'!chg_bps_1M,UsdChart!$S19),"")</f>
        <v>5.3977957000000076</v>
      </c>
      <c r="AC19" s="408">
        <f>IF(LEN(V19)&gt;0,INDEX('usd disaggregated'!chg_bps_6M,UsdChart!$S19),"")</f>
        <v>4.0042725000000168</v>
      </c>
      <c r="AD19" s="411">
        <f>IF(LEN(V19)&gt;0,INDEX('usd disaggregated'!chg_bps_OIS,$T19),NA())</f>
        <v>4.0000000000000036</v>
      </c>
      <c r="AF19" s="408">
        <f>IF(LEN($V19)&gt;0,INDEX(UsdMID_Std,UsdChart!$S19),"")</f>
        <v>1.611999988</v>
      </c>
      <c r="AG19" s="408">
        <f>IF(LEN($V19)&gt;0,INDEX(UsdMID_12M,UsdChart!$S19),"")</f>
        <v>2.1032392290000002</v>
      </c>
      <c r="AH19" s="408">
        <f>IF(LEN($V19)&gt;0,INDEX(UsdMID_3M,UsdChart!$S19),"")</f>
        <v>1.611999988</v>
      </c>
      <c r="AI19" s="408">
        <f>IF(LEN($V19)&gt;0,INDEX(UsdMID_1M,UsdChart!$S19),"")</f>
        <v>1.437930825</v>
      </c>
      <c r="AJ19" s="408">
        <f>IF(LEN($V19)&gt;0,INDEX(UsdMID_6M,UsdChart!$S19),"")</f>
        <v>1.8341262140000001</v>
      </c>
      <c r="AK19" s="408">
        <f t="shared" si="4"/>
        <v>1.2710000000000001</v>
      </c>
    </row>
    <row r="20" spans="19:37">
      <c r="S20" s="336">
        <f t="shared" si="0"/>
        <v>22</v>
      </c>
      <c r="T20" s="336">
        <f t="shared" si="3"/>
        <v>25</v>
      </c>
      <c r="U20" s="401"/>
      <c r="V20" s="403" t="str">
        <v>5Y</v>
      </c>
      <c r="X20" s="410">
        <f>IF(LEN(V20)&gt;0,INDEX(BucketMaturity,UsdChart!$S20),"")</f>
        <v>44522</v>
      </c>
      <c r="Y20" s="408">
        <f>IF(LEN($V20)&gt;0,INDEX('usd disaggregated'!chg_bps_StdnoFut,UsdChart!$S20),"")</f>
        <v>5.0999989999999995</v>
      </c>
      <c r="Z20" s="408">
        <f>IF(LEN($V20)&gt;0,INDEX('usd disaggregated'!chg_bps_12M,UsdChart!$S20),"")</f>
        <v>5.4871302000000455</v>
      </c>
      <c r="AA20" s="408">
        <f>IF(LEN($V20)&gt;0,INDEX('usd disaggregated'!chg_bps_3MnoFut,UsdChart!$S20),NA())</f>
        <v>5.0999989999999995</v>
      </c>
      <c r="AB20" s="408">
        <f>IF(LEN(V20)&gt;0,INDEX('usd disaggregated'!chg_bps_1M,UsdChart!$S20),"")</f>
        <v>5.297371399999995</v>
      </c>
      <c r="AC20" s="408">
        <f>IF(LEN(V20)&gt;0,INDEX('usd disaggregated'!chg_bps_6M,UsdChart!$S20),"")</f>
        <v>5.2048989000000212</v>
      </c>
      <c r="AD20" s="411">
        <f>IF(LEN(V20)&gt;0,INDEX('usd disaggregated'!chg_bps_OIS,$T20),NA())</f>
        <v>5.1000000000000156</v>
      </c>
      <c r="AF20" s="408">
        <f>IF(LEN($V20)&gt;0,INDEX(UsdMID_Std,UsdChart!$S20),"")</f>
        <v>1.7429999899999999</v>
      </c>
      <c r="AG20" s="408">
        <f>IF(LEN($V20)&gt;0,INDEX(UsdMID_12M,UsdChart!$S20),"")</f>
        <v>2.2306958910000003</v>
      </c>
      <c r="AH20" s="408">
        <f>IF(LEN($V20)&gt;0,INDEX(UsdMID_3M,UsdChart!$S20),"")</f>
        <v>1.7429999899999999</v>
      </c>
      <c r="AI20" s="408">
        <f>IF(LEN($V20)&gt;0,INDEX(UsdMID_1M,UsdChart!$S20),"")</f>
        <v>1.582926166</v>
      </c>
      <c r="AJ20" s="408">
        <f>IF(LEN($V20)&gt;0,INDEX(UsdMID_6M,UsdChart!$S20),"")</f>
        <v>1.9501456970000002</v>
      </c>
      <c r="AK20" s="408">
        <f t="shared" si="4"/>
        <v>1.4020000000000001</v>
      </c>
    </row>
    <row r="21" spans="19:37">
      <c r="S21" s="336">
        <f t="shared" si="0"/>
        <v>23</v>
      </c>
      <c r="T21" s="336">
        <f t="shared" si="3"/>
        <v>26</v>
      </c>
      <c r="U21" s="401"/>
      <c r="V21" s="403" t="str">
        <v>6Y</v>
      </c>
      <c r="X21" s="410">
        <f>IF(LEN(V21)&gt;0,INDEX(BucketMaturity,UsdChart!$S21),"")</f>
        <v>44887</v>
      </c>
      <c r="Y21" s="408">
        <f>IF(LEN($V21)&gt;0,INDEX('usd disaggregated'!chg_bps_StdnoFut,UsdChart!$S21),"")</f>
        <v>5.6999990000000222</v>
      </c>
      <c r="Z21" s="408">
        <f>IF(LEN($V21)&gt;0,INDEX('usd disaggregated'!chg_bps_12M,UsdChart!$S21),"")</f>
        <v>5.8369792999999781</v>
      </c>
      <c r="AA21" s="408">
        <f>IF(LEN($V21)&gt;0,INDEX('usd disaggregated'!chg_bps_3MnoFut,UsdChart!$S21),NA())</f>
        <v>5.6999990000000222</v>
      </c>
      <c r="AB21" s="408">
        <f>IF(LEN(V21)&gt;0,INDEX('usd disaggregated'!chg_bps_1M,UsdChart!$S21),"")</f>
        <v>4.3957980000000285</v>
      </c>
      <c r="AC21" s="408">
        <f>IF(LEN(V21)&gt;0,INDEX('usd disaggregated'!chg_bps_6M,UsdChart!$S21),"")</f>
        <v>5.8052924000000061</v>
      </c>
      <c r="AD21" s="411">
        <f>IF(LEN(V21)&gt;0,INDEX('usd disaggregated'!chg_bps_OIS,$T21),NA())</f>
        <v>5.8999999999999941</v>
      </c>
      <c r="AF21" s="408">
        <f>IF(LEN($V21)&gt;0,INDEX(UsdMID_Std,UsdChart!$S21),"")</f>
        <v>1.8549999920000002</v>
      </c>
      <c r="AG21" s="408">
        <f>IF(LEN($V21)&gt;0,INDEX(UsdMID_12M,UsdChart!$S21),"")</f>
        <v>2.3315723699999999</v>
      </c>
      <c r="AH21" s="408">
        <f>IF(LEN($V21)&gt;0,INDEX(UsdMID_3M,UsdChart!$S21),"")</f>
        <v>1.8549999920000002</v>
      </c>
      <c r="AI21" s="408">
        <f>IF(LEN($V21)&gt;0,INDEX(UsdMID_1M,UsdChart!$S21),"")</f>
        <v>1.7059276440000002</v>
      </c>
      <c r="AJ21" s="408">
        <f>IF(LEN($V21)&gt;0,INDEX(UsdMID_6M,UsdChart!$S21),"")</f>
        <v>2.052168274</v>
      </c>
      <c r="AK21" s="408">
        <f t="shared" si="4"/>
        <v>1.514</v>
      </c>
    </row>
    <row r="22" spans="19:37">
      <c r="S22" s="336">
        <f t="shared" si="0"/>
        <v>24</v>
      </c>
      <c r="T22" s="336">
        <f t="shared" si="3"/>
        <v>27</v>
      </c>
      <c r="U22" s="401"/>
      <c r="V22" s="403" t="str">
        <v>7Y</v>
      </c>
      <c r="X22" s="410">
        <f>IF(LEN(V22)&gt;0,INDEX(BucketMaturity,UsdChart!$S22),"")</f>
        <v>45252</v>
      </c>
      <c r="Y22" s="408">
        <f>IF(LEN($V22)&gt;0,INDEX('usd disaggregated'!chg_bps_StdnoFut,UsdChart!$S22),"")</f>
        <v>5.8999991999999946</v>
      </c>
      <c r="Z22" s="408">
        <f>IF(LEN($V22)&gt;0,INDEX('usd disaggregated'!chg_bps_12M,UsdChart!$S22),"")</f>
        <v>5.7852834999999825</v>
      </c>
      <c r="AA22" s="408">
        <f>IF(LEN($V22)&gt;0,INDEX('usd disaggregated'!chg_bps_3MnoFut,UsdChart!$S22),NA())</f>
        <v>5.8999991999999946</v>
      </c>
      <c r="AB22" s="408">
        <f>IF(LEN(V22)&gt;0,INDEX('usd disaggregated'!chg_bps_1M,UsdChart!$S22),"")</f>
        <v>5.9967058000000018</v>
      </c>
      <c r="AC22" s="408">
        <f>IF(LEN(V22)&gt;0,INDEX('usd disaggregated'!chg_bps_6M,UsdChart!$S22),"")</f>
        <v>6.105835000000015</v>
      </c>
      <c r="AD22" s="411">
        <f>IF(LEN(V22)&gt;0,INDEX('usd disaggregated'!chg_bps_OIS,$T22),NA())</f>
        <v>6.0999999999999943</v>
      </c>
      <c r="AF22" s="408">
        <f>IF(LEN($V22)&gt;0,INDEX(UsdMID_Std,UsdChart!$S22),"")</f>
        <v>1.945999993</v>
      </c>
      <c r="AG22" s="408">
        <f>IF(LEN($V22)&gt;0,INDEX(UsdMID_12M,UsdChart!$S22),"")</f>
        <v>2.405114368</v>
      </c>
      <c r="AH22" s="408">
        <f>IF(LEN($V22)&gt;0,INDEX(UsdMID_3M,UsdChart!$S22),"")</f>
        <v>1.945999993</v>
      </c>
      <c r="AI22" s="408">
        <f>IF(LEN($V22)&gt;0,INDEX(UsdMID_1M,UsdChart!$S22),"")</f>
        <v>1.80593783</v>
      </c>
      <c r="AJ22" s="408">
        <f>IF(LEN($V22)&gt;0,INDEX(UsdMID_6M,UsdChart!$S22),"")</f>
        <v>2.1361871090000002</v>
      </c>
      <c r="AK22" s="408">
        <f t="shared" si="4"/>
        <v>1.605</v>
      </c>
    </row>
    <row r="23" spans="19:37">
      <c r="S23" s="336">
        <f t="shared" si="0"/>
        <v>25</v>
      </c>
      <c r="T23" s="336">
        <f t="shared" si="3"/>
        <v>28</v>
      </c>
      <c r="U23" s="401"/>
      <c r="V23" s="403" t="str">
        <v>8Y</v>
      </c>
      <c r="X23" s="410">
        <f>IF(LEN(V23)&gt;0,INDEX(BucketMaturity,UsdChart!$S23),"")</f>
        <v>45618</v>
      </c>
      <c r="Y23" s="408">
        <f>IF(LEN($V23)&gt;0,INDEX('usd disaggregated'!chg_bps_StdnoFut,UsdChart!$S23),"")</f>
        <v>6.0999993000000252</v>
      </c>
      <c r="Z23" s="408">
        <f>IF(LEN($V23)&gt;0,INDEX('usd disaggregated'!chg_bps_12M,UsdChart!$S23),"")</f>
        <v>6.1109754000000294</v>
      </c>
      <c r="AA23" s="408">
        <f>IF(LEN($V23)&gt;0,INDEX('usd disaggregated'!chg_bps_3MnoFut,UsdChart!$S23),NA())</f>
        <v>6.0999993000000252</v>
      </c>
      <c r="AB23" s="408">
        <f>IF(LEN(V23)&gt;0,INDEX('usd disaggregated'!chg_bps_1M,UsdChart!$S23),"")</f>
        <v>5.0984101000000059</v>
      </c>
      <c r="AC23" s="408">
        <f>IF(LEN(V23)&gt;0,INDEX('usd disaggregated'!chg_bps_6M,UsdChart!$S23),"")</f>
        <v>6.305900000000042</v>
      </c>
      <c r="AD23" s="411">
        <f>IF(LEN(V23)&gt;0,INDEX('usd disaggregated'!chg_bps_OIS,$T23),NA())</f>
        <v>6.2999999999999945</v>
      </c>
      <c r="AF23" s="408">
        <f>IF(LEN($V23)&gt;0,INDEX(UsdMID_Std,UsdChart!$S23),"")</f>
        <v>2.0219999940000002</v>
      </c>
      <c r="AG23" s="408">
        <f>IF(LEN($V23)&gt;0,INDEX(UsdMID_12M,UsdChart!$S23),"")</f>
        <v>2.4648802830000003</v>
      </c>
      <c r="AH23" s="408">
        <f>IF(LEN($V23)&gt;0,INDEX(UsdMID_3M,UsdChart!$S23),"")</f>
        <v>2.0219999940000002</v>
      </c>
      <c r="AI23" s="408">
        <f>IF(LEN($V23)&gt;0,INDEX(UsdMID_1M,UsdChart!$S23),"")</f>
        <v>1.8909636010000002</v>
      </c>
      <c r="AJ23" s="408">
        <f>IF(LEN($V23)&gt;0,INDEX(UsdMID_6M,UsdChart!$S23),"")</f>
        <v>2.2072049920000003</v>
      </c>
      <c r="AK23" s="408">
        <f t="shared" si="4"/>
        <v>1.68</v>
      </c>
    </row>
    <row r="24" spans="19:37">
      <c r="S24" s="336">
        <f t="shared" si="0"/>
        <v>26</v>
      </c>
      <c r="T24" s="336">
        <f t="shared" si="3"/>
        <v>29</v>
      </c>
      <c r="U24" s="401"/>
      <c r="V24" s="403" t="str">
        <v>9Y</v>
      </c>
      <c r="X24" s="410">
        <f>IF(LEN(V24)&gt;0,INDEX(BucketMaturity,UsdChart!$S24),"")</f>
        <v>45985</v>
      </c>
      <c r="Y24" s="408">
        <f>IF(LEN($V24)&gt;0,INDEX('usd disaggregated'!chg_bps_StdnoFut,UsdChart!$S24),"")</f>
        <v>6.1999992999999698</v>
      </c>
      <c r="Z24" s="408">
        <f>IF(LEN($V24)&gt;0,INDEX('usd disaggregated'!chg_bps_12M,UsdChart!$S24),"")</f>
        <v>6.0852113000000152</v>
      </c>
      <c r="AA24" s="408">
        <f>IF(LEN($V24)&gt;0,INDEX('usd disaggregated'!chg_bps_3MnoFut,UsdChart!$S24),NA())</f>
        <v>6.1999992999999698</v>
      </c>
      <c r="AB24" s="408">
        <f>IF(LEN(V24)&gt;0,INDEX('usd disaggregated'!chg_bps_1M,UsdChart!$S24),"")</f>
        <v>6.498507099999995</v>
      </c>
      <c r="AC24" s="408">
        <f>IF(LEN(V24)&gt;0,INDEX('usd disaggregated'!chg_bps_6M,UsdChart!$S24),"")</f>
        <v>6.3053678000000168</v>
      </c>
      <c r="AD24" s="411">
        <f>IF(LEN(V24)&gt;0,INDEX('usd disaggregated'!chg_bps_OIS,$T24),NA())</f>
        <v>6.5000000000000169</v>
      </c>
      <c r="AF24" s="408">
        <f>IF(LEN($V24)&gt;0,INDEX(UsdMID_Std,UsdChart!$S24),"")</f>
        <v>2.0849999939999999</v>
      </c>
      <c r="AG24" s="408">
        <f>IF(LEN($V24)&gt;0,INDEX(UsdMID_12M,UsdChart!$S24),"")</f>
        <v>2.512878035</v>
      </c>
      <c r="AH24" s="408">
        <f>IF(LEN($V24)&gt;0,INDEX(UsdMID_3M,UsdChart!$S24),"")</f>
        <v>2.0849999939999999</v>
      </c>
      <c r="AI24" s="408">
        <f>IF(LEN($V24)&gt;0,INDEX(UsdMID_1M,UsdChart!$S24),"")</f>
        <v>1.959976825</v>
      </c>
      <c r="AJ24" s="408">
        <f>IF(LEN($V24)&gt;0,INDEX(UsdMID_6M,UsdChart!$S24),"")</f>
        <v>2.266219403</v>
      </c>
      <c r="AK24" s="408">
        <f t="shared" si="4"/>
        <v>1.7430000000000001</v>
      </c>
    </row>
    <row r="25" spans="19:37">
      <c r="S25" s="336">
        <f t="shared" si="0"/>
        <v>27</v>
      </c>
      <c r="T25" s="336">
        <f t="shared" si="3"/>
        <v>30</v>
      </c>
      <c r="U25" s="401"/>
      <c r="V25" s="403" t="str">
        <v>10Y</v>
      </c>
      <c r="X25" s="410">
        <f>IF(LEN(V25)&gt;0,INDEX(BucketMaturity,UsdChart!$S25),"")</f>
        <v>46349</v>
      </c>
      <c r="Y25" s="408">
        <f>IF(LEN($V25)&gt;0,INDEX('usd disaggregated'!chg_bps_StdnoFut,UsdChart!$S25),"")</f>
        <v>6.1999993999999781</v>
      </c>
      <c r="Z25" s="408">
        <f>IF(LEN($V25)&gt;0,INDEX('usd disaggregated'!chg_bps_12M,UsdChart!$S25),"")</f>
        <v>6.0843328000000252</v>
      </c>
      <c r="AA25" s="408">
        <f>IF(LEN($V25)&gt;0,INDEX('usd disaggregated'!chg_bps_3MnoFut,UsdChart!$S25),NA())</f>
        <v>6.1999993999999781</v>
      </c>
      <c r="AB25" s="408">
        <f>IF(LEN(V25)&gt;0,INDEX('usd disaggregated'!chg_bps_1M,UsdChart!$S25),"")</f>
        <v>7.7989063000000192</v>
      </c>
      <c r="AC25" s="408">
        <f>IF(LEN(V25)&gt;0,INDEX('usd disaggregated'!chg_bps_6M,UsdChart!$S25),"")</f>
        <v>6.3050907000000045</v>
      </c>
      <c r="AD25" s="411">
        <f>IF(LEN(V25)&gt;0,INDEX('usd disaggregated'!chg_bps_OIS,$T25),NA())</f>
        <v>6.4000000000000057</v>
      </c>
      <c r="AF25" s="408">
        <f>IF(LEN($V25)&gt;0,INDEX(UsdMID_Std,UsdChart!$S25),"")</f>
        <v>2.1379999949999999</v>
      </c>
      <c r="AG25" s="408">
        <f>IF(LEN($V25)&gt;0,INDEX(UsdMID_12M,UsdChart!$S25),"")</f>
        <v>2.5521074480000001</v>
      </c>
      <c r="AH25" s="408">
        <f>IF(LEN($V25)&gt;0,INDEX(UsdMID_3M,UsdChart!$S25),"")</f>
        <v>2.1379999949999999</v>
      </c>
      <c r="AI25" s="408">
        <f>IF(LEN($V25)&gt;0,INDEX(UsdMID_1M,UsdChart!$S25),"")</f>
        <v>2.0179921420000002</v>
      </c>
      <c r="AJ25" s="408">
        <f>IF(LEN($V25)&gt;0,INDEX(UsdMID_6M,UsdChart!$S25),"")</f>
        <v>2.3162302660000003</v>
      </c>
      <c r="AK25" s="408">
        <f t="shared" si="4"/>
        <v>1.794</v>
      </c>
    </row>
    <row r="26" spans="19:37">
      <c r="S26" s="336">
        <f t="shared" si="0"/>
        <v>28</v>
      </c>
      <c r="T26" s="336" t="e">
        <f t="shared" si="3"/>
        <v>#N/A</v>
      </c>
      <c r="U26" s="401"/>
      <c r="V26" s="403" t="str">
        <v>11Y</v>
      </c>
      <c r="X26" s="410">
        <f>IF(LEN(V26)&gt;0,INDEX(BucketMaturity,UsdChart!$S26),"")</f>
        <v>46713</v>
      </c>
      <c r="Y26" s="408">
        <f>IF(LEN($V26)&gt;0,INDEX('usd disaggregated'!chg_bps_StdnoFut,UsdChart!$S26),"")</f>
        <v>6.1176047000000011</v>
      </c>
      <c r="Z26" s="408">
        <f>IF(LEN($V26)&gt;0,INDEX('usd disaggregated'!chg_bps_12M,UsdChart!$S26),"")</f>
        <v>6.1274366000000136</v>
      </c>
      <c r="AA26" s="408">
        <f>IF(LEN($V26)&gt;0,INDEX('usd disaggregated'!chg_bps_3MnoFut,UsdChart!$S26),NA())</f>
        <v>6.1176047000000011</v>
      </c>
      <c r="AB26" s="408">
        <f>IF(LEN(V26)&gt;0,INDEX('usd disaggregated'!chg_bps_1M,UsdChart!$S26),"")</f>
        <v>6.4171897000000033</v>
      </c>
      <c r="AC26" s="408">
        <f>IF(LEN(V26)&gt;0,INDEX('usd disaggregated'!chg_bps_6M,UsdChart!$S26),"")</f>
        <v>6.1386074000000068</v>
      </c>
      <c r="AD26" s="411" t="e">
        <f>IF(LEN(V26)&gt;0,INDEX('usd disaggregated'!chg_bps_OIS,$T26),NA())</f>
        <v>#N/A</v>
      </c>
      <c r="AF26" s="408">
        <f>IF(LEN($V26)&gt;0,INDEX(UsdMID_Std,UsdChart!$S26),"")</f>
        <v>2.183271768</v>
      </c>
      <c r="AG26" s="408">
        <f>IF(LEN($V26)&gt;0,INDEX(UsdMID_12M,UsdChart!$S26),"")</f>
        <v>2.5873721460000003</v>
      </c>
      <c r="AH26" s="408">
        <f>IF(LEN($V26)&gt;0,INDEX(UsdMID_3M,UsdChart!$S26),"")</f>
        <v>2.183271768</v>
      </c>
      <c r="AI26" s="408">
        <f>IF(LEN($V26)&gt;0,INDEX(UsdMID_1M,UsdChart!$S26),"")</f>
        <v>2.0679774900000001</v>
      </c>
      <c r="AJ26" s="408">
        <f>IF(LEN($V26)&gt;0,INDEX(UsdMID_6M,UsdChart!$S26),"")</f>
        <v>2.3592859170000002</v>
      </c>
      <c r="AK26" s="408" t="e">
        <f t="shared" si="4"/>
        <v>#N/A</v>
      </c>
    </row>
    <row r="27" spans="19:37">
      <c r="S27" s="336">
        <f t="shared" si="0"/>
        <v>29</v>
      </c>
      <c r="T27" s="336">
        <f t="shared" si="3"/>
        <v>31</v>
      </c>
      <c r="U27" s="401"/>
      <c r="V27" s="403" t="str">
        <v>12Y</v>
      </c>
      <c r="X27" s="410">
        <f>IF(LEN(V27)&gt;0,INDEX(BucketMaturity,UsdChart!$S27),"")</f>
        <v>47079</v>
      </c>
      <c r="Y27" s="408">
        <f>IF(LEN($V27)&gt;0,INDEX('usd disaggregated'!chg_bps_StdnoFut,UsdChart!$S27),"")</f>
        <v>6.0000001000000136</v>
      </c>
      <c r="Z27" s="408">
        <f>IF(LEN($V27)&gt;0,INDEX('usd disaggregated'!chg_bps_12M,UsdChart!$S27),"")</f>
        <v>6.0095723999999962</v>
      </c>
      <c r="AA27" s="408">
        <f>IF(LEN($V27)&gt;0,INDEX('usd disaggregated'!chg_bps_3MnoFut,UsdChart!$S27),NA())</f>
        <v>6.0000001000000136</v>
      </c>
      <c r="AB27" s="408">
        <f>IF(LEN(V27)&gt;0,INDEX('usd disaggregated'!chg_bps_1M,UsdChart!$S27),"")</f>
        <v>4.9993173000000279</v>
      </c>
      <c r="AC27" s="408">
        <f>IF(LEN(V27)&gt;0,INDEX('usd disaggregated'!chg_bps_6M,UsdChart!$S27),"")</f>
        <v>5.9035710000000297</v>
      </c>
      <c r="AD27" s="411">
        <f>IF(LEN(V27)&gt;0,INDEX('usd disaggregated'!chg_bps_OIS,$T27),NA())</f>
        <v>6.2999999999999945</v>
      </c>
      <c r="AF27" s="408">
        <f>IF(LEN($V27)&gt;0,INDEX(UsdMID_Std,UsdChart!$S27),"")</f>
        <v>2.2219999960000001</v>
      </c>
      <c r="AG27" s="408">
        <f>IF(LEN($V27)&gt;0,INDEX(UsdMID_12M,UsdChart!$S27),"")</f>
        <v>2.6160828860000001</v>
      </c>
      <c r="AH27" s="408">
        <f>IF(LEN($V27)&gt;0,INDEX(UsdMID_3M,UsdChart!$S27),"")</f>
        <v>2.2219999960000001</v>
      </c>
      <c r="AI27" s="408">
        <f>IF(LEN($V27)&gt;0,INDEX(UsdMID_1M,UsdChart!$S27),"")</f>
        <v>2.1110286600000001</v>
      </c>
      <c r="AJ27" s="408">
        <f>IF(LEN($V27)&gt;0,INDEX(UsdMID_6M,UsdChart!$S27),"")</f>
        <v>2.3962530010000003</v>
      </c>
      <c r="AK27" s="408">
        <f t="shared" si="4"/>
        <v>1.877</v>
      </c>
    </row>
    <row r="28" spans="19:37">
      <c r="S28" s="336">
        <f t="shared" si="0"/>
        <v>30</v>
      </c>
      <c r="T28" s="336" t="e">
        <f t="shared" si="3"/>
        <v>#N/A</v>
      </c>
      <c r="U28" s="401"/>
      <c r="V28" s="403" t="str">
        <v>13Y</v>
      </c>
      <c r="X28" s="410">
        <f>IF(LEN(V28)&gt;0,INDEX(BucketMaturity,UsdChart!$S28),"")</f>
        <v>47444</v>
      </c>
      <c r="Y28" s="408">
        <f>IF(LEN($V28)&gt;0,INDEX('usd disaggregated'!chg_bps_StdnoFut,UsdChart!$S28),"")</f>
        <v>5.8790947999999954</v>
      </c>
      <c r="Z28" s="408">
        <f>IF(LEN($V28)&gt;0,INDEX('usd disaggregated'!chg_bps_12M,UsdChart!$S28),"")</f>
        <v>5.8263785999999929</v>
      </c>
      <c r="AA28" s="408">
        <f>IF(LEN($V28)&gt;0,INDEX('usd disaggregated'!chg_bps_3MnoFut,UsdChart!$S28),NA())</f>
        <v>5.8790947999999954</v>
      </c>
      <c r="AB28" s="408">
        <f>IF(LEN(V28)&gt;0,INDEX('usd disaggregated'!chg_bps_1M,UsdChart!$S28),"")</f>
        <v>6.1887023999999791</v>
      </c>
      <c r="AC28" s="408">
        <f>IF(LEN(V28)&gt;0,INDEX('usd disaggregated'!chg_bps_6M,UsdChart!$S28),"")</f>
        <v>5.7076285000000393</v>
      </c>
      <c r="AD28" s="411" t="e">
        <f>IF(LEN(V28)&gt;0,INDEX('usd disaggregated'!chg_bps_OIS,$T28),NA())</f>
        <v>#N/A</v>
      </c>
      <c r="AF28" s="408">
        <f>IF(LEN($V28)&gt;0,INDEX(UsdMID_Std,UsdChart!$S28),"")</f>
        <v>2.2543114989999999</v>
      </c>
      <c r="AG28" s="408">
        <f>IF(LEN($V28)&gt;0,INDEX(UsdMID_12M,UsdChart!$S28),"")</f>
        <v>2.6394364850000001</v>
      </c>
      <c r="AH28" s="408">
        <f>IF(LEN($V28)&gt;0,INDEX(UsdMID_3M,UsdChart!$S28),"")</f>
        <v>2.2543114989999999</v>
      </c>
      <c r="AI28" s="408">
        <f>IF(LEN($V28)&gt;0,INDEX(UsdMID_1M,UsdChart!$S28),"")</f>
        <v>2.1470911999999998</v>
      </c>
      <c r="AJ28" s="408">
        <f>IF(LEN($V28)&gt;0,INDEX(UsdMID_6M,UsdChart!$S28),"")</f>
        <v>2.4270254440000003</v>
      </c>
      <c r="AK28" s="408" t="e">
        <f t="shared" si="4"/>
        <v>#N/A</v>
      </c>
    </row>
    <row r="29" spans="19:37">
      <c r="S29" s="336">
        <f t="shared" si="0"/>
        <v>31</v>
      </c>
      <c r="T29" s="336" t="e">
        <f t="shared" si="3"/>
        <v>#N/A</v>
      </c>
      <c r="U29" s="401"/>
      <c r="V29" s="403" t="str">
        <v>14Y</v>
      </c>
      <c r="X29" s="410">
        <f>IF(LEN(V29)&gt;0,INDEX(BucketMaturity,UsdChart!$S29),"")</f>
        <v>47809</v>
      </c>
      <c r="Y29" s="408">
        <f>IF(LEN($V29)&gt;0,INDEX('usd disaggregated'!chg_bps_StdnoFut,UsdChart!$S29),"")</f>
        <v>5.8872715000000131</v>
      </c>
      <c r="Z29" s="408">
        <f>IF(LEN($V29)&gt;0,INDEX('usd disaggregated'!chg_bps_12M,UsdChart!$S29),"")</f>
        <v>5.8005840999999947</v>
      </c>
      <c r="AA29" s="408">
        <f>IF(LEN($V29)&gt;0,INDEX('usd disaggregated'!chg_bps_3MnoFut,UsdChart!$S29),NA())</f>
        <v>5.8872715000000131</v>
      </c>
      <c r="AB29" s="408">
        <f>IF(LEN(V29)&gt;0,INDEX('usd disaggregated'!chg_bps_1M,UsdChart!$S29),"")</f>
        <v>7.4998068999999834</v>
      </c>
      <c r="AC29" s="408">
        <f>IF(LEN(V29)&gt;0,INDEX('usd disaggregated'!chg_bps_6M,UsdChart!$S29),"")</f>
        <v>5.6901947000000064</v>
      </c>
      <c r="AD29" s="411" t="e">
        <f>IF(LEN(V29)&gt;0,INDEX('usd disaggregated'!chg_bps_OIS,$T29),NA())</f>
        <v>#N/A</v>
      </c>
      <c r="AF29" s="408">
        <f>IF(LEN($V29)&gt;0,INDEX(UsdMID_Std,UsdChart!$S29),"")</f>
        <v>2.282687234</v>
      </c>
      <c r="AG29" s="408">
        <f>IF(LEN($V29)&gt;0,INDEX(UsdMID_12M,UsdChart!$S29),"")</f>
        <v>2.6608855170000001</v>
      </c>
      <c r="AH29" s="408">
        <f>IF(LEN($V29)&gt;0,INDEX(UsdMID_3M,UsdChart!$S29),"")</f>
        <v>2.282687234</v>
      </c>
      <c r="AI29" s="408">
        <f>IF(LEN($V29)&gt;0,INDEX(UsdMID_1M,UsdChart!$S29),"")</f>
        <v>2.178230814</v>
      </c>
      <c r="AJ29" s="408">
        <f>IF(LEN($V29)&gt;0,INDEX(UsdMID_6M,UsdChart!$S29),"")</f>
        <v>2.4541139570000001</v>
      </c>
      <c r="AK29" s="408" t="e">
        <f t="shared" si="4"/>
        <v>#N/A</v>
      </c>
    </row>
    <row r="30" spans="19:37">
      <c r="S30" s="336">
        <f t="shared" si="0"/>
        <v>32</v>
      </c>
      <c r="T30" s="336">
        <f t="shared" si="3"/>
        <v>32</v>
      </c>
      <c r="U30" s="401"/>
      <c r="V30" s="403" t="str">
        <v>15Y</v>
      </c>
      <c r="X30" s="410">
        <f>IF(LEN(V30)&gt;0,INDEX(BucketMaturity,UsdChart!$S30),"")</f>
        <v>48176</v>
      </c>
      <c r="Y30" s="408">
        <f>IF(LEN($V30)&gt;0,INDEX('usd disaggregated'!chg_bps_StdnoFut,UsdChart!$S30),"")</f>
        <v>5.8999997000000359</v>
      </c>
      <c r="Z30" s="408">
        <f>IF(LEN($V30)&gt;0,INDEX('usd disaggregated'!chg_bps_12M,UsdChart!$S30),"")</f>
        <v>5.7829094999999775</v>
      </c>
      <c r="AA30" s="408">
        <f>IF(LEN($V30)&gt;0,INDEX('usd disaggregated'!chg_bps_3MnoFut,UsdChart!$S30),NA())</f>
        <v>5.8999997000000359</v>
      </c>
      <c r="AB30" s="408">
        <f>IF(LEN(V30)&gt;0,INDEX('usd disaggregated'!chg_bps_1M,UsdChart!$S30),"")</f>
        <v>4.8997280000000032</v>
      </c>
      <c r="AC30" s="408">
        <f>IF(LEN(V30)&gt;0,INDEX('usd disaggregated'!chg_bps_6M,UsdChart!$S30),"")</f>
        <v>5.702591899999998</v>
      </c>
      <c r="AD30" s="411">
        <f>IF(LEN(V30)&gt;0,INDEX('usd disaggregated'!chg_bps_OIS,$T30),NA())</f>
        <v>6.1000000000000165</v>
      </c>
      <c r="AF30" s="408">
        <f>IF(LEN($V30)&gt;0,INDEX(UsdMID_Std,UsdChart!$S30),"")</f>
        <v>2.3069999920000002</v>
      </c>
      <c r="AG30" s="408">
        <f>IF(LEN($V30)&gt;0,INDEX(UsdMID_12M,UsdChart!$S30),"")</f>
        <v>2.679785452</v>
      </c>
      <c r="AH30" s="408">
        <f>IF(LEN($V30)&gt;0,INDEX(UsdMID_3M,UsdChart!$S30),"")</f>
        <v>2.3069999920000002</v>
      </c>
      <c r="AI30" s="408">
        <f>IF(LEN($V30)&gt;0,INDEX(UsdMID_1M,UsdChart!$S30),"")</f>
        <v>2.20406295</v>
      </c>
      <c r="AJ30" s="408">
        <f>IF(LEN($V30)&gt;0,INDEX(UsdMID_6M,UsdChart!$S30),"")</f>
        <v>2.477272481</v>
      </c>
      <c r="AK30" s="408">
        <f t="shared" si="4"/>
        <v>1.9590000000000001</v>
      </c>
    </row>
    <row r="31" spans="19:37">
      <c r="S31" s="336">
        <f t="shared" si="0"/>
        <v>33</v>
      </c>
      <c r="T31" s="336" t="e">
        <f t="shared" si="3"/>
        <v>#N/A</v>
      </c>
      <c r="U31" s="401"/>
      <c r="V31" s="403" t="str">
        <v>16Y</v>
      </c>
      <c r="X31" s="410">
        <f>IF(LEN(V31)&gt;0,INDEX(BucketMaturity,UsdChart!$S31),"")</f>
        <v>48540</v>
      </c>
      <c r="Y31" s="408">
        <f>IF(LEN($V31)&gt;0,INDEX('usd disaggregated'!chg_bps_StdnoFut,UsdChart!$S31),"")</f>
        <v>5.8998992999999889</v>
      </c>
      <c r="Z31" s="408">
        <f>IF(LEN($V31)&gt;0,INDEX('usd disaggregated'!chg_bps_12M,UsdChart!$S31),"")</f>
        <v>5.7883702000000259</v>
      </c>
      <c r="AA31" s="408">
        <f>IF(LEN($V31)&gt;0,INDEX('usd disaggregated'!chg_bps_3MnoFut,UsdChart!$S31),NA())</f>
        <v>5.8998992999999889</v>
      </c>
      <c r="AB31" s="408">
        <f>IF(LEN(V31)&gt;0,INDEX('usd disaggregated'!chg_bps_1M,UsdChart!$S31),"")</f>
        <v>6.1616411000000149</v>
      </c>
      <c r="AC31" s="408">
        <f>IF(LEN(V31)&gt;0,INDEX('usd disaggregated'!chg_bps_6M,UsdChart!$S31),"")</f>
        <v>5.7222367000000052</v>
      </c>
      <c r="AD31" s="411" t="e">
        <f>IF(LEN(V31)&gt;0,INDEX('usd disaggregated'!chg_bps_OIS,$T31),NA())</f>
        <v>#N/A</v>
      </c>
      <c r="AF31" s="408">
        <f>IF(LEN($V31)&gt;0,INDEX(UsdMID_Std,UsdChart!$S31),"")</f>
        <v>2.3279873090000001</v>
      </c>
      <c r="AG31" s="408">
        <f>IF(LEN($V31)&gt;0,INDEX(UsdMID_12M,UsdChart!$S31),"")</f>
        <v>2.6970000360000004</v>
      </c>
      <c r="AH31" s="408">
        <f>IF(LEN($V31)&gt;0,INDEX(UsdMID_3M,UsdChart!$S31),"")</f>
        <v>2.3279873090000001</v>
      </c>
      <c r="AI31" s="408">
        <f>IF(LEN($V31)&gt;0,INDEX(UsdMID_1M,UsdChart!$S31),"")</f>
        <v>2.2251823760000002</v>
      </c>
      <c r="AJ31" s="408">
        <f>IF(LEN($V31)&gt;0,INDEX(UsdMID_6M,UsdChart!$S31),"")</f>
        <v>2.4972618300000002</v>
      </c>
      <c r="AK31" s="408" t="e">
        <f t="shared" si="4"/>
        <v>#N/A</v>
      </c>
    </row>
    <row r="32" spans="19:37">
      <c r="S32" s="336">
        <f t="shared" si="0"/>
        <v>34</v>
      </c>
      <c r="T32" s="336" t="e">
        <f t="shared" si="3"/>
        <v>#N/A</v>
      </c>
      <c r="U32" s="401"/>
      <c r="V32" s="403" t="str">
        <v>17Y</v>
      </c>
      <c r="X32" s="410">
        <f>IF(LEN(V32)&gt;0,INDEX(BucketMaturity,UsdChart!$S32),"")</f>
        <v>48905</v>
      </c>
      <c r="Y32" s="408">
        <f>IF(LEN($V32)&gt;0,INDEX('usd disaggregated'!chg_bps_StdnoFut,UsdChart!$S32),"")</f>
        <v>5.9329965000000318</v>
      </c>
      <c r="Z32" s="408">
        <f>IF(LEN($V32)&gt;0,INDEX('usd disaggregated'!chg_bps_12M,UsdChart!$S32),"")</f>
        <v>5.8466426000000293</v>
      </c>
      <c r="AA32" s="408">
        <f>IF(LEN($V32)&gt;0,INDEX('usd disaggregated'!chg_bps_3MnoFut,UsdChart!$S32),NA())</f>
        <v>5.9329965000000318</v>
      </c>
      <c r="AB32" s="408">
        <f>IF(LEN(V32)&gt;0,INDEX('usd disaggregated'!chg_bps_1M,UsdChart!$S32),"")</f>
        <v>6.1444703999999906</v>
      </c>
      <c r="AC32" s="408">
        <f>IF(LEN(V32)&gt;0,INDEX('usd disaggregated'!chg_bps_6M,UsdChart!$S32),"")</f>
        <v>5.787720399999996</v>
      </c>
      <c r="AD32" s="411" t="e">
        <f>IF(LEN(V32)&gt;0,INDEX('usd disaggregated'!chg_bps_OIS,$T32),NA())</f>
        <v>#N/A</v>
      </c>
      <c r="AF32" s="408">
        <f>IF(LEN($V32)&gt;0,INDEX(UsdMID_Std,UsdChart!$S32),"")</f>
        <v>2.3462836610000002</v>
      </c>
      <c r="AG32" s="408">
        <f>IF(LEN($V32)&gt;0,INDEX(UsdMID_12M,UsdChart!$S32),"")</f>
        <v>2.7126230860000002</v>
      </c>
      <c r="AH32" s="408">
        <f>IF(LEN($V32)&gt;0,INDEX(UsdMID_3M,UsdChart!$S32),"")</f>
        <v>2.3462836610000002</v>
      </c>
      <c r="AI32" s="408">
        <f>IF(LEN($V32)&gt;0,INDEX(UsdMID_1M,UsdChart!$S32),"")</f>
        <v>2.2425970799999999</v>
      </c>
      <c r="AJ32" s="408">
        <f>IF(LEN($V32)&gt;0,INDEX(UsdMID_6M,UsdChart!$S32),"")</f>
        <v>2.51468055</v>
      </c>
      <c r="AK32" s="408" t="e">
        <f t="shared" si="4"/>
        <v>#N/A</v>
      </c>
    </row>
    <row r="33" spans="19:37">
      <c r="S33" s="336">
        <f t="shared" si="0"/>
        <v>35</v>
      </c>
      <c r="T33" s="336" t="e">
        <f t="shared" si="3"/>
        <v>#N/A</v>
      </c>
      <c r="U33" s="401"/>
      <c r="V33" s="403" t="str">
        <v>18Y</v>
      </c>
      <c r="X33" s="410">
        <f>IF(LEN(V33)&gt;0,INDEX(BucketMaturity,UsdChart!$S33),"")</f>
        <v>49270</v>
      </c>
      <c r="Y33" s="408">
        <f>IF(LEN($V33)&gt;0,INDEX('usd disaggregated'!chg_bps_StdnoFut,UsdChart!$S33),"")</f>
        <v>5.9607694000000322</v>
      </c>
      <c r="Z33" s="408">
        <f>IF(LEN($V33)&gt;0,INDEX('usd disaggregated'!chg_bps_12M,UsdChart!$S33),"")</f>
        <v>5.9098944000000042</v>
      </c>
      <c r="AA33" s="408">
        <f>IF(LEN($V33)&gt;0,INDEX('usd disaggregated'!chg_bps_3MnoFut,UsdChart!$S33),NA())</f>
        <v>5.9607694000000322</v>
      </c>
      <c r="AB33" s="408">
        <f>IF(LEN(V33)&gt;0,INDEX('usd disaggregated'!chg_bps_1M,UsdChart!$S33),"")</f>
        <v>6.1221675000000086</v>
      </c>
      <c r="AC33" s="408">
        <f>IF(LEN(V33)&gt;0,INDEX('usd disaggregated'!chg_bps_6M,UsdChart!$S33),"")</f>
        <v>5.8583951000000134</v>
      </c>
      <c r="AD33" s="411" t="e">
        <f>IF(LEN(V33)&gt;0,INDEX('usd disaggregated'!chg_bps_OIS,$T33),NA())</f>
        <v>#N/A</v>
      </c>
      <c r="AF33" s="408">
        <f>IF(LEN($V33)&gt;0,INDEX(UsdMID_Std,UsdChart!$S33),"")</f>
        <v>2.3620728570000002</v>
      </c>
      <c r="AG33" s="408">
        <f>IF(LEN($V33)&gt;0,INDEX(UsdMID_12M,UsdChart!$S33),"")</f>
        <v>2.7263245130000002</v>
      </c>
      <c r="AH33" s="408">
        <f>IF(LEN($V33)&gt;0,INDEX(UsdMID_3M,UsdChart!$S33),"")</f>
        <v>2.3620728570000002</v>
      </c>
      <c r="AI33" s="408">
        <f>IF(LEN($V33)&gt;0,INDEX(UsdMID_1M,UsdChart!$S33),"")</f>
        <v>2.2568712660000001</v>
      </c>
      <c r="AJ33" s="408">
        <f>IF(LEN($V33)&gt;0,INDEX(UsdMID_6M,UsdChart!$S33),"")</f>
        <v>2.5296913760000002</v>
      </c>
      <c r="AK33" s="408" t="e">
        <f t="shared" si="4"/>
        <v>#N/A</v>
      </c>
    </row>
    <row r="34" spans="19:37">
      <c r="S34" s="336">
        <f t="shared" si="0"/>
        <v>36</v>
      </c>
      <c r="T34" s="336" t="e">
        <f t="shared" si="3"/>
        <v>#N/A</v>
      </c>
      <c r="U34" s="401"/>
      <c r="V34" s="403" t="str">
        <v>19Y</v>
      </c>
      <c r="X34" s="410">
        <f>IF(LEN(V34)&gt;0,INDEX(BucketMaturity,UsdChart!$S34),"")</f>
        <v>49635</v>
      </c>
      <c r="Y34" s="408">
        <f>IF(LEN($V34)&gt;0,INDEX('usd disaggregated'!chg_bps_StdnoFut,UsdChart!$S34),"")</f>
        <v>5.9556037000000561</v>
      </c>
      <c r="Z34" s="408">
        <f>IF(LEN($V34)&gt;0,INDEX('usd disaggregated'!chg_bps_12M,UsdChart!$S34),"")</f>
        <v>5.9352474999999849</v>
      </c>
      <c r="AA34" s="408">
        <f>IF(LEN($V34)&gt;0,INDEX('usd disaggregated'!chg_bps_3MnoFut,UsdChart!$S34),NA())</f>
        <v>5.9556037000000561</v>
      </c>
      <c r="AB34" s="408">
        <f>IF(LEN(V34)&gt;0,INDEX('usd disaggregated'!chg_bps_1M,UsdChart!$S34),"")</f>
        <v>6.0781609000000181</v>
      </c>
      <c r="AC34" s="408">
        <f>IF(LEN(V34)&gt;0,INDEX('usd disaggregated'!chg_bps_6M,UsdChart!$S34),"")</f>
        <v>5.9018116999999926</v>
      </c>
      <c r="AD34" s="411" t="e">
        <f>IF(LEN(V34)&gt;0,INDEX('usd disaggregated'!chg_bps_OIS,$T34),NA())</f>
        <v>#N/A</v>
      </c>
      <c r="AF34" s="408">
        <f>IF(LEN($V34)&gt;0,INDEX(UsdMID_Std,UsdChart!$S34),"")</f>
        <v>2.3752876840000003</v>
      </c>
      <c r="AG34" s="408">
        <f>IF(LEN($V34)&gt;0,INDEX(UsdMID_12M,UsdChart!$S34),"")</f>
        <v>2.737590602</v>
      </c>
      <c r="AH34" s="408">
        <f>IF(LEN($V34)&gt;0,INDEX(UsdMID_3M,UsdChart!$S34),"")</f>
        <v>2.3752876840000003</v>
      </c>
      <c r="AI34" s="408">
        <f>IF(LEN($V34)&gt;0,INDEX(UsdMID_1M,UsdChart!$S34),"")</f>
        <v>2.2682461190000001</v>
      </c>
      <c r="AJ34" s="408">
        <f>IF(LEN($V34)&gt;0,INDEX(UsdMID_6M,UsdChart!$S34),"")</f>
        <v>2.542189751</v>
      </c>
      <c r="AK34" s="408" t="e">
        <f t="shared" si="4"/>
        <v>#N/A</v>
      </c>
    </row>
    <row r="35" spans="19:37">
      <c r="S35" s="336">
        <f t="shared" si="0"/>
        <v>37</v>
      </c>
      <c r="T35" s="336">
        <f t="shared" si="3"/>
        <v>33</v>
      </c>
      <c r="U35" s="401"/>
      <c r="V35" s="403" t="str">
        <v>20Y</v>
      </c>
      <c r="X35" s="410">
        <f>IF(LEN(V35)&gt;0,INDEX(BucketMaturity,UsdChart!$S35),"")</f>
        <v>50003</v>
      </c>
      <c r="Y35" s="408">
        <f>IF(LEN($V35)&gt;0,INDEX('usd disaggregated'!chg_bps_StdnoFut,UsdChart!$S35),"")</f>
        <v>5.9999997000000249</v>
      </c>
      <c r="Z35" s="408">
        <f>IF(LEN($V35)&gt;0,INDEX('usd disaggregated'!chg_bps_12M,UsdChart!$S35),"")</f>
        <v>6.0085984000000092</v>
      </c>
      <c r="AA35" s="408">
        <f>IF(LEN($V35)&gt;0,INDEX('usd disaggregated'!chg_bps_3MnoFut,UsdChart!$S35),NA())</f>
        <v>5.9999997000000249</v>
      </c>
      <c r="AB35" s="408">
        <f>IF(LEN(V35)&gt;0,INDEX('usd disaggregated'!chg_bps_1M,UsdChart!$S35),"")</f>
        <v>6.0977722000000067</v>
      </c>
      <c r="AC35" s="408">
        <f>IF(LEN(V35)&gt;0,INDEX('usd disaggregated'!chg_bps_6M,UsdChart!$S35),"")</f>
        <v>6.0039818999999994</v>
      </c>
      <c r="AD35" s="411">
        <f>IF(LEN(V35)&gt;0,INDEX('usd disaggregated'!chg_bps_OIS,$T35),NA())</f>
        <v>6.2000000000000055</v>
      </c>
      <c r="AF35" s="408">
        <f>IF(LEN($V35)&gt;0,INDEX(UsdMID_Std,UsdChart!$S35),"")</f>
        <v>2.3869999900000001</v>
      </c>
      <c r="AG35" s="408">
        <f>IF(LEN($V35)&gt;0,INDEX(UsdMID_12M,UsdChart!$S35),"")</f>
        <v>2.7472867050000001</v>
      </c>
      <c r="AH35" s="408">
        <f>IF(LEN($V35)&gt;0,INDEX(UsdMID_3M,UsdChart!$S35),"")</f>
        <v>2.3869999900000001</v>
      </c>
      <c r="AI35" s="408">
        <f>IF(LEN($V35)&gt;0,INDEX(UsdMID_1M,UsdChart!$S35),"")</f>
        <v>2.2779721099999999</v>
      </c>
      <c r="AJ35" s="408">
        <f>IF(LEN($V35)&gt;0,INDEX(UsdMID_6M,UsdChart!$S35),"")</f>
        <v>2.5532863020000001</v>
      </c>
      <c r="AK35" s="408">
        <f t="shared" si="4"/>
        <v>2.036</v>
      </c>
    </row>
    <row r="36" spans="19:37">
      <c r="S36" s="336">
        <f t="shared" si="0"/>
        <v>38</v>
      </c>
      <c r="T36" s="336" t="e">
        <f t="shared" si="3"/>
        <v>#N/A</v>
      </c>
      <c r="U36" s="401"/>
      <c r="V36" s="403" t="str">
        <v>21Y</v>
      </c>
      <c r="X36" s="410">
        <f>IF(LEN(V36)&gt;0,INDEX(BucketMaturity,UsdChart!$S36),"")</f>
        <v>50367</v>
      </c>
      <c r="Y36" s="408">
        <f>IF(LEN($V36)&gt;0,INDEX('usd disaggregated'!chg_bps_StdnoFut,UsdChart!$S36),"")</f>
        <v>5.9887212000000023</v>
      </c>
      <c r="Z36" s="408">
        <f>IF(LEN($V36)&gt;0,INDEX('usd disaggregated'!chg_bps_12M,UsdChart!$S36),"")</f>
        <v>6.0109927000000063</v>
      </c>
      <c r="AA36" s="408">
        <f>IF(LEN($V36)&gt;0,INDEX('usd disaggregated'!chg_bps_3MnoFut,UsdChart!$S36),NA())</f>
        <v>5.9887212000000023</v>
      </c>
      <c r="AB36" s="408">
        <f>IF(LEN(V36)&gt;0,INDEX('usd disaggregated'!chg_bps_1M,UsdChart!$S36),"")</f>
        <v>6.0872869999999857</v>
      </c>
      <c r="AC36" s="408">
        <f>IF(LEN(V36)&gt;0,INDEX('usd disaggregated'!chg_bps_6M,UsdChart!$S36),"")</f>
        <v>6.0520342000000227</v>
      </c>
      <c r="AD36" s="411" t="e">
        <f>IF(LEN(V36)&gt;0,INDEX('usd disaggregated'!chg_bps_OIS,$T36),NA())</f>
        <v>#N/A</v>
      </c>
      <c r="AF36" s="408">
        <f>IF(LEN($V36)&gt;0,INDEX(UsdMID_Std,UsdChart!$S36),"")</f>
        <v>2.3963493740000001</v>
      </c>
      <c r="AG36" s="408">
        <f>IF(LEN($V36)&gt;0,INDEX(UsdMID_12M,UsdChart!$S36),"")</f>
        <v>2.7542639040000001</v>
      </c>
      <c r="AH36" s="408">
        <f>IF(LEN($V36)&gt;0,INDEX(UsdMID_3M,UsdChart!$S36),"")</f>
        <v>2.3963493740000001</v>
      </c>
      <c r="AI36" s="408">
        <f>IF(LEN($V36)&gt;0,INDEX(UsdMID_1M,UsdChart!$S36),"")</f>
        <v>2.285419101</v>
      </c>
      <c r="AJ36" s="408">
        <f>IF(LEN($V36)&gt;0,INDEX(UsdMID_6M,UsdChart!$S36),"")</f>
        <v>2.562055473</v>
      </c>
      <c r="AK36" s="408" t="e">
        <f t="shared" si="4"/>
        <v>#N/A</v>
      </c>
    </row>
    <row r="37" spans="19:37">
      <c r="S37" s="336">
        <f t="shared" si="0"/>
        <v>39</v>
      </c>
      <c r="T37" s="336" t="e">
        <f t="shared" si="3"/>
        <v>#N/A</v>
      </c>
      <c r="U37" s="401"/>
      <c r="V37" s="403" t="str">
        <v>22Y</v>
      </c>
      <c r="X37" s="410">
        <f>IF(LEN(V37)&gt;0,INDEX(BucketMaturity,UsdChart!$S37),"")</f>
        <v>50731</v>
      </c>
      <c r="Y37" s="408">
        <f>IF(LEN($V37)&gt;0,INDEX('usd disaggregated'!chg_bps_StdnoFut,UsdChart!$S37),"")</f>
        <v>5.9757619000000428</v>
      </c>
      <c r="Z37" s="408">
        <f>IF(LEN($V37)&gt;0,INDEX('usd disaggregated'!chg_bps_12M,UsdChart!$S37),"")</f>
        <v>5.9999656000000012</v>
      </c>
      <c r="AA37" s="408">
        <f>IF(LEN($V37)&gt;0,INDEX('usd disaggregated'!chg_bps_3MnoFut,UsdChart!$S37),NA())</f>
        <v>5.9757619000000428</v>
      </c>
      <c r="AB37" s="408">
        <f>IF(LEN(V37)&gt;0,INDEX('usd disaggregated'!chg_bps_1M,UsdChart!$S37),"")</f>
        <v>6.0895925000000073</v>
      </c>
      <c r="AC37" s="408">
        <f>IF(LEN(V37)&gt;0,INDEX('usd disaggregated'!chg_bps_6M,UsdChart!$S37),"")</f>
        <v>6.0938816000000173</v>
      </c>
      <c r="AD37" s="411" t="e">
        <f>IF(LEN(V37)&gt;0,INDEX('usd disaggregated'!chg_bps_OIS,$T37),NA())</f>
        <v>#N/A</v>
      </c>
      <c r="AF37" s="408">
        <f>IF(LEN($V37)&gt;0,INDEX(UsdMID_Std,UsdChart!$S37),"")</f>
        <v>2.4040574710000002</v>
      </c>
      <c r="AG37" s="408">
        <f>IF(LEN($V37)&gt;0,INDEX(UsdMID_12M,UsdChart!$S37),"")</f>
        <v>2.7593226280000001</v>
      </c>
      <c r="AH37" s="408">
        <f>IF(LEN($V37)&gt;0,INDEX(UsdMID_3M,UsdChart!$S37),"")</f>
        <v>2.4040574710000002</v>
      </c>
      <c r="AI37" s="408">
        <f>IF(LEN($V37)&gt;0,INDEX(UsdMID_1M,UsdChart!$S37),"")</f>
        <v>2.2912846259999999</v>
      </c>
      <c r="AJ37" s="408">
        <f>IF(LEN($V37)&gt;0,INDEX(UsdMID_6M,UsdChart!$S37),"")</f>
        <v>2.5692007110000001</v>
      </c>
      <c r="AK37" s="408" t="e">
        <f t="shared" si="4"/>
        <v>#N/A</v>
      </c>
    </row>
    <row r="38" spans="19:37">
      <c r="S38" s="336">
        <f t="shared" si="0"/>
        <v>40</v>
      </c>
      <c r="T38" s="336" t="e">
        <f t="shared" si="3"/>
        <v>#N/A</v>
      </c>
      <c r="U38" s="401"/>
      <c r="V38" s="403" t="str">
        <v>23Y</v>
      </c>
      <c r="X38" s="410">
        <f>IF(LEN(V38)&gt;0,INDEX(BucketMaturity,UsdChart!$S38),"")</f>
        <v>51096</v>
      </c>
      <c r="Y38" s="408">
        <f>IF(LEN($V38)&gt;0,INDEX('usd disaggregated'!chg_bps_StdnoFut,UsdChart!$S38),"")</f>
        <v>5.956716300000009</v>
      </c>
      <c r="Z38" s="408">
        <f>IF(LEN($V38)&gt;0,INDEX('usd disaggregated'!chg_bps_12M,UsdChart!$S38),"")</f>
        <v>5.9763583000000065</v>
      </c>
      <c r="AA38" s="408">
        <f>IF(LEN($V38)&gt;0,INDEX('usd disaggregated'!chg_bps_3MnoFut,UsdChart!$S38),NA())</f>
        <v>5.956716300000009</v>
      </c>
      <c r="AB38" s="408">
        <f>IF(LEN(V38)&gt;0,INDEX('usd disaggregated'!chg_bps_1M,UsdChart!$S38),"")</f>
        <v>6.0950913000000106</v>
      </c>
      <c r="AC38" s="408">
        <f>IF(LEN(V38)&gt;0,INDEX('usd disaggregated'!chg_bps_6M,UsdChart!$S38),"")</f>
        <v>6.1197829999999787</v>
      </c>
      <c r="AD38" s="411" t="e">
        <f>IF(LEN(V38)&gt;0,INDEX('usd disaggregated'!chg_bps_OIS,$T38),NA())</f>
        <v>#N/A</v>
      </c>
      <c r="AF38" s="408">
        <f>IF(LEN($V38)&gt;0,INDEX(UsdMID_Std,UsdChart!$S38),"")</f>
        <v>2.410427774</v>
      </c>
      <c r="AG38" s="408">
        <f>IF(LEN($V38)&gt;0,INDEX(UsdMID_12M,UsdChart!$S38),"")</f>
        <v>2.76285121</v>
      </c>
      <c r="AH38" s="408">
        <f>IF(LEN($V38)&gt;0,INDEX(UsdMID_3M,UsdChart!$S38),"")</f>
        <v>2.410427774</v>
      </c>
      <c r="AI38" s="408">
        <f>IF(LEN($V38)&gt;0,INDEX(UsdMID_1M,UsdChart!$S38),"")</f>
        <v>2.2958488960000003</v>
      </c>
      <c r="AJ38" s="408">
        <f>IF(LEN($V38)&gt;0,INDEX(UsdMID_6M,UsdChart!$S38),"")</f>
        <v>2.5749941299999999</v>
      </c>
      <c r="AK38" s="408" t="e">
        <f t="shared" si="4"/>
        <v>#N/A</v>
      </c>
    </row>
    <row r="39" spans="19:37">
      <c r="S39" s="336">
        <f t="shared" si="0"/>
        <v>41</v>
      </c>
      <c r="T39" s="336" t="e">
        <f t="shared" si="3"/>
        <v>#N/A</v>
      </c>
      <c r="U39" s="401"/>
      <c r="V39" s="403" t="str">
        <v>24Y</v>
      </c>
      <c r="X39" s="410">
        <f>IF(LEN(V39)&gt;0,INDEX(BucketMaturity,UsdChart!$S39),"")</f>
        <v>51462</v>
      </c>
      <c r="Y39" s="408">
        <f>IF(LEN($V39)&gt;0,INDEX('usd disaggregated'!chg_bps_StdnoFut,UsdChart!$S39),"")</f>
        <v>5.909498099999988</v>
      </c>
      <c r="Z39" s="408">
        <f>IF(LEN($V39)&gt;0,INDEX('usd disaggregated'!chg_bps_12M,UsdChart!$S39),"")</f>
        <v>5.920003900000026</v>
      </c>
      <c r="AA39" s="408">
        <f>IF(LEN($V39)&gt;0,INDEX('usd disaggregated'!chg_bps_3MnoFut,UsdChart!$S39),NA())</f>
        <v>5.909498099999988</v>
      </c>
      <c r="AB39" s="408">
        <f>IF(LEN(V39)&gt;0,INDEX('usd disaggregated'!chg_bps_1M,UsdChart!$S39),"")</f>
        <v>6.0787645000000001</v>
      </c>
      <c r="AC39" s="408">
        <f>IF(LEN(V39)&gt;0,INDEX('usd disaggregated'!chg_bps_6M,UsdChart!$S39),"")</f>
        <v>6.1017208000000434</v>
      </c>
      <c r="AD39" s="411" t="e">
        <f>IF(LEN(V39)&gt;0,INDEX('usd disaggregated'!chg_bps_OIS,$T39),NA())</f>
        <v>#N/A</v>
      </c>
      <c r="AF39" s="408">
        <f>IF(LEN($V39)&gt;0,INDEX(UsdMID_Std,UsdChart!$S39),"")</f>
        <v>2.415482232</v>
      </c>
      <c r="AG39" s="408">
        <f>IF(LEN($V39)&gt;0,INDEX(UsdMID_12M,UsdChart!$S39),"")</f>
        <v>2.7649162220000001</v>
      </c>
      <c r="AH39" s="408">
        <f>IF(LEN($V39)&gt;0,INDEX(UsdMID_3M,UsdChart!$S39),"")</f>
        <v>2.415482232</v>
      </c>
      <c r="AI39" s="408">
        <f>IF(LEN($V39)&gt;0,INDEX(UsdMID_1M,UsdChart!$S39),"")</f>
        <v>2.2991290599999998</v>
      </c>
      <c r="AJ39" s="408">
        <f>IF(LEN($V39)&gt;0,INDEX(UsdMID_6M,UsdChart!$S39),"")</f>
        <v>2.5794188670000002</v>
      </c>
      <c r="AK39" s="408" t="e">
        <f t="shared" si="4"/>
        <v>#N/A</v>
      </c>
    </row>
    <row r="40" spans="19:37">
      <c r="S40" s="336">
        <f t="shared" si="0"/>
        <v>42</v>
      </c>
      <c r="T40" s="336">
        <f t="shared" si="3"/>
        <v>34</v>
      </c>
      <c r="U40" s="401"/>
      <c r="V40" s="403" t="str">
        <v>25Y</v>
      </c>
      <c r="X40" s="410">
        <f>IF(LEN(V40)&gt;0,INDEX(BucketMaturity,UsdChart!$S40),"")</f>
        <v>51827</v>
      </c>
      <c r="Y40" s="408">
        <f>IF(LEN($V40)&gt;0,INDEX('usd disaggregated'!chg_bps_StdnoFut,UsdChart!$S40),"")</f>
        <v>5.8999998000000442</v>
      </c>
      <c r="Z40" s="408">
        <f>IF(LEN($V40)&gt;0,INDEX('usd disaggregated'!chg_bps_12M,UsdChart!$S40),"")</f>
        <v>5.9080235000000147</v>
      </c>
      <c r="AA40" s="408">
        <f>IF(LEN($V40)&gt;0,INDEX('usd disaggregated'!chg_bps_3MnoFut,UsdChart!$S40),NA())</f>
        <v>5.8999998000000442</v>
      </c>
      <c r="AB40" s="408">
        <f>IF(LEN(V40)&gt;0,INDEX('usd disaggregated'!chg_bps_1M,UsdChart!$S40),"")</f>
        <v>6.098549600000025</v>
      </c>
      <c r="AC40" s="408">
        <f>IF(LEN(V40)&gt;0,INDEX('usd disaggregated'!chg_bps_6M,UsdChart!$S40),"")</f>
        <v>6.1053188999999897</v>
      </c>
      <c r="AD40" s="411">
        <f>IF(LEN(V40)&gt;0,INDEX('usd disaggregated'!chg_bps_OIS,$T40),NA())</f>
        <v>6.0999999999999943</v>
      </c>
      <c r="AF40" s="408">
        <f>IF(LEN($V40)&gt;0,INDEX(UsdMID_Std,UsdChart!$S40),"")</f>
        <v>2.4199999890000004</v>
      </c>
      <c r="AG40" s="408">
        <f>IF(LEN($V40)&gt;0,INDEX(UsdMID_12M,UsdChart!$S40),"")</f>
        <v>2.766462309</v>
      </c>
      <c r="AH40" s="408">
        <f>IF(LEN($V40)&gt;0,INDEX(UsdMID_3M,UsdChart!$S40),"")</f>
        <v>2.4199999890000004</v>
      </c>
      <c r="AI40" s="408">
        <f>IF(LEN($V40)&gt;0,INDEX(UsdMID_1M,UsdChart!$S40),"")</f>
        <v>2.3018724390000003</v>
      </c>
      <c r="AJ40" s="408">
        <f>IF(LEN($V40)&gt;0,INDEX(UsdMID_6M,UsdChart!$S40),"")</f>
        <v>2.5832782949999999</v>
      </c>
      <c r="AK40" s="408">
        <f t="shared" si="4"/>
        <v>2.0659999999999998</v>
      </c>
    </row>
    <row r="41" spans="19:37">
      <c r="S41" s="336">
        <f t="shared" si="0"/>
        <v>43</v>
      </c>
      <c r="T41" s="336" t="e">
        <f t="shared" si="3"/>
        <v>#N/A</v>
      </c>
      <c r="U41" s="401"/>
      <c r="V41" s="403" t="str">
        <v>26Y</v>
      </c>
      <c r="X41" s="410">
        <f>IF(LEN(V41)&gt;0,INDEX(BucketMaturity,UsdChart!$S41),"")</f>
        <v>52194</v>
      </c>
      <c r="Y41" s="408">
        <f>IF(LEN($V41)&gt;0,INDEX('usd disaggregated'!chg_bps_StdnoFut,UsdChart!$S41),"")</f>
        <v>5.8700957000000109</v>
      </c>
      <c r="Z41" s="408">
        <f>IF(LEN($V41)&gt;0,INDEX('usd disaggregated'!chg_bps_12M,UsdChart!$S41),"")</f>
        <v>5.8738506000000079</v>
      </c>
      <c r="AA41" s="408">
        <f>IF(LEN($V41)&gt;0,INDEX('usd disaggregated'!chg_bps_3MnoFut,UsdChart!$S41),NA())</f>
        <v>5.8700957000000109</v>
      </c>
      <c r="AB41" s="408">
        <f>IF(LEN(V41)&gt;0,INDEX('usd disaggregated'!chg_bps_1M,UsdChart!$S41),"")</f>
        <v>6.0953227000000165</v>
      </c>
      <c r="AC41" s="408">
        <f>IF(LEN(V41)&gt;0,INDEX('usd disaggregated'!chg_bps_6M,UsdChart!$S41),"")</f>
        <v>6.0668280000000241</v>
      </c>
      <c r="AD41" s="411" t="e">
        <f>IF(LEN(V41)&gt;0,INDEX('usd disaggregated'!chg_bps_OIS,$T41),NA())</f>
        <v>#N/A</v>
      </c>
      <c r="AF41" s="408">
        <f>IF(LEN($V41)&gt;0,INDEX(UsdMID_Std,UsdChart!$S41),"")</f>
        <v>2.423566084</v>
      </c>
      <c r="AG41" s="408">
        <f>IF(LEN($V41)&gt;0,INDEX(UsdMID_12M,UsdChart!$S41),"")</f>
        <v>2.7670431870000001</v>
      </c>
      <c r="AH41" s="408">
        <f>IF(LEN($V41)&gt;0,INDEX(UsdMID_3M,UsdChart!$S41),"")</f>
        <v>2.423566084</v>
      </c>
      <c r="AI41" s="408">
        <f>IF(LEN($V41)&gt;0,INDEX(UsdMID_1M,UsdChart!$S41),"")</f>
        <v>2.303686006</v>
      </c>
      <c r="AJ41" s="408">
        <f>IF(LEN($V41)&gt;0,INDEX(UsdMID_6M,UsdChart!$S41),"")</f>
        <v>2.5861105390000003</v>
      </c>
      <c r="AK41" s="408" t="e">
        <f t="shared" si="4"/>
        <v>#N/A</v>
      </c>
    </row>
    <row r="42" spans="19:37">
      <c r="S42" s="336">
        <f t="shared" si="0"/>
        <v>44</v>
      </c>
      <c r="T42" s="336" t="e">
        <f t="shared" si="3"/>
        <v>#N/A</v>
      </c>
      <c r="U42" s="401"/>
      <c r="V42" s="403" t="str">
        <v>27Y</v>
      </c>
      <c r="X42" s="410">
        <f>IF(LEN(V42)&gt;0,INDEX(BucketMaturity,UsdChart!$S42),"")</f>
        <v>52558</v>
      </c>
      <c r="Y42" s="408">
        <f>IF(LEN($V42)&gt;0,INDEX('usd disaggregated'!chg_bps_StdnoFut,UsdChart!$S42),"")</f>
        <v>5.8317922000000078</v>
      </c>
      <c r="Z42" s="408">
        <f>IF(LEN($V42)&gt;0,INDEX('usd disaggregated'!chg_bps_12M,UsdChart!$S42),"")</f>
        <v>5.8368814000000047</v>
      </c>
      <c r="AA42" s="408">
        <f>IF(LEN($V42)&gt;0,INDEX('usd disaggregated'!chg_bps_3MnoFut,UsdChart!$S42),NA())</f>
        <v>5.8317922000000078</v>
      </c>
      <c r="AB42" s="408">
        <f>IF(LEN(V42)&gt;0,INDEX('usd disaggregated'!chg_bps_1M,UsdChart!$S42),"")</f>
        <v>6.0827623000000219</v>
      </c>
      <c r="AC42" s="408">
        <f>IF(LEN(V42)&gt;0,INDEX('usd disaggregated'!chg_bps_6M,UsdChart!$S42),"")</f>
        <v>6.0075633999999933</v>
      </c>
      <c r="AD42" s="411" t="e">
        <f>IF(LEN(V42)&gt;0,INDEX('usd disaggregated'!chg_bps_OIS,$T42),NA())</f>
        <v>#N/A</v>
      </c>
      <c r="AF42" s="408">
        <f>IF(LEN($V42)&gt;0,INDEX(UsdMID_Std,UsdChart!$S42),"")</f>
        <v>2.4264410940000003</v>
      </c>
      <c r="AG42" s="408">
        <f>IF(LEN($V42)&gt;0,INDEX(UsdMID_12M,UsdChart!$S42),"")</f>
        <v>2.7671544250000002</v>
      </c>
      <c r="AH42" s="408">
        <f>IF(LEN($V42)&gt;0,INDEX(UsdMID_3M,UsdChart!$S42),"")</f>
        <v>2.4264410940000003</v>
      </c>
      <c r="AI42" s="408">
        <f>IF(LEN($V42)&gt;0,INDEX(UsdMID_1M,UsdChart!$S42),"")</f>
        <v>2.3049177370000002</v>
      </c>
      <c r="AJ42" s="408">
        <f>IF(LEN($V42)&gt;0,INDEX(UsdMID_6M,UsdChart!$S42),"")</f>
        <v>2.5882594650000001</v>
      </c>
      <c r="AK42" s="408" t="e">
        <f t="shared" si="4"/>
        <v>#N/A</v>
      </c>
    </row>
    <row r="43" spans="19:37">
      <c r="S43" s="336">
        <f t="shared" si="0"/>
        <v>45</v>
      </c>
      <c r="T43" s="336" t="e">
        <f t="shared" si="3"/>
        <v>#N/A</v>
      </c>
      <c r="U43" s="401"/>
      <c r="V43" s="403" t="str">
        <v>28Y</v>
      </c>
      <c r="X43" s="410">
        <f>IF(LEN(V43)&gt;0,INDEX(BucketMaturity,UsdChart!$S43),"")</f>
        <v>52923</v>
      </c>
      <c r="Y43" s="408">
        <f>IF(LEN($V43)&gt;0,INDEX('usd disaggregated'!chg_bps_StdnoFut,UsdChart!$S43),"")</f>
        <v>5.7936700000000396</v>
      </c>
      <c r="Z43" s="408">
        <f>IF(LEN($V43)&gt;0,INDEX('usd disaggregated'!chg_bps_12M,UsdChart!$S43),"")</f>
        <v>5.7986679999999957</v>
      </c>
      <c r="AA43" s="408">
        <f>IF(LEN($V43)&gt;0,INDEX('usd disaggregated'!chg_bps_3MnoFut,UsdChart!$S43),NA())</f>
        <v>5.7936700000000396</v>
      </c>
      <c r="AB43" s="408">
        <f>IF(LEN(V43)&gt;0,INDEX('usd disaggregated'!chg_bps_1M,UsdChart!$S43),"")</f>
        <v>6.0645781999999926</v>
      </c>
      <c r="AC43" s="408">
        <f>IF(LEN(V43)&gt;0,INDEX('usd disaggregated'!chg_bps_6M,UsdChart!$S43),"")</f>
        <v>5.9425620999999929</v>
      </c>
      <c r="AD43" s="411" t="e">
        <f>IF(LEN(V43)&gt;0,INDEX('usd disaggregated'!chg_bps_OIS,$T43),NA())</f>
        <v>#N/A</v>
      </c>
      <c r="AF43" s="408">
        <f>IF(LEN($V43)&gt;0,INDEX(UsdMID_Std,UsdChart!$S43),"")</f>
        <v>2.4287602170000002</v>
      </c>
      <c r="AG43" s="408">
        <f>IF(LEN($V43)&gt;0,INDEX(UsdMID_12M,UsdChart!$S43),"")</f>
        <v>2.7670685370000001</v>
      </c>
      <c r="AH43" s="408">
        <f>IF(LEN($V43)&gt;0,INDEX(UsdMID_3M,UsdChart!$S43),"")</f>
        <v>2.4287602170000002</v>
      </c>
      <c r="AI43" s="408">
        <f>IF(LEN($V43)&gt;0,INDEX(UsdMID_1M,UsdChart!$S43),"")</f>
        <v>2.3057596550000001</v>
      </c>
      <c r="AJ43" s="408">
        <f>IF(LEN($V43)&gt;0,INDEX(UsdMID_6M,UsdChart!$S43),"")</f>
        <v>2.5899188319999999</v>
      </c>
      <c r="AK43" s="408" t="e">
        <f t="shared" si="4"/>
        <v>#N/A</v>
      </c>
    </row>
    <row r="44" spans="19:37">
      <c r="S44" s="336">
        <f t="shared" si="0"/>
        <v>46</v>
      </c>
      <c r="T44" s="336" t="e">
        <f t="shared" si="3"/>
        <v>#N/A</v>
      </c>
      <c r="U44" s="401"/>
      <c r="V44" s="403" t="str">
        <v>29Y</v>
      </c>
      <c r="X44" s="410">
        <f>IF(LEN(V44)&gt;0,INDEX(BucketMaturity,UsdChart!$S44),"")</f>
        <v>53288</v>
      </c>
      <c r="Y44" s="408">
        <f>IF(LEN($V44)&gt;0,INDEX('usd disaggregated'!chg_bps_StdnoFut,UsdChart!$S44),"")</f>
        <v>5.7495020000000174</v>
      </c>
      <c r="Z44" s="408">
        <f>IF(LEN($V44)&gt;0,INDEX('usd disaggregated'!chg_bps_12M,UsdChart!$S44),"")</f>
        <v>5.7555697999999822</v>
      </c>
      <c r="AA44" s="408">
        <f>IF(LEN($V44)&gt;0,INDEX('usd disaggregated'!chg_bps_3MnoFut,UsdChart!$S44),NA())</f>
        <v>5.7495020000000174</v>
      </c>
      <c r="AB44" s="408">
        <f>IF(LEN(V44)&gt;0,INDEX('usd disaggregated'!chg_bps_1M,UsdChart!$S44),"")</f>
        <v>7.3368861000000063</v>
      </c>
      <c r="AC44" s="408">
        <f>IF(LEN(V44)&gt;0,INDEX('usd disaggregated'!chg_bps_6M,UsdChart!$S44),"")</f>
        <v>5.8726295000000039</v>
      </c>
      <c r="AD44" s="411" t="e">
        <f>IF(LEN(V44)&gt;0,INDEX('usd disaggregated'!chg_bps_OIS,$T44),NA())</f>
        <v>#N/A</v>
      </c>
      <c r="AF44" s="408">
        <f>IF(LEN($V44)&gt;0,INDEX(UsdMID_Std,UsdChart!$S44),"")</f>
        <v>2.4305894350000004</v>
      </c>
      <c r="AG44" s="408">
        <f>IF(LEN($V44)&gt;0,INDEX(UsdMID_12M,UsdChart!$S44),"")</f>
        <v>2.766997398</v>
      </c>
      <c r="AH44" s="408">
        <f>IF(LEN($V44)&gt;0,INDEX(UsdMID_3M,UsdChart!$S44),"")</f>
        <v>2.4305894350000004</v>
      </c>
      <c r="AI44" s="408">
        <f>IF(LEN($V44)&gt;0,INDEX(UsdMID_1M,UsdChart!$S44),"")</f>
        <v>2.3063465519999999</v>
      </c>
      <c r="AJ44" s="408">
        <f>IF(LEN($V44)&gt;0,INDEX(UsdMID_6M,UsdChart!$S44),"")</f>
        <v>2.5912112070000002</v>
      </c>
      <c r="AK44" s="408" t="e">
        <f t="shared" si="4"/>
        <v>#N/A</v>
      </c>
    </row>
    <row r="45" spans="19:37">
      <c r="S45" s="336">
        <f t="shared" si="0"/>
        <v>47</v>
      </c>
      <c r="T45" s="336">
        <f t="shared" si="3"/>
        <v>35</v>
      </c>
      <c r="U45" s="401"/>
      <c r="V45" s="404" t="str">
        <v>30Y</v>
      </c>
      <c r="X45" s="123">
        <f>IF(LEN(V45)&gt;0,INDEX(BucketMaturity,UsdChart!$S45),"")</f>
        <v>53653</v>
      </c>
      <c r="Y45" s="408">
        <f>IF(LEN($V45)&gt;0,INDEX('usd disaggregated'!chg_bps_StdnoFut,UsdChart!$S45),"")</f>
        <v>5.6840697000000162</v>
      </c>
      <c r="Z45" s="408">
        <f>IF(LEN($V45)&gt;0,INDEX('usd disaggregated'!chg_bps_12M,UsdChart!$S45),"")</f>
        <v>5.6889830000000252</v>
      </c>
      <c r="AA45" s="408">
        <f>IF(LEN($V45)&gt;0,INDEX('usd disaggregated'!chg_bps_3MnoFut,UsdChart!$S45),NA())</f>
        <v>5.6840697000000162</v>
      </c>
      <c r="AB45" s="408">
        <f>IF(LEN(V45)&gt;0,INDEX('usd disaggregated'!chg_bps_1M,UsdChart!$S45),"")</f>
        <v>7.2845650000000095</v>
      </c>
      <c r="AC45" s="408">
        <f>IF(LEN(V45)&gt;0,INDEX('usd disaggregated'!chg_bps_6M,UsdChart!$S45),"")</f>
        <v>5.7868900000000334</v>
      </c>
      <c r="AD45" s="411">
        <f>IF(LEN(V45)&gt;0,INDEX('usd disaggregated'!chg_bps_OIS,$T45),NA())</f>
        <v>5.8000000000000274</v>
      </c>
      <c r="AF45" s="408">
        <f>IF(LEN($V45)&gt;0,INDEX(UsdMID_Std,UsdChart!$S45),"")</f>
        <v>2.4318406889999999</v>
      </c>
      <c r="AG45" s="408">
        <f>IF(LEN($V45)&gt;0,INDEX(UsdMID_12M,UsdChart!$S45),"")</f>
        <v>2.7669480010000003</v>
      </c>
      <c r="AH45" s="408">
        <f>IF(LEN($V45)&gt;0,INDEX(UsdMID_3M,UsdChart!$S45),"")</f>
        <v>2.4318406889999999</v>
      </c>
      <c r="AI45" s="408">
        <f>IF(LEN($V45)&gt;0,INDEX(UsdMID_1M,UsdChart!$S45),"")</f>
        <v>2.306651886</v>
      </c>
      <c r="AJ45" s="408">
        <f>IF(LEN($V45)&gt;0,INDEX(UsdMID_6M,UsdChart!$S45),"")</f>
        <v>2.5920845080000001</v>
      </c>
      <c r="AK45" s="408">
        <f t="shared" si="4"/>
        <v>2.0750000000000002</v>
      </c>
    </row>
    <row r="46" spans="19:37">
      <c r="T46" s="401"/>
      <c r="U46" s="401"/>
    </row>
    <row r="47" spans="19:37">
      <c r="T47" s="401"/>
      <c r="U47" s="401"/>
    </row>
    <row r="48" spans="19:37">
      <c r="T48" s="401"/>
      <c r="U48" s="401"/>
    </row>
    <row r="49" spans="20:21">
      <c r="T49" s="401"/>
      <c r="U49" s="401"/>
    </row>
    <row r="50" spans="20:21">
      <c r="T50" s="401"/>
      <c r="U50" s="401"/>
    </row>
    <row r="51" spans="20:21">
      <c r="T51" s="401"/>
      <c r="U51" s="401"/>
    </row>
    <row r="52" spans="20:21">
      <c r="T52" s="401"/>
      <c r="U52" s="401"/>
    </row>
    <row r="53" spans="20:21">
      <c r="T53" s="401"/>
      <c r="U53" s="401"/>
    </row>
    <row r="54" spans="20:21">
      <c r="T54" s="401"/>
      <c r="U54" s="401"/>
    </row>
    <row r="55" spans="20:21">
      <c r="T55" s="401"/>
      <c r="U55" s="401"/>
    </row>
  </sheetData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theme="3" tint="0.59999389629810485"/>
  </sheetPr>
  <dimension ref="A1:CC76"/>
  <sheetViews>
    <sheetView showGridLines="0" workbookViewId="0">
      <selection activeCell="H8" sqref="H8:H70"/>
    </sheetView>
  </sheetViews>
  <sheetFormatPr defaultRowHeight="12.75" customHeight="1" outlineLevelCol="1"/>
  <cols>
    <col min="1" max="1" width="2.7109375" style="414" customWidth="1"/>
    <col min="2" max="2" width="11.5703125" style="414" customWidth="1"/>
    <col min="3" max="3" width="13.85546875" style="414" bestFit="1" customWidth="1"/>
    <col min="4" max="4" width="10.85546875" style="414" hidden="1" customWidth="1" outlineLevel="1"/>
    <col min="5" max="5" width="12.28515625" style="414" hidden="1" customWidth="1" outlineLevel="1"/>
    <col min="6" max="6" width="9.42578125" style="414" hidden="1" customWidth="1" outlineLevel="1"/>
    <col min="7" max="7" width="13.28515625" style="414" hidden="1" customWidth="1" outlineLevel="1"/>
    <col min="8" max="8" width="9.85546875" style="414" hidden="1" customWidth="1" outlineLevel="1"/>
    <col min="9" max="9" width="10.140625" style="414" hidden="1" customWidth="1" outlineLevel="1"/>
    <col min="10" max="10" width="9.140625" style="414" hidden="1" customWidth="1" outlineLevel="1"/>
    <col min="11" max="11" width="11.28515625" style="414" hidden="1" customWidth="1" outlineLevel="1"/>
    <col min="12" max="12" width="2.7109375" style="414" customWidth="1" collapsed="1"/>
    <col min="13" max="13" width="5.28515625" style="414" customWidth="1"/>
    <col min="14" max="14" width="14.5703125" style="414" customWidth="1"/>
    <col min="15" max="15" width="2.7109375" style="414" customWidth="1"/>
    <col min="16" max="16" width="8.42578125" style="414" bestFit="1" customWidth="1"/>
    <col min="17" max="30" width="8.7109375" style="414" customWidth="1"/>
    <col min="31" max="31" width="9.28515625" style="414" bestFit="1" customWidth="1"/>
    <col min="32" max="32" width="8.7109375" style="414" customWidth="1"/>
    <col min="33" max="34" width="9.28515625" style="414" bestFit="1" customWidth="1"/>
    <col min="35" max="35" width="8.7109375" style="414" customWidth="1"/>
    <col min="36" max="37" width="9.28515625" style="414" bestFit="1" customWidth="1"/>
    <col min="38" max="38" width="8.7109375" style="414" customWidth="1"/>
    <col min="39" max="40" width="9.28515625" style="414" bestFit="1" customWidth="1"/>
    <col min="41" max="41" width="8.7109375" style="414" customWidth="1"/>
    <col min="42" max="42" width="9.5703125" style="414" bestFit="1" customWidth="1"/>
    <col min="43" max="43" width="9.140625" style="414" bestFit="1" customWidth="1"/>
    <col min="44" max="44" width="8.7109375" style="414" customWidth="1"/>
    <col min="45" max="45" width="9.7109375" style="414" bestFit="1" customWidth="1"/>
    <col min="46" max="46" width="10.140625" style="414" bestFit="1" customWidth="1"/>
    <col min="47" max="47" width="10" style="414" bestFit="1" customWidth="1"/>
    <col min="48" max="48" width="10.140625" style="414" bestFit="1" customWidth="1"/>
    <col min="49" max="49" width="9.7109375" style="414" bestFit="1" customWidth="1"/>
    <col min="50" max="50" width="10" style="414" bestFit="1" customWidth="1"/>
    <col min="51" max="51" width="9.7109375" style="414" bestFit="1" customWidth="1"/>
    <col min="52" max="52" width="9.5703125" style="414" bestFit="1" customWidth="1"/>
    <col min="53" max="53" width="10" style="414" bestFit="1" customWidth="1"/>
    <col min="54" max="55" width="11.28515625" style="414" bestFit="1" customWidth="1"/>
    <col min="56" max="56" width="9.7109375" style="414" bestFit="1" customWidth="1"/>
    <col min="57" max="57" width="10" style="414" bestFit="1" customWidth="1"/>
    <col min="58" max="58" width="10.85546875" style="414" bestFit="1" customWidth="1"/>
    <col min="59" max="59" width="9.7109375" style="414" bestFit="1" customWidth="1"/>
    <col min="60" max="60" width="11.28515625" style="414" bestFit="1" customWidth="1"/>
    <col min="61" max="61" width="9.5703125" style="414" bestFit="1" customWidth="1"/>
    <col min="62" max="63" width="10" style="414" bestFit="1" customWidth="1"/>
    <col min="64" max="64" width="10.140625" style="414" bestFit="1" customWidth="1"/>
    <col min="65" max="65" width="10.85546875" style="414" bestFit="1" customWidth="1"/>
    <col min="66" max="66" width="9.7109375" style="414" bestFit="1" customWidth="1"/>
    <col min="67" max="67" width="11.28515625" style="414" bestFit="1" customWidth="1"/>
    <col min="68" max="68" width="9.140625" style="414" bestFit="1" customWidth="1"/>
    <col min="69" max="69" width="9.5703125" style="414" bestFit="1" customWidth="1"/>
    <col min="70" max="74" width="9.140625" style="414" bestFit="1" customWidth="1"/>
    <col min="75" max="86" width="8.7109375" style="414" customWidth="1"/>
    <col min="87" max="257" width="9.140625" style="414"/>
    <col min="258" max="258" width="2.7109375" style="414" customWidth="1"/>
    <col min="259" max="260" width="11.5703125" style="414" customWidth="1"/>
    <col min="261" max="261" width="7.28515625" style="414" customWidth="1"/>
    <col min="262" max="262" width="9.85546875" style="414" customWidth="1"/>
    <col min="263" max="263" width="10.140625" style="414" customWidth="1"/>
    <col min="264" max="264" width="11.28515625" style="414" customWidth="1"/>
    <col min="265" max="265" width="2.7109375" style="414" customWidth="1"/>
    <col min="266" max="266" width="9.42578125" style="414" customWidth="1"/>
    <col min="267" max="267" width="2.7109375" style="414" customWidth="1"/>
    <col min="268" max="271" width="0" style="414" hidden="1" customWidth="1"/>
    <col min="272" max="272" width="10" style="414" customWidth="1"/>
    <col min="273" max="342" width="6.7109375" style="414" customWidth="1"/>
    <col min="343" max="513" width="9.140625" style="414"/>
    <col min="514" max="514" width="2.7109375" style="414" customWidth="1"/>
    <col min="515" max="516" width="11.5703125" style="414" customWidth="1"/>
    <col min="517" max="517" width="7.28515625" style="414" customWidth="1"/>
    <col min="518" max="518" width="9.85546875" style="414" customWidth="1"/>
    <col min="519" max="519" width="10.140625" style="414" customWidth="1"/>
    <col min="520" max="520" width="11.28515625" style="414" customWidth="1"/>
    <col min="521" max="521" width="2.7109375" style="414" customWidth="1"/>
    <col min="522" max="522" width="9.42578125" style="414" customWidth="1"/>
    <col min="523" max="523" width="2.7109375" style="414" customWidth="1"/>
    <col min="524" max="527" width="0" style="414" hidden="1" customWidth="1"/>
    <col min="528" max="528" width="10" style="414" customWidth="1"/>
    <col min="529" max="598" width="6.7109375" style="414" customWidth="1"/>
    <col min="599" max="769" width="9.140625" style="414"/>
    <col min="770" max="770" width="2.7109375" style="414" customWidth="1"/>
    <col min="771" max="772" width="11.5703125" style="414" customWidth="1"/>
    <col min="773" max="773" width="7.28515625" style="414" customWidth="1"/>
    <col min="774" max="774" width="9.85546875" style="414" customWidth="1"/>
    <col min="775" max="775" width="10.140625" style="414" customWidth="1"/>
    <col min="776" max="776" width="11.28515625" style="414" customWidth="1"/>
    <col min="777" max="777" width="2.7109375" style="414" customWidth="1"/>
    <col min="778" max="778" width="9.42578125" style="414" customWidth="1"/>
    <col min="779" max="779" width="2.7109375" style="414" customWidth="1"/>
    <col min="780" max="783" width="0" style="414" hidden="1" customWidth="1"/>
    <col min="784" max="784" width="10" style="414" customWidth="1"/>
    <col min="785" max="854" width="6.7109375" style="414" customWidth="1"/>
    <col min="855" max="1025" width="9.140625" style="414"/>
    <col min="1026" max="1026" width="2.7109375" style="414" customWidth="1"/>
    <col min="1027" max="1028" width="11.5703125" style="414" customWidth="1"/>
    <col min="1029" max="1029" width="7.28515625" style="414" customWidth="1"/>
    <col min="1030" max="1030" width="9.85546875" style="414" customWidth="1"/>
    <col min="1031" max="1031" width="10.140625" style="414" customWidth="1"/>
    <col min="1032" max="1032" width="11.28515625" style="414" customWidth="1"/>
    <col min="1033" max="1033" width="2.7109375" style="414" customWidth="1"/>
    <col min="1034" max="1034" width="9.42578125" style="414" customWidth="1"/>
    <col min="1035" max="1035" width="2.7109375" style="414" customWidth="1"/>
    <col min="1036" max="1039" width="0" style="414" hidden="1" customWidth="1"/>
    <col min="1040" max="1040" width="10" style="414" customWidth="1"/>
    <col min="1041" max="1110" width="6.7109375" style="414" customWidth="1"/>
    <col min="1111" max="1281" width="9.140625" style="414"/>
    <col min="1282" max="1282" width="2.7109375" style="414" customWidth="1"/>
    <col min="1283" max="1284" width="11.5703125" style="414" customWidth="1"/>
    <col min="1285" max="1285" width="7.28515625" style="414" customWidth="1"/>
    <col min="1286" max="1286" width="9.85546875" style="414" customWidth="1"/>
    <col min="1287" max="1287" width="10.140625" style="414" customWidth="1"/>
    <col min="1288" max="1288" width="11.28515625" style="414" customWidth="1"/>
    <col min="1289" max="1289" width="2.7109375" style="414" customWidth="1"/>
    <col min="1290" max="1290" width="9.42578125" style="414" customWidth="1"/>
    <col min="1291" max="1291" width="2.7109375" style="414" customWidth="1"/>
    <col min="1292" max="1295" width="0" style="414" hidden="1" customWidth="1"/>
    <col min="1296" max="1296" width="10" style="414" customWidth="1"/>
    <col min="1297" max="1366" width="6.7109375" style="414" customWidth="1"/>
    <col min="1367" max="1537" width="9.140625" style="414"/>
    <col min="1538" max="1538" width="2.7109375" style="414" customWidth="1"/>
    <col min="1539" max="1540" width="11.5703125" style="414" customWidth="1"/>
    <col min="1541" max="1541" width="7.28515625" style="414" customWidth="1"/>
    <col min="1542" max="1542" width="9.85546875" style="414" customWidth="1"/>
    <col min="1543" max="1543" width="10.140625" style="414" customWidth="1"/>
    <col min="1544" max="1544" width="11.28515625" style="414" customWidth="1"/>
    <col min="1545" max="1545" width="2.7109375" style="414" customWidth="1"/>
    <col min="1546" max="1546" width="9.42578125" style="414" customWidth="1"/>
    <col min="1547" max="1547" width="2.7109375" style="414" customWidth="1"/>
    <col min="1548" max="1551" width="0" style="414" hidden="1" customWidth="1"/>
    <col min="1552" max="1552" width="10" style="414" customWidth="1"/>
    <col min="1553" max="1622" width="6.7109375" style="414" customWidth="1"/>
    <col min="1623" max="1793" width="9.140625" style="414"/>
    <col min="1794" max="1794" width="2.7109375" style="414" customWidth="1"/>
    <col min="1795" max="1796" width="11.5703125" style="414" customWidth="1"/>
    <col min="1797" max="1797" width="7.28515625" style="414" customWidth="1"/>
    <col min="1798" max="1798" width="9.85546875" style="414" customWidth="1"/>
    <col min="1799" max="1799" width="10.140625" style="414" customWidth="1"/>
    <col min="1800" max="1800" width="11.28515625" style="414" customWidth="1"/>
    <col min="1801" max="1801" width="2.7109375" style="414" customWidth="1"/>
    <col min="1802" max="1802" width="9.42578125" style="414" customWidth="1"/>
    <col min="1803" max="1803" width="2.7109375" style="414" customWidth="1"/>
    <col min="1804" max="1807" width="0" style="414" hidden="1" customWidth="1"/>
    <col min="1808" max="1808" width="10" style="414" customWidth="1"/>
    <col min="1809" max="1878" width="6.7109375" style="414" customWidth="1"/>
    <col min="1879" max="2049" width="9.140625" style="414"/>
    <col min="2050" max="2050" width="2.7109375" style="414" customWidth="1"/>
    <col min="2051" max="2052" width="11.5703125" style="414" customWidth="1"/>
    <col min="2053" max="2053" width="7.28515625" style="414" customWidth="1"/>
    <col min="2054" max="2054" width="9.85546875" style="414" customWidth="1"/>
    <col min="2055" max="2055" width="10.140625" style="414" customWidth="1"/>
    <col min="2056" max="2056" width="11.28515625" style="414" customWidth="1"/>
    <col min="2057" max="2057" width="2.7109375" style="414" customWidth="1"/>
    <col min="2058" max="2058" width="9.42578125" style="414" customWidth="1"/>
    <col min="2059" max="2059" width="2.7109375" style="414" customWidth="1"/>
    <col min="2060" max="2063" width="0" style="414" hidden="1" customWidth="1"/>
    <col min="2064" max="2064" width="10" style="414" customWidth="1"/>
    <col min="2065" max="2134" width="6.7109375" style="414" customWidth="1"/>
    <col min="2135" max="2305" width="9.140625" style="414"/>
    <col min="2306" max="2306" width="2.7109375" style="414" customWidth="1"/>
    <col min="2307" max="2308" width="11.5703125" style="414" customWidth="1"/>
    <col min="2309" max="2309" width="7.28515625" style="414" customWidth="1"/>
    <col min="2310" max="2310" width="9.85546875" style="414" customWidth="1"/>
    <col min="2311" max="2311" width="10.140625" style="414" customWidth="1"/>
    <col min="2312" max="2312" width="11.28515625" style="414" customWidth="1"/>
    <col min="2313" max="2313" width="2.7109375" style="414" customWidth="1"/>
    <col min="2314" max="2314" width="9.42578125" style="414" customWidth="1"/>
    <col min="2315" max="2315" width="2.7109375" style="414" customWidth="1"/>
    <col min="2316" max="2319" width="0" style="414" hidden="1" customWidth="1"/>
    <col min="2320" max="2320" width="10" style="414" customWidth="1"/>
    <col min="2321" max="2390" width="6.7109375" style="414" customWidth="1"/>
    <col min="2391" max="2561" width="9.140625" style="414"/>
    <col min="2562" max="2562" width="2.7109375" style="414" customWidth="1"/>
    <col min="2563" max="2564" width="11.5703125" style="414" customWidth="1"/>
    <col min="2565" max="2565" width="7.28515625" style="414" customWidth="1"/>
    <col min="2566" max="2566" width="9.85546875" style="414" customWidth="1"/>
    <col min="2567" max="2567" width="10.140625" style="414" customWidth="1"/>
    <col min="2568" max="2568" width="11.28515625" style="414" customWidth="1"/>
    <col min="2569" max="2569" width="2.7109375" style="414" customWidth="1"/>
    <col min="2570" max="2570" width="9.42578125" style="414" customWidth="1"/>
    <col min="2571" max="2571" width="2.7109375" style="414" customWidth="1"/>
    <col min="2572" max="2575" width="0" style="414" hidden="1" customWidth="1"/>
    <col min="2576" max="2576" width="10" style="414" customWidth="1"/>
    <col min="2577" max="2646" width="6.7109375" style="414" customWidth="1"/>
    <col min="2647" max="2817" width="9.140625" style="414"/>
    <col min="2818" max="2818" width="2.7109375" style="414" customWidth="1"/>
    <col min="2819" max="2820" width="11.5703125" style="414" customWidth="1"/>
    <col min="2821" max="2821" width="7.28515625" style="414" customWidth="1"/>
    <col min="2822" max="2822" width="9.85546875" style="414" customWidth="1"/>
    <col min="2823" max="2823" width="10.140625" style="414" customWidth="1"/>
    <col min="2824" max="2824" width="11.28515625" style="414" customWidth="1"/>
    <col min="2825" max="2825" width="2.7109375" style="414" customWidth="1"/>
    <col min="2826" max="2826" width="9.42578125" style="414" customWidth="1"/>
    <col min="2827" max="2827" width="2.7109375" style="414" customWidth="1"/>
    <col min="2828" max="2831" width="0" style="414" hidden="1" customWidth="1"/>
    <col min="2832" max="2832" width="10" style="414" customWidth="1"/>
    <col min="2833" max="2902" width="6.7109375" style="414" customWidth="1"/>
    <col min="2903" max="3073" width="9.140625" style="414"/>
    <col min="3074" max="3074" width="2.7109375" style="414" customWidth="1"/>
    <col min="3075" max="3076" width="11.5703125" style="414" customWidth="1"/>
    <col min="3077" max="3077" width="7.28515625" style="414" customWidth="1"/>
    <col min="3078" max="3078" width="9.85546875" style="414" customWidth="1"/>
    <col min="3079" max="3079" width="10.140625" style="414" customWidth="1"/>
    <col min="3080" max="3080" width="11.28515625" style="414" customWidth="1"/>
    <col min="3081" max="3081" width="2.7109375" style="414" customWidth="1"/>
    <col min="3082" max="3082" width="9.42578125" style="414" customWidth="1"/>
    <col min="3083" max="3083" width="2.7109375" style="414" customWidth="1"/>
    <col min="3084" max="3087" width="0" style="414" hidden="1" customWidth="1"/>
    <col min="3088" max="3088" width="10" style="414" customWidth="1"/>
    <col min="3089" max="3158" width="6.7109375" style="414" customWidth="1"/>
    <col min="3159" max="3329" width="9.140625" style="414"/>
    <col min="3330" max="3330" width="2.7109375" style="414" customWidth="1"/>
    <col min="3331" max="3332" width="11.5703125" style="414" customWidth="1"/>
    <col min="3333" max="3333" width="7.28515625" style="414" customWidth="1"/>
    <col min="3334" max="3334" width="9.85546875" style="414" customWidth="1"/>
    <col min="3335" max="3335" width="10.140625" style="414" customWidth="1"/>
    <col min="3336" max="3336" width="11.28515625" style="414" customWidth="1"/>
    <col min="3337" max="3337" width="2.7109375" style="414" customWidth="1"/>
    <col min="3338" max="3338" width="9.42578125" style="414" customWidth="1"/>
    <col min="3339" max="3339" width="2.7109375" style="414" customWidth="1"/>
    <col min="3340" max="3343" width="0" style="414" hidden="1" customWidth="1"/>
    <col min="3344" max="3344" width="10" style="414" customWidth="1"/>
    <col min="3345" max="3414" width="6.7109375" style="414" customWidth="1"/>
    <col min="3415" max="3585" width="9.140625" style="414"/>
    <col min="3586" max="3586" width="2.7109375" style="414" customWidth="1"/>
    <col min="3587" max="3588" width="11.5703125" style="414" customWidth="1"/>
    <col min="3589" max="3589" width="7.28515625" style="414" customWidth="1"/>
    <col min="3590" max="3590" width="9.85546875" style="414" customWidth="1"/>
    <col min="3591" max="3591" width="10.140625" style="414" customWidth="1"/>
    <col min="3592" max="3592" width="11.28515625" style="414" customWidth="1"/>
    <col min="3593" max="3593" width="2.7109375" style="414" customWidth="1"/>
    <col min="3594" max="3594" width="9.42578125" style="414" customWidth="1"/>
    <col min="3595" max="3595" width="2.7109375" style="414" customWidth="1"/>
    <col min="3596" max="3599" width="0" style="414" hidden="1" customWidth="1"/>
    <col min="3600" max="3600" width="10" style="414" customWidth="1"/>
    <col min="3601" max="3670" width="6.7109375" style="414" customWidth="1"/>
    <col min="3671" max="3841" width="9.140625" style="414"/>
    <col min="3842" max="3842" width="2.7109375" style="414" customWidth="1"/>
    <col min="3843" max="3844" width="11.5703125" style="414" customWidth="1"/>
    <col min="3845" max="3845" width="7.28515625" style="414" customWidth="1"/>
    <col min="3846" max="3846" width="9.85546875" style="414" customWidth="1"/>
    <col min="3847" max="3847" width="10.140625" style="414" customWidth="1"/>
    <col min="3848" max="3848" width="11.28515625" style="414" customWidth="1"/>
    <col min="3849" max="3849" width="2.7109375" style="414" customWidth="1"/>
    <col min="3850" max="3850" width="9.42578125" style="414" customWidth="1"/>
    <col min="3851" max="3851" width="2.7109375" style="414" customWidth="1"/>
    <col min="3852" max="3855" width="0" style="414" hidden="1" customWidth="1"/>
    <col min="3856" max="3856" width="10" style="414" customWidth="1"/>
    <col min="3857" max="3926" width="6.7109375" style="414" customWidth="1"/>
    <col min="3927" max="4097" width="9.140625" style="414"/>
    <col min="4098" max="4098" width="2.7109375" style="414" customWidth="1"/>
    <col min="4099" max="4100" width="11.5703125" style="414" customWidth="1"/>
    <col min="4101" max="4101" width="7.28515625" style="414" customWidth="1"/>
    <col min="4102" max="4102" width="9.85546875" style="414" customWidth="1"/>
    <col min="4103" max="4103" width="10.140625" style="414" customWidth="1"/>
    <col min="4104" max="4104" width="11.28515625" style="414" customWidth="1"/>
    <col min="4105" max="4105" width="2.7109375" style="414" customWidth="1"/>
    <col min="4106" max="4106" width="9.42578125" style="414" customWidth="1"/>
    <col min="4107" max="4107" width="2.7109375" style="414" customWidth="1"/>
    <col min="4108" max="4111" width="0" style="414" hidden="1" customWidth="1"/>
    <col min="4112" max="4112" width="10" style="414" customWidth="1"/>
    <col min="4113" max="4182" width="6.7109375" style="414" customWidth="1"/>
    <col min="4183" max="4353" width="9.140625" style="414"/>
    <col min="4354" max="4354" width="2.7109375" style="414" customWidth="1"/>
    <col min="4355" max="4356" width="11.5703125" style="414" customWidth="1"/>
    <col min="4357" max="4357" width="7.28515625" style="414" customWidth="1"/>
    <col min="4358" max="4358" width="9.85546875" style="414" customWidth="1"/>
    <col min="4359" max="4359" width="10.140625" style="414" customWidth="1"/>
    <col min="4360" max="4360" width="11.28515625" style="414" customWidth="1"/>
    <col min="4361" max="4361" width="2.7109375" style="414" customWidth="1"/>
    <col min="4362" max="4362" width="9.42578125" style="414" customWidth="1"/>
    <col min="4363" max="4363" width="2.7109375" style="414" customWidth="1"/>
    <col min="4364" max="4367" width="0" style="414" hidden="1" customWidth="1"/>
    <col min="4368" max="4368" width="10" style="414" customWidth="1"/>
    <col min="4369" max="4438" width="6.7109375" style="414" customWidth="1"/>
    <col min="4439" max="4609" width="9.140625" style="414"/>
    <col min="4610" max="4610" width="2.7109375" style="414" customWidth="1"/>
    <col min="4611" max="4612" width="11.5703125" style="414" customWidth="1"/>
    <col min="4613" max="4613" width="7.28515625" style="414" customWidth="1"/>
    <col min="4614" max="4614" width="9.85546875" style="414" customWidth="1"/>
    <col min="4615" max="4615" width="10.140625" style="414" customWidth="1"/>
    <col min="4616" max="4616" width="11.28515625" style="414" customWidth="1"/>
    <col min="4617" max="4617" width="2.7109375" style="414" customWidth="1"/>
    <col min="4618" max="4618" width="9.42578125" style="414" customWidth="1"/>
    <col min="4619" max="4619" width="2.7109375" style="414" customWidth="1"/>
    <col min="4620" max="4623" width="0" style="414" hidden="1" customWidth="1"/>
    <col min="4624" max="4624" width="10" style="414" customWidth="1"/>
    <col min="4625" max="4694" width="6.7109375" style="414" customWidth="1"/>
    <col min="4695" max="4865" width="9.140625" style="414"/>
    <col min="4866" max="4866" width="2.7109375" style="414" customWidth="1"/>
    <col min="4867" max="4868" width="11.5703125" style="414" customWidth="1"/>
    <col min="4869" max="4869" width="7.28515625" style="414" customWidth="1"/>
    <col min="4870" max="4870" width="9.85546875" style="414" customWidth="1"/>
    <col min="4871" max="4871" width="10.140625" style="414" customWidth="1"/>
    <col min="4872" max="4872" width="11.28515625" style="414" customWidth="1"/>
    <col min="4873" max="4873" width="2.7109375" style="414" customWidth="1"/>
    <col min="4874" max="4874" width="9.42578125" style="414" customWidth="1"/>
    <col min="4875" max="4875" width="2.7109375" style="414" customWidth="1"/>
    <col min="4876" max="4879" width="0" style="414" hidden="1" customWidth="1"/>
    <col min="4880" max="4880" width="10" style="414" customWidth="1"/>
    <col min="4881" max="4950" width="6.7109375" style="414" customWidth="1"/>
    <col min="4951" max="5121" width="9.140625" style="414"/>
    <col min="5122" max="5122" width="2.7109375" style="414" customWidth="1"/>
    <col min="5123" max="5124" width="11.5703125" style="414" customWidth="1"/>
    <col min="5125" max="5125" width="7.28515625" style="414" customWidth="1"/>
    <col min="5126" max="5126" width="9.85546875" style="414" customWidth="1"/>
    <col min="5127" max="5127" width="10.140625" style="414" customWidth="1"/>
    <col min="5128" max="5128" width="11.28515625" style="414" customWidth="1"/>
    <col min="5129" max="5129" width="2.7109375" style="414" customWidth="1"/>
    <col min="5130" max="5130" width="9.42578125" style="414" customWidth="1"/>
    <col min="5131" max="5131" width="2.7109375" style="414" customWidth="1"/>
    <col min="5132" max="5135" width="0" style="414" hidden="1" customWidth="1"/>
    <col min="5136" max="5136" width="10" style="414" customWidth="1"/>
    <col min="5137" max="5206" width="6.7109375" style="414" customWidth="1"/>
    <col min="5207" max="5377" width="9.140625" style="414"/>
    <col min="5378" max="5378" width="2.7109375" style="414" customWidth="1"/>
    <col min="5379" max="5380" width="11.5703125" style="414" customWidth="1"/>
    <col min="5381" max="5381" width="7.28515625" style="414" customWidth="1"/>
    <col min="5382" max="5382" width="9.85546875" style="414" customWidth="1"/>
    <col min="5383" max="5383" width="10.140625" style="414" customWidth="1"/>
    <col min="5384" max="5384" width="11.28515625" style="414" customWidth="1"/>
    <col min="5385" max="5385" width="2.7109375" style="414" customWidth="1"/>
    <col min="5386" max="5386" width="9.42578125" style="414" customWidth="1"/>
    <col min="5387" max="5387" width="2.7109375" style="414" customWidth="1"/>
    <col min="5388" max="5391" width="0" style="414" hidden="1" customWidth="1"/>
    <col min="5392" max="5392" width="10" style="414" customWidth="1"/>
    <col min="5393" max="5462" width="6.7109375" style="414" customWidth="1"/>
    <col min="5463" max="5633" width="9.140625" style="414"/>
    <col min="5634" max="5634" width="2.7109375" style="414" customWidth="1"/>
    <col min="5635" max="5636" width="11.5703125" style="414" customWidth="1"/>
    <col min="5637" max="5637" width="7.28515625" style="414" customWidth="1"/>
    <col min="5638" max="5638" width="9.85546875" style="414" customWidth="1"/>
    <col min="5639" max="5639" width="10.140625" style="414" customWidth="1"/>
    <col min="5640" max="5640" width="11.28515625" style="414" customWidth="1"/>
    <col min="5641" max="5641" width="2.7109375" style="414" customWidth="1"/>
    <col min="5642" max="5642" width="9.42578125" style="414" customWidth="1"/>
    <col min="5643" max="5643" width="2.7109375" style="414" customWidth="1"/>
    <col min="5644" max="5647" width="0" style="414" hidden="1" customWidth="1"/>
    <col min="5648" max="5648" width="10" style="414" customWidth="1"/>
    <col min="5649" max="5718" width="6.7109375" style="414" customWidth="1"/>
    <col min="5719" max="5889" width="9.140625" style="414"/>
    <col min="5890" max="5890" width="2.7109375" style="414" customWidth="1"/>
    <col min="5891" max="5892" width="11.5703125" style="414" customWidth="1"/>
    <col min="5893" max="5893" width="7.28515625" style="414" customWidth="1"/>
    <col min="5894" max="5894" width="9.85546875" style="414" customWidth="1"/>
    <col min="5895" max="5895" width="10.140625" style="414" customWidth="1"/>
    <col min="5896" max="5896" width="11.28515625" style="414" customWidth="1"/>
    <col min="5897" max="5897" width="2.7109375" style="414" customWidth="1"/>
    <col min="5898" max="5898" width="9.42578125" style="414" customWidth="1"/>
    <col min="5899" max="5899" width="2.7109375" style="414" customWidth="1"/>
    <col min="5900" max="5903" width="0" style="414" hidden="1" customWidth="1"/>
    <col min="5904" max="5904" width="10" style="414" customWidth="1"/>
    <col min="5905" max="5974" width="6.7109375" style="414" customWidth="1"/>
    <col min="5975" max="6145" width="9.140625" style="414"/>
    <col min="6146" max="6146" width="2.7109375" style="414" customWidth="1"/>
    <col min="6147" max="6148" width="11.5703125" style="414" customWidth="1"/>
    <col min="6149" max="6149" width="7.28515625" style="414" customWidth="1"/>
    <col min="6150" max="6150" width="9.85546875" style="414" customWidth="1"/>
    <col min="6151" max="6151" width="10.140625" style="414" customWidth="1"/>
    <col min="6152" max="6152" width="11.28515625" style="414" customWidth="1"/>
    <col min="6153" max="6153" width="2.7109375" style="414" customWidth="1"/>
    <col min="6154" max="6154" width="9.42578125" style="414" customWidth="1"/>
    <col min="6155" max="6155" width="2.7109375" style="414" customWidth="1"/>
    <col min="6156" max="6159" width="0" style="414" hidden="1" customWidth="1"/>
    <col min="6160" max="6160" width="10" style="414" customWidth="1"/>
    <col min="6161" max="6230" width="6.7109375" style="414" customWidth="1"/>
    <col min="6231" max="6401" width="9.140625" style="414"/>
    <col min="6402" max="6402" width="2.7109375" style="414" customWidth="1"/>
    <col min="6403" max="6404" width="11.5703125" style="414" customWidth="1"/>
    <col min="6405" max="6405" width="7.28515625" style="414" customWidth="1"/>
    <col min="6406" max="6406" width="9.85546875" style="414" customWidth="1"/>
    <col min="6407" max="6407" width="10.140625" style="414" customWidth="1"/>
    <col min="6408" max="6408" width="11.28515625" style="414" customWidth="1"/>
    <col min="6409" max="6409" width="2.7109375" style="414" customWidth="1"/>
    <col min="6410" max="6410" width="9.42578125" style="414" customWidth="1"/>
    <col min="6411" max="6411" width="2.7109375" style="414" customWidth="1"/>
    <col min="6412" max="6415" width="0" style="414" hidden="1" customWidth="1"/>
    <col min="6416" max="6416" width="10" style="414" customWidth="1"/>
    <col min="6417" max="6486" width="6.7109375" style="414" customWidth="1"/>
    <col min="6487" max="6657" width="9.140625" style="414"/>
    <col min="6658" max="6658" width="2.7109375" style="414" customWidth="1"/>
    <col min="6659" max="6660" width="11.5703125" style="414" customWidth="1"/>
    <col min="6661" max="6661" width="7.28515625" style="414" customWidth="1"/>
    <col min="6662" max="6662" width="9.85546875" style="414" customWidth="1"/>
    <col min="6663" max="6663" width="10.140625" style="414" customWidth="1"/>
    <col min="6664" max="6664" width="11.28515625" style="414" customWidth="1"/>
    <col min="6665" max="6665" width="2.7109375" style="414" customWidth="1"/>
    <col min="6666" max="6666" width="9.42578125" style="414" customWidth="1"/>
    <col min="6667" max="6667" width="2.7109375" style="414" customWidth="1"/>
    <col min="6668" max="6671" width="0" style="414" hidden="1" customWidth="1"/>
    <col min="6672" max="6672" width="10" style="414" customWidth="1"/>
    <col min="6673" max="6742" width="6.7109375" style="414" customWidth="1"/>
    <col min="6743" max="6913" width="9.140625" style="414"/>
    <col min="6914" max="6914" width="2.7109375" style="414" customWidth="1"/>
    <col min="6915" max="6916" width="11.5703125" style="414" customWidth="1"/>
    <col min="6917" max="6917" width="7.28515625" style="414" customWidth="1"/>
    <col min="6918" max="6918" width="9.85546875" style="414" customWidth="1"/>
    <col min="6919" max="6919" width="10.140625" style="414" customWidth="1"/>
    <col min="6920" max="6920" width="11.28515625" style="414" customWidth="1"/>
    <col min="6921" max="6921" width="2.7109375" style="414" customWidth="1"/>
    <col min="6922" max="6922" width="9.42578125" style="414" customWidth="1"/>
    <col min="6923" max="6923" width="2.7109375" style="414" customWidth="1"/>
    <col min="6924" max="6927" width="0" style="414" hidden="1" customWidth="1"/>
    <col min="6928" max="6928" width="10" style="414" customWidth="1"/>
    <col min="6929" max="6998" width="6.7109375" style="414" customWidth="1"/>
    <col min="6999" max="7169" width="9.140625" style="414"/>
    <col min="7170" max="7170" width="2.7109375" style="414" customWidth="1"/>
    <col min="7171" max="7172" width="11.5703125" style="414" customWidth="1"/>
    <col min="7173" max="7173" width="7.28515625" style="414" customWidth="1"/>
    <col min="7174" max="7174" width="9.85546875" style="414" customWidth="1"/>
    <col min="7175" max="7175" width="10.140625" style="414" customWidth="1"/>
    <col min="7176" max="7176" width="11.28515625" style="414" customWidth="1"/>
    <col min="7177" max="7177" width="2.7109375" style="414" customWidth="1"/>
    <col min="7178" max="7178" width="9.42578125" style="414" customWidth="1"/>
    <col min="7179" max="7179" width="2.7109375" style="414" customWidth="1"/>
    <col min="7180" max="7183" width="0" style="414" hidden="1" customWidth="1"/>
    <col min="7184" max="7184" width="10" style="414" customWidth="1"/>
    <col min="7185" max="7254" width="6.7109375" style="414" customWidth="1"/>
    <col min="7255" max="7425" width="9.140625" style="414"/>
    <col min="7426" max="7426" width="2.7109375" style="414" customWidth="1"/>
    <col min="7427" max="7428" width="11.5703125" style="414" customWidth="1"/>
    <col min="7429" max="7429" width="7.28515625" style="414" customWidth="1"/>
    <col min="7430" max="7430" width="9.85546875" style="414" customWidth="1"/>
    <col min="7431" max="7431" width="10.140625" style="414" customWidth="1"/>
    <col min="7432" max="7432" width="11.28515625" style="414" customWidth="1"/>
    <col min="7433" max="7433" width="2.7109375" style="414" customWidth="1"/>
    <col min="7434" max="7434" width="9.42578125" style="414" customWidth="1"/>
    <col min="7435" max="7435" width="2.7109375" style="414" customWidth="1"/>
    <col min="7436" max="7439" width="0" style="414" hidden="1" customWidth="1"/>
    <col min="7440" max="7440" width="10" style="414" customWidth="1"/>
    <col min="7441" max="7510" width="6.7109375" style="414" customWidth="1"/>
    <col min="7511" max="7681" width="9.140625" style="414"/>
    <col min="7682" max="7682" width="2.7109375" style="414" customWidth="1"/>
    <col min="7683" max="7684" width="11.5703125" style="414" customWidth="1"/>
    <col min="7685" max="7685" width="7.28515625" style="414" customWidth="1"/>
    <col min="7686" max="7686" width="9.85546875" style="414" customWidth="1"/>
    <col min="7687" max="7687" width="10.140625" style="414" customWidth="1"/>
    <col min="7688" max="7688" width="11.28515625" style="414" customWidth="1"/>
    <col min="7689" max="7689" width="2.7109375" style="414" customWidth="1"/>
    <col min="7690" max="7690" width="9.42578125" style="414" customWidth="1"/>
    <col min="7691" max="7691" width="2.7109375" style="414" customWidth="1"/>
    <col min="7692" max="7695" width="0" style="414" hidden="1" customWidth="1"/>
    <col min="7696" max="7696" width="10" style="414" customWidth="1"/>
    <col min="7697" max="7766" width="6.7109375" style="414" customWidth="1"/>
    <col min="7767" max="7937" width="9.140625" style="414"/>
    <col min="7938" max="7938" width="2.7109375" style="414" customWidth="1"/>
    <col min="7939" max="7940" width="11.5703125" style="414" customWidth="1"/>
    <col min="7941" max="7941" width="7.28515625" style="414" customWidth="1"/>
    <col min="7942" max="7942" width="9.85546875" style="414" customWidth="1"/>
    <col min="7943" max="7943" width="10.140625" style="414" customWidth="1"/>
    <col min="7944" max="7944" width="11.28515625" style="414" customWidth="1"/>
    <col min="7945" max="7945" width="2.7109375" style="414" customWidth="1"/>
    <col min="7946" max="7946" width="9.42578125" style="414" customWidth="1"/>
    <col min="7947" max="7947" width="2.7109375" style="414" customWidth="1"/>
    <col min="7948" max="7951" width="0" style="414" hidden="1" customWidth="1"/>
    <col min="7952" max="7952" width="10" style="414" customWidth="1"/>
    <col min="7953" max="8022" width="6.7109375" style="414" customWidth="1"/>
    <col min="8023" max="8193" width="9.140625" style="414"/>
    <col min="8194" max="8194" width="2.7109375" style="414" customWidth="1"/>
    <col min="8195" max="8196" width="11.5703125" style="414" customWidth="1"/>
    <col min="8197" max="8197" width="7.28515625" style="414" customWidth="1"/>
    <col min="8198" max="8198" width="9.85546875" style="414" customWidth="1"/>
    <col min="8199" max="8199" width="10.140625" style="414" customWidth="1"/>
    <col min="8200" max="8200" width="11.28515625" style="414" customWidth="1"/>
    <col min="8201" max="8201" width="2.7109375" style="414" customWidth="1"/>
    <col min="8202" max="8202" width="9.42578125" style="414" customWidth="1"/>
    <col min="8203" max="8203" width="2.7109375" style="414" customWidth="1"/>
    <col min="8204" max="8207" width="0" style="414" hidden="1" customWidth="1"/>
    <col min="8208" max="8208" width="10" style="414" customWidth="1"/>
    <col min="8209" max="8278" width="6.7109375" style="414" customWidth="1"/>
    <col min="8279" max="8449" width="9.140625" style="414"/>
    <col min="8450" max="8450" width="2.7109375" style="414" customWidth="1"/>
    <col min="8451" max="8452" width="11.5703125" style="414" customWidth="1"/>
    <col min="8453" max="8453" width="7.28515625" style="414" customWidth="1"/>
    <col min="8454" max="8454" width="9.85546875" style="414" customWidth="1"/>
    <col min="8455" max="8455" width="10.140625" style="414" customWidth="1"/>
    <col min="8456" max="8456" width="11.28515625" style="414" customWidth="1"/>
    <col min="8457" max="8457" width="2.7109375" style="414" customWidth="1"/>
    <col min="8458" max="8458" width="9.42578125" style="414" customWidth="1"/>
    <col min="8459" max="8459" width="2.7109375" style="414" customWidth="1"/>
    <col min="8460" max="8463" width="0" style="414" hidden="1" customWidth="1"/>
    <col min="8464" max="8464" width="10" style="414" customWidth="1"/>
    <col min="8465" max="8534" width="6.7109375" style="414" customWidth="1"/>
    <col min="8535" max="8705" width="9.140625" style="414"/>
    <col min="8706" max="8706" width="2.7109375" style="414" customWidth="1"/>
    <col min="8707" max="8708" width="11.5703125" style="414" customWidth="1"/>
    <col min="8709" max="8709" width="7.28515625" style="414" customWidth="1"/>
    <col min="8710" max="8710" width="9.85546875" style="414" customWidth="1"/>
    <col min="8711" max="8711" width="10.140625" style="414" customWidth="1"/>
    <col min="8712" max="8712" width="11.28515625" style="414" customWidth="1"/>
    <col min="8713" max="8713" width="2.7109375" style="414" customWidth="1"/>
    <col min="8714" max="8714" width="9.42578125" style="414" customWidth="1"/>
    <col min="8715" max="8715" width="2.7109375" style="414" customWidth="1"/>
    <col min="8716" max="8719" width="0" style="414" hidden="1" customWidth="1"/>
    <col min="8720" max="8720" width="10" style="414" customWidth="1"/>
    <col min="8721" max="8790" width="6.7109375" style="414" customWidth="1"/>
    <col min="8791" max="8961" width="9.140625" style="414"/>
    <col min="8962" max="8962" width="2.7109375" style="414" customWidth="1"/>
    <col min="8963" max="8964" width="11.5703125" style="414" customWidth="1"/>
    <col min="8965" max="8965" width="7.28515625" style="414" customWidth="1"/>
    <col min="8966" max="8966" width="9.85546875" style="414" customWidth="1"/>
    <col min="8967" max="8967" width="10.140625" style="414" customWidth="1"/>
    <col min="8968" max="8968" width="11.28515625" style="414" customWidth="1"/>
    <col min="8969" max="8969" width="2.7109375" style="414" customWidth="1"/>
    <col min="8970" max="8970" width="9.42578125" style="414" customWidth="1"/>
    <col min="8971" max="8971" width="2.7109375" style="414" customWidth="1"/>
    <col min="8972" max="8975" width="0" style="414" hidden="1" customWidth="1"/>
    <col min="8976" max="8976" width="10" style="414" customWidth="1"/>
    <col min="8977" max="9046" width="6.7109375" style="414" customWidth="1"/>
    <col min="9047" max="9217" width="9.140625" style="414"/>
    <col min="9218" max="9218" width="2.7109375" style="414" customWidth="1"/>
    <col min="9219" max="9220" width="11.5703125" style="414" customWidth="1"/>
    <col min="9221" max="9221" width="7.28515625" style="414" customWidth="1"/>
    <col min="9222" max="9222" width="9.85546875" style="414" customWidth="1"/>
    <col min="9223" max="9223" width="10.140625" style="414" customWidth="1"/>
    <col min="9224" max="9224" width="11.28515625" style="414" customWidth="1"/>
    <col min="9225" max="9225" width="2.7109375" style="414" customWidth="1"/>
    <col min="9226" max="9226" width="9.42578125" style="414" customWidth="1"/>
    <col min="9227" max="9227" width="2.7109375" style="414" customWidth="1"/>
    <col min="9228" max="9231" width="0" style="414" hidden="1" customWidth="1"/>
    <col min="9232" max="9232" width="10" style="414" customWidth="1"/>
    <col min="9233" max="9302" width="6.7109375" style="414" customWidth="1"/>
    <col min="9303" max="9473" width="9.140625" style="414"/>
    <col min="9474" max="9474" width="2.7109375" style="414" customWidth="1"/>
    <col min="9475" max="9476" width="11.5703125" style="414" customWidth="1"/>
    <col min="9477" max="9477" width="7.28515625" style="414" customWidth="1"/>
    <col min="9478" max="9478" width="9.85546875" style="414" customWidth="1"/>
    <col min="9479" max="9479" width="10.140625" style="414" customWidth="1"/>
    <col min="9480" max="9480" width="11.28515625" style="414" customWidth="1"/>
    <col min="9481" max="9481" width="2.7109375" style="414" customWidth="1"/>
    <col min="9482" max="9482" width="9.42578125" style="414" customWidth="1"/>
    <col min="9483" max="9483" width="2.7109375" style="414" customWidth="1"/>
    <col min="9484" max="9487" width="0" style="414" hidden="1" customWidth="1"/>
    <col min="9488" max="9488" width="10" style="414" customWidth="1"/>
    <col min="9489" max="9558" width="6.7109375" style="414" customWidth="1"/>
    <col min="9559" max="9729" width="9.140625" style="414"/>
    <col min="9730" max="9730" width="2.7109375" style="414" customWidth="1"/>
    <col min="9731" max="9732" width="11.5703125" style="414" customWidth="1"/>
    <col min="9733" max="9733" width="7.28515625" style="414" customWidth="1"/>
    <col min="9734" max="9734" width="9.85546875" style="414" customWidth="1"/>
    <col min="9735" max="9735" width="10.140625" style="414" customWidth="1"/>
    <col min="9736" max="9736" width="11.28515625" style="414" customWidth="1"/>
    <col min="9737" max="9737" width="2.7109375" style="414" customWidth="1"/>
    <col min="9738" max="9738" width="9.42578125" style="414" customWidth="1"/>
    <col min="9739" max="9739" width="2.7109375" style="414" customWidth="1"/>
    <col min="9740" max="9743" width="0" style="414" hidden="1" customWidth="1"/>
    <col min="9744" max="9744" width="10" style="414" customWidth="1"/>
    <col min="9745" max="9814" width="6.7109375" style="414" customWidth="1"/>
    <col min="9815" max="9985" width="9.140625" style="414"/>
    <col min="9986" max="9986" width="2.7109375" style="414" customWidth="1"/>
    <col min="9987" max="9988" width="11.5703125" style="414" customWidth="1"/>
    <col min="9989" max="9989" width="7.28515625" style="414" customWidth="1"/>
    <col min="9990" max="9990" width="9.85546875" style="414" customWidth="1"/>
    <col min="9991" max="9991" width="10.140625" style="414" customWidth="1"/>
    <col min="9992" max="9992" width="11.28515625" style="414" customWidth="1"/>
    <col min="9993" max="9993" width="2.7109375" style="414" customWidth="1"/>
    <col min="9994" max="9994" width="9.42578125" style="414" customWidth="1"/>
    <col min="9995" max="9995" width="2.7109375" style="414" customWidth="1"/>
    <col min="9996" max="9999" width="0" style="414" hidden="1" customWidth="1"/>
    <col min="10000" max="10000" width="10" style="414" customWidth="1"/>
    <col min="10001" max="10070" width="6.7109375" style="414" customWidth="1"/>
    <col min="10071" max="10241" width="9.140625" style="414"/>
    <col min="10242" max="10242" width="2.7109375" style="414" customWidth="1"/>
    <col min="10243" max="10244" width="11.5703125" style="414" customWidth="1"/>
    <col min="10245" max="10245" width="7.28515625" style="414" customWidth="1"/>
    <col min="10246" max="10246" width="9.85546875" style="414" customWidth="1"/>
    <col min="10247" max="10247" width="10.140625" style="414" customWidth="1"/>
    <col min="10248" max="10248" width="11.28515625" style="414" customWidth="1"/>
    <col min="10249" max="10249" width="2.7109375" style="414" customWidth="1"/>
    <col min="10250" max="10250" width="9.42578125" style="414" customWidth="1"/>
    <col min="10251" max="10251" width="2.7109375" style="414" customWidth="1"/>
    <col min="10252" max="10255" width="0" style="414" hidden="1" customWidth="1"/>
    <col min="10256" max="10256" width="10" style="414" customWidth="1"/>
    <col min="10257" max="10326" width="6.7109375" style="414" customWidth="1"/>
    <col min="10327" max="10497" width="9.140625" style="414"/>
    <col min="10498" max="10498" width="2.7109375" style="414" customWidth="1"/>
    <col min="10499" max="10500" width="11.5703125" style="414" customWidth="1"/>
    <col min="10501" max="10501" width="7.28515625" style="414" customWidth="1"/>
    <col min="10502" max="10502" width="9.85546875" style="414" customWidth="1"/>
    <col min="10503" max="10503" width="10.140625" style="414" customWidth="1"/>
    <col min="10504" max="10504" width="11.28515625" style="414" customWidth="1"/>
    <col min="10505" max="10505" width="2.7109375" style="414" customWidth="1"/>
    <col min="10506" max="10506" width="9.42578125" style="414" customWidth="1"/>
    <col min="10507" max="10507" width="2.7109375" style="414" customWidth="1"/>
    <col min="10508" max="10511" width="0" style="414" hidden="1" customWidth="1"/>
    <col min="10512" max="10512" width="10" style="414" customWidth="1"/>
    <col min="10513" max="10582" width="6.7109375" style="414" customWidth="1"/>
    <col min="10583" max="10753" width="9.140625" style="414"/>
    <col min="10754" max="10754" width="2.7109375" style="414" customWidth="1"/>
    <col min="10755" max="10756" width="11.5703125" style="414" customWidth="1"/>
    <col min="10757" max="10757" width="7.28515625" style="414" customWidth="1"/>
    <col min="10758" max="10758" width="9.85546875" style="414" customWidth="1"/>
    <col min="10759" max="10759" width="10.140625" style="414" customWidth="1"/>
    <col min="10760" max="10760" width="11.28515625" style="414" customWidth="1"/>
    <col min="10761" max="10761" width="2.7109375" style="414" customWidth="1"/>
    <col min="10762" max="10762" width="9.42578125" style="414" customWidth="1"/>
    <col min="10763" max="10763" width="2.7109375" style="414" customWidth="1"/>
    <col min="10764" max="10767" width="0" style="414" hidden="1" customWidth="1"/>
    <col min="10768" max="10768" width="10" style="414" customWidth="1"/>
    <col min="10769" max="10838" width="6.7109375" style="414" customWidth="1"/>
    <col min="10839" max="11009" width="9.140625" style="414"/>
    <col min="11010" max="11010" width="2.7109375" style="414" customWidth="1"/>
    <col min="11011" max="11012" width="11.5703125" style="414" customWidth="1"/>
    <col min="11013" max="11013" width="7.28515625" style="414" customWidth="1"/>
    <col min="11014" max="11014" width="9.85546875" style="414" customWidth="1"/>
    <col min="11015" max="11015" width="10.140625" style="414" customWidth="1"/>
    <col min="11016" max="11016" width="11.28515625" style="414" customWidth="1"/>
    <col min="11017" max="11017" width="2.7109375" style="414" customWidth="1"/>
    <col min="11018" max="11018" width="9.42578125" style="414" customWidth="1"/>
    <col min="11019" max="11019" width="2.7109375" style="414" customWidth="1"/>
    <col min="11020" max="11023" width="0" style="414" hidden="1" customWidth="1"/>
    <col min="11024" max="11024" width="10" style="414" customWidth="1"/>
    <col min="11025" max="11094" width="6.7109375" style="414" customWidth="1"/>
    <col min="11095" max="11265" width="9.140625" style="414"/>
    <col min="11266" max="11266" width="2.7109375" style="414" customWidth="1"/>
    <col min="11267" max="11268" width="11.5703125" style="414" customWidth="1"/>
    <col min="11269" max="11269" width="7.28515625" style="414" customWidth="1"/>
    <col min="11270" max="11270" width="9.85546875" style="414" customWidth="1"/>
    <col min="11271" max="11271" width="10.140625" style="414" customWidth="1"/>
    <col min="11272" max="11272" width="11.28515625" style="414" customWidth="1"/>
    <col min="11273" max="11273" width="2.7109375" style="414" customWidth="1"/>
    <col min="11274" max="11274" width="9.42578125" style="414" customWidth="1"/>
    <col min="11275" max="11275" width="2.7109375" style="414" customWidth="1"/>
    <col min="11276" max="11279" width="0" style="414" hidden="1" customWidth="1"/>
    <col min="11280" max="11280" width="10" style="414" customWidth="1"/>
    <col min="11281" max="11350" width="6.7109375" style="414" customWidth="1"/>
    <col min="11351" max="11521" width="9.140625" style="414"/>
    <col min="11522" max="11522" width="2.7109375" style="414" customWidth="1"/>
    <col min="11523" max="11524" width="11.5703125" style="414" customWidth="1"/>
    <col min="11525" max="11525" width="7.28515625" style="414" customWidth="1"/>
    <col min="11526" max="11526" width="9.85546875" style="414" customWidth="1"/>
    <col min="11527" max="11527" width="10.140625" style="414" customWidth="1"/>
    <col min="11528" max="11528" width="11.28515625" style="414" customWidth="1"/>
    <col min="11529" max="11529" width="2.7109375" style="414" customWidth="1"/>
    <col min="11530" max="11530" width="9.42578125" style="414" customWidth="1"/>
    <col min="11531" max="11531" width="2.7109375" style="414" customWidth="1"/>
    <col min="11532" max="11535" width="0" style="414" hidden="1" customWidth="1"/>
    <col min="11536" max="11536" width="10" style="414" customWidth="1"/>
    <col min="11537" max="11606" width="6.7109375" style="414" customWidth="1"/>
    <col min="11607" max="11777" width="9.140625" style="414"/>
    <col min="11778" max="11778" width="2.7109375" style="414" customWidth="1"/>
    <col min="11779" max="11780" width="11.5703125" style="414" customWidth="1"/>
    <col min="11781" max="11781" width="7.28515625" style="414" customWidth="1"/>
    <col min="11782" max="11782" width="9.85546875" style="414" customWidth="1"/>
    <col min="11783" max="11783" width="10.140625" style="414" customWidth="1"/>
    <col min="11784" max="11784" width="11.28515625" style="414" customWidth="1"/>
    <col min="11785" max="11785" width="2.7109375" style="414" customWidth="1"/>
    <col min="11786" max="11786" width="9.42578125" style="414" customWidth="1"/>
    <col min="11787" max="11787" width="2.7109375" style="414" customWidth="1"/>
    <col min="11788" max="11791" width="0" style="414" hidden="1" customWidth="1"/>
    <col min="11792" max="11792" width="10" style="414" customWidth="1"/>
    <col min="11793" max="11862" width="6.7109375" style="414" customWidth="1"/>
    <col min="11863" max="12033" width="9.140625" style="414"/>
    <col min="12034" max="12034" width="2.7109375" style="414" customWidth="1"/>
    <col min="12035" max="12036" width="11.5703125" style="414" customWidth="1"/>
    <col min="12037" max="12037" width="7.28515625" style="414" customWidth="1"/>
    <col min="12038" max="12038" width="9.85546875" style="414" customWidth="1"/>
    <col min="12039" max="12039" width="10.140625" style="414" customWidth="1"/>
    <col min="12040" max="12040" width="11.28515625" style="414" customWidth="1"/>
    <col min="12041" max="12041" width="2.7109375" style="414" customWidth="1"/>
    <col min="12042" max="12042" width="9.42578125" style="414" customWidth="1"/>
    <col min="12043" max="12043" width="2.7109375" style="414" customWidth="1"/>
    <col min="12044" max="12047" width="0" style="414" hidden="1" customWidth="1"/>
    <col min="12048" max="12048" width="10" style="414" customWidth="1"/>
    <col min="12049" max="12118" width="6.7109375" style="414" customWidth="1"/>
    <col min="12119" max="12289" width="9.140625" style="414"/>
    <col min="12290" max="12290" width="2.7109375" style="414" customWidth="1"/>
    <col min="12291" max="12292" width="11.5703125" style="414" customWidth="1"/>
    <col min="12293" max="12293" width="7.28515625" style="414" customWidth="1"/>
    <col min="12294" max="12294" width="9.85546875" style="414" customWidth="1"/>
    <col min="12295" max="12295" width="10.140625" style="414" customWidth="1"/>
    <col min="12296" max="12296" width="11.28515625" style="414" customWidth="1"/>
    <col min="12297" max="12297" width="2.7109375" style="414" customWidth="1"/>
    <col min="12298" max="12298" width="9.42578125" style="414" customWidth="1"/>
    <col min="12299" max="12299" width="2.7109375" style="414" customWidth="1"/>
    <col min="12300" max="12303" width="0" style="414" hidden="1" customWidth="1"/>
    <col min="12304" max="12304" width="10" style="414" customWidth="1"/>
    <col min="12305" max="12374" width="6.7109375" style="414" customWidth="1"/>
    <col min="12375" max="12545" width="9.140625" style="414"/>
    <col min="12546" max="12546" width="2.7109375" style="414" customWidth="1"/>
    <col min="12547" max="12548" width="11.5703125" style="414" customWidth="1"/>
    <col min="12549" max="12549" width="7.28515625" style="414" customWidth="1"/>
    <col min="12550" max="12550" width="9.85546875" style="414" customWidth="1"/>
    <col min="12551" max="12551" width="10.140625" style="414" customWidth="1"/>
    <col min="12552" max="12552" width="11.28515625" style="414" customWidth="1"/>
    <col min="12553" max="12553" width="2.7109375" style="414" customWidth="1"/>
    <col min="12554" max="12554" width="9.42578125" style="414" customWidth="1"/>
    <col min="12555" max="12555" width="2.7109375" style="414" customWidth="1"/>
    <col min="12556" max="12559" width="0" style="414" hidden="1" customWidth="1"/>
    <col min="12560" max="12560" width="10" style="414" customWidth="1"/>
    <col min="12561" max="12630" width="6.7109375" style="414" customWidth="1"/>
    <col min="12631" max="12801" width="9.140625" style="414"/>
    <col min="12802" max="12802" width="2.7109375" style="414" customWidth="1"/>
    <col min="12803" max="12804" width="11.5703125" style="414" customWidth="1"/>
    <col min="12805" max="12805" width="7.28515625" style="414" customWidth="1"/>
    <col min="12806" max="12806" width="9.85546875" style="414" customWidth="1"/>
    <col min="12807" max="12807" width="10.140625" style="414" customWidth="1"/>
    <col min="12808" max="12808" width="11.28515625" style="414" customWidth="1"/>
    <col min="12809" max="12809" width="2.7109375" style="414" customWidth="1"/>
    <col min="12810" max="12810" width="9.42578125" style="414" customWidth="1"/>
    <col min="12811" max="12811" width="2.7109375" style="414" customWidth="1"/>
    <col min="12812" max="12815" width="0" style="414" hidden="1" customWidth="1"/>
    <col min="12816" max="12816" width="10" style="414" customWidth="1"/>
    <col min="12817" max="12886" width="6.7109375" style="414" customWidth="1"/>
    <col min="12887" max="13057" width="9.140625" style="414"/>
    <col min="13058" max="13058" width="2.7109375" style="414" customWidth="1"/>
    <col min="13059" max="13060" width="11.5703125" style="414" customWidth="1"/>
    <col min="13061" max="13061" width="7.28515625" style="414" customWidth="1"/>
    <col min="13062" max="13062" width="9.85546875" style="414" customWidth="1"/>
    <col min="13063" max="13063" width="10.140625" style="414" customWidth="1"/>
    <col min="13064" max="13064" width="11.28515625" style="414" customWidth="1"/>
    <col min="13065" max="13065" width="2.7109375" style="414" customWidth="1"/>
    <col min="13066" max="13066" width="9.42578125" style="414" customWidth="1"/>
    <col min="13067" max="13067" width="2.7109375" style="414" customWidth="1"/>
    <col min="13068" max="13071" width="0" style="414" hidden="1" customWidth="1"/>
    <col min="13072" max="13072" width="10" style="414" customWidth="1"/>
    <col min="13073" max="13142" width="6.7109375" style="414" customWidth="1"/>
    <col min="13143" max="13313" width="9.140625" style="414"/>
    <col min="13314" max="13314" width="2.7109375" style="414" customWidth="1"/>
    <col min="13315" max="13316" width="11.5703125" style="414" customWidth="1"/>
    <col min="13317" max="13317" width="7.28515625" style="414" customWidth="1"/>
    <col min="13318" max="13318" width="9.85546875" style="414" customWidth="1"/>
    <col min="13319" max="13319" width="10.140625" style="414" customWidth="1"/>
    <col min="13320" max="13320" width="11.28515625" style="414" customWidth="1"/>
    <col min="13321" max="13321" width="2.7109375" style="414" customWidth="1"/>
    <col min="13322" max="13322" width="9.42578125" style="414" customWidth="1"/>
    <col min="13323" max="13323" width="2.7109375" style="414" customWidth="1"/>
    <col min="13324" max="13327" width="0" style="414" hidden="1" customWidth="1"/>
    <col min="13328" max="13328" width="10" style="414" customWidth="1"/>
    <col min="13329" max="13398" width="6.7109375" style="414" customWidth="1"/>
    <col min="13399" max="13569" width="9.140625" style="414"/>
    <col min="13570" max="13570" width="2.7109375" style="414" customWidth="1"/>
    <col min="13571" max="13572" width="11.5703125" style="414" customWidth="1"/>
    <col min="13573" max="13573" width="7.28515625" style="414" customWidth="1"/>
    <col min="13574" max="13574" width="9.85546875" style="414" customWidth="1"/>
    <col min="13575" max="13575" width="10.140625" style="414" customWidth="1"/>
    <col min="13576" max="13576" width="11.28515625" style="414" customWidth="1"/>
    <col min="13577" max="13577" width="2.7109375" style="414" customWidth="1"/>
    <col min="13578" max="13578" width="9.42578125" style="414" customWidth="1"/>
    <col min="13579" max="13579" width="2.7109375" style="414" customWidth="1"/>
    <col min="13580" max="13583" width="0" style="414" hidden="1" customWidth="1"/>
    <col min="13584" max="13584" width="10" style="414" customWidth="1"/>
    <col min="13585" max="13654" width="6.7109375" style="414" customWidth="1"/>
    <col min="13655" max="13825" width="9.140625" style="414"/>
    <col min="13826" max="13826" width="2.7109375" style="414" customWidth="1"/>
    <col min="13827" max="13828" width="11.5703125" style="414" customWidth="1"/>
    <col min="13829" max="13829" width="7.28515625" style="414" customWidth="1"/>
    <col min="13830" max="13830" width="9.85546875" style="414" customWidth="1"/>
    <col min="13831" max="13831" width="10.140625" style="414" customWidth="1"/>
    <col min="13832" max="13832" width="11.28515625" style="414" customWidth="1"/>
    <col min="13833" max="13833" width="2.7109375" style="414" customWidth="1"/>
    <col min="13834" max="13834" width="9.42578125" style="414" customWidth="1"/>
    <col min="13835" max="13835" width="2.7109375" style="414" customWidth="1"/>
    <col min="13836" max="13839" width="0" style="414" hidden="1" customWidth="1"/>
    <col min="13840" max="13840" width="10" style="414" customWidth="1"/>
    <col min="13841" max="13910" width="6.7109375" style="414" customWidth="1"/>
    <col min="13911" max="14081" width="9.140625" style="414"/>
    <col min="14082" max="14082" width="2.7109375" style="414" customWidth="1"/>
    <col min="14083" max="14084" width="11.5703125" style="414" customWidth="1"/>
    <col min="14085" max="14085" width="7.28515625" style="414" customWidth="1"/>
    <col min="14086" max="14086" width="9.85546875" style="414" customWidth="1"/>
    <col min="14087" max="14087" width="10.140625" style="414" customWidth="1"/>
    <col min="14088" max="14088" width="11.28515625" style="414" customWidth="1"/>
    <col min="14089" max="14089" width="2.7109375" style="414" customWidth="1"/>
    <col min="14090" max="14090" width="9.42578125" style="414" customWidth="1"/>
    <col min="14091" max="14091" width="2.7109375" style="414" customWidth="1"/>
    <col min="14092" max="14095" width="0" style="414" hidden="1" customWidth="1"/>
    <col min="14096" max="14096" width="10" style="414" customWidth="1"/>
    <col min="14097" max="14166" width="6.7109375" style="414" customWidth="1"/>
    <col min="14167" max="14337" width="9.140625" style="414"/>
    <col min="14338" max="14338" width="2.7109375" style="414" customWidth="1"/>
    <col min="14339" max="14340" width="11.5703125" style="414" customWidth="1"/>
    <col min="14341" max="14341" width="7.28515625" style="414" customWidth="1"/>
    <col min="14342" max="14342" width="9.85546875" style="414" customWidth="1"/>
    <col min="14343" max="14343" width="10.140625" style="414" customWidth="1"/>
    <col min="14344" max="14344" width="11.28515625" style="414" customWidth="1"/>
    <col min="14345" max="14345" width="2.7109375" style="414" customWidth="1"/>
    <col min="14346" max="14346" width="9.42578125" style="414" customWidth="1"/>
    <col min="14347" max="14347" width="2.7109375" style="414" customWidth="1"/>
    <col min="14348" max="14351" width="0" style="414" hidden="1" customWidth="1"/>
    <col min="14352" max="14352" width="10" style="414" customWidth="1"/>
    <col min="14353" max="14422" width="6.7109375" style="414" customWidth="1"/>
    <col min="14423" max="14593" width="9.140625" style="414"/>
    <col min="14594" max="14594" width="2.7109375" style="414" customWidth="1"/>
    <col min="14595" max="14596" width="11.5703125" style="414" customWidth="1"/>
    <col min="14597" max="14597" width="7.28515625" style="414" customWidth="1"/>
    <col min="14598" max="14598" width="9.85546875" style="414" customWidth="1"/>
    <col min="14599" max="14599" width="10.140625" style="414" customWidth="1"/>
    <col min="14600" max="14600" width="11.28515625" style="414" customWidth="1"/>
    <col min="14601" max="14601" width="2.7109375" style="414" customWidth="1"/>
    <col min="14602" max="14602" width="9.42578125" style="414" customWidth="1"/>
    <col min="14603" max="14603" width="2.7109375" style="414" customWidth="1"/>
    <col min="14604" max="14607" width="0" style="414" hidden="1" customWidth="1"/>
    <col min="14608" max="14608" width="10" style="414" customWidth="1"/>
    <col min="14609" max="14678" width="6.7109375" style="414" customWidth="1"/>
    <col min="14679" max="14849" width="9.140625" style="414"/>
    <col min="14850" max="14850" width="2.7109375" style="414" customWidth="1"/>
    <col min="14851" max="14852" width="11.5703125" style="414" customWidth="1"/>
    <col min="14853" max="14853" width="7.28515625" style="414" customWidth="1"/>
    <col min="14854" max="14854" width="9.85546875" style="414" customWidth="1"/>
    <col min="14855" max="14855" width="10.140625" style="414" customWidth="1"/>
    <col min="14856" max="14856" width="11.28515625" style="414" customWidth="1"/>
    <col min="14857" max="14857" width="2.7109375" style="414" customWidth="1"/>
    <col min="14858" max="14858" width="9.42578125" style="414" customWidth="1"/>
    <col min="14859" max="14859" width="2.7109375" style="414" customWidth="1"/>
    <col min="14860" max="14863" width="0" style="414" hidden="1" customWidth="1"/>
    <col min="14864" max="14864" width="10" style="414" customWidth="1"/>
    <col min="14865" max="14934" width="6.7109375" style="414" customWidth="1"/>
    <col min="14935" max="15105" width="9.140625" style="414"/>
    <col min="15106" max="15106" width="2.7109375" style="414" customWidth="1"/>
    <col min="15107" max="15108" width="11.5703125" style="414" customWidth="1"/>
    <col min="15109" max="15109" width="7.28515625" style="414" customWidth="1"/>
    <col min="15110" max="15110" width="9.85546875" style="414" customWidth="1"/>
    <col min="15111" max="15111" width="10.140625" style="414" customWidth="1"/>
    <col min="15112" max="15112" width="11.28515625" style="414" customWidth="1"/>
    <col min="15113" max="15113" width="2.7109375" style="414" customWidth="1"/>
    <col min="15114" max="15114" width="9.42578125" style="414" customWidth="1"/>
    <col min="15115" max="15115" width="2.7109375" style="414" customWidth="1"/>
    <col min="15116" max="15119" width="0" style="414" hidden="1" customWidth="1"/>
    <col min="15120" max="15120" width="10" style="414" customWidth="1"/>
    <col min="15121" max="15190" width="6.7109375" style="414" customWidth="1"/>
    <col min="15191" max="15361" width="9.140625" style="414"/>
    <col min="15362" max="15362" width="2.7109375" style="414" customWidth="1"/>
    <col min="15363" max="15364" width="11.5703125" style="414" customWidth="1"/>
    <col min="15365" max="15365" width="7.28515625" style="414" customWidth="1"/>
    <col min="15366" max="15366" width="9.85546875" style="414" customWidth="1"/>
    <col min="15367" max="15367" width="10.140625" style="414" customWidth="1"/>
    <col min="15368" max="15368" width="11.28515625" style="414" customWidth="1"/>
    <col min="15369" max="15369" width="2.7109375" style="414" customWidth="1"/>
    <col min="15370" max="15370" width="9.42578125" style="414" customWidth="1"/>
    <col min="15371" max="15371" width="2.7109375" style="414" customWidth="1"/>
    <col min="15372" max="15375" width="0" style="414" hidden="1" customWidth="1"/>
    <col min="15376" max="15376" width="10" style="414" customWidth="1"/>
    <col min="15377" max="15446" width="6.7109375" style="414" customWidth="1"/>
    <col min="15447" max="15617" width="9.140625" style="414"/>
    <col min="15618" max="15618" width="2.7109375" style="414" customWidth="1"/>
    <col min="15619" max="15620" width="11.5703125" style="414" customWidth="1"/>
    <col min="15621" max="15621" width="7.28515625" style="414" customWidth="1"/>
    <col min="15622" max="15622" width="9.85546875" style="414" customWidth="1"/>
    <col min="15623" max="15623" width="10.140625" style="414" customWidth="1"/>
    <col min="15624" max="15624" width="11.28515625" style="414" customWidth="1"/>
    <col min="15625" max="15625" width="2.7109375" style="414" customWidth="1"/>
    <col min="15626" max="15626" width="9.42578125" style="414" customWidth="1"/>
    <col min="15627" max="15627" width="2.7109375" style="414" customWidth="1"/>
    <col min="15628" max="15631" width="0" style="414" hidden="1" customWidth="1"/>
    <col min="15632" max="15632" width="10" style="414" customWidth="1"/>
    <col min="15633" max="15702" width="6.7109375" style="414" customWidth="1"/>
    <col min="15703" max="15873" width="9.140625" style="414"/>
    <col min="15874" max="15874" width="2.7109375" style="414" customWidth="1"/>
    <col min="15875" max="15876" width="11.5703125" style="414" customWidth="1"/>
    <col min="15877" max="15877" width="7.28515625" style="414" customWidth="1"/>
    <col min="15878" max="15878" width="9.85546875" style="414" customWidth="1"/>
    <col min="15879" max="15879" width="10.140625" style="414" customWidth="1"/>
    <col min="15880" max="15880" width="11.28515625" style="414" customWidth="1"/>
    <col min="15881" max="15881" width="2.7109375" style="414" customWidth="1"/>
    <col min="15882" max="15882" width="9.42578125" style="414" customWidth="1"/>
    <col min="15883" max="15883" width="2.7109375" style="414" customWidth="1"/>
    <col min="15884" max="15887" width="0" style="414" hidden="1" customWidth="1"/>
    <col min="15888" max="15888" width="10" style="414" customWidth="1"/>
    <col min="15889" max="15958" width="6.7109375" style="414" customWidth="1"/>
    <col min="15959" max="16129" width="9.140625" style="414"/>
    <col min="16130" max="16130" width="2.7109375" style="414" customWidth="1"/>
    <col min="16131" max="16132" width="11.5703125" style="414" customWidth="1"/>
    <col min="16133" max="16133" width="7.28515625" style="414" customWidth="1"/>
    <col min="16134" max="16134" width="9.85546875" style="414" customWidth="1"/>
    <col min="16135" max="16135" width="10.140625" style="414" customWidth="1"/>
    <col min="16136" max="16136" width="11.28515625" style="414" customWidth="1"/>
    <col min="16137" max="16137" width="2.7109375" style="414" customWidth="1"/>
    <col min="16138" max="16138" width="9.42578125" style="414" customWidth="1"/>
    <col min="16139" max="16139" width="2.7109375" style="414" customWidth="1"/>
    <col min="16140" max="16143" width="0" style="414" hidden="1" customWidth="1"/>
    <col min="16144" max="16144" width="10" style="414" customWidth="1"/>
    <col min="16145" max="16214" width="6.7109375" style="414" customWidth="1"/>
    <col min="16215" max="16384" width="9.140625" style="414"/>
  </cols>
  <sheetData>
    <row r="1" spans="1:81" ht="12.75" customHeight="1">
      <c r="B1" s="95" t="s">
        <v>748</v>
      </c>
      <c r="C1" s="441">
        <f>ROUND(ValueDate,0)</f>
        <v>42696</v>
      </c>
      <c r="D1" s="95" t="s">
        <v>623</v>
      </c>
      <c r="E1" s="441">
        <f>ROUND(today,0)</f>
        <v>42692</v>
      </c>
      <c r="F1" s="95" t="s">
        <v>5149</v>
      </c>
      <c r="G1" s="473" t="s">
        <v>5150</v>
      </c>
      <c r="I1" s="94"/>
      <c r="J1" s="94"/>
      <c r="S1" s="294"/>
      <c r="T1" s="456"/>
      <c r="AO1" s="53"/>
    </row>
    <row r="3" spans="1:81" ht="18">
      <c r="A3" s="108"/>
      <c r="B3" s="587" t="s">
        <v>232</v>
      </c>
      <c r="C3" s="587"/>
      <c r="D3" s="587"/>
      <c r="E3" s="587"/>
      <c r="F3" s="587"/>
      <c r="G3" s="587"/>
      <c r="H3" s="587"/>
      <c r="I3" s="587"/>
      <c r="J3" s="587"/>
      <c r="K3" s="587"/>
      <c r="M3" s="474"/>
      <c r="N3" s="470" t="s">
        <v>239</v>
      </c>
    </row>
    <row r="4" spans="1:81" ht="12.75" customHeight="1">
      <c r="A4" s="108"/>
      <c r="B4" s="588" t="s">
        <v>233</v>
      </c>
      <c r="C4" s="589"/>
      <c r="D4" s="589"/>
      <c r="E4" s="589"/>
      <c r="F4" s="589"/>
      <c r="G4" s="589"/>
      <c r="H4" s="590"/>
      <c r="I4" s="589" t="s">
        <v>234</v>
      </c>
      <c r="J4" s="589"/>
      <c r="K4" s="589"/>
      <c r="M4" s="475"/>
      <c r="N4" s="591" t="s">
        <v>5147</v>
      </c>
      <c r="P4" s="98" t="s">
        <v>235</v>
      </c>
      <c r="Q4" s="99" t="str">
        <f t="array" ref="Q4:CC4">TRANSPOSE(I6:I67&amp;"")</f>
        <v>O/N</v>
      </c>
      <c r="R4" s="99" t="str">
        <v>T/N</v>
      </c>
      <c r="S4" s="99" t="str">
        <v>S/N</v>
      </c>
      <c r="T4" s="99" t="str">
        <v>1W</v>
      </c>
      <c r="U4" s="99" t="str">
        <v>2W</v>
      </c>
      <c r="V4" s="99" t="str">
        <v>3W</v>
      </c>
      <c r="W4" s="99" t="str">
        <v>1M</v>
      </c>
      <c r="X4" s="99" t="str">
        <v>2M</v>
      </c>
      <c r="Y4" s="99" t="str">
        <v>3M</v>
      </c>
      <c r="Z4" s="99" t="str">
        <v>4M</v>
      </c>
      <c r="AA4" s="99" t="str">
        <v>5M</v>
      </c>
      <c r="AB4" s="99" t="str">
        <v>6M</v>
      </c>
      <c r="AC4" s="99" t="str">
        <v>7M</v>
      </c>
      <c r="AD4" s="99" t="str">
        <v>8M</v>
      </c>
      <c r="AE4" s="99" t="str">
        <v>9M</v>
      </c>
      <c r="AF4" s="99" t="str">
        <v>10M</v>
      </c>
      <c r="AG4" s="99" t="str">
        <v>11M</v>
      </c>
      <c r="AH4" s="99" t="str">
        <v>1Y</v>
      </c>
      <c r="AI4" s="99" t="str">
        <v>13M</v>
      </c>
      <c r="AJ4" s="99" t="str">
        <v>14M</v>
      </c>
      <c r="AK4" s="99" t="str">
        <v>15M</v>
      </c>
      <c r="AL4" s="99" t="str">
        <v>16M</v>
      </c>
      <c r="AM4" s="99" t="str">
        <v>17M</v>
      </c>
      <c r="AN4" s="99" t="str">
        <v>18M</v>
      </c>
      <c r="AO4" s="99" t="str">
        <v>19M</v>
      </c>
      <c r="AP4" s="99" t="str">
        <v>20M</v>
      </c>
      <c r="AQ4" s="99" t="str">
        <v>21M</v>
      </c>
      <c r="AR4" s="99" t="str">
        <v>22M</v>
      </c>
      <c r="AS4" s="99" t="str">
        <v>23M</v>
      </c>
      <c r="AT4" s="99" t="str">
        <v>2Y</v>
      </c>
      <c r="AU4" s="99" t="str">
        <v>3Y</v>
      </c>
      <c r="AV4" s="99" t="str">
        <v>4Y</v>
      </c>
      <c r="AW4" s="99" t="str">
        <v>5Y</v>
      </c>
      <c r="AX4" s="99" t="str">
        <v>6Y</v>
      </c>
      <c r="AY4" s="99" t="str">
        <v>7Y</v>
      </c>
      <c r="AZ4" s="99" t="str">
        <v>8Y</v>
      </c>
      <c r="BA4" s="99" t="str">
        <v>9Y</v>
      </c>
      <c r="BB4" s="99" t="str">
        <v>10Y</v>
      </c>
      <c r="BC4" s="99" t="str">
        <v>11Y</v>
      </c>
      <c r="BD4" s="99" t="str">
        <v>12Y</v>
      </c>
      <c r="BE4" s="99" t="str">
        <v>13Y</v>
      </c>
      <c r="BF4" s="99" t="str">
        <v>14Y</v>
      </c>
      <c r="BG4" s="99" t="str">
        <v>15Y</v>
      </c>
      <c r="BH4" s="99" t="str">
        <v>16Y</v>
      </c>
      <c r="BI4" s="99" t="str">
        <v>17Y</v>
      </c>
      <c r="BJ4" s="99" t="str">
        <v>18Y</v>
      </c>
      <c r="BK4" s="99" t="str">
        <v>19Y</v>
      </c>
      <c r="BL4" s="99" t="str">
        <v>20Y</v>
      </c>
      <c r="BM4" s="99" t="str">
        <v>21Y</v>
      </c>
      <c r="BN4" s="99" t="str">
        <v>22Y</v>
      </c>
      <c r="BO4" s="99" t="str">
        <v>23Y</v>
      </c>
      <c r="BP4" s="99" t="str">
        <v>24Y</v>
      </c>
      <c r="BQ4" s="99" t="str">
        <v>25Y</v>
      </c>
      <c r="BR4" s="99" t="str">
        <v>26Y</v>
      </c>
      <c r="BS4" s="99" t="str">
        <v>27Y</v>
      </c>
      <c r="BT4" s="99" t="str">
        <v>28Y</v>
      </c>
      <c r="BU4" s="99" t="str">
        <v>29Y</v>
      </c>
      <c r="BV4" s="99" t="str">
        <v>30Y</v>
      </c>
      <c r="BW4" s="99" t="str">
        <v>35Y</v>
      </c>
      <c r="BX4" s="99" t="str">
        <v>40Y</v>
      </c>
      <c r="BY4" s="99" t="str">
        <v>50Y</v>
      </c>
      <c r="BZ4" s="99" t="str">
        <v>60Y</v>
      </c>
      <c r="CA4" s="99" t="e">
        <v>#N/A</v>
      </c>
      <c r="CB4" s="99" t="e">
        <v>#N/A</v>
      </c>
      <c r="CC4" s="99" t="e">
        <v>#N/A</v>
      </c>
    </row>
    <row r="5" spans="1:81" ht="44.25">
      <c r="A5" s="108" t="s">
        <v>236</v>
      </c>
      <c r="B5" s="263" t="s">
        <v>195</v>
      </c>
      <c r="C5" s="471" t="s">
        <v>159</v>
      </c>
      <c r="D5" s="101" t="s">
        <v>240</v>
      </c>
      <c r="E5" s="101" t="s">
        <v>5144</v>
      </c>
      <c r="F5" s="101" t="s">
        <v>5143</v>
      </c>
      <c r="G5" s="101" t="s">
        <v>5151</v>
      </c>
      <c r="H5" s="101" t="s">
        <v>5145</v>
      </c>
      <c r="I5" s="472" t="s">
        <v>5142</v>
      </c>
      <c r="J5" s="109" t="s">
        <v>240</v>
      </c>
      <c r="K5" s="101" t="s">
        <v>231</v>
      </c>
      <c r="M5" s="476"/>
      <c r="N5" s="591"/>
      <c r="P5" s="469" t="b">
        <v>0</v>
      </c>
      <c r="Q5" s="104">
        <f t="array" ref="Q5:CC5">TRANSPOSE(K6:K68)</f>
        <v>42695</v>
      </c>
      <c r="R5" s="104">
        <v>42696</v>
      </c>
      <c r="S5" s="104">
        <v>42697</v>
      </c>
      <c r="T5" s="104">
        <v>42703</v>
      </c>
      <c r="U5" s="104">
        <v>42710</v>
      </c>
      <c r="V5" s="104">
        <v>42717</v>
      </c>
      <c r="W5" s="104">
        <v>42726</v>
      </c>
      <c r="X5" s="104">
        <v>42758</v>
      </c>
      <c r="Y5" s="104">
        <v>42788</v>
      </c>
      <c r="Z5" s="104">
        <v>42816</v>
      </c>
      <c r="AA5" s="104">
        <v>42849</v>
      </c>
      <c r="AB5" s="104">
        <v>42877</v>
      </c>
      <c r="AC5" s="104">
        <v>42908</v>
      </c>
      <c r="AD5" s="104">
        <v>42940</v>
      </c>
      <c r="AE5" s="104">
        <v>42969</v>
      </c>
      <c r="AF5" s="104">
        <v>43000</v>
      </c>
      <c r="AG5" s="104">
        <v>43031</v>
      </c>
      <c r="AH5" s="104">
        <v>43061</v>
      </c>
      <c r="AI5" s="104">
        <v>43091</v>
      </c>
      <c r="AJ5" s="104">
        <v>43122</v>
      </c>
      <c r="AK5" s="104">
        <v>43153</v>
      </c>
      <c r="AL5" s="104">
        <v>43181</v>
      </c>
      <c r="AM5" s="104">
        <v>43213</v>
      </c>
      <c r="AN5" s="104">
        <v>43242</v>
      </c>
      <c r="AO5" s="104">
        <v>43273</v>
      </c>
      <c r="AP5" s="104">
        <v>43304</v>
      </c>
      <c r="AQ5" s="104">
        <v>43334</v>
      </c>
      <c r="AR5" s="104">
        <v>43367</v>
      </c>
      <c r="AS5" s="104">
        <v>43395</v>
      </c>
      <c r="AT5" s="104">
        <v>43426</v>
      </c>
      <c r="AU5" s="104">
        <v>43791</v>
      </c>
      <c r="AV5" s="104">
        <v>44158</v>
      </c>
      <c r="AW5" s="104">
        <v>44522</v>
      </c>
      <c r="AX5" s="104">
        <v>44887</v>
      </c>
      <c r="AY5" s="104">
        <v>45252</v>
      </c>
      <c r="AZ5" s="104">
        <v>45618</v>
      </c>
      <c r="BA5" s="104">
        <v>45985</v>
      </c>
      <c r="BB5" s="104">
        <v>46349</v>
      </c>
      <c r="BC5" s="104">
        <v>46713</v>
      </c>
      <c r="BD5" s="104">
        <v>47079</v>
      </c>
      <c r="BE5" s="104">
        <v>47444</v>
      </c>
      <c r="BF5" s="104">
        <v>47809</v>
      </c>
      <c r="BG5" s="104">
        <v>48176</v>
      </c>
      <c r="BH5" s="104">
        <v>48540</v>
      </c>
      <c r="BI5" s="104">
        <v>48905</v>
      </c>
      <c r="BJ5" s="104">
        <v>49270</v>
      </c>
      <c r="BK5" s="104">
        <v>49635</v>
      </c>
      <c r="BL5" s="104">
        <v>50003</v>
      </c>
      <c r="BM5" s="104">
        <v>50367</v>
      </c>
      <c r="BN5" s="104">
        <v>50731</v>
      </c>
      <c r="BO5" s="104">
        <v>51096</v>
      </c>
      <c r="BP5" s="104">
        <v>51462</v>
      </c>
      <c r="BQ5" s="104">
        <v>51827</v>
      </c>
      <c r="BR5" s="104">
        <v>52194</v>
      </c>
      <c r="BS5" s="104">
        <v>52558</v>
      </c>
      <c r="BT5" s="104">
        <v>52923</v>
      </c>
      <c r="BU5" s="104">
        <v>53288</v>
      </c>
      <c r="BV5" s="104">
        <v>53653</v>
      </c>
      <c r="BW5" s="104">
        <v>55479</v>
      </c>
      <c r="BX5" s="104">
        <v>57306</v>
      </c>
      <c r="BY5" s="104">
        <v>60958</v>
      </c>
      <c r="BZ5" s="104">
        <v>64612</v>
      </c>
      <c r="CA5" s="104">
        <v>0</v>
      </c>
      <c r="CB5" s="104" t="e">
        <v>#N/A</v>
      </c>
      <c r="CC5" s="104" t="e">
        <v>#N/A</v>
      </c>
    </row>
    <row r="6" spans="1:81" ht="12.75" customHeight="1">
      <c r="A6" s="105">
        <v>1</v>
      </c>
      <c r="B6" s="112" t="str">
        <f t="array" ref="B6:B70">[0]!Bucket1M</f>
        <v>O/N</v>
      </c>
      <c r="C6" s="465">
        <f>'eur disaggregated'!AN17</f>
        <v>0</v>
      </c>
      <c r="D6" s="111" t="s">
        <v>484</v>
      </c>
      <c r="E6" s="441">
        <f>EvaluationDate</f>
        <v>42692</v>
      </c>
      <c r="F6" s="441">
        <f>_xll.qlCalendarAdvance(Calendar,E6,D6)</f>
        <v>42695</v>
      </c>
      <c r="G6" s="462">
        <f>IF(AND(70&lt;H6, H6&lt;130),(100-H6)/100,H6/100)</f>
        <v>0</v>
      </c>
      <c r="H6" s="453"/>
      <c r="I6" s="107" t="str">
        <f t="array" ref="I6:I68">[0]!BucketOIS</f>
        <v>O/N</v>
      </c>
      <c r="J6" s="106" t="str">
        <f t="shared" ref="J6:J21" si="0">IF(LEN(I6)&gt;0,IF((MID(I6,4,1)=" "),I6,IF((LEN(I6)=8),DATE("20" &amp; RIGHT(I6,2),MID(I6,4,2),LEFT(I6,2)),SimplifyTenor(I6))),"")</f>
        <v>1D</v>
      </c>
      <c r="K6" s="448">
        <f>_xll.qlCalendarAdvance("TARGET",EvaluationDate,J6)</f>
        <v>42695</v>
      </c>
      <c r="M6" s="99" t="str">
        <f t="array" ref="M6:M68">I6:I67</f>
        <v>O/N</v>
      </c>
      <c r="N6" s="465">
        <f t="array" ref="N6:N68">TRANSPOSE(Q72:CA72)</f>
        <v>0</v>
      </c>
      <c r="P6" s="106" t="b">
        <f t="shared" ref="P6:P37" si="1">MID(B6,4,1)=" "</f>
        <v>0</v>
      </c>
      <c r="Q6" s="460">
        <f t="array" ref="Q6:CC6">C6*ForwardToZero(OisBuckets,E6,F6,G6)</f>
        <v>0</v>
      </c>
      <c r="R6" s="460">
        <v>0</v>
      </c>
      <c r="S6" s="460">
        <v>0</v>
      </c>
      <c r="T6" s="460">
        <v>0</v>
      </c>
      <c r="U6" s="460">
        <v>0</v>
      </c>
      <c r="V6" s="460">
        <v>0</v>
      </c>
      <c r="W6" s="460">
        <v>0</v>
      </c>
      <c r="X6" s="460">
        <v>0</v>
      </c>
      <c r="Y6" s="460">
        <v>0</v>
      </c>
      <c r="Z6" s="460">
        <v>0</v>
      </c>
      <c r="AA6" s="460">
        <v>0</v>
      </c>
      <c r="AB6" s="460">
        <v>0</v>
      </c>
      <c r="AC6" s="460">
        <v>0</v>
      </c>
      <c r="AD6" s="460">
        <v>0</v>
      </c>
      <c r="AE6" s="460">
        <v>0</v>
      </c>
      <c r="AF6" s="460">
        <v>0</v>
      </c>
      <c r="AG6" s="460">
        <v>0</v>
      </c>
      <c r="AH6" s="460">
        <v>0</v>
      </c>
      <c r="AI6" s="460">
        <v>0</v>
      </c>
      <c r="AJ6" s="460">
        <v>0</v>
      </c>
      <c r="AK6" s="460">
        <v>0</v>
      </c>
      <c r="AL6" s="460">
        <v>0</v>
      </c>
      <c r="AM6" s="460">
        <v>0</v>
      </c>
      <c r="AN6" s="460">
        <v>0</v>
      </c>
      <c r="AO6" s="460">
        <v>0</v>
      </c>
      <c r="AP6" s="460">
        <v>0</v>
      </c>
      <c r="AQ6" s="460">
        <v>0</v>
      </c>
      <c r="AR6" s="460">
        <v>0</v>
      </c>
      <c r="AS6" s="460">
        <v>0</v>
      </c>
      <c r="AT6" s="460">
        <v>0</v>
      </c>
      <c r="AU6" s="460">
        <v>0</v>
      </c>
      <c r="AV6" s="460">
        <v>0</v>
      </c>
      <c r="AW6" s="460">
        <v>0</v>
      </c>
      <c r="AX6" s="460">
        <v>0</v>
      </c>
      <c r="AY6" s="460">
        <v>0</v>
      </c>
      <c r="AZ6" s="460">
        <v>0</v>
      </c>
      <c r="BA6" s="460">
        <v>0</v>
      </c>
      <c r="BB6" s="460">
        <v>0</v>
      </c>
      <c r="BC6" s="460">
        <v>0</v>
      </c>
      <c r="BD6" s="460">
        <v>0</v>
      </c>
      <c r="BE6" s="460">
        <v>0</v>
      </c>
      <c r="BF6" s="460">
        <v>0</v>
      </c>
      <c r="BG6" s="460">
        <v>0</v>
      </c>
      <c r="BH6" s="460">
        <v>0</v>
      </c>
      <c r="BI6" s="460">
        <v>0</v>
      </c>
      <c r="BJ6" s="460">
        <v>0</v>
      </c>
      <c r="BK6" s="460">
        <v>0</v>
      </c>
      <c r="BL6" s="460">
        <v>0</v>
      </c>
      <c r="BM6" s="460">
        <v>0</v>
      </c>
      <c r="BN6" s="460">
        <v>0</v>
      </c>
      <c r="BO6" s="460">
        <v>0</v>
      </c>
      <c r="BP6" s="460">
        <v>0</v>
      </c>
      <c r="BQ6" s="460">
        <v>0</v>
      </c>
      <c r="BR6" s="460">
        <v>0</v>
      </c>
      <c r="BS6" s="460">
        <v>0</v>
      </c>
      <c r="BT6" s="460">
        <v>0</v>
      </c>
      <c r="BU6" s="460">
        <v>0</v>
      </c>
      <c r="BV6" s="460">
        <v>0</v>
      </c>
      <c r="BW6" s="460">
        <v>0</v>
      </c>
      <c r="BX6" s="460">
        <v>0</v>
      </c>
      <c r="BY6" s="460">
        <v>0</v>
      </c>
      <c r="BZ6" s="460">
        <v>0</v>
      </c>
      <c r="CA6" s="460" t="e">
        <v>#N/A</v>
      </c>
      <c r="CB6" s="460" t="e">
        <v>#N/A</v>
      </c>
      <c r="CC6" s="460" t="e">
        <v>#N/A</v>
      </c>
    </row>
    <row r="7" spans="1:81" ht="12.75" customHeight="1">
      <c r="A7" s="105">
        <v>2</v>
      </c>
      <c r="B7" s="112" t="str">
        <v>T/N</v>
      </c>
      <c r="C7" s="465">
        <f>'eur disaggregated'!AN18</f>
        <v>0</v>
      </c>
      <c r="D7" s="111" t="str">
        <f t="shared" ref="D7:D24" si="2">IF(AND(LEN(B7)&gt;3,RIGHT(B7:B7,2)="3"), "27M", IF(AND(LEN(B7)&gt;3,RIGHT(B7:B7,2)="6"), "30M", IF(AND(LEN(B7)&gt;3,RIGHT(B7:B7,2)="9"), "33M", IF(LEN(B7)&gt;0,SimplifyTenor(B7),""))))</f>
        <v>2D</v>
      </c>
      <c r="E7" s="441">
        <f>EvaluationDate</f>
        <v>42692</v>
      </c>
      <c r="F7" s="441">
        <f>_xll.qlCalendarAdvance(Calendar,E7,D7)</f>
        <v>42696</v>
      </c>
      <c r="G7" s="462">
        <f t="shared" ref="G7:G70" si="3">IF(AND(70&lt;H7, H7&lt;130),(100-H7)/100,H7/100)</f>
        <v>0</v>
      </c>
      <c r="H7" s="453"/>
      <c r="I7" s="107" t="str">
        <v>T/N</v>
      </c>
      <c r="J7" s="106" t="str">
        <f t="shared" si="0"/>
        <v>2D</v>
      </c>
      <c r="K7" s="448">
        <f>_xll.qlCalendarAdvance("TARGET",EvaluationDate,J7)</f>
        <v>42696</v>
      </c>
      <c r="M7" s="99" t="str">
        <v>T/N</v>
      </c>
      <c r="N7" s="465">
        <v>0</v>
      </c>
      <c r="P7" s="106" t="b">
        <f t="shared" si="1"/>
        <v>0</v>
      </c>
      <c r="Q7" s="460">
        <f t="array" ref="Q7:CC7">C7*ForwardToZero(OisBuckets,E7,F7,G7)</f>
        <v>0</v>
      </c>
      <c r="R7" s="460">
        <v>0</v>
      </c>
      <c r="S7" s="460">
        <v>0</v>
      </c>
      <c r="T7" s="460">
        <v>0</v>
      </c>
      <c r="U7" s="460">
        <v>0</v>
      </c>
      <c r="V7" s="460">
        <v>0</v>
      </c>
      <c r="W7" s="460">
        <v>0</v>
      </c>
      <c r="X7" s="460">
        <v>0</v>
      </c>
      <c r="Y7" s="460">
        <v>0</v>
      </c>
      <c r="Z7" s="460">
        <v>0</v>
      </c>
      <c r="AA7" s="460">
        <v>0</v>
      </c>
      <c r="AB7" s="460">
        <v>0</v>
      </c>
      <c r="AC7" s="460">
        <v>0</v>
      </c>
      <c r="AD7" s="460">
        <v>0</v>
      </c>
      <c r="AE7" s="460">
        <v>0</v>
      </c>
      <c r="AF7" s="460">
        <v>0</v>
      </c>
      <c r="AG7" s="460">
        <v>0</v>
      </c>
      <c r="AH7" s="460">
        <v>0</v>
      </c>
      <c r="AI7" s="460">
        <v>0</v>
      </c>
      <c r="AJ7" s="460">
        <v>0</v>
      </c>
      <c r="AK7" s="460">
        <v>0</v>
      </c>
      <c r="AL7" s="460">
        <v>0</v>
      </c>
      <c r="AM7" s="460">
        <v>0</v>
      </c>
      <c r="AN7" s="460">
        <v>0</v>
      </c>
      <c r="AO7" s="460">
        <v>0</v>
      </c>
      <c r="AP7" s="460">
        <v>0</v>
      </c>
      <c r="AQ7" s="460">
        <v>0</v>
      </c>
      <c r="AR7" s="460">
        <v>0</v>
      </c>
      <c r="AS7" s="460">
        <v>0</v>
      </c>
      <c r="AT7" s="460">
        <v>0</v>
      </c>
      <c r="AU7" s="460">
        <v>0</v>
      </c>
      <c r="AV7" s="460">
        <v>0</v>
      </c>
      <c r="AW7" s="460">
        <v>0</v>
      </c>
      <c r="AX7" s="460">
        <v>0</v>
      </c>
      <c r="AY7" s="460">
        <v>0</v>
      </c>
      <c r="AZ7" s="460">
        <v>0</v>
      </c>
      <c r="BA7" s="460">
        <v>0</v>
      </c>
      <c r="BB7" s="460">
        <v>0</v>
      </c>
      <c r="BC7" s="460">
        <v>0</v>
      </c>
      <c r="BD7" s="460">
        <v>0</v>
      </c>
      <c r="BE7" s="460">
        <v>0</v>
      </c>
      <c r="BF7" s="460">
        <v>0</v>
      </c>
      <c r="BG7" s="460">
        <v>0</v>
      </c>
      <c r="BH7" s="460">
        <v>0</v>
      </c>
      <c r="BI7" s="460">
        <v>0</v>
      </c>
      <c r="BJ7" s="460">
        <v>0</v>
      </c>
      <c r="BK7" s="460">
        <v>0</v>
      </c>
      <c r="BL7" s="460">
        <v>0</v>
      </c>
      <c r="BM7" s="460">
        <v>0</v>
      </c>
      <c r="BN7" s="460">
        <v>0</v>
      </c>
      <c r="BO7" s="460">
        <v>0</v>
      </c>
      <c r="BP7" s="460">
        <v>0</v>
      </c>
      <c r="BQ7" s="460">
        <v>0</v>
      </c>
      <c r="BR7" s="460">
        <v>0</v>
      </c>
      <c r="BS7" s="460">
        <v>0</v>
      </c>
      <c r="BT7" s="460">
        <v>0</v>
      </c>
      <c r="BU7" s="460">
        <v>0</v>
      </c>
      <c r="BV7" s="460">
        <v>0</v>
      </c>
      <c r="BW7" s="460">
        <v>0</v>
      </c>
      <c r="BX7" s="460">
        <v>0</v>
      </c>
      <c r="BY7" s="460">
        <v>0</v>
      </c>
      <c r="BZ7" s="460">
        <v>0</v>
      </c>
      <c r="CA7" s="460" t="e">
        <v>#N/A</v>
      </c>
      <c r="CB7" s="460" t="e">
        <v>#N/A</v>
      </c>
      <c r="CC7" s="460" t="e">
        <v>#N/A</v>
      </c>
    </row>
    <row r="8" spans="1:81" ht="12.75" customHeight="1">
      <c r="A8" s="105">
        <v>3</v>
      </c>
      <c r="B8" s="112" t="str">
        <v>S/N</v>
      </c>
      <c r="C8" s="465">
        <f>'eur disaggregated'!AN19</f>
        <v>-56.615258158141529</v>
      </c>
      <c r="D8" s="111" t="str">
        <f t="shared" si="2"/>
        <v>3D</v>
      </c>
      <c r="E8" s="441">
        <f>EvaluationDate</f>
        <v>42692</v>
      </c>
      <c r="F8" s="441">
        <f>_xll.qlCalendarAdvance(Calendar,E8,D8)</f>
        <v>42697</v>
      </c>
      <c r="G8" s="462">
        <f t="shared" si="3"/>
        <v>-3.6550742200000003E-3</v>
      </c>
      <c r="H8" s="453">
        <v>-0.36550742200000003</v>
      </c>
      <c r="I8" s="107" t="str">
        <v>S/N</v>
      </c>
      <c r="J8" s="106" t="str">
        <f t="shared" si="0"/>
        <v>3D</v>
      </c>
      <c r="K8" s="448">
        <f>_xll.qlCalendarAdvance("TARGET",EvaluationDate,J8)</f>
        <v>42697</v>
      </c>
      <c r="M8" s="99" t="str">
        <v>S/N</v>
      </c>
      <c r="N8" s="465">
        <v>-56.615258158141529</v>
      </c>
      <c r="P8" s="106" t="b">
        <f t="shared" si="1"/>
        <v>0</v>
      </c>
      <c r="Q8" s="460">
        <f t="array" ref="Q8:CC8">C8*ForwardToZero(OisBuckets,E8,F8,G8)</f>
        <v>0</v>
      </c>
      <c r="R8" s="460">
        <v>0</v>
      </c>
      <c r="S8" s="460">
        <v>-56.615258158141529</v>
      </c>
      <c r="T8" s="460">
        <v>0</v>
      </c>
      <c r="U8" s="460">
        <v>0</v>
      </c>
      <c r="V8" s="460">
        <v>0</v>
      </c>
      <c r="W8" s="460">
        <v>0</v>
      </c>
      <c r="X8" s="460">
        <v>0</v>
      </c>
      <c r="Y8" s="460">
        <v>0</v>
      </c>
      <c r="Z8" s="460">
        <v>0</v>
      </c>
      <c r="AA8" s="460">
        <v>0</v>
      </c>
      <c r="AB8" s="460">
        <v>0</v>
      </c>
      <c r="AC8" s="460">
        <v>0</v>
      </c>
      <c r="AD8" s="460">
        <v>0</v>
      </c>
      <c r="AE8" s="460">
        <v>0</v>
      </c>
      <c r="AF8" s="460">
        <v>0</v>
      </c>
      <c r="AG8" s="460">
        <v>0</v>
      </c>
      <c r="AH8" s="460">
        <v>0</v>
      </c>
      <c r="AI8" s="460">
        <v>0</v>
      </c>
      <c r="AJ8" s="460">
        <v>0</v>
      </c>
      <c r="AK8" s="460">
        <v>0</v>
      </c>
      <c r="AL8" s="460">
        <v>0</v>
      </c>
      <c r="AM8" s="460">
        <v>0</v>
      </c>
      <c r="AN8" s="460">
        <v>0</v>
      </c>
      <c r="AO8" s="460">
        <v>0</v>
      </c>
      <c r="AP8" s="460">
        <v>0</v>
      </c>
      <c r="AQ8" s="460">
        <v>0</v>
      </c>
      <c r="AR8" s="460">
        <v>0</v>
      </c>
      <c r="AS8" s="460">
        <v>0</v>
      </c>
      <c r="AT8" s="460">
        <v>0</v>
      </c>
      <c r="AU8" s="460">
        <v>0</v>
      </c>
      <c r="AV8" s="460">
        <v>0</v>
      </c>
      <c r="AW8" s="460">
        <v>0</v>
      </c>
      <c r="AX8" s="460">
        <v>0</v>
      </c>
      <c r="AY8" s="460">
        <v>0</v>
      </c>
      <c r="AZ8" s="460">
        <v>0</v>
      </c>
      <c r="BA8" s="460">
        <v>0</v>
      </c>
      <c r="BB8" s="460">
        <v>0</v>
      </c>
      <c r="BC8" s="460">
        <v>0</v>
      </c>
      <c r="BD8" s="460">
        <v>0</v>
      </c>
      <c r="BE8" s="460">
        <v>0</v>
      </c>
      <c r="BF8" s="460">
        <v>0</v>
      </c>
      <c r="BG8" s="460">
        <v>0</v>
      </c>
      <c r="BH8" s="460">
        <v>0</v>
      </c>
      <c r="BI8" s="460">
        <v>0</v>
      </c>
      <c r="BJ8" s="460">
        <v>0</v>
      </c>
      <c r="BK8" s="460">
        <v>0</v>
      </c>
      <c r="BL8" s="460">
        <v>0</v>
      </c>
      <c r="BM8" s="460">
        <v>0</v>
      </c>
      <c r="BN8" s="460">
        <v>0</v>
      </c>
      <c r="BO8" s="460">
        <v>0</v>
      </c>
      <c r="BP8" s="460">
        <v>0</v>
      </c>
      <c r="BQ8" s="460">
        <v>0</v>
      </c>
      <c r="BR8" s="460">
        <v>0</v>
      </c>
      <c r="BS8" s="460">
        <v>0</v>
      </c>
      <c r="BT8" s="460">
        <v>0</v>
      </c>
      <c r="BU8" s="460">
        <v>0</v>
      </c>
      <c r="BV8" s="460">
        <v>0</v>
      </c>
      <c r="BW8" s="460">
        <v>0</v>
      </c>
      <c r="BX8" s="460">
        <v>0</v>
      </c>
      <c r="BY8" s="460">
        <v>0</v>
      </c>
      <c r="BZ8" s="460">
        <v>0</v>
      </c>
      <c r="CA8" s="460" t="e">
        <v>#N/A</v>
      </c>
      <c r="CB8" s="460" t="e">
        <v>#N/A</v>
      </c>
      <c r="CC8" s="460" t="e">
        <v>#N/A</v>
      </c>
    </row>
    <row r="9" spans="1:81" ht="12.75" customHeight="1">
      <c r="A9" s="105">
        <v>4</v>
      </c>
      <c r="B9" s="112" t="str">
        <v>1W</v>
      </c>
      <c r="C9" s="465">
        <f>'eur disaggregated'!AN20</f>
        <v>-598.9795324087097</v>
      </c>
      <c r="D9" s="111" t="str">
        <f t="shared" si="2"/>
        <v>1W</v>
      </c>
      <c r="E9" s="441">
        <f t="shared" ref="E9:E70" si="4">$C$1</f>
        <v>42696</v>
      </c>
      <c r="F9" s="441">
        <f>_xll.qlCalendarAdvance(Calendar,E9,D9)</f>
        <v>42703</v>
      </c>
      <c r="G9" s="462">
        <f t="shared" si="3"/>
        <v>-3.6549999999999998E-3</v>
      </c>
      <c r="H9" s="453">
        <v>-0.36549999999999999</v>
      </c>
      <c r="I9" s="107" t="str">
        <v>1W</v>
      </c>
      <c r="J9" s="106" t="str">
        <f t="shared" si="0"/>
        <v>1W</v>
      </c>
      <c r="K9" s="448">
        <f>_xll.qlCalendarAdvance("TARGET",$C$1,J9)</f>
        <v>42703</v>
      </c>
      <c r="M9" s="99" t="str">
        <v>1W</v>
      </c>
      <c r="N9" s="465">
        <v>-598.9795324087097</v>
      </c>
      <c r="P9" s="106" t="b">
        <f t="shared" si="1"/>
        <v>0</v>
      </c>
      <c r="Q9" s="460">
        <f t="array" ref="Q9:CC9">C9*ForwardToZero(OisBuckets,E9,F9,G9)</f>
        <v>0</v>
      </c>
      <c r="R9" s="460">
        <v>0</v>
      </c>
      <c r="S9" s="460">
        <v>0</v>
      </c>
      <c r="T9" s="460">
        <v>-598.9795324087097</v>
      </c>
      <c r="U9" s="460">
        <v>0</v>
      </c>
      <c r="V9" s="460">
        <v>0</v>
      </c>
      <c r="W9" s="460">
        <v>0</v>
      </c>
      <c r="X9" s="460">
        <v>0</v>
      </c>
      <c r="Y9" s="460">
        <v>0</v>
      </c>
      <c r="Z9" s="460">
        <v>0</v>
      </c>
      <c r="AA9" s="460">
        <v>0</v>
      </c>
      <c r="AB9" s="460">
        <v>0</v>
      </c>
      <c r="AC9" s="460">
        <v>0</v>
      </c>
      <c r="AD9" s="460">
        <v>0</v>
      </c>
      <c r="AE9" s="460">
        <v>0</v>
      </c>
      <c r="AF9" s="460">
        <v>0</v>
      </c>
      <c r="AG9" s="460">
        <v>0</v>
      </c>
      <c r="AH9" s="460">
        <v>0</v>
      </c>
      <c r="AI9" s="460">
        <v>0</v>
      </c>
      <c r="AJ9" s="460">
        <v>0</v>
      </c>
      <c r="AK9" s="460">
        <v>0</v>
      </c>
      <c r="AL9" s="460">
        <v>0</v>
      </c>
      <c r="AM9" s="460">
        <v>0</v>
      </c>
      <c r="AN9" s="460">
        <v>0</v>
      </c>
      <c r="AO9" s="460">
        <v>0</v>
      </c>
      <c r="AP9" s="460">
        <v>0</v>
      </c>
      <c r="AQ9" s="460">
        <v>0</v>
      </c>
      <c r="AR9" s="460">
        <v>0</v>
      </c>
      <c r="AS9" s="460">
        <v>0</v>
      </c>
      <c r="AT9" s="460">
        <v>0</v>
      </c>
      <c r="AU9" s="460">
        <v>0</v>
      </c>
      <c r="AV9" s="460">
        <v>0</v>
      </c>
      <c r="AW9" s="460">
        <v>0</v>
      </c>
      <c r="AX9" s="460">
        <v>0</v>
      </c>
      <c r="AY9" s="460">
        <v>0</v>
      </c>
      <c r="AZ9" s="460">
        <v>0</v>
      </c>
      <c r="BA9" s="460">
        <v>0</v>
      </c>
      <c r="BB9" s="460">
        <v>0</v>
      </c>
      <c r="BC9" s="460">
        <v>0</v>
      </c>
      <c r="BD9" s="460">
        <v>0</v>
      </c>
      <c r="BE9" s="460">
        <v>0</v>
      </c>
      <c r="BF9" s="460">
        <v>0</v>
      </c>
      <c r="BG9" s="460">
        <v>0</v>
      </c>
      <c r="BH9" s="460">
        <v>0</v>
      </c>
      <c r="BI9" s="460">
        <v>0</v>
      </c>
      <c r="BJ9" s="460">
        <v>0</v>
      </c>
      <c r="BK9" s="460">
        <v>0</v>
      </c>
      <c r="BL9" s="460">
        <v>0</v>
      </c>
      <c r="BM9" s="460">
        <v>0</v>
      </c>
      <c r="BN9" s="460">
        <v>0</v>
      </c>
      <c r="BO9" s="460">
        <v>0</v>
      </c>
      <c r="BP9" s="460">
        <v>0</v>
      </c>
      <c r="BQ9" s="460">
        <v>0</v>
      </c>
      <c r="BR9" s="460">
        <v>0</v>
      </c>
      <c r="BS9" s="460">
        <v>0</v>
      </c>
      <c r="BT9" s="460">
        <v>0</v>
      </c>
      <c r="BU9" s="460">
        <v>0</v>
      </c>
      <c r="BV9" s="460">
        <v>0</v>
      </c>
      <c r="BW9" s="460">
        <v>0</v>
      </c>
      <c r="BX9" s="460">
        <v>0</v>
      </c>
      <c r="BY9" s="460">
        <v>0</v>
      </c>
      <c r="BZ9" s="460">
        <v>0</v>
      </c>
      <c r="CA9" s="460" t="e">
        <v>#N/A</v>
      </c>
      <c r="CB9" s="460" t="e">
        <v>#N/A</v>
      </c>
      <c r="CC9" s="460" t="e">
        <v>#N/A</v>
      </c>
    </row>
    <row r="10" spans="1:81" ht="12.75" customHeight="1">
      <c r="A10" s="105">
        <v>5</v>
      </c>
      <c r="B10" s="112" t="str">
        <v>2W</v>
      </c>
      <c r="C10" s="465">
        <f>'eur disaggregated'!AN21</f>
        <v>83.739198862339578</v>
      </c>
      <c r="D10" s="111" t="str">
        <f t="shared" si="2"/>
        <v>2W</v>
      </c>
      <c r="E10" s="441">
        <f t="shared" si="4"/>
        <v>42696</v>
      </c>
      <c r="F10" s="441">
        <f>_xll.qlCalendarAdvance(Calendar,E10,D10)</f>
        <v>42710</v>
      </c>
      <c r="G10" s="462">
        <f t="shared" si="3"/>
        <v>-3.6540000000000001E-3</v>
      </c>
      <c r="H10" s="453">
        <v>-0.3654</v>
      </c>
      <c r="I10" s="107" t="str">
        <v>2W</v>
      </c>
      <c r="J10" s="106" t="str">
        <f t="shared" si="0"/>
        <v>2W</v>
      </c>
      <c r="K10" s="448">
        <f>_xll.qlCalendarAdvance("TARGET",$C$1,J10)</f>
        <v>42710</v>
      </c>
      <c r="M10" s="99" t="str">
        <v>2W</v>
      </c>
      <c r="N10" s="465">
        <v>83.739198862339578</v>
      </c>
      <c r="P10" s="106" t="b">
        <f t="shared" si="1"/>
        <v>0</v>
      </c>
      <c r="Q10" s="460">
        <f t="array" ref="Q10:CC10">C10*ForwardToZero(OisBuckets,E10,F10,G10)</f>
        <v>0</v>
      </c>
      <c r="R10" s="460">
        <v>0</v>
      </c>
      <c r="S10" s="460">
        <v>0</v>
      </c>
      <c r="T10" s="460">
        <v>0</v>
      </c>
      <c r="U10" s="460">
        <v>83.739198862339578</v>
      </c>
      <c r="V10" s="460">
        <v>0</v>
      </c>
      <c r="W10" s="460">
        <v>0</v>
      </c>
      <c r="X10" s="460">
        <v>0</v>
      </c>
      <c r="Y10" s="460">
        <v>0</v>
      </c>
      <c r="Z10" s="460">
        <v>0</v>
      </c>
      <c r="AA10" s="460">
        <v>0</v>
      </c>
      <c r="AB10" s="460">
        <v>0</v>
      </c>
      <c r="AC10" s="460">
        <v>0</v>
      </c>
      <c r="AD10" s="460">
        <v>0</v>
      </c>
      <c r="AE10" s="460">
        <v>0</v>
      </c>
      <c r="AF10" s="460">
        <v>0</v>
      </c>
      <c r="AG10" s="460">
        <v>0</v>
      </c>
      <c r="AH10" s="460">
        <v>0</v>
      </c>
      <c r="AI10" s="460">
        <v>0</v>
      </c>
      <c r="AJ10" s="460">
        <v>0</v>
      </c>
      <c r="AK10" s="460">
        <v>0</v>
      </c>
      <c r="AL10" s="460">
        <v>0</v>
      </c>
      <c r="AM10" s="460">
        <v>0</v>
      </c>
      <c r="AN10" s="460">
        <v>0</v>
      </c>
      <c r="AO10" s="460">
        <v>0</v>
      </c>
      <c r="AP10" s="460">
        <v>0</v>
      </c>
      <c r="AQ10" s="460">
        <v>0</v>
      </c>
      <c r="AR10" s="460">
        <v>0</v>
      </c>
      <c r="AS10" s="460">
        <v>0</v>
      </c>
      <c r="AT10" s="460">
        <v>0</v>
      </c>
      <c r="AU10" s="460">
        <v>0</v>
      </c>
      <c r="AV10" s="460">
        <v>0</v>
      </c>
      <c r="AW10" s="460">
        <v>0</v>
      </c>
      <c r="AX10" s="460">
        <v>0</v>
      </c>
      <c r="AY10" s="460">
        <v>0</v>
      </c>
      <c r="AZ10" s="460">
        <v>0</v>
      </c>
      <c r="BA10" s="460">
        <v>0</v>
      </c>
      <c r="BB10" s="460">
        <v>0</v>
      </c>
      <c r="BC10" s="460">
        <v>0</v>
      </c>
      <c r="BD10" s="460">
        <v>0</v>
      </c>
      <c r="BE10" s="460">
        <v>0</v>
      </c>
      <c r="BF10" s="460">
        <v>0</v>
      </c>
      <c r="BG10" s="460">
        <v>0</v>
      </c>
      <c r="BH10" s="460">
        <v>0</v>
      </c>
      <c r="BI10" s="460">
        <v>0</v>
      </c>
      <c r="BJ10" s="460">
        <v>0</v>
      </c>
      <c r="BK10" s="460">
        <v>0</v>
      </c>
      <c r="BL10" s="460">
        <v>0</v>
      </c>
      <c r="BM10" s="460">
        <v>0</v>
      </c>
      <c r="BN10" s="460">
        <v>0</v>
      </c>
      <c r="BO10" s="460">
        <v>0</v>
      </c>
      <c r="BP10" s="460">
        <v>0</v>
      </c>
      <c r="BQ10" s="460">
        <v>0</v>
      </c>
      <c r="BR10" s="460">
        <v>0</v>
      </c>
      <c r="BS10" s="460">
        <v>0</v>
      </c>
      <c r="BT10" s="460">
        <v>0</v>
      </c>
      <c r="BU10" s="460">
        <v>0</v>
      </c>
      <c r="BV10" s="460">
        <v>0</v>
      </c>
      <c r="BW10" s="460">
        <v>0</v>
      </c>
      <c r="BX10" s="460">
        <v>0</v>
      </c>
      <c r="BY10" s="460">
        <v>0</v>
      </c>
      <c r="BZ10" s="460">
        <v>0</v>
      </c>
      <c r="CA10" s="460" t="e">
        <v>#N/A</v>
      </c>
      <c r="CB10" s="460" t="e">
        <v>#N/A</v>
      </c>
      <c r="CC10" s="460" t="e">
        <v>#N/A</v>
      </c>
    </row>
    <row r="11" spans="1:81" ht="12.75" customHeight="1">
      <c r="A11" s="105">
        <v>6</v>
      </c>
      <c r="B11" s="112" t="str">
        <v>3W</v>
      </c>
      <c r="C11" s="465">
        <f>'eur disaggregated'!AN22</f>
        <v>731.54069298965237</v>
      </c>
      <c r="D11" s="111" t="str">
        <f t="shared" si="2"/>
        <v>3W</v>
      </c>
      <c r="E11" s="441">
        <f t="shared" si="4"/>
        <v>42696</v>
      </c>
      <c r="F11" s="441">
        <f>_xll.qlCalendarAdvance(Calendar,E11,D11)</f>
        <v>42717</v>
      </c>
      <c r="G11" s="462">
        <f t="shared" si="3"/>
        <v>-3.6809999999999998E-3</v>
      </c>
      <c r="H11" s="453">
        <v>-0.36809999999999998</v>
      </c>
      <c r="I11" s="107" t="str">
        <v>3W</v>
      </c>
      <c r="J11" s="106" t="str">
        <f t="shared" si="0"/>
        <v>3W</v>
      </c>
      <c r="K11" s="448">
        <f>_xll.qlCalendarAdvance("TARGET",$C$1,J11)</f>
        <v>42717</v>
      </c>
      <c r="M11" s="99" t="str">
        <v>3W</v>
      </c>
      <c r="N11" s="465">
        <v>731.54069298965237</v>
      </c>
      <c r="P11" s="106" t="b">
        <f t="shared" si="1"/>
        <v>0</v>
      </c>
      <c r="Q11" s="460">
        <f t="array" ref="Q11:CC11">C11*ForwardToZero(OisBuckets,E11,F11,G11)</f>
        <v>0</v>
      </c>
      <c r="R11" s="460">
        <v>0</v>
      </c>
      <c r="S11" s="460">
        <v>0</v>
      </c>
      <c r="T11" s="460">
        <v>0</v>
      </c>
      <c r="U11" s="460">
        <v>0</v>
      </c>
      <c r="V11" s="460">
        <v>731.54069298965237</v>
      </c>
      <c r="W11" s="460">
        <v>0</v>
      </c>
      <c r="X11" s="460">
        <v>0</v>
      </c>
      <c r="Y11" s="460">
        <v>0</v>
      </c>
      <c r="Z11" s="460">
        <v>0</v>
      </c>
      <c r="AA11" s="460">
        <v>0</v>
      </c>
      <c r="AB11" s="460">
        <v>0</v>
      </c>
      <c r="AC11" s="460">
        <v>0</v>
      </c>
      <c r="AD11" s="460">
        <v>0</v>
      </c>
      <c r="AE11" s="460">
        <v>0</v>
      </c>
      <c r="AF11" s="460">
        <v>0</v>
      </c>
      <c r="AG11" s="460">
        <v>0</v>
      </c>
      <c r="AH11" s="460">
        <v>0</v>
      </c>
      <c r="AI11" s="460">
        <v>0</v>
      </c>
      <c r="AJ11" s="460">
        <v>0</v>
      </c>
      <c r="AK11" s="460">
        <v>0</v>
      </c>
      <c r="AL11" s="460">
        <v>0</v>
      </c>
      <c r="AM11" s="460">
        <v>0</v>
      </c>
      <c r="AN11" s="460">
        <v>0</v>
      </c>
      <c r="AO11" s="460">
        <v>0</v>
      </c>
      <c r="AP11" s="460">
        <v>0</v>
      </c>
      <c r="AQ11" s="460">
        <v>0</v>
      </c>
      <c r="AR11" s="460">
        <v>0</v>
      </c>
      <c r="AS11" s="460">
        <v>0</v>
      </c>
      <c r="AT11" s="460">
        <v>0</v>
      </c>
      <c r="AU11" s="460">
        <v>0</v>
      </c>
      <c r="AV11" s="460">
        <v>0</v>
      </c>
      <c r="AW11" s="460">
        <v>0</v>
      </c>
      <c r="AX11" s="460">
        <v>0</v>
      </c>
      <c r="AY11" s="460">
        <v>0</v>
      </c>
      <c r="AZ11" s="460">
        <v>0</v>
      </c>
      <c r="BA11" s="460">
        <v>0</v>
      </c>
      <c r="BB11" s="460">
        <v>0</v>
      </c>
      <c r="BC11" s="460">
        <v>0</v>
      </c>
      <c r="BD11" s="460">
        <v>0</v>
      </c>
      <c r="BE11" s="460">
        <v>0</v>
      </c>
      <c r="BF11" s="460">
        <v>0</v>
      </c>
      <c r="BG11" s="460">
        <v>0</v>
      </c>
      <c r="BH11" s="460">
        <v>0</v>
      </c>
      <c r="BI11" s="460">
        <v>0</v>
      </c>
      <c r="BJ11" s="460">
        <v>0</v>
      </c>
      <c r="BK11" s="460">
        <v>0</v>
      </c>
      <c r="BL11" s="460">
        <v>0</v>
      </c>
      <c r="BM11" s="460">
        <v>0</v>
      </c>
      <c r="BN11" s="460">
        <v>0</v>
      </c>
      <c r="BO11" s="460">
        <v>0</v>
      </c>
      <c r="BP11" s="460">
        <v>0</v>
      </c>
      <c r="BQ11" s="460">
        <v>0</v>
      </c>
      <c r="BR11" s="460">
        <v>0</v>
      </c>
      <c r="BS11" s="460">
        <v>0</v>
      </c>
      <c r="BT11" s="460">
        <v>0</v>
      </c>
      <c r="BU11" s="460">
        <v>0</v>
      </c>
      <c r="BV11" s="460">
        <v>0</v>
      </c>
      <c r="BW11" s="460">
        <v>0</v>
      </c>
      <c r="BX11" s="460">
        <v>0</v>
      </c>
      <c r="BY11" s="460">
        <v>0</v>
      </c>
      <c r="BZ11" s="460">
        <v>0</v>
      </c>
      <c r="CA11" s="460" t="e">
        <v>#N/A</v>
      </c>
      <c r="CB11" s="460" t="e">
        <v>#N/A</v>
      </c>
      <c r="CC11" s="460" t="e">
        <v>#N/A</v>
      </c>
    </row>
    <row r="12" spans="1:81" ht="12.75" customHeight="1">
      <c r="A12" s="105">
        <v>7</v>
      </c>
      <c r="B12" s="112" t="str">
        <v>1M</v>
      </c>
      <c r="C12" s="465">
        <f>'eur disaggregated'!AN23</f>
        <v>-560.84584068682045</v>
      </c>
      <c r="D12" s="111" t="str">
        <f t="shared" si="2"/>
        <v>1M</v>
      </c>
      <c r="E12" s="441">
        <f t="shared" si="4"/>
        <v>42696</v>
      </c>
      <c r="F12" s="441">
        <f>_xll.qlCalendarAdvance(Calendar,E12,D12)</f>
        <v>42726</v>
      </c>
      <c r="G12" s="462">
        <f t="shared" si="3"/>
        <v>-3.7099999999999998E-3</v>
      </c>
      <c r="H12" s="453">
        <v>-0.371</v>
      </c>
      <c r="I12" s="107" t="str">
        <v>1M</v>
      </c>
      <c r="J12" s="106" t="str">
        <f t="shared" si="0"/>
        <v>1M</v>
      </c>
      <c r="K12" s="448">
        <f>_xll.qlCalendarAdvance("TARGET",$C$1,J12)</f>
        <v>42726</v>
      </c>
      <c r="M12" s="99" t="str">
        <v>1M</v>
      </c>
      <c r="N12" s="465">
        <v>-560.84584068682045</v>
      </c>
      <c r="P12" s="106" t="b">
        <f t="shared" si="1"/>
        <v>0</v>
      </c>
      <c r="Q12" s="460">
        <f t="array" ref="Q12:CC12">C12*ForwardToZero(OisBuckets,E12,F12,G12)</f>
        <v>0</v>
      </c>
      <c r="R12" s="460">
        <v>0</v>
      </c>
      <c r="S12" s="460">
        <v>0</v>
      </c>
      <c r="T12" s="460">
        <v>0</v>
      </c>
      <c r="U12" s="460">
        <v>0</v>
      </c>
      <c r="V12" s="460">
        <v>0</v>
      </c>
      <c r="W12" s="460">
        <v>-560.84584068682045</v>
      </c>
      <c r="X12" s="460">
        <v>0</v>
      </c>
      <c r="Y12" s="460">
        <v>0</v>
      </c>
      <c r="Z12" s="460">
        <v>0</v>
      </c>
      <c r="AA12" s="460">
        <v>0</v>
      </c>
      <c r="AB12" s="460">
        <v>0</v>
      </c>
      <c r="AC12" s="460">
        <v>0</v>
      </c>
      <c r="AD12" s="460">
        <v>0</v>
      </c>
      <c r="AE12" s="460">
        <v>0</v>
      </c>
      <c r="AF12" s="460">
        <v>0</v>
      </c>
      <c r="AG12" s="460">
        <v>0</v>
      </c>
      <c r="AH12" s="460">
        <v>0</v>
      </c>
      <c r="AI12" s="460">
        <v>0</v>
      </c>
      <c r="AJ12" s="460">
        <v>0</v>
      </c>
      <c r="AK12" s="460">
        <v>0</v>
      </c>
      <c r="AL12" s="460">
        <v>0</v>
      </c>
      <c r="AM12" s="460">
        <v>0</v>
      </c>
      <c r="AN12" s="460">
        <v>0</v>
      </c>
      <c r="AO12" s="460">
        <v>0</v>
      </c>
      <c r="AP12" s="460">
        <v>0</v>
      </c>
      <c r="AQ12" s="460">
        <v>0</v>
      </c>
      <c r="AR12" s="460">
        <v>0</v>
      </c>
      <c r="AS12" s="460">
        <v>0</v>
      </c>
      <c r="AT12" s="460">
        <v>0</v>
      </c>
      <c r="AU12" s="460">
        <v>0</v>
      </c>
      <c r="AV12" s="460">
        <v>0</v>
      </c>
      <c r="AW12" s="460">
        <v>0</v>
      </c>
      <c r="AX12" s="460">
        <v>0</v>
      </c>
      <c r="AY12" s="460">
        <v>0</v>
      </c>
      <c r="AZ12" s="460">
        <v>0</v>
      </c>
      <c r="BA12" s="460">
        <v>0</v>
      </c>
      <c r="BB12" s="460">
        <v>0</v>
      </c>
      <c r="BC12" s="460">
        <v>0</v>
      </c>
      <c r="BD12" s="460">
        <v>0</v>
      </c>
      <c r="BE12" s="460">
        <v>0</v>
      </c>
      <c r="BF12" s="460">
        <v>0</v>
      </c>
      <c r="BG12" s="460">
        <v>0</v>
      </c>
      <c r="BH12" s="460">
        <v>0</v>
      </c>
      <c r="BI12" s="460">
        <v>0</v>
      </c>
      <c r="BJ12" s="460">
        <v>0</v>
      </c>
      <c r="BK12" s="460">
        <v>0</v>
      </c>
      <c r="BL12" s="460">
        <v>0</v>
      </c>
      <c r="BM12" s="460">
        <v>0</v>
      </c>
      <c r="BN12" s="460">
        <v>0</v>
      </c>
      <c r="BO12" s="460">
        <v>0</v>
      </c>
      <c r="BP12" s="460">
        <v>0</v>
      </c>
      <c r="BQ12" s="460">
        <v>0</v>
      </c>
      <c r="BR12" s="460">
        <v>0</v>
      </c>
      <c r="BS12" s="460">
        <v>0</v>
      </c>
      <c r="BT12" s="460">
        <v>0</v>
      </c>
      <c r="BU12" s="460">
        <v>0</v>
      </c>
      <c r="BV12" s="460">
        <v>0</v>
      </c>
      <c r="BW12" s="460">
        <v>0</v>
      </c>
      <c r="BX12" s="460">
        <v>0</v>
      </c>
      <c r="BY12" s="460">
        <v>0</v>
      </c>
      <c r="BZ12" s="460">
        <v>0</v>
      </c>
      <c r="CA12" s="460" t="e">
        <v>#N/A</v>
      </c>
      <c r="CB12" s="460" t="e">
        <v>#N/A</v>
      </c>
      <c r="CC12" s="460" t="e">
        <v>#N/A</v>
      </c>
    </row>
    <row r="13" spans="1:81">
      <c r="A13" s="105">
        <v>8</v>
      </c>
      <c r="B13" s="112" t="str">
        <v>2M</v>
      </c>
      <c r="C13" s="465">
        <f>'eur disaggregated'!AN24</f>
        <v>174.83449414469115</v>
      </c>
      <c r="D13" s="111" t="str">
        <f t="shared" si="2"/>
        <v>2M</v>
      </c>
      <c r="E13" s="441">
        <f t="shared" si="4"/>
        <v>42696</v>
      </c>
      <c r="F13" s="441">
        <f>_xll.qlCalendarAdvance(Calendar,E13,D13)</f>
        <v>42758</v>
      </c>
      <c r="G13" s="462">
        <f t="shared" si="3"/>
        <v>-3.7199999999999998E-3</v>
      </c>
      <c r="H13" s="453">
        <v>-0.372</v>
      </c>
      <c r="I13" s="107" t="str">
        <v>2M</v>
      </c>
      <c r="J13" s="106" t="str">
        <f t="shared" si="0"/>
        <v>2M</v>
      </c>
      <c r="K13" s="448">
        <f>_xll.qlCalendarAdvance("TARGET",$C$1,J13)</f>
        <v>42758</v>
      </c>
      <c r="M13" s="99" t="str">
        <v>2M</v>
      </c>
      <c r="N13" s="465">
        <v>174.83449414469115</v>
      </c>
      <c r="P13" s="106" t="b">
        <f t="shared" si="1"/>
        <v>0</v>
      </c>
      <c r="Q13" s="460">
        <f t="array" ref="Q13:CC13">C13*ForwardToZero(OisBuckets,E13,F13,G13)</f>
        <v>0</v>
      </c>
      <c r="R13" s="460">
        <v>0</v>
      </c>
      <c r="S13" s="460">
        <v>0</v>
      </c>
      <c r="T13" s="460">
        <v>0</v>
      </c>
      <c r="U13" s="460">
        <v>0</v>
      </c>
      <c r="V13" s="460">
        <v>0</v>
      </c>
      <c r="W13" s="460">
        <v>0</v>
      </c>
      <c r="X13" s="460">
        <v>174.83449414469115</v>
      </c>
      <c r="Y13" s="460">
        <v>0</v>
      </c>
      <c r="Z13" s="460">
        <v>0</v>
      </c>
      <c r="AA13" s="460">
        <v>0</v>
      </c>
      <c r="AB13" s="460">
        <v>0</v>
      </c>
      <c r="AC13" s="460">
        <v>0</v>
      </c>
      <c r="AD13" s="460">
        <v>0</v>
      </c>
      <c r="AE13" s="460">
        <v>0</v>
      </c>
      <c r="AF13" s="460">
        <v>0</v>
      </c>
      <c r="AG13" s="460">
        <v>0</v>
      </c>
      <c r="AH13" s="460">
        <v>0</v>
      </c>
      <c r="AI13" s="460">
        <v>0</v>
      </c>
      <c r="AJ13" s="460">
        <v>0</v>
      </c>
      <c r="AK13" s="460">
        <v>0</v>
      </c>
      <c r="AL13" s="460">
        <v>0</v>
      </c>
      <c r="AM13" s="460">
        <v>0</v>
      </c>
      <c r="AN13" s="460">
        <v>0</v>
      </c>
      <c r="AO13" s="460">
        <v>0</v>
      </c>
      <c r="AP13" s="460">
        <v>0</v>
      </c>
      <c r="AQ13" s="460">
        <v>0</v>
      </c>
      <c r="AR13" s="460">
        <v>0</v>
      </c>
      <c r="AS13" s="460">
        <v>0</v>
      </c>
      <c r="AT13" s="460">
        <v>0</v>
      </c>
      <c r="AU13" s="460">
        <v>0</v>
      </c>
      <c r="AV13" s="460">
        <v>0</v>
      </c>
      <c r="AW13" s="460">
        <v>0</v>
      </c>
      <c r="AX13" s="460">
        <v>0</v>
      </c>
      <c r="AY13" s="460">
        <v>0</v>
      </c>
      <c r="AZ13" s="460">
        <v>0</v>
      </c>
      <c r="BA13" s="460">
        <v>0</v>
      </c>
      <c r="BB13" s="460">
        <v>0</v>
      </c>
      <c r="BC13" s="460">
        <v>0</v>
      </c>
      <c r="BD13" s="460">
        <v>0</v>
      </c>
      <c r="BE13" s="460">
        <v>0</v>
      </c>
      <c r="BF13" s="460">
        <v>0</v>
      </c>
      <c r="BG13" s="460">
        <v>0</v>
      </c>
      <c r="BH13" s="460">
        <v>0</v>
      </c>
      <c r="BI13" s="460">
        <v>0</v>
      </c>
      <c r="BJ13" s="460">
        <v>0</v>
      </c>
      <c r="BK13" s="460">
        <v>0</v>
      </c>
      <c r="BL13" s="460">
        <v>0</v>
      </c>
      <c r="BM13" s="460">
        <v>0</v>
      </c>
      <c r="BN13" s="460">
        <v>0</v>
      </c>
      <c r="BO13" s="460">
        <v>0</v>
      </c>
      <c r="BP13" s="460">
        <v>0</v>
      </c>
      <c r="BQ13" s="460">
        <v>0</v>
      </c>
      <c r="BR13" s="460">
        <v>0</v>
      </c>
      <c r="BS13" s="460">
        <v>0</v>
      </c>
      <c r="BT13" s="460">
        <v>0</v>
      </c>
      <c r="BU13" s="460">
        <v>0</v>
      </c>
      <c r="BV13" s="460">
        <v>0</v>
      </c>
      <c r="BW13" s="460">
        <v>0</v>
      </c>
      <c r="BX13" s="460">
        <v>0</v>
      </c>
      <c r="BY13" s="460">
        <v>0</v>
      </c>
      <c r="BZ13" s="460">
        <v>0</v>
      </c>
      <c r="CA13" s="460" t="e">
        <v>#N/A</v>
      </c>
      <c r="CB13" s="460" t="e">
        <v>#N/A</v>
      </c>
      <c r="CC13" s="460" t="e">
        <v>#N/A</v>
      </c>
    </row>
    <row r="14" spans="1:81" ht="12.75" customHeight="1">
      <c r="A14" s="105">
        <v>9</v>
      </c>
      <c r="B14" s="112" t="str">
        <v>3M</v>
      </c>
      <c r="C14" s="465">
        <f>'eur disaggregated'!AN25</f>
        <v>124.91616053336152</v>
      </c>
      <c r="D14" s="111" t="str">
        <f t="shared" si="2"/>
        <v>3M</v>
      </c>
      <c r="E14" s="441">
        <f t="shared" si="4"/>
        <v>42696</v>
      </c>
      <c r="F14" s="441">
        <f>_xll.qlCalendarAdvance(Calendar,E14,D14)</f>
        <v>42788</v>
      </c>
      <c r="G14" s="462">
        <f t="shared" si="3"/>
        <v>-3.7199999999999998E-3</v>
      </c>
      <c r="H14" s="453">
        <v>-0.372</v>
      </c>
      <c r="I14" s="107" t="str">
        <v>3M</v>
      </c>
      <c r="J14" s="106" t="str">
        <f t="shared" si="0"/>
        <v>3M</v>
      </c>
      <c r="K14" s="448">
        <f>_xll.qlCalendarAdvance("TARGET",$C$1,J14)</f>
        <v>42788</v>
      </c>
      <c r="M14" s="99" t="str">
        <v>3M</v>
      </c>
      <c r="N14" s="465">
        <v>124.91616053336152</v>
      </c>
      <c r="P14" s="106" t="b">
        <f t="shared" si="1"/>
        <v>0</v>
      </c>
      <c r="Q14" s="460">
        <f t="array" ref="Q14:CC14">C14*ForwardToZero(OisBuckets,E14,F14,G14)</f>
        <v>0</v>
      </c>
      <c r="R14" s="460">
        <v>0</v>
      </c>
      <c r="S14" s="460">
        <v>0</v>
      </c>
      <c r="T14" s="460">
        <v>0</v>
      </c>
      <c r="U14" s="460">
        <v>0</v>
      </c>
      <c r="V14" s="460">
        <v>0</v>
      </c>
      <c r="W14" s="460">
        <v>0</v>
      </c>
      <c r="X14" s="460">
        <v>0</v>
      </c>
      <c r="Y14" s="460">
        <v>124.91616053336152</v>
      </c>
      <c r="Z14" s="460">
        <v>0</v>
      </c>
      <c r="AA14" s="460">
        <v>0</v>
      </c>
      <c r="AB14" s="460">
        <v>0</v>
      </c>
      <c r="AC14" s="460">
        <v>0</v>
      </c>
      <c r="AD14" s="460">
        <v>0</v>
      </c>
      <c r="AE14" s="460">
        <v>0</v>
      </c>
      <c r="AF14" s="460">
        <v>0</v>
      </c>
      <c r="AG14" s="460">
        <v>0</v>
      </c>
      <c r="AH14" s="460">
        <v>0</v>
      </c>
      <c r="AI14" s="460">
        <v>0</v>
      </c>
      <c r="AJ14" s="460">
        <v>0</v>
      </c>
      <c r="AK14" s="460">
        <v>0</v>
      </c>
      <c r="AL14" s="460">
        <v>0</v>
      </c>
      <c r="AM14" s="460">
        <v>0</v>
      </c>
      <c r="AN14" s="460">
        <v>0</v>
      </c>
      <c r="AO14" s="460">
        <v>0</v>
      </c>
      <c r="AP14" s="460">
        <v>0</v>
      </c>
      <c r="AQ14" s="460">
        <v>0</v>
      </c>
      <c r="AR14" s="460">
        <v>0</v>
      </c>
      <c r="AS14" s="460">
        <v>0</v>
      </c>
      <c r="AT14" s="460">
        <v>0</v>
      </c>
      <c r="AU14" s="460">
        <v>0</v>
      </c>
      <c r="AV14" s="460">
        <v>0</v>
      </c>
      <c r="AW14" s="460">
        <v>0</v>
      </c>
      <c r="AX14" s="460">
        <v>0</v>
      </c>
      <c r="AY14" s="460">
        <v>0</v>
      </c>
      <c r="AZ14" s="460">
        <v>0</v>
      </c>
      <c r="BA14" s="460">
        <v>0</v>
      </c>
      <c r="BB14" s="460">
        <v>0</v>
      </c>
      <c r="BC14" s="460">
        <v>0</v>
      </c>
      <c r="BD14" s="460">
        <v>0</v>
      </c>
      <c r="BE14" s="460">
        <v>0</v>
      </c>
      <c r="BF14" s="460">
        <v>0</v>
      </c>
      <c r="BG14" s="460">
        <v>0</v>
      </c>
      <c r="BH14" s="460">
        <v>0</v>
      </c>
      <c r="BI14" s="460">
        <v>0</v>
      </c>
      <c r="BJ14" s="460">
        <v>0</v>
      </c>
      <c r="BK14" s="460">
        <v>0</v>
      </c>
      <c r="BL14" s="460">
        <v>0</v>
      </c>
      <c r="BM14" s="460">
        <v>0</v>
      </c>
      <c r="BN14" s="460">
        <v>0</v>
      </c>
      <c r="BO14" s="460">
        <v>0</v>
      </c>
      <c r="BP14" s="460">
        <v>0</v>
      </c>
      <c r="BQ14" s="460">
        <v>0</v>
      </c>
      <c r="BR14" s="460">
        <v>0</v>
      </c>
      <c r="BS14" s="460">
        <v>0</v>
      </c>
      <c r="BT14" s="460">
        <v>0</v>
      </c>
      <c r="BU14" s="460">
        <v>0</v>
      </c>
      <c r="BV14" s="460">
        <v>0</v>
      </c>
      <c r="BW14" s="460">
        <v>0</v>
      </c>
      <c r="BX14" s="460">
        <v>0</v>
      </c>
      <c r="BY14" s="460">
        <v>0</v>
      </c>
      <c r="BZ14" s="460">
        <v>0</v>
      </c>
      <c r="CA14" s="460" t="e">
        <v>#N/A</v>
      </c>
      <c r="CB14" s="460" t="e">
        <v>#N/A</v>
      </c>
      <c r="CC14" s="460" t="e">
        <v>#N/A</v>
      </c>
    </row>
    <row r="15" spans="1:81" ht="12.75" customHeight="1">
      <c r="A15" s="105">
        <v>10</v>
      </c>
      <c r="B15" s="112" t="str">
        <v>4M</v>
      </c>
      <c r="C15" s="465">
        <f>'eur disaggregated'!AN26</f>
        <v>586.64891685014857</v>
      </c>
      <c r="D15" s="111" t="str">
        <f t="shared" si="2"/>
        <v>4M</v>
      </c>
      <c r="E15" s="441">
        <f t="shared" si="4"/>
        <v>42696</v>
      </c>
      <c r="F15" s="441">
        <f>_xll.qlCalendarAdvance(Calendar,E15,D15)</f>
        <v>42816</v>
      </c>
      <c r="G15" s="462">
        <f t="shared" si="3"/>
        <v>-3.7199999999999998E-3</v>
      </c>
      <c r="H15" s="453">
        <v>-0.372</v>
      </c>
      <c r="I15" s="107" t="str">
        <v>4M</v>
      </c>
      <c r="J15" s="106" t="str">
        <f t="shared" si="0"/>
        <v>4M</v>
      </c>
      <c r="K15" s="448">
        <f>_xll.qlCalendarAdvance("TARGET",$C$1,J15)</f>
        <v>42816</v>
      </c>
      <c r="M15" s="99" t="str">
        <v>4M</v>
      </c>
      <c r="N15" s="465">
        <v>586.64891685014857</v>
      </c>
      <c r="P15" s="106" t="b">
        <f t="shared" si="1"/>
        <v>0</v>
      </c>
      <c r="Q15" s="460">
        <f t="array" ref="Q15:CC15">C15*ForwardToZero(OisBuckets,E15,F15,G15)</f>
        <v>0</v>
      </c>
      <c r="R15" s="460">
        <v>0</v>
      </c>
      <c r="S15" s="460">
        <v>0</v>
      </c>
      <c r="T15" s="460">
        <v>0</v>
      </c>
      <c r="U15" s="460">
        <v>0</v>
      </c>
      <c r="V15" s="460">
        <v>0</v>
      </c>
      <c r="W15" s="460">
        <v>0</v>
      </c>
      <c r="X15" s="460">
        <v>0</v>
      </c>
      <c r="Y15" s="460">
        <v>0</v>
      </c>
      <c r="Z15" s="460">
        <v>586.64891685014857</v>
      </c>
      <c r="AA15" s="460">
        <v>0</v>
      </c>
      <c r="AB15" s="460">
        <v>0</v>
      </c>
      <c r="AC15" s="460">
        <v>0</v>
      </c>
      <c r="AD15" s="460">
        <v>0</v>
      </c>
      <c r="AE15" s="460">
        <v>0</v>
      </c>
      <c r="AF15" s="460">
        <v>0</v>
      </c>
      <c r="AG15" s="460">
        <v>0</v>
      </c>
      <c r="AH15" s="460">
        <v>0</v>
      </c>
      <c r="AI15" s="460">
        <v>0</v>
      </c>
      <c r="AJ15" s="460">
        <v>0</v>
      </c>
      <c r="AK15" s="460">
        <v>0</v>
      </c>
      <c r="AL15" s="460">
        <v>0</v>
      </c>
      <c r="AM15" s="460">
        <v>0</v>
      </c>
      <c r="AN15" s="460">
        <v>0</v>
      </c>
      <c r="AO15" s="460">
        <v>0</v>
      </c>
      <c r="AP15" s="460">
        <v>0</v>
      </c>
      <c r="AQ15" s="460">
        <v>0</v>
      </c>
      <c r="AR15" s="460">
        <v>0</v>
      </c>
      <c r="AS15" s="460">
        <v>0</v>
      </c>
      <c r="AT15" s="460">
        <v>0</v>
      </c>
      <c r="AU15" s="460">
        <v>0</v>
      </c>
      <c r="AV15" s="460">
        <v>0</v>
      </c>
      <c r="AW15" s="460">
        <v>0</v>
      </c>
      <c r="AX15" s="460">
        <v>0</v>
      </c>
      <c r="AY15" s="460">
        <v>0</v>
      </c>
      <c r="AZ15" s="460">
        <v>0</v>
      </c>
      <c r="BA15" s="460">
        <v>0</v>
      </c>
      <c r="BB15" s="460">
        <v>0</v>
      </c>
      <c r="BC15" s="460">
        <v>0</v>
      </c>
      <c r="BD15" s="460">
        <v>0</v>
      </c>
      <c r="BE15" s="460">
        <v>0</v>
      </c>
      <c r="BF15" s="460">
        <v>0</v>
      </c>
      <c r="BG15" s="460">
        <v>0</v>
      </c>
      <c r="BH15" s="460">
        <v>0</v>
      </c>
      <c r="BI15" s="460">
        <v>0</v>
      </c>
      <c r="BJ15" s="460">
        <v>0</v>
      </c>
      <c r="BK15" s="460">
        <v>0</v>
      </c>
      <c r="BL15" s="460">
        <v>0</v>
      </c>
      <c r="BM15" s="460">
        <v>0</v>
      </c>
      <c r="BN15" s="460">
        <v>0</v>
      </c>
      <c r="BO15" s="460">
        <v>0</v>
      </c>
      <c r="BP15" s="460">
        <v>0</v>
      </c>
      <c r="BQ15" s="460">
        <v>0</v>
      </c>
      <c r="BR15" s="460">
        <v>0</v>
      </c>
      <c r="BS15" s="460">
        <v>0</v>
      </c>
      <c r="BT15" s="460">
        <v>0</v>
      </c>
      <c r="BU15" s="460">
        <v>0</v>
      </c>
      <c r="BV15" s="460">
        <v>0</v>
      </c>
      <c r="BW15" s="460">
        <v>0</v>
      </c>
      <c r="BX15" s="460">
        <v>0</v>
      </c>
      <c r="BY15" s="460">
        <v>0</v>
      </c>
      <c r="BZ15" s="460">
        <v>0</v>
      </c>
      <c r="CA15" s="460" t="e">
        <v>#N/A</v>
      </c>
      <c r="CB15" s="460" t="e">
        <v>#N/A</v>
      </c>
      <c r="CC15" s="460" t="e">
        <v>#N/A</v>
      </c>
    </row>
    <row r="16" spans="1:81" ht="12.75" customHeight="1">
      <c r="A16" s="105">
        <v>11</v>
      </c>
      <c r="B16" s="112" t="str">
        <v>5M</v>
      </c>
      <c r="C16" s="465">
        <f>'eur disaggregated'!AN27</f>
        <v>-93.042418436719387</v>
      </c>
      <c r="D16" s="111" t="str">
        <f t="shared" si="2"/>
        <v>5M</v>
      </c>
      <c r="E16" s="441">
        <f t="shared" si="4"/>
        <v>42696</v>
      </c>
      <c r="F16" s="441">
        <f>_xll.qlCalendarAdvance(Calendar,E16,D16)</f>
        <v>42849</v>
      </c>
      <c r="G16" s="462">
        <f t="shared" si="3"/>
        <v>-3.7299999999999998E-3</v>
      </c>
      <c r="H16" s="453">
        <v>-0.373</v>
      </c>
      <c r="I16" s="107" t="str">
        <v>5M</v>
      </c>
      <c r="J16" s="106" t="str">
        <f t="shared" si="0"/>
        <v>5M</v>
      </c>
      <c r="K16" s="448">
        <f>_xll.qlCalendarAdvance("TARGET",$C$1,J16)</f>
        <v>42849</v>
      </c>
      <c r="M16" s="99" t="str">
        <v>5M</v>
      </c>
      <c r="N16" s="465">
        <v>-93.042418436719387</v>
      </c>
      <c r="P16" s="106" t="b">
        <f t="shared" si="1"/>
        <v>0</v>
      </c>
      <c r="Q16" s="460">
        <f t="array" ref="Q16:CC16">C16*ForwardToZero(OisBuckets,E16,F16,G16)</f>
        <v>0</v>
      </c>
      <c r="R16" s="460">
        <v>0</v>
      </c>
      <c r="S16" s="460">
        <v>0</v>
      </c>
      <c r="T16" s="460">
        <v>0</v>
      </c>
      <c r="U16" s="460">
        <v>0</v>
      </c>
      <c r="V16" s="460">
        <v>0</v>
      </c>
      <c r="W16" s="460">
        <v>0</v>
      </c>
      <c r="X16" s="460">
        <v>0</v>
      </c>
      <c r="Y16" s="460">
        <v>0</v>
      </c>
      <c r="Z16" s="460">
        <v>0</v>
      </c>
      <c r="AA16" s="460">
        <v>-93.042418436719387</v>
      </c>
      <c r="AB16" s="460">
        <v>0</v>
      </c>
      <c r="AC16" s="460">
        <v>0</v>
      </c>
      <c r="AD16" s="460">
        <v>0</v>
      </c>
      <c r="AE16" s="460">
        <v>0</v>
      </c>
      <c r="AF16" s="460">
        <v>0</v>
      </c>
      <c r="AG16" s="460">
        <v>0</v>
      </c>
      <c r="AH16" s="460">
        <v>0</v>
      </c>
      <c r="AI16" s="460">
        <v>0</v>
      </c>
      <c r="AJ16" s="460">
        <v>0</v>
      </c>
      <c r="AK16" s="460">
        <v>0</v>
      </c>
      <c r="AL16" s="460">
        <v>0</v>
      </c>
      <c r="AM16" s="460">
        <v>0</v>
      </c>
      <c r="AN16" s="460">
        <v>0</v>
      </c>
      <c r="AO16" s="460">
        <v>0</v>
      </c>
      <c r="AP16" s="460">
        <v>0</v>
      </c>
      <c r="AQ16" s="460">
        <v>0</v>
      </c>
      <c r="AR16" s="460">
        <v>0</v>
      </c>
      <c r="AS16" s="460">
        <v>0</v>
      </c>
      <c r="AT16" s="460">
        <v>0</v>
      </c>
      <c r="AU16" s="460">
        <v>0</v>
      </c>
      <c r="AV16" s="460">
        <v>0</v>
      </c>
      <c r="AW16" s="460">
        <v>0</v>
      </c>
      <c r="AX16" s="460">
        <v>0</v>
      </c>
      <c r="AY16" s="460">
        <v>0</v>
      </c>
      <c r="AZ16" s="460">
        <v>0</v>
      </c>
      <c r="BA16" s="460">
        <v>0</v>
      </c>
      <c r="BB16" s="460">
        <v>0</v>
      </c>
      <c r="BC16" s="460">
        <v>0</v>
      </c>
      <c r="BD16" s="460">
        <v>0</v>
      </c>
      <c r="BE16" s="460">
        <v>0</v>
      </c>
      <c r="BF16" s="460">
        <v>0</v>
      </c>
      <c r="BG16" s="460">
        <v>0</v>
      </c>
      <c r="BH16" s="460">
        <v>0</v>
      </c>
      <c r="BI16" s="460">
        <v>0</v>
      </c>
      <c r="BJ16" s="460">
        <v>0</v>
      </c>
      <c r="BK16" s="460">
        <v>0</v>
      </c>
      <c r="BL16" s="460">
        <v>0</v>
      </c>
      <c r="BM16" s="460">
        <v>0</v>
      </c>
      <c r="BN16" s="460">
        <v>0</v>
      </c>
      <c r="BO16" s="460">
        <v>0</v>
      </c>
      <c r="BP16" s="460">
        <v>0</v>
      </c>
      <c r="BQ16" s="460">
        <v>0</v>
      </c>
      <c r="BR16" s="460">
        <v>0</v>
      </c>
      <c r="BS16" s="460">
        <v>0</v>
      </c>
      <c r="BT16" s="460">
        <v>0</v>
      </c>
      <c r="BU16" s="460">
        <v>0</v>
      </c>
      <c r="BV16" s="460">
        <v>0</v>
      </c>
      <c r="BW16" s="460">
        <v>0</v>
      </c>
      <c r="BX16" s="460">
        <v>0</v>
      </c>
      <c r="BY16" s="460">
        <v>0</v>
      </c>
      <c r="BZ16" s="460">
        <v>0</v>
      </c>
      <c r="CA16" s="460" t="e">
        <v>#N/A</v>
      </c>
      <c r="CB16" s="460" t="e">
        <v>#N/A</v>
      </c>
      <c r="CC16" s="460" t="e">
        <v>#N/A</v>
      </c>
    </row>
    <row r="17" spans="1:81" ht="12.75" customHeight="1">
      <c r="A17" s="105">
        <v>12</v>
      </c>
      <c r="B17" s="112" t="str">
        <v>6M</v>
      </c>
      <c r="C17" s="465">
        <f>'eur disaggregated'!AN28</f>
        <v>-147.86638414945813</v>
      </c>
      <c r="D17" s="111" t="str">
        <f t="shared" si="2"/>
        <v>6M</v>
      </c>
      <c r="E17" s="441">
        <f t="shared" si="4"/>
        <v>42696</v>
      </c>
      <c r="F17" s="441">
        <f>_xll.qlCalendarAdvance(Calendar,E17,D17)</f>
        <v>42877</v>
      </c>
      <c r="G17" s="462">
        <f t="shared" si="3"/>
        <v>-3.7299999999999998E-3</v>
      </c>
      <c r="H17" s="453">
        <v>-0.373</v>
      </c>
      <c r="I17" s="107" t="str">
        <v>6M</v>
      </c>
      <c r="J17" s="106" t="str">
        <f t="shared" si="0"/>
        <v>6M</v>
      </c>
      <c r="K17" s="448">
        <f>_xll.qlCalendarAdvance("TARGET",$C$1,J17)</f>
        <v>42877</v>
      </c>
      <c r="M17" s="99" t="str">
        <v>6M</v>
      </c>
      <c r="N17" s="465">
        <v>-147.86638414945813</v>
      </c>
      <c r="P17" s="106" t="b">
        <f t="shared" si="1"/>
        <v>0</v>
      </c>
      <c r="Q17" s="460">
        <f t="array" ref="Q17:CC17">C17*ForwardToZero(OisBuckets,E17,F17,G17)</f>
        <v>0</v>
      </c>
      <c r="R17" s="460">
        <v>0</v>
      </c>
      <c r="S17" s="460">
        <v>0</v>
      </c>
      <c r="T17" s="460">
        <v>0</v>
      </c>
      <c r="U17" s="460">
        <v>0</v>
      </c>
      <c r="V17" s="460">
        <v>0</v>
      </c>
      <c r="W17" s="460">
        <v>0</v>
      </c>
      <c r="X17" s="460">
        <v>0</v>
      </c>
      <c r="Y17" s="460">
        <v>0</v>
      </c>
      <c r="Z17" s="460">
        <v>0</v>
      </c>
      <c r="AA17" s="460">
        <v>0</v>
      </c>
      <c r="AB17" s="460">
        <v>-147.86638414945813</v>
      </c>
      <c r="AC17" s="460">
        <v>0</v>
      </c>
      <c r="AD17" s="460">
        <v>0</v>
      </c>
      <c r="AE17" s="460">
        <v>0</v>
      </c>
      <c r="AF17" s="460">
        <v>0</v>
      </c>
      <c r="AG17" s="460">
        <v>0</v>
      </c>
      <c r="AH17" s="460">
        <v>0</v>
      </c>
      <c r="AI17" s="460">
        <v>0</v>
      </c>
      <c r="AJ17" s="460">
        <v>0</v>
      </c>
      <c r="AK17" s="460">
        <v>0</v>
      </c>
      <c r="AL17" s="460">
        <v>0</v>
      </c>
      <c r="AM17" s="460">
        <v>0</v>
      </c>
      <c r="AN17" s="460">
        <v>0</v>
      </c>
      <c r="AO17" s="460">
        <v>0</v>
      </c>
      <c r="AP17" s="460">
        <v>0</v>
      </c>
      <c r="AQ17" s="460">
        <v>0</v>
      </c>
      <c r="AR17" s="460">
        <v>0</v>
      </c>
      <c r="AS17" s="460">
        <v>0</v>
      </c>
      <c r="AT17" s="460">
        <v>0</v>
      </c>
      <c r="AU17" s="460">
        <v>0</v>
      </c>
      <c r="AV17" s="460">
        <v>0</v>
      </c>
      <c r="AW17" s="460">
        <v>0</v>
      </c>
      <c r="AX17" s="460">
        <v>0</v>
      </c>
      <c r="AY17" s="460">
        <v>0</v>
      </c>
      <c r="AZ17" s="460">
        <v>0</v>
      </c>
      <c r="BA17" s="460">
        <v>0</v>
      </c>
      <c r="BB17" s="460">
        <v>0</v>
      </c>
      <c r="BC17" s="460">
        <v>0</v>
      </c>
      <c r="BD17" s="460">
        <v>0</v>
      </c>
      <c r="BE17" s="460">
        <v>0</v>
      </c>
      <c r="BF17" s="460">
        <v>0</v>
      </c>
      <c r="BG17" s="460">
        <v>0</v>
      </c>
      <c r="BH17" s="460">
        <v>0</v>
      </c>
      <c r="BI17" s="460">
        <v>0</v>
      </c>
      <c r="BJ17" s="460">
        <v>0</v>
      </c>
      <c r="BK17" s="460">
        <v>0</v>
      </c>
      <c r="BL17" s="460">
        <v>0</v>
      </c>
      <c r="BM17" s="460">
        <v>0</v>
      </c>
      <c r="BN17" s="460">
        <v>0</v>
      </c>
      <c r="BO17" s="460">
        <v>0</v>
      </c>
      <c r="BP17" s="460">
        <v>0</v>
      </c>
      <c r="BQ17" s="460">
        <v>0</v>
      </c>
      <c r="BR17" s="460">
        <v>0</v>
      </c>
      <c r="BS17" s="460">
        <v>0</v>
      </c>
      <c r="BT17" s="460">
        <v>0</v>
      </c>
      <c r="BU17" s="460">
        <v>0</v>
      </c>
      <c r="BV17" s="460">
        <v>0</v>
      </c>
      <c r="BW17" s="460">
        <v>0</v>
      </c>
      <c r="BX17" s="460">
        <v>0</v>
      </c>
      <c r="BY17" s="460">
        <v>0</v>
      </c>
      <c r="BZ17" s="460">
        <v>0</v>
      </c>
      <c r="CA17" s="460" t="e">
        <v>#N/A</v>
      </c>
      <c r="CB17" s="460" t="e">
        <v>#N/A</v>
      </c>
      <c r="CC17" s="460" t="e">
        <v>#N/A</v>
      </c>
    </row>
    <row r="18" spans="1:81" ht="12.75" customHeight="1">
      <c r="A18" s="105">
        <v>13</v>
      </c>
      <c r="B18" s="112" t="str">
        <v>7M</v>
      </c>
      <c r="C18" s="465">
        <f>'eur disaggregated'!AN29</f>
        <v>584.04986884384152</v>
      </c>
      <c r="D18" s="111" t="str">
        <f t="shared" si="2"/>
        <v>7M</v>
      </c>
      <c r="E18" s="441">
        <f t="shared" si="4"/>
        <v>42696</v>
      </c>
      <c r="F18" s="441">
        <f>_xll.qlCalendarAdvance(Calendar,E18,D18)</f>
        <v>42908</v>
      </c>
      <c r="G18" s="462">
        <f t="shared" si="3"/>
        <v>-3.7299999999999998E-3</v>
      </c>
      <c r="H18" s="453">
        <v>-0.373</v>
      </c>
      <c r="I18" s="107" t="str">
        <v>7M</v>
      </c>
      <c r="J18" s="106" t="str">
        <f t="shared" si="0"/>
        <v>7M</v>
      </c>
      <c r="K18" s="448">
        <f>_xll.qlCalendarAdvance("TARGET",$C$1,J18)</f>
        <v>42908</v>
      </c>
      <c r="M18" s="99" t="str">
        <v>7M</v>
      </c>
      <c r="N18" s="465">
        <v>584.04986884384152</v>
      </c>
      <c r="P18" s="106" t="b">
        <f t="shared" si="1"/>
        <v>0</v>
      </c>
      <c r="Q18" s="460">
        <f t="array" ref="Q18:CC18">C18*ForwardToZero(OisBuckets,E18,F18,G18)</f>
        <v>0</v>
      </c>
      <c r="R18" s="460">
        <v>0</v>
      </c>
      <c r="S18" s="460">
        <v>0</v>
      </c>
      <c r="T18" s="460">
        <v>0</v>
      </c>
      <c r="U18" s="460">
        <v>0</v>
      </c>
      <c r="V18" s="460">
        <v>0</v>
      </c>
      <c r="W18" s="460">
        <v>0</v>
      </c>
      <c r="X18" s="460">
        <v>0</v>
      </c>
      <c r="Y18" s="460">
        <v>0</v>
      </c>
      <c r="Z18" s="460">
        <v>0</v>
      </c>
      <c r="AA18" s="460">
        <v>0</v>
      </c>
      <c r="AB18" s="460">
        <v>0</v>
      </c>
      <c r="AC18" s="460">
        <v>584.04986884384152</v>
      </c>
      <c r="AD18" s="460">
        <v>0</v>
      </c>
      <c r="AE18" s="460">
        <v>0</v>
      </c>
      <c r="AF18" s="460">
        <v>0</v>
      </c>
      <c r="AG18" s="460">
        <v>0</v>
      </c>
      <c r="AH18" s="460">
        <v>0</v>
      </c>
      <c r="AI18" s="460">
        <v>0</v>
      </c>
      <c r="AJ18" s="460">
        <v>0</v>
      </c>
      <c r="AK18" s="460">
        <v>0</v>
      </c>
      <c r="AL18" s="460">
        <v>0</v>
      </c>
      <c r="AM18" s="460">
        <v>0</v>
      </c>
      <c r="AN18" s="460">
        <v>0</v>
      </c>
      <c r="AO18" s="460">
        <v>0</v>
      </c>
      <c r="AP18" s="460">
        <v>0</v>
      </c>
      <c r="AQ18" s="460">
        <v>0</v>
      </c>
      <c r="AR18" s="460">
        <v>0</v>
      </c>
      <c r="AS18" s="460">
        <v>0</v>
      </c>
      <c r="AT18" s="460">
        <v>0</v>
      </c>
      <c r="AU18" s="460">
        <v>0</v>
      </c>
      <c r="AV18" s="460">
        <v>0</v>
      </c>
      <c r="AW18" s="460">
        <v>0</v>
      </c>
      <c r="AX18" s="460">
        <v>0</v>
      </c>
      <c r="AY18" s="460">
        <v>0</v>
      </c>
      <c r="AZ18" s="460">
        <v>0</v>
      </c>
      <c r="BA18" s="460">
        <v>0</v>
      </c>
      <c r="BB18" s="460">
        <v>0</v>
      </c>
      <c r="BC18" s="460">
        <v>0</v>
      </c>
      <c r="BD18" s="460">
        <v>0</v>
      </c>
      <c r="BE18" s="460">
        <v>0</v>
      </c>
      <c r="BF18" s="460">
        <v>0</v>
      </c>
      <c r="BG18" s="460">
        <v>0</v>
      </c>
      <c r="BH18" s="460">
        <v>0</v>
      </c>
      <c r="BI18" s="460">
        <v>0</v>
      </c>
      <c r="BJ18" s="460">
        <v>0</v>
      </c>
      <c r="BK18" s="460">
        <v>0</v>
      </c>
      <c r="BL18" s="460">
        <v>0</v>
      </c>
      <c r="BM18" s="460">
        <v>0</v>
      </c>
      <c r="BN18" s="460">
        <v>0</v>
      </c>
      <c r="BO18" s="460">
        <v>0</v>
      </c>
      <c r="BP18" s="460">
        <v>0</v>
      </c>
      <c r="BQ18" s="460">
        <v>0</v>
      </c>
      <c r="BR18" s="460">
        <v>0</v>
      </c>
      <c r="BS18" s="460">
        <v>0</v>
      </c>
      <c r="BT18" s="460">
        <v>0</v>
      </c>
      <c r="BU18" s="460">
        <v>0</v>
      </c>
      <c r="BV18" s="460">
        <v>0</v>
      </c>
      <c r="BW18" s="460">
        <v>0</v>
      </c>
      <c r="BX18" s="460">
        <v>0</v>
      </c>
      <c r="BY18" s="460">
        <v>0</v>
      </c>
      <c r="BZ18" s="460">
        <v>0</v>
      </c>
      <c r="CA18" s="460" t="e">
        <v>#N/A</v>
      </c>
      <c r="CB18" s="460" t="e">
        <v>#N/A</v>
      </c>
      <c r="CC18" s="460" t="e">
        <v>#N/A</v>
      </c>
    </row>
    <row r="19" spans="1:81" ht="12.75" customHeight="1">
      <c r="A19" s="105">
        <v>14</v>
      </c>
      <c r="B19" s="112" t="str">
        <v>8M</v>
      </c>
      <c r="C19" s="465">
        <f>'eur disaggregated'!AN30</f>
        <v>-584.66164206244855</v>
      </c>
      <c r="D19" s="111" t="str">
        <f t="shared" si="2"/>
        <v>8M</v>
      </c>
      <c r="E19" s="441">
        <f t="shared" si="4"/>
        <v>42696</v>
      </c>
      <c r="F19" s="441">
        <f>_xll.qlCalendarAdvance(Calendar,E19,D19)</f>
        <v>42940</v>
      </c>
      <c r="G19" s="462">
        <f t="shared" si="3"/>
        <v>-3.7199999999999998E-3</v>
      </c>
      <c r="H19" s="453">
        <v>-0.372</v>
      </c>
      <c r="I19" s="107" t="str">
        <v>8M</v>
      </c>
      <c r="J19" s="106" t="str">
        <f t="shared" si="0"/>
        <v>8M</v>
      </c>
      <c r="K19" s="448">
        <f>_xll.qlCalendarAdvance("TARGET",$C$1,J19)</f>
        <v>42940</v>
      </c>
      <c r="M19" s="99" t="str">
        <v>8M</v>
      </c>
      <c r="N19" s="465">
        <v>-584.66164206244855</v>
      </c>
      <c r="P19" s="106" t="b">
        <f t="shared" si="1"/>
        <v>0</v>
      </c>
      <c r="Q19" s="460">
        <f t="array" ref="Q19:CC19">C19*ForwardToZero(OisBuckets,E19,F19,G19)</f>
        <v>0</v>
      </c>
      <c r="R19" s="460">
        <v>0</v>
      </c>
      <c r="S19" s="460">
        <v>0</v>
      </c>
      <c r="T19" s="460">
        <v>0</v>
      </c>
      <c r="U19" s="460">
        <v>0</v>
      </c>
      <c r="V19" s="460">
        <v>0</v>
      </c>
      <c r="W19" s="460">
        <v>0</v>
      </c>
      <c r="X19" s="460">
        <v>0</v>
      </c>
      <c r="Y19" s="460">
        <v>0</v>
      </c>
      <c r="Z19" s="460">
        <v>0</v>
      </c>
      <c r="AA19" s="460">
        <v>0</v>
      </c>
      <c r="AB19" s="460">
        <v>0</v>
      </c>
      <c r="AC19" s="460">
        <v>0</v>
      </c>
      <c r="AD19" s="460">
        <v>-584.66164206244855</v>
      </c>
      <c r="AE19" s="460">
        <v>0</v>
      </c>
      <c r="AF19" s="460">
        <v>0</v>
      </c>
      <c r="AG19" s="460">
        <v>0</v>
      </c>
      <c r="AH19" s="460">
        <v>0</v>
      </c>
      <c r="AI19" s="460">
        <v>0</v>
      </c>
      <c r="AJ19" s="460">
        <v>0</v>
      </c>
      <c r="AK19" s="460">
        <v>0</v>
      </c>
      <c r="AL19" s="460">
        <v>0</v>
      </c>
      <c r="AM19" s="460">
        <v>0</v>
      </c>
      <c r="AN19" s="460">
        <v>0</v>
      </c>
      <c r="AO19" s="460">
        <v>0</v>
      </c>
      <c r="AP19" s="460">
        <v>0</v>
      </c>
      <c r="AQ19" s="460">
        <v>0</v>
      </c>
      <c r="AR19" s="460">
        <v>0</v>
      </c>
      <c r="AS19" s="460">
        <v>0</v>
      </c>
      <c r="AT19" s="460">
        <v>0</v>
      </c>
      <c r="AU19" s="460">
        <v>0</v>
      </c>
      <c r="AV19" s="460">
        <v>0</v>
      </c>
      <c r="AW19" s="460">
        <v>0</v>
      </c>
      <c r="AX19" s="460">
        <v>0</v>
      </c>
      <c r="AY19" s="460">
        <v>0</v>
      </c>
      <c r="AZ19" s="460">
        <v>0</v>
      </c>
      <c r="BA19" s="460">
        <v>0</v>
      </c>
      <c r="BB19" s="460">
        <v>0</v>
      </c>
      <c r="BC19" s="460">
        <v>0</v>
      </c>
      <c r="BD19" s="460">
        <v>0</v>
      </c>
      <c r="BE19" s="460">
        <v>0</v>
      </c>
      <c r="BF19" s="460">
        <v>0</v>
      </c>
      <c r="BG19" s="460">
        <v>0</v>
      </c>
      <c r="BH19" s="460">
        <v>0</v>
      </c>
      <c r="BI19" s="460">
        <v>0</v>
      </c>
      <c r="BJ19" s="460">
        <v>0</v>
      </c>
      <c r="BK19" s="460">
        <v>0</v>
      </c>
      <c r="BL19" s="460">
        <v>0</v>
      </c>
      <c r="BM19" s="460">
        <v>0</v>
      </c>
      <c r="BN19" s="460">
        <v>0</v>
      </c>
      <c r="BO19" s="460">
        <v>0</v>
      </c>
      <c r="BP19" s="460">
        <v>0</v>
      </c>
      <c r="BQ19" s="460">
        <v>0</v>
      </c>
      <c r="BR19" s="460">
        <v>0</v>
      </c>
      <c r="BS19" s="460">
        <v>0</v>
      </c>
      <c r="BT19" s="460">
        <v>0</v>
      </c>
      <c r="BU19" s="460">
        <v>0</v>
      </c>
      <c r="BV19" s="460">
        <v>0</v>
      </c>
      <c r="BW19" s="460">
        <v>0</v>
      </c>
      <c r="BX19" s="460">
        <v>0</v>
      </c>
      <c r="BY19" s="460">
        <v>0</v>
      </c>
      <c r="BZ19" s="460">
        <v>0</v>
      </c>
      <c r="CA19" s="460" t="e">
        <v>#N/A</v>
      </c>
      <c r="CB19" s="460" t="e">
        <v>#N/A</v>
      </c>
      <c r="CC19" s="460" t="e">
        <v>#N/A</v>
      </c>
    </row>
    <row r="20" spans="1:81" ht="12.75" customHeight="1">
      <c r="A20" s="105">
        <v>15</v>
      </c>
      <c r="B20" s="112" t="str">
        <v>9M</v>
      </c>
      <c r="C20" s="465">
        <f>'eur disaggregated'!AN31</f>
        <v>383.44889431023933</v>
      </c>
      <c r="D20" s="111" t="str">
        <f t="shared" si="2"/>
        <v>9M</v>
      </c>
      <c r="E20" s="441">
        <f t="shared" si="4"/>
        <v>42696</v>
      </c>
      <c r="F20" s="441">
        <f>_xll.qlCalendarAdvance(Calendar,E20,D20)</f>
        <v>42969</v>
      </c>
      <c r="G20" s="462">
        <f t="shared" si="3"/>
        <v>-3.7199999999999998E-3</v>
      </c>
      <c r="H20" s="453">
        <v>-0.372</v>
      </c>
      <c r="I20" s="107" t="str">
        <v>9M</v>
      </c>
      <c r="J20" s="106" t="str">
        <f t="shared" si="0"/>
        <v>9M</v>
      </c>
      <c r="K20" s="448">
        <f>_xll.qlCalendarAdvance("TARGET",$C$1,J20)</f>
        <v>42969</v>
      </c>
      <c r="M20" s="99" t="str">
        <v>9M</v>
      </c>
      <c r="N20" s="465">
        <v>383.44889431023933</v>
      </c>
      <c r="P20" s="106" t="b">
        <f t="shared" si="1"/>
        <v>0</v>
      </c>
      <c r="Q20" s="460">
        <f t="array" ref="Q20:CC20">C20*ForwardToZero(OisBuckets,E20,F20,G20)</f>
        <v>0</v>
      </c>
      <c r="R20" s="460">
        <v>0</v>
      </c>
      <c r="S20" s="460">
        <v>0</v>
      </c>
      <c r="T20" s="460">
        <v>0</v>
      </c>
      <c r="U20" s="460">
        <v>0</v>
      </c>
      <c r="V20" s="460">
        <v>0</v>
      </c>
      <c r="W20" s="460">
        <v>0</v>
      </c>
      <c r="X20" s="460">
        <v>0</v>
      </c>
      <c r="Y20" s="460">
        <v>0</v>
      </c>
      <c r="Z20" s="460">
        <v>0</v>
      </c>
      <c r="AA20" s="460">
        <v>0</v>
      </c>
      <c r="AB20" s="460">
        <v>0</v>
      </c>
      <c r="AC20" s="460">
        <v>0</v>
      </c>
      <c r="AD20" s="460">
        <v>0</v>
      </c>
      <c r="AE20" s="460">
        <v>383.44889431023933</v>
      </c>
      <c r="AF20" s="460">
        <v>0</v>
      </c>
      <c r="AG20" s="460">
        <v>0</v>
      </c>
      <c r="AH20" s="460">
        <v>0</v>
      </c>
      <c r="AI20" s="460">
        <v>0</v>
      </c>
      <c r="AJ20" s="460">
        <v>0</v>
      </c>
      <c r="AK20" s="460">
        <v>0</v>
      </c>
      <c r="AL20" s="460">
        <v>0</v>
      </c>
      <c r="AM20" s="460">
        <v>0</v>
      </c>
      <c r="AN20" s="460">
        <v>0</v>
      </c>
      <c r="AO20" s="460">
        <v>0</v>
      </c>
      <c r="AP20" s="460">
        <v>0</v>
      </c>
      <c r="AQ20" s="460">
        <v>0</v>
      </c>
      <c r="AR20" s="460">
        <v>0</v>
      </c>
      <c r="AS20" s="460">
        <v>0</v>
      </c>
      <c r="AT20" s="460">
        <v>0</v>
      </c>
      <c r="AU20" s="460">
        <v>0</v>
      </c>
      <c r="AV20" s="460">
        <v>0</v>
      </c>
      <c r="AW20" s="460">
        <v>0</v>
      </c>
      <c r="AX20" s="460">
        <v>0</v>
      </c>
      <c r="AY20" s="460">
        <v>0</v>
      </c>
      <c r="AZ20" s="460">
        <v>0</v>
      </c>
      <c r="BA20" s="460">
        <v>0</v>
      </c>
      <c r="BB20" s="460">
        <v>0</v>
      </c>
      <c r="BC20" s="460">
        <v>0</v>
      </c>
      <c r="BD20" s="460">
        <v>0</v>
      </c>
      <c r="BE20" s="460">
        <v>0</v>
      </c>
      <c r="BF20" s="460">
        <v>0</v>
      </c>
      <c r="BG20" s="460">
        <v>0</v>
      </c>
      <c r="BH20" s="460">
        <v>0</v>
      </c>
      <c r="BI20" s="460">
        <v>0</v>
      </c>
      <c r="BJ20" s="460">
        <v>0</v>
      </c>
      <c r="BK20" s="460">
        <v>0</v>
      </c>
      <c r="BL20" s="460">
        <v>0</v>
      </c>
      <c r="BM20" s="460">
        <v>0</v>
      </c>
      <c r="BN20" s="460">
        <v>0</v>
      </c>
      <c r="BO20" s="460">
        <v>0</v>
      </c>
      <c r="BP20" s="460">
        <v>0</v>
      </c>
      <c r="BQ20" s="460">
        <v>0</v>
      </c>
      <c r="BR20" s="460">
        <v>0</v>
      </c>
      <c r="BS20" s="460">
        <v>0</v>
      </c>
      <c r="BT20" s="460">
        <v>0</v>
      </c>
      <c r="BU20" s="460">
        <v>0</v>
      </c>
      <c r="BV20" s="460">
        <v>0</v>
      </c>
      <c r="BW20" s="460">
        <v>0</v>
      </c>
      <c r="BX20" s="460">
        <v>0</v>
      </c>
      <c r="BY20" s="460">
        <v>0</v>
      </c>
      <c r="BZ20" s="460">
        <v>0</v>
      </c>
      <c r="CA20" s="460" t="e">
        <v>#N/A</v>
      </c>
      <c r="CB20" s="460" t="e">
        <v>#N/A</v>
      </c>
      <c r="CC20" s="460" t="e">
        <v>#N/A</v>
      </c>
    </row>
    <row r="21" spans="1:81" ht="12.75" customHeight="1">
      <c r="A21" s="105">
        <v>16</v>
      </c>
      <c r="B21" s="112" t="str">
        <v>10M</v>
      </c>
      <c r="C21" s="465">
        <f>'eur disaggregated'!AN32</f>
        <v>347.0497919571913</v>
      </c>
      <c r="D21" s="111" t="str">
        <f t="shared" si="2"/>
        <v>10M</v>
      </c>
      <c r="E21" s="441">
        <f t="shared" si="4"/>
        <v>42696</v>
      </c>
      <c r="F21" s="441">
        <f>_xll.qlCalendarAdvance(Calendar,E21,D21)</f>
        <v>43000</v>
      </c>
      <c r="G21" s="462">
        <f t="shared" si="3"/>
        <v>-3.7099999999999998E-3</v>
      </c>
      <c r="H21" s="453">
        <v>-0.371</v>
      </c>
      <c r="I21" s="107" t="str">
        <v>10M</v>
      </c>
      <c r="J21" s="106" t="str">
        <f t="shared" si="0"/>
        <v>10M</v>
      </c>
      <c r="K21" s="448">
        <f>_xll.qlCalendarAdvance("TARGET",$C$1,J21)</f>
        <v>43000</v>
      </c>
      <c r="M21" s="99" t="str">
        <v>10M</v>
      </c>
      <c r="N21" s="465">
        <v>347.0497919571913</v>
      </c>
      <c r="P21" s="106" t="b">
        <f t="shared" si="1"/>
        <v>0</v>
      </c>
      <c r="Q21" s="460">
        <f t="array" ref="Q21:CC21">C21*ForwardToZero(OisBuckets,E21,F21,G21)</f>
        <v>0</v>
      </c>
      <c r="R21" s="460">
        <v>0</v>
      </c>
      <c r="S21" s="460">
        <v>0</v>
      </c>
      <c r="T21" s="460">
        <v>0</v>
      </c>
      <c r="U21" s="460">
        <v>0</v>
      </c>
      <c r="V21" s="460">
        <v>0</v>
      </c>
      <c r="W21" s="460">
        <v>0</v>
      </c>
      <c r="X21" s="460">
        <v>0</v>
      </c>
      <c r="Y21" s="460">
        <v>0</v>
      </c>
      <c r="Z21" s="460">
        <v>0</v>
      </c>
      <c r="AA21" s="460">
        <v>0</v>
      </c>
      <c r="AB21" s="460">
        <v>0</v>
      </c>
      <c r="AC21" s="460">
        <v>0</v>
      </c>
      <c r="AD21" s="460">
        <v>0</v>
      </c>
      <c r="AE21" s="460">
        <v>0</v>
      </c>
      <c r="AF21" s="460">
        <v>347.0497919571913</v>
      </c>
      <c r="AG21" s="460">
        <v>0</v>
      </c>
      <c r="AH21" s="460">
        <v>0</v>
      </c>
      <c r="AI21" s="460">
        <v>0</v>
      </c>
      <c r="AJ21" s="460">
        <v>0</v>
      </c>
      <c r="AK21" s="460">
        <v>0</v>
      </c>
      <c r="AL21" s="460">
        <v>0</v>
      </c>
      <c r="AM21" s="460">
        <v>0</v>
      </c>
      <c r="AN21" s="460">
        <v>0</v>
      </c>
      <c r="AO21" s="460">
        <v>0</v>
      </c>
      <c r="AP21" s="460">
        <v>0</v>
      </c>
      <c r="AQ21" s="460">
        <v>0</v>
      </c>
      <c r="AR21" s="460">
        <v>0</v>
      </c>
      <c r="AS21" s="460">
        <v>0</v>
      </c>
      <c r="AT21" s="460">
        <v>0</v>
      </c>
      <c r="AU21" s="460">
        <v>0</v>
      </c>
      <c r="AV21" s="460">
        <v>0</v>
      </c>
      <c r="AW21" s="460">
        <v>0</v>
      </c>
      <c r="AX21" s="460">
        <v>0</v>
      </c>
      <c r="AY21" s="460">
        <v>0</v>
      </c>
      <c r="AZ21" s="460">
        <v>0</v>
      </c>
      <c r="BA21" s="460">
        <v>0</v>
      </c>
      <c r="BB21" s="460">
        <v>0</v>
      </c>
      <c r="BC21" s="460">
        <v>0</v>
      </c>
      <c r="BD21" s="460">
        <v>0</v>
      </c>
      <c r="BE21" s="460">
        <v>0</v>
      </c>
      <c r="BF21" s="460">
        <v>0</v>
      </c>
      <c r="BG21" s="460">
        <v>0</v>
      </c>
      <c r="BH21" s="460">
        <v>0</v>
      </c>
      <c r="BI21" s="460">
        <v>0</v>
      </c>
      <c r="BJ21" s="460">
        <v>0</v>
      </c>
      <c r="BK21" s="460">
        <v>0</v>
      </c>
      <c r="BL21" s="460">
        <v>0</v>
      </c>
      <c r="BM21" s="460">
        <v>0</v>
      </c>
      <c r="BN21" s="460">
        <v>0</v>
      </c>
      <c r="BO21" s="460">
        <v>0</v>
      </c>
      <c r="BP21" s="460">
        <v>0</v>
      </c>
      <c r="BQ21" s="460">
        <v>0</v>
      </c>
      <c r="BR21" s="460">
        <v>0</v>
      </c>
      <c r="BS21" s="460">
        <v>0</v>
      </c>
      <c r="BT21" s="460">
        <v>0</v>
      </c>
      <c r="BU21" s="460">
        <v>0</v>
      </c>
      <c r="BV21" s="460">
        <v>0</v>
      </c>
      <c r="BW21" s="460">
        <v>0</v>
      </c>
      <c r="BX21" s="460">
        <v>0</v>
      </c>
      <c r="BY21" s="460">
        <v>0</v>
      </c>
      <c r="BZ21" s="460">
        <v>0</v>
      </c>
      <c r="CA21" s="460" t="e">
        <v>#N/A</v>
      </c>
      <c r="CB21" s="460" t="e">
        <v>#N/A</v>
      </c>
      <c r="CC21" s="460" t="e">
        <v>#N/A</v>
      </c>
    </row>
    <row r="22" spans="1:81" ht="12.75" customHeight="1">
      <c r="A22" s="105">
        <v>17</v>
      </c>
      <c r="B22" s="112" t="str">
        <v>11M</v>
      </c>
      <c r="C22" s="465">
        <f>'eur disaggregated'!AN33</f>
        <v>-441.62067091143041</v>
      </c>
      <c r="D22" s="111" t="str">
        <f t="shared" si="2"/>
        <v>11M</v>
      </c>
      <c r="E22" s="441">
        <f t="shared" si="4"/>
        <v>42696</v>
      </c>
      <c r="F22" s="441">
        <f>_xll.qlCalendarAdvance(Calendar,E22,D22)</f>
        <v>43031</v>
      </c>
      <c r="G22" s="462">
        <f t="shared" si="3"/>
        <v>-3.7000000000000002E-3</v>
      </c>
      <c r="H22" s="453">
        <v>-0.37</v>
      </c>
      <c r="I22" s="107" t="str">
        <v>11M</v>
      </c>
      <c r="J22" s="106" t="str">
        <f>IF(LEN(I22)&gt;0,IF((MID(I22,4,1)=" "),I22,IF((LEN(I22)=8),DATE("20" &amp; RIGHT(I22,2),MID(I22,4,2),LEFT(I22,2)),SimplifyTenor(I22))),"")</f>
        <v>11M</v>
      </c>
      <c r="K22" s="448">
        <f>_xll.qlCalendarAdvance("TARGET",$C$1,J22)</f>
        <v>43031</v>
      </c>
      <c r="M22" s="99" t="str">
        <v>11M</v>
      </c>
      <c r="N22" s="465">
        <v>-441.62067091143041</v>
      </c>
      <c r="P22" s="106" t="b">
        <f t="shared" si="1"/>
        <v>0</v>
      </c>
      <c r="Q22" s="460">
        <f t="array" ref="Q22:CC22">C22*ForwardToZero(OisBuckets,E22,F22,G22)</f>
        <v>0</v>
      </c>
      <c r="R22" s="460">
        <v>0</v>
      </c>
      <c r="S22" s="460">
        <v>0</v>
      </c>
      <c r="T22" s="460">
        <v>0</v>
      </c>
      <c r="U22" s="460">
        <v>0</v>
      </c>
      <c r="V22" s="460">
        <v>0</v>
      </c>
      <c r="W22" s="460">
        <v>0</v>
      </c>
      <c r="X22" s="460">
        <v>0</v>
      </c>
      <c r="Y22" s="460">
        <v>0</v>
      </c>
      <c r="Z22" s="460">
        <v>0</v>
      </c>
      <c r="AA22" s="460">
        <v>0</v>
      </c>
      <c r="AB22" s="460">
        <v>0</v>
      </c>
      <c r="AC22" s="460">
        <v>0</v>
      </c>
      <c r="AD22" s="460">
        <v>0</v>
      </c>
      <c r="AE22" s="460">
        <v>0</v>
      </c>
      <c r="AF22" s="460">
        <v>0</v>
      </c>
      <c r="AG22" s="460">
        <v>-441.62067091143041</v>
      </c>
      <c r="AH22" s="460">
        <v>0</v>
      </c>
      <c r="AI22" s="460">
        <v>0</v>
      </c>
      <c r="AJ22" s="460">
        <v>0</v>
      </c>
      <c r="AK22" s="460">
        <v>0</v>
      </c>
      <c r="AL22" s="460">
        <v>0</v>
      </c>
      <c r="AM22" s="460">
        <v>0</v>
      </c>
      <c r="AN22" s="460">
        <v>0</v>
      </c>
      <c r="AO22" s="460">
        <v>0</v>
      </c>
      <c r="AP22" s="460">
        <v>0</v>
      </c>
      <c r="AQ22" s="460">
        <v>0</v>
      </c>
      <c r="AR22" s="460">
        <v>0</v>
      </c>
      <c r="AS22" s="460">
        <v>0</v>
      </c>
      <c r="AT22" s="460">
        <v>0</v>
      </c>
      <c r="AU22" s="460">
        <v>0</v>
      </c>
      <c r="AV22" s="460">
        <v>0</v>
      </c>
      <c r="AW22" s="460">
        <v>0</v>
      </c>
      <c r="AX22" s="460">
        <v>0</v>
      </c>
      <c r="AY22" s="460">
        <v>0</v>
      </c>
      <c r="AZ22" s="460">
        <v>0</v>
      </c>
      <c r="BA22" s="460">
        <v>0</v>
      </c>
      <c r="BB22" s="460">
        <v>0</v>
      </c>
      <c r="BC22" s="460">
        <v>0</v>
      </c>
      <c r="BD22" s="460">
        <v>0</v>
      </c>
      <c r="BE22" s="460">
        <v>0</v>
      </c>
      <c r="BF22" s="460">
        <v>0</v>
      </c>
      <c r="BG22" s="460">
        <v>0</v>
      </c>
      <c r="BH22" s="460">
        <v>0</v>
      </c>
      <c r="BI22" s="460">
        <v>0</v>
      </c>
      <c r="BJ22" s="460">
        <v>0</v>
      </c>
      <c r="BK22" s="460">
        <v>0</v>
      </c>
      <c r="BL22" s="460">
        <v>0</v>
      </c>
      <c r="BM22" s="460">
        <v>0</v>
      </c>
      <c r="BN22" s="460">
        <v>0</v>
      </c>
      <c r="BO22" s="460">
        <v>0</v>
      </c>
      <c r="BP22" s="460">
        <v>0</v>
      </c>
      <c r="BQ22" s="460">
        <v>0</v>
      </c>
      <c r="BR22" s="460">
        <v>0</v>
      </c>
      <c r="BS22" s="460">
        <v>0</v>
      </c>
      <c r="BT22" s="460">
        <v>0</v>
      </c>
      <c r="BU22" s="460">
        <v>0</v>
      </c>
      <c r="BV22" s="460">
        <v>0</v>
      </c>
      <c r="BW22" s="460">
        <v>0</v>
      </c>
      <c r="BX22" s="460">
        <v>0</v>
      </c>
      <c r="BY22" s="460">
        <v>0</v>
      </c>
      <c r="BZ22" s="460">
        <v>0</v>
      </c>
      <c r="CA22" s="460" t="e">
        <v>#N/A</v>
      </c>
      <c r="CB22" s="460" t="e">
        <v>#N/A</v>
      </c>
      <c r="CC22" s="460" t="e">
        <v>#N/A</v>
      </c>
    </row>
    <row r="23" spans="1:81" ht="12.75" customHeight="1">
      <c r="A23" s="105">
        <v>18</v>
      </c>
      <c r="B23" s="112" t="str">
        <v>12M</v>
      </c>
      <c r="C23" s="465">
        <f>'eur disaggregated'!AN34</f>
        <v>323.87967676090528</v>
      </c>
      <c r="D23" s="111" t="str">
        <f t="shared" si="2"/>
        <v>12M</v>
      </c>
      <c r="E23" s="441">
        <f t="shared" si="4"/>
        <v>42696</v>
      </c>
      <c r="F23" s="441">
        <f>_xll.qlCalendarAdvance(Calendar,E23,D23)</f>
        <v>43061</v>
      </c>
      <c r="G23" s="462">
        <f t="shared" si="3"/>
        <v>-3.6900000000000001E-3</v>
      </c>
      <c r="H23" s="453">
        <v>-0.36899999999999999</v>
      </c>
      <c r="I23" s="107" t="str">
        <v>1Y</v>
      </c>
      <c r="J23" s="106" t="str">
        <f t="shared" ref="J23:J68" si="5">IF(LEN(I23)&gt;0,IF((MID(I23,4,1)=" "),I23,IF((LEN(I23)=8),DATE("20" &amp; RIGHT(I23,2),MID(I23,4,2),LEFT(I23,2)),SimplifyTenor(I23))),"")</f>
        <v>12M</v>
      </c>
      <c r="K23" s="448">
        <f>_xll.qlCalendarAdvance("TARGET",$C$1,J23)</f>
        <v>43061</v>
      </c>
      <c r="M23" s="99" t="str">
        <v>1Y</v>
      </c>
      <c r="N23" s="465">
        <v>323.87967676090528</v>
      </c>
      <c r="P23" s="106" t="b">
        <f t="shared" si="1"/>
        <v>0</v>
      </c>
      <c r="Q23" s="460">
        <f t="array" ref="Q23:CC23">C23*ForwardToZero(OisBuckets,E23,F23,G23)</f>
        <v>0</v>
      </c>
      <c r="R23" s="460">
        <v>0</v>
      </c>
      <c r="S23" s="460">
        <v>0</v>
      </c>
      <c r="T23" s="460">
        <v>0</v>
      </c>
      <c r="U23" s="460">
        <v>0</v>
      </c>
      <c r="V23" s="460">
        <v>0</v>
      </c>
      <c r="W23" s="460">
        <v>0</v>
      </c>
      <c r="X23" s="460">
        <v>0</v>
      </c>
      <c r="Y23" s="460">
        <v>0</v>
      </c>
      <c r="Z23" s="460">
        <v>0</v>
      </c>
      <c r="AA23" s="460">
        <v>0</v>
      </c>
      <c r="AB23" s="460">
        <v>0</v>
      </c>
      <c r="AC23" s="460">
        <v>0</v>
      </c>
      <c r="AD23" s="460">
        <v>0</v>
      </c>
      <c r="AE23" s="460">
        <v>0</v>
      </c>
      <c r="AF23" s="460">
        <v>0</v>
      </c>
      <c r="AG23" s="460">
        <v>0</v>
      </c>
      <c r="AH23" s="460">
        <v>323.87967676090528</v>
      </c>
      <c r="AI23" s="460">
        <v>0</v>
      </c>
      <c r="AJ23" s="460">
        <v>0</v>
      </c>
      <c r="AK23" s="460">
        <v>0</v>
      </c>
      <c r="AL23" s="460">
        <v>0</v>
      </c>
      <c r="AM23" s="460">
        <v>0</v>
      </c>
      <c r="AN23" s="460">
        <v>0</v>
      </c>
      <c r="AO23" s="460">
        <v>0</v>
      </c>
      <c r="AP23" s="460">
        <v>0</v>
      </c>
      <c r="AQ23" s="460">
        <v>0</v>
      </c>
      <c r="AR23" s="460">
        <v>0</v>
      </c>
      <c r="AS23" s="460">
        <v>0</v>
      </c>
      <c r="AT23" s="460">
        <v>0</v>
      </c>
      <c r="AU23" s="460">
        <v>0</v>
      </c>
      <c r="AV23" s="460">
        <v>0</v>
      </c>
      <c r="AW23" s="460">
        <v>0</v>
      </c>
      <c r="AX23" s="460">
        <v>0</v>
      </c>
      <c r="AY23" s="460">
        <v>0</v>
      </c>
      <c r="AZ23" s="460">
        <v>0</v>
      </c>
      <c r="BA23" s="460">
        <v>0</v>
      </c>
      <c r="BB23" s="460">
        <v>0</v>
      </c>
      <c r="BC23" s="460">
        <v>0</v>
      </c>
      <c r="BD23" s="460">
        <v>0</v>
      </c>
      <c r="BE23" s="460">
        <v>0</v>
      </c>
      <c r="BF23" s="460">
        <v>0</v>
      </c>
      <c r="BG23" s="460">
        <v>0</v>
      </c>
      <c r="BH23" s="460">
        <v>0</v>
      </c>
      <c r="BI23" s="460">
        <v>0</v>
      </c>
      <c r="BJ23" s="460">
        <v>0</v>
      </c>
      <c r="BK23" s="460">
        <v>0</v>
      </c>
      <c r="BL23" s="460">
        <v>0</v>
      </c>
      <c r="BM23" s="460">
        <v>0</v>
      </c>
      <c r="BN23" s="460">
        <v>0</v>
      </c>
      <c r="BO23" s="460">
        <v>0</v>
      </c>
      <c r="BP23" s="460">
        <v>0</v>
      </c>
      <c r="BQ23" s="460">
        <v>0</v>
      </c>
      <c r="BR23" s="460">
        <v>0</v>
      </c>
      <c r="BS23" s="460">
        <v>0</v>
      </c>
      <c r="BT23" s="460">
        <v>0</v>
      </c>
      <c r="BU23" s="460">
        <v>0</v>
      </c>
      <c r="BV23" s="460">
        <v>0</v>
      </c>
      <c r="BW23" s="460">
        <v>0</v>
      </c>
      <c r="BX23" s="460">
        <v>0</v>
      </c>
      <c r="BY23" s="460">
        <v>0</v>
      </c>
      <c r="BZ23" s="460">
        <v>0</v>
      </c>
      <c r="CA23" s="460" t="e">
        <v>#N/A</v>
      </c>
      <c r="CB23" s="460" t="e">
        <v>#N/A</v>
      </c>
      <c r="CC23" s="460" t="e">
        <v>#N/A</v>
      </c>
    </row>
    <row r="24" spans="1:81" ht="12.75" customHeight="1">
      <c r="A24" s="105">
        <v>19</v>
      </c>
      <c r="B24" s="112" t="str">
        <v>15M</v>
      </c>
      <c r="C24" s="465">
        <f>'eur disaggregated'!AN35</f>
        <v>133.0286518248725</v>
      </c>
      <c r="D24" s="111" t="str">
        <f t="shared" si="2"/>
        <v>15M</v>
      </c>
      <c r="E24" s="441">
        <f t="shared" si="4"/>
        <v>42696</v>
      </c>
      <c r="F24" s="441">
        <f>_xll.qlCalendarAdvance(Calendar,E24,D24)</f>
        <v>43153</v>
      </c>
      <c r="G24" s="462">
        <f t="shared" si="3"/>
        <v>-3.7106719100000003E-3</v>
      </c>
      <c r="H24" s="453">
        <v>-0.37106719100000002</v>
      </c>
      <c r="I24" s="107" t="str">
        <v>13M</v>
      </c>
      <c r="J24" s="106" t="str">
        <f t="shared" si="5"/>
        <v>13M</v>
      </c>
      <c r="K24" s="448">
        <f>_xll.qlCalendarAdvance("TARGET",$C$1,J24)</f>
        <v>43091</v>
      </c>
      <c r="M24" s="99" t="str">
        <v>13M</v>
      </c>
      <c r="N24" s="465">
        <v>0</v>
      </c>
      <c r="P24" s="106" t="b">
        <f t="shared" si="1"/>
        <v>0</v>
      </c>
      <c r="Q24" s="460">
        <f t="array" ref="Q24:CC24">C24*ForwardToZero(OisBuckets,E24,F24,G24)</f>
        <v>0</v>
      </c>
      <c r="R24" s="460">
        <v>0</v>
      </c>
      <c r="S24" s="460">
        <v>0</v>
      </c>
      <c r="T24" s="460">
        <v>0</v>
      </c>
      <c r="U24" s="460">
        <v>0</v>
      </c>
      <c r="V24" s="460">
        <v>0</v>
      </c>
      <c r="W24" s="460">
        <v>0</v>
      </c>
      <c r="X24" s="460">
        <v>0</v>
      </c>
      <c r="Y24" s="460">
        <v>0</v>
      </c>
      <c r="Z24" s="460">
        <v>0</v>
      </c>
      <c r="AA24" s="460">
        <v>0</v>
      </c>
      <c r="AB24" s="460">
        <v>0</v>
      </c>
      <c r="AC24" s="460">
        <v>0</v>
      </c>
      <c r="AD24" s="460">
        <v>0</v>
      </c>
      <c r="AE24" s="460">
        <v>0</v>
      </c>
      <c r="AF24" s="460">
        <v>0</v>
      </c>
      <c r="AG24" s="460">
        <v>0</v>
      </c>
      <c r="AH24" s="460">
        <v>0</v>
      </c>
      <c r="AI24" s="460">
        <v>0</v>
      </c>
      <c r="AJ24" s="460">
        <v>0</v>
      </c>
      <c r="AK24" s="460">
        <v>133.0286518248725</v>
      </c>
      <c r="AL24" s="460">
        <v>0</v>
      </c>
      <c r="AM24" s="460">
        <v>0</v>
      </c>
      <c r="AN24" s="460">
        <v>0</v>
      </c>
      <c r="AO24" s="460">
        <v>0</v>
      </c>
      <c r="AP24" s="460">
        <v>0</v>
      </c>
      <c r="AQ24" s="460">
        <v>0</v>
      </c>
      <c r="AR24" s="460">
        <v>0</v>
      </c>
      <c r="AS24" s="460">
        <v>0</v>
      </c>
      <c r="AT24" s="460">
        <v>0</v>
      </c>
      <c r="AU24" s="460">
        <v>0</v>
      </c>
      <c r="AV24" s="460">
        <v>0</v>
      </c>
      <c r="AW24" s="460">
        <v>0</v>
      </c>
      <c r="AX24" s="460">
        <v>0</v>
      </c>
      <c r="AY24" s="460">
        <v>0</v>
      </c>
      <c r="AZ24" s="460">
        <v>0</v>
      </c>
      <c r="BA24" s="460">
        <v>0</v>
      </c>
      <c r="BB24" s="460">
        <v>0</v>
      </c>
      <c r="BC24" s="460">
        <v>0</v>
      </c>
      <c r="BD24" s="460">
        <v>0</v>
      </c>
      <c r="BE24" s="460">
        <v>0</v>
      </c>
      <c r="BF24" s="460">
        <v>0</v>
      </c>
      <c r="BG24" s="460">
        <v>0</v>
      </c>
      <c r="BH24" s="460">
        <v>0</v>
      </c>
      <c r="BI24" s="460">
        <v>0</v>
      </c>
      <c r="BJ24" s="460">
        <v>0</v>
      </c>
      <c r="BK24" s="460">
        <v>0</v>
      </c>
      <c r="BL24" s="460">
        <v>0</v>
      </c>
      <c r="BM24" s="460">
        <v>0</v>
      </c>
      <c r="BN24" s="460">
        <v>0</v>
      </c>
      <c r="BO24" s="460">
        <v>0</v>
      </c>
      <c r="BP24" s="460">
        <v>0</v>
      </c>
      <c r="BQ24" s="460">
        <v>0</v>
      </c>
      <c r="BR24" s="460">
        <v>0</v>
      </c>
      <c r="BS24" s="460">
        <v>0</v>
      </c>
      <c r="BT24" s="460">
        <v>0</v>
      </c>
      <c r="BU24" s="460">
        <v>0</v>
      </c>
      <c r="BV24" s="460">
        <v>0</v>
      </c>
      <c r="BW24" s="460">
        <v>0</v>
      </c>
      <c r="BX24" s="460">
        <v>0</v>
      </c>
      <c r="BY24" s="460">
        <v>0</v>
      </c>
      <c r="BZ24" s="460">
        <v>0</v>
      </c>
      <c r="CA24" s="460" t="e">
        <v>#N/A</v>
      </c>
      <c r="CB24" s="460" t="e">
        <v>#N/A</v>
      </c>
      <c r="CC24" s="460" t="e">
        <v>#N/A</v>
      </c>
    </row>
    <row r="25" spans="1:81" ht="12.75" customHeight="1">
      <c r="A25" s="111">
        <v>20</v>
      </c>
      <c r="B25" s="458" t="str">
        <v>18M</v>
      </c>
      <c r="C25" s="465">
        <f>'eur disaggregated'!AN36</f>
        <v>284.08611277212839</v>
      </c>
      <c r="D25" s="111" t="str">
        <f>IF(AND(LEN(B25)&gt;3,RIGHT(B25:B25,2)="3"), "27M", IF(AND(LEN(B25)&gt;3,RIGHT(B25:B25,2)="6"), "30M", IF(AND(LEN(B25)&gt;3,RIGHT(B25:B25,2)="9"), "33M", IF(LEN(B25)&gt;0,SimplifyTenor(B25),""))))</f>
        <v>18M</v>
      </c>
      <c r="E25" s="441">
        <f t="shared" si="4"/>
        <v>42696</v>
      </c>
      <c r="F25" s="441">
        <f>_xll.qlCalendarAdvance(Calendar,E25,D25)</f>
        <v>43242</v>
      </c>
      <c r="G25" s="462">
        <f t="shared" si="3"/>
        <v>-3.6399232899999999E-3</v>
      </c>
      <c r="H25" s="453">
        <v>-0.363992329</v>
      </c>
      <c r="I25" s="107" t="str">
        <v>14M</v>
      </c>
      <c r="J25" s="441" t="str">
        <f t="shared" si="5"/>
        <v>14M</v>
      </c>
      <c r="K25" s="448">
        <f>_xll.qlCalendarAdvance("TARGET",$C$1,J25)</f>
        <v>43122</v>
      </c>
      <c r="L25" s="89"/>
      <c r="M25" s="99" t="str">
        <v>14M</v>
      </c>
      <c r="N25" s="465">
        <v>0</v>
      </c>
      <c r="P25" s="106" t="b">
        <f t="shared" si="1"/>
        <v>0</v>
      </c>
      <c r="Q25" s="460">
        <f t="array" ref="Q25:CC25">C25*ForwardToZero(OisBuckets,E25,F25,G25)</f>
        <v>0</v>
      </c>
      <c r="R25" s="460">
        <v>0</v>
      </c>
      <c r="S25" s="460">
        <v>0</v>
      </c>
      <c r="T25" s="460">
        <v>0</v>
      </c>
      <c r="U25" s="460">
        <v>0</v>
      </c>
      <c r="V25" s="460">
        <v>0</v>
      </c>
      <c r="W25" s="460">
        <v>0</v>
      </c>
      <c r="X25" s="460">
        <v>0</v>
      </c>
      <c r="Y25" s="460">
        <v>0</v>
      </c>
      <c r="Z25" s="460">
        <v>0</v>
      </c>
      <c r="AA25" s="460">
        <v>0</v>
      </c>
      <c r="AB25" s="460">
        <v>0</v>
      </c>
      <c r="AC25" s="460">
        <v>0</v>
      </c>
      <c r="AD25" s="460">
        <v>0</v>
      </c>
      <c r="AE25" s="460">
        <v>0</v>
      </c>
      <c r="AF25" s="460">
        <v>0</v>
      </c>
      <c r="AG25" s="460">
        <v>0</v>
      </c>
      <c r="AH25" s="460">
        <v>0</v>
      </c>
      <c r="AI25" s="460">
        <v>0</v>
      </c>
      <c r="AJ25" s="460">
        <v>0</v>
      </c>
      <c r="AK25" s="460">
        <v>0</v>
      </c>
      <c r="AL25" s="460">
        <v>0</v>
      </c>
      <c r="AM25" s="460">
        <v>0</v>
      </c>
      <c r="AN25" s="460">
        <v>284.08611277212839</v>
      </c>
      <c r="AO25" s="460">
        <v>0</v>
      </c>
      <c r="AP25" s="460">
        <v>0</v>
      </c>
      <c r="AQ25" s="460">
        <v>0</v>
      </c>
      <c r="AR25" s="460">
        <v>0</v>
      </c>
      <c r="AS25" s="460">
        <v>0</v>
      </c>
      <c r="AT25" s="460">
        <v>0</v>
      </c>
      <c r="AU25" s="460">
        <v>0</v>
      </c>
      <c r="AV25" s="460">
        <v>0</v>
      </c>
      <c r="AW25" s="460">
        <v>0</v>
      </c>
      <c r="AX25" s="460">
        <v>0</v>
      </c>
      <c r="AY25" s="460">
        <v>0</v>
      </c>
      <c r="AZ25" s="460">
        <v>0</v>
      </c>
      <c r="BA25" s="460">
        <v>0</v>
      </c>
      <c r="BB25" s="460">
        <v>0</v>
      </c>
      <c r="BC25" s="460">
        <v>0</v>
      </c>
      <c r="BD25" s="460">
        <v>0</v>
      </c>
      <c r="BE25" s="460">
        <v>0</v>
      </c>
      <c r="BF25" s="460">
        <v>0</v>
      </c>
      <c r="BG25" s="460">
        <v>0</v>
      </c>
      <c r="BH25" s="460">
        <v>0</v>
      </c>
      <c r="BI25" s="460">
        <v>0</v>
      </c>
      <c r="BJ25" s="460">
        <v>0</v>
      </c>
      <c r="BK25" s="460">
        <v>0</v>
      </c>
      <c r="BL25" s="460">
        <v>0</v>
      </c>
      <c r="BM25" s="460">
        <v>0</v>
      </c>
      <c r="BN25" s="460">
        <v>0</v>
      </c>
      <c r="BO25" s="460">
        <v>0</v>
      </c>
      <c r="BP25" s="460">
        <v>0</v>
      </c>
      <c r="BQ25" s="460">
        <v>0</v>
      </c>
      <c r="BR25" s="460">
        <v>0</v>
      </c>
      <c r="BS25" s="460">
        <v>0</v>
      </c>
      <c r="BT25" s="460">
        <v>0</v>
      </c>
      <c r="BU25" s="460">
        <v>0</v>
      </c>
      <c r="BV25" s="460">
        <v>0</v>
      </c>
      <c r="BW25" s="460">
        <v>0</v>
      </c>
      <c r="BX25" s="460">
        <v>0</v>
      </c>
      <c r="BY25" s="460">
        <v>0</v>
      </c>
      <c r="BZ25" s="460">
        <v>0</v>
      </c>
      <c r="CA25" s="460" t="e">
        <v>#N/A</v>
      </c>
      <c r="CB25" s="460" t="e">
        <v>#N/A</v>
      </c>
      <c r="CC25" s="460" t="e">
        <v>#N/A</v>
      </c>
    </row>
    <row r="26" spans="1:81" ht="12.75" customHeight="1">
      <c r="A26" s="111">
        <v>21</v>
      </c>
      <c r="B26" s="458" t="str">
        <v>21M</v>
      </c>
      <c r="C26" s="465">
        <f>'eur disaggregated'!AN37</f>
        <v>-275.05897917908737</v>
      </c>
      <c r="D26" s="111" t="str">
        <f t="shared" ref="D26:D68" si="6">IF(AND(LEN(B26)&gt;3,RIGHT(B26:B26,2)="3"), "27M", IF(AND(LEN(B26)&gt;3,RIGHT(B26:B26,2)="6"), "30M", IF(AND(LEN(B26)&gt;3,RIGHT(B26:B26,2)="9"), "33M", IF(LEN(B26)&gt;0,SimplifyTenor(B26),""))))</f>
        <v>21M</v>
      </c>
      <c r="E26" s="441">
        <f t="shared" si="4"/>
        <v>42696</v>
      </c>
      <c r="F26" s="441">
        <f>_xll.qlCalendarAdvance(Calendar,E26,D26)</f>
        <v>43334</v>
      </c>
      <c r="G26" s="462">
        <f t="shared" si="3"/>
        <v>-3.5653697200000002E-3</v>
      </c>
      <c r="H26" s="453">
        <v>-0.35653697200000001</v>
      </c>
      <c r="I26" s="107" t="str">
        <v>15M</v>
      </c>
      <c r="J26" s="441" t="str">
        <f t="shared" si="5"/>
        <v>15M</v>
      </c>
      <c r="K26" s="448">
        <f>_xll.qlCalendarAdvance("TARGET",$C$1,J26)</f>
        <v>43153</v>
      </c>
      <c r="L26" s="89"/>
      <c r="M26" s="99" t="str">
        <v>15M</v>
      </c>
      <c r="N26" s="465">
        <v>133.0286518248725</v>
      </c>
      <c r="P26" s="106" t="b">
        <f t="shared" si="1"/>
        <v>0</v>
      </c>
      <c r="Q26" s="460">
        <f t="array" ref="Q26:CC26">C26*ForwardToZero(OisBuckets,E26,F26,G26)</f>
        <v>0</v>
      </c>
      <c r="R26" s="460">
        <v>0</v>
      </c>
      <c r="S26" s="460">
        <v>0</v>
      </c>
      <c r="T26" s="460">
        <v>0</v>
      </c>
      <c r="U26" s="460">
        <v>0</v>
      </c>
      <c r="V26" s="460">
        <v>0</v>
      </c>
      <c r="W26" s="460">
        <v>0</v>
      </c>
      <c r="X26" s="460">
        <v>0</v>
      </c>
      <c r="Y26" s="460">
        <v>0</v>
      </c>
      <c r="Z26" s="460">
        <v>0</v>
      </c>
      <c r="AA26" s="460">
        <v>0</v>
      </c>
      <c r="AB26" s="460">
        <v>0</v>
      </c>
      <c r="AC26" s="460">
        <v>0</v>
      </c>
      <c r="AD26" s="460">
        <v>0</v>
      </c>
      <c r="AE26" s="460">
        <v>0</v>
      </c>
      <c r="AF26" s="460">
        <v>0</v>
      </c>
      <c r="AG26" s="460">
        <v>0</v>
      </c>
      <c r="AH26" s="460">
        <v>0</v>
      </c>
      <c r="AI26" s="460">
        <v>0</v>
      </c>
      <c r="AJ26" s="460">
        <v>0</v>
      </c>
      <c r="AK26" s="460">
        <v>0</v>
      </c>
      <c r="AL26" s="460">
        <v>0</v>
      </c>
      <c r="AM26" s="460">
        <v>0</v>
      </c>
      <c r="AN26" s="460">
        <v>0</v>
      </c>
      <c r="AO26" s="460">
        <v>0</v>
      </c>
      <c r="AP26" s="460">
        <v>0</v>
      </c>
      <c r="AQ26" s="460">
        <v>-275.05897917908737</v>
      </c>
      <c r="AR26" s="460">
        <v>0</v>
      </c>
      <c r="AS26" s="460">
        <v>0</v>
      </c>
      <c r="AT26" s="460">
        <v>0</v>
      </c>
      <c r="AU26" s="460">
        <v>0</v>
      </c>
      <c r="AV26" s="460">
        <v>0</v>
      </c>
      <c r="AW26" s="460">
        <v>0</v>
      </c>
      <c r="AX26" s="460">
        <v>0</v>
      </c>
      <c r="AY26" s="460">
        <v>0</v>
      </c>
      <c r="AZ26" s="460">
        <v>0</v>
      </c>
      <c r="BA26" s="460">
        <v>0</v>
      </c>
      <c r="BB26" s="460">
        <v>0</v>
      </c>
      <c r="BC26" s="460">
        <v>0</v>
      </c>
      <c r="BD26" s="460">
        <v>0</v>
      </c>
      <c r="BE26" s="460">
        <v>0</v>
      </c>
      <c r="BF26" s="460">
        <v>0</v>
      </c>
      <c r="BG26" s="460">
        <v>0</v>
      </c>
      <c r="BH26" s="460">
        <v>0</v>
      </c>
      <c r="BI26" s="460">
        <v>0</v>
      </c>
      <c r="BJ26" s="460">
        <v>0</v>
      </c>
      <c r="BK26" s="460">
        <v>0</v>
      </c>
      <c r="BL26" s="460">
        <v>0</v>
      </c>
      <c r="BM26" s="460">
        <v>0</v>
      </c>
      <c r="BN26" s="460">
        <v>0</v>
      </c>
      <c r="BO26" s="460">
        <v>0</v>
      </c>
      <c r="BP26" s="460">
        <v>0</v>
      </c>
      <c r="BQ26" s="460">
        <v>0</v>
      </c>
      <c r="BR26" s="460">
        <v>0</v>
      </c>
      <c r="BS26" s="460">
        <v>0</v>
      </c>
      <c r="BT26" s="460">
        <v>0</v>
      </c>
      <c r="BU26" s="460">
        <v>0</v>
      </c>
      <c r="BV26" s="460">
        <v>0</v>
      </c>
      <c r="BW26" s="460">
        <v>0</v>
      </c>
      <c r="BX26" s="460">
        <v>0</v>
      </c>
      <c r="BY26" s="460">
        <v>0</v>
      </c>
      <c r="BZ26" s="460">
        <v>0</v>
      </c>
      <c r="CA26" s="460" t="e">
        <v>#N/A</v>
      </c>
      <c r="CB26" s="460" t="e">
        <v>#N/A</v>
      </c>
      <c r="CC26" s="460" t="e">
        <v>#N/A</v>
      </c>
    </row>
    <row r="27" spans="1:81" ht="12.75" customHeight="1">
      <c r="A27" s="111">
        <v>22</v>
      </c>
      <c r="B27" s="458" t="str">
        <v>2Y</v>
      </c>
      <c r="C27" s="465">
        <f>'eur disaggregated'!AN38</f>
        <v>2.3441513846775506E-11</v>
      </c>
      <c r="D27" s="111" t="str">
        <f t="shared" si="6"/>
        <v>24M</v>
      </c>
      <c r="E27" s="441">
        <f t="shared" si="4"/>
        <v>42696</v>
      </c>
      <c r="F27" s="441">
        <f>_xll.qlCalendarAdvance(Calendar,E27,D27)</f>
        <v>43426</v>
      </c>
      <c r="G27" s="462">
        <f t="shared" si="3"/>
        <v>-3.4699999999999996E-3</v>
      </c>
      <c r="H27" s="453">
        <v>-0.34699999999999998</v>
      </c>
      <c r="I27" s="107" t="str">
        <v>16M</v>
      </c>
      <c r="J27" s="441" t="str">
        <f t="shared" si="5"/>
        <v>16M</v>
      </c>
      <c r="K27" s="448">
        <f>_xll.qlCalendarAdvance("TARGET",$C$1,J27)</f>
        <v>43181</v>
      </c>
      <c r="L27" s="89"/>
      <c r="M27" s="99" t="str">
        <v>16M</v>
      </c>
      <c r="N27" s="465">
        <v>0</v>
      </c>
      <c r="P27" s="106" t="b">
        <f t="shared" si="1"/>
        <v>0</v>
      </c>
      <c r="Q27" s="460">
        <f t="array" ref="Q27:CC27">C27*ForwardToZero(OisBuckets,E27,F27,G27)</f>
        <v>0</v>
      </c>
      <c r="R27" s="460">
        <v>0</v>
      </c>
      <c r="S27" s="460">
        <v>0</v>
      </c>
      <c r="T27" s="460">
        <v>0</v>
      </c>
      <c r="U27" s="460">
        <v>0</v>
      </c>
      <c r="V27" s="460">
        <v>0</v>
      </c>
      <c r="W27" s="460">
        <v>0</v>
      </c>
      <c r="X27" s="460">
        <v>0</v>
      </c>
      <c r="Y27" s="460">
        <v>0</v>
      </c>
      <c r="Z27" s="460">
        <v>0</v>
      </c>
      <c r="AA27" s="460">
        <v>0</v>
      </c>
      <c r="AB27" s="460">
        <v>0</v>
      </c>
      <c r="AC27" s="460">
        <v>0</v>
      </c>
      <c r="AD27" s="460">
        <v>0</v>
      </c>
      <c r="AE27" s="460">
        <v>0</v>
      </c>
      <c r="AF27" s="460">
        <v>0</v>
      </c>
      <c r="AG27" s="460">
        <v>0</v>
      </c>
      <c r="AH27" s="460">
        <v>0</v>
      </c>
      <c r="AI27" s="460">
        <v>0</v>
      </c>
      <c r="AJ27" s="460">
        <v>0</v>
      </c>
      <c r="AK27" s="460">
        <v>0</v>
      </c>
      <c r="AL27" s="460">
        <v>0</v>
      </c>
      <c r="AM27" s="460">
        <v>0</v>
      </c>
      <c r="AN27" s="460">
        <v>0</v>
      </c>
      <c r="AO27" s="460">
        <v>0</v>
      </c>
      <c r="AP27" s="460">
        <v>0</v>
      </c>
      <c r="AQ27" s="460">
        <v>0</v>
      </c>
      <c r="AR27" s="460">
        <v>0</v>
      </c>
      <c r="AS27" s="460">
        <v>0</v>
      </c>
      <c r="AT27" s="460">
        <v>2.3441513846775506E-11</v>
      </c>
      <c r="AU27" s="460">
        <v>0</v>
      </c>
      <c r="AV27" s="460">
        <v>0</v>
      </c>
      <c r="AW27" s="460">
        <v>0</v>
      </c>
      <c r="AX27" s="460">
        <v>0</v>
      </c>
      <c r="AY27" s="460">
        <v>0</v>
      </c>
      <c r="AZ27" s="460">
        <v>0</v>
      </c>
      <c r="BA27" s="460">
        <v>0</v>
      </c>
      <c r="BB27" s="460">
        <v>0</v>
      </c>
      <c r="BC27" s="460">
        <v>0</v>
      </c>
      <c r="BD27" s="460">
        <v>0</v>
      </c>
      <c r="BE27" s="460">
        <v>0</v>
      </c>
      <c r="BF27" s="460">
        <v>0</v>
      </c>
      <c r="BG27" s="460">
        <v>0</v>
      </c>
      <c r="BH27" s="460">
        <v>0</v>
      </c>
      <c r="BI27" s="460">
        <v>0</v>
      </c>
      <c r="BJ27" s="460">
        <v>0</v>
      </c>
      <c r="BK27" s="460">
        <v>0</v>
      </c>
      <c r="BL27" s="460">
        <v>0</v>
      </c>
      <c r="BM27" s="460">
        <v>0</v>
      </c>
      <c r="BN27" s="460">
        <v>0</v>
      </c>
      <c r="BO27" s="460">
        <v>0</v>
      </c>
      <c r="BP27" s="460">
        <v>0</v>
      </c>
      <c r="BQ27" s="460">
        <v>0</v>
      </c>
      <c r="BR27" s="460">
        <v>0</v>
      </c>
      <c r="BS27" s="460">
        <v>0</v>
      </c>
      <c r="BT27" s="460">
        <v>0</v>
      </c>
      <c r="BU27" s="460">
        <v>0</v>
      </c>
      <c r="BV27" s="460">
        <v>0</v>
      </c>
      <c r="BW27" s="460">
        <v>0</v>
      </c>
      <c r="BX27" s="460">
        <v>0</v>
      </c>
      <c r="BY27" s="460">
        <v>0</v>
      </c>
      <c r="BZ27" s="460">
        <v>0</v>
      </c>
      <c r="CA27" s="460" t="e">
        <v>#N/A</v>
      </c>
      <c r="CB27" s="460" t="e">
        <v>#N/A</v>
      </c>
      <c r="CC27" s="460" t="e">
        <v>#N/A</v>
      </c>
    </row>
    <row r="28" spans="1:81" ht="12.75" customHeight="1">
      <c r="A28" s="111">
        <v>23</v>
      </c>
      <c r="B28" s="458" t="str">
        <v>2Y3M</v>
      </c>
      <c r="C28" s="465">
        <f>'eur disaggregated'!AN39</f>
        <v>14.179837755741572</v>
      </c>
      <c r="D28" s="111" t="str">
        <f t="shared" si="6"/>
        <v>27M</v>
      </c>
      <c r="E28" s="441">
        <f t="shared" si="4"/>
        <v>42696</v>
      </c>
      <c r="F28" s="441">
        <f>_xll.qlCalendarAdvance(Calendar,E28,D28)</f>
        <v>43518</v>
      </c>
      <c r="G28" s="462">
        <f t="shared" si="3"/>
        <v>-3.3531118700000002E-3</v>
      </c>
      <c r="H28" s="453">
        <v>-0.33531118700000001</v>
      </c>
      <c r="I28" s="107" t="str">
        <v>17M</v>
      </c>
      <c r="J28" s="441" t="str">
        <f t="shared" si="5"/>
        <v>17M</v>
      </c>
      <c r="K28" s="448">
        <f>_xll.qlCalendarAdvance("TARGET",$C$1,J28)</f>
        <v>43213</v>
      </c>
      <c r="L28" s="89"/>
      <c r="M28" s="99" t="str">
        <v>17M</v>
      </c>
      <c r="N28" s="465">
        <v>0</v>
      </c>
      <c r="P28" s="106" t="b">
        <f t="shared" si="1"/>
        <v>0</v>
      </c>
      <c r="Q28" s="460">
        <f t="array" ref="Q28:CC28">C28*ForwardToZero(OisBuckets,E28,F28,G28)</f>
        <v>0</v>
      </c>
      <c r="R28" s="460">
        <v>0</v>
      </c>
      <c r="S28" s="460">
        <v>0</v>
      </c>
      <c r="T28" s="460">
        <v>0</v>
      </c>
      <c r="U28" s="460">
        <v>0</v>
      </c>
      <c r="V28" s="460">
        <v>0</v>
      </c>
      <c r="W28" s="460">
        <v>0</v>
      </c>
      <c r="X28" s="460">
        <v>0</v>
      </c>
      <c r="Y28" s="460">
        <v>0</v>
      </c>
      <c r="Z28" s="460">
        <v>0</v>
      </c>
      <c r="AA28" s="460">
        <v>0</v>
      </c>
      <c r="AB28" s="460">
        <v>0</v>
      </c>
      <c r="AC28" s="460">
        <v>0</v>
      </c>
      <c r="AD28" s="460">
        <v>0</v>
      </c>
      <c r="AE28" s="460">
        <v>0</v>
      </c>
      <c r="AF28" s="460">
        <v>0</v>
      </c>
      <c r="AG28" s="460">
        <v>0</v>
      </c>
      <c r="AH28" s="460">
        <v>0</v>
      </c>
      <c r="AI28" s="460">
        <v>0</v>
      </c>
      <c r="AJ28" s="460">
        <v>0</v>
      </c>
      <c r="AK28" s="460">
        <v>0</v>
      </c>
      <c r="AL28" s="460">
        <v>0</v>
      </c>
      <c r="AM28" s="460">
        <v>0</v>
      </c>
      <c r="AN28" s="460">
        <v>0</v>
      </c>
      <c r="AO28" s="460">
        <v>0</v>
      </c>
      <c r="AP28" s="460">
        <v>0</v>
      </c>
      <c r="AQ28" s="460">
        <v>0</v>
      </c>
      <c r="AR28" s="460">
        <v>0</v>
      </c>
      <c r="AS28" s="460">
        <v>0</v>
      </c>
      <c r="AT28" s="460">
        <v>10.605741663883425</v>
      </c>
      <c r="AU28" s="460">
        <v>3.5740960918581473</v>
      </c>
      <c r="AV28" s="460">
        <v>0</v>
      </c>
      <c r="AW28" s="460">
        <v>0</v>
      </c>
      <c r="AX28" s="460">
        <v>0</v>
      </c>
      <c r="AY28" s="460">
        <v>0</v>
      </c>
      <c r="AZ28" s="460">
        <v>0</v>
      </c>
      <c r="BA28" s="460">
        <v>0</v>
      </c>
      <c r="BB28" s="460">
        <v>0</v>
      </c>
      <c r="BC28" s="460">
        <v>0</v>
      </c>
      <c r="BD28" s="460">
        <v>0</v>
      </c>
      <c r="BE28" s="460">
        <v>0</v>
      </c>
      <c r="BF28" s="460">
        <v>0</v>
      </c>
      <c r="BG28" s="460">
        <v>0</v>
      </c>
      <c r="BH28" s="460">
        <v>0</v>
      </c>
      <c r="BI28" s="460">
        <v>0</v>
      </c>
      <c r="BJ28" s="460">
        <v>0</v>
      </c>
      <c r="BK28" s="460">
        <v>0</v>
      </c>
      <c r="BL28" s="460">
        <v>0</v>
      </c>
      <c r="BM28" s="460">
        <v>0</v>
      </c>
      <c r="BN28" s="460">
        <v>0</v>
      </c>
      <c r="BO28" s="460">
        <v>0</v>
      </c>
      <c r="BP28" s="460">
        <v>0</v>
      </c>
      <c r="BQ28" s="460">
        <v>0</v>
      </c>
      <c r="BR28" s="460">
        <v>0</v>
      </c>
      <c r="BS28" s="460">
        <v>0</v>
      </c>
      <c r="BT28" s="460">
        <v>0</v>
      </c>
      <c r="BU28" s="460">
        <v>0</v>
      </c>
      <c r="BV28" s="460">
        <v>0</v>
      </c>
      <c r="BW28" s="460">
        <v>0</v>
      </c>
      <c r="BX28" s="460">
        <v>0</v>
      </c>
      <c r="BY28" s="460">
        <v>0</v>
      </c>
      <c r="BZ28" s="460">
        <v>0</v>
      </c>
      <c r="CA28" s="460" t="e">
        <v>#N/A</v>
      </c>
      <c r="CB28" s="460" t="e">
        <v>#N/A</v>
      </c>
      <c r="CC28" s="460" t="e">
        <v>#N/A</v>
      </c>
    </row>
    <row r="29" spans="1:81" ht="12.75" customHeight="1">
      <c r="A29" s="111">
        <v>24</v>
      </c>
      <c r="B29" s="458" t="str">
        <v>2Y6M</v>
      </c>
      <c r="C29" s="465">
        <f>'eur disaggregated'!AN40</f>
        <v>25.18657886656953</v>
      </c>
      <c r="D29" s="111" t="str">
        <f t="shared" si="6"/>
        <v>30M</v>
      </c>
      <c r="E29" s="441">
        <f t="shared" si="4"/>
        <v>42696</v>
      </c>
      <c r="F29" s="441">
        <f>_xll.qlCalendarAdvance(Calendar,E29,D29)</f>
        <v>43607</v>
      </c>
      <c r="G29" s="462">
        <f t="shared" si="3"/>
        <v>-3.2054951900000002E-3</v>
      </c>
      <c r="H29" s="453">
        <v>-0.320549519</v>
      </c>
      <c r="I29" s="107" t="str">
        <v>18M</v>
      </c>
      <c r="J29" s="441" t="str">
        <f t="shared" si="5"/>
        <v>18M</v>
      </c>
      <c r="K29" s="448">
        <f>_xll.qlCalendarAdvance("TARGET",$C$1,J29)</f>
        <v>43242</v>
      </c>
      <c r="L29" s="89"/>
      <c r="M29" s="99" t="str">
        <v>18M</v>
      </c>
      <c r="N29" s="465">
        <v>284.08611277212839</v>
      </c>
      <c r="P29" s="106" t="b">
        <f t="shared" si="1"/>
        <v>0</v>
      </c>
      <c r="Q29" s="460">
        <f t="array" ref="Q29:CC29">C29*ForwardToZero(OisBuckets,E29,F29,G29)</f>
        <v>0</v>
      </c>
      <c r="R29" s="460">
        <v>0</v>
      </c>
      <c r="S29" s="460">
        <v>0</v>
      </c>
      <c r="T29" s="460">
        <v>0</v>
      </c>
      <c r="U29" s="460">
        <v>0</v>
      </c>
      <c r="V29" s="460">
        <v>0</v>
      </c>
      <c r="W29" s="460">
        <v>0</v>
      </c>
      <c r="X29" s="460">
        <v>0</v>
      </c>
      <c r="Y29" s="460">
        <v>0</v>
      </c>
      <c r="Z29" s="460">
        <v>0</v>
      </c>
      <c r="AA29" s="460">
        <v>0</v>
      </c>
      <c r="AB29" s="460">
        <v>0</v>
      </c>
      <c r="AC29" s="460">
        <v>0</v>
      </c>
      <c r="AD29" s="460">
        <v>0</v>
      </c>
      <c r="AE29" s="460">
        <v>0</v>
      </c>
      <c r="AF29" s="460">
        <v>0</v>
      </c>
      <c r="AG29" s="460">
        <v>0</v>
      </c>
      <c r="AH29" s="460">
        <v>0</v>
      </c>
      <c r="AI29" s="460">
        <v>0</v>
      </c>
      <c r="AJ29" s="460">
        <v>0</v>
      </c>
      <c r="AK29" s="460">
        <v>0</v>
      </c>
      <c r="AL29" s="460">
        <v>0</v>
      </c>
      <c r="AM29" s="460">
        <v>0</v>
      </c>
      <c r="AN29" s="460">
        <v>0</v>
      </c>
      <c r="AO29" s="460">
        <v>0</v>
      </c>
      <c r="AP29" s="460">
        <v>0</v>
      </c>
      <c r="AQ29" s="460">
        <v>0</v>
      </c>
      <c r="AR29" s="460">
        <v>0</v>
      </c>
      <c r="AS29" s="460">
        <v>0</v>
      </c>
      <c r="AT29" s="460">
        <v>12.69679592177752</v>
      </c>
      <c r="AU29" s="460">
        <v>12.48978294479201</v>
      </c>
      <c r="AV29" s="460">
        <v>0</v>
      </c>
      <c r="AW29" s="460">
        <v>0</v>
      </c>
      <c r="AX29" s="460">
        <v>0</v>
      </c>
      <c r="AY29" s="460">
        <v>0</v>
      </c>
      <c r="AZ29" s="460">
        <v>0</v>
      </c>
      <c r="BA29" s="460">
        <v>0</v>
      </c>
      <c r="BB29" s="460">
        <v>0</v>
      </c>
      <c r="BC29" s="460">
        <v>0</v>
      </c>
      <c r="BD29" s="460">
        <v>0</v>
      </c>
      <c r="BE29" s="460">
        <v>0</v>
      </c>
      <c r="BF29" s="460">
        <v>0</v>
      </c>
      <c r="BG29" s="460">
        <v>0</v>
      </c>
      <c r="BH29" s="460">
        <v>0</v>
      </c>
      <c r="BI29" s="460">
        <v>0</v>
      </c>
      <c r="BJ29" s="460">
        <v>0</v>
      </c>
      <c r="BK29" s="460">
        <v>0</v>
      </c>
      <c r="BL29" s="460">
        <v>0</v>
      </c>
      <c r="BM29" s="460">
        <v>0</v>
      </c>
      <c r="BN29" s="460">
        <v>0</v>
      </c>
      <c r="BO29" s="460">
        <v>0</v>
      </c>
      <c r="BP29" s="460">
        <v>0</v>
      </c>
      <c r="BQ29" s="460">
        <v>0</v>
      </c>
      <c r="BR29" s="460">
        <v>0</v>
      </c>
      <c r="BS29" s="460">
        <v>0</v>
      </c>
      <c r="BT29" s="460">
        <v>0</v>
      </c>
      <c r="BU29" s="460">
        <v>0</v>
      </c>
      <c r="BV29" s="460">
        <v>0</v>
      </c>
      <c r="BW29" s="460">
        <v>0</v>
      </c>
      <c r="BX29" s="460">
        <v>0</v>
      </c>
      <c r="BY29" s="460">
        <v>0</v>
      </c>
      <c r="BZ29" s="460">
        <v>0</v>
      </c>
      <c r="CA29" s="460" t="e">
        <v>#N/A</v>
      </c>
      <c r="CB29" s="460" t="e">
        <v>#N/A</v>
      </c>
      <c r="CC29" s="460" t="e">
        <v>#N/A</v>
      </c>
    </row>
    <row r="30" spans="1:81" ht="12.75" customHeight="1">
      <c r="A30" s="111">
        <v>25</v>
      </c>
      <c r="B30" s="458" t="str">
        <v>2Y9M</v>
      </c>
      <c r="C30" s="465">
        <f>'eur disaggregated'!AN41</f>
        <v>-66.772170456572709</v>
      </c>
      <c r="D30" s="111" t="str">
        <f t="shared" si="6"/>
        <v>33M</v>
      </c>
      <c r="E30" s="441">
        <f t="shared" si="4"/>
        <v>42696</v>
      </c>
      <c r="F30" s="441">
        <f>_xll.qlCalendarAdvance(Calendar,E30,D30)</f>
        <v>43699</v>
      </c>
      <c r="G30" s="462">
        <f t="shared" si="3"/>
        <v>-3.0539198899999999E-3</v>
      </c>
      <c r="H30" s="453">
        <v>-0.30539198899999997</v>
      </c>
      <c r="I30" s="107" t="str">
        <v>19M</v>
      </c>
      <c r="J30" s="441" t="str">
        <f t="shared" si="5"/>
        <v>19M</v>
      </c>
      <c r="K30" s="448">
        <f>_xll.qlCalendarAdvance("TARGET",$C$1,J30)</f>
        <v>43273</v>
      </c>
      <c r="L30" s="89"/>
      <c r="M30" s="99" t="str">
        <v>19M</v>
      </c>
      <c r="N30" s="465">
        <v>0</v>
      </c>
      <c r="P30" s="106" t="b">
        <f t="shared" si="1"/>
        <v>0</v>
      </c>
      <c r="Q30" s="460">
        <f t="array" ref="Q30:CC30">C30*ForwardToZero(OisBuckets,E30,F30,G30)</f>
        <v>0</v>
      </c>
      <c r="R30" s="460">
        <v>0</v>
      </c>
      <c r="S30" s="460">
        <v>0</v>
      </c>
      <c r="T30" s="460">
        <v>0</v>
      </c>
      <c r="U30" s="460">
        <v>0</v>
      </c>
      <c r="V30" s="460">
        <v>0</v>
      </c>
      <c r="W30" s="460">
        <v>0</v>
      </c>
      <c r="X30" s="460">
        <v>0</v>
      </c>
      <c r="Y30" s="460">
        <v>0</v>
      </c>
      <c r="Z30" s="460">
        <v>0</v>
      </c>
      <c r="AA30" s="460">
        <v>0</v>
      </c>
      <c r="AB30" s="460">
        <v>0</v>
      </c>
      <c r="AC30" s="460">
        <v>0</v>
      </c>
      <c r="AD30" s="460">
        <v>0</v>
      </c>
      <c r="AE30" s="460">
        <v>0</v>
      </c>
      <c r="AF30" s="460">
        <v>0</v>
      </c>
      <c r="AG30" s="460">
        <v>0</v>
      </c>
      <c r="AH30" s="460">
        <v>0</v>
      </c>
      <c r="AI30" s="460">
        <v>0</v>
      </c>
      <c r="AJ30" s="460">
        <v>0</v>
      </c>
      <c r="AK30" s="460">
        <v>0</v>
      </c>
      <c r="AL30" s="460">
        <v>0</v>
      </c>
      <c r="AM30" s="460">
        <v>0</v>
      </c>
      <c r="AN30" s="460">
        <v>0</v>
      </c>
      <c r="AO30" s="460">
        <v>0</v>
      </c>
      <c r="AP30" s="460">
        <v>0</v>
      </c>
      <c r="AQ30" s="460">
        <v>0</v>
      </c>
      <c r="AR30" s="460">
        <v>0</v>
      </c>
      <c r="AS30" s="460">
        <v>0</v>
      </c>
      <c r="AT30" s="460">
        <v>-16.830245704122426</v>
      </c>
      <c r="AU30" s="460">
        <v>-49.941924752450284</v>
      </c>
      <c r="AV30" s="460">
        <v>0</v>
      </c>
      <c r="AW30" s="460">
        <v>0</v>
      </c>
      <c r="AX30" s="460">
        <v>0</v>
      </c>
      <c r="AY30" s="460">
        <v>0</v>
      </c>
      <c r="AZ30" s="460">
        <v>0</v>
      </c>
      <c r="BA30" s="460">
        <v>0</v>
      </c>
      <c r="BB30" s="460">
        <v>0</v>
      </c>
      <c r="BC30" s="460">
        <v>0</v>
      </c>
      <c r="BD30" s="460">
        <v>0</v>
      </c>
      <c r="BE30" s="460">
        <v>0</v>
      </c>
      <c r="BF30" s="460">
        <v>0</v>
      </c>
      <c r="BG30" s="460">
        <v>0</v>
      </c>
      <c r="BH30" s="460">
        <v>0</v>
      </c>
      <c r="BI30" s="460">
        <v>0</v>
      </c>
      <c r="BJ30" s="460">
        <v>0</v>
      </c>
      <c r="BK30" s="460">
        <v>0</v>
      </c>
      <c r="BL30" s="460">
        <v>0</v>
      </c>
      <c r="BM30" s="460">
        <v>0</v>
      </c>
      <c r="BN30" s="460">
        <v>0</v>
      </c>
      <c r="BO30" s="460">
        <v>0</v>
      </c>
      <c r="BP30" s="460">
        <v>0</v>
      </c>
      <c r="BQ30" s="460">
        <v>0</v>
      </c>
      <c r="BR30" s="460">
        <v>0</v>
      </c>
      <c r="BS30" s="460">
        <v>0</v>
      </c>
      <c r="BT30" s="460">
        <v>0</v>
      </c>
      <c r="BU30" s="460">
        <v>0</v>
      </c>
      <c r="BV30" s="460">
        <v>0</v>
      </c>
      <c r="BW30" s="460">
        <v>0</v>
      </c>
      <c r="BX30" s="460">
        <v>0</v>
      </c>
      <c r="BY30" s="460">
        <v>0</v>
      </c>
      <c r="BZ30" s="460">
        <v>0</v>
      </c>
      <c r="CA30" s="460" t="e">
        <v>#N/A</v>
      </c>
      <c r="CB30" s="460" t="e">
        <v>#N/A</v>
      </c>
      <c r="CC30" s="460" t="e">
        <v>#N/A</v>
      </c>
    </row>
    <row r="31" spans="1:81" ht="12.75" customHeight="1">
      <c r="A31" s="105">
        <v>26</v>
      </c>
      <c r="B31" s="112" t="str">
        <v>3Y</v>
      </c>
      <c r="C31" s="465">
        <f>'eur disaggregated'!AN42</f>
        <v>480.02280671108383</v>
      </c>
      <c r="D31" s="111" t="str">
        <f t="shared" si="6"/>
        <v>36M</v>
      </c>
      <c r="E31" s="441">
        <f t="shared" si="4"/>
        <v>42696</v>
      </c>
      <c r="F31" s="441">
        <f>_xll.qlCalendarAdvance(Calendar,E31,D31)</f>
        <v>43791</v>
      </c>
      <c r="G31" s="462">
        <f t="shared" si="3"/>
        <v>-2.8899999999999998E-3</v>
      </c>
      <c r="H31" s="453">
        <v>-0.28899999999999998</v>
      </c>
      <c r="I31" s="107" t="str">
        <v>20M</v>
      </c>
      <c r="J31" s="106" t="str">
        <f t="shared" si="5"/>
        <v>20M</v>
      </c>
      <c r="K31" s="448">
        <f>_xll.qlCalendarAdvance("TARGET",$C$1,J31)</f>
        <v>43304</v>
      </c>
      <c r="M31" s="99" t="str">
        <v>20M</v>
      </c>
      <c r="N31" s="465">
        <v>0</v>
      </c>
      <c r="P31" s="106" t="b">
        <f t="shared" si="1"/>
        <v>0</v>
      </c>
      <c r="Q31" s="460">
        <f t="array" ref="Q31:CC31">C31*ForwardToZero(OisBuckets,E31,F31,G31)</f>
        <v>0</v>
      </c>
      <c r="R31" s="460">
        <v>0</v>
      </c>
      <c r="S31" s="460">
        <v>0</v>
      </c>
      <c r="T31" s="460">
        <v>0</v>
      </c>
      <c r="U31" s="460">
        <v>0</v>
      </c>
      <c r="V31" s="460">
        <v>0</v>
      </c>
      <c r="W31" s="460">
        <v>0</v>
      </c>
      <c r="X31" s="460">
        <v>0</v>
      </c>
      <c r="Y31" s="460">
        <v>0</v>
      </c>
      <c r="Z31" s="460">
        <v>0</v>
      </c>
      <c r="AA31" s="460">
        <v>0</v>
      </c>
      <c r="AB31" s="460">
        <v>0</v>
      </c>
      <c r="AC31" s="460">
        <v>0</v>
      </c>
      <c r="AD31" s="460">
        <v>0</v>
      </c>
      <c r="AE31" s="460">
        <v>0</v>
      </c>
      <c r="AF31" s="460">
        <v>0</v>
      </c>
      <c r="AG31" s="460">
        <v>0</v>
      </c>
      <c r="AH31" s="460">
        <v>0</v>
      </c>
      <c r="AI31" s="460">
        <v>0</v>
      </c>
      <c r="AJ31" s="460">
        <v>0</v>
      </c>
      <c r="AK31" s="460">
        <v>0</v>
      </c>
      <c r="AL31" s="460">
        <v>0</v>
      </c>
      <c r="AM31" s="460">
        <v>0</v>
      </c>
      <c r="AN31" s="460">
        <v>0</v>
      </c>
      <c r="AO31" s="460">
        <v>0</v>
      </c>
      <c r="AP31" s="460">
        <v>0</v>
      </c>
      <c r="AQ31" s="460">
        <v>0</v>
      </c>
      <c r="AR31" s="460">
        <v>0</v>
      </c>
      <c r="AS31" s="460">
        <v>0</v>
      </c>
      <c r="AT31" s="460">
        <v>0</v>
      </c>
      <c r="AU31" s="460">
        <v>480.02280671108383</v>
      </c>
      <c r="AV31" s="460">
        <v>0</v>
      </c>
      <c r="AW31" s="460">
        <v>0</v>
      </c>
      <c r="AX31" s="460">
        <v>0</v>
      </c>
      <c r="AY31" s="460">
        <v>0</v>
      </c>
      <c r="AZ31" s="460">
        <v>0</v>
      </c>
      <c r="BA31" s="460">
        <v>0</v>
      </c>
      <c r="BB31" s="460">
        <v>0</v>
      </c>
      <c r="BC31" s="460">
        <v>0</v>
      </c>
      <c r="BD31" s="460">
        <v>0</v>
      </c>
      <c r="BE31" s="460">
        <v>0</v>
      </c>
      <c r="BF31" s="460">
        <v>0</v>
      </c>
      <c r="BG31" s="460">
        <v>0</v>
      </c>
      <c r="BH31" s="460">
        <v>0</v>
      </c>
      <c r="BI31" s="460">
        <v>0</v>
      </c>
      <c r="BJ31" s="460">
        <v>0</v>
      </c>
      <c r="BK31" s="460">
        <v>0</v>
      </c>
      <c r="BL31" s="460">
        <v>0</v>
      </c>
      <c r="BM31" s="460">
        <v>0</v>
      </c>
      <c r="BN31" s="460">
        <v>0</v>
      </c>
      <c r="BO31" s="460">
        <v>0</v>
      </c>
      <c r="BP31" s="460">
        <v>0</v>
      </c>
      <c r="BQ31" s="460">
        <v>0</v>
      </c>
      <c r="BR31" s="460">
        <v>0</v>
      </c>
      <c r="BS31" s="460">
        <v>0</v>
      </c>
      <c r="BT31" s="460">
        <v>0</v>
      </c>
      <c r="BU31" s="460">
        <v>0</v>
      </c>
      <c r="BV31" s="460">
        <v>0</v>
      </c>
      <c r="BW31" s="460">
        <v>0</v>
      </c>
      <c r="BX31" s="460">
        <v>0</v>
      </c>
      <c r="BY31" s="460">
        <v>0</v>
      </c>
      <c r="BZ31" s="460">
        <v>0</v>
      </c>
      <c r="CA31" s="460" t="e">
        <v>#N/A</v>
      </c>
      <c r="CB31" s="460" t="e">
        <v>#N/A</v>
      </c>
      <c r="CC31" s="460" t="e">
        <v>#N/A</v>
      </c>
    </row>
    <row r="32" spans="1:81" ht="12.75" customHeight="1">
      <c r="A32" s="105">
        <v>27</v>
      </c>
      <c r="B32" s="112" t="str">
        <v>4Y</v>
      </c>
      <c r="C32" s="465">
        <f>'eur disaggregated'!AN43</f>
        <v>-2457.6391570731184</v>
      </c>
      <c r="D32" s="111" t="str">
        <f t="shared" si="6"/>
        <v>48M</v>
      </c>
      <c r="E32" s="441">
        <f t="shared" si="4"/>
        <v>42696</v>
      </c>
      <c r="F32" s="441">
        <f>_xll.qlCalendarAdvance(Calendar,E32,D32)</f>
        <v>44158</v>
      </c>
      <c r="G32" s="462">
        <f t="shared" si="3"/>
        <v>-2.1299999999999999E-3</v>
      </c>
      <c r="H32" s="453">
        <v>-0.21299999999999999</v>
      </c>
      <c r="I32" s="107" t="str">
        <v>21M</v>
      </c>
      <c r="J32" s="106" t="str">
        <f t="shared" si="5"/>
        <v>21M</v>
      </c>
      <c r="K32" s="448">
        <f>_xll.qlCalendarAdvance("TARGET",$C$1,J32)</f>
        <v>43334</v>
      </c>
      <c r="M32" s="99" t="str">
        <v>21M</v>
      </c>
      <c r="N32" s="465">
        <v>-275.05897917908737</v>
      </c>
      <c r="P32" s="106" t="b">
        <f t="shared" si="1"/>
        <v>0</v>
      </c>
      <c r="Q32" s="460">
        <f t="array" ref="Q32:CC32">C32*ForwardToZero(OisBuckets,E32,F32,G32)</f>
        <v>0</v>
      </c>
      <c r="R32" s="460">
        <v>0</v>
      </c>
      <c r="S32" s="460">
        <v>0</v>
      </c>
      <c r="T32" s="460">
        <v>0</v>
      </c>
      <c r="U32" s="460">
        <v>0</v>
      </c>
      <c r="V32" s="460">
        <v>0</v>
      </c>
      <c r="W32" s="460">
        <v>0</v>
      </c>
      <c r="X32" s="460">
        <v>0</v>
      </c>
      <c r="Y32" s="460">
        <v>0</v>
      </c>
      <c r="Z32" s="460">
        <v>0</v>
      </c>
      <c r="AA32" s="460">
        <v>0</v>
      </c>
      <c r="AB32" s="460">
        <v>0</v>
      </c>
      <c r="AC32" s="460">
        <v>0</v>
      </c>
      <c r="AD32" s="460">
        <v>0</v>
      </c>
      <c r="AE32" s="460">
        <v>0</v>
      </c>
      <c r="AF32" s="460">
        <v>0</v>
      </c>
      <c r="AG32" s="460">
        <v>0</v>
      </c>
      <c r="AH32" s="460">
        <v>0</v>
      </c>
      <c r="AI32" s="460">
        <v>0</v>
      </c>
      <c r="AJ32" s="460">
        <v>0</v>
      </c>
      <c r="AK32" s="460">
        <v>0</v>
      </c>
      <c r="AL32" s="460">
        <v>0</v>
      </c>
      <c r="AM32" s="460">
        <v>0</v>
      </c>
      <c r="AN32" s="460">
        <v>0</v>
      </c>
      <c r="AO32" s="460">
        <v>0</v>
      </c>
      <c r="AP32" s="460">
        <v>0</v>
      </c>
      <c r="AQ32" s="460">
        <v>0</v>
      </c>
      <c r="AR32" s="460">
        <v>0</v>
      </c>
      <c r="AS32" s="460">
        <v>0</v>
      </c>
      <c r="AT32" s="460">
        <v>0</v>
      </c>
      <c r="AU32" s="460">
        <v>0</v>
      </c>
      <c r="AV32" s="460">
        <v>-2457.6391570731184</v>
      </c>
      <c r="AW32" s="460">
        <v>0</v>
      </c>
      <c r="AX32" s="460">
        <v>0</v>
      </c>
      <c r="AY32" s="460">
        <v>0</v>
      </c>
      <c r="AZ32" s="460">
        <v>0</v>
      </c>
      <c r="BA32" s="460">
        <v>0</v>
      </c>
      <c r="BB32" s="460">
        <v>0</v>
      </c>
      <c r="BC32" s="460">
        <v>0</v>
      </c>
      <c r="BD32" s="460">
        <v>0</v>
      </c>
      <c r="BE32" s="460">
        <v>0</v>
      </c>
      <c r="BF32" s="460">
        <v>0</v>
      </c>
      <c r="BG32" s="460">
        <v>0</v>
      </c>
      <c r="BH32" s="460">
        <v>0</v>
      </c>
      <c r="BI32" s="460">
        <v>0</v>
      </c>
      <c r="BJ32" s="460">
        <v>0</v>
      </c>
      <c r="BK32" s="460">
        <v>0</v>
      </c>
      <c r="BL32" s="460">
        <v>0</v>
      </c>
      <c r="BM32" s="460">
        <v>0</v>
      </c>
      <c r="BN32" s="460">
        <v>0</v>
      </c>
      <c r="BO32" s="460">
        <v>0</v>
      </c>
      <c r="BP32" s="460">
        <v>0</v>
      </c>
      <c r="BQ32" s="460">
        <v>0</v>
      </c>
      <c r="BR32" s="460">
        <v>0</v>
      </c>
      <c r="BS32" s="460">
        <v>0</v>
      </c>
      <c r="BT32" s="460">
        <v>0</v>
      </c>
      <c r="BU32" s="460">
        <v>0</v>
      </c>
      <c r="BV32" s="460">
        <v>0</v>
      </c>
      <c r="BW32" s="460">
        <v>0</v>
      </c>
      <c r="BX32" s="460">
        <v>0</v>
      </c>
      <c r="BY32" s="460">
        <v>0</v>
      </c>
      <c r="BZ32" s="460">
        <v>0</v>
      </c>
      <c r="CA32" s="460" t="e">
        <v>#N/A</v>
      </c>
      <c r="CB32" s="460" t="e">
        <v>#N/A</v>
      </c>
      <c r="CC32" s="460" t="e">
        <v>#N/A</v>
      </c>
    </row>
    <row r="33" spans="1:81" ht="12.75" customHeight="1">
      <c r="A33" s="105">
        <v>28</v>
      </c>
      <c r="B33" s="112" t="str">
        <v>5Y</v>
      </c>
      <c r="C33" s="465">
        <f>'eur disaggregated'!AN44</f>
        <v>-5418.4381978497586</v>
      </c>
      <c r="D33" s="111" t="str">
        <f t="shared" si="6"/>
        <v>60M</v>
      </c>
      <c r="E33" s="441">
        <f t="shared" si="4"/>
        <v>42696</v>
      </c>
      <c r="F33" s="441">
        <f>_xll.qlCalendarAdvance(Calendar,E33,D33)</f>
        <v>44522</v>
      </c>
      <c r="G33" s="462">
        <f t="shared" si="3"/>
        <v>-1.1899999999999999E-3</v>
      </c>
      <c r="H33" s="453">
        <v>-0.11899999999999999</v>
      </c>
      <c r="I33" s="107" t="str">
        <v>22M</v>
      </c>
      <c r="J33" s="106" t="str">
        <f t="shared" si="5"/>
        <v>22M</v>
      </c>
      <c r="K33" s="448">
        <f>_xll.qlCalendarAdvance("TARGET",$C$1,J33)</f>
        <v>43367</v>
      </c>
      <c r="M33" s="99" t="str">
        <v>22M</v>
      </c>
      <c r="N33" s="465">
        <v>0</v>
      </c>
      <c r="P33" s="106" t="b">
        <f t="shared" si="1"/>
        <v>0</v>
      </c>
      <c r="Q33" s="460">
        <f t="array" ref="Q33:CC33">C33*ForwardToZero(OisBuckets,E33,F33,G33)</f>
        <v>0</v>
      </c>
      <c r="R33" s="460">
        <v>0</v>
      </c>
      <c r="S33" s="460">
        <v>0</v>
      </c>
      <c r="T33" s="460">
        <v>0</v>
      </c>
      <c r="U33" s="460">
        <v>0</v>
      </c>
      <c r="V33" s="460">
        <v>0</v>
      </c>
      <c r="W33" s="460">
        <v>0</v>
      </c>
      <c r="X33" s="460">
        <v>0</v>
      </c>
      <c r="Y33" s="460">
        <v>0</v>
      </c>
      <c r="Z33" s="460">
        <v>0</v>
      </c>
      <c r="AA33" s="460">
        <v>0</v>
      </c>
      <c r="AB33" s="460">
        <v>0</v>
      </c>
      <c r="AC33" s="460">
        <v>0</v>
      </c>
      <c r="AD33" s="460">
        <v>0</v>
      </c>
      <c r="AE33" s="460">
        <v>0</v>
      </c>
      <c r="AF33" s="460">
        <v>0</v>
      </c>
      <c r="AG33" s="460">
        <v>0</v>
      </c>
      <c r="AH33" s="460">
        <v>0</v>
      </c>
      <c r="AI33" s="460">
        <v>0</v>
      </c>
      <c r="AJ33" s="460">
        <v>0</v>
      </c>
      <c r="AK33" s="460">
        <v>0</v>
      </c>
      <c r="AL33" s="460">
        <v>0</v>
      </c>
      <c r="AM33" s="460">
        <v>0</v>
      </c>
      <c r="AN33" s="460">
        <v>0</v>
      </c>
      <c r="AO33" s="460">
        <v>0</v>
      </c>
      <c r="AP33" s="460">
        <v>0</v>
      </c>
      <c r="AQ33" s="460">
        <v>0</v>
      </c>
      <c r="AR33" s="460">
        <v>0</v>
      </c>
      <c r="AS33" s="460">
        <v>0</v>
      </c>
      <c r="AT33" s="460">
        <v>0</v>
      </c>
      <c r="AU33" s="460">
        <v>0</v>
      </c>
      <c r="AV33" s="460">
        <v>0</v>
      </c>
      <c r="AW33" s="460">
        <v>-5418.4381978497586</v>
      </c>
      <c r="AX33" s="460">
        <v>0</v>
      </c>
      <c r="AY33" s="460">
        <v>0</v>
      </c>
      <c r="AZ33" s="460">
        <v>0</v>
      </c>
      <c r="BA33" s="460">
        <v>0</v>
      </c>
      <c r="BB33" s="460">
        <v>0</v>
      </c>
      <c r="BC33" s="460">
        <v>0</v>
      </c>
      <c r="BD33" s="460">
        <v>0</v>
      </c>
      <c r="BE33" s="460">
        <v>0</v>
      </c>
      <c r="BF33" s="460">
        <v>0</v>
      </c>
      <c r="BG33" s="460">
        <v>0</v>
      </c>
      <c r="BH33" s="460">
        <v>0</v>
      </c>
      <c r="BI33" s="460">
        <v>0</v>
      </c>
      <c r="BJ33" s="460">
        <v>0</v>
      </c>
      <c r="BK33" s="460">
        <v>0</v>
      </c>
      <c r="BL33" s="460">
        <v>0</v>
      </c>
      <c r="BM33" s="460">
        <v>0</v>
      </c>
      <c r="BN33" s="460">
        <v>0</v>
      </c>
      <c r="BO33" s="460">
        <v>0</v>
      </c>
      <c r="BP33" s="460">
        <v>0</v>
      </c>
      <c r="BQ33" s="460">
        <v>0</v>
      </c>
      <c r="BR33" s="460">
        <v>0</v>
      </c>
      <c r="BS33" s="460">
        <v>0</v>
      </c>
      <c r="BT33" s="460">
        <v>0</v>
      </c>
      <c r="BU33" s="460">
        <v>0</v>
      </c>
      <c r="BV33" s="460">
        <v>0</v>
      </c>
      <c r="BW33" s="460">
        <v>0</v>
      </c>
      <c r="BX33" s="460">
        <v>0</v>
      </c>
      <c r="BY33" s="460">
        <v>0</v>
      </c>
      <c r="BZ33" s="460">
        <v>0</v>
      </c>
      <c r="CA33" s="460" t="e">
        <v>#N/A</v>
      </c>
      <c r="CB33" s="460" t="e">
        <v>#N/A</v>
      </c>
      <c r="CC33" s="460" t="e">
        <v>#N/A</v>
      </c>
    </row>
    <row r="34" spans="1:81" ht="12.75" customHeight="1">
      <c r="A34" s="105">
        <v>29</v>
      </c>
      <c r="B34" s="112" t="str">
        <v>6Y</v>
      </c>
      <c r="C34" s="465">
        <f>'eur disaggregated'!AN45</f>
        <v>-539.35420527099984</v>
      </c>
      <c r="D34" s="111" t="str">
        <f t="shared" si="6"/>
        <v>72M</v>
      </c>
      <c r="E34" s="441">
        <f t="shared" si="4"/>
        <v>42696</v>
      </c>
      <c r="F34" s="441">
        <f>_xll.qlCalendarAdvance(Calendar,E34,D34)</f>
        <v>44887</v>
      </c>
      <c r="G34" s="462">
        <f t="shared" si="3"/>
        <v>-1.0999999999999999E-4</v>
      </c>
      <c r="H34" s="453">
        <v>-1.0999999999999999E-2</v>
      </c>
      <c r="I34" s="107" t="str">
        <v>23M</v>
      </c>
      <c r="J34" s="106" t="str">
        <f t="shared" si="5"/>
        <v>23M</v>
      </c>
      <c r="K34" s="448">
        <f>_xll.qlCalendarAdvance("TARGET",$C$1,J34)</f>
        <v>43395</v>
      </c>
      <c r="M34" s="99" t="str">
        <v>23M</v>
      </c>
      <c r="N34" s="465">
        <v>0</v>
      </c>
      <c r="P34" s="106" t="b">
        <f t="shared" si="1"/>
        <v>0</v>
      </c>
      <c r="Q34" s="460">
        <f t="array" ref="Q34:CC34">C34*ForwardToZero(OisBuckets,E34,F34,G34)</f>
        <v>0</v>
      </c>
      <c r="R34" s="460">
        <v>0</v>
      </c>
      <c r="S34" s="460">
        <v>0</v>
      </c>
      <c r="T34" s="460">
        <v>0</v>
      </c>
      <c r="U34" s="460">
        <v>0</v>
      </c>
      <c r="V34" s="460">
        <v>0</v>
      </c>
      <c r="W34" s="460">
        <v>0</v>
      </c>
      <c r="X34" s="460">
        <v>0</v>
      </c>
      <c r="Y34" s="460">
        <v>0</v>
      </c>
      <c r="Z34" s="460">
        <v>0</v>
      </c>
      <c r="AA34" s="460">
        <v>0</v>
      </c>
      <c r="AB34" s="460">
        <v>0</v>
      </c>
      <c r="AC34" s="460">
        <v>0</v>
      </c>
      <c r="AD34" s="460">
        <v>0</v>
      </c>
      <c r="AE34" s="460">
        <v>0</v>
      </c>
      <c r="AF34" s="460">
        <v>0</v>
      </c>
      <c r="AG34" s="460">
        <v>0</v>
      </c>
      <c r="AH34" s="460">
        <v>0</v>
      </c>
      <c r="AI34" s="460">
        <v>0</v>
      </c>
      <c r="AJ34" s="460">
        <v>0</v>
      </c>
      <c r="AK34" s="460">
        <v>0</v>
      </c>
      <c r="AL34" s="460">
        <v>0</v>
      </c>
      <c r="AM34" s="460">
        <v>0</v>
      </c>
      <c r="AN34" s="460">
        <v>0</v>
      </c>
      <c r="AO34" s="460">
        <v>0</v>
      </c>
      <c r="AP34" s="460">
        <v>0</v>
      </c>
      <c r="AQ34" s="460">
        <v>0</v>
      </c>
      <c r="AR34" s="460">
        <v>0</v>
      </c>
      <c r="AS34" s="460">
        <v>0</v>
      </c>
      <c r="AT34" s="460">
        <v>0</v>
      </c>
      <c r="AU34" s="460">
        <v>0</v>
      </c>
      <c r="AV34" s="460">
        <v>0</v>
      </c>
      <c r="AW34" s="460">
        <v>0</v>
      </c>
      <c r="AX34" s="460">
        <v>-539.35420527099984</v>
      </c>
      <c r="AY34" s="460">
        <v>0</v>
      </c>
      <c r="AZ34" s="460">
        <v>0</v>
      </c>
      <c r="BA34" s="460">
        <v>0</v>
      </c>
      <c r="BB34" s="460">
        <v>0</v>
      </c>
      <c r="BC34" s="460">
        <v>0</v>
      </c>
      <c r="BD34" s="460">
        <v>0</v>
      </c>
      <c r="BE34" s="460">
        <v>0</v>
      </c>
      <c r="BF34" s="460">
        <v>0</v>
      </c>
      <c r="BG34" s="460">
        <v>0</v>
      </c>
      <c r="BH34" s="460">
        <v>0</v>
      </c>
      <c r="BI34" s="460">
        <v>0</v>
      </c>
      <c r="BJ34" s="460">
        <v>0</v>
      </c>
      <c r="BK34" s="460">
        <v>0</v>
      </c>
      <c r="BL34" s="460">
        <v>0</v>
      </c>
      <c r="BM34" s="460">
        <v>0</v>
      </c>
      <c r="BN34" s="460">
        <v>0</v>
      </c>
      <c r="BO34" s="460">
        <v>0</v>
      </c>
      <c r="BP34" s="460">
        <v>0</v>
      </c>
      <c r="BQ34" s="460">
        <v>0</v>
      </c>
      <c r="BR34" s="460">
        <v>0</v>
      </c>
      <c r="BS34" s="460">
        <v>0</v>
      </c>
      <c r="BT34" s="460">
        <v>0</v>
      </c>
      <c r="BU34" s="460">
        <v>0</v>
      </c>
      <c r="BV34" s="460">
        <v>0</v>
      </c>
      <c r="BW34" s="460">
        <v>0</v>
      </c>
      <c r="BX34" s="460">
        <v>0</v>
      </c>
      <c r="BY34" s="460">
        <v>0</v>
      </c>
      <c r="BZ34" s="460">
        <v>0</v>
      </c>
      <c r="CA34" s="460" t="e">
        <v>#N/A</v>
      </c>
      <c r="CB34" s="460" t="e">
        <v>#N/A</v>
      </c>
      <c r="CC34" s="460" t="e">
        <v>#N/A</v>
      </c>
    </row>
    <row r="35" spans="1:81" ht="12.75" customHeight="1">
      <c r="A35" s="105">
        <v>30</v>
      </c>
      <c r="B35" s="112" t="str">
        <v>7Y</v>
      </c>
      <c r="C35" s="465">
        <f>'eur disaggregated'!AN46</f>
        <v>1497.1933518730114</v>
      </c>
      <c r="D35" s="111" t="str">
        <f t="shared" si="6"/>
        <v>84M</v>
      </c>
      <c r="E35" s="441">
        <f t="shared" si="4"/>
        <v>42696</v>
      </c>
      <c r="F35" s="441">
        <f>_xll.qlCalendarAdvance(Calendar,E35,D35)</f>
        <v>45252</v>
      </c>
      <c r="G35" s="462">
        <f t="shared" si="3"/>
        <v>1.0499999999999999E-3</v>
      </c>
      <c r="H35" s="453">
        <v>0.105</v>
      </c>
      <c r="I35" s="107" t="str">
        <v>2Y</v>
      </c>
      <c r="J35" s="106" t="str">
        <f t="shared" si="5"/>
        <v>24M</v>
      </c>
      <c r="K35" s="448">
        <f>_xll.qlCalendarAdvance("TARGET",$C$1,J35)</f>
        <v>43426</v>
      </c>
      <c r="M35" s="99" t="str">
        <v>2Y</v>
      </c>
      <c r="N35" s="465">
        <v>6.4722918815619579</v>
      </c>
      <c r="P35" s="106" t="b">
        <f t="shared" si="1"/>
        <v>0</v>
      </c>
      <c r="Q35" s="460">
        <f t="array" ref="Q35:CC35">C35*ForwardToZero(OisBuckets,E35,F35,G35)</f>
        <v>0</v>
      </c>
      <c r="R35" s="460">
        <v>0</v>
      </c>
      <c r="S35" s="460">
        <v>0</v>
      </c>
      <c r="T35" s="460">
        <v>0</v>
      </c>
      <c r="U35" s="460">
        <v>0</v>
      </c>
      <c r="V35" s="460">
        <v>0</v>
      </c>
      <c r="W35" s="460">
        <v>0</v>
      </c>
      <c r="X35" s="460">
        <v>0</v>
      </c>
      <c r="Y35" s="460">
        <v>0</v>
      </c>
      <c r="Z35" s="460">
        <v>0</v>
      </c>
      <c r="AA35" s="460">
        <v>0</v>
      </c>
      <c r="AB35" s="460">
        <v>0</v>
      </c>
      <c r="AC35" s="460">
        <v>0</v>
      </c>
      <c r="AD35" s="460">
        <v>0</v>
      </c>
      <c r="AE35" s="460">
        <v>0</v>
      </c>
      <c r="AF35" s="460">
        <v>0</v>
      </c>
      <c r="AG35" s="460">
        <v>0</v>
      </c>
      <c r="AH35" s="460">
        <v>0</v>
      </c>
      <c r="AI35" s="460">
        <v>0</v>
      </c>
      <c r="AJ35" s="460">
        <v>0</v>
      </c>
      <c r="AK35" s="460">
        <v>0</v>
      </c>
      <c r="AL35" s="460">
        <v>0</v>
      </c>
      <c r="AM35" s="460">
        <v>0</v>
      </c>
      <c r="AN35" s="460">
        <v>0</v>
      </c>
      <c r="AO35" s="460">
        <v>0</v>
      </c>
      <c r="AP35" s="460">
        <v>0</v>
      </c>
      <c r="AQ35" s="460">
        <v>0</v>
      </c>
      <c r="AR35" s="460">
        <v>0</v>
      </c>
      <c r="AS35" s="460">
        <v>0</v>
      </c>
      <c r="AT35" s="460">
        <v>0</v>
      </c>
      <c r="AU35" s="460">
        <v>0</v>
      </c>
      <c r="AV35" s="460">
        <v>0</v>
      </c>
      <c r="AW35" s="460">
        <v>0</v>
      </c>
      <c r="AX35" s="460">
        <v>0</v>
      </c>
      <c r="AY35" s="460">
        <v>1497.1933518730114</v>
      </c>
      <c r="AZ35" s="460">
        <v>0</v>
      </c>
      <c r="BA35" s="460">
        <v>0</v>
      </c>
      <c r="BB35" s="460">
        <v>0</v>
      </c>
      <c r="BC35" s="460">
        <v>0</v>
      </c>
      <c r="BD35" s="460">
        <v>0</v>
      </c>
      <c r="BE35" s="460">
        <v>0</v>
      </c>
      <c r="BF35" s="460">
        <v>0</v>
      </c>
      <c r="BG35" s="460">
        <v>0</v>
      </c>
      <c r="BH35" s="460">
        <v>0</v>
      </c>
      <c r="BI35" s="460">
        <v>0</v>
      </c>
      <c r="BJ35" s="460">
        <v>0</v>
      </c>
      <c r="BK35" s="460">
        <v>0</v>
      </c>
      <c r="BL35" s="460">
        <v>0</v>
      </c>
      <c r="BM35" s="460">
        <v>0</v>
      </c>
      <c r="BN35" s="460">
        <v>0</v>
      </c>
      <c r="BO35" s="460">
        <v>0</v>
      </c>
      <c r="BP35" s="460">
        <v>0</v>
      </c>
      <c r="BQ35" s="460">
        <v>0</v>
      </c>
      <c r="BR35" s="460">
        <v>0</v>
      </c>
      <c r="BS35" s="460">
        <v>0</v>
      </c>
      <c r="BT35" s="460">
        <v>0</v>
      </c>
      <c r="BU35" s="460">
        <v>0</v>
      </c>
      <c r="BV35" s="460">
        <v>0</v>
      </c>
      <c r="BW35" s="460">
        <v>0</v>
      </c>
      <c r="BX35" s="460">
        <v>0</v>
      </c>
      <c r="BY35" s="460">
        <v>0</v>
      </c>
      <c r="BZ35" s="460">
        <v>0</v>
      </c>
      <c r="CA35" s="460" t="e">
        <v>#N/A</v>
      </c>
      <c r="CB35" s="460" t="e">
        <v>#N/A</v>
      </c>
      <c r="CC35" s="460" t="e">
        <v>#N/A</v>
      </c>
    </row>
    <row r="36" spans="1:81" ht="12.75" customHeight="1">
      <c r="A36" s="105">
        <v>31</v>
      </c>
      <c r="B36" s="112" t="str">
        <v>8Y</v>
      </c>
      <c r="C36" s="465">
        <f>'eur disaggregated'!AN47</f>
        <v>12029.036371704342</v>
      </c>
      <c r="D36" s="111" t="str">
        <f t="shared" si="6"/>
        <v>96M</v>
      </c>
      <c r="E36" s="441">
        <f t="shared" si="4"/>
        <v>42696</v>
      </c>
      <c r="F36" s="441">
        <f>_xll.qlCalendarAdvance(Calendar,E36,D36)</f>
        <v>45618</v>
      </c>
      <c r="G36" s="462">
        <f t="shared" si="3"/>
        <v>2.2200000000000002E-3</v>
      </c>
      <c r="H36" s="453">
        <v>0.222</v>
      </c>
      <c r="I36" s="107" t="str">
        <v>3Y</v>
      </c>
      <c r="J36" s="106" t="str">
        <f t="shared" si="5"/>
        <v>36M</v>
      </c>
      <c r="K36" s="448">
        <f>_xll.qlCalendarAdvance("TARGET",$C$1,J36)</f>
        <v>43791</v>
      </c>
      <c r="M36" s="99" t="str">
        <v>3Y</v>
      </c>
      <c r="N36" s="465">
        <v>446.14476099528372</v>
      </c>
      <c r="P36" s="106" t="b">
        <f t="shared" si="1"/>
        <v>0</v>
      </c>
      <c r="Q36" s="460">
        <f t="array" ref="Q36:CC36">C36*ForwardToZero(OisBuckets,E36,F36,G36)</f>
        <v>0</v>
      </c>
      <c r="R36" s="460">
        <v>0</v>
      </c>
      <c r="S36" s="460">
        <v>0</v>
      </c>
      <c r="T36" s="460">
        <v>0</v>
      </c>
      <c r="U36" s="460">
        <v>0</v>
      </c>
      <c r="V36" s="460">
        <v>0</v>
      </c>
      <c r="W36" s="460">
        <v>0</v>
      </c>
      <c r="X36" s="460">
        <v>0</v>
      </c>
      <c r="Y36" s="460">
        <v>0</v>
      </c>
      <c r="Z36" s="460">
        <v>0</v>
      </c>
      <c r="AA36" s="460">
        <v>0</v>
      </c>
      <c r="AB36" s="460">
        <v>0</v>
      </c>
      <c r="AC36" s="460">
        <v>0</v>
      </c>
      <c r="AD36" s="460">
        <v>0</v>
      </c>
      <c r="AE36" s="460">
        <v>0</v>
      </c>
      <c r="AF36" s="460">
        <v>0</v>
      </c>
      <c r="AG36" s="460">
        <v>0</v>
      </c>
      <c r="AH36" s="460">
        <v>0</v>
      </c>
      <c r="AI36" s="460">
        <v>0</v>
      </c>
      <c r="AJ36" s="460">
        <v>0</v>
      </c>
      <c r="AK36" s="460">
        <v>0</v>
      </c>
      <c r="AL36" s="460">
        <v>0</v>
      </c>
      <c r="AM36" s="460">
        <v>0</v>
      </c>
      <c r="AN36" s="460">
        <v>0</v>
      </c>
      <c r="AO36" s="460">
        <v>0</v>
      </c>
      <c r="AP36" s="460">
        <v>0</v>
      </c>
      <c r="AQ36" s="460">
        <v>0</v>
      </c>
      <c r="AR36" s="460">
        <v>0</v>
      </c>
      <c r="AS36" s="460">
        <v>0</v>
      </c>
      <c r="AT36" s="460">
        <v>0</v>
      </c>
      <c r="AU36" s="460">
        <v>0</v>
      </c>
      <c r="AV36" s="460">
        <v>0</v>
      </c>
      <c r="AW36" s="460">
        <v>0</v>
      </c>
      <c r="AX36" s="460">
        <v>0</v>
      </c>
      <c r="AY36" s="460">
        <v>0</v>
      </c>
      <c r="AZ36" s="460">
        <v>12029.036371704342</v>
      </c>
      <c r="BA36" s="460">
        <v>0</v>
      </c>
      <c r="BB36" s="460">
        <v>0</v>
      </c>
      <c r="BC36" s="460">
        <v>0</v>
      </c>
      <c r="BD36" s="460">
        <v>0</v>
      </c>
      <c r="BE36" s="460">
        <v>0</v>
      </c>
      <c r="BF36" s="460">
        <v>0</v>
      </c>
      <c r="BG36" s="460">
        <v>0</v>
      </c>
      <c r="BH36" s="460">
        <v>0</v>
      </c>
      <c r="BI36" s="460">
        <v>0</v>
      </c>
      <c r="BJ36" s="460">
        <v>0</v>
      </c>
      <c r="BK36" s="460">
        <v>0</v>
      </c>
      <c r="BL36" s="460">
        <v>0</v>
      </c>
      <c r="BM36" s="460">
        <v>0</v>
      </c>
      <c r="BN36" s="460">
        <v>0</v>
      </c>
      <c r="BO36" s="460">
        <v>0</v>
      </c>
      <c r="BP36" s="460">
        <v>0</v>
      </c>
      <c r="BQ36" s="460">
        <v>0</v>
      </c>
      <c r="BR36" s="460">
        <v>0</v>
      </c>
      <c r="BS36" s="460">
        <v>0</v>
      </c>
      <c r="BT36" s="460">
        <v>0</v>
      </c>
      <c r="BU36" s="460">
        <v>0</v>
      </c>
      <c r="BV36" s="460">
        <v>0</v>
      </c>
      <c r="BW36" s="460">
        <v>0</v>
      </c>
      <c r="BX36" s="460">
        <v>0</v>
      </c>
      <c r="BY36" s="460">
        <v>0</v>
      </c>
      <c r="BZ36" s="460">
        <v>0</v>
      </c>
      <c r="CA36" s="460" t="e">
        <v>#N/A</v>
      </c>
      <c r="CB36" s="460" t="e">
        <v>#N/A</v>
      </c>
      <c r="CC36" s="460" t="e">
        <v>#N/A</v>
      </c>
    </row>
    <row r="37" spans="1:81" ht="12.75" customHeight="1">
      <c r="A37" s="105">
        <v>32</v>
      </c>
      <c r="B37" s="112" t="str">
        <v>9Y</v>
      </c>
      <c r="C37" s="465">
        <f>'eur disaggregated'!AN48</f>
        <v>-77152.877687052911</v>
      </c>
      <c r="D37" s="111" t="str">
        <f t="shared" si="6"/>
        <v>108M</v>
      </c>
      <c r="E37" s="441">
        <f t="shared" si="4"/>
        <v>42696</v>
      </c>
      <c r="F37" s="441">
        <f>_xll.qlCalendarAdvance(Calendar,E37,D37)</f>
        <v>45985</v>
      </c>
      <c r="G37" s="462">
        <f t="shared" si="3"/>
        <v>3.3600000000000001E-3</v>
      </c>
      <c r="H37" s="453">
        <v>0.33600000000000002</v>
      </c>
      <c r="I37" s="107" t="str">
        <v>4Y</v>
      </c>
      <c r="J37" s="106" t="str">
        <f t="shared" si="5"/>
        <v>48M</v>
      </c>
      <c r="K37" s="448">
        <f>_xll.qlCalendarAdvance("TARGET",$C$1,J37)</f>
        <v>44158</v>
      </c>
      <c r="M37" s="99" t="str">
        <v>4Y</v>
      </c>
      <c r="N37" s="465">
        <v>-2457.6391570731184</v>
      </c>
      <c r="P37" s="106" t="b">
        <f t="shared" si="1"/>
        <v>0</v>
      </c>
      <c r="Q37" s="460">
        <f t="array" ref="Q37:CC37">C37*ForwardToZero(OisBuckets,E37,F37,G37)</f>
        <v>0</v>
      </c>
      <c r="R37" s="460">
        <v>0</v>
      </c>
      <c r="S37" s="460">
        <v>0</v>
      </c>
      <c r="T37" s="460">
        <v>0</v>
      </c>
      <c r="U37" s="460">
        <v>0</v>
      </c>
      <c r="V37" s="460">
        <v>0</v>
      </c>
      <c r="W37" s="460">
        <v>0</v>
      </c>
      <c r="X37" s="460">
        <v>0</v>
      </c>
      <c r="Y37" s="460">
        <v>0</v>
      </c>
      <c r="Z37" s="460">
        <v>0</v>
      </c>
      <c r="AA37" s="460">
        <v>0</v>
      </c>
      <c r="AB37" s="460">
        <v>0</v>
      </c>
      <c r="AC37" s="460">
        <v>0</v>
      </c>
      <c r="AD37" s="460">
        <v>0</v>
      </c>
      <c r="AE37" s="460">
        <v>0</v>
      </c>
      <c r="AF37" s="460">
        <v>0</v>
      </c>
      <c r="AG37" s="460">
        <v>0</v>
      </c>
      <c r="AH37" s="460">
        <v>0</v>
      </c>
      <c r="AI37" s="460">
        <v>0</v>
      </c>
      <c r="AJ37" s="460">
        <v>0</v>
      </c>
      <c r="AK37" s="460">
        <v>0</v>
      </c>
      <c r="AL37" s="460">
        <v>0</v>
      </c>
      <c r="AM37" s="460">
        <v>0</v>
      </c>
      <c r="AN37" s="460">
        <v>0</v>
      </c>
      <c r="AO37" s="460">
        <v>0</v>
      </c>
      <c r="AP37" s="460">
        <v>0</v>
      </c>
      <c r="AQ37" s="460">
        <v>0</v>
      </c>
      <c r="AR37" s="460">
        <v>0</v>
      </c>
      <c r="AS37" s="460">
        <v>0</v>
      </c>
      <c r="AT37" s="460">
        <v>0</v>
      </c>
      <c r="AU37" s="460">
        <v>0</v>
      </c>
      <c r="AV37" s="460">
        <v>0</v>
      </c>
      <c r="AW37" s="460">
        <v>0</v>
      </c>
      <c r="AX37" s="460">
        <v>0</v>
      </c>
      <c r="AY37" s="460">
        <v>0</v>
      </c>
      <c r="AZ37" s="460">
        <v>0</v>
      </c>
      <c r="BA37" s="460">
        <v>-77152.877687052911</v>
      </c>
      <c r="BB37" s="460">
        <v>0</v>
      </c>
      <c r="BC37" s="460">
        <v>0</v>
      </c>
      <c r="BD37" s="460">
        <v>0</v>
      </c>
      <c r="BE37" s="460">
        <v>0</v>
      </c>
      <c r="BF37" s="460">
        <v>0</v>
      </c>
      <c r="BG37" s="460">
        <v>0</v>
      </c>
      <c r="BH37" s="460">
        <v>0</v>
      </c>
      <c r="BI37" s="460">
        <v>0</v>
      </c>
      <c r="BJ37" s="460">
        <v>0</v>
      </c>
      <c r="BK37" s="460">
        <v>0</v>
      </c>
      <c r="BL37" s="460">
        <v>0</v>
      </c>
      <c r="BM37" s="460">
        <v>0</v>
      </c>
      <c r="BN37" s="460">
        <v>0</v>
      </c>
      <c r="BO37" s="460">
        <v>0</v>
      </c>
      <c r="BP37" s="460">
        <v>0</v>
      </c>
      <c r="BQ37" s="460">
        <v>0</v>
      </c>
      <c r="BR37" s="460">
        <v>0</v>
      </c>
      <c r="BS37" s="460">
        <v>0</v>
      </c>
      <c r="BT37" s="460">
        <v>0</v>
      </c>
      <c r="BU37" s="460">
        <v>0</v>
      </c>
      <c r="BV37" s="460">
        <v>0</v>
      </c>
      <c r="BW37" s="460">
        <v>0</v>
      </c>
      <c r="BX37" s="460">
        <v>0</v>
      </c>
      <c r="BY37" s="460">
        <v>0</v>
      </c>
      <c r="BZ37" s="460">
        <v>0</v>
      </c>
      <c r="CA37" s="460" t="e">
        <v>#N/A</v>
      </c>
      <c r="CB37" s="460" t="e">
        <v>#N/A</v>
      </c>
      <c r="CC37" s="460" t="e">
        <v>#N/A</v>
      </c>
    </row>
    <row r="38" spans="1:81" ht="12.75" customHeight="1">
      <c r="A38" s="105">
        <v>33</v>
      </c>
      <c r="B38" s="112" t="str">
        <v>10Y</v>
      </c>
      <c r="C38" s="465">
        <f>'eur disaggregated'!AN49</f>
        <v>-27250.900065394704</v>
      </c>
      <c r="D38" s="111" t="str">
        <f t="shared" si="6"/>
        <v>120M</v>
      </c>
      <c r="E38" s="441">
        <f t="shared" si="4"/>
        <v>42696</v>
      </c>
      <c r="F38" s="441">
        <f>_xll.qlCalendarAdvance(Calendar,E38,D38)</f>
        <v>46349</v>
      </c>
      <c r="G38" s="462">
        <f t="shared" si="3"/>
        <v>4.4200000000000003E-3</v>
      </c>
      <c r="H38" s="453">
        <v>0.442</v>
      </c>
      <c r="I38" s="107" t="str">
        <v>5Y</v>
      </c>
      <c r="J38" s="106" t="str">
        <f t="shared" si="5"/>
        <v>60M</v>
      </c>
      <c r="K38" s="448">
        <f>_xll.qlCalendarAdvance("TARGET",$C$1,J38)</f>
        <v>44522</v>
      </c>
      <c r="M38" s="99" t="str">
        <v>5Y</v>
      </c>
      <c r="N38" s="465">
        <v>-5418.4381978497586</v>
      </c>
      <c r="P38" s="106" t="b">
        <f t="shared" ref="P38:P68" si="7">MID(B38,4,1)=" "</f>
        <v>0</v>
      </c>
      <c r="Q38" s="460">
        <f t="array" ref="Q38:CC38">C38*ForwardToZero(OisBuckets,E38,F38,G38)</f>
        <v>0</v>
      </c>
      <c r="R38" s="460">
        <v>0</v>
      </c>
      <c r="S38" s="460">
        <v>0</v>
      </c>
      <c r="T38" s="460">
        <v>0</v>
      </c>
      <c r="U38" s="460">
        <v>0</v>
      </c>
      <c r="V38" s="460">
        <v>0</v>
      </c>
      <c r="W38" s="460">
        <v>0</v>
      </c>
      <c r="X38" s="460">
        <v>0</v>
      </c>
      <c r="Y38" s="460">
        <v>0</v>
      </c>
      <c r="Z38" s="460">
        <v>0</v>
      </c>
      <c r="AA38" s="460">
        <v>0</v>
      </c>
      <c r="AB38" s="460">
        <v>0</v>
      </c>
      <c r="AC38" s="460">
        <v>0</v>
      </c>
      <c r="AD38" s="460">
        <v>0</v>
      </c>
      <c r="AE38" s="460">
        <v>0</v>
      </c>
      <c r="AF38" s="460">
        <v>0</v>
      </c>
      <c r="AG38" s="460">
        <v>0</v>
      </c>
      <c r="AH38" s="460">
        <v>0</v>
      </c>
      <c r="AI38" s="460">
        <v>0</v>
      </c>
      <c r="AJ38" s="460">
        <v>0</v>
      </c>
      <c r="AK38" s="460">
        <v>0</v>
      </c>
      <c r="AL38" s="460">
        <v>0</v>
      </c>
      <c r="AM38" s="460">
        <v>0</v>
      </c>
      <c r="AN38" s="460">
        <v>0</v>
      </c>
      <c r="AO38" s="460">
        <v>0</v>
      </c>
      <c r="AP38" s="460">
        <v>0</v>
      </c>
      <c r="AQ38" s="460">
        <v>0</v>
      </c>
      <c r="AR38" s="460">
        <v>0</v>
      </c>
      <c r="AS38" s="460">
        <v>0</v>
      </c>
      <c r="AT38" s="460">
        <v>0</v>
      </c>
      <c r="AU38" s="460">
        <v>0</v>
      </c>
      <c r="AV38" s="460">
        <v>0</v>
      </c>
      <c r="AW38" s="460">
        <v>0</v>
      </c>
      <c r="AX38" s="460">
        <v>0</v>
      </c>
      <c r="AY38" s="460">
        <v>0</v>
      </c>
      <c r="AZ38" s="460">
        <v>0</v>
      </c>
      <c r="BA38" s="460">
        <v>0</v>
      </c>
      <c r="BB38" s="460">
        <v>-27250.900065394704</v>
      </c>
      <c r="BC38" s="460">
        <v>0</v>
      </c>
      <c r="BD38" s="460">
        <v>0</v>
      </c>
      <c r="BE38" s="460">
        <v>0</v>
      </c>
      <c r="BF38" s="460">
        <v>0</v>
      </c>
      <c r="BG38" s="460">
        <v>0</v>
      </c>
      <c r="BH38" s="460">
        <v>0</v>
      </c>
      <c r="BI38" s="460">
        <v>0</v>
      </c>
      <c r="BJ38" s="460">
        <v>0</v>
      </c>
      <c r="BK38" s="460">
        <v>0</v>
      </c>
      <c r="BL38" s="460">
        <v>0</v>
      </c>
      <c r="BM38" s="460">
        <v>0</v>
      </c>
      <c r="BN38" s="460">
        <v>0</v>
      </c>
      <c r="BO38" s="460">
        <v>0</v>
      </c>
      <c r="BP38" s="460">
        <v>0</v>
      </c>
      <c r="BQ38" s="460">
        <v>0</v>
      </c>
      <c r="BR38" s="460">
        <v>0</v>
      </c>
      <c r="BS38" s="460">
        <v>0</v>
      </c>
      <c r="BT38" s="460">
        <v>0</v>
      </c>
      <c r="BU38" s="460">
        <v>0</v>
      </c>
      <c r="BV38" s="460">
        <v>0</v>
      </c>
      <c r="BW38" s="460">
        <v>0</v>
      </c>
      <c r="BX38" s="460">
        <v>0</v>
      </c>
      <c r="BY38" s="460">
        <v>0</v>
      </c>
      <c r="BZ38" s="460">
        <v>0</v>
      </c>
      <c r="CA38" s="460" t="e">
        <v>#N/A</v>
      </c>
      <c r="CB38" s="460" t="e">
        <v>#N/A</v>
      </c>
      <c r="CC38" s="460" t="e">
        <v>#N/A</v>
      </c>
    </row>
    <row r="39" spans="1:81" ht="12.75" customHeight="1">
      <c r="A39" s="105">
        <v>34</v>
      </c>
      <c r="B39" s="112" t="str">
        <v>11Y</v>
      </c>
      <c r="C39" s="465">
        <f>'eur disaggregated'!AN50</f>
        <v>200856.91014195859</v>
      </c>
      <c r="D39" s="111" t="str">
        <f t="shared" si="6"/>
        <v>132M</v>
      </c>
      <c r="E39" s="441">
        <f t="shared" si="4"/>
        <v>42696</v>
      </c>
      <c r="F39" s="441">
        <f>_xll.qlCalendarAdvance(Calendar,E39,D39)</f>
        <v>46713</v>
      </c>
      <c r="G39" s="462">
        <f t="shared" si="3"/>
        <v>5.3659216799999999E-3</v>
      </c>
      <c r="H39" s="453">
        <v>0.53659216799999998</v>
      </c>
      <c r="I39" s="107" t="str">
        <v>6Y</v>
      </c>
      <c r="J39" s="106" t="str">
        <f t="shared" si="5"/>
        <v>72M</v>
      </c>
      <c r="K39" s="448">
        <f>_xll.qlCalendarAdvance("TARGET",$C$1,J39)</f>
        <v>44887</v>
      </c>
      <c r="M39" s="99" t="str">
        <v>6Y</v>
      </c>
      <c r="N39" s="465">
        <v>-539.35420527099984</v>
      </c>
      <c r="P39" s="106" t="b">
        <f t="shared" si="7"/>
        <v>0</v>
      </c>
      <c r="Q39" s="460">
        <f t="array" ref="Q39:CC39">C39*ForwardToZero(OisBuckets,E39,F39,G39)</f>
        <v>0</v>
      </c>
      <c r="R39" s="460">
        <v>0</v>
      </c>
      <c r="S39" s="460">
        <v>0</v>
      </c>
      <c r="T39" s="460">
        <v>0</v>
      </c>
      <c r="U39" s="460">
        <v>0</v>
      </c>
      <c r="V39" s="460">
        <v>0</v>
      </c>
      <c r="W39" s="460">
        <v>0</v>
      </c>
      <c r="X39" s="460">
        <v>0</v>
      </c>
      <c r="Y39" s="460">
        <v>0</v>
      </c>
      <c r="Z39" s="460">
        <v>0</v>
      </c>
      <c r="AA39" s="460">
        <v>0</v>
      </c>
      <c r="AB39" s="460">
        <v>0</v>
      </c>
      <c r="AC39" s="460">
        <v>0</v>
      </c>
      <c r="AD39" s="460">
        <v>0</v>
      </c>
      <c r="AE39" s="460">
        <v>0</v>
      </c>
      <c r="AF39" s="460">
        <v>0</v>
      </c>
      <c r="AG39" s="460">
        <v>0</v>
      </c>
      <c r="AH39" s="460">
        <v>0</v>
      </c>
      <c r="AI39" s="460">
        <v>0</v>
      </c>
      <c r="AJ39" s="460">
        <v>0</v>
      </c>
      <c r="AK39" s="460">
        <v>0</v>
      </c>
      <c r="AL39" s="460">
        <v>0</v>
      </c>
      <c r="AM39" s="460">
        <v>0</v>
      </c>
      <c r="AN39" s="460">
        <v>0</v>
      </c>
      <c r="AO39" s="460">
        <v>0</v>
      </c>
      <c r="AP39" s="460">
        <v>0</v>
      </c>
      <c r="AQ39" s="460">
        <v>0</v>
      </c>
      <c r="AR39" s="460">
        <v>0</v>
      </c>
      <c r="AS39" s="460">
        <v>0</v>
      </c>
      <c r="AT39" s="460">
        <v>0</v>
      </c>
      <c r="AU39" s="460">
        <v>0</v>
      </c>
      <c r="AV39" s="460">
        <v>0</v>
      </c>
      <c r="AW39" s="460">
        <v>0</v>
      </c>
      <c r="AX39" s="460">
        <v>0</v>
      </c>
      <c r="AY39" s="460">
        <v>0</v>
      </c>
      <c r="AZ39" s="460">
        <v>0</v>
      </c>
      <c r="BA39" s="460">
        <v>0</v>
      </c>
      <c r="BB39" s="460">
        <v>0</v>
      </c>
      <c r="BC39" s="460">
        <v>200856.91014195859</v>
      </c>
      <c r="BD39" s="460">
        <v>0</v>
      </c>
      <c r="BE39" s="460">
        <v>0</v>
      </c>
      <c r="BF39" s="460">
        <v>0</v>
      </c>
      <c r="BG39" s="460">
        <v>0</v>
      </c>
      <c r="BH39" s="460">
        <v>0</v>
      </c>
      <c r="BI39" s="460">
        <v>0</v>
      </c>
      <c r="BJ39" s="460">
        <v>0</v>
      </c>
      <c r="BK39" s="460">
        <v>0</v>
      </c>
      <c r="BL39" s="460">
        <v>0</v>
      </c>
      <c r="BM39" s="460">
        <v>0</v>
      </c>
      <c r="BN39" s="460">
        <v>0</v>
      </c>
      <c r="BO39" s="460">
        <v>0</v>
      </c>
      <c r="BP39" s="460">
        <v>0</v>
      </c>
      <c r="BQ39" s="460">
        <v>0</v>
      </c>
      <c r="BR39" s="460">
        <v>0</v>
      </c>
      <c r="BS39" s="460">
        <v>0</v>
      </c>
      <c r="BT39" s="460">
        <v>0</v>
      </c>
      <c r="BU39" s="460">
        <v>0</v>
      </c>
      <c r="BV39" s="460">
        <v>0</v>
      </c>
      <c r="BW39" s="460">
        <v>0</v>
      </c>
      <c r="BX39" s="460">
        <v>0</v>
      </c>
      <c r="BY39" s="460">
        <v>0</v>
      </c>
      <c r="BZ39" s="460">
        <v>0</v>
      </c>
      <c r="CA39" s="460" t="e">
        <v>#N/A</v>
      </c>
      <c r="CB39" s="460" t="e">
        <v>#N/A</v>
      </c>
      <c r="CC39" s="460" t="e">
        <v>#N/A</v>
      </c>
    </row>
    <row r="40" spans="1:81" ht="12.75" customHeight="1">
      <c r="A40" s="105">
        <v>35</v>
      </c>
      <c r="B40" s="112" t="str">
        <v>12Y</v>
      </c>
      <c r="C40" s="465">
        <f>'eur disaggregated'!AN51</f>
        <v>-67936.948656487264</v>
      </c>
      <c r="D40" s="111" t="str">
        <f t="shared" si="6"/>
        <v>144M</v>
      </c>
      <c r="E40" s="441">
        <f t="shared" si="4"/>
        <v>42696</v>
      </c>
      <c r="F40" s="441">
        <f>_xll.qlCalendarAdvance(Calendar,E40,D40)</f>
        <v>47079</v>
      </c>
      <c r="G40" s="462">
        <f t="shared" si="3"/>
        <v>6.2100000000000002E-3</v>
      </c>
      <c r="H40" s="453">
        <v>0.621</v>
      </c>
      <c r="I40" s="107" t="str">
        <v>7Y</v>
      </c>
      <c r="J40" s="106" t="str">
        <f t="shared" si="5"/>
        <v>84M</v>
      </c>
      <c r="K40" s="448">
        <f>_xll.qlCalendarAdvance("TARGET",$C$1,J40)</f>
        <v>45252</v>
      </c>
      <c r="M40" s="99" t="str">
        <v>7Y</v>
      </c>
      <c r="N40" s="465">
        <v>1497.1933518730114</v>
      </c>
      <c r="P40" s="106" t="b">
        <f t="shared" si="7"/>
        <v>0</v>
      </c>
      <c r="Q40" s="460">
        <f t="array" ref="Q40:CC40">C40*ForwardToZero(OisBuckets,E40,F40,G40)</f>
        <v>0</v>
      </c>
      <c r="R40" s="460">
        <v>0</v>
      </c>
      <c r="S40" s="460">
        <v>0</v>
      </c>
      <c r="T40" s="460">
        <v>0</v>
      </c>
      <c r="U40" s="460">
        <v>0</v>
      </c>
      <c r="V40" s="460">
        <v>0</v>
      </c>
      <c r="W40" s="460">
        <v>0</v>
      </c>
      <c r="X40" s="460">
        <v>0</v>
      </c>
      <c r="Y40" s="460">
        <v>0</v>
      </c>
      <c r="Z40" s="460">
        <v>0</v>
      </c>
      <c r="AA40" s="460">
        <v>0</v>
      </c>
      <c r="AB40" s="460">
        <v>0</v>
      </c>
      <c r="AC40" s="460">
        <v>0</v>
      </c>
      <c r="AD40" s="460">
        <v>0</v>
      </c>
      <c r="AE40" s="460">
        <v>0</v>
      </c>
      <c r="AF40" s="460">
        <v>0</v>
      </c>
      <c r="AG40" s="460">
        <v>0</v>
      </c>
      <c r="AH40" s="460">
        <v>0</v>
      </c>
      <c r="AI40" s="460">
        <v>0</v>
      </c>
      <c r="AJ40" s="460">
        <v>0</v>
      </c>
      <c r="AK40" s="460">
        <v>0</v>
      </c>
      <c r="AL40" s="460">
        <v>0</v>
      </c>
      <c r="AM40" s="460">
        <v>0</v>
      </c>
      <c r="AN40" s="460">
        <v>0</v>
      </c>
      <c r="AO40" s="460">
        <v>0</v>
      </c>
      <c r="AP40" s="460">
        <v>0</v>
      </c>
      <c r="AQ40" s="460">
        <v>0</v>
      </c>
      <c r="AR40" s="460">
        <v>0</v>
      </c>
      <c r="AS40" s="460">
        <v>0</v>
      </c>
      <c r="AT40" s="460">
        <v>0</v>
      </c>
      <c r="AU40" s="460">
        <v>0</v>
      </c>
      <c r="AV40" s="460">
        <v>0</v>
      </c>
      <c r="AW40" s="460">
        <v>0</v>
      </c>
      <c r="AX40" s="460">
        <v>0</v>
      </c>
      <c r="AY40" s="460">
        <v>0</v>
      </c>
      <c r="AZ40" s="460">
        <v>0</v>
      </c>
      <c r="BA40" s="460">
        <v>0</v>
      </c>
      <c r="BB40" s="460">
        <v>0</v>
      </c>
      <c r="BC40" s="460">
        <v>0</v>
      </c>
      <c r="BD40" s="460">
        <v>-67936.948656487264</v>
      </c>
      <c r="BE40" s="460">
        <v>0</v>
      </c>
      <c r="BF40" s="460">
        <v>0</v>
      </c>
      <c r="BG40" s="460">
        <v>0</v>
      </c>
      <c r="BH40" s="460">
        <v>0</v>
      </c>
      <c r="BI40" s="460">
        <v>0</v>
      </c>
      <c r="BJ40" s="460">
        <v>0</v>
      </c>
      <c r="BK40" s="460">
        <v>0</v>
      </c>
      <c r="BL40" s="460">
        <v>0</v>
      </c>
      <c r="BM40" s="460">
        <v>0</v>
      </c>
      <c r="BN40" s="460">
        <v>0</v>
      </c>
      <c r="BO40" s="460">
        <v>0</v>
      </c>
      <c r="BP40" s="460">
        <v>0</v>
      </c>
      <c r="BQ40" s="460">
        <v>0</v>
      </c>
      <c r="BR40" s="460">
        <v>0</v>
      </c>
      <c r="BS40" s="460">
        <v>0</v>
      </c>
      <c r="BT40" s="460">
        <v>0</v>
      </c>
      <c r="BU40" s="460">
        <v>0</v>
      </c>
      <c r="BV40" s="460">
        <v>0</v>
      </c>
      <c r="BW40" s="460">
        <v>0</v>
      </c>
      <c r="BX40" s="460">
        <v>0</v>
      </c>
      <c r="BY40" s="460">
        <v>0</v>
      </c>
      <c r="BZ40" s="460">
        <v>0</v>
      </c>
      <c r="CA40" s="460" t="e">
        <v>#N/A</v>
      </c>
      <c r="CB40" s="460" t="e">
        <v>#N/A</v>
      </c>
      <c r="CC40" s="460" t="e">
        <v>#N/A</v>
      </c>
    </row>
    <row r="41" spans="1:81" ht="12.75" customHeight="1">
      <c r="A41" s="105">
        <v>36</v>
      </c>
      <c r="B41" s="112" t="str">
        <v>13Y</v>
      </c>
      <c r="C41" s="465">
        <f>'eur disaggregated'!AN52</f>
        <v>-36484.426777181623</v>
      </c>
      <c r="D41" s="111" t="str">
        <f t="shared" si="6"/>
        <v>156M</v>
      </c>
      <c r="E41" s="441">
        <f t="shared" si="4"/>
        <v>42696</v>
      </c>
      <c r="F41" s="441">
        <f>_xll.qlCalendarAdvance(Calendar,E41,D41)</f>
        <v>47444</v>
      </c>
      <c r="G41" s="462">
        <f t="shared" si="3"/>
        <v>6.9459105899999998E-3</v>
      </c>
      <c r="H41" s="453">
        <v>0.69459105899999996</v>
      </c>
      <c r="I41" s="107" t="str">
        <v>8Y</v>
      </c>
      <c r="J41" s="106" t="str">
        <f t="shared" si="5"/>
        <v>96M</v>
      </c>
      <c r="K41" s="448">
        <f>_xll.qlCalendarAdvance("TARGET",$C$1,J41)</f>
        <v>45618</v>
      </c>
      <c r="M41" s="99" t="str">
        <v>8Y</v>
      </c>
      <c r="N41" s="465">
        <v>12029.036371704342</v>
      </c>
      <c r="P41" s="106" t="b">
        <f t="shared" si="7"/>
        <v>0</v>
      </c>
      <c r="Q41" s="460">
        <f t="array" ref="Q41:CC41">C41*ForwardToZero(OisBuckets,E41,F41,G41)</f>
        <v>0</v>
      </c>
      <c r="R41" s="460">
        <v>0</v>
      </c>
      <c r="S41" s="460">
        <v>0</v>
      </c>
      <c r="T41" s="460">
        <v>0</v>
      </c>
      <c r="U41" s="460">
        <v>0</v>
      </c>
      <c r="V41" s="460">
        <v>0</v>
      </c>
      <c r="W41" s="460">
        <v>0</v>
      </c>
      <c r="X41" s="460">
        <v>0</v>
      </c>
      <c r="Y41" s="460">
        <v>0</v>
      </c>
      <c r="Z41" s="460">
        <v>0</v>
      </c>
      <c r="AA41" s="460">
        <v>0</v>
      </c>
      <c r="AB41" s="460">
        <v>0</v>
      </c>
      <c r="AC41" s="460">
        <v>0</v>
      </c>
      <c r="AD41" s="460">
        <v>0</v>
      </c>
      <c r="AE41" s="460">
        <v>0</v>
      </c>
      <c r="AF41" s="460">
        <v>0</v>
      </c>
      <c r="AG41" s="460">
        <v>0</v>
      </c>
      <c r="AH41" s="460">
        <v>0</v>
      </c>
      <c r="AI41" s="460">
        <v>0</v>
      </c>
      <c r="AJ41" s="460">
        <v>0</v>
      </c>
      <c r="AK41" s="460">
        <v>0</v>
      </c>
      <c r="AL41" s="460">
        <v>0</v>
      </c>
      <c r="AM41" s="460">
        <v>0</v>
      </c>
      <c r="AN41" s="460">
        <v>0</v>
      </c>
      <c r="AO41" s="460">
        <v>0</v>
      </c>
      <c r="AP41" s="460">
        <v>0</v>
      </c>
      <c r="AQ41" s="460">
        <v>0</v>
      </c>
      <c r="AR41" s="460">
        <v>0</v>
      </c>
      <c r="AS41" s="460">
        <v>0</v>
      </c>
      <c r="AT41" s="460">
        <v>0</v>
      </c>
      <c r="AU41" s="460">
        <v>0</v>
      </c>
      <c r="AV41" s="460">
        <v>0</v>
      </c>
      <c r="AW41" s="460">
        <v>0</v>
      </c>
      <c r="AX41" s="460">
        <v>0</v>
      </c>
      <c r="AY41" s="460">
        <v>0</v>
      </c>
      <c r="AZ41" s="460">
        <v>0</v>
      </c>
      <c r="BA41" s="460">
        <v>0</v>
      </c>
      <c r="BB41" s="460">
        <v>0</v>
      </c>
      <c r="BC41" s="460">
        <v>0</v>
      </c>
      <c r="BD41" s="460">
        <v>0</v>
      </c>
      <c r="BE41" s="460">
        <v>-36484.426777181623</v>
      </c>
      <c r="BF41" s="460">
        <v>0</v>
      </c>
      <c r="BG41" s="460">
        <v>0</v>
      </c>
      <c r="BH41" s="460">
        <v>0</v>
      </c>
      <c r="BI41" s="460">
        <v>0</v>
      </c>
      <c r="BJ41" s="460">
        <v>0</v>
      </c>
      <c r="BK41" s="460">
        <v>0</v>
      </c>
      <c r="BL41" s="460">
        <v>0</v>
      </c>
      <c r="BM41" s="460">
        <v>0</v>
      </c>
      <c r="BN41" s="460">
        <v>0</v>
      </c>
      <c r="BO41" s="460">
        <v>0</v>
      </c>
      <c r="BP41" s="460">
        <v>0</v>
      </c>
      <c r="BQ41" s="460">
        <v>0</v>
      </c>
      <c r="BR41" s="460">
        <v>0</v>
      </c>
      <c r="BS41" s="460">
        <v>0</v>
      </c>
      <c r="BT41" s="460">
        <v>0</v>
      </c>
      <c r="BU41" s="460">
        <v>0</v>
      </c>
      <c r="BV41" s="460">
        <v>0</v>
      </c>
      <c r="BW41" s="460">
        <v>0</v>
      </c>
      <c r="BX41" s="460">
        <v>0</v>
      </c>
      <c r="BY41" s="460">
        <v>0</v>
      </c>
      <c r="BZ41" s="460">
        <v>0</v>
      </c>
      <c r="CA41" s="460" t="e">
        <v>#N/A</v>
      </c>
      <c r="CB41" s="460" t="e">
        <v>#N/A</v>
      </c>
      <c r="CC41" s="460" t="e">
        <v>#N/A</v>
      </c>
    </row>
    <row r="42" spans="1:81" ht="12.75" customHeight="1">
      <c r="A42" s="105">
        <v>37</v>
      </c>
      <c r="B42" s="112" t="str">
        <v>14Y</v>
      </c>
      <c r="C42" s="465">
        <f>'eur disaggregated'!AN53</f>
        <v>-22912.473237177594</v>
      </c>
      <c r="D42" s="111" t="str">
        <f t="shared" si="6"/>
        <v>168M</v>
      </c>
      <c r="E42" s="441">
        <f t="shared" si="4"/>
        <v>42696</v>
      </c>
      <c r="F42" s="441">
        <f>_xll.qlCalendarAdvance(Calendar,E42,D42)</f>
        <v>47809</v>
      </c>
      <c r="G42" s="462">
        <f t="shared" si="3"/>
        <v>7.5882464900000005E-3</v>
      </c>
      <c r="H42" s="453">
        <v>0.75882464900000002</v>
      </c>
      <c r="I42" s="107" t="str">
        <v>9Y</v>
      </c>
      <c r="J42" s="106" t="str">
        <f t="shared" si="5"/>
        <v>108M</v>
      </c>
      <c r="K42" s="448">
        <f>_xll.qlCalendarAdvance("TARGET",$C$1,J42)</f>
        <v>45985</v>
      </c>
      <c r="M42" s="99" t="str">
        <v>9Y</v>
      </c>
      <c r="N42" s="465">
        <v>-77152.877687052911</v>
      </c>
      <c r="P42" s="106" t="b">
        <f t="shared" si="7"/>
        <v>0</v>
      </c>
      <c r="Q42" s="460">
        <f t="array" ref="Q42:CC42">C42*ForwardToZero(OisBuckets,E42,F42,G42)</f>
        <v>0</v>
      </c>
      <c r="R42" s="460">
        <v>0</v>
      </c>
      <c r="S42" s="460">
        <v>0</v>
      </c>
      <c r="T42" s="460">
        <v>0</v>
      </c>
      <c r="U42" s="460">
        <v>0</v>
      </c>
      <c r="V42" s="460">
        <v>0</v>
      </c>
      <c r="W42" s="460">
        <v>0</v>
      </c>
      <c r="X42" s="460">
        <v>0</v>
      </c>
      <c r="Y42" s="460">
        <v>0</v>
      </c>
      <c r="Z42" s="460">
        <v>0</v>
      </c>
      <c r="AA42" s="460">
        <v>0</v>
      </c>
      <c r="AB42" s="460">
        <v>0</v>
      </c>
      <c r="AC42" s="460">
        <v>0</v>
      </c>
      <c r="AD42" s="460">
        <v>0</v>
      </c>
      <c r="AE42" s="460">
        <v>0</v>
      </c>
      <c r="AF42" s="460">
        <v>0</v>
      </c>
      <c r="AG42" s="460">
        <v>0</v>
      </c>
      <c r="AH42" s="460">
        <v>0</v>
      </c>
      <c r="AI42" s="460">
        <v>0</v>
      </c>
      <c r="AJ42" s="460">
        <v>0</v>
      </c>
      <c r="AK42" s="460">
        <v>0</v>
      </c>
      <c r="AL42" s="460">
        <v>0</v>
      </c>
      <c r="AM42" s="460">
        <v>0</v>
      </c>
      <c r="AN42" s="460">
        <v>0</v>
      </c>
      <c r="AO42" s="460">
        <v>0</v>
      </c>
      <c r="AP42" s="460">
        <v>0</v>
      </c>
      <c r="AQ42" s="460">
        <v>0</v>
      </c>
      <c r="AR42" s="460">
        <v>0</v>
      </c>
      <c r="AS42" s="460">
        <v>0</v>
      </c>
      <c r="AT42" s="460">
        <v>0</v>
      </c>
      <c r="AU42" s="460">
        <v>0</v>
      </c>
      <c r="AV42" s="460">
        <v>0</v>
      </c>
      <c r="AW42" s="460">
        <v>0</v>
      </c>
      <c r="AX42" s="460">
        <v>0</v>
      </c>
      <c r="AY42" s="460">
        <v>0</v>
      </c>
      <c r="AZ42" s="460">
        <v>0</v>
      </c>
      <c r="BA42" s="460">
        <v>0</v>
      </c>
      <c r="BB42" s="460">
        <v>0</v>
      </c>
      <c r="BC42" s="460">
        <v>0</v>
      </c>
      <c r="BD42" s="460">
        <v>0</v>
      </c>
      <c r="BE42" s="460">
        <v>0</v>
      </c>
      <c r="BF42" s="460">
        <v>-22912.473237177594</v>
      </c>
      <c r="BG42" s="460">
        <v>0</v>
      </c>
      <c r="BH42" s="460">
        <v>0</v>
      </c>
      <c r="BI42" s="460">
        <v>0</v>
      </c>
      <c r="BJ42" s="460">
        <v>0</v>
      </c>
      <c r="BK42" s="460">
        <v>0</v>
      </c>
      <c r="BL42" s="460">
        <v>0</v>
      </c>
      <c r="BM42" s="460">
        <v>0</v>
      </c>
      <c r="BN42" s="460">
        <v>0</v>
      </c>
      <c r="BO42" s="460">
        <v>0</v>
      </c>
      <c r="BP42" s="460">
        <v>0</v>
      </c>
      <c r="BQ42" s="460">
        <v>0</v>
      </c>
      <c r="BR42" s="460">
        <v>0</v>
      </c>
      <c r="BS42" s="460">
        <v>0</v>
      </c>
      <c r="BT42" s="460">
        <v>0</v>
      </c>
      <c r="BU42" s="460">
        <v>0</v>
      </c>
      <c r="BV42" s="460">
        <v>0</v>
      </c>
      <c r="BW42" s="460">
        <v>0</v>
      </c>
      <c r="BX42" s="460">
        <v>0</v>
      </c>
      <c r="BY42" s="460">
        <v>0</v>
      </c>
      <c r="BZ42" s="460">
        <v>0</v>
      </c>
      <c r="CA42" s="460" t="e">
        <v>#N/A</v>
      </c>
      <c r="CB42" s="460" t="e">
        <v>#N/A</v>
      </c>
      <c r="CC42" s="460" t="e">
        <v>#N/A</v>
      </c>
    </row>
    <row r="43" spans="1:81" ht="12.75" customHeight="1">
      <c r="A43" s="105">
        <v>38</v>
      </c>
      <c r="B43" s="112" t="str">
        <v>15Y</v>
      </c>
      <c r="C43" s="465">
        <f>'eur disaggregated'!AN54</f>
        <v>-30463.033699805488</v>
      </c>
      <c r="D43" s="111" t="str">
        <f t="shared" si="6"/>
        <v>180M</v>
      </c>
      <c r="E43" s="441">
        <f t="shared" si="4"/>
        <v>42696</v>
      </c>
      <c r="F43" s="441">
        <f>_xll.qlCalendarAdvance(Calendar,E43,D43)</f>
        <v>48176</v>
      </c>
      <c r="G43" s="462">
        <f t="shared" si="3"/>
        <v>8.1399999999999997E-3</v>
      </c>
      <c r="H43" s="453">
        <v>0.81399999999999995</v>
      </c>
      <c r="I43" s="107" t="str">
        <v>10Y</v>
      </c>
      <c r="J43" s="106" t="str">
        <f t="shared" si="5"/>
        <v>120M</v>
      </c>
      <c r="K43" s="448">
        <f>_xll.qlCalendarAdvance("TARGET",$C$1,J43)</f>
        <v>46349</v>
      </c>
      <c r="M43" s="99" t="str">
        <v>10Y</v>
      </c>
      <c r="N43" s="465">
        <v>-27250.900065394704</v>
      </c>
      <c r="P43" s="106" t="b">
        <f t="shared" si="7"/>
        <v>0</v>
      </c>
      <c r="Q43" s="460">
        <f t="array" ref="Q43:CC43">C43*ForwardToZero(OisBuckets,E43,F43,G43)</f>
        <v>0</v>
      </c>
      <c r="R43" s="460">
        <v>0</v>
      </c>
      <c r="S43" s="460">
        <v>0</v>
      </c>
      <c r="T43" s="460">
        <v>0</v>
      </c>
      <c r="U43" s="460">
        <v>0</v>
      </c>
      <c r="V43" s="460">
        <v>0</v>
      </c>
      <c r="W43" s="460">
        <v>0</v>
      </c>
      <c r="X43" s="460">
        <v>0</v>
      </c>
      <c r="Y43" s="460">
        <v>0</v>
      </c>
      <c r="Z43" s="460">
        <v>0</v>
      </c>
      <c r="AA43" s="460">
        <v>0</v>
      </c>
      <c r="AB43" s="460">
        <v>0</v>
      </c>
      <c r="AC43" s="460">
        <v>0</v>
      </c>
      <c r="AD43" s="460">
        <v>0</v>
      </c>
      <c r="AE43" s="460">
        <v>0</v>
      </c>
      <c r="AF43" s="460">
        <v>0</v>
      </c>
      <c r="AG43" s="460">
        <v>0</v>
      </c>
      <c r="AH43" s="460">
        <v>0</v>
      </c>
      <c r="AI43" s="460">
        <v>0</v>
      </c>
      <c r="AJ43" s="460">
        <v>0</v>
      </c>
      <c r="AK43" s="460">
        <v>0</v>
      </c>
      <c r="AL43" s="460">
        <v>0</v>
      </c>
      <c r="AM43" s="460">
        <v>0</v>
      </c>
      <c r="AN43" s="460">
        <v>0</v>
      </c>
      <c r="AO43" s="460">
        <v>0</v>
      </c>
      <c r="AP43" s="460">
        <v>0</v>
      </c>
      <c r="AQ43" s="460">
        <v>0</v>
      </c>
      <c r="AR43" s="460">
        <v>0</v>
      </c>
      <c r="AS43" s="460">
        <v>0</v>
      </c>
      <c r="AT43" s="460">
        <v>0</v>
      </c>
      <c r="AU43" s="460">
        <v>0</v>
      </c>
      <c r="AV43" s="460">
        <v>0</v>
      </c>
      <c r="AW43" s="460">
        <v>0</v>
      </c>
      <c r="AX43" s="460">
        <v>0</v>
      </c>
      <c r="AY43" s="460">
        <v>0</v>
      </c>
      <c r="AZ43" s="460">
        <v>0</v>
      </c>
      <c r="BA43" s="460">
        <v>0</v>
      </c>
      <c r="BB43" s="460">
        <v>0</v>
      </c>
      <c r="BC43" s="460">
        <v>0</v>
      </c>
      <c r="BD43" s="460">
        <v>0</v>
      </c>
      <c r="BE43" s="460">
        <v>0</v>
      </c>
      <c r="BF43" s="460">
        <v>0</v>
      </c>
      <c r="BG43" s="460">
        <v>-30463.033699805488</v>
      </c>
      <c r="BH43" s="460">
        <v>0</v>
      </c>
      <c r="BI43" s="460">
        <v>0</v>
      </c>
      <c r="BJ43" s="460">
        <v>0</v>
      </c>
      <c r="BK43" s="460">
        <v>0</v>
      </c>
      <c r="BL43" s="460">
        <v>0</v>
      </c>
      <c r="BM43" s="460">
        <v>0</v>
      </c>
      <c r="BN43" s="460">
        <v>0</v>
      </c>
      <c r="BO43" s="460">
        <v>0</v>
      </c>
      <c r="BP43" s="460">
        <v>0</v>
      </c>
      <c r="BQ43" s="460">
        <v>0</v>
      </c>
      <c r="BR43" s="460">
        <v>0</v>
      </c>
      <c r="BS43" s="460">
        <v>0</v>
      </c>
      <c r="BT43" s="460">
        <v>0</v>
      </c>
      <c r="BU43" s="460">
        <v>0</v>
      </c>
      <c r="BV43" s="460">
        <v>0</v>
      </c>
      <c r="BW43" s="460">
        <v>0</v>
      </c>
      <c r="BX43" s="460">
        <v>0</v>
      </c>
      <c r="BY43" s="460">
        <v>0</v>
      </c>
      <c r="BZ43" s="460">
        <v>0</v>
      </c>
      <c r="CA43" s="460" t="e">
        <v>#N/A</v>
      </c>
      <c r="CB43" s="460" t="e">
        <v>#N/A</v>
      </c>
      <c r="CC43" s="460" t="e">
        <v>#N/A</v>
      </c>
    </row>
    <row r="44" spans="1:81" ht="12.75" customHeight="1">
      <c r="A44" s="105">
        <v>39</v>
      </c>
      <c r="B44" s="112" t="str">
        <v>16Y</v>
      </c>
      <c r="C44" s="465">
        <f>'eur disaggregated'!AN55</f>
        <v>29912.299218938067</v>
      </c>
      <c r="D44" s="111" t="str">
        <f t="shared" si="6"/>
        <v>192M</v>
      </c>
      <c r="E44" s="441">
        <f t="shared" si="4"/>
        <v>42696</v>
      </c>
      <c r="F44" s="441">
        <f>_xll.qlCalendarAdvance(Calendar,E44,D44)</f>
        <v>48540</v>
      </c>
      <c r="G44" s="462">
        <f t="shared" si="3"/>
        <v>8.6049465799999999E-3</v>
      </c>
      <c r="H44" s="453">
        <v>0.86049465800000002</v>
      </c>
      <c r="I44" s="107" t="str">
        <v>11Y</v>
      </c>
      <c r="J44" s="106" t="str">
        <f t="shared" si="5"/>
        <v>132M</v>
      </c>
      <c r="K44" s="448">
        <f>_xll.qlCalendarAdvance("TARGET",$C$1,J44)</f>
        <v>46713</v>
      </c>
      <c r="M44" s="99" t="str">
        <v>11Y</v>
      </c>
      <c r="N44" s="465">
        <v>200856.91014195859</v>
      </c>
      <c r="P44" s="106" t="b">
        <f t="shared" si="7"/>
        <v>0</v>
      </c>
      <c r="Q44" s="460">
        <f t="array" ref="Q44:CC44">C44*ForwardToZero(OisBuckets,E44,F44,G44)</f>
        <v>0</v>
      </c>
      <c r="R44" s="460">
        <v>0</v>
      </c>
      <c r="S44" s="460">
        <v>0</v>
      </c>
      <c r="T44" s="460">
        <v>0</v>
      </c>
      <c r="U44" s="460">
        <v>0</v>
      </c>
      <c r="V44" s="460">
        <v>0</v>
      </c>
      <c r="W44" s="460">
        <v>0</v>
      </c>
      <c r="X44" s="460">
        <v>0</v>
      </c>
      <c r="Y44" s="460">
        <v>0</v>
      </c>
      <c r="Z44" s="460">
        <v>0</v>
      </c>
      <c r="AA44" s="460">
        <v>0</v>
      </c>
      <c r="AB44" s="460">
        <v>0</v>
      </c>
      <c r="AC44" s="460">
        <v>0</v>
      </c>
      <c r="AD44" s="460">
        <v>0</v>
      </c>
      <c r="AE44" s="460">
        <v>0</v>
      </c>
      <c r="AF44" s="460">
        <v>0</v>
      </c>
      <c r="AG44" s="460">
        <v>0</v>
      </c>
      <c r="AH44" s="460">
        <v>0</v>
      </c>
      <c r="AI44" s="460">
        <v>0</v>
      </c>
      <c r="AJ44" s="460">
        <v>0</v>
      </c>
      <c r="AK44" s="460">
        <v>0</v>
      </c>
      <c r="AL44" s="460">
        <v>0</v>
      </c>
      <c r="AM44" s="460">
        <v>0</v>
      </c>
      <c r="AN44" s="460">
        <v>0</v>
      </c>
      <c r="AO44" s="460">
        <v>0</v>
      </c>
      <c r="AP44" s="460">
        <v>0</v>
      </c>
      <c r="AQ44" s="460">
        <v>0</v>
      </c>
      <c r="AR44" s="460">
        <v>0</v>
      </c>
      <c r="AS44" s="460">
        <v>0</v>
      </c>
      <c r="AT44" s="460">
        <v>0</v>
      </c>
      <c r="AU44" s="460">
        <v>0</v>
      </c>
      <c r="AV44" s="460">
        <v>0</v>
      </c>
      <c r="AW44" s="460">
        <v>0</v>
      </c>
      <c r="AX44" s="460">
        <v>0</v>
      </c>
      <c r="AY44" s="460">
        <v>0</v>
      </c>
      <c r="AZ44" s="460">
        <v>0</v>
      </c>
      <c r="BA44" s="460">
        <v>0</v>
      </c>
      <c r="BB44" s="460">
        <v>0</v>
      </c>
      <c r="BC44" s="460">
        <v>0</v>
      </c>
      <c r="BD44" s="460">
        <v>0</v>
      </c>
      <c r="BE44" s="460">
        <v>0</v>
      </c>
      <c r="BF44" s="460">
        <v>0</v>
      </c>
      <c r="BG44" s="460">
        <v>0</v>
      </c>
      <c r="BH44" s="460">
        <v>29912.299218938067</v>
      </c>
      <c r="BI44" s="460">
        <v>0</v>
      </c>
      <c r="BJ44" s="460">
        <v>0</v>
      </c>
      <c r="BK44" s="460">
        <v>0</v>
      </c>
      <c r="BL44" s="460">
        <v>0</v>
      </c>
      <c r="BM44" s="460">
        <v>0</v>
      </c>
      <c r="BN44" s="460">
        <v>0</v>
      </c>
      <c r="BO44" s="460">
        <v>0</v>
      </c>
      <c r="BP44" s="460">
        <v>0</v>
      </c>
      <c r="BQ44" s="460">
        <v>0</v>
      </c>
      <c r="BR44" s="460">
        <v>0</v>
      </c>
      <c r="BS44" s="460">
        <v>0</v>
      </c>
      <c r="BT44" s="460">
        <v>0</v>
      </c>
      <c r="BU44" s="460">
        <v>0</v>
      </c>
      <c r="BV44" s="460">
        <v>0</v>
      </c>
      <c r="BW44" s="460">
        <v>0</v>
      </c>
      <c r="BX44" s="460">
        <v>0</v>
      </c>
      <c r="BY44" s="460">
        <v>0</v>
      </c>
      <c r="BZ44" s="460">
        <v>0</v>
      </c>
      <c r="CA44" s="460" t="e">
        <v>#N/A</v>
      </c>
      <c r="CB44" s="460" t="e">
        <v>#N/A</v>
      </c>
      <c r="CC44" s="460" t="e">
        <v>#N/A</v>
      </c>
    </row>
    <row r="45" spans="1:81" ht="12.75" customHeight="1">
      <c r="A45" s="105">
        <v>40</v>
      </c>
      <c r="B45" s="112" t="str">
        <v>17Y</v>
      </c>
      <c r="C45" s="465">
        <f>'eur disaggregated'!AN56</f>
        <v>11248.853929431267</v>
      </c>
      <c r="D45" s="111" t="str">
        <f t="shared" si="6"/>
        <v>204M</v>
      </c>
      <c r="E45" s="441">
        <f t="shared" si="4"/>
        <v>42696</v>
      </c>
      <c r="F45" s="441">
        <f>_xll.qlCalendarAdvance(Calendar,E45,D45)</f>
        <v>48905</v>
      </c>
      <c r="G45" s="462">
        <f t="shared" si="3"/>
        <v>8.9871899100000003E-3</v>
      </c>
      <c r="H45" s="453">
        <v>0.89871899099999997</v>
      </c>
      <c r="I45" s="107" t="str">
        <v>12Y</v>
      </c>
      <c r="J45" s="106" t="str">
        <f t="shared" si="5"/>
        <v>144M</v>
      </c>
      <c r="K45" s="448">
        <f>_xll.qlCalendarAdvance("TARGET",$C$1,J45)</f>
        <v>47079</v>
      </c>
      <c r="M45" s="99" t="str">
        <v>12Y</v>
      </c>
      <c r="N45" s="465">
        <v>-67936.948656487264</v>
      </c>
      <c r="P45" s="106" t="b">
        <f t="shared" si="7"/>
        <v>0</v>
      </c>
      <c r="Q45" s="460">
        <f t="array" ref="Q45:CC45">C45*ForwardToZero(OisBuckets,E45,F45,G45)</f>
        <v>0</v>
      </c>
      <c r="R45" s="460">
        <v>0</v>
      </c>
      <c r="S45" s="460">
        <v>0</v>
      </c>
      <c r="T45" s="460">
        <v>0</v>
      </c>
      <c r="U45" s="460">
        <v>0</v>
      </c>
      <c r="V45" s="460">
        <v>0</v>
      </c>
      <c r="W45" s="460">
        <v>0</v>
      </c>
      <c r="X45" s="460">
        <v>0</v>
      </c>
      <c r="Y45" s="460">
        <v>0</v>
      </c>
      <c r="Z45" s="460">
        <v>0</v>
      </c>
      <c r="AA45" s="460">
        <v>0</v>
      </c>
      <c r="AB45" s="460">
        <v>0</v>
      </c>
      <c r="AC45" s="460">
        <v>0</v>
      </c>
      <c r="AD45" s="460">
        <v>0</v>
      </c>
      <c r="AE45" s="460">
        <v>0</v>
      </c>
      <c r="AF45" s="460">
        <v>0</v>
      </c>
      <c r="AG45" s="460">
        <v>0</v>
      </c>
      <c r="AH45" s="460">
        <v>0</v>
      </c>
      <c r="AI45" s="460">
        <v>0</v>
      </c>
      <c r="AJ45" s="460">
        <v>0</v>
      </c>
      <c r="AK45" s="460">
        <v>0</v>
      </c>
      <c r="AL45" s="460">
        <v>0</v>
      </c>
      <c r="AM45" s="460">
        <v>0</v>
      </c>
      <c r="AN45" s="460">
        <v>0</v>
      </c>
      <c r="AO45" s="460">
        <v>0</v>
      </c>
      <c r="AP45" s="460">
        <v>0</v>
      </c>
      <c r="AQ45" s="460">
        <v>0</v>
      </c>
      <c r="AR45" s="460">
        <v>0</v>
      </c>
      <c r="AS45" s="460">
        <v>0</v>
      </c>
      <c r="AT45" s="460">
        <v>0</v>
      </c>
      <c r="AU45" s="460">
        <v>0</v>
      </c>
      <c r="AV45" s="460">
        <v>0</v>
      </c>
      <c r="AW45" s="460">
        <v>0</v>
      </c>
      <c r="AX45" s="460">
        <v>0</v>
      </c>
      <c r="AY45" s="460">
        <v>0</v>
      </c>
      <c r="AZ45" s="460">
        <v>0</v>
      </c>
      <c r="BA45" s="460">
        <v>0</v>
      </c>
      <c r="BB45" s="460">
        <v>0</v>
      </c>
      <c r="BC45" s="460">
        <v>0</v>
      </c>
      <c r="BD45" s="460">
        <v>0</v>
      </c>
      <c r="BE45" s="460">
        <v>0</v>
      </c>
      <c r="BF45" s="460">
        <v>0</v>
      </c>
      <c r="BG45" s="460">
        <v>0</v>
      </c>
      <c r="BH45" s="460">
        <v>0</v>
      </c>
      <c r="BI45" s="460">
        <v>11248.853929431267</v>
      </c>
      <c r="BJ45" s="460">
        <v>0</v>
      </c>
      <c r="BK45" s="460">
        <v>0</v>
      </c>
      <c r="BL45" s="460">
        <v>0</v>
      </c>
      <c r="BM45" s="460">
        <v>0</v>
      </c>
      <c r="BN45" s="460">
        <v>0</v>
      </c>
      <c r="BO45" s="460">
        <v>0</v>
      </c>
      <c r="BP45" s="460">
        <v>0</v>
      </c>
      <c r="BQ45" s="460">
        <v>0</v>
      </c>
      <c r="BR45" s="460">
        <v>0</v>
      </c>
      <c r="BS45" s="460">
        <v>0</v>
      </c>
      <c r="BT45" s="460">
        <v>0</v>
      </c>
      <c r="BU45" s="460">
        <v>0</v>
      </c>
      <c r="BV45" s="460">
        <v>0</v>
      </c>
      <c r="BW45" s="460">
        <v>0</v>
      </c>
      <c r="BX45" s="460">
        <v>0</v>
      </c>
      <c r="BY45" s="460">
        <v>0</v>
      </c>
      <c r="BZ45" s="460">
        <v>0</v>
      </c>
      <c r="CA45" s="460" t="e">
        <v>#N/A</v>
      </c>
      <c r="CB45" s="460" t="e">
        <v>#N/A</v>
      </c>
      <c r="CC45" s="460" t="e">
        <v>#N/A</v>
      </c>
    </row>
    <row r="46" spans="1:81" ht="12.75" customHeight="1">
      <c r="A46" s="105">
        <v>41</v>
      </c>
      <c r="B46" s="112" t="str">
        <v>18Y</v>
      </c>
      <c r="C46" s="465">
        <f>'eur disaggregated'!AN57</f>
        <v>-16053.333783695502</v>
      </c>
      <c r="D46" s="111" t="str">
        <f t="shared" si="6"/>
        <v>216M</v>
      </c>
      <c r="E46" s="441">
        <f t="shared" si="4"/>
        <v>42696</v>
      </c>
      <c r="F46" s="441">
        <f>_xll.qlCalendarAdvance(Calendar,E46,D46)</f>
        <v>49270</v>
      </c>
      <c r="G46" s="462">
        <f t="shared" si="3"/>
        <v>9.3015633899999998E-3</v>
      </c>
      <c r="H46" s="453">
        <v>0.93015633900000005</v>
      </c>
      <c r="I46" s="107" t="str">
        <v>13Y</v>
      </c>
      <c r="J46" s="106" t="str">
        <f t="shared" si="5"/>
        <v>156M</v>
      </c>
      <c r="K46" s="448">
        <f>_xll.qlCalendarAdvance("TARGET",$C$1,J46)</f>
        <v>47444</v>
      </c>
      <c r="M46" s="99" t="str">
        <v>13Y</v>
      </c>
      <c r="N46" s="465">
        <v>-36484.426777181623</v>
      </c>
      <c r="P46" s="106" t="b">
        <f t="shared" si="7"/>
        <v>0</v>
      </c>
      <c r="Q46" s="460">
        <f t="array" ref="Q46:CC46">C46*ForwardToZero(OisBuckets,E46,F46,G46)</f>
        <v>0</v>
      </c>
      <c r="R46" s="460">
        <v>0</v>
      </c>
      <c r="S46" s="460">
        <v>0</v>
      </c>
      <c r="T46" s="460">
        <v>0</v>
      </c>
      <c r="U46" s="460">
        <v>0</v>
      </c>
      <c r="V46" s="460">
        <v>0</v>
      </c>
      <c r="W46" s="460">
        <v>0</v>
      </c>
      <c r="X46" s="460">
        <v>0</v>
      </c>
      <c r="Y46" s="460">
        <v>0</v>
      </c>
      <c r="Z46" s="460">
        <v>0</v>
      </c>
      <c r="AA46" s="460">
        <v>0</v>
      </c>
      <c r="AB46" s="460">
        <v>0</v>
      </c>
      <c r="AC46" s="460">
        <v>0</v>
      </c>
      <c r="AD46" s="460">
        <v>0</v>
      </c>
      <c r="AE46" s="460">
        <v>0</v>
      </c>
      <c r="AF46" s="460">
        <v>0</v>
      </c>
      <c r="AG46" s="460">
        <v>0</v>
      </c>
      <c r="AH46" s="460">
        <v>0</v>
      </c>
      <c r="AI46" s="460">
        <v>0</v>
      </c>
      <c r="AJ46" s="460">
        <v>0</v>
      </c>
      <c r="AK46" s="460">
        <v>0</v>
      </c>
      <c r="AL46" s="460">
        <v>0</v>
      </c>
      <c r="AM46" s="460">
        <v>0</v>
      </c>
      <c r="AN46" s="460">
        <v>0</v>
      </c>
      <c r="AO46" s="460">
        <v>0</v>
      </c>
      <c r="AP46" s="460">
        <v>0</v>
      </c>
      <c r="AQ46" s="460">
        <v>0</v>
      </c>
      <c r="AR46" s="460">
        <v>0</v>
      </c>
      <c r="AS46" s="460">
        <v>0</v>
      </c>
      <c r="AT46" s="460">
        <v>0</v>
      </c>
      <c r="AU46" s="460">
        <v>0</v>
      </c>
      <c r="AV46" s="460">
        <v>0</v>
      </c>
      <c r="AW46" s="460">
        <v>0</v>
      </c>
      <c r="AX46" s="460">
        <v>0</v>
      </c>
      <c r="AY46" s="460">
        <v>0</v>
      </c>
      <c r="AZ46" s="460">
        <v>0</v>
      </c>
      <c r="BA46" s="460">
        <v>0</v>
      </c>
      <c r="BB46" s="460">
        <v>0</v>
      </c>
      <c r="BC46" s="460">
        <v>0</v>
      </c>
      <c r="BD46" s="460">
        <v>0</v>
      </c>
      <c r="BE46" s="460">
        <v>0</v>
      </c>
      <c r="BF46" s="460">
        <v>0</v>
      </c>
      <c r="BG46" s="460">
        <v>0</v>
      </c>
      <c r="BH46" s="460">
        <v>0</v>
      </c>
      <c r="BI46" s="460">
        <v>0</v>
      </c>
      <c r="BJ46" s="460">
        <v>-16053.333783695502</v>
      </c>
      <c r="BK46" s="460">
        <v>0</v>
      </c>
      <c r="BL46" s="460">
        <v>0</v>
      </c>
      <c r="BM46" s="460">
        <v>0</v>
      </c>
      <c r="BN46" s="460">
        <v>0</v>
      </c>
      <c r="BO46" s="460">
        <v>0</v>
      </c>
      <c r="BP46" s="460">
        <v>0</v>
      </c>
      <c r="BQ46" s="460">
        <v>0</v>
      </c>
      <c r="BR46" s="460">
        <v>0</v>
      </c>
      <c r="BS46" s="460">
        <v>0</v>
      </c>
      <c r="BT46" s="460">
        <v>0</v>
      </c>
      <c r="BU46" s="460">
        <v>0</v>
      </c>
      <c r="BV46" s="460">
        <v>0</v>
      </c>
      <c r="BW46" s="460">
        <v>0</v>
      </c>
      <c r="BX46" s="460">
        <v>0</v>
      </c>
      <c r="BY46" s="460">
        <v>0</v>
      </c>
      <c r="BZ46" s="460">
        <v>0</v>
      </c>
      <c r="CA46" s="460" t="e">
        <v>#N/A</v>
      </c>
      <c r="CB46" s="460" t="e">
        <v>#N/A</v>
      </c>
      <c r="CC46" s="460" t="e">
        <v>#N/A</v>
      </c>
    </row>
    <row r="47" spans="1:81" ht="12.75" customHeight="1">
      <c r="A47" s="105">
        <v>42</v>
      </c>
      <c r="B47" s="112" t="str">
        <v>19Y</v>
      </c>
      <c r="C47" s="465">
        <f>'eur disaggregated'!AN58</f>
        <v>-22888.614308056443</v>
      </c>
      <c r="D47" s="111" t="str">
        <f t="shared" si="6"/>
        <v>228M</v>
      </c>
      <c r="E47" s="441">
        <f t="shared" si="4"/>
        <v>42696</v>
      </c>
      <c r="F47" s="441">
        <f>_xll.qlCalendarAdvance(Calendar,E47,D47)</f>
        <v>49635</v>
      </c>
      <c r="G47" s="462">
        <f t="shared" si="3"/>
        <v>9.5543685999999999E-3</v>
      </c>
      <c r="H47" s="453">
        <v>0.95543686000000005</v>
      </c>
      <c r="I47" s="107" t="str">
        <v>14Y</v>
      </c>
      <c r="J47" s="106" t="str">
        <f t="shared" si="5"/>
        <v>168M</v>
      </c>
      <c r="K47" s="448">
        <f>_xll.qlCalendarAdvance("TARGET",$C$1,J47)</f>
        <v>47809</v>
      </c>
      <c r="M47" s="99" t="str">
        <v>14Y</v>
      </c>
      <c r="N47" s="465">
        <v>-22912.473237177594</v>
      </c>
      <c r="P47" s="106" t="b">
        <f t="shared" si="7"/>
        <v>0</v>
      </c>
      <c r="Q47" s="460">
        <f t="array" ref="Q47:CC47">C47*ForwardToZero(OisBuckets,E47,F47,G47)</f>
        <v>0</v>
      </c>
      <c r="R47" s="460">
        <v>0</v>
      </c>
      <c r="S47" s="460">
        <v>0</v>
      </c>
      <c r="T47" s="460">
        <v>0</v>
      </c>
      <c r="U47" s="460">
        <v>0</v>
      </c>
      <c r="V47" s="460">
        <v>0</v>
      </c>
      <c r="W47" s="460">
        <v>0</v>
      </c>
      <c r="X47" s="460">
        <v>0</v>
      </c>
      <c r="Y47" s="460">
        <v>0</v>
      </c>
      <c r="Z47" s="460">
        <v>0</v>
      </c>
      <c r="AA47" s="460">
        <v>0</v>
      </c>
      <c r="AB47" s="460">
        <v>0</v>
      </c>
      <c r="AC47" s="460">
        <v>0</v>
      </c>
      <c r="AD47" s="460">
        <v>0</v>
      </c>
      <c r="AE47" s="460">
        <v>0</v>
      </c>
      <c r="AF47" s="460">
        <v>0</v>
      </c>
      <c r="AG47" s="460">
        <v>0</v>
      </c>
      <c r="AH47" s="460">
        <v>0</v>
      </c>
      <c r="AI47" s="460">
        <v>0</v>
      </c>
      <c r="AJ47" s="460">
        <v>0</v>
      </c>
      <c r="AK47" s="460">
        <v>0</v>
      </c>
      <c r="AL47" s="460">
        <v>0</v>
      </c>
      <c r="AM47" s="460">
        <v>0</v>
      </c>
      <c r="AN47" s="460">
        <v>0</v>
      </c>
      <c r="AO47" s="460">
        <v>0</v>
      </c>
      <c r="AP47" s="460">
        <v>0</v>
      </c>
      <c r="AQ47" s="460">
        <v>0</v>
      </c>
      <c r="AR47" s="460">
        <v>0</v>
      </c>
      <c r="AS47" s="460">
        <v>0</v>
      </c>
      <c r="AT47" s="460">
        <v>0</v>
      </c>
      <c r="AU47" s="460">
        <v>0</v>
      </c>
      <c r="AV47" s="460">
        <v>0</v>
      </c>
      <c r="AW47" s="460">
        <v>0</v>
      </c>
      <c r="AX47" s="460">
        <v>0</v>
      </c>
      <c r="AY47" s="460">
        <v>0</v>
      </c>
      <c r="AZ47" s="460">
        <v>0</v>
      </c>
      <c r="BA47" s="460">
        <v>0</v>
      </c>
      <c r="BB47" s="460">
        <v>0</v>
      </c>
      <c r="BC47" s="460">
        <v>0</v>
      </c>
      <c r="BD47" s="460">
        <v>0</v>
      </c>
      <c r="BE47" s="460">
        <v>0</v>
      </c>
      <c r="BF47" s="460">
        <v>0</v>
      </c>
      <c r="BG47" s="460">
        <v>0</v>
      </c>
      <c r="BH47" s="460">
        <v>0</v>
      </c>
      <c r="BI47" s="460">
        <v>0</v>
      </c>
      <c r="BJ47" s="460">
        <v>0</v>
      </c>
      <c r="BK47" s="460">
        <v>-22888.614308056443</v>
      </c>
      <c r="BL47" s="460">
        <v>0</v>
      </c>
      <c r="BM47" s="460">
        <v>0</v>
      </c>
      <c r="BN47" s="460">
        <v>0</v>
      </c>
      <c r="BO47" s="460">
        <v>0</v>
      </c>
      <c r="BP47" s="460">
        <v>0</v>
      </c>
      <c r="BQ47" s="460">
        <v>0</v>
      </c>
      <c r="BR47" s="460">
        <v>0</v>
      </c>
      <c r="BS47" s="460">
        <v>0</v>
      </c>
      <c r="BT47" s="460">
        <v>0</v>
      </c>
      <c r="BU47" s="460">
        <v>0</v>
      </c>
      <c r="BV47" s="460">
        <v>0</v>
      </c>
      <c r="BW47" s="460">
        <v>0</v>
      </c>
      <c r="BX47" s="460">
        <v>0</v>
      </c>
      <c r="BY47" s="460">
        <v>0</v>
      </c>
      <c r="BZ47" s="460">
        <v>0</v>
      </c>
      <c r="CA47" s="460" t="e">
        <v>#N/A</v>
      </c>
      <c r="CB47" s="460" t="e">
        <v>#N/A</v>
      </c>
      <c r="CC47" s="460" t="e">
        <v>#N/A</v>
      </c>
    </row>
    <row r="48" spans="1:81" ht="12.75" customHeight="1">
      <c r="A48" s="105">
        <v>43</v>
      </c>
      <c r="B48" s="112" t="str">
        <v>20Y</v>
      </c>
      <c r="C48" s="465">
        <f>'eur disaggregated'!AN59</f>
        <v>-29223.672508509477</v>
      </c>
      <c r="D48" s="111" t="str">
        <f t="shared" si="6"/>
        <v>240M</v>
      </c>
      <c r="E48" s="441">
        <f t="shared" si="4"/>
        <v>42696</v>
      </c>
      <c r="F48" s="441">
        <f>_xll.qlCalendarAdvance(Calendar,E48,D48)</f>
        <v>50003</v>
      </c>
      <c r="G48" s="462">
        <f t="shared" si="3"/>
        <v>9.7599999999999996E-3</v>
      </c>
      <c r="H48" s="453">
        <v>0.97599999999999998</v>
      </c>
      <c r="I48" s="107" t="str">
        <v>15Y</v>
      </c>
      <c r="J48" s="106" t="str">
        <f t="shared" si="5"/>
        <v>180M</v>
      </c>
      <c r="K48" s="448">
        <f>_xll.qlCalendarAdvance("TARGET",$C$1,J48)</f>
        <v>48176</v>
      </c>
      <c r="M48" s="99" t="str">
        <v>15Y</v>
      </c>
      <c r="N48" s="465">
        <v>-30463.033699805488</v>
      </c>
      <c r="P48" s="106" t="b">
        <f t="shared" si="7"/>
        <v>0</v>
      </c>
      <c r="Q48" s="460">
        <f t="array" ref="Q48:CC48">C48*ForwardToZero(OisBuckets,E48,F48,G48)</f>
        <v>0</v>
      </c>
      <c r="R48" s="460">
        <v>0</v>
      </c>
      <c r="S48" s="460">
        <v>0</v>
      </c>
      <c r="T48" s="460">
        <v>0</v>
      </c>
      <c r="U48" s="460">
        <v>0</v>
      </c>
      <c r="V48" s="460">
        <v>0</v>
      </c>
      <c r="W48" s="460">
        <v>0</v>
      </c>
      <c r="X48" s="460">
        <v>0</v>
      </c>
      <c r="Y48" s="460">
        <v>0</v>
      </c>
      <c r="Z48" s="460">
        <v>0</v>
      </c>
      <c r="AA48" s="460">
        <v>0</v>
      </c>
      <c r="AB48" s="460">
        <v>0</v>
      </c>
      <c r="AC48" s="460">
        <v>0</v>
      </c>
      <c r="AD48" s="460">
        <v>0</v>
      </c>
      <c r="AE48" s="460">
        <v>0</v>
      </c>
      <c r="AF48" s="460">
        <v>0</v>
      </c>
      <c r="AG48" s="460">
        <v>0</v>
      </c>
      <c r="AH48" s="460">
        <v>0</v>
      </c>
      <c r="AI48" s="460">
        <v>0</v>
      </c>
      <c r="AJ48" s="460">
        <v>0</v>
      </c>
      <c r="AK48" s="460">
        <v>0</v>
      </c>
      <c r="AL48" s="460">
        <v>0</v>
      </c>
      <c r="AM48" s="460">
        <v>0</v>
      </c>
      <c r="AN48" s="460">
        <v>0</v>
      </c>
      <c r="AO48" s="460">
        <v>0</v>
      </c>
      <c r="AP48" s="460">
        <v>0</v>
      </c>
      <c r="AQ48" s="460">
        <v>0</v>
      </c>
      <c r="AR48" s="460">
        <v>0</v>
      </c>
      <c r="AS48" s="460">
        <v>0</v>
      </c>
      <c r="AT48" s="460">
        <v>0</v>
      </c>
      <c r="AU48" s="460">
        <v>0</v>
      </c>
      <c r="AV48" s="460">
        <v>0</v>
      </c>
      <c r="AW48" s="460">
        <v>0</v>
      </c>
      <c r="AX48" s="460">
        <v>0</v>
      </c>
      <c r="AY48" s="460">
        <v>0</v>
      </c>
      <c r="AZ48" s="460">
        <v>0</v>
      </c>
      <c r="BA48" s="460">
        <v>0</v>
      </c>
      <c r="BB48" s="460">
        <v>0</v>
      </c>
      <c r="BC48" s="460">
        <v>0</v>
      </c>
      <c r="BD48" s="460">
        <v>0</v>
      </c>
      <c r="BE48" s="460">
        <v>0</v>
      </c>
      <c r="BF48" s="460">
        <v>0</v>
      </c>
      <c r="BG48" s="460">
        <v>0</v>
      </c>
      <c r="BH48" s="460">
        <v>0</v>
      </c>
      <c r="BI48" s="460">
        <v>0</v>
      </c>
      <c r="BJ48" s="460">
        <v>0</v>
      </c>
      <c r="BK48" s="460">
        <v>0</v>
      </c>
      <c r="BL48" s="460">
        <v>-29223.672508509477</v>
      </c>
      <c r="BM48" s="460">
        <v>0</v>
      </c>
      <c r="BN48" s="460">
        <v>0</v>
      </c>
      <c r="BO48" s="460">
        <v>0</v>
      </c>
      <c r="BP48" s="460">
        <v>0</v>
      </c>
      <c r="BQ48" s="460">
        <v>0</v>
      </c>
      <c r="BR48" s="460">
        <v>0</v>
      </c>
      <c r="BS48" s="460">
        <v>0</v>
      </c>
      <c r="BT48" s="460">
        <v>0</v>
      </c>
      <c r="BU48" s="460">
        <v>0</v>
      </c>
      <c r="BV48" s="460">
        <v>0</v>
      </c>
      <c r="BW48" s="460">
        <v>0</v>
      </c>
      <c r="BX48" s="460">
        <v>0</v>
      </c>
      <c r="BY48" s="460">
        <v>0</v>
      </c>
      <c r="BZ48" s="460">
        <v>0</v>
      </c>
      <c r="CA48" s="460" t="e">
        <v>#N/A</v>
      </c>
      <c r="CB48" s="460" t="e">
        <v>#N/A</v>
      </c>
      <c r="CC48" s="460" t="e">
        <v>#N/A</v>
      </c>
    </row>
    <row r="49" spans="1:81" ht="12.75" customHeight="1">
      <c r="A49" s="105">
        <v>44</v>
      </c>
      <c r="B49" s="112" t="str">
        <v>21Y</v>
      </c>
      <c r="C49" s="465">
        <f>'eur disaggregated'!AN60</f>
        <v>24882.911100936501</v>
      </c>
      <c r="D49" s="111" t="str">
        <f t="shared" si="6"/>
        <v>252M</v>
      </c>
      <c r="E49" s="441">
        <f t="shared" si="4"/>
        <v>42696</v>
      </c>
      <c r="F49" s="441">
        <f>_xll.qlCalendarAdvance(Calendar,E49,D49)</f>
        <v>50367</v>
      </c>
      <c r="G49" s="462">
        <f t="shared" si="3"/>
        <v>9.9245433599999995E-3</v>
      </c>
      <c r="H49" s="453">
        <v>0.99245433599999999</v>
      </c>
      <c r="I49" s="107" t="str">
        <v>16Y</v>
      </c>
      <c r="J49" s="106" t="str">
        <f t="shared" si="5"/>
        <v>192M</v>
      </c>
      <c r="K49" s="448">
        <f>_xll.qlCalendarAdvance("TARGET",$C$1,J49)</f>
        <v>48540</v>
      </c>
      <c r="M49" s="99" t="str">
        <v>16Y</v>
      </c>
      <c r="N49" s="465">
        <v>29912.299218938067</v>
      </c>
      <c r="P49" s="106" t="b">
        <f t="shared" si="7"/>
        <v>0</v>
      </c>
      <c r="Q49" s="460">
        <f t="array" ref="Q49:CC49">C49*ForwardToZero(OisBuckets,E49,F49,G49)</f>
        <v>0</v>
      </c>
      <c r="R49" s="460">
        <v>0</v>
      </c>
      <c r="S49" s="460">
        <v>0</v>
      </c>
      <c r="T49" s="460">
        <v>0</v>
      </c>
      <c r="U49" s="460">
        <v>0</v>
      </c>
      <c r="V49" s="460">
        <v>0</v>
      </c>
      <c r="W49" s="460">
        <v>0</v>
      </c>
      <c r="X49" s="460">
        <v>0</v>
      </c>
      <c r="Y49" s="460">
        <v>0</v>
      </c>
      <c r="Z49" s="460">
        <v>0</v>
      </c>
      <c r="AA49" s="460">
        <v>0</v>
      </c>
      <c r="AB49" s="460">
        <v>0</v>
      </c>
      <c r="AC49" s="460">
        <v>0</v>
      </c>
      <c r="AD49" s="460">
        <v>0</v>
      </c>
      <c r="AE49" s="460">
        <v>0</v>
      </c>
      <c r="AF49" s="460">
        <v>0</v>
      </c>
      <c r="AG49" s="460">
        <v>0</v>
      </c>
      <c r="AH49" s="460">
        <v>0</v>
      </c>
      <c r="AI49" s="460">
        <v>0</v>
      </c>
      <c r="AJ49" s="460">
        <v>0</v>
      </c>
      <c r="AK49" s="460">
        <v>0</v>
      </c>
      <c r="AL49" s="460">
        <v>0</v>
      </c>
      <c r="AM49" s="460">
        <v>0</v>
      </c>
      <c r="AN49" s="460">
        <v>0</v>
      </c>
      <c r="AO49" s="460">
        <v>0</v>
      </c>
      <c r="AP49" s="460">
        <v>0</v>
      </c>
      <c r="AQ49" s="460">
        <v>0</v>
      </c>
      <c r="AR49" s="460">
        <v>0</v>
      </c>
      <c r="AS49" s="460">
        <v>0</v>
      </c>
      <c r="AT49" s="460">
        <v>0</v>
      </c>
      <c r="AU49" s="460">
        <v>0</v>
      </c>
      <c r="AV49" s="460">
        <v>0</v>
      </c>
      <c r="AW49" s="460">
        <v>0</v>
      </c>
      <c r="AX49" s="460">
        <v>0</v>
      </c>
      <c r="AY49" s="460">
        <v>0</v>
      </c>
      <c r="AZ49" s="460">
        <v>0</v>
      </c>
      <c r="BA49" s="460">
        <v>0</v>
      </c>
      <c r="BB49" s="460">
        <v>0</v>
      </c>
      <c r="BC49" s="460">
        <v>0</v>
      </c>
      <c r="BD49" s="460">
        <v>0</v>
      </c>
      <c r="BE49" s="460">
        <v>0</v>
      </c>
      <c r="BF49" s="460">
        <v>0</v>
      </c>
      <c r="BG49" s="460">
        <v>0</v>
      </c>
      <c r="BH49" s="460">
        <v>0</v>
      </c>
      <c r="BI49" s="460">
        <v>0</v>
      </c>
      <c r="BJ49" s="460">
        <v>0</v>
      </c>
      <c r="BK49" s="460">
        <v>0</v>
      </c>
      <c r="BL49" s="460">
        <v>0</v>
      </c>
      <c r="BM49" s="460">
        <v>24882.911100936501</v>
      </c>
      <c r="BN49" s="460">
        <v>0</v>
      </c>
      <c r="BO49" s="460">
        <v>0</v>
      </c>
      <c r="BP49" s="460">
        <v>0</v>
      </c>
      <c r="BQ49" s="460">
        <v>0</v>
      </c>
      <c r="BR49" s="460">
        <v>0</v>
      </c>
      <c r="BS49" s="460">
        <v>0</v>
      </c>
      <c r="BT49" s="460">
        <v>0</v>
      </c>
      <c r="BU49" s="460">
        <v>0</v>
      </c>
      <c r="BV49" s="460">
        <v>0</v>
      </c>
      <c r="BW49" s="460">
        <v>0</v>
      </c>
      <c r="BX49" s="460">
        <v>0</v>
      </c>
      <c r="BY49" s="460">
        <v>0</v>
      </c>
      <c r="BZ49" s="460">
        <v>0</v>
      </c>
      <c r="CA49" s="460" t="e">
        <v>#N/A</v>
      </c>
      <c r="CB49" s="460" t="e">
        <v>#N/A</v>
      </c>
      <c r="CC49" s="460" t="e">
        <v>#N/A</v>
      </c>
    </row>
    <row r="50" spans="1:81" ht="12.75" customHeight="1">
      <c r="A50" s="105">
        <v>45</v>
      </c>
      <c r="B50" s="112" t="str">
        <v>22Y</v>
      </c>
      <c r="C50" s="465">
        <f>'eur disaggregated'!AN61</f>
        <v>56300.091480150448</v>
      </c>
      <c r="D50" s="111" t="str">
        <f t="shared" si="6"/>
        <v>264M</v>
      </c>
      <c r="E50" s="441">
        <f t="shared" si="4"/>
        <v>42696</v>
      </c>
      <c r="F50" s="441">
        <f>_xll.qlCalendarAdvance(Calendar,E50,D50)</f>
        <v>50731</v>
      </c>
      <c r="G50" s="462">
        <f t="shared" si="3"/>
        <v>1.0056301830000001E-2</v>
      </c>
      <c r="H50" s="453">
        <v>1.0056301830000001</v>
      </c>
      <c r="I50" s="107" t="str">
        <v>17Y</v>
      </c>
      <c r="J50" s="106" t="str">
        <f t="shared" si="5"/>
        <v>204M</v>
      </c>
      <c r="K50" s="448">
        <f>_xll.qlCalendarAdvance("TARGET",$C$1,J50)</f>
        <v>48905</v>
      </c>
      <c r="M50" s="99" t="str">
        <v>17Y</v>
      </c>
      <c r="N50" s="465">
        <v>11248.853929431267</v>
      </c>
      <c r="P50" s="106" t="b">
        <f t="shared" si="7"/>
        <v>0</v>
      </c>
      <c r="Q50" s="460">
        <f t="array" ref="Q50:CC50">C50*ForwardToZero(OisBuckets,E50,F50,G50)</f>
        <v>0</v>
      </c>
      <c r="R50" s="460">
        <v>0</v>
      </c>
      <c r="S50" s="460">
        <v>0</v>
      </c>
      <c r="T50" s="460">
        <v>0</v>
      </c>
      <c r="U50" s="460">
        <v>0</v>
      </c>
      <c r="V50" s="460">
        <v>0</v>
      </c>
      <c r="W50" s="460">
        <v>0</v>
      </c>
      <c r="X50" s="460">
        <v>0</v>
      </c>
      <c r="Y50" s="460">
        <v>0</v>
      </c>
      <c r="Z50" s="460">
        <v>0</v>
      </c>
      <c r="AA50" s="460">
        <v>0</v>
      </c>
      <c r="AB50" s="460">
        <v>0</v>
      </c>
      <c r="AC50" s="460">
        <v>0</v>
      </c>
      <c r="AD50" s="460">
        <v>0</v>
      </c>
      <c r="AE50" s="460">
        <v>0</v>
      </c>
      <c r="AF50" s="460">
        <v>0</v>
      </c>
      <c r="AG50" s="460">
        <v>0</v>
      </c>
      <c r="AH50" s="460">
        <v>0</v>
      </c>
      <c r="AI50" s="460">
        <v>0</v>
      </c>
      <c r="AJ50" s="460">
        <v>0</v>
      </c>
      <c r="AK50" s="460">
        <v>0</v>
      </c>
      <c r="AL50" s="460">
        <v>0</v>
      </c>
      <c r="AM50" s="460">
        <v>0</v>
      </c>
      <c r="AN50" s="460">
        <v>0</v>
      </c>
      <c r="AO50" s="460">
        <v>0</v>
      </c>
      <c r="AP50" s="460">
        <v>0</v>
      </c>
      <c r="AQ50" s="460">
        <v>0</v>
      </c>
      <c r="AR50" s="460">
        <v>0</v>
      </c>
      <c r="AS50" s="460">
        <v>0</v>
      </c>
      <c r="AT50" s="460">
        <v>0</v>
      </c>
      <c r="AU50" s="460">
        <v>0</v>
      </c>
      <c r="AV50" s="460">
        <v>0</v>
      </c>
      <c r="AW50" s="460">
        <v>0</v>
      </c>
      <c r="AX50" s="460">
        <v>0</v>
      </c>
      <c r="AY50" s="460">
        <v>0</v>
      </c>
      <c r="AZ50" s="460">
        <v>0</v>
      </c>
      <c r="BA50" s="460">
        <v>0</v>
      </c>
      <c r="BB50" s="460">
        <v>0</v>
      </c>
      <c r="BC50" s="460">
        <v>0</v>
      </c>
      <c r="BD50" s="460">
        <v>0</v>
      </c>
      <c r="BE50" s="460">
        <v>0</v>
      </c>
      <c r="BF50" s="460">
        <v>0</v>
      </c>
      <c r="BG50" s="460">
        <v>0</v>
      </c>
      <c r="BH50" s="460">
        <v>0</v>
      </c>
      <c r="BI50" s="460">
        <v>0</v>
      </c>
      <c r="BJ50" s="460">
        <v>0</v>
      </c>
      <c r="BK50" s="460">
        <v>0</v>
      </c>
      <c r="BL50" s="460">
        <v>0</v>
      </c>
      <c r="BM50" s="460">
        <v>0</v>
      </c>
      <c r="BN50" s="460">
        <v>56300.091480150448</v>
      </c>
      <c r="BO50" s="460">
        <v>0</v>
      </c>
      <c r="BP50" s="460">
        <v>0</v>
      </c>
      <c r="BQ50" s="460">
        <v>0</v>
      </c>
      <c r="BR50" s="460">
        <v>0</v>
      </c>
      <c r="BS50" s="460">
        <v>0</v>
      </c>
      <c r="BT50" s="460">
        <v>0</v>
      </c>
      <c r="BU50" s="460">
        <v>0</v>
      </c>
      <c r="BV50" s="460">
        <v>0</v>
      </c>
      <c r="BW50" s="460">
        <v>0</v>
      </c>
      <c r="BX50" s="460">
        <v>0</v>
      </c>
      <c r="BY50" s="460">
        <v>0</v>
      </c>
      <c r="BZ50" s="460">
        <v>0</v>
      </c>
      <c r="CA50" s="460" t="e">
        <v>#N/A</v>
      </c>
      <c r="CB50" s="460" t="e">
        <v>#N/A</v>
      </c>
      <c r="CC50" s="460" t="e">
        <v>#N/A</v>
      </c>
    </row>
    <row r="51" spans="1:81" ht="12.75" customHeight="1">
      <c r="A51" s="105">
        <v>46</v>
      </c>
      <c r="B51" s="112" t="str">
        <v>23Y</v>
      </c>
      <c r="C51" s="465">
        <f>'eur disaggregated'!AN62</f>
        <v>-9829.6144996177227</v>
      </c>
      <c r="D51" s="111" t="str">
        <f t="shared" si="6"/>
        <v>276M</v>
      </c>
      <c r="E51" s="441">
        <f t="shared" si="4"/>
        <v>42696</v>
      </c>
      <c r="F51" s="441">
        <f>_xll.qlCalendarAdvance(Calendar,E51,D51)</f>
        <v>51096</v>
      </c>
      <c r="G51" s="462">
        <f t="shared" si="3"/>
        <v>1.0161733159999999E-2</v>
      </c>
      <c r="H51" s="453">
        <v>1.0161733159999999</v>
      </c>
      <c r="I51" s="107" t="str">
        <v>18Y</v>
      </c>
      <c r="J51" s="106" t="str">
        <f t="shared" si="5"/>
        <v>216M</v>
      </c>
      <c r="K51" s="448">
        <f>_xll.qlCalendarAdvance("TARGET",$C$1,J51)</f>
        <v>49270</v>
      </c>
      <c r="M51" s="99" t="str">
        <v>18Y</v>
      </c>
      <c r="N51" s="465">
        <v>-16053.333783695502</v>
      </c>
      <c r="P51" s="106" t="b">
        <f t="shared" si="7"/>
        <v>0</v>
      </c>
      <c r="Q51" s="460">
        <f t="array" ref="Q51:CC51">C51*ForwardToZero(OisBuckets,E51,F51,G51)</f>
        <v>0</v>
      </c>
      <c r="R51" s="460">
        <v>0</v>
      </c>
      <c r="S51" s="460">
        <v>0</v>
      </c>
      <c r="T51" s="460">
        <v>0</v>
      </c>
      <c r="U51" s="460">
        <v>0</v>
      </c>
      <c r="V51" s="460">
        <v>0</v>
      </c>
      <c r="W51" s="460">
        <v>0</v>
      </c>
      <c r="X51" s="460">
        <v>0</v>
      </c>
      <c r="Y51" s="460">
        <v>0</v>
      </c>
      <c r="Z51" s="460">
        <v>0</v>
      </c>
      <c r="AA51" s="460">
        <v>0</v>
      </c>
      <c r="AB51" s="460">
        <v>0</v>
      </c>
      <c r="AC51" s="460">
        <v>0</v>
      </c>
      <c r="AD51" s="460">
        <v>0</v>
      </c>
      <c r="AE51" s="460">
        <v>0</v>
      </c>
      <c r="AF51" s="460">
        <v>0</v>
      </c>
      <c r="AG51" s="460">
        <v>0</v>
      </c>
      <c r="AH51" s="460">
        <v>0</v>
      </c>
      <c r="AI51" s="460">
        <v>0</v>
      </c>
      <c r="AJ51" s="460">
        <v>0</v>
      </c>
      <c r="AK51" s="460">
        <v>0</v>
      </c>
      <c r="AL51" s="460">
        <v>0</v>
      </c>
      <c r="AM51" s="460">
        <v>0</v>
      </c>
      <c r="AN51" s="460">
        <v>0</v>
      </c>
      <c r="AO51" s="460">
        <v>0</v>
      </c>
      <c r="AP51" s="460">
        <v>0</v>
      </c>
      <c r="AQ51" s="460">
        <v>0</v>
      </c>
      <c r="AR51" s="460">
        <v>0</v>
      </c>
      <c r="AS51" s="460">
        <v>0</v>
      </c>
      <c r="AT51" s="460">
        <v>0</v>
      </c>
      <c r="AU51" s="460">
        <v>0</v>
      </c>
      <c r="AV51" s="460">
        <v>0</v>
      </c>
      <c r="AW51" s="460">
        <v>0</v>
      </c>
      <c r="AX51" s="460">
        <v>0</v>
      </c>
      <c r="AY51" s="460">
        <v>0</v>
      </c>
      <c r="AZ51" s="460">
        <v>0</v>
      </c>
      <c r="BA51" s="460">
        <v>0</v>
      </c>
      <c r="BB51" s="460">
        <v>0</v>
      </c>
      <c r="BC51" s="460">
        <v>0</v>
      </c>
      <c r="BD51" s="460">
        <v>0</v>
      </c>
      <c r="BE51" s="460">
        <v>0</v>
      </c>
      <c r="BF51" s="460">
        <v>0</v>
      </c>
      <c r="BG51" s="460">
        <v>0</v>
      </c>
      <c r="BH51" s="460">
        <v>0</v>
      </c>
      <c r="BI51" s="460">
        <v>0</v>
      </c>
      <c r="BJ51" s="460">
        <v>0</v>
      </c>
      <c r="BK51" s="460">
        <v>0</v>
      </c>
      <c r="BL51" s="460">
        <v>0</v>
      </c>
      <c r="BM51" s="460">
        <v>0</v>
      </c>
      <c r="BN51" s="460">
        <v>0</v>
      </c>
      <c r="BO51" s="460">
        <v>-9829.6144996177227</v>
      </c>
      <c r="BP51" s="460">
        <v>0</v>
      </c>
      <c r="BQ51" s="460">
        <v>0</v>
      </c>
      <c r="BR51" s="460">
        <v>0</v>
      </c>
      <c r="BS51" s="460">
        <v>0</v>
      </c>
      <c r="BT51" s="460">
        <v>0</v>
      </c>
      <c r="BU51" s="460">
        <v>0</v>
      </c>
      <c r="BV51" s="460">
        <v>0</v>
      </c>
      <c r="BW51" s="460">
        <v>0</v>
      </c>
      <c r="BX51" s="460">
        <v>0</v>
      </c>
      <c r="BY51" s="460">
        <v>0</v>
      </c>
      <c r="BZ51" s="460">
        <v>0</v>
      </c>
      <c r="CA51" s="460" t="e">
        <v>#N/A</v>
      </c>
      <c r="CB51" s="460" t="e">
        <v>#N/A</v>
      </c>
      <c r="CC51" s="460" t="e">
        <v>#N/A</v>
      </c>
    </row>
    <row r="52" spans="1:81" ht="12.75" customHeight="1">
      <c r="A52" s="105">
        <v>47</v>
      </c>
      <c r="B52" s="112" t="str">
        <v>24Y</v>
      </c>
      <c r="C52" s="465">
        <f>'eur disaggregated'!AN63</f>
        <v>408.27705715881729</v>
      </c>
      <c r="D52" s="111" t="str">
        <f t="shared" si="6"/>
        <v>288M</v>
      </c>
      <c r="E52" s="441">
        <f t="shared" si="4"/>
        <v>42696</v>
      </c>
      <c r="F52" s="441">
        <f>_xll.qlCalendarAdvance(Calendar,E52,D52)</f>
        <v>51462</v>
      </c>
      <c r="G52" s="462">
        <f t="shared" si="3"/>
        <v>1.0248589340000001E-2</v>
      </c>
      <c r="H52" s="453">
        <v>1.0248589340000001</v>
      </c>
      <c r="I52" s="107" t="str">
        <v>19Y</v>
      </c>
      <c r="J52" s="106" t="str">
        <f t="shared" si="5"/>
        <v>228M</v>
      </c>
      <c r="K52" s="448">
        <f>_xll.qlCalendarAdvance("TARGET",$C$1,J52)</f>
        <v>49635</v>
      </c>
      <c r="M52" s="99" t="str">
        <v>19Y</v>
      </c>
      <c r="N52" s="465">
        <v>-22888.614308056443</v>
      </c>
      <c r="P52" s="106" t="b">
        <f t="shared" si="7"/>
        <v>0</v>
      </c>
      <c r="Q52" s="460">
        <f t="array" ref="Q52:CC52">C52*ForwardToZero(OisBuckets,E52,F52,G52)</f>
        <v>0</v>
      </c>
      <c r="R52" s="460">
        <v>0</v>
      </c>
      <c r="S52" s="460">
        <v>0</v>
      </c>
      <c r="T52" s="460">
        <v>0</v>
      </c>
      <c r="U52" s="460">
        <v>0</v>
      </c>
      <c r="V52" s="460">
        <v>0</v>
      </c>
      <c r="W52" s="460">
        <v>0</v>
      </c>
      <c r="X52" s="460">
        <v>0</v>
      </c>
      <c r="Y52" s="460">
        <v>0</v>
      </c>
      <c r="Z52" s="460">
        <v>0</v>
      </c>
      <c r="AA52" s="460">
        <v>0</v>
      </c>
      <c r="AB52" s="460">
        <v>0</v>
      </c>
      <c r="AC52" s="460">
        <v>0</v>
      </c>
      <c r="AD52" s="460">
        <v>0</v>
      </c>
      <c r="AE52" s="460">
        <v>0</v>
      </c>
      <c r="AF52" s="460">
        <v>0</v>
      </c>
      <c r="AG52" s="460">
        <v>0</v>
      </c>
      <c r="AH52" s="460">
        <v>0</v>
      </c>
      <c r="AI52" s="460">
        <v>0</v>
      </c>
      <c r="AJ52" s="460">
        <v>0</v>
      </c>
      <c r="AK52" s="460">
        <v>0</v>
      </c>
      <c r="AL52" s="460">
        <v>0</v>
      </c>
      <c r="AM52" s="460">
        <v>0</v>
      </c>
      <c r="AN52" s="460">
        <v>0</v>
      </c>
      <c r="AO52" s="460">
        <v>0</v>
      </c>
      <c r="AP52" s="460">
        <v>0</v>
      </c>
      <c r="AQ52" s="460">
        <v>0</v>
      </c>
      <c r="AR52" s="460">
        <v>0</v>
      </c>
      <c r="AS52" s="460">
        <v>0</v>
      </c>
      <c r="AT52" s="460">
        <v>0</v>
      </c>
      <c r="AU52" s="460">
        <v>0</v>
      </c>
      <c r="AV52" s="460">
        <v>0</v>
      </c>
      <c r="AW52" s="460">
        <v>0</v>
      </c>
      <c r="AX52" s="460">
        <v>0</v>
      </c>
      <c r="AY52" s="460">
        <v>0</v>
      </c>
      <c r="AZ52" s="460">
        <v>0</v>
      </c>
      <c r="BA52" s="460">
        <v>0</v>
      </c>
      <c r="BB52" s="460">
        <v>0</v>
      </c>
      <c r="BC52" s="460">
        <v>0</v>
      </c>
      <c r="BD52" s="460">
        <v>0</v>
      </c>
      <c r="BE52" s="460">
        <v>0</v>
      </c>
      <c r="BF52" s="460">
        <v>0</v>
      </c>
      <c r="BG52" s="460">
        <v>0</v>
      </c>
      <c r="BH52" s="460">
        <v>0</v>
      </c>
      <c r="BI52" s="460">
        <v>0</v>
      </c>
      <c r="BJ52" s="460">
        <v>0</v>
      </c>
      <c r="BK52" s="460">
        <v>0</v>
      </c>
      <c r="BL52" s="460">
        <v>0</v>
      </c>
      <c r="BM52" s="460">
        <v>0</v>
      </c>
      <c r="BN52" s="460">
        <v>0</v>
      </c>
      <c r="BO52" s="460">
        <v>0</v>
      </c>
      <c r="BP52" s="460">
        <v>408.27705715881729</v>
      </c>
      <c r="BQ52" s="460">
        <v>0</v>
      </c>
      <c r="BR52" s="460">
        <v>0</v>
      </c>
      <c r="BS52" s="460">
        <v>0</v>
      </c>
      <c r="BT52" s="460">
        <v>0</v>
      </c>
      <c r="BU52" s="460">
        <v>0</v>
      </c>
      <c r="BV52" s="460">
        <v>0</v>
      </c>
      <c r="BW52" s="460">
        <v>0</v>
      </c>
      <c r="BX52" s="460">
        <v>0</v>
      </c>
      <c r="BY52" s="460">
        <v>0</v>
      </c>
      <c r="BZ52" s="460">
        <v>0</v>
      </c>
      <c r="CA52" s="460" t="e">
        <v>#N/A</v>
      </c>
      <c r="CB52" s="460" t="e">
        <v>#N/A</v>
      </c>
      <c r="CC52" s="460" t="e">
        <v>#N/A</v>
      </c>
    </row>
    <row r="53" spans="1:81" ht="12.75" customHeight="1">
      <c r="A53" s="105">
        <v>48</v>
      </c>
      <c r="B53" s="112" t="str">
        <v>25Y</v>
      </c>
      <c r="C53" s="465">
        <f>'eur disaggregated'!AN64</f>
        <v>14748.06934182745</v>
      </c>
      <c r="D53" s="111" t="str">
        <f t="shared" si="6"/>
        <v>300M</v>
      </c>
      <c r="E53" s="441">
        <f t="shared" si="4"/>
        <v>42696</v>
      </c>
      <c r="F53" s="441">
        <f>_xll.qlCalendarAdvance(Calendar,E53,D53)</f>
        <v>51827</v>
      </c>
      <c r="G53" s="462">
        <f t="shared" si="3"/>
        <v>1.0320000000000001E-2</v>
      </c>
      <c r="H53" s="453">
        <v>1.032</v>
      </c>
      <c r="I53" s="107" t="str">
        <v>20Y</v>
      </c>
      <c r="J53" s="106" t="str">
        <f t="shared" si="5"/>
        <v>240M</v>
      </c>
      <c r="K53" s="448">
        <f>_xll.qlCalendarAdvance("TARGET",$C$1,J53)</f>
        <v>50003</v>
      </c>
      <c r="M53" s="99" t="str">
        <v>20Y</v>
      </c>
      <c r="N53" s="465">
        <v>-29223.672508509477</v>
      </c>
      <c r="P53" s="106" t="b">
        <f t="shared" si="7"/>
        <v>0</v>
      </c>
      <c r="Q53" s="460">
        <f t="array" ref="Q53:CC53">C53*ForwardToZero(OisBuckets,E53,F53,G53)</f>
        <v>0</v>
      </c>
      <c r="R53" s="460">
        <v>0</v>
      </c>
      <c r="S53" s="460">
        <v>0</v>
      </c>
      <c r="T53" s="460">
        <v>0</v>
      </c>
      <c r="U53" s="460">
        <v>0</v>
      </c>
      <c r="V53" s="460">
        <v>0</v>
      </c>
      <c r="W53" s="460">
        <v>0</v>
      </c>
      <c r="X53" s="460">
        <v>0</v>
      </c>
      <c r="Y53" s="460">
        <v>0</v>
      </c>
      <c r="Z53" s="460">
        <v>0</v>
      </c>
      <c r="AA53" s="460">
        <v>0</v>
      </c>
      <c r="AB53" s="460">
        <v>0</v>
      </c>
      <c r="AC53" s="460">
        <v>0</v>
      </c>
      <c r="AD53" s="460">
        <v>0</v>
      </c>
      <c r="AE53" s="460">
        <v>0</v>
      </c>
      <c r="AF53" s="460">
        <v>0</v>
      </c>
      <c r="AG53" s="460">
        <v>0</v>
      </c>
      <c r="AH53" s="460">
        <v>0</v>
      </c>
      <c r="AI53" s="460">
        <v>0</v>
      </c>
      <c r="AJ53" s="460">
        <v>0</v>
      </c>
      <c r="AK53" s="460">
        <v>0</v>
      </c>
      <c r="AL53" s="460">
        <v>0</v>
      </c>
      <c r="AM53" s="460">
        <v>0</v>
      </c>
      <c r="AN53" s="460">
        <v>0</v>
      </c>
      <c r="AO53" s="460">
        <v>0</v>
      </c>
      <c r="AP53" s="460">
        <v>0</v>
      </c>
      <c r="AQ53" s="460">
        <v>0</v>
      </c>
      <c r="AR53" s="460">
        <v>0</v>
      </c>
      <c r="AS53" s="460">
        <v>0</v>
      </c>
      <c r="AT53" s="460">
        <v>0</v>
      </c>
      <c r="AU53" s="460">
        <v>0</v>
      </c>
      <c r="AV53" s="460">
        <v>0</v>
      </c>
      <c r="AW53" s="460">
        <v>0</v>
      </c>
      <c r="AX53" s="460">
        <v>0</v>
      </c>
      <c r="AY53" s="460">
        <v>0</v>
      </c>
      <c r="AZ53" s="460">
        <v>0</v>
      </c>
      <c r="BA53" s="460">
        <v>0</v>
      </c>
      <c r="BB53" s="460">
        <v>0</v>
      </c>
      <c r="BC53" s="460">
        <v>0</v>
      </c>
      <c r="BD53" s="460">
        <v>0</v>
      </c>
      <c r="BE53" s="460">
        <v>0</v>
      </c>
      <c r="BF53" s="460">
        <v>0</v>
      </c>
      <c r="BG53" s="460">
        <v>0</v>
      </c>
      <c r="BH53" s="460">
        <v>0</v>
      </c>
      <c r="BI53" s="460">
        <v>0</v>
      </c>
      <c r="BJ53" s="460">
        <v>0</v>
      </c>
      <c r="BK53" s="460">
        <v>0</v>
      </c>
      <c r="BL53" s="460">
        <v>0</v>
      </c>
      <c r="BM53" s="460">
        <v>0</v>
      </c>
      <c r="BN53" s="460">
        <v>0</v>
      </c>
      <c r="BO53" s="460">
        <v>0</v>
      </c>
      <c r="BP53" s="460">
        <v>0</v>
      </c>
      <c r="BQ53" s="460">
        <v>14748.06934182745</v>
      </c>
      <c r="BR53" s="460">
        <v>0</v>
      </c>
      <c r="BS53" s="460">
        <v>0</v>
      </c>
      <c r="BT53" s="460">
        <v>0</v>
      </c>
      <c r="BU53" s="460">
        <v>0</v>
      </c>
      <c r="BV53" s="460">
        <v>0</v>
      </c>
      <c r="BW53" s="460">
        <v>0</v>
      </c>
      <c r="BX53" s="460">
        <v>0</v>
      </c>
      <c r="BY53" s="460">
        <v>0</v>
      </c>
      <c r="BZ53" s="460">
        <v>0</v>
      </c>
      <c r="CA53" s="460" t="e">
        <v>#N/A</v>
      </c>
      <c r="CB53" s="460" t="e">
        <v>#N/A</v>
      </c>
      <c r="CC53" s="460" t="e">
        <v>#N/A</v>
      </c>
    </row>
    <row r="54" spans="1:81" ht="12.75" customHeight="1">
      <c r="A54" s="105">
        <v>49</v>
      </c>
      <c r="B54" s="112" t="str">
        <v>26Y</v>
      </c>
      <c r="C54" s="465">
        <f>'eur disaggregated'!AN65</f>
        <v>-2795.1817086195529</v>
      </c>
      <c r="D54" s="111" t="str">
        <f t="shared" si="6"/>
        <v>312M</v>
      </c>
      <c r="E54" s="441">
        <f t="shared" si="4"/>
        <v>42696</v>
      </c>
      <c r="F54" s="441">
        <f>_xll.qlCalendarAdvance(Calendar,E54,D54)</f>
        <v>52194</v>
      </c>
      <c r="G54" s="462">
        <f t="shared" si="3"/>
        <v>1.0383068019999999E-2</v>
      </c>
      <c r="H54" s="453">
        <v>1.0383068019999999</v>
      </c>
      <c r="I54" s="107" t="str">
        <v>21Y</v>
      </c>
      <c r="J54" s="106" t="str">
        <f t="shared" si="5"/>
        <v>252M</v>
      </c>
      <c r="K54" s="448">
        <f>_xll.qlCalendarAdvance("TARGET",$C$1,J54)</f>
        <v>50367</v>
      </c>
      <c r="M54" s="99" t="str">
        <v>21Y</v>
      </c>
      <c r="N54" s="465">
        <v>24882.911100936501</v>
      </c>
      <c r="P54" s="106" t="b">
        <f t="shared" si="7"/>
        <v>0</v>
      </c>
      <c r="Q54" s="460">
        <f t="array" ref="Q54:CC54">C54*ForwardToZero(OisBuckets,E54,F54,G54)</f>
        <v>0</v>
      </c>
      <c r="R54" s="460">
        <v>0</v>
      </c>
      <c r="S54" s="460">
        <v>0</v>
      </c>
      <c r="T54" s="460">
        <v>0</v>
      </c>
      <c r="U54" s="460">
        <v>0</v>
      </c>
      <c r="V54" s="460">
        <v>0</v>
      </c>
      <c r="W54" s="460">
        <v>0</v>
      </c>
      <c r="X54" s="460">
        <v>0</v>
      </c>
      <c r="Y54" s="460">
        <v>0</v>
      </c>
      <c r="Z54" s="460">
        <v>0</v>
      </c>
      <c r="AA54" s="460">
        <v>0</v>
      </c>
      <c r="AB54" s="460">
        <v>0</v>
      </c>
      <c r="AC54" s="460">
        <v>0</v>
      </c>
      <c r="AD54" s="460">
        <v>0</v>
      </c>
      <c r="AE54" s="460">
        <v>0</v>
      </c>
      <c r="AF54" s="460">
        <v>0</v>
      </c>
      <c r="AG54" s="460">
        <v>0</v>
      </c>
      <c r="AH54" s="460">
        <v>0</v>
      </c>
      <c r="AI54" s="460">
        <v>0</v>
      </c>
      <c r="AJ54" s="460">
        <v>0</v>
      </c>
      <c r="AK54" s="460">
        <v>0</v>
      </c>
      <c r="AL54" s="460">
        <v>0</v>
      </c>
      <c r="AM54" s="460">
        <v>0</v>
      </c>
      <c r="AN54" s="460">
        <v>0</v>
      </c>
      <c r="AO54" s="460">
        <v>0</v>
      </c>
      <c r="AP54" s="460">
        <v>0</v>
      </c>
      <c r="AQ54" s="460">
        <v>0</v>
      </c>
      <c r="AR54" s="460">
        <v>0</v>
      </c>
      <c r="AS54" s="460">
        <v>0</v>
      </c>
      <c r="AT54" s="460">
        <v>0</v>
      </c>
      <c r="AU54" s="460">
        <v>0</v>
      </c>
      <c r="AV54" s="460">
        <v>0</v>
      </c>
      <c r="AW54" s="460">
        <v>0</v>
      </c>
      <c r="AX54" s="460">
        <v>0</v>
      </c>
      <c r="AY54" s="460">
        <v>0</v>
      </c>
      <c r="AZ54" s="460">
        <v>0</v>
      </c>
      <c r="BA54" s="460">
        <v>0</v>
      </c>
      <c r="BB54" s="460">
        <v>0</v>
      </c>
      <c r="BC54" s="460">
        <v>0</v>
      </c>
      <c r="BD54" s="460">
        <v>0</v>
      </c>
      <c r="BE54" s="460">
        <v>0</v>
      </c>
      <c r="BF54" s="460">
        <v>0</v>
      </c>
      <c r="BG54" s="460">
        <v>0</v>
      </c>
      <c r="BH54" s="460">
        <v>0</v>
      </c>
      <c r="BI54" s="460">
        <v>0</v>
      </c>
      <c r="BJ54" s="460">
        <v>0</v>
      </c>
      <c r="BK54" s="460">
        <v>0</v>
      </c>
      <c r="BL54" s="460">
        <v>0</v>
      </c>
      <c r="BM54" s="460">
        <v>0</v>
      </c>
      <c r="BN54" s="460">
        <v>0</v>
      </c>
      <c r="BO54" s="460">
        <v>0</v>
      </c>
      <c r="BP54" s="460">
        <v>0</v>
      </c>
      <c r="BQ54" s="460">
        <v>0</v>
      </c>
      <c r="BR54" s="460">
        <v>-2795.1817086195529</v>
      </c>
      <c r="BS54" s="460">
        <v>0</v>
      </c>
      <c r="BT54" s="460">
        <v>0</v>
      </c>
      <c r="BU54" s="460">
        <v>0</v>
      </c>
      <c r="BV54" s="460">
        <v>0</v>
      </c>
      <c r="BW54" s="460">
        <v>0</v>
      </c>
      <c r="BX54" s="460">
        <v>0</v>
      </c>
      <c r="BY54" s="460">
        <v>0</v>
      </c>
      <c r="BZ54" s="460">
        <v>0</v>
      </c>
      <c r="CA54" s="460" t="e">
        <v>#N/A</v>
      </c>
      <c r="CB54" s="460" t="e">
        <v>#N/A</v>
      </c>
      <c r="CC54" s="460" t="e">
        <v>#N/A</v>
      </c>
    </row>
    <row r="55" spans="1:81" ht="12.75" customHeight="1">
      <c r="A55" s="105">
        <v>50</v>
      </c>
      <c r="B55" s="112" t="str">
        <v>27Y</v>
      </c>
      <c r="C55" s="465">
        <f>'eur disaggregated'!AN66</f>
        <v>-1558.4997713121491</v>
      </c>
      <c r="D55" s="111" t="str">
        <f t="shared" si="6"/>
        <v>324M</v>
      </c>
      <c r="E55" s="441">
        <f t="shared" si="4"/>
        <v>42696</v>
      </c>
      <c r="F55" s="441">
        <f>_xll.qlCalendarAdvance(Calendar,E55,D55)</f>
        <v>52558</v>
      </c>
      <c r="G55" s="462">
        <f t="shared" si="3"/>
        <v>1.043902035E-2</v>
      </c>
      <c r="H55" s="453">
        <v>1.0439020349999999</v>
      </c>
      <c r="I55" s="107" t="str">
        <v>22Y</v>
      </c>
      <c r="J55" s="106" t="str">
        <f t="shared" si="5"/>
        <v>264M</v>
      </c>
      <c r="K55" s="448">
        <f>_xll.qlCalendarAdvance("TARGET",$C$1,J55)</f>
        <v>50731</v>
      </c>
      <c r="M55" s="99" t="str">
        <v>22Y</v>
      </c>
      <c r="N55" s="465">
        <v>56300.091480150448</v>
      </c>
      <c r="P55" s="106" t="b">
        <f t="shared" si="7"/>
        <v>0</v>
      </c>
      <c r="Q55" s="460">
        <f t="array" ref="Q55:CC55">C55*ForwardToZero(OisBuckets,E55,F55,G55)</f>
        <v>0</v>
      </c>
      <c r="R55" s="460">
        <v>0</v>
      </c>
      <c r="S55" s="460">
        <v>0</v>
      </c>
      <c r="T55" s="460">
        <v>0</v>
      </c>
      <c r="U55" s="460">
        <v>0</v>
      </c>
      <c r="V55" s="460">
        <v>0</v>
      </c>
      <c r="W55" s="460">
        <v>0</v>
      </c>
      <c r="X55" s="460">
        <v>0</v>
      </c>
      <c r="Y55" s="460">
        <v>0</v>
      </c>
      <c r="Z55" s="460">
        <v>0</v>
      </c>
      <c r="AA55" s="460">
        <v>0</v>
      </c>
      <c r="AB55" s="460">
        <v>0</v>
      </c>
      <c r="AC55" s="460">
        <v>0</v>
      </c>
      <c r="AD55" s="460">
        <v>0</v>
      </c>
      <c r="AE55" s="460">
        <v>0</v>
      </c>
      <c r="AF55" s="460">
        <v>0</v>
      </c>
      <c r="AG55" s="460">
        <v>0</v>
      </c>
      <c r="AH55" s="460">
        <v>0</v>
      </c>
      <c r="AI55" s="460">
        <v>0</v>
      </c>
      <c r="AJ55" s="460">
        <v>0</v>
      </c>
      <c r="AK55" s="460">
        <v>0</v>
      </c>
      <c r="AL55" s="460">
        <v>0</v>
      </c>
      <c r="AM55" s="460">
        <v>0</v>
      </c>
      <c r="AN55" s="460">
        <v>0</v>
      </c>
      <c r="AO55" s="460">
        <v>0</v>
      </c>
      <c r="AP55" s="460">
        <v>0</v>
      </c>
      <c r="AQ55" s="460">
        <v>0</v>
      </c>
      <c r="AR55" s="460">
        <v>0</v>
      </c>
      <c r="AS55" s="460">
        <v>0</v>
      </c>
      <c r="AT55" s="460">
        <v>0</v>
      </c>
      <c r="AU55" s="460">
        <v>0</v>
      </c>
      <c r="AV55" s="460">
        <v>0</v>
      </c>
      <c r="AW55" s="460">
        <v>0</v>
      </c>
      <c r="AX55" s="460">
        <v>0</v>
      </c>
      <c r="AY55" s="460">
        <v>0</v>
      </c>
      <c r="AZ55" s="460">
        <v>0</v>
      </c>
      <c r="BA55" s="460">
        <v>0</v>
      </c>
      <c r="BB55" s="460">
        <v>0</v>
      </c>
      <c r="BC55" s="460">
        <v>0</v>
      </c>
      <c r="BD55" s="460">
        <v>0</v>
      </c>
      <c r="BE55" s="460">
        <v>0</v>
      </c>
      <c r="BF55" s="460">
        <v>0</v>
      </c>
      <c r="BG55" s="460">
        <v>0</v>
      </c>
      <c r="BH55" s="460">
        <v>0</v>
      </c>
      <c r="BI55" s="460">
        <v>0</v>
      </c>
      <c r="BJ55" s="460">
        <v>0</v>
      </c>
      <c r="BK55" s="460">
        <v>0</v>
      </c>
      <c r="BL55" s="460">
        <v>0</v>
      </c>
      <c r="BM55" s="460">
        <v>0</v>
      </c>
      <c r="BN55" s="460">
        <v>0</v>
      </c>
      <c r="BO55" s="460">
        <v>0</v>
      </c>
      <c r="BP55" s="460">
        <v>0</v>
      </c>
      <c r="BQ55" s="460">
        <v>0</v>
      </c>
      <c r="BR55" s="460">
        <v>0</v>
      </c>
      <c r="BS55" s="460">
        <v>-1558.4997713121491</v>
      </c>
      <c r="BT55" s="460">
        <v>0</v>
      </c>
      <c r="BU55" s="460">
        <v>0</v>
      </c>
      <c r="BV55" s="460">
        <v>0</v>
      </c>
      <c r="BW55" s="460">
        <v>0</v>
      </c>
      <c r="BX55" s="460">
        <v>0</v>
      </c>
      <c r="BY55" s="460">
        <v>0</v>
      </c>
      <c r="BZ55" s="460">
        <v>0</v>
      </c>
      <c r="CA55" s="460" t="e">
        <v>#N/A</v>
      </c>
      <c r="CB55" s="460" t="e">
        <v>#N/A</v>
      </c>
      <c r="CC55" s="460" t="e">
        <v>#N/A</v>
      </c>
    </row>
    <row r="56" spans="1:81" ht="12.75" customHeight="1">
      <c r="A56" s="105">
        <v>51</v>
      </c>
      <c r="B56" s="112" t="str">
        <v>28Y</v>
      </c>
      <c r="C56" s="465">
        <f>'eur disaggregated'!AN67</f>
        <v>-1713.3278358635187</v>
      </c>
      <c r="D56" s="111" t="str">
        <f t="shared" si="6"/>
        <v>336M</v>
      </c>
      <c r="E56" s="441">
        <f t="shared" si="4"/>
        <v>42696</v>
      </c>
      <c r="F56" s="441">
        <f>_xll.qlCalendarAdvance(Calendar,E56,D56)</f>
        <v>52923</v>
      </c>
      <c r="G56" s="462">
        <f t="shared" si="3"/>
        <v>1.048932843E-2</v>
      </c>
      <c r="H56" s="453">
        <v>1.048932843</v>
      </c>
      <c r="I56" s="107" t="str">
        <v>23Y</v>
      </c>
      <c r="J56" s="106" t="str">
        <f t="shared" si="5"/>
        <v>276M</v>
      </c>
      <c r="K56" s="448">
        <f>_xll.qlCalendarAdvance("TARGET",$C$1,J56)</f>
        <v>51096</v>
      </c>
      <c r="M56" s="99" t="str">
        <v>23Y</v>
      </c>
      <c r="N56" s="465">
        <v>-9829.6144996177227</v>
      </c>
      <c r="P56" s="106" t="b">
        <f t="shared" si="7"/>
        <v>0</v>
      </c>
      <c r="Q56" s="460">
        <f t="array" ref="Q56:CC56">C56*ForwardToZero(OisBuckets,E56,F56,G56)</f>
        <v>0</v>
      </c>
      <c r="R56" s="460">
        <v>0</v>
      </c>
      <c r="S56" s="460">
        <v>0</v>
      </c>
      <c r="T56" s="460">
        <v>0</v>
      </c>
      <c r="U56" s="460">
        <v>0</v>
      </c>
      <c r="V56" s="460">
        <v>0</v>
      </c>
      <c r="W56" s="460">
        <v>0</v>
      </c>
      <c r="X56" s="460">
        <v>0</v>
      </c>
      <c r="Y56" s="460">
        <v>0</v>
      </c>
      <c r="Z56" s="460">
        <v>0</v>
      </c>
      <c r="AA56" s="460">
        <v>0</v>
      </c>
      <c r="AB56" s="460">
        <v>0</v>
      </c>
      <c r="AC56" s="460">
        <v>0</v>
      </c>
      <c r="AD56" s="460">
        <v>0</v>
      </c>
      <c r="AE56" s="460">
        <v>0</v>
      </c>
      <c r="AF56" s="460">
        <v>0</v>
      </c>
      <c r="AG56" s="460">
        <v>0</v>
      </c>
      <c r="AH56" s="460">
        <v>0</v>
      </c>
      <c r="AI56" s="460">
        <v>0</v>
      </c>
      <c r="AJ56" s="460">
        <v>0</v>
      </c>
      <c r="AK56" s="460">
        <v>0</v>
      </c>
      <c r="AL56" s="460">
        <v>0</v>
      </c>
      <c r="AM56" s="460">
        <v>0</v>
      </c>
      <c r="AN56" s="460">
        <v>0</v>
      </c>
      <c r="AO56" s="460">
        <v>0</v>
      </c>
      <c r="AP56" s="460">
        <v>0</v>
      </c>
      <c r="AQ56" s="460">
        <v>0</v>
      </c>
      <c r="AR56" s="460">
        <v>0</v>
      </c>
      <c r="AS56" s="460">
        <v>0</v>
      </c>
      <c r="AT56" s="460">
        <v>0</v>
      </c>
      <c r="AU56" s="460">
        <v>0</v>
      </c>
      <c r="AV56" s="460">
        <v>0</v>
      </c>
      <c r="AW56" s="460">
        <v>0</v>
      </c>
      <c r="AX56" s="460">
        <v>0</v>
      </c>
      <c r="AY56" s="460">
        <v>0</v>
      </c>
      <c r="AZ56" s="460">
        <v>0</v>
      </c>
      <c r="BA56" s="460">
        <v>0</v>
      </c>
      <c r="BB56" s="460">
        <v>0</v>
      </c>
      <c r="BC56" s="460">
        <v>0</v>
      </c>
      <c r="BD56" s="460">
        <v>0</v>
      </c>
      <c r="BE56" s="460">
        <v>0</v>
      </c>
      <c r="BF56" s="460">
        <v>0</v>
      </c>
      <c r="BG56" s="460">
        <v>0</v>
      </c>
      <c r="BH56" s="460">
        <v>0</v>
      </c>
      <c r="BI56" s="460">
        <v>0</v>
      </c>
      <c r="BJ56" s="460">
        <v>0</v>
      </c>
      <c r="BK56" s="460">
        <v>0</v>
      </c>
      <c r="BL56" s="460">
        <v>0</v>
      </c>
      <c r="BM56" s="460">
        <v>0</v>
      </c>
      <c r="BN56" s="460">
        <v>0</v>
      </c>
      <c r="BO56" s="460">
        <v>0</v>
      </c>
      <c r="BP56" s="460">
        <v>0</v>
      </c>
      <c r="BQ56" s="460">
        <v>0</v>
      </c>
      <c r="BR56" s="460">
        <v>0</v>
      </c>
      <c r="BS56" s="460">
        <v>0</v>
      </c>
      <c r="BT56" s="460">
        <v>-1713.3278358635187</v>
      </c>
      <c r="BU56" s="460">
        <v>0</v>
      </c>
      <c r="BV56" s="460">
        <v>0</v>
      </c>
      <c r="BW56" s="460">
        <v>0</v>
      </c>
      <c r="BX56" s="460">
        <v>0</v>
      </c>
      <c r="BY56" s="460">
        <v>0</v>
      </c>
      <c r="BZ56" s="460">
        <v>0</v>
      </c>
      <c r="CA56" s="460" t="e">
        <v>#N/A</v>
      </c>
      <c r="CB56" s="460" t="e">
        <v>#N/A</v>
      </c>
      <c r="CC56" s="460" t="e">
        <v>#N/A</v>
      </c>
    </row>
    <row r="57" spans="1:81" ht="12.75" customHeight="1">
      <c r="A57" s="105">
        <v>52</v>
      </c>
      <c r="B57" s="112" t="str">
        <v>29Y</v>
      </c>
      <c r="C57" s="465">
        <f>'eur disaggregated'!AN68</f>
        <v>-1863.911887351994</v>
      </c>
      <c r="D57" s="111" t="str">
        <f t="shared" si="6"/>
        <v>348M</v>
      </c>
      <c r="E57" s="441">
        <f t="shared" si="4"/>
        <v>42696</v>
      </c>
      <c r="F57" s="441">
        <f>_xll.qlCalendarAdvance(Calendar,E57,D57)</f>
        <v>53288</v>
      </c>
      <c r="G57" s="462">
        <f t="shared" si="3"/>
        <v>1.053267043E-2</v>
      </c>
      <c r="H57" s="453">
        <v>1.053267043</v>
      </c>
      <c r="I57" s="107" t="str">
        <v>24Y</v>
      </c>
      <c r="J57" s="106" t="str">
        <f t="shared" si="5"/>
        <v>288M</v>
      </c>
      <c r="K57" s="448">
        <f>_xll.qlCalendarAdvance("TARGET",$C$1,J57)</f>
        <v>51462</v>
      </c>
      <c r="M57" s="99" t="str">
        <v>24Y</v>
      </c>
      <c r="N57" s="465">
        <v>408.27705715881729</v>
      </c>
      <c r="P57" s="106" t="b">
        <f t="shared" si="7"/>
        <v>0</v>
      </c>
      <c r="Q57" s="460">
        <f t="array" ref="Q57:CC57">C57*ForwardToZero(OisBuckets,E57,F57,G57)</f>
        <v>0</v>
      </c>
      <c r="R57" s="460">
        <v>0</v>
      </c>
      <c r="S57" s="460">
        <v>0</v>
      </c>
      <c r="T57" s="460">
        <v>0</v>
      </c>
      <c r="U57" s="460">
        <v>0</v>
      </c>
      <c r="V57" s="460">
        <v>0</v>
      </c>
      <c r="W57" s="460">
        <v>0</v>
      </c>
      <c r="X57" s="460">
        <v>0</v>
      </c>
      <c r="Y57" s="460">
        <v>0</v>
      </c>
      <c r="Z57" s="460">
        <v>0</v>
      </c>
      <c r="AA57" s="460">
        <v>0</v>
      </c>
      <c r="AB57" s="460">
        <v>0</v>
      </c>
      <c r="AC57" s="460">
        <v>0</v>
      </c>
      <c r="AD57" s="460">
        <v>0</v>
      </c>
      <c r="AE57" s="460">
        <v>0</v>
      </c>
      <c r="AF57" s="460">
        <v>0</v>
      </c>
      <c r="AG57" s="460">
        <v>0</v>
      </c>
      <c r="AH57" s="460">
        <v>0</v>
      </c>
      <c r="AI57" s="460">
        <v>0</v>
      </c>
      <c r="AJ57" s="460">
        <v>0</v>
      </c>
      <c r="AK57" s="460">
        <v>0</v>
      </c>
      <c r="AL57" s="460">
        <v>0</v>
      </c>
      <c r="AM57" s="460">
        <v>0</v>
      </c>
      <c r="AN57" s="460">
        <v>0</v>
      </c>
      <c r="AO57" s="460">
        <v>0</v>
      </c>
      <c r="AP57" s="460">
        <v>0</v>
      </c>
      <c r="AQ57" s="460">
        <v>0</v>
      </c>
      <c r="AR57" s="460">
        <v>0</v>
      </c>
      <c r="AS57" s="460">
        <v>0</v>
      </c>
      <c r="AT57" s="460">
        <v>0</v>
      </c>
      <c r="AU57" s="460">
        <v>0</v>
      </c>
      <c r="AV57" s="460">
        <v>0</v>
      </c>
      <c r="AW57" s="460">
        <v>0</v>
      </c>
      <c r="AX57" s="460">
        <v>0</v>
      </c>
      <c r="AY57" s="460">
        <v>0</v>
      </c>
      <c r="AZ57" s="460">
        <v>0</v>
      </c>
      <c r="BA57" s="460">
        <v>0</v>
      </c>
      <c r="BB57" s="460">
        <v>0</v>
      </c>
      <c r="BC57" s="460">
        <v>0</v>
      </c>
      <c r="BD57" s="460">
        <v>0</v>
      </c>
      <c r="BE57" s="460">
        <v>0</v>
      </c>
      <c r="BF57" s="460">
        <v>0</v>
      </c>
      <c r="BG57" s="460">
        <v>0</v>
      </c>
      <c r="BH57" s="460">
        <v>0</v>
      </c>
      <c r="BI57" s="460">
        <v>0</v>
      </c>
      <c r="BJ57" s="460">
        <v>0</v>
      </c>
      <c r="BK57" s="460">
        <v>0</v>
      </c>
      <c r="BL57" s="460">
        <v>0</v>
      </c>
      <c r="BM57" s="460">
        <v>0</v>
      </c>
      <c r="BN57" s="460">
        <v>0</v>
      </c>
      <c r="BO57" s="460">
        <v>0</v>
      </c>
      <c r="BP57" s="460">
        <v>0</v>
      </c>
      <c r="BQ57" s="460">
        <v>0</v>
      </c>
      <c r="BR57" s="460">
        <v>0</v>
      </c>
      <c r="BS57" s="460">
        <v>0</v>
      </c>
      <c r="BT57" s="460">
        <v>0</v>
      </c>
      <c r="BU57" s="460">
        <v>-1863.911887351994</v>
      </c>
      <c r="BV57" s="460">
        <v>0</v>
      </c>
      <c r="BW57" s="460">
        <v>0</v>
      </c>
      <c r="BX57" s="460">
        <v>0</v>
      </c>
      <c r="BY57" s="460">
        <v>0</v>
      </c>
      <c r="BZ57" s="460">
        <v>0</v>
      </c>
      <c r="CA57" s="460" t="e">
        <v>#N/A</v>
      </c>
      <c r="CB57" s="460" t="e">
        <v>#N/A</v>
      </c>
      <c r="CC57" s="460" t="e">
        <v>#N/A</v>
      </c>
    </row>
    <row r="58" spans="1:81">
      <c r="A58" s="105">
        <v>53</v>
      </c>
      <c r="B58" s="112" t="str">
        <v>30Y</v>
      </c>
      <c r="C58" s="465">
        <f>'eur disaggregated'!AN69</f>
        <v>-2054.716191771362</v>
      </c>
      <c r="D58" s="111" t="str">
        <f t="shared" si="6"/>
        <v>360M</v>
      </c>
      <c r="E58" s="441">
        <f t="shared" si="4"/>
        <v>42696</v>
      </c>
      <c r="F58" s="441">
        <f>_xll.qlCalendarAdvance(Calendar,E58,D58)</f>
        <v>53653</v>
      </c>
      <c r="G58" s="462">
        <f t="shared" si="3"/>
        <v>1.057E-2</v>
      </c>
      <c r="H58" s="453">
        <v>1.0569999999999999</v>
      </c>
      <c r="I58" s="107" t="str">
        <v>25Y</v>
      </c>
      <c r="J58" s="106" t="str">
        <f t="shared" si="5"/>
        <v>300M</v>
      </c>
      <c r="K58" s="448">
        <f>_xll.qlCalendarAdvance("TARGET",$C$1,J58)</f>
        <v>51827</v>
      </c>
      <c r="M58" s="99" t="str">
        <v>25Y</v>
      </c>
      <c r="N58" s="465">
        <v>14748.06934182745</v>
      </c>
      <c r="P58" s="106" t="b">
        <f t="shared" si="7"/>
        <v>0</v>
      </c>
      <c r="Q58" s="460">
        <f t="array" ref="Q58:CC58">C58*ForwardToZero(OisBuckets,E58,F58,G58)</f>
        <v>0</v>
      </c>
      <c r="R58" s="460">
        <v>0</v>
      </c>
      <c r="S58" s="460">
        <v>0</v>
      </c>
      <c r="T58" s="460">
        <v>0</v>
      </c>
      <c r="U58" s="460">
        <v>0</v>
      </c>
      <c r="V58" s="460">
        <v>0</v>
      </c>
      <c r="W58" s="460">
        <v>0</v>
      </c>
      <c r="X58" s="460">
        <v>0</v>
      </c>
      <c r="Y58" s="460">
        <v>0</v>
      </c>
      <c r="Z58" s="460">
        <v>0</v>
      </c>
      <c r="AA58" s="460">
        <v>0</v>
      </c>
      <c r="AB58" s="460">
        <v>0</v>
      </c>
      <c r="AC58" s="460">
        <v>0</v>
      </c>
      <c r="AD58" s="460">
        <v>0</v>
      </c>
      <c r="AE58" s="460">
        <v>0</v>
      </c>
      <c r="AF58" s="460">
        <v>0</v>
      </c>
      <c r="AG58" s="460">
        <v>0</v>
      </c>
      <c r="AH58" s="460">
        <v>0</v>
      </c>
      <c r="AI58" s="460">
        <v>0</v>
      </c>
      <c r="AJ58" s="460">
        <v>0</v>
      </c>
      <c r="AK58" s="460">
        <v>0</v>
      </c>
      <c r="AL58" s="460">
        <v>0</v>
      </c>
      <c r="AM58" s="460">
        <v>0</v>
      </c>
      <c r="AN58" s="460">
        <v>0</v>
      </c>
      <c r="AO58" s="460">
        <v>0</v>
      </c>
      <c r="AP58" s="460">
        <v>0</v>
      </c>
      <c r="AQ58" s="460">
        <v>0</v>
      </c>
      <c r="AR58" s="460">
        <v>0</v>
      </c>
      <c r="AS58" s="460">
        <v>0</v>
      </c>
      <c r="AT58" s="460">
        <v>0</v>
      </c>
      <c r="AU58" s="460">
        <v>0</v>
      </c>
      <c r="AV58" s="460">
        <v>0</v>
      </c>
      <c r="AW58" s="460">
        <v>0</v>
      </c>
      <c r="AX58" s="460">
        <v>0</v>
      </c>
      <c r="AY58" s="460">
        <v>0</v>
      </c>
      <c r="AZ58" s="460">
        <v>0</v>
      </c>
      <c r="BA58" s="460">
        <v>0</v>
      </c>
      <c r="BB58" s="460">
        <v>0</v>
      </c>
      <c r="BC58" s="460">
        <v>0</v>
      </c>
      <c r="BD58" s="460">
        <v>0</v>
      </c>
      <c r="BE58" s="460">
        <v>0</v>
      </c>
      <c r="BF58" s="460">
        <v>0</v>
      </c>
      <c r="BG58" s="460">
        <v>0</v>
      </c>
      <c r="BH58" s="460">
        <v>0</v>
      </c>
      <c r="BI58" s="460">
        <v>0</v>
      </c>
      <c r="BJ58" s="460">
        <v>0</v>
      </c>
      <c r="BK58" s="460">
        <v>0</v>
      </c>
      <c r="BL58" s="460">
        <v>0</v>
      </c>
      <c r="BM58" s="460">
        <v>0</v>
      </c>
      <c r="BN58" s="460">
        <v>0</v>
      </c>
      <c r="BO58" s="460">
        <v>0</v>
      </c>
      <c r="BP58" s="460">
        <v>0</v>
      </c>
      <c r="BQ58" s="460">
        <v>0</v>
      </c>
      <c r="BR58" s="460">
        <v>0</v>
      </c>
      <c r="BS58" s="460">
        <v>0</v>
      </c>
      <c r="BT58" s="460">
        <v>0</v>
      </c>
      <c r="BU58" s="460">
        <v>0</v>
      </c>
      <c r="BV58" s="460">
        <v>-2054.716191771362</v>
      </c>
      <c r="BW58" s="460">
        <v>0</v>
      </c>
      <c r="BX58" s="460">
        <v>0</v>
      </c>
      <c r="BY58" s="460">
        <v>0</v>
      </c>
      <c r="BZ58" s="460">
        <v>0</v>
      </c>
      <c r="CA58" s="460" t="e">
        <v>#N/A</v>
      </c>
      <c r="CB58" s="460" t="e">
        <v>#N/A</v>
      </c>
      <c r="CC58" s="460" t="e">
        <v>#N/A</v>
      </c>
    </row>
    <row r="59" spans="1:81" ht="12.75" customHeight="1">
      <c r="A59" s="105">
        <v>54</v>
      </c>
      <c r="B59" s="112" t="str">
        <v>31Y</v>
      </c>
      <c r="C59" s="465">
        <f>'eur disaggregated'!AN70</f>
        <v>-2315.559609157765</v>
      </c>
      <c r="D59" s="111" t="str">
        <f t="shared" si="6"/>
        <v>372M</v>
      </c>
      <c r="E59" s="441">
        <f t="shared" si="4"/>
        <v>42696</v>
      </c>
      <c r="F59" s="441">
        <f>_xll.qlCalendarAdvance(Calendar,E59,D59)</f>
        <v>54018</v>
      </c>
      <c r="G59" s="462">
        <f t="shared" si="3"/>
        <v>1.0602025159999999E-2</v>
      </c>
      <c r="H59" s="453">
        <v>1.0602025159999999</v>
      </c>
      <c r="I59" s="107" t="str">
        <v>26Y</v>
      </c>
      <c r="J59" s="106" t="str">
        <f t="shared" si="5"/>
        <v>312M</v>
      </c>
      <c r="K59" s="448">
        <f>_xll.qlCalendarAdvance("TARGET",$C$1,J59)</f>
        <v>52194</v>
      </c>
      <c r="M59" s="99" t="str">
        <v>26Y</v>
      </c>
      <c r="N59" s="465">
        <v>-2795.1817086195529</v>
      </c>
      <c r="P59" s="106" t="b">
        <f t="shared" si="7"/>
        <v>0</v>
      </c>
      <c r="Q59" s="460">
        <f t="array" ref="Q59:CC59">C59*ForwardToZero(OisBuckets,E59,F59,G59)</f>
        <v>0</v>
      </c>
      <c r="R59" s="460">
        <v>0</v>
      </c>
      <c r="S59" s="460">
        <v>0</v>
      </c>
      <c r="T59" s="460">
        <v>0</v>
      </c>
      <c r="U59" s="460">
        <v>0</v>
      </c>
      <c r="V59" s="460">
        <v>0</v>
      </c>
      <c r="W59" s="460">
        <v>0</v>
      </c>
      <c r="X59" s="460">
        <v>0</v>
      </c>
      <c r="Y59" s="460">
        <v>0</v>
      </c>
      <c r="Z59" s="460">
        <v>0</v>
      </c>
      <c r="AA59" s="460">
        <v>0</v>
      </c>
      <c r="AB59" s="460">
        <v>0</v>
      </c>
      <c r="AC59" s="460">
        <v>0</v>
      </c>
      <c r="AD59" s="460">
        <v>0</v>
      </c>
      <c r="AE59" s="460">
        <v>0</v>
      </c>
      <c r="AF59" s="460">
        <v>0</v>
      </c>
      <c r="AG59" s="460">
        <v>0</v>
      </c>
      <c r="AH59" s="460">
        <v>0</v>
      </c>
      <c r="AI59" s="460">
        <v>0</v>
      </c>
      <c r="AJ59" s="460">
        <v>0</v>
      </c>
      <c r="AK59" s="460">
        <v>0</v>
      </c>
      <c r="AL59" s="460">
        <v>0</v>
      </c>
      <c r="AM59" s="460">
        <v>0</v>
      </c>
      <c r="AN59" s="460">
        <v>0</v>
      </c>
      <c r="AO59" s="460">
        <v>0</v>
      </c>
      <c r="AP59" s="460">
        <v>0</v>
      </c>
      <c r="AQ59" s="460">
        <v>0</v>
      </c>
      <c r="AR59" s="460">
        <v>0</v>
      </c>
      <c r="AS59" s="460">
        <v>0</v>
      </c>
      <c r="AT59" s="460">
        <v>0</v>
      </c>
      <c r="AU59" s="460">
        <v>0</v>
      </c>
      <c r="AV59" s="460">
        <v>0</v>
      </c>
      <c r="AW59" s="460">
        <v>0</v>
      </c>
      <c r="AX59" s="460">
        <v>0</v>
      </c>
      <c r="AY59" s="460">
        <v>0</v>
      </c>
      <c r="AZ59" s="460">
        <v>0</v>
      </c>
      <c r="BA59" s="460">
        <v>0</v>
      </c>
      <c r="BB59" s="460">
        <v>0</v>
      </c>
      <c r="BC59" s="460">
        <v>0</v>
      </c>
      <c r="BD59" s="460">
        <v>0</v>
      </c>
      <c r="BE59" s="460">
        <v>0</v>
      </c>
      <c r="BF59" s="460">
        <v>0</v>
      </c>
      <c r="BG59" s="460">
        <v>0</v>
      </c>
      <c r="BH59" s="460">
        <v>0</v>
      </c>
      <c r="BI59" s="460">
        <v>0</v>
      </c>
      <c r="BJ59" s="460">
        <v>0</v>
      </c>
      <c r="BK59" s="460">
        <v>0</v>
      </c>
      <c r="BL59" s="460">
        <v>0</v>
      </c>
      <c r="BM59" s="460">
        <v>0</v>
      </c>
      <c r="BN59" s="460">
        <v>0</v>
      </c>
      <c r="BO59" s="460">
        <v>0</v>
      </c>
      <c r="BP59" s="460">
        <v>0</v>
      </c>
      <c r="BQ59" s="460">
        <v>0</v>
      </c>
      <c r="BR59" s="460">
        <v>0</v>
      </c>
      <c r="BS59" s="460">
        <v>0</v>
      </c>
      <c r="BT59" s="460">
        <v>0</v>
      </c>
      <c r="BU59" s="460">
        <v>0</v>
      </c>
      <c r="BV59" s="460">
        <v>-1852.7013083129762</v>
      </c>
      <c r="BW59" s="460">
        <v>-462.85830084478874</v>
      </c>
      <c r="BX59" s="460">
        <v>0</v>
      </c>
      <c r="BY59" s="460">
        <v>0</v>
      </c>
      <c r="BZ59" s="460">
        <v>0</v>
      </c>
      <c r="CA59" s="460" t="e">
        <v>#N/A</v>
      </c>
      <c r="CB59" s="460" t="e">
        <v>#N/A</v>
      </c>
      <c r="CC59" s="460" t="e">
        <v>#N/A</v>
      </c>
    </row>
    <row r="60" spans="1:81" ht="12.75" customHeight="1">
      <c r="A60" s="105">
        <v>55</v>
      </c>
      <c r="B60" s="112" t="str">
        <v>32Y</v>
      </c>
      <c r="C60" s="465">
        <f>'eur disaggregated'!AN71</f>
        <v>-1122.7924457601907</v>
      </c>
      <c r="D60" s="111" t="str">
        <f t="shared" si="6"/>
        <v>384M</v>
      </c>
      <c r="E60" s="441">
        <f t="shared" si="4"/>
        <v>42696</v>
      </c>
      <c r="F60" s="441">
        <f>_xll.qlCalendarAdvance(Calendar,E60,D60)</f>
        <v>54385</v>
      </c>
      <c r="G60" s="462">
        <f t="shared" si="3"/>
        <v>1.062955541E-2</v>
      </c>
      <c r="H60" s="453">
        <v>1.062955541</v>
      </c>
      <c r="I60" s="107" t="str">
        <v>27Y</v>
      </c>
      <c r="J60" s="106" t="str">
        <f t="shared" si="5"/>
        <v>324M</v>
      </c>
      <c r="K60" s="448">
        <f>_xll.qlCalendarAdvance("TARGET",$C$1,J60)</f>
        <v>52558</v>
      </c>
      <c r="M60" s="99" t="str">
        <v>27Y</v>
      </c>
      <c r="N60" s="465">
        <v>-1558.4997713121491</v>
      </c>
      <c r="P60" s="106" t="b">
        <f t="shared" si="7"/>
        <v>0</v>
      </c>
      <c r="Q60" s="460">
        <f t="array" ref="Q60:CC60">C60*ForwardToZero(OisBuckets,E60,F60,G60)</f>
        <v>0</v>
      </c>
      <c r="R60" s="460">
        <v>0</v>
      </c>
      <c r="S60" s="460">
        <v>0</v>
      </c>
      <c r="T60" s="460">
        <v>0</v>
      </c>
      <c r="U60" s="460">
        <v>0</v>
      </c>
      <c r="V60" s="460">
        <v>0</v>
      </c>
      <c r="W60" s="460">
        <v>0</v>
      </c>
      <c r="X60" s="460">
        <v>0</v>
      </c>
      <c r="Y60" s="460">
        <v>0</v>
      </c>
      <c r="Z60" s="460">
        <v>0</v>
      </c>
      <c r="AA60" s="460">
        <v>0</v>
      </c>
      <c r="AB60" s="460">
        <v>0</v>
      </c>
      <c r="AC60" s="460">
        <v>0</v>
      </c>
      <c r="AD60" s="460">
        <v>0</v>
      </c>
      <c r="AE60" s="460">
        <v>0</v>
      </c>
      <c r="AF60" s="460">
        <v>0</v>
      </c>
      <c r="AG60" s="460">
        <v>0</v>
      </c>
      <c r="AH60" s="460">
        <v>0</v>
      </c>
      <c r="AI60" s="460">
        <v>0</v>
      </c>
      <c r="AJ60" s="460">
        <v>0</v>
      </c>
      <c r="AK60" s="460">
        <v>0</v>
      </c>
      <c r="AL60" s="460">
        <v>0</v>
      </c>
      <c r="AM60" s="460">
        <v>0</v>
      </c>
      <c r="AN60" s="460">
        <v>0</v>
      </c>
      <c r="AO60" s="460">
        <v>0</v>
      </c>
      <c r="AP60" s="460">
        <v>0</v>
      </c>
      <c r="AQ60" s="460">
        <v>0</v>
      </c>
      <c r="AR60" s="460">
        <v>0</v>
      </c>
      <c r="AS60" s="460">
        <v>0</v>
      </c>
      <c r="AT60" s="460">
        <v>0</v>
      </c>
      <c r="AU60" s="460">
        <v>0</v>
      </c>
      <c r="AV60" s="460">
        <v>0</v>
      </c>
      <c r="AW60" s="460">
        <v>0</v>
      </c>
      <c r="AX60" s="460">
        <v>0</v>
      </c>
      <c r="AY60" s="460">
        <v>0</v>
      </c>
      <c r="AZ60" s="460">
        <v>0</v>
      </c>
      <c r="BA60" s="460">
        <v>0</v>
      </c>
      <c r="BB60" s="460">
        <v>0</v>
      </c>
      <c r="BC60" s="460">
        <v>0</v>
      </c>
      <c r="BD60" s="460">
        <v>0</v>
      </c>
      <c r="BE60" s="460">
        <v>0</v>
      </c>
      <c r="BF60" s="460">
        <v>0</v>
      </c>
      <c r="BG60" s="460">
        <v>0</v>
      </c>
      <c r="BH60" s="460">
        <v>0</v>
      </c>
      <c r="BI60" s="460">
        <v>0</v>
      </c>
      <c r="BJ60" s="460">
        <v>0</v>
      </c>
      <c r="BK60" s="460">
        <v>0</v>
      </c>
      <c r="BL60" s="460">
        <v>0</v>
      </c>
      <c r="BM60" s="460">
        <v>0</v>
      </c>
      <c r="BN60" s="460">
        <v>0</v>
      </c>
      <c r="BO60" s="460">
        <v>0</v>
      </c>
      <c r="BP60" s="460">
        <v>0</v>
      </c>
      <c r="BQ60" s="460">
        <v>0</v>
      </c>
      <c r="BR60" s="460">
        <v>0</v>
      </c>
      <c r="BS60" s="460">
        <v>0</v>
      </c>
      <c r="BT60" s="460">
        <v>0</v>
      </c>
      <c r="BU60" s="460">
        <v>0</v>
      </c>
      <c r="BV60" s="460">
        <v>-672.69164055950046</v>
      </c>
      <c r="BW60" s="460">
        <v>-450.10080520069039</v>
      </c>
      <c r="BX60" s="460">
        <v>0</v>
      </c>
      <c r="BY60" s="460">
        <v>0</v>
      </c>
      <c r="BZ60" s="460">
        <v>0</v>
      </c>
      <c r="CA60" s="460" t="e">
        <v>#N/A</v>
      </c>
      <c r="CB60" s="460" t="e">
        <v>#N/A</v>
      </c>
      <c r="CC60" s="460" t="e">
        <v>#N/A</v>
      </c>
    </row>
    <row r="61" spans="1:81" ht="12.75" customHeight="1">
      <c r="A61" s="105">
        <v>56</v>
      </c>
      <c r="B61" s="112" t="str">
        <v>33Y</v>
      </c>
      <c r="C61" s="465">
        <f>'eur disaggregated'!AN72</f>
        <v>148.49466901292641</v>
      </c>
      <c r="D61" s="111" t="str">
        <f t="shared" si="6"/>
        <v>396M</v>
      </c>
      <c r="E61" s="441">
        <f t="shared" si="4"/>
        <v>42696</v>
      </c>
      <c r="F61" s="441">
        <f>_xll.qlCalendarAdvance(Calendar,E61,D61)</f>
        <v>54749</v>
      </c>
      <c r="G61" s="462">
        <f t="shared" si="3"/>
        <v>1.06506914E-2</v>
      </c>
      <c r="H61" s="453">
        <v>1.0650691400000001</v>
      </c>
      <c r="I61" s="107" t="str">
        <v>28Y</v>
      </c>
      <c r="J61" s="106" t="str">
        <f t="shared" si="5"/>
        <v>336M</v>
      </c>
      <c r="K61" s="448">
        <f>_xll.qlCalendarAdvance("TARGET",$C$1,J61)</f>
        <v>52923</v>
      </c>
      <c r="M61" s="99" t="str">
        <v>28Y</v>
      </c>
      <c r="N61" s="465">
        <v>-1713.3278358635187</v>
      </c>
      <c r="P61" s="106" t="b">
        <f t="shared" si="7"/>
        <v>0</v>
      </c>
      <c r="Q61" s="460">
        <f t="array" ref="Q61:CC61">C61*ForwardToZero(OisBuckets,E61,F61,G61)</f>
        <v>0</v>
      </c>
      <c r="R61" s="460">
        <v>0</v>
      </c>
      <c r="S61" s="460">
        <v>0</v>
      </c>
      <c r="T61" s="460">
        <v>0</v>
      </c>
      <c r="U61" s="460">
        <v>0</v>
      </c>
      <c r="V61" s="460">
        <v>0</v>
      </c>
      <c r="W61" s="460">
        <v>0</v>
      </c>
      <c r="X61" s="460">
        <v>0</v>
      </c>
      <c r="Y61" s="460">
        <v>0</v>
      </c>
      <c r="Z61" s="460">
        <v>0</v>
      </c>
      <c r="AA61" s="460">
        <v>0</v>
      </c>
      <c r="AB61" s="460">
        <v>0</v>
      </c>
      <c r="AC61" s="460">
        <v>0</v>
      </c>
      <c r="AD61" s="460">
        <v>0</v>
      </c>
      <c r="AE61" s="460">
        <v>0</v>
      </c>
      <c r="AF61" s="460">
        <v>0</v>
      </c>
      <c r="AG61" s="460">
        <v>0</v>
      </c>
      <c r="AH61" s="460">
        <v>0</v>
      </c>
      <c r="AI61" s="460">
        <v>0</v>
      </c>
      <c r="AJ61" s="460">
        <v>0</v>
      </c>
      <c r="AK61" s="460">
        <v>0</v>
      </c>
      <c r="AL61" s="460">
        <v>0</v>
      </c>
      <c r="AM61" s="460">
        <v>0</v>
      </c>
      <c r="AN61" s="460">
        <v>0</v>
      </c>
      <c r="AO61" s="460">
        <v>0</v>
      </c>
      <c r="AP61" s="460">
        <v>0</v>
      </c>
      <c r="AQ61" s="460">
        <v>0</v>
      </c>
      <c r="AR61" s="460">
        <v>0</v>
      </c>
      <c r="AS61" s="460">
        <v>0</v>
      </c>
      <c r="AT61" s="460">
        <v>0</v>
      </c>
      <c r="AU61" s="460">
        <v>0</v>
      </c>
      <c r="AV61" s="460">
        <v>0</v>
      </c>
      <c r="AW61" s="460">
        <v>0</v>
      </c>
      <c r="AX61" s="460">
        <v>0</v>
      </c>
      <c r="AY61" s="460">
        <v>0</v>
      </c>
      <c r="AZ61" s="460">
        <v>0</v>
      </c>
      <c r="BA61" s="460">
        <v>0</v>
      </c>
      <c r="BB61" s="460">
        <v>0</v>
      </c>
      <c r="BC61" s="460">
        <v>0</v>
      </c>
      <c r="BD61" s="460">
        <v>0</v>
      </c>
      <c r="BE61" s="460">
        <v>0</v>
      </c>
      <c r="BF61" s="460">
        <v>0</v>
      </c>
      <c r="BG61" s="460">
        <v>0</v>
      </c>
      <c r="BH61" s="460">
        <v>0</v>
      </c>
      <c r="BI61" s="460">
        <v>0</v>
      </c>
      <c r="BJ61" s="460">
        <v>0</v>
      </c>
      <c r="BK61" s="460">
        <v>0</v>
      </c>
      <c r="BL61" s="460">
        <v>0</v>
      </c>
      <c r="BM61" s="460">
        <v>0</v>
      </c>
      <c r="BN61" s="460">
        <v>0</v>
      </c>
      <c r="BO61" s="460">
        <v>0</v>
      </c>
      <c r="BP61" s="460">
        <v>0</v>
      </c>
      <c r="BQ61" s="460">
        <v>0</v>
      </c>
      <c r="BR61" s="460">
        <v>0</v>
      </c>
      <c r="BS61" s="460">
        <v>0</v>
      </c>
      <c r="BT61" s="460">
        <v>0</v>
      </c>
      <c r="BU61" s="460">
        <v>0</v>
      </c>
      <c r="BV61" s="460">
        <v>59.365338652484283</v>
      </c>
      <c r="BW61" s="460">
        <v>89.129330360442125</v>
      </c>
      <c r="BX61" s="460">
        <v>0</v>
      </c>
      <c r="BY61" s="460">
        <v>0</v>
      </c>
      <c r="BZ61" s="460">
        <v>0</v>
      </c>
      <c r="CA61" s="460" t="e">
        <v>#N/A</v>
      </c>
      <c r="CB61" s="460" t="e">
        <v>#N/A</v>
      </c>
      <c r="CC61" s="460" t="e">
        <v>#N/A</v>
      </c>
    </row>
    <row r="62" spans="1:81" ht="12.75" customHeight="1">
      <c r="A62" s="105">
        <v>57</v>
      </c>
      <c r="B62" s="112" t="str">
        <v>34Y</v>
      </c>
      <c r="C62" s="465">
        <f>'eur disaggregated'!AN73</f>
        <v>6.6059019926448651E-2</v>
      </c>
      <c r="D62" s="111" t="str">
        <f t="shared" si="6"/>
        <v>408M</v>
      </c>
      <c r="E62" s="441">
        <f t="shared" si="4"/>
        <v>42696</v>
      </c>
      <c r="F62" s="441">
        <f>_xll.qlCalendarAdvance(Calendar,E62,D62)</f>
        <v>55114</v>
      </c>
      <c r="G62" s="462">
        <f t="shared" si="3"/>
        <v>1.066611028E-2</v>
      </c>
      <c r="H62" s="453">
        <v>1.0666110280000001</v>
      </c>
      <c r="I62" s="107" t="str">
        <v>29Y</v>
      </c>
      <c r="J62" s="106" t="str">
        <f t="shared" si="5"/>
        <v>348M</v>
      </c>
      <c r="K62" s="448">
        <f>_xll.qlCalendarAdvance("TARGET",$C$1,J62)</f>
        <v>53288</v>
      </c>
      <c r="M62" s="99" t="str">
        <v>29Y</v>
      </c>
      <c r="N62" s="465">
        <v>-1863.911887351994</v>
      </c>
      <c r="P62" s="106" t="b">
        <f t="shared" si="7"/>
        <v>0</v>
      </c>
      <c r="Q62" s="460">
        <f t="array" ref="Q62:CC62">C62*ForwardToZero(OisBuckets,E62,F62,G62)</f>
        <v>0</v>
      </c>
      <c r="R62" s="460">
        <v>0</v>
      </c>
      <c r="S62" s="460">
        <v>0</v>
      </c>
      <c r="T62" s="460">
        <v>0</v>
      </c>
      <c r="U62" s="460">
        <v>0</v>
      </c>
      <c r="V62" s="460">
        <v>0</v>
      </c>
      <c r="W62" s="460">
        <v>0</v>
      </c>
      <c r="X62" s="460">
        <v>0</v>
      </c>
      <c r="Y62" s="460">
        <v>0</v>
      </c>
      <c r="Z62" s="460">
        <v>0</v>
      </c>
      <c r="AA62" s="460">
        <v>0</v>
      </c>
      <c r="AB62" s="460">
        <v>0</v>
      </c>
      <c r="AC62" s="460">
        <v>0</v>
      </c>
      <c r="AD62" s="460">
        <v>0</v>
      </c>
      <c r="AE62" s="460">
        <v>0</v>
      </c>
      <c r="AF62" s="460">
        <v>0</v>
      </c>
      <c r="AG62" s="460">
        <v>0</v>
      </c>
      <c r="AH62" s="460">
        <v>0</v>
      </c>
      <c r="AI62" s="460">
        <v>0</v>
      </c>
      <c r="AJ62" s="460">
        <v>0</v>
      </c>
      <c r="AK62" s="460">
        <v>0</v>
      </c>
      <c r="AL62" s="460">
        <v>0</v>
      </c>
      <c r="AM62" s="460">
        <v>0</v>
      </c>
      <c r="AN62" s="460">
        <v>0</v>
      </c>
      <c r="AO62" s="460">
        <v>0</v>
      </c>
      <c r="AP62" s="460">
        <v>0</v>
      </c>
      <c r="AQ62" s="460">
        <v>0</v>
      </c>
      <c r="AR62" s="460">
        <v>0</v>
      </c>
      <c r="AS62" s="460">
        <v>0</v>
      </c>
      <c r="AT62" s="460">
        <v>0</v>
      </c>
      <c r="AU62" s="460">
        <v>0</v>
      </c>
      <c r="AV62" s="460">
        <v>0</v>
      </c>
      <c r="AW62" s="460">
        <v>0</v>
      </c>
      <c r="AX62" s="460">
        <v>0</v>
      </c>
      <c r="AY62" s="460">
        <v>0</v>
      </c>
      <c r="AZ62" s="460">
        <v>0</v>
      </c>
      <c r="BA62" s="460">
        <v>0</v>
      </c>
      <c r="BB62" s="460">
        <v>0</v>
      </c>
      <c r="BC62" s="460">
        <v>0</v>
      </c>
      <c r="BD62" s="460">
        <v>0</v>
      </c>
      <c r="BE62" s="460">
        <v>0</v>
      </c>
      <c r="BF62" s="460">
        <v>0</v>
      </c>
      <c r="BG62" s="460">
        <v>0</v>
      </c>
      <c r="BH62" s="460">
        <v>0</v>
      </c>
      <c r="BI62" s="460">
        <v>0</v>
      </c>
      <c r="BJ62" s="460">
        <v>0</v>
      </c>
      <c r="BK62" s="460">
        <v>0</v>
      </c>
      <c r="BL62" s="460">
        <v>0</v>
      </c>
      <c r="BM62" s="460">
        <v>0</v>
      </c>
      <c r="BN62" s="460">
        <v>0</v>
      </c>
      <c r="BO62" s="460">
        <v>0</v>
      </c>
      <c r="BP62" s="460">
        <v>0</v>
      </c>
      <c r="BQ62" s="460">
        <v>0</v>
      </c>
      <c r="BR62" s="460">
        <v>0</v>
      </c>
      <c r="BS62" s="460">
        <v>0</v>
      </c>
      <c r="BT62" s="460">
        <v>0</v>
      </c>
      <c r="BU62" s="460">
        <v>0</v>
      </c>
      <c r="BV62" s="460">
        <v>1.3204568605232071E-2</v>
      </c>
      <c r="BW62" s="460">
        <v>5.2854451321216578E-2</v>
      </c>
      <c r="BX62" s="460">
        <v>0</v>
      </c>
      <c r="BY62" s="460">
        <v>0</v>
      </c>
      <c r="BZ62" s="460">
        <v>0</v>
      </c>
      <c r="CA62" s="460" t="e">
        <v>#N/A</v>
      </c>
      <c r="CB62" s="460" t="e">
        <v>#N/A</v>
      </c>
      <c r="CC62" s="460" t="e">
        <v>#N/A</v>
      </c>
    </row>
    <row r="63" spans="1:81" ht="12.75" customHeight="1">
      <c r="A63" s="105">
        <v>58</v>
      </c>
      <c r="B63" s="112" t="str">
        <v>35Y</v>
      </c>
      <c r="C63" s="465">
        <f>'eur disaggregated'!AN74</f>
        <v>1.3390475174727732E-5</v>
      </c>
      <c r="D63" s="111" t="str">
        <f t="shared" si="6"/>
        <v>420M</v>
      </c>
      <c r="E63" s="441">
        <f t="shared" si="4"/>
        <v>42696</v>
      </c>
      <c r="F63" s="441">
        <f>_xll.qlCalendarAdvance(Calendar,E63,D63)</f>
        <v>55479</v>
      </c>
      <c r="G63" s="462">
        <f t="shared" si="3"/>
        <v>1.0675671499999999E-2</v>
      </c>
      <c r="H63" s="453">
        <v>1.0675671499999999</v>
      </c>
      <c r="I63" s="107" t="str">
        <v>30Y</v>
      </c>
      <c r="J63" s="106" t="str">
        <f t="shared" si="5"/>
        <v>360M</v>
      </c>
      <c r="K63" s="448">
        <f>_xll.qlCalendarAdvance("TARGET",$C$1,J63)</f>
        <v>53653</v>
      </c>
      <c r="M63" s="99" t="str">
        <v>30Y</v>
      </c>
      <c r="N63" s="465">
        <v>-4520.7305974227493</v>
      </c>
      <c r="P63" s="106" t="b">
        <f t="shared" si="7"/>
        <v>0</v>
      </c>
      <c r="Q63" s="460">
        <f t="array" ref="Q63:CC63">C63*ForwardToZero(OisBuckets,E63,F63,G63)</f>
        <v>0</v>
      </c>
      <c r="R63" s="460">
        <v>0</v>
      </c>
      <c r="S63" s="460">
        <v>0</v>
      </c>
      <c r="T63" s="460">
        <v>0</v>
      </c>
      <c r="U63" s="460">
        <v>0</v>
      </c>
      <c r="V63" s="460">
        <v>0</v>
      </c>
      <c r="W63" s="460">
        <v>0</v>
      </c>
      <c r="X63" s="460">
        <v>0</v>
      </c>
      <c r="Y63" s="460">
        <v>0</v>
      </c>
      <c r="Z63" s="460">
        <v>0</v>
      </c>
      <c r="AA63" s="460">
        <v>0</v>
      </c>
      <c r="AB63" s="460">
        <v>0</v>
      </c>
      <c r="AC63" s="460">
        <v>0</v>
      </c>
      <c r="AD63" s="460">
        <v>0</v>
      </c>
      <c r="AE63" s="460">
        <v>0</v>
      </c>
      <c r="AF63" s="460">
        <v>0</v>
      </c>
      <c r="AG63" s="460">
        <v>0</v>
      </c>
      <c r="AH63" s="460">
        <v>0</v>
      </c>
      <c r="AI63" s="460">
        <v>0</v>
      </c>
      <c r="AJ63" s="460">
        <v>0</v>
      </c>
      <c r="AK63" s="460">
        <v>0</v>
      </c>
      <c r="AL63" s="460">
        <v>0</v>
      </c>
      <c r="AM63" s="460">
        <v>0</v>
      </c>
      <c r="AN63" s="460">
        <v>0</v>
      </c>
      <c r="AO63" s="460">
        <v>0</v>
      </c>
      <c r="AP63" s="460">
        <v>0</v>
      </c>
      <c r="AQ63" s="460">
        <v>0</v>
      </c>
      <c r="AR63" s="460">
        <v>0</v>
      </c>
      <c r="AS63" s="460">
        <v>0</v>
      </c>
      <c r="AT63" s="460">
        <v>0</v>
      </c>
      <c r="AU63" s="460">
        <v>0</v>
      </c>
      <c r="AV63" s="460">
        <v>0</v>
      </c>
      <c r="AW63" s="460">
        <v>0</v>
      </c>
      <c r="AX63" s="460">
        <v>0</v>
      </c>
      <c r="AY63" s="460">
        <v>0</v>
      </c>
      <c r="AZ63" s="460">
        <v>0</v>
      </c>
      <c r="BA63" s="460">
        <v>0</v>
      </c>
      <c r="BB63" s="460">
        <v>0</v>
      </c>
      <c r="BC63" s="460">
        <v>0</v>
      </c>
      <c r="BD63" s="460">
        <v>0</v>
      </c>
      <c r="BE63" s="460">
        <v>0</v>
      </c>
      <c r="BF63" s="460">
        <v>0</v>
      </c>
      <c r="BG63" s="460">
        <v>0</v>
      </c>
      <c r="BH63" s="460">
        <v>0</v>
      </c>
      <c r="BI63" s="460">
        <v>0</v>
      </c>
      <c r="BJ63" s="460">
        <v>0</v>
      </c>
      <c r="BK63" s="460">
        <v>0</v>
      </c>
      <c r="BL63" s="460">
        <v>0</v>
      </c>
      <c r="BM63" s="460">
        <v>0</v>
      </c>
      <c r="BN63" s="460">
        <v>0</v>
      </c>
      <c r="BO63" s="460">
        <v>0</v>
      </c>
      <c r="BP63" s="460">
        <v>0</v>
      </c>
      <c r="BQ63" s="460">
        <v>0</v>
      </c>
      <c r="BR63" s="460">
        <v>0</v>
      </c>
      <c r="BS63" s="460">
        <v>0</v>
      </c>
      <c r="BT63" s="460">
        <v>0</v>
      </c>
      <c r="BU63" s="460">
        <v>0</v>
      </c>
      <c r="BV63" s="460">
        <v>0</v>
      </c>
      <c r="BW63" s="460">
        <v>1.3390475174727732E-5</v>
      </c>
      <c r="BX63" s="460">
        <v>0</v>
      </c>
      <c r="BY63" s="460">
        <v>0</v>
      </c>
      <c r="BZ63" s="460">
        <v>0</v>
      </c>
      <c r="CA63" s="460" t="e">
        <v>#N/A</v>
      </c>
      <c r="CB63" s="460" t="e">
        <v>#N/A</v>
      </c>
      <c r="CC63" s="460" t="e">
        <v>#N/A</v>
      </c>
    </row>
    <row r="64" spans="1:81" ht="12.75" customHeight="1">
      <c r="A64" s="105">
        <v>59</v>
      </c>
      <c r="B64" s="112" t="str">
        <v>36Y</v>
      </c>
      <c r="C64" s="465">
        <f>'eur disaggregated'!AN75</f>
        <v>-2.0931275034001047E-10</v>
      </c>
      <c r="D64" s="111" t="str">
        <f t="shared" si="6"/>
        <v>432M</v>
      </c>
      <c r="E64" s="441">
        <f t="shared" si="4"/>
        <v>42696</v>
      </c>
      <c r="F64" s="441">
        <f>_xll.qlCalendarAdvance(Calendar,E64,D64)</f>
        <v>55845</v>
      </c>
      <c r="G64" s="462">
        <f t="shared" si="3"/>
        <v>1.067978352E-2</v>
      </c>
      <c r="H64" s="453">
        <v>1.0679783519999999</v>
      </c>
      <c r="I64" s="107" t="str">
        <v>35Y</v>
      </c>
      <c r="J64" s="106" t="str">
        <f t="shared" si="5"/>
        <v>420M</v>
      </c>
      <c r="K64" s="448">
        <f>_xll.qlCalendarAdvance("TARGET",$C$1,J64)</f>
        <v>55479</v>
      </c>
      <c r="M64" s="99" t="str">
        <v>35Y</v>
      </c>
      <c r="N64" s="465">
        <v>-823.77690784340791</v>
      </c>
      <c r="P64" s="106" t="b">
        <f t="shared" si="7"/>
        <v>0</v>
      </c>
      <c r="Q64" s="460">
        <f t="array" ref="Q64:CC64">C64*ForwardToZero(OisBuckets,E64,F64,G64)</f>
        <v>0</v>
      </c>
      <c r="R64" s="460">
        <v>0</v>
      </c>
      <c r="S64" s="460">
        <v>0</v>
      </c>
      <c r="T64" s="460">
        <v>0</v>
      </c>
      <c r="U64" s="460">
        <v>0</v>
      </c>
      <c r="V64" s="460">
        <v>0</v>
      </c>
      <c r="W64" s="460">
        <v>0</v>
      </c>
      <c r="X64" s="460">
        <v>0</v>
      </c>
      <c r="Y64" s="460">
        <v>0</v>
      </c>
      <c r="Z64" s="460">
        <v>0</v>
      </c>
      <c r="AA64" s="460">
        <v>0</v>
      </c>
      <c r="AB64" s="460">
        <v>0</v>
      </c>
      <c r="AC64" s="460">
        <v>0</v>
      </c>
      <c r="AD64" s="460">
        <v>0</v>
      </c>
      <c r="AE64" s="460">
        <v>0</v>
      </c>
      <c r="AF64" s="460">
        <v>0</v>
      </c>
      <c r="AG64" s="460">
        <v>0</v>
      </c>
      <c r="AH64" s="460">
        <v>0</v>
      </c>
      <c r="AI64" s="460">
        <v>0</v>
      </c>
      <c r="AJ64" s="460">
        <v>0</v>
      </c>
      <c r="AK64" s="460">
        <v>0</v>
      </c>
      <c r="AL64" s="460">
        <v>0</v>
      </c>
      <c r="AM64" s="460">
        <v>0</v>
      </c>
      <c r="AN64" s="460">
        <v>0</v>
      </c>
      <c r="AO64" s="460">
        <v>0</v>
      </c>
      <c r="AP64" s="460">
        <v>0</v>
      </c>
      <c r="AQ64" s="460">
        <v>0</v>
      </c>
      <c r="AR64" s="460">
        <v>0</v>
      </c>
      <c r="AS64" s="460">
        <v>0</v>
      </c>
      <c r="AT64" s="460">
        <v>0</v>
      </c>
      <c r="AU64" s="460">
        <v>0</v>
      </c>
      <c r="AV64" s="460">
        <v>0</v>
      </c>
      <c r="AW64" s="460">
        <v>0</v>
      </c>
      <c r="AX64" s="460">
        <v>0</v>
      </c>
      <c r="AY64" s="460">
        <v>0</v>
      </c>
      <c r="AZ64" s="460">
        <v>0</v>
      </c>
      <c r="BA64" s="460">
        <v>0</v>
      </c>
      <c r="BB64" s="460">
        <v>0</v>
      </c>
      <c r="BC64" s="460">
        <v>0</v>
      </c>
      <c r="BD64" s="460">
        <v>0</v>
      </c>
      <c r="BE64" s="460">
        <v>0</v>
      </c>
      <c r="BF64" s="460">
        <v>0</v>
      </c>
      <c r="BG64" s="460">
        <v>0</v>
      </c>
      <c r="BH64" s="460">
        <v>0</v>
      </c>
      <c r="BI64" s="460">
        <v>0</v>
      </c>
      <c r="BJ64" s="460">
        <v>0</v>
      </c>
      <c r="BK64" s="460">
        <v>0</v>
      </c>
      <c r="BL64" s="460">
        <v>0</v>
      </c>
      <c r="BM64" s="460">
        <v>0</v>
      </c>
      <c r="BN64" s="460">
        <v>0</v>
      </c>
      <c r="BO64" s="460">
        <v>0</v>
      </c>
      <c r="BP64" s="460">
        <v>0</v>
      </c>
      <c r="BQ64" s="460">
        <v>0</v>
      </c>
      <c r="BR64" s="460">
        <v>0</v>
      </c>
      <c r="BS64" s="460">
        <v>0</v>
      </c>
      <c r="BT64" s="460">
        <v>0</v>
      </c>
      <c r="BU64" s="460">
        <v>0</v>
      </c>
      <c r="BV64" s="460">
        <v>0</v>
      </c>
      <c r="BW64" s="460">
        <v>-1.6738146045252062E-10</v>
      </c>
      <c r="BX64" s="460">
        <v>-4.1931289887489852E-11</v>
      </c>
      <c r="BY64" s="460">
        <v>0</v>
      </c>
      <c r="BZ64" s="460">
        <v>0</v>
      </c>
      <c r="CA64" s="460" t="e">
        <v>#N/A</v>
      </c>
      <c r="CB64" s="460" t="e">
        <v>#N/A</v>
      </c>
      <c r="CC64" s="460" t="e">
        <v>#N/A</v>
      </c>
    </row>
    <row r="65" spans="1:81" ht="12.75" customHeight="1">
      <c r="A65" s="105">
        <v>60</v>
      </c>
      <c r="B65" s="112" t="str">
        <v>37Y</v>
      </c>
      <c r="C65" s="465">
        <f>'eur disaggregated'!AN76</f>
        <v>0</v>
      </c>
      <c r="D65" s="111" t="str">
        <f t="shared" si="6"/>
        <v>444M</v>
      </c>
      <c r="E65" s="441">
        <f t="shared" si="4"/>
        <v>42696</v>
      </c>
      <c r="F65" s="441">
        <f>_xll.qlCalendarAdvance(Calendar,E65,D65)</f>
        <v>56212</v>
      </c>
      <c r="G65" s="462">
        <f t="shared" si="3"/>
        <v>1.067701918E-2</v>
      </c>
      <c r="H65" s="453">
        <v>1.067701918</v>
      </c>
      <c r="I65" s="107" t="str">
        <v>40Y</v>
      </c>
      <c r="J65" s="106" t="str">
        <f t="shared" si="5"/>
        <v>480M</v>
      </c>
      <c r="K65" s="448">
        <f>_xll.qlCalendarAdvance("TARGET",$C$1,J65)</f>
        <v>57306</v>
      </c>
      <c r="M65" s="99" t="str">
        <v>40Y</v>
      </c>
      <c r="N65" s="465">
        <v>-4.1931289887489852E-11</v>
      </c>
      <c r="P65" s="106" t="b">
        <f t="shared" si="7"/>
        <v>0</v>
      </c>
      <c r="Q65" s="460">
        <f t="array" ref="Q65:CC65">C65*ForwardToZero(OisBuckets,E65,F65,G65)</f>
        <v>0</v>
      </c>
      <c r="R65" s="460">
        <v>0</v>
      </c>
      <c r="S65" s="460">
        <v>0</v>
      </c>
      <c r="T65" s="460">
        <v>0</v>
      </c>
      <c r="U65" s="460">
        <v>0</v>
      </c>
      <c r="V65" s="460">
        <v>0</v>
      </c>
      <c r="W65" s="460">
        <v>0</v>
      </c>
      <c r="X65" s="460">
        <v>0</v>
      </c>
      <c r="Y65" s="460">
        <v>0</v>
      </c>
      <c r="Z65" s="460">
        <v>0</v>
      </c>
      <c r="AA65" s="460">
        <v>0</v>
      </c>
      <c r="AB65" s="460">
        <v>0</v>
      </c>
      <c r="AC65" s="460">
        <v>0</v>
      </c>
      <c r="AD65" s="460">
        <v>0</v>
      </c>
      <c r="AE65" s="460">
        <v>0</v>
      </c>
      <c r="AF65" s="460">
        <v>0</v>
      </c>
      <c r="AG65" s="460">
        <v>0</v>
      </c>
      <c r="AH65" s="460">
        <v>0</v>
      </c>
      <c r="AI65" s="460">
        <v>0</v>
      </c>
      <c r="AJ65" s="460">
        <v>0</v>
      </c>
      <c r="AK65" s="460">
        <v>0</v>
      </c>
      <c r="AL65" s="460">
        <v>0</v>
      </c>
      <c r="AM65" s="460">
        <v>0</v>
      </c>
      <c r="AN65" s="460">
        <v>0</v>
      </c>
      <c r="AO65" s="460">
        <v>0</v>
      </c>
      <c r="AP65" s="460">
        <v>0</v>
      </c>
      <c r="AQ65" s="460">
        <v>0</v>
      </c>
      <c r="AR65" s="460">
        <v>0</v>
      </c>
      <c r="AS65" s="460">
        <v>0</v>
      </c>
      <c r="AT65" s="460">
        <v>0</v>
      </c>
      <c r="AU65" s="460">
        <v>0</v>
      </c>
      <c r="AV65" s="460">
        <v>0</v>
      </c>
      <c r="AW65" s="460">
        <v>0</v>
      </c>
      <c r="AX65" s="460">
        <v>0</v>
      </c>
      <c r="AY65" s="460">
        <v>0</v>
      </c>
      <c r="AZ65" s="460">
        <v>0</v>
      </c>
      <c r="BA65" s="460">
        <v>0</v>
      </c>
      <c r="BB65" s="460">
        <v>0</v>
      </c>
      <c r="BC65" s="460">
        <v>0</v>
      </c>
      <c r="BD65" s="460">
        <v>0</v>
      </c>
      <c r="BE65" s="460">
        <v>0</v>
      </c>
      <c r="BF65" s="460">
        <v>0</v>
      </c>
      <c r="BG65" s="460">
        <v>0</v>
      </c>
      <c r="BH65" s="460">
        <v>0</v>
      </c>
      <c r="BI65" s="460">
        <v>0</v>
      </c>
      <c r="BJ65" s="460">
        <v>0</v>
      </c>
      <c r="BK65" s="460">
        <v>0</v>
      </c>
      <c r="BL65" s="460">
        <v>0</v>
      </c>
      <c r="BM65" s="460">
        <v>0</v>
      </c>
      <c r="BN65" s="460">
        <v>0</v>
      </c>
      <c r="BO65" s="460">
        <v>0</v>
      </c>
      <c r="BP65" s="460">
        <v>0</v>
      </c>
      <c r="BQ65" s="460">
        <v>0</v>
      </c>
      <c r="BR65" s="460">
        <v>0</v>
      </c>
      <c r="BS65" s="460">
        <v>0</v>
      </c>
      <c r="BT65" s="460">
        <v>0</v>
      </c>
      <c r="BU65" s="460">
        <v>0</v>
      </c>
      <c r="BV65" s="460">
        <v>0</v>
      </c>
      <c r="BW65" s="460">
        <v>0</v>
      </c>
      <c r="BX65" s="460">
        <v>0</v>
      </c>
      <c r="BY65" s="460">
        <v>0</v>
      </c>
      <c r="BZ65" s="460">
        <v>0</v>
      </c>
      <c r="CA65" s="460" t="e">
        <v>#N/A</v>
      </c>
      <c r="CB65" s="460" t="e">
        <v>#N/A</v>
      </c>
      <c r="CC65" s="460" t="e">
        <v>#N/A</v>
      </c>
    </row>
    <row r="66" spans="1:81" ht="12.75" customHeight="1">
      <c r="A66" s="105">
        <v>61</v>
      </c>
      <c r="B66" s="112" t="str">
        <v>38Y</v>
      </c>
      <c r="C66" s="465">
        <f>'eur disaggregated'!AN77</f>
        <v>0</v>
      </c>
      <c r="D66" s="111" t="str">
        <f t="shared" si="6"/>
        <v>456M</v>
      </c>
      <c r="E66" s="441">
        <f t="shared" si="4"/>
        <v>42696</v>
      </c>
      <c r="F66" s="441">
        <f>_xll.qlCalendarAdvance(Calendar,E66,D66)</f>
        <v>56576</v>
      </c>
      <c r="G66" s="462">
        <f t="shared" si="3"/>
        <v>1.066786168E-2</v>
      </c>
      <c r="H66" s="453">
        <v>1.0667861679999999</v>
      </c>
      <c r="I66" s="107" t="str">
        <v>50Y</v>
      </c>
      <c r="J66" s="106" t="str">
        <f t="shared" si="5"/>
        <v>600M</v>
      </c>
      <c r="K66" s="448">
        <f>_xll.qlCalendarAdvance("TARGET",$C$1,J66)</f>
        <v>60958</v>
      </c>
      <c r="M66" s="99" t="str">
        <v>50Y</v>
      </c>
      <c r="N66" s="465">
        <v>0</v>
      </c>
      <c r="P66" s="106" t="b">
        <f t="shared" si="7"/>
        <v>0</v>
      </c>
      <c r="Q66" s="460">
        <f t="array" ref="Q66:CC66">C66*ForwardToZero(OisBuckets,E66,F66,G66)</f>
        <v>0</v>
      </c>
      <c r="R66" s="460">
        <v>0</v>
      </c>
      <c r="S66" s="460">
        <v>0</v>
      </c>
      <c r="T66" s="460">
        <v>0</v>
      </c>
      <c r="U66" s="460">
        <v>0</v>
      </c>
      <c r="V66" s="460">
        <v>0</v>
      </c>
      <c r="W66" s="460">
        <v>0</v>
      </c>
      <c r="X66" s="460">
        <v>0</v>
      </c>
      <c r="Y66" s="460">
        <v>0</v>
      </c>
      <c r="Z66" s="460">
        <v>0</v>
      </c>
      <c r="AA66" s="460">
        <v>0</v>
      </c>
      <c r="AB66" s="460">
        <v>0</v>
      </c>
      <c r="AC66" s="460">
        <v>0</v>
      </c>
      <c r="AD66" s="460">
        <v>0</v>
      </c>
      <c r="AE66" s="460">
        <v>0</v>
      </c>
      <c r="AF66" s="460">
        <v>0</v>
      </c>
      <c r="AG66" s="460">
        <v>0</v>
      </c>
      <c r="AH66" s="460">
        <v>0</v>
      </c>
      <c r="AI66" s="460">
        <v>0</v>
      </c>
      <c r="AJ66" s="460">
        <v>0</v>
      </c>
      <c r="AK66" s="460">
        <v>0</v>
      </c>
      <c r="AL66" s="460">
        <v>0</v>
      </c>
      <c r="AM66" s="460">
        <v>0</v>
      </c>
      <c r="AN66" s="460">
        <v>0</v>
      </c>
      <c r="AO66" s="460">
        <v>0</v>
      </c>
      <c r="AP66" s="460">
        <v>0</v>
      </c>
      <c r="AQ66" s="460">
        <v>0</v>
      </c>
      <c r="AR66" s="460">
        <v>0</v>
      </c>
      <c r="AS66" s="460">
        <v>0</v>
      </c>
      <c r="AT66" s="460">
        <v>0</v>
      </c>
      <c r="AU66" s="460">
        <v>0</v>
      </c>
      <c r="AV66" s="460">
        <v>0</v>
      </c>
      <c r="AW66" s="460">
        <v>0</v>
      </c>
      <c r="AX66" s="460">
        <v>0</v>
      </c>
      <c r="AY66" s="460">
        <v>0</v>
      </c>
      <c r="AZ66" s="460">
        <v>0</v>
      </c>
      <c r="BA66" s="460">
        <v>0</v>
      </c>
      <c r="BB66" s="460">
        <v>0</v>
      </c>
      <c r="BC66" s="460">
        <v>0</v>
      </c>
      <c r="BD66" s="460">
        <v>0</v>
      </c>
      <c r="BE66" s="460">
        <v>0</v>
      </c>
      <c r="BF66" s="460">
        <v>0</v>
      </c>
      <c r="BG66" s="460">
        <v>0</v>
      </c>
      <c r="BH66" s="460">
        <v>0</v>
      </c>
      <c r="BI66" s="460">
        <v>0</v>
      </c>
      <c r="BJ66" s="460">
        <v>0</v>
      </c>
      <c r="BK66" s="460">
        <v>0</v>
      </c>
      <c r="BL66" s="460">
        <v>0</v>
      </c>
      <c r="BM66" s="460">
        <v>0</v>
      </c>
      <c r="BN66" s="460">
        <v>0</v>
      </c>
      <c r="BO66" s="460">
        <v>0</v>
      </c>
      <c r="BP66" s="460">
        <v>0</v>
      </c>
      <c r="BQ66" s="460">
        <v>0</v>
      </c>
      <c r="BR66" s="460">
        <v>0</v>
      </c>
      <c r="BS66" s="460">
        <v>0</v>
      </c>
      <c r="BT66" s="460">
        <v>0</v>
      </c>
      <c r="BU66" s="460">
        <v>0</v>
      </c>
      <c r="BV66" s="460">
        <v>0</v>
      </c>
      <c r="BW66" s="460">
        <v>0</v>
      </c>
      <c r="BX66" s="460">
        <v>0</v>
      </c>
      <c r="BY66" s="460">
        <v>0</v>
      </c>
      <c r="BZ66" s="460">
        <v>0</v>
      </c>
      <c r="CA66" s="460" t="e">
        <v>#N/A</v>
      </c>
      <c r="CB66" s="460" t="e">
        <v>#N/A</v>
      </c>
      <c r="CC66" s="460" t="e">
        <v>#N/A</v>
      </c>
    </row>
    <row r="67" spans="1:81" ht="12.75" customHeight="1">
      <c r="A67" s="105">
        <v>62</v>
      </c>
      <c r="B67" s="112" t="str">
        <v>39Y</v>
      </c>
      <c r="C67" s="465">
        <f>'eur disaggregated'!AN78</f>
        <v>0</v>
      </c>
      <c r="D67" s="111" t="str">
        <f t="shared" si="6"/>
        <v>468M</v>
      </c>
      <c r="E67" s="441">
        <f t="shared" si="4"/>
        <v>42696</v>
      </c>
      <c r="F67" s="441">
        <f>_xll.qlCalendarAdvance(Calendar,E67,D67)</f>
        <v>56940</v>
      </c>
      <c r="G67" s="462">
        <f t="shared" si="3"/>
        <v>1.065213374E-2</v>
      </c>
      <c r="H67" s="453">
        <v>1.065213374</v>
      </c>
      <c r="I67" s="107" t="str">
        <v>60Y</v>
      </c>
      <c r="J67" s="106" t="str">
        <f t="shared" si="5"/>
        <v>720M</v>
      </c>
      <c r="K67" s="448">
        <f>_xll.qlCalendarAdvance("TARGET",$C$1,J67)</f>
        <v>64612</v>
      </c>
      <c r="M67" s="99" t="str">
        <v>60Y</v>
      </c>
      <c r="N67" s="465">
        <v>0</v>
      </c>
      <c r="P67" s="106" t="b">
        <f t="shared" si="7"/>
        <v>0</v>
      </c>
      <c r="Q67" s="460">
        <f t="array" ref="Q67:CC67">C67*ForwardToZero(OisBuckets,E67,F67,G67)</f>
        <v>0</v>
      </c>
      <c r="R67" s="460">
        <v>0</v>
      </c>
      <c r="S67" s="460">
        <v>0</v>
      </c>
      <c r="T67" s="460">
        <v>0</v>
      </c>
      <c r="U67" s="460">
        <v>0</v>
      </c>
      <c r="V67" s="460">
        <v>0</v>
      </c>
      <c r="W67" s="460">
        <v>0</v>
      </c>
      <c r="X67" s="460">
        <v>0</v>
      </c>
      <c r="Y67" s="460">
        <v>0</v>
      </c>
      <c r="Z67" s="460">
        <v>0</v>
      </c>
      <c r="AA67" s="460">
        <v>0</v>
      </c>
      <c r="AB67" s="460">
        <v>0</v>
      </c>
      <c r="AC67" s="460">
        <v>0</v>
      </c>
      <c r="AD67" s="460">
        <v>0</v>
      </c>
      <c r="AE67" s="460">
        <v>0</v>
      </c>
      <c r="AF67" s="460">
        <v>0</v>
      </c>
      <c r="AG67" s="460">
        <v>0</v>
      </c>
      <c r="AH67" s="460">
        <v>0</v>
      </c>
      <c r="AI67" s="460">
        <v>0</v>
      </c>
      <c r="AJ67" s="460">
        <v>0</v>
      </c>
      <c r="AK67" s="460">
        <v>0</v>
      </c>
      <c r="AL67" s="460">
        <v>0</v>
      </c>
      <c r="AM67" s="460">
        <v>0</v>
      </c>
      <c r="AN67" s="460">
        <v>0</v>
      </c>
      <c r="AO67" s="460">
        <v>0</v>
      </c>
      <c r="AP67" s="460">
        <v>0</v>
      </c>
      <c r="AQ67" s="460">
        <v>0</v>
      </c>
      <c r="AR67" s="460">
        <v>0</v>
      </c>
      <c r="AS67" s="460">
        <v>0</v>
      </c>
      <c r="AT67" s="460">
        <v>0</v>
      </c>
      <c r="AU67" s="460">
        <v>0</v>
      </c>
      <c r="AV67" s="460">
        <v>0</v>
      </c>
      <c r="AW67" s="460">
        <v>0</v>
      </c>
      <c r="AX67" s="460">
        <v>0</v>
      </c>
      <c r="AY67" s="460">
        <v>0</v>
      </c>
      <c r="AZ67" s="460">
        <v>0</v>
      </c>
      <c r="BA67" s="460">
        <v>0</v>
      </c>
      <c r="BB67" s="460">
        <v>0</v>
      </c>
      <c r="BC67" s="460">
        <v>0</v>
      </c>
      <c r="BD67" s="460">
        <v>0</v>
      </c>
      <c r="BE67" s="460">
        <v>0</v>
      </c>
      <c r="BF67" s="460">
        <v>0</v>
      </c>
      <c r="BG67" s="460">
        <v>0</v>
      </c>
      <c r="BH67" s="460">
        <v>0</v>
      </c>
      <c r="BI67" s="460">
        <v>0</v>
      </c>
      <c r="BJ67" s="460">
        <v>0</v>
      </c>
      <c r="BK67" s="460">
        <v>0</v>
      </c>
      <c r="BL67" s="460">
        <v>0</v>
      </c>
      <c r="BM67" s="460">
        <v>0</v>
      </c>
      <c r="BN67" s="460">
        <v>0</v>
      </c>
      <c r="BO67" s="460">
        <v>0</v>
      </c>
      <c r="BP67" s="460">
        <v>0</v>
      </c>
      <c r="BQ67" s="460">
        <v>0</v>
      </c>
      <c r="BR67" s="460">
        <v>0</v>
      </c>
      <c r="BS67" s="460">
        <v>0</v>
      </c>
      <c r="BT67" s="460">
        <v>0</v>
      </c>
      <c r="BU67" s="460">
        <v>0</v>
      </c>
      <c r="BV67" s="460">
        <v>0</v>
      </c>
      <c r="BW67" s="460">
        <v>0</v>
      </c>
      <c r="BX67" s="460">
        <v>0</v>
      </c>
      <c r="BY67" s="460">
        <v>0</v>
      </c>
      <c r="BZ67" s="460">
        <v>0</v>
      </c>
      <c r="CA67" s="460" t="e">
        <v>#N/A</v>
      </c>
      <c r="CB67" s="460" t="e">
        <v>#N/A</v>
      </c>
      <c r="CC67" s="460" t="e">
        <v>#N/A</v>
      </c>
    </row>
    <row r="68" spans="1:81" ht="12.75" customHeight="1">
      <c r="A68" s="105">
        <v>63</v>
      </c>
      <c r="B68" s="112" t="str">
        <v>40Y</v>
      </c>
      <c r="C68" s="465">
        <f>'eur disaggregated'!AN79</f>
        <v>0</v>
      </c>
      <c r="D68" s="111" t="str">
        <f t="shared" si="6"/>
        <v>480M</v>
      </c>
      <c r="E68" s="441">
        <f t="shared" si="4"/>
        <v>42696</v>
      </c>
      <c r="F68" s="441">
        <f>_xll.qlCalendarAdvance(Calendar,E68,D68)</f>
        <v>57306</v>
      </c>
      <c r="G68" s="462">
        <f t="shared" si="3"/>
        <v>1.0629999999999999E-2</v>
      </c>
      <c r="H68" s="453">
        <v>1.0629999999999999</v>
      </c>
      <c r="I68" s="107" t="e">
        <v>#N/A</v>
      </c>
      <c r="J68" s="106" t="e">
        <f t="shared" si="5"/>
        <v>#N/A</v>
      </c>
      <c r="K68" s="448"/>
      <c r="M68" s="99" t="e">
        <v>#N/A</v>
      </c>
      <c r="N68" s="465" t="e">
        <v>#N/A</v>
      </c>
      <c r="P68" s="106" t="b">
        <f t="shared" si="7"/>
        <v>0</v>
      </c>
      <c r="Q68" s="460"/>
      <c r="R68" s="460"/>
      <c r="S68" s="460"/>
      <c r="T68" s="460"/>
      <c r="U68" s="460"/>
      <c r="V68" s="460"/>
      <c r="W68" s="460"/>
      <c r="X68" s="460"/>
      <c r="Y68" s="460"/>
      <c r="Z68" s="460"/>
      <c r="AA68" s="460"/>
      <c r="AB68" s="460"/>
      <c r="AC68" s="460"/>
      <c r="AD68" s="460"/>
      <c r="AE68" s="460"/>
      <c r="AF68" s="460"/>
      <c r="AG68" s="460"/>
      <c r="AH68" s="460"/>
      <c r="AI68" s="460"/>
      <c r="AJ68" s="460"/>
      <c r="AK68" s="460"/>
      <c r="AL68" s="460"/>
      <c r="AM68" s="460"/>
      <c r="AN68" s="460"/>
      <c r="AO68" s="460"/>
      <c r="AP68" s="460"/>
      <c r="AQ68" s="460"/>
      <c r="AR68" s="460"/>
      <c r="AS68" s="460"/>
      <c r="AT68" s="460"/>
      <c r="AU68" s="460"/>
      <c r="AV68" s="460"/>
      <c r="AW68" s="460"/>
      <c r="AX68" s="460"/>
      <c r="AY68" s="460"/>
      <c r="AZ68" s="460"/>
      <c r="BA68" s="460"/>
      <c r="BB68" s="460"/>
      <c r="BC68" s="460"/>
      <c r="BD68" s="460"/>
      <c r="BE68" s="460"/>
      <c r="BF68" s="460"/>
      <c r="BG68" s="460"/>
      <c r="BH68" s="460"/>
      <c r="BI68" s="460"/>
      <c r="BJ68" s="460"/>
      <c r="BK68" s="460"/>
      <c r="BL68" s="460"/>
      <c r="BM68" s="460"/>
      <c r="BN68" s="460"/>
      <c r="BO68" s="460"/>
      <c r="BP68" s="460"/>
      <c r="BQ68" s="460"/>
      <c r="BR68" s="460"/>
      <c r="BS68" s="460"/>
      <c r="BT68" s="460"/>
      <c r="BU68" s="460"/>
      <c r="BV68" s="460"/>
      <c r="BW68" s="460"/>
      <c r="BX68" s="460"/>
      <c r="BY68" s="460"/>
      <c r="BZ68" s="460"/>
      <c r="CA68" s="460"/>
      <c r="CB68" s="460"/>
      <c r="CC68" s="460"/>
    </row>
    <row r="69" spans="1:81" ht="12.75" customHeight="1">
      <c r="A69" s="105">
        <v>64</v>
      </c>
      <c r="B69" s="458" t="str">
        <v>50Y</v>
      </c>
      <c r="C69" s="465"/>
      <c r="D69" s="111" t="str">
        <f t="shared" ref="D69:D70" si="8">IF(AND(LEN(B69)&gt;3,RIGHT(B69:B69,2)="3"), "27M", IF(AND(LEN(B69)&gt;3,RIGHT(B69:B69,2)="6"), "30M", IF(AND(LEN(B69)&gt;3,RIGHT(B69:B69,2)="9"), "33M", IF(LEN(B69)&gt;0,SimplifyTenor(B69),""))))</f>
        <v>600M</v>
      </c>
      <c r="E69" s="441">
        <f t="shared" si="4"/>
        <v>42696</v>
      </c>
      <c r="F69" s="441">
        <f>_xll.qlCalendarAdvance(Calendar,E69,D69)</f>
        <v>60958</v>
      </c>
      <c r="G69" s="462">
        <f t="shared" si="3"/>
        <v>1.0209999999999999E-2</v>
      </c>
      <c r="H69" s="453">
        <v>1.0209999999999999</v>
      </c>
      <c r="I69" s="107"/>
      <c r="J69" s="106"/>
      <c r="K69" s="441"/>
      <c r="M69" s="99"/>
      <c r="N69" s="465"/>
      <c r="P69" s="106"/>
      <c r="Q69" s="460"/>
      <c r="R69" s="460"/>
      <c r="S69" s="460"/>
      <c r="T69" s="460"/>
      <c r="U69" s="460"/>
      <c r="V69" s="460"/>
      <c r="W69" s="460"/>
      <c r="X69" s="460"/>
      <c r="Y69" s="460"/>
      <c r="Z69" s="460"/>
      <c r="AA69" s="460"/>
      <c r="AB69" s="460"/>
      <c r="AC69" s="460"/>
      <c r="AD69" s="460"/>
      <c r="AE69" s="460"/>
      <c r="AF69" s="460"/>
      <c r="AG69" s="460"/>
      <c r="AH69" s="460"/>
      <c r="AI69" s="460"/>
      <c r="AJ69" s="460"/>
      <c r="AK69" s="460"/>
      <c r="AL69" s="460"/>
      <c r="AM69" s="460"/>
      <c r="AN69" s="460"/>
      <c r="AO69" s="460"/>
      <c r="AP69" s="460"/>
      <c r="AQ69" s="460"/>
      <c r="AR69" s="460"/>
      <c r="AS69" s="460"/>
      <c r="AT69" s="460"/>
      <c r="AU69" s="460"/>
      <c r="AV69" s="460"/>
      <c r="AW69" s="460"/>
      <c r="AX69" s="460"/>
      <c r="AY69" s="460"/>
      <c r="AZ69" s="460"/>
      <c r="BA69" s="460"/>
      <c r="BB69" s="460"/>
      <c r="BC69" s="460"/>
      <c r="BD69" s="460"/>
      <c r="BE69" s="460"/>
      <c r="BF69" s="460"/>
      <c r="BG69" s="460"/>
      <c r="BH69" s="460"/>
      <c r="BI69" s="460"/>
      <c r="BJ69" s="460"/>
      <c r="BK69" s="460"/>
      <c r="BL69" s="460"/>
      <c r="BM69" s="460"/>
      <c r="BN69" s="460"/>
      <c r="BO69" s="460"/>
      <c r="BP69" s="460"/>
      <c r="BQ69" s="460"/>
      <c r="BR69" s="460"/>
      <c r="BS69" s="460"/>
      <c r="BT69" s="460"/>
      <c r="BU69" s="460"/>
      <c r="BV69" s="460"/>
      <c r="BW69" s="460"/>
      <c r="BX69" s="460"/>
      <c r="BY69" s="460"/>
      <c r="BZ69" s="460"/>
      <c r="CA69" s="460"/>
      <c r="CB69" s="460"/>
      <c r="CC69" s="460"/>
    </row>
    <row r="70" spans="1:81" ht="12.75" customHeight="1">
      <c r="A70" s="105">
        <v>65</v>
      </c>
      <c r="B70" s="458" t="str">
        <v>60Y</v>
      </c>
      <c r="C70" s="465"/>
      <c r="D70" s="111" t="str">
        <f t="shared" si="8"/>
        <v>720M</v>
      </c>
      <c r="E70" s="441">
        <f t="shared" si="4"/>
        <v>42696</v>
      </c>
      <c r="F70" s="441">
        <f>_xll.qlCalendarAdvance(Calendar,E70,D70)</f>
        <v>64612</v>
      </c>
      <c r="G70" s="462">
        <f t="shared" si="3"/>
        <v>9.9500000000000005E-3</v>
      </c>
      <c r="H70" s="453">
        <v>0.995</v>
      </c>
      <c r="I70" s="107"/>
      <c r="J70" s="106"/>
      <c r="K70" s="441"/>
      <c r="M70" s="99"/>
      <c r="N70" s="465"/>
      <c r="P70" s="106"/>
      <c r="Q70" s="460"/>
      <c r="R70" s="460"/>
      <c r="S70" s="460"/>
      <c r="T70" s="460"/>
      <c r="U70" s="460"/>
      <c r="V70" s="460"/>
      <c r="W70" s="460"/>
      <c r="X70" s="460"/>
      <c r="Y70" s="460"/>
      <c r="Z70" s="460"/>
      <c r="AA70" s="460"/>
      <c r="AB70" s="460"/>
      <c r="AC70" s="460"/>
      <c r="AD70" s="460"/>
      <c r="AE70" s="460"/>
      <c r="AF70" s="460"/>
      <c r="AG70" s="460"/>
      <c r="AH70" s="460"/>
      <c r="AI70" s="460"/>
      <c r="AJ70" s="460"/>
      <c r="AK70" s="460"/>
      <c r="AL70" s="460"/>
      <c r="AM70" s="460"/>
      <c r="AN70" s="460"/>
      <c r="AO70" s="460"/>
      <c r="AP70" s="460"/>
      <c r="AQ70" s="460"/>
      <c r="AR70" s="460"/>
      <c r="AS70" s="460"/>
      <c r="AT70" s="460"/>
      <c r="AU70" s="460"/>
      <c r="AV70" s="460"/>
      <c r="AW70" s="460"/>
      <c r="AX70" s="460"/>
      <c r="AY70" s="460"/>
      <c r="AZ70" s="460"/>
      <c r="BA70" s="460"/>
      <c r="BB70" s="460"/>
      <c r="BC70" s="460"/>
      <c r="BD70" s="460"/>
      <c r="BE70" s="460"/>
      <c r="BF70" s="460"/>
      <c r="BG70" s="460"/>
      <c r="BH70" s="460"/>
      <c r="BI70" s="460"/>
      <c r="BJ70" s="460"/>
      <c r="BK70" s="460"/>
      <c r="BL70" s="460"/>
      <c r="BM70" s="460"/>
      <c r="BN70" s="460"/>
      <c r="BO70" s="460"/>
      <c r="BP70" s="460"/>
      <c r="BQ70" s="460"/>
      <c r="BR70" s="460"/>
      <c r="BS70" s="460"/>
      <c r="BT70" s="460"/>
      <c r="BU70" s="460"/>
      <c r="BV70" s="460"/>
      <c r="BW70" s="460"/>
      <c r="BX70" s="460"/>
      <c r="BY70" s="460"/>
      <c r="BZ70" s="460"/>
      <c r="CA70" s="460"/>
      <c r="CB70" s="460"/>
      <c r="CC70" s="460"/>
    </row>
    <row r="71" spans="1:81" ht="12.75" customHeight="1">
      <c r="A71" s="335"/>
      <c r="B71" s="335"/>
      <c r="C71" s="335"/>
      <c r="D71" s="335"/>
      <c r="E71" s="335"/>
      <c r="F71" s="335"/>
      <c r="G71" s="335"/>
      <c r="H71" s="335"/>
      <c r="I71" s="335"/>
      <c r="J71" s="295"/>
      <c r="K71" s="335"/>
      <c r="M71" s="468"/>
      <c r="N71" s="468"/>
      <c r="P71" s="335"/>
      <c r="Q71" s="335"/>
      <c r="R71" s="335"/>
      <c r="S71" s="335"/>
      <c r="T71" s="335"/>
      <c r="U71" s="335"/>
      <c r="V71" s="335"/>
      <c r="W71" s="335"/>
      <c r="X71" s="335"/>
      <c r="Y71" s="335"/>
      <c r="Z71" s="335"/>
      <c r="AA71" s="335"/>
      <c r="AB71" s="335"/>
      <c r="AC71" s="335"/>
      <c r="AD71" s="335"/>
      <c r="AE71" s="335"/>
      <c r="AF71" s="335"/>
      <c r="AG71" s="335"/>
      <c r="AH71" s="335"/>
      <c r="AI71" s="335"/>
      <c r="AJ71" s="335"/>
      <c r="AK71" s="335"/>
      <c r="AL71" s="335"/>
      <c r="AM71" s="335"/>
      <c r="AN71" s="335"/>
      <c r="AO71" s="335"/>
      <c r="AP71" s="335"/>
      <c r="AQ71" s="335"/>
      <c r="AR71" s="335"/>
      <c r="AS71" s="335"/>
      <c r="AT71" s="335"/>
      <c r="AU71" s="335"/>
      <c r="AV71" s="335"/>
      <c r="AW71" s="335"/>
      <c r="AX71" s="335"/>
      <c r="AY71" s="335"/>
      <c r="AZ71" s="335"/>
      <c r="BA71" s="335"/>
      <c r="BB71" s="335"/>
      <c r="BC71" s="335"/>
      <c r="BD71" s="335"/>
      <c r="BE71" s="335"/>
      <c r="BF71" s="335"/>
      <c r="BG71" s="335"/>
      <c r="BH71" s="335"/>
      <c r="BI71" s="335"/>
      <c r="BJ71" s="335"/>
      <c r="BK71" s="335"/>
      <c r="BL71" s="335"/>
      <c r="BM71" s="335"/>
      <c r="BN71" s="335"/>
      <c r="BO71" s="335"/>
      <c r="BP71" s="335"/>
      <c r="BQ71" s="335"/>
      <c r="BR71" s="335"/>
      <c r="BS71" s="335"/>
      <c r="BT71" s="335"/>
      <c r="BU71" s="335"/>
      <c r="BV71" s="335"/>
      <c r="BW71" s="335"/>
      <c r="BX71" s="335"/>
      <c r="BY71" s="335"/>
      <c r="BZ71" s="335"/>
      <c r="CA71" s="335"/>
      <c r="CB71" s="335"/>
      <c r="CC71" s="335"/>
    </row>
    <row r="72" spans="1:81" ht="12.75" customHeight="1" thickBot="1">
      <c r="P72" s="99" t="s">
        <v>5155</v>
      </c>
      <c r="Q72" s="465">
        <f t="shared" ref="Q72:AV72" si="9">SUM(Q6:Q68)</f>
        <v>0</v>
      </c>
      <c r="R72" s="465">
        <f t="shared" si="9"/>
        <v>0</v>
      </c>
      <c r="S72" s="465">
        <f t="shared" si="9"/>
        <v>-56.615258158141529</v>
      </c>
      <c r="T72" s="465">
        <f t="shared" si="9"/>
        <v>-598.9795324087097</v>
      </c>
      <c r="U72" s="465">
        <f t="shared" si="9"/>
        <v>83.739198862339578</v>
      </c>
      <c r="V72" s="465">
        <f t="shared" si="9"/>
        <v>731.54069298965237</v>
      </c>
      <c r="W72" s="465">
        <f t="shared" si="9"/>
        <v>-560.84584068682045</v>
      </c>
      <c r="X72" s="465">
        <f t="shared" si="9"/>
        <v>174.83449414469115</v>
      </c>
      <c r="Y72" s="465">
        <f t="shared" si="9"/>
        <v>124.91616053336152</v>
      </c>
      <c r="Z72" s="465">
        <f t="shared" si="9"/>
        <v>586.64891685014857</v>
      </c>
      <c r="AA72" s="465">
        <f t="shared" si="9"/>
        <v>-93.042418436719387</v>
      </c>
      <c r="AB72" s="465">
        <f t="shared" si="9"/>
        <v>-147.86638414945813</v>
      </c>
      <c r="AC72" s="465">
        <f t="shared" si="9"/>
        <v>584.04986884384152</v>
      </c>
      <c r="AD72" s="465">
        <f t="shared" si="9"/>
        <v>-584.66164206244855</v>
      </c>
      <c r="AE72" s="465">
        <f t="shared" si="9"/>
        <v>383.44889431023933</v>
      </c>
      <c r="AF72" s="465">
        <f t="shared" si="9"/>
        <v>347.0497919571913</v>
      </c>
      <c r="AG72" s="465">
        <f t="shared" si="9"/>
        <v>-441.62067091143041</v>
      </c>
      <c r="AH72" s="465">
        <f t="shared" si="9"/>
        <v>323.87967676090528</v>
      </c>
      <c r="AI72" s="465">
        <f t="shared" si="9"/>
        <v>0</v>
      </c>
      <c r="AJ72" s="465">
        <f t="shared" si="9"/>
        <v>0</v>
      </c>
      <c r="AK72" s="465">
        <f t="shared" si="9"/>
        <v>133.0286518248725</v>
      </c>
      <c r="AL72" s="465">
        <f t="shared" si="9"/>
        <v>0</v>
      </c>
      <c r="AM72" s="465">
        <f t="shared" si="9"/>
        <v>0</v>
      </c>
      <c r="AN72" s="465">
        <f t="shared" si="9"/>
        <v>284.08611277212839</v>
      </c>
      <c r="AO72" s="465">
        <f t="shared" si="9"/>
        <v>0</v>
      </c>
      <c r="AP72" s="465">
        <f t="shared" si="9"/>
        <v>0</v>
      </c>
      <c r="AQ72" s="465">
        <f t="shared" si="9"/>
        <v>-275.05897917908737</v>
      </c>
      <c r="AR72" s="465">
        <f t="shared" si="9"/>
        <v>0</v>
      </c>
      <c r="AS72" s="465">
        <f t="shared" si="9"/>
        <v>0</v>
      </c>
      <c r="AT72" s="465">
        <f t="shared" si="9"/>
        <v>6.4722918815619579</v>
      </c>
      <c r="AU72" s="465">
        <f t="shared" si="9"/>
        <v>446.14476099528372</v>
      </c>
      <c r="AV72" s="465">
        <f t="shared" si="9"/>
        <v>-2457.6391570731184</v>
      </c>
      <c r="AW72" s="465">
        <f t="shared" ref="AW72:CC72" si="10">SUM(AW6:AW68)</f>
        <v>-5418.4381978497586</v>
      </c>
      <c r="AX72" s="465">
        <f t="shared" si="10"/>
        <v>-539.35420527099984</v>
      </c>
      <c r="AY72" s="465">
        <f t="shared" si="10"/>
        <v>1497.1933518730114</v>
      </c>
      <c r="AZ72" s="465">
        <f t="shared" si="10"/>
        <v>12029.036371704342</v>
      </c>
      <c r="BA72" s="465">
        <f t="shared" si="10"/>
        <v>-77152.877687052911</v>
      </c>
      <c r="BB72" s="465">
        <f t="shared" si="10"/>
        <v>-27250.900065394704</v>
      </c>
      <c r="BC72" s="465">
        <f t="shared" si="10"/>
        <v>200856.91014195859</v>
      </c>
      <c r="BD72" s="465">
        <f t="shared" si="10"/>
        <v>-67936.948656487264</v>
      </c>
      <c r="BE72" s="465">
        <f t="shared" si="10"/>
        <v>-36484.426777181623</v>
      </c>
      <c r="BF72" s="465">
        <f t="shared" si="10"/>
        <v>-22912.473237177594</v>
      </c>
      <c r="BG72" s="465">
        <f t="shared" si="10"/>
        <v>-30463.033699805488</v>
      </c>
      <c r="BH72" s="465">
        <f t="shared" si="10"/>
        <v>29912.299218938067</v>
      </c>
      <c r="BI72" s="465">
        <f t="shared" si="10"/>
        <v>11248.853929431267</v>
      </c>
      <c r="BJ72" s="465">
        <f t="shared" si="10"/>
        <v>-16053.333783695502</v>
      </c>
      <c r="BK72" s="465">
        <f t="shared" si="10"/>
        <v>-22888.614308056443</v>
      </c>
      <c r="BL72" s="465">
        <f t="shared" si="10"/>
        <v>-29223.672508509477</v>
      </c>
      <c r="BM72" s="465">
        <f t="shared" si="10"/>
        <v>24882.911100936501</v>
      </c>
      <c r="BN72" s="465">
        <f t="shared" si="10"/>
        <v>56300.091480150448</v>
      </c>
      <c r="BO72" s="465">
        <f t="shared" si="10"/>
        <v>-9829.6144996177227</v>
      </c>
      <c r="BP72" s="465">
        <f t="shared" si="10"/>
        <v>408.27705715881729</v>
      </c>
      <c r="BQ72" s="465">
        <f t="shared" si="10"/>
        <v>14748.06934182745</v>
      </c>
      <c r="BR72" s="465">
        <f t="shared" si="10"/>
        <v>-2795.1817086195529</v>
      </c>
      <c r="BS72" s="465">
        <f t="shared" si="10"/>
        <v>-1558.4997713121491</v>
      </c>
      <c r="BT72" s="465">
        <f t="shared" si="10"/>
        <v>-1713.3278358635187</v>
      </c>
      <c r="BU72" s="465">
        <f t="shared" si="10"/>
        <v>-1863.911887351994</v>
      </c>
      <c r="BV72" s="465">
        <f t="shared" si="10"/>
        <v>-4520.7305974227493</v>
      </c>
      <c r="BW72" s="465">
        <f t="shared" si="10"/>
        <v>-823.77690784340791</v>
      </c>
      <c r="BX72" s="465">
        <f t="shared" si="10"/>
        <v>-4.1931289887489852E-11</v>
      </c>
      <c r="BY72" s="465">
        <f t="shared" si="10"/>
        <v>0</v>
      </c>
      <c r="BZ72" s="465">
        <f t="shared" si="10"/>
        <v>0</v>
      </c>
      <c r="CA72" s="465" t="e">
        <f t="shared" si="10"/>
        <v>#N/A</v>
      </c>
      <c r="CB72" s="465" t="e">
        <f t="shared" si="10"/>
        <v>#N/A</v>
      </c>
      <c r="CC72" s="465" t="e">
        <f t="shared" si="10"/>
        <v>#N/A</v>
      </c>
    </row>
    <row r="73" spans="1:81" ht="45" customHeight="1" thickBot="1">
      <c r="B73" s="478" t="s">
        <v>5146</v>
      </c>
      <c r="C73" s="477">
        <f>SUM(C6:INDEX(C6:C68,COUNT(C6:C68)))</f>
        <v>-8551.9647108741156</v>
      </c>
      <c r="N73" s="477">
        <f>SUM(N6:INDEX(N6:N68,COUNT(N6:N68)))</f>
        <v>-8551.9647108741174</v>
      </c>
    </row>
    <row r="76" spans="1:81" ht="12.75" customHeight="1">
      <c r="H76" s="52"/>
    </row>
  </sheetData>
  <mergeCells count="4">
    <mergeCell ref="B3:K3"/>
    <mergeCell ref="B4:H4"/>
    <mergeCell ref="I4:K4"/>
    <mergeCell ref="N4:N5"/>
  </mergeCells>
  <conditionalFormatting sqref="P6:CC67">
    <cfRule type="expression" dxfId="19" priority="1">
      <formula>OR(LEN($I6)=0,LEN(P$4)=0)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>
    <tabColor theme="3" tint="0.59999389629810485"/>
  </sheetPr>
  <dimension ref="A1:CC74"/>
  <sheetViews>
    <sheetView showGridLines="0" workbookViewId="0">
      <selection activeCell="C1" sqref="C1"/>
    </sheetView>
  </sheetViews>
  <sheetFormatPr defaultRowHeight="12.75" customHeight="1" outlineLevelCol="1"/>
  <cols>
    <col min="1" max="1" width="2.7109375" style="414" customWidth="1"/>
    <col min="2" max="2" width="11.5703125" style="414" customWidth="1"/>
    <col min="3" max="3" width="13.85546875" style="414" bestFit="1" customWidth="1"/>
    <col min="4" max="4" width="10.85546875" style="414" hidden="1" customWidth="1" outlineLevel="1"/>
    <col min="5" max="5" width="12.28515625" style="414" hidden="1" customWidth="1" outlineLevel="1"/>
    <col min="6" max="6" width="9.42578125" style="414" hidden="1" customWidth="1" outlineLevel="1"/>
    <col min="7" max="7" width="13.28515625" style="414" hidden="1" customWidth="1" outlineLevel="1"/>
    <col min="8" max="8" width="9.85546875" style="414" hidden="1" customWidth="1" outlineLevel="1"/>
    <col min="9" max="9" width="10.140625" style="414" hidden="1" customWidth="1" outlineLevel="1"/>
    <col min="10" max="10" width="9.140625" style="414" hidden="1" customWidth="1" outlineLevel="1"/>
    <col min="11" max="11" width="11.28515625" style="414" hidden="1" customWidth="1" outlineLevel="1"/>
    <col min="12" max="12" width="2.7109375" style="414" customWidth="1" collapsed="1"/>
    <col min="13" max="13" width="5.28515625" style="414" customWidth="1"/>
    <col min="14" max="14" width="14.5703125" style="414" customWidth="1"/>
    <col min="15" max="15" width="2.7109375" style="414" customWidth="1"/>
    <col min="16" max="16" width="8.42578125" style="414" bestFit="1" customWidth="1"/>
    <col min="17" max="30" width="8.7109375" style="414" customWidth="1"/>
    <col min="31" max="31" width="9.28515625" style="414" bestFit="1" customWidth="1"/>
    <col min="32" max="32" width="8.7109375" style="414" customWidth="1"/>
    <col min="33" max="34" width="9.28515625" style="414" bestFit="1" customWidth="1"/>
    <col min="35" max="35" width="8.7109375" style="414" customWidth="1"/>
    <col min="36" max="37" width="9.28515625" style="414" bestFit="1" customWidth="1"/>
    <col min="38" max="38" width="8.7109375" style="414" customWidth="1"/>
    <col min="39" max="40" width="9.28515625" style="414" bestFit="1" customWidth="1"/>
    <col min="41" max="41" width="8.7109375" style="414" customWidth="1"/>
    <col min="42" max="42" width="9.5703125" style="414" bestFit="1" customWidth="1"/>
    <col min="43" max="43" width="9.140625" style="414" bestFit="1" customWidth="1"/>
    <col min="44" max="44" width="8.7109375" style="414" customWidth="1"/>
    <col min="45" max="45" width="9.7109375" style="414" bestFit="1" customWidth="1"/>
    <col min="46" max="46" width="10.140625" style="414" bestFit="1" customWidth="1"/>
    <col min="47" max="47" width="10" style="414" bestFit="1" customWidth="1"/>
    <col min="48" max="48" width="10.140625" style="414" bestFit="1" customWidth="1"/>
    <col min="49" max="49" width="9.7109375" style="414" bestFit="1" customWidth="1"/>
    <col min="50" max="50" width="10" style="414" bestFit="1" customWidth="1"/>
    <col min="51" max="51" width="9.7109375" style="414" bestFit="1" customWidth="1"/>
    <col min="52" max="52" width="9.5703125" style="414" bestFit="1" customWidth="1"/>
    <col min="53" max="53" width="10" style="414" bestFit="1" customWidth="1"/>
    <col min="54" max="55" width="11.28515625" style="414" bestFit="1" customWidth="1"/>
    <col min="56" max="56" width="9.7109375" style="414" bestFit="1" customWidth="1"/>
    <col min="57" max="57" width="10" style="414" bestFit="1" customWidth="1"/>
    <col min="58" max="58" width="10.85546875" style="414" bestFit="1" customWidth="1"/>
    <col min="59" max="59" width="9.7109375" style="414" bestFit="1" customWidth="1"/>
    <col min="60" max="60" width="11.28515625" style="414" bestFit="1" customWidth="1"/>
    <col min="61" max="61" width="9.5703125" style="414" bestFit="1" customWidth="1"/>
    <col min="62" max="63" width="10" style="414" bestFit="1" customWidth="1"/>
    <col min="64" max="64" width="10.140625" style="414" bestFit="1" customWidth="1"/>
    <col min="65" max="65" width="10.85546875" style="414" bestFit="1" customWidth="1"/>
    <col min="66" max="66" width="9.7109375" style="414" bestFit="1" customWidth="1"/>
    <col min="67" max="67" width="11.28515625" style="414" bestFit="1" customWidth="1"/>
    <col min="68" max="68" width="9.140625" style="414" bestFit="1" customWidth="1"/>
    <col min="69" max="69" width="9.5703125" style="414" bestFit="1" customWidth="1"/>
    <col min="70" max="74" width="9.140625" style="414" bestFit="1" customWidth="1"/>
    <col min="75" max="86" width="8.7109375" style="414" customWidth="1"/>
    <col min="87" max="257" width="9.140625" style="414"/>
    <col min="258" max="258" width="2.7109375" style="414" customWidth="1"/>
    <col min="259" max="260" width="11.5703125" style="414" customWidth="1"/>
    <col min="261" max="261" width="7.28515625" style="414" customWidth="1"/>
    <col min="262" max="262" width="9.85546875" style="414" customWidth="1"/>
    <col min="263" max="263" width="10.140625" style="414" customWidth="1"/>
    <col min="264" max="264" width="11.28515625" style="414" customWidth="1"/>
    <col min="265" max="265" width="2.7109375" style="414" customWidth="1"/>
    <col min="266" max="266" width="9.42578125" style="414" customWidth="1"/>
    <col min="267" max="267" width="2.7109375" style="414" customWidth="1"/>
    <col min="268" max="271" width="0" style="414" hidden="1" customWidth="1"/>
    <col min="272" max="272" width="10" style="414" customWidth="1"/>
    <col min="273" max="342" width="6.7109375" style="414" customWidth="1"/>
    <col min="343" max="513" width="9.140625" style="414"/>
    <col min="514" max="514" width="2.7109375" style="414" customWidth="1"/>
    <col min="515" max="516" width="11.5703125" style="414" customWidth="1"/>
    <col min="517" max="517" width="7.28515625" style="414" customWidth="1"/>
    <col min="518" max="518" width="9.85546875" style="414" customWidth="1"/>
    <col min="519" max="519" width="10.140625" style="414" customWidth="1"/>
    <col min="520" max="520" width="11.28515625" style="414" customWidth="1"/>
    <col min="521" max="521" width="2.7109375" style="414" customWidth="1"/>
    <col min="522" max="522" width="9.42578125" style="414" customWidth="1"/>
    <col min="523" max="523" width="2.7109375" style="414" customWidth="1"/>
    <col min="524" max="527" width="0" style="414" hidden="1" customWidth="1"/>
    <col min="528" max="528" width="10" style="414" customWidth="1"/>
    <col min="529" max="598" width="6.7109375" style="414" customWidth="1"/>
    <col min="599" max="769" width="9.140625" style="414"/>
    <col min="770" max="770" width="2.7109375" style="414" customWidth="1"/>
    <col min="771" max="772" width="11.5703125" style="414" customWidth="1"/>
    <col min="773" max="773" width="7.28515625" style="414" customWidth="1"/>
    <col min="774" max="774" width="9.85546875" style="414" customWidth="1"/>
    <col min="775" max="775" width="10.140625" style="414" customWidth="1"/>
    <col min="776" max="776" width="11.28515625" style="414" customWidth="1"/>
    <col min="777" max="777" width="2.7109375" style="414" customWidth="1"/>
    <col min="778" max="778" width="9.42578125" style="414" customWidth="1"/>
    <col min="779" max="779" width="2.7109375" style="414" customWidth="1"/>
    <col min="780" max="783" width="0" style="414" hidden="1" customWidth="1"/>
    <col min="784" max="784" width="10" style="414" customWidth="1"/>
    <col min="785" max="854" width="6.7109375" style="414" customWidth="1"/>
    <col min="855" max="1025" width="9.140625" style="414"/>
    <col min="1026" max="1026" width="2.7109375" style="414" customWidth="1"/>
    <col min="1027" max="1028" width="11.5703125" style="414" customWidth="1"/>
    <col min="1029" max="1029" width="7.28515625" style="414" customWidth="1"/>
    <col min="1030" max="1030" width="9.85546875" style="414" customWidth="1"/>
    <col min="1031" max="1031" width="10.140625" style="414" customWidth="1"/>
    <col min="1032" max="1032" width="11.28515625" style="414" customWidth="1"/>
    <col min="1033" max="1033" width="2.7109375" style="414" customWidth="1"/>
    <col min="1034" max="1034" width="9.42578125" style="414" customWidth="1"/>
    <col min="1035" max="1035" width="2.7109375" style="414" customWidth="1"/>
    <col min="1036" max="1039" width="0" style="414" hidden="1" customWidth="1"/>
    <col min="1040" max="1040" width="10" style="414" customWidth="1"/>
    <col min="1041" max="1110" width="6.7109375" style="414" customWidth="1"/>
    <col min="1111" max="1281" width="9.140625" style="414"/>
    <col min="1282" max="1282" width="2.7109375" style="414" customWidth="1"/>
    <col min="1283" max="1284" width="11.5703125" style="414" customWidth="1"/>
    <col min="1285" max="1285" width="7.28515625" style="414" customWidth="1"/>
    <col min="1286" max="1286" width="9.85546875" style="414" customWidth="1"/>
    <col min="1287" max="1287" width="10.140625" style="414" customWidth="1"/>
    <col min="1288" max="1288" width="11.28515625" style="414" customWidth="1"/>
    <col min="1289" max="1289" width="2.7109375" style="414" customWidth="1"/>
    <col min="1290" max="1290" width="9.42578125" style="414" customWidth="1"/>
    <col min="1291" max="1291" width="2.7109375" style="414" customWidth="1"/>
    <col min="1292" max="1295" width="0" style="414" hidden="1" customWidth="1"/>
    <col min="1296" max="1296" width="10" style="414" customWidth="1"/>
    <col min="1297" max="1366" width="6.7109375" style="414" customWidth="1"/>
    <col min="1367" max="1537" width="9.140625" style="414"/>
    <col min="1538" max="1538" width="2.7109375" style="414" customWidth="1"/>
    <col min="1539" max="1540" width="11.5703125" style="414" customWidth="1"/>
    <col min="1541" max="1541" width="7.28515625" style="414" customWidth="1"/>
    <col min="1542" max="1542" width="9.85546875" style="414" customWidth="1"/>
    <col min="1543" max="1543" width="10.140625" style="414" customWidth="1"/>
    <col min="1544" max="1544" width="11.28515625" style="414" customWidth="1"/>
    <col min="1545" max="1545" width="2.7109375" style="414" customWidth="1"/>
    <col min="1546" max="1546" width="9.42578125" style="414" customWidth="1"/>
    <col min="1547" max="1547" width="2.7109375" style="414" customWidth="1"/>
    <col min="1548" max="1551" width="0" style="414" hidden="1" customWidth="1"/>
    <col min="1552" max="1552" width="10" style="414" customWidth="1"/>
    <col min="1553" max="1622" width="6.7109375" style="414" customWidth="1"/>
    <col min="1623" max="1793" width="9.140625" style="414"/>
    <col min="1794" max="1794" width="2.7109375" style="414" customWidth="1"/>
    <col min="1795" max="1796" width="11.5703125" style="414" customWidth="1"/>
    <col min="1797" max="1797" width="7.28515625" style="414" customWidth="1"/>
    <col min="1798" max="1798" width="9.85546875" style="414" customWidth="1"/>
    <col min="1799" max="1799" width="10.140625" style="414" customWidth="1"/>
    <col min="1800" max="1800" width="11.28515625" style="414" customWidth="1"/>
    <col min="1801" max="1801" width="2.7109375" style="414" customWidth="1"/>
    <col min="1802" max="1802" width="9.42578125" style="414" customWidth="1"/>
    <col min="1803" max="1803" width="2.7109375" style="414" customWidth="1"/>
    <col min="1804" max="1807" width="0" style="414" hidden="1" customWidth="1"/>
    <col min="1808" max="1808" width="10" style="414" customWidth="1"/>
    <col min="1809" max="1878" width="6.7109375" style="414" customWidth="1"/>
    <col min="1879" max="2049" width="9.140625" style="414"/>
    <col min="2050" max="2050" width="2.7109375" style="414" customWidth="1"/>
    <col min="2051" max="2052" width="11.5703125" style="414" customWidth="1"/>
    <col min="2053" max="2053" width="7.28515625" style="414" customWidth="1"/>
    <col min="2054" max="2054" width="9.85546875" style="414" customWidth="1"/>
    <col min="2055" max="2055" width="10.140625" style="414" customWidth="1"/>
    <col min="2056" max="2056" width="11.28515625" style="414" customWidth="1"/>
    <col min="2057" max="2057" width="2.7109375" style="414" customWidth="1"/>
    <col min="2058" max="2058" width="9.42578125" style="414" customWidth="1"/>
    <col min="2059" max="2059" width="2.7109375" style="414" customWidth="1"/>
    <col min="2060" max="2063" width="0" style="414" hidden="1" customWidth="1"/>
    <col min="2064" max="2064" width="10" style="414" customWidth="1"/>
    <col min="2065" max="2134" width="6.7109375" style="414" customWidth="1"/>
    <col min="2135" max="2305" width="9.140625" style="414"/>
    <col min="2306" max="2306" width="2.7109375" style="414" customWidth="1"/>
    <col min="2307" max="2308" width="11.5703125" style="414" customWidth="1"/>
    <col min="2309" max="2309" width="7.28515625" style="414" customWidth="1"/>
    <col min="2310" max="2310" width="9.85546875" style="414" customWidth="1"/>
    <col min="2311" max="2311" width="10.140625" style="414" customWidth="1"/>
    <col min="2312" max="2312" width="11.28515625" style="414" customWidth="1"/>
    <col min="2313" max="2313" width="2.7109375" style="414" customWidth="1"/>
    <col min="2314" max="2314" width="9.42578125" style="414" customWidth="1"/>
    <col min="2315" max="2315" width="2.7109375" style="414" customWidth="1"/>
    <col min="2316" max="2319" width="0" style="414" hidden="1" customWidth="1"/>
    <col min="2320" max="2320" width="10" style="414" customWidth="1"/>
    <col min="2321" max="2390" width="6.7109375" style="414" customWidth="1"/>
    <col min="2391" max="2561" width="9.140625" style="414"/>
    <col min="2562" max="2562" width="2.7109375" style="414" customWidth="1"/>
    <col min="2563" max="2564" width="11.5703125" style="414" customWidth="1"/>
    <col min="2565" max="2565" width="7.28515625" style="414" customWidth="1"/>
    <col min="2566" max="2566" width="9.85546875" style="414" customWidth="1"/>
    <col min="2567" max="2567" width="10.140625" style="414" customWidth="1"/>
    <col min="2568" max="2568" width="11.28515625" style="414" customWidth="1"/>
    <col min="2569" max="2569" width="2.7109375" style="414" customWidth="1"/>
    <col min="2570" max="2570" width="9.42578125" style="414" customWidth="1"/>
    <col min="2571" max="2571" width="2.7109375" style="414" customWidth="1"/>
    <col min="2572" max="2575" width="0" style="414" hidden="1" customWidth="1"/>
    <col min="2576" max="2576" width="10" style="414" customWidth="1"/>
    <col min="2577" max="2646" width="6.7109375" style="414" customWidth="1"/>
    <col min="2647" max="2817" width="9.140625" style="414"/>
    <col min="2818" max="2818" width="2.7109375" style="414" customWidth="1"/>
    <col min="2819" max="2820" width="11.5703125" style="414" customWidth="1"/>
    <col min="2821" max="2821" width="7.28515625" style="414" customWidth="1"/>
    <col min="2822" max="2822" width="9.85546875" style="414" customWidth="1"/>
    <col min="2823" max="2823" width="10.140625" style="414" customWidth="1"/>
    <col min="2824" max="2824" width="11.28515625" style="414" customWidth="1"/>
    <col min="2825" max="2825" width="2.7109375" style="414" customWidth="1"/>
    <col min="2826" max="2826" width="9.42578125" style="414" customWidth="1"/>
    <col min="2827" max="2827" width="2.7109375" style="414" customWidth="1"/>
    <col min="2828" max="2831" width="0" style="414" hidden="1" customWidth="1"/>
    <col min="2832" max="2832" width="10" style="414" customWidth="1"/>
    <col min="2833" max="2902" width="6.7109375" style="414" customWidth="1"/>
    <col min="2903" max="3073" width="9.140625" style="414"/>
    <col min="3074" max="3074" width="2.7109375" style="414" customWidth="1"/>
    <col min="3075" max="3076" width="11.5703125" style="414" customWidth="1"/>
    <col min="3077" max="3077" width="7.28515625" style="414" customWidth="1"/>
    <col min="3078" max="3078" width="9.85546875" style="414" customWidth="1"/>
    <col min="3079" max="3079" width="10.140625" style="414" customWidth="1"/>
    <col min="3080" max="3080" width="11.28515625" style="414" customWidth="1"/>
    <col min="3081" max="3081" width="2.7109375" style="414" customWidth="1"/>
    <col min="3082" max="3082" width="9.42578125" style="414" customWidth="1"/>
    <col min="3083" max="3083" width="2.7109375" style="414" customWidth="1"/>
    <col min="3084" max="3087" width="0" style="414" hidden="1" customWidth="1"/>
    <col min="3088" max="3088" width="10" style="414" customWidth="1"/>
    <col min="3089" max="3158" width="6.7109375" style="414" customWidth="1"/>
    <col min="3159" max="3329" width="9.140625" style="414"/>
    <col min="3330" max="3330" width="2.7109375" style="414" customWidth="1"/>
    <col min="3331" max="3332" width="11.5703125" style="414" customWidth="1"/>
    <col min="3333" max="3333" width="7.28515625" style="414" customWidth="1"/>
    <col min="3334" max="3334" width="9.85546875" style="414" customWidth="1"/>
    <col min="3335" max="3335" width="10.140625" style="414" customWidth="1"/>
    <col min="3336" max="3336" width="11.28515625" style="414" customWidth="1"/>
    <col min="3337" max="3337" width="2.7109375" style="414" customWidth="1"/>
    <col min="3338" max="3338" width="9.42578125" style="414" customWidth="1"/>
    <col min="3339" max="3339" width="2.7109375" style="414" customWidth="1"/>
    <col min="3340" max="3343" width="0" style="414" hidden="1" customWidth="1"/>
    <col min="3344" max="3344" width="10" style="414" customWidth="1"/>
    <col min="3345" max="3414" width="6.7109375" style="414" customWidth="1"/>
    <col min="3415" max="3585" width="9.140625" style="414"/>
    <col min="3586" max="3586" width="2.7109375" style="414" customWidth="1"/>
    <col min="3587" max="3588" width="11.5703125" style="414" customWidth="1"/>
    <col min="3589" max="3589" width="7.28515625" style="414" customWidth="1"/>
    <col min="3590" max="3590" width="9.85546875" style="414" customWidth="1"/>
    <col min="3591" max="3591" width="10.140625" style="414" customWidth="1"/>
    <col min="3592" max="3592" width="11.28515625" style="414" customWidth="1"/>
    <col min="3593" max="3593" width="2.7109375" style="414" customWidth="1"/>
    <col min="3594" max="3594" width="9.42578125" style="414" customWidth="1"/>
    <col min="3595" max="3595" width="2.7109375" style="414" customWidth="1"/>
    <col min="3596" max="3599" width="0" style="414" hidden="1" customWidth="1"/>
    <col min="3600" max="3600" width="10" style="414" customWidth="1"/>
    <col min="3601" max="3670" width="6.7109375" style="414" customWidth="1"/>
    <col min="3671" max="3841" width="9.140625" style="414"/>
    <col min="3842" max="3842" width="2.7109375" style="414" customWidth="1"/>
    <col min="3843" max="3844" width="11.5703125" style="414" customWidth="1"/>
    <col min="3845" max="3845" width="7.28515625" style="414" customWidth="1"/>
    <col min="3846" max="3846" width="9.85546875" style="414" customWidth="1"/>
    <col min="3847" max="3847" width="10.140625" style="414" customWidth="1"/>
    <col min="3848" max="3848" width="11.28515625" style="414" customWidth="1"/>
    <col min="3849" max="3849" width="2.7109375" style="414" customWidth="1"/>
    <col min="3850" max="3850" width="9.42578125" style="414" customWidth="1"/>
    <col min="3851" max="3851" width="2.7109375" style="414" customWidth="1"/>
    <col min="3852" max="3855" width="0" style="414" hidden="1" customWidth="1"/>
    <col min="3856" max="3856" width="10" style="414" customWidth="1"/>
    <col min="3857" max="3926" width="6.7109375" style="414" customWidth="1"/>
    <col min="3927" max="4097" width="9.140625" style="414"/>
    <col min="4098" max="4098" width="2.7109375" style="414" customWidth="1"/>
    <col min="4099" max="4100" width="11.5703125" style="414" customWidth="1"/>
    <col min="4101" max="4101" width="7.28515625" style="414" customWidth="1"/>
    <col min="4102" max="4102" width="9.85546875" style="414" customWidth="1"/>
    <col min="4103" max="4103" width="10.140625" style="414" customWidth="1"/>
    <col min="4104" max="4104" width="11.28515625" style="414" customWidth="1"/>
    <col min="4105" max="4105" width="2.7109375" style="414" customWidth="1"/>
    <col min="4106" max="4106" width="9.42578125" style="414" customWidth="1"/>
    <col min="4107" max="4107" width="2.7109375" style="414" customWidth="1"/>
    <col min="4108" max="4111" width="0" style="414" hidden="1" customWidth="1"/>
    <col min="4112" max="4112" width="10" style="414" customWidth="1"/>
    <col min="4113" max="4182" width="6.7109375" style="414" customWidth="1"/>
    <col min="4183" max="4353" width="9.140625" style="414"/>
    <col min="4354" max="4354" width="2.7109375" style="414" customWidth="1"/>
    <col min="4355" max="4356" width="11.5703125" style="414" customWidth="1"/>
    <col min="4357" max="4357" width="7.28515625" style="414" customWidth="1"/>
    <col min="4358" max="4358" width="9.85546875" style="414" customWidth="1"/>
    <col min="4359" max="4359" width="10.140625" style="414" customWidth="1"/>
    <col min="4360" max="4360" width="11.28515625" style="414" customWidth="1"/>
    <col min="4361" max="4361" width="2.7109375" style="414" customWidth="1"/>
    <col min="4362" max="4362" width="9.42578125" style="414" customWidth="1"/>
    <col min="4363" max="4363" width="2.7109375" style="414" customWidth="1"/>
    <col min="4364" max="4367" width="0" style="414" hidden="1" customWidth="1"/>
    <col min="4368" max="4368" width="10" style="414" customWidth="1"/>
    <col min="4369" max="4438" width="6.7109375" style="414" customWidth="1"/>
    <col min="4439" max="4609" width="9.140625" style="414"/>
    <col min="4610" max="4610" width="2.7109375" style="414" customWidth="1"/>
    <col min="4611" max="4612" width="11.5703125" style="414" customWidth="1"/>
    <col min="4613" max="4613" width="7.28515625" style="414" customWidth="1"/>
    <col min="4614" max="4614" width="9.85546875" style="414" customWidth="1"/>
    <col min="4615" max="4615" width="10.140625" style="414" customWidth="1"/>
    <col min="4616" max="4616" width="11.28515625" style="414" customWidth="1"/>
    <col min="4617" max="4617" width="2.7109375" style="414" customWidth="1"/>
    <col min="4618" max="4618" width="9.42578125" style="414" customWidth="1"/>
    <col min="4619" max="4619" width="2.7109375" style="414" customWidth="1"/>
    <col min="4620" max="4623" width="0" style="414" hidden="1" customWidth="1"/>
    <col min="4624" max="4624" width="10" style="414" customWidth="1"/>
    <col min="4625" max="4694" width="6.7109375" style="414" customWidth="1"/>
    <col min="4695" max="4865" width="9.140625" style="414"/>
    <col min="4866" max="4866" width="2.7109375" style="414" customWidth="1"/>
    <col min="4867" max="4868" width="11.5703125" style="414" customWidth="1"/>
    <col min="4869" max="4869" width="7.28515625" style="414" customWidth="1"/>
    <col min="4870" max="4870" width="9.85546875" style="414" customWidth="1"/>
    <col min="4871" max="4871" width="10.140625" style="414" customWidth="1"/>
    <col min="4872" max="4872" width="11.28515625" style="414" customWidth="1"/>
    <col min="4873" max="4873" width="2.7109375" style="414" customWidth="1"/>
    <col min="4874" max="4874" width="9.42578125" style="414" customWidth="1"/>
    <col min="4875" max="4875" width="2.7109375" style="414" customWidth="1"/>
    <col min="4876" max="4879" width="0" style="414" hidden="1" customWidth="1"/>
    <col min="4880" max="4880" width="10" style="414" customWidth="1"/>
    <col min="4881" max="4950" width="6.7109375" style="414" customWidth="1"/>
    <col min="4951" max="5121" width="9.140625" style="414"/>
    <col min="5122" max="5122" width="2.7109375" style="414" customWidth="1"/>
    <col min="5123" max="5124" width="11.5703125" style="414" customWidth="1"/>
    <col min="5125" max="5125" width="7.28515625" style="414" customWidth="1"/>
    <col min="5126" max="5126" width="9.85546875" style="414" customWidth="1"/>
    <col min="5127" max="5127" width="10.140625" style="414" customWidth="1"/>
    <col min="5128" max="5128" width="11.28515625" style="414" customWidth="1"/>
    <col min="5129" max="5129" width="2.7109375" style="414" customWidth="1"/>
    <col min="5130" max="5130" width="9.42578125" style="414" customWidth="1"/>
    <col min="5131" max="5131" width="2.7109375" style="414" customWidth="1"/>
    <col min="5132" max="5135" width="0" style="414" hidden="1" customWidth="1"/>
    <col min="5136" max="5136" width="10" style="414" customWidth="1"/>
    <col min="5137" max="5206" width="6.7109375" style="414" customWidth="1"/>
    <col min="5207" max="5377" width="9.140625" style="414"/>
    <col min="5378" max="5378" width="2.7109375" style="414" customWidth="1"/>
    <col min="5379" max="5380" width="11.5703125" style="414" customWidth="1"/>
    <col min="5381" max="5381" width="7.28515625" style="414" customWidth="1"/>
    <col min="5382" max="5382" width="9.85546875" style="414" customWidth="1"/>
    <col min="5383" max="5383" width="10.140625" style="414" customWidth="1"/>
    <col min="5384" max="5384" width="11.28515625" style="414" customWidth="1"/>
    <col min="5385" max="5385" width="2.7109375" style="414" customWidth="1"/>
    <col min="5386" max="5386" width="9.42578125" style="414" customWidth="1"/>
    <col min="5387" max="5387" width="2.7109375" style="414" customWidth="1"/>
    <col min="5388" max="5391" width="0" style="414" hidden="1" customWidth="1"/>
    <col min="5392" max="5392" width="10" style="414" customWidth="1"/>
    <col min="5393" max="5462" width="6.7109375" style="414" customWidth="1"/>
    <col min="5463" max="5633" width="9.140625" style="414"/>
    <col min="5634" max="5634" width="2.7109375" style="414" customWidth="1"/>
    <col min="5635" max="5636" width="11.5703125" style="414" customWidth="1"/>
    <col min="5637" max="5637" width="7.28515625" style="414" customWidth="1"/>
    <col min="5638" max="5638" width="9.85546875" style="414" customWidth="1"/>
    <col min="5639" max="5639" width="10.140625" style="414" customWidth="1"/>
    <col min="5640" max="5640" width="11.28515625" style="414" customWidth="1"/>
    <col min="5641" max="5641" width="2.7109375" style="414" customWidth="1"/>
    <col min="5642" max="5642" width="9.42578125" style="414" customWidth="1"/>
    <col min="5643" max="5643" width="2.7109375" style="414" customWidth="1"/>
    <col min="5644" max="5647" width="0" style="414" hidden="1" customWidth="1"/>
    <col min="5648" max="5648" width="10" style="414" customWidth="1"/>
    <col min="5649" max="5718" width="6.7109375" style="414" customWidth="1"/>
    <col min="5719" max="5889" width="9.140625" style="414"/>
    <col min="5890" max="5890" width="2.7109375" style="414" customWidth="1"/>
    <col min="5891" max="5892" width="11.5703125" style="414" customWidth="1"/>
    <col min="5893" max="5893" width="7.28515625" style="414" customWidth="1"/>
    <col min="5894" max="5894" width="9.85546875" style="414" customWidth="1"/>
    <col min="5895" max="5895" width="10.140625" style="414" customWidth="1"/>
    <col min="5896" max="5896" width="11.28515625" style="414" customWidth="1"/>
    <col min="5897" max="5897" width="2.7109375" style="414" customWidth="1"/>
    <col min="5898" max="5898" width="9.42578125" style="414" customWidth="1"/>
    <col min="5899" max="5899" width="2.7109375" style="414" customWidth="1"/>
    <col min="5900" max="5903" width="0" style="414" hidden="1" customWidth="1"/>
    <col min="5904" max="5904" width="10" style="414" customWidth="1"/>
    <col min="5905" max="5974" width="6.7109375" style="414" customWidth="1"/>
    <col min="5975" max="6145" width="9.140625" style="414"/>
    <col min="6146" max="6146" width="2.7109375" style="414" customWidth="1"/>
    <col min="6147" max="6148" width="11.5703125" style="414" customWidth="1"/>
    <col min="6149" max="6149" width="7.28515625" style="414" customWidth="1"/>
    <col min="6150" max="6150" width="9.85546875" style="414" customWidth="1"/>
    <col min="6151" max="6151" width="10.140625" style="414" customWidth="1"/>
    <col min="6152" max="6152" width="11.28515625" style="414" customWidth="1"/>
    <col min="6153" max="6153" width="2.7109375" style="414" customWidth="1"/>
    <col min="6154" max="6154" width="9.42578125" style="414" customWidth="1"/>
    <col min="6155" max="6155" width="2.7109375" style="414" customWidth="1"/>
    <col min="6156" max="6159" width="0" style="414" hidden="1" customWidth="1"/>
    <col min="6160" max="6160" width="10" style="414" customWidth="1"/>
    <col min="6161" max="6230" width="6.7109375" style="414" customWidth="1"/>
    <col min="6231" max="6401" width="9.140625" style="414"/>
    <col min="6402" max="6402" width="2.7109375" style="414" customWidth="1"/>
    <col min="6403" max="6404" width="11.5703125" style="414" customWidth="1"/>
    <col min="6405" max="6405" width="7.28515625" style="414" customWidth="1"/>
    <col min="6406" max="6406" width="9.85546875" style="414" customWidth="1"/>
    <col min="6407" max="6407" width="10.140625" style="414" customWidth="1"/>
    <col min="6408" max="6408" width="11.28515625" style="414" customWidth="1"/>
    <col min="6409" max="6409" width="2.7109375" style="414" customWidth="1"/>
    <col min="6410" max="6410" width="9.42578125" style="414" customWidth="1"/>
    <col min="6411" max="6411" width="2.7109375" style="414" customWidth="1"/>
    <col min="6412" max="6415" width="0" style="414" hidden="1" customWidth="1"/>
    <col min="6416" max="6416" width="10" style="414" customWidth="1"/>
    <col min="6417" max="6486" width="6.7109375" style="414" customWidth="1"/>
    <col min="6487" max="6657" width="9.140625" style="414"/>
    <col min="6658" max="6658" width="2.7109375" style="414" customWidth="1"/>
    <col min="6659" max="6660" width="11.5703125" style="414" customWidth="1"/>
    <col min="6661" max="6661" width="7.28515625" style="414" customWidth="1"/>
    <col min="6662" max="6662" width="9.85546875" style="414" customWidth="1"/>
    <col min="6663" max="6663" width="10.140625" style="414" customWidth="1"/>
    <col min="6664" max="6664" width="11.28515625" style="414" customWidth="1"/>
    <col min="6665" max="6665" width="2.7109375" style="414" customWidth="1"/>
    <col min="6666" max="6666" width="9.42578125" style="414" customWidth="1"/>
    <col min="6667" max="6667" width="2.7109375" style="414" customWidth="1"/>
    <col min="6668" max="6671" width="0" style="414" hidden="1" customWidth="1"/>
    <col min="6672" max="6672" width="10" style="414" customWidth="1"/>
    <col min="6673" max="6742" width="6.7109375" style="414" customWidth="1"/>
    <col min="6743" max="6913" width="9.140625" style="414"/>
    <col min="6914" max="6914" width="2.7109375" style="414" customWidth="1"/>
    <col min="6915" max="6916" width="11.5703125" style="414" customWidth="1"/>
    <col min="6917" max="6917" width="7.28515625" style="414" customWidth="1"/>
    <col min="6918" max="6918" width="9.85546875" style="414" customWidth="1"/>
    <col min="6919" max="6919" width="10.140625" style="414" customWidth="1"/>
    <col min="6920" max="6920" width="11.28515625" style="414" customWidth="1"/>
    <col min="6921" max="6921" width="2.7109375" style="414" customWidth="1"/>
    <col min="6922" max="6922" width="9.42578125" style="414" customWidth="1"/>
    <col min="6923" max="6923" width="2.7109375" style="414" customWidth="1"/>
    <col min="6924" max="6927" width="0" style="414" hidden="1" customWidth="1"/>
    <col min="6928" max="6928" width="10" style="414" customWidth="1"/>
    <col min="6929" max="6998" width="6.7109375" style="414" customWidth="1"/>
    <col min="6999" max="7169" width="9.140625" style="414"/>
    <col min="7170" max="7170" width="2.7109375" style="414" customWidth="1"/>
    <col min="7171" max="7172" width="11.5703125" style="414" customWidth="1"/>
    <col min="7173" max="7173" width="7.28515625" style="414" customWidth="1"/>
    <col min="7174" max="7174" width="9.85546875" style="414" customWidth="1"/>
    <col min="7175" max="7175" width="10.140625" style="414" customWidth="1"/>
    <col min="7176" max="7176" width="11.28515625" style="414" customWidth="1"/>
    <col min="7177" max="7177" width="2.7109375" style="414" customWidth="1"/>
    <col min="7178" max="7178" width="9.42578125" style="414" customWidth="1"/>
    <col min="7179" max="7179" width="2.7109375" style="414" customWidth="1"/>
    <col min="7180" max="7183" width="0" style="414" hidden="1" customWidth="1"/>
    <col min="7184" max="7184" width="10" style="414" customWidth="1"/>
    <col min="7185" max="7254" width="6.7109375" style="414" customWidth="1"/>
    <col min="7255" max="7425" width="9.140625" style="414"/>
    <col min="7426" max="7426" width="2.7109375" style="414" customWidth="1"/>
    <col min="7427" max="7428" width="11.5703125" style="414" customWidth="1"/>
    <col min="7429" max="7429" width="7.28515625" style="414" customWidth="1"/>
    <col min="7430" max="7430" width="9.85546875" style="414" customWidth="1"/>
    <col min="7431" max="7431" width="10.140625" style="414" customWidth="1"/>
    <col min="7432" max="7432" width="11.28515625" style="414" customWidth="1"/>
    <col min="7433" max="7433" width="2.7109375" style="414" customWidth="1"/>
    <col min="7434" max="7434" width="9.42578125" style="414" customWidth="1"/>
    <col min="7435" max="7435" width="2.7109375" style="414" customWidth="1"/>
    <col min="7436" max="7439" width="0" style="414" hidden="1" customWidth="1"/>
    <col min="7440" max="7440" width="10" style="414" customWidth="1"/>
    <col min="7441" max="7510" width="6.7109375" style="414" customWidth="1"/>
    <col min="7511" max="7681" width="9.140625" style="414"/>
    <col min="7682" max="7682" width="2.7109375" style="414" customWidth="1"/>
    <col min="7683" max="7684" width="11.5703125" style="414" customWidth="1"/>
    <col min="7685" max="7685" width="7.28515625" style="414" customWidth="1"/>
    <col min="7686" max="7686" width="9.85546875" style="414" customWidth="1"/>
    <col min="7687" max="7687" width="10.140625" style="414" customWidth="1"/>
    <col min="7688" max="7688" width="11.28515625" style="414" customWidth="1"/>
    <col min="7689" max="7689" width="2.7109375" style="414" customWidth="1"/>
    <col min="7690" max="7690" width="9.42578125" style="414" customWidth="1"/>
    <col min="7691" max="7691" width="2.7109375" style="414" customWidth="1"/>
    <col min="7692" max="7695" width="0" style="414" hidden="1" customWidth="1"/>
    <col min="7696" max="7696" width="10" style="414" customWidth="1"/>
    <col min="7697" max="7766" width="6.7109375" style="414" customWidth="1"/>
    <col min="7767" max="7937" width="9.140625" style="414"/>
    <col min="7938" max="7938" width="2.7109375" style="414" customWidth="1"/>
    <col min="7939" max="7940" width="11.5703125" style="414" customWidth="1"/>
    <col min="7941" max="7941" width="7.28515625" style="414" customWidth="1"/>
    <col min="7942" max="7942" width="9.85546875" style="414" customWidth="1"/>
    <col min="7943" max="7943" width="10.140625" style="414" customWidth="1"/>
    <col min="7944" max="7944" width="11.28515625" style="414" customWidth="1"/>
    <col min="7945" max="7945" width="2.7109375" style="414" customWidth="1"/>
    <col min="7946" max="7946" width="9.42578125" style="414" customWidth="1"/>
    <col min="7947" max="7947" width="2.7109375" style="414" customWidth="1"/>
    <col min="7948" max="7951" width="0" style="414" hidden="1" customWidth="1"/>
    <col min="7952" max="7952" width="10" style="414" customWidth="1"/>
    <col min="7953" max="8022" width="6.7109375" style="414" customWidth="1"/>
    <col min="8023" max="8193" width="9.140625" style="414"/>
    <col min="8194" max="8194" width="2.7109375" style="414" customWidth="1"/>
    <col min="8195" max="8196" width="11.5703125" style="414" customWidth="1"/>
    <col min="8197" max="8197" width="7.28515625" style="414" customWidth="1"/>
    <col min="8198" max="8198" width="9.85546875" style="414" customWidth="1"/>
    <col min="8199" max="8199" width="10.140625" style="414" customWidth="1"/>
    <col min="8200" max="8200" width="11.28515625" style="414" customWidth="1"/>
    <col min="8201" max="8201" width="2.7109375" style="414" customWidth="1"/>
    <col min="8202" max="8202" width="9.42578125" style="414" customWidth="1"/>
    <col min="8203" max="8203" width="2.7109375" style="414" customWidth="1"/>
    <col min="8204" max="8207" width="0" style="414" hidden="1" customWidth="1"/>
    <col min="8208" max="8208" width="10" style="414" customWidth="1"/>
    <col min="8209" max="8278" width="6.7109375" style="414" customWidth="1"/>
    <col min="8279" max="8449" width="9.140625" style="414"/>
    <col min="8450" max="8450" width="2.7109375" style="414" customWidth="1"/>
    <col min="8451" max="8452" width="11.5703125" style="414" customWidth="1"/>
    <col min="8453" max="8453" width="7.28515625" style="414" customWidth="1"/>
    <col min="8454" max="8454" width="9.85546875" style="414" customWidth="1"/>
    <col min="8455" max="8455" width="10.140625" style="414" customWidth="1"/>
    <col min="8456" max="8456" width="11.28515625" style="414" customWidth="1"/>
    <col min="8457" max="8457" width="2.7109375" style="414" customWidth="1"/>
    <col min="8458" max="8458" width="9.42578125" style="414" customWidth="1"/>
    <col min="8459" max="8459" width="2.7109375" style="414" customWidth="1"/>
    <col min="8460" max="8463" width="0" style="414" hidden="1" customWidth="1"/>
    <col min="8464" max="8464" width="10" style="414" customWidth="1"/>
    <col min="8465" max="8534" width="6.7109375" style="414" customWidth="1"/>
    <col min="8535" max="8705" width="9.140625" style="414"/>
    <col min="8706" max="8706" width="2.7109375" style="414" customWidth="1"/>
    <col min="8707" max="8708" width="11.5703125" style="414" customWidth="1"/>
    <col min="8709" max="8709" width="7.28515625" style="414" customWidth="1"/>
    <col min="8710" max="8710" width="9.85546875" style="414" customWidth="1"/>
    <col min="8711" max="8711" width="10.140625" style="414" customWidth="1"/>
    <col min="8712" max="8712" width="11.28515625" style="414" customWidth="1"/>
    <col min="8713" max="8713" width="2.7109375" style="414" customWidth="1"/>
    <col min="8714" max="8714" width="9.42578125" style="414" customWidth="1"/>
    <col min="8715" max="8715" width="2.7109375" style="414" customWidth="1"/>
    <col min="8716" max="8719" width="0" style="414" hidden="1" customWidth="1"/>
    <col min="8720" max="8720" width="10" style="414" customWidth="1"/>
    <col min="8721" max="8790" width="6.7109375" style="414" customWidth="1"/>
    <col min="8791" max="8961" width="9.140625" style="414"/>
    <col min="8962" max="8962" width="2.7109375" style="414" customWidth="1"/>
    <col min="8963" max="8964" width="11.5703125" style="414" customWidth="1"/>
    <col min="8965" max="8965" width="7.28515625" style="414" customWidth="1"/>
    <col min="8966" max="8966" width="9.85546875" style="414" customWidth="1"/>
    <col min="8967" max="8967" width="10.140625" style="414" customWidth="1"/>
    <col min="8968" max="8968" width="11.28515625" style="414" customWidth="1"/>
    <col min="8969" max="8969" width="2.7109375" style="414" customWidth="1"/>
    <col min="8970" max="8970" width="9.42578125" style="414" customWidth="1"/>
    <col min="8971" max="8971" width="2.7109375" style="414" customWidth="1"/>
    <col min="8972" max="8975" width="0" style="414" hidden="1" customWidth="1"/>
    <col min="8976" max="8976" width="10" style="414" customWidth="1"/>
    <col min="8977" max="9046" width="6.7109375" style="414" customWidth="1"/>
    <col min="9047" max="9217" width="9.140625" style="414"/>
    <col min="9218" max="9218" width="2.7109375" style="414" customWidth="1"/>
    <col min="9219" max="9220" width="11.5703125" style="414" customWidth="1"/>
    <col min="9221" max="9221" width="7.28515625" style="414" customWidth="1"/>
    <col min="9222" max="9222" width="9.85546875" style="414" customWidth="1"/>
    <col min="9223" max="9223" width="10.140625" style="414" customWidth="1"/>
    <col min="9224" max="9224" width="11.28515625" style="414" customWidth="1"/>
    <col min="9225" max="9225" width="2.7109375" style="414" customWidth="1"/>
    <col min="9226" max="9226" width="9.42578125" style="414" customWidth="1"/>
    <col min="9227" max="9227" width="2.7109375" style="414" customWidth="1"/>
    <col min="9228" max="9231" width="0" style="414" hidden="1" customWidth="1"/>
    <col min="9232" max="9232" width="10" style="414" customWidth="1"/>
    <col min="9233" max="9302" width="6.7109375" style="414" customWidth="1"/>
    <col min="9303" max="9473" width="9.140625" style="414"/>
    <col min="9474" max="9474" width="2.7109375" style="414" customWidth="1"/>
    <col min="9475" max="9476" width="11.5703125" style="414" customWidth="1"/>
    <col min="9477" max="9477" width="7.28515625" style="414" customWidth="1"/>
    <col min="9478" max="9478" width="9.85546875" style="414" customWidth="1"/>
    <col min="9479" max="9479" width="10.140625" style="414" customWidth="1"/>
    <col min="9480" max="9480" width="11.28515625" style="414" customWidth="1"/>
    <col min="9481" max="9481" width="2.7109375" style="414" customWidth="1"/>
    <col min="9482" max="9482" width="9.42578125" style="414" customWidth="1"/>
    <col min="9483" max="9483" width="2.7109375" style="414" customWidth="1"/>
    <col min="9484" max="9487" width="0" style="414" hidden="1" customWidth="1"/>
    <col min="9488" max="9488" width="10" style="414" customWidth="1"/>
    <col min="9489" max="9558" width="6.7109375" style="414" customWidth="1"/>
    <col min="9559" max="9729" width="9.140625" style="414"/>
    <col min="9730" max="9730" width="2.7109375" style="414" customWidth="1"/>
    <col min="9731" max="9732" width="11.5703125" style="414" customWidth="1"/>
    <col min="9733" max="9733" width="7.28515625" style="414" customWidth="1"/>
    <col min="9734" max="9734" width="9.85546875" style="414" customWidth="1"/>
    <col min="9735" max="9735" width="10.140625" style="414" customWidth="1"/>
    <col min="9736" max="9736" width="11.28515625" style="414" customWidth="1"/>
    <col min="9737" max="9737" width="2.7109375" style="414" customWidth="1"/>
    <col min="9738" max="9738" width="9.42578125" style="414" customWidth="1"/>
    <col min="9739" max="9739" width="2.7109375" style="414" customWidth="1"/>
    <col min="9740" max="9743" width="0" style="414" hidden="1" customWidth="1"/>
    <col min="9744" max="9744" width="10" style="414" customWidth="1"/>
    <col min="9745" max="9814" width="6.7109375" style="414" customWidth="1"/>
    <col min="9815" max="9985" width="9.140625" style="414"/>
    <col min="9986" max="9986" width="2.7109375" style="414" customWidth="1"/>
    <col min="9987" max="9988" width="11.5703125" style="414" customWidth="1"/>
    <col min="9989" max="9989" width="7.28515625" style="414" customWidth="1"/>
    <col min="9990" max="9990" width="9.85546875" style="414" customWidth="1"/>
    <col min="9991" max="9991" width="10.140625" style="414" customWidth="1"/>
    <col min="9992" max="9992" width="11.28515625" style="414" customWidth="1"/>
    <col min="9993" max="9993" width="2.7109375" style="414" customWidth="1"/>
    <col min="9994" max="9994" width="9.42578125" style="414" customWidth="1"/>
    <col min="9995" max="9995" width="2.7109375" style="414" customWidth="1"/>
    <col min="9996" max="9999" width="0" style="414" hidden="1" customWidth="1"/>
    <col min="10000" max="10000" width="10" style="414" customWidth="1"/>
    <col min="10001" max="10070" width="6.7109375" style="414" customWidth="1"/>
    <col min="10071" max="10241" width="9.140625" style="414"/>
    <col min="10242" max="10242" width="2.7109375" style="414" customWidth="1"/>
    <col min="10243" max="10244" width="11.5703125" style="414" customWidth="1"/>
    <col min="10245" max="10245" width="7.28515625" style="414" customWidth="1"/>
    <col min="10246" max="10246" width="9.85546875" style="414" customWidth="1"/>
    <col min="10247" max="10247" width="10.140625" style="414" customWidth="1"/>
    <col min="10248" max="10248" width="11.28515625" style="414" customWidth="1"/>
    <col min="10249" max="10249" width="2.7109375" style="414" customWidth="1"/>
    <col min="10250" max="10250" width="9.42578125" style="414" customWidth="1"/>
    <col min="10251" max="10251" width="2.7109375" style="414" customWidth="1"/>
    <col min="10252" max="10255" width="0" style="414" hidden="1" customWidth="1"/>
    <col min="10256" max="10256" width="10" style="414" customWidth="1"/>
    <col min="10257" max="10326" width="6.7109375" style="414" customWidth="1"/>
    <col min="10327" max="10497" width="9.140625" style="414"/>
    <col min="10498" max="10498" width="2.7109375" style="414" customWidth="1"/>
    <col min="10499" max="10500" width="11.5703125" style="414" customWidth="1"/>
    <col min="10501" max="10501" width="7.28515625" style="414" customWidth="1"/>
    <col min="10502" max="10502" width="9.85546875" style="414" customWidth="1"/>
    <col min="10503" max="10503" width="10.140625" style="414" customWidth="1"/>
    <col min="10504" max="10504" width="11.28515625" style="414" customWidth="1"/>
    <col min="10505" max="10505" width="2.7109375" style="414" customWidth="1"/>
    <col min="10506" max="10506" width="9.42578125" style="414" customWidth="1"/>
    <col min="10507" max="10507" width="2.7109375" style="414" customWidth="1"/>
    <col min="10508" max="10511" width="0" style="414" hidden="1" customWidth="1"/>
    <col min="10512" max="10512" width="10" style="414" customWidth="1"/>
    <col min="10513" max="10582" width="6.7109375" style="414" customWidth="1"/>
    <col min="10583" max="10753" width="9.140625" style="414"/>
    <col min="10754" max="10754" width="2.7109375" style="414" customWidth="1"/>
    <col min="10755" max="10756" width="11.5703125" style="414" customWidth="1"/>
    <col min="10757" max="10757" width="7.28515625" style="414" customWidth="1"/>
    <col min="10758" max="10758" width="9.85546875" style="414" customWidth="1"/>
    <col min="10759" max="10759" width="10.140625" style="414" customWidth="1"/>
    <col min="10760" max="10760" width="11.28515625" style="414" customWidth="1"/>
    <col min="10761" max="10761" width="2.7109375" style="414" customWidth="1"/>
    <col min="10762" max="10762" width="9.42578125" style="414" customWidth="1"/>
    <col min="10763" max="10763" width="2.7109375" style="414" customWidth="1"/>
    <col min="10764" max="10767" width="0" style="414" hidden="1" customWidth="1"/>
    <col min="10768" max="10768" width="10" style="414" customWidth="1"/>
    <col min="10769" max="10838" width="6.7109375" style="414" customWidth="1"/>
    <col min="10839" max="11009" width="9.140625" style="414"/>
    <col min="11010" max="11010" width="2.7109375" style="414" customWidth="1"/>
    <col min="11011" max="11012" width="11.5703125" style="414" customWidth="1"/>
    <col min="11013" max="11013" width="7.28515625" style="414" customWidth="1"/>
    <col min="11014" max="11014" width="9.85546875" style="414" customWidth="1"/>
    <col min="11015" max="11015" width="10.140625" style="414" customWidth="1"/>
    <col min="11016" max="11016" width="11.28515625" style="414" customWidth="1"/>
    <col min="11017" max="11017" width="2.7109375" style="414" customWidth="1"/>
    <col min="11018" max="11018" width="9.42578125" style="414" customWidth="1"/>
    <col min="11019" max="11019" width="2.7109375" style="414" customWidth="1"/>
    <col min="11020" max="11023" width="0" style="414" hidden="1" customWidth="1"/>
    <col min="11024" max="11024" width="10" style="414" customWidth="1"/>
    <col min="11025" max="11094" width="6.7109375" style="414" customWidth="1"/>
    <col min="11095" max="11265" width="9.140625" style="414"/>
    <col min="11266" max="11266" width="2.7109375" style="414" customWidth="1"/>
    <col min="11267" max="11268" width="11.5703125" style="414" customWidth="1"/>
    <col min="11269" max="11269" width="7.28515625" style="414" customWidth="1"/>
    <col min="11270" max="11270" width="9.85546875" style="414" customWidth="1"/>
    <col min="11271" max="11271" width="10.140625" style="414" customWidth="1"/>
    <col min="11272" max="11272" width="11.28515625" style="414" customWidth="1"/>
    <col min="11273" max="11273" width="2.7109375" style="414" customWidth="1"/>
    <col min="11274" max="11274" width="9.42578125" style="414" customWidth="1"/>
    <col min="11275" max="11275" width="2.7109375" style="414" customWidth="1"/>
    <col min="11276" max="11279" width="0" style="414" hidden="1" customWidth="1"/>
    <col min="11280" max="11280" width="10" style="414" customWidth="1"/>
    <col min="11281" max="11350" width="6.7109375" style="414" customWidth="1"/>
    <col min="11351" max="11521" width="9.140625" style="414"/>
    <col min="11522" max="11522" width="2.7109375" style="414" customWidth="1"/>
    <col min="11523" max="11524" width="11.5703125" style="414" customWidth="1"/>
    <col min="11525" max="11525" width="7.28515625" style="414" customWidth="1"/>
    <col min="11526" max="11526" width="9.85546875" style="414" customWidth="1"/>
    <col min="11527" max="11527" width="10.140625" style="414" customWidth="1"/>
    <col min="11528" max="11528" width="11.28515625" style="414" customWidth="1"/>
    <col min="11529" max="11529" width="2.7109375" style="414" customWidth="1"/>
    <col min="11530" max="11530" width="9.42578125" style="414" customWidth="1"/>
    <col min="11531" max="11531" width="2.7109375" style="414" customWidth="1"/>
    <col min="11532" max="11535" width="0" style="414" hidden="1" customWidth="1"/>
    <col min="11536" max="11536" width="10" style="414" customWidth="1"/>
    <col min="11537" max="11606" width="6.7109375" style="414" customWidth="1"/>
    <col min="11607" max="11777" width="9.140625" style="414"/>
    <col min="11778" max="11778" width="2.7109375" style="414" customWidth="1"/>
    <col min="11779" max="11780" width="11.5703125" style="414" customWidth="1"/>
    <col min="11781" max="11781" width="7.28515625" style="414" customWidth="1"/>
    <col min="11782" max="11782" width="9.85546875" style="414" customWidth="1"/>
    <col min="11783" max="11783" width="10.140625" style="414" customWidth="1"/>
    <col min="11784" max="11784" width="11.28515625" style="414" customWidth="1"/>
    <col min="11785" max="11785" width="2.7109375" style="414" customWidth="1"/>
    <col min="11786" max="11786" width="9.42578125" style="414" customWidth="1"/>
    <col min="11787" max="11787" width="2.7109375" style="414" customWidth="1"/>
    <col min="11788" max="11791" width="0" style="414" hidden="1" customWidth="1"/>
    <col min="11792" max="11792" width="10" style="414" customWidth="1"/>
    <col min="11793" max="11862" width="6.7109375" style="414" customWidth="1"/>
    <col min="11863" max="12033" width="9.140625" style="414"/>
    <col min="12034" max="12034" width="2.7109375" style="414" customWidth="1"/>
    <col min="12035" max="12036" width="11.5703125" style="414" customWidth="1"/>
    <col min="12037" max="12037" width="7.28515625" style="414" customWidth="1"/>
    <col min="12038" max="12038" width="9.85546875" style="414" customWidth="1"/>
    <col min="12039" max="12039" width="10.140625" style="414" customWidth="1"/>
    <col min="12040" max="12040" width="11.28515625" style="414" customWidth="1"/>
    <col min="12041" max="12041" width="2.7109375" style="414" customWidth="1"/>
    <col min="12042" max="12042" width="9.42578125" style="414" customWidth="1"/>
    <col min="12043" max="12043" width="2.7109375" style="414" customWidth="1"/>
    <col min="12044" max="12047" width="0" style="414" hidden="1" customWidth="1"/>
    <col min="12048" max="12048" width="10" style="414" customWidth="1"/>
    <col min="12049" max="12118" width="6.7109375" style="414" customWidth="1"/>
    <col min="12119" max="12289" width="9.140625" style="414"/>
    <col min="12290" max="12290" width="2.7109375" style="414" customWidth="1"/>
    <col min="12291" max="12292" width="11.5703125" style="414" customWidth="1"/>
    <col min="12293" max="12293" width="7.28515625" style="414" customWidth="1"/>
    <col min="12294" max="12294" width="9.85546875" style="414" customWidth="1"/>
    <col min="12295" max="12295" width="10.140625" style="414" customWidth="1"/>
    <col min="12296" max="12296" width="11.28515625" style="414" customWidth="1"/>
    <col min="12297" max="12297" width="2.7109375" style="414" customWidth="1"/>
    <col min="12298" max="12298" width="9.42578125" style="414" customWidth="1"/>
    <col min="12299" max="12299" width="2.7109375" style="414" customWidth="1"/>
    <col min="12300" max="12303" width="0" style="414" hidden="1" customWidth="1"/>
    <col min="12304" max="12304" width="10" style="414" customWidth="1"/>
    <col min="12305" max="12374" width="6.7109375" style="414" customWidth="1"/>
    <col min="12375" max="12545" width="9.140625" style="414"/>
    <col min="12546" max="12546" width="2.7109375" style="414" customWidth="1"/>
    <col min="12547" max="12548" width="11.5703125" style="414" customWidth="1"/>
    <col min="12549" max="12549" width="7.28515625" style="414" customWidth="1"/>
    <col min="12550" max="12550" width="9.85546875" style="414" customWidth="1"/>
    <col min="12551" max="12551" width="10.140625" style="414" customWidth="1"/>
    <col min="12552" max="12552" width="11.28515625" style="414" customWidth="1"/>
    <col min="12553" max="12553" width="2.7109375" style="414" customWidth="1"/>
    <col min="12554" max="12554" width="9.42578125" style="414" customWidth="1"/>
    <col min="12555" max="12555" width="2.7109375" style="414" customWidth="1"/>
    <col min="12556" max="12559" width="0" style="414" hidden="1" customWidth="1"/>
    <col min="12560" max="12560" width="10" style="414" customWidth="1"/>
    <col min="12561" max="12630" width="6.7109375" style="414" customWidth="1"/>
    <col min="12631" max="12801" width="9.140625" style="414"/>
    <col min="12802" max="12802" width="2.7109375" style="414" customWidth="1"/>
    <col min="12803" max="12804" width="11.5703125" style="414" customWidth="1"/>
    <col min="12805" max="12805" width="7.28515625" style="414" customWidth="1"/>
    <col min="12806" max="12806" width="9.85546875" style="414" customWidth="1"/>
    <col min="12807" max="12807" width="10.140625" style="414" customWidth="1"/>
    <col min="12808" max="12808" width="11.28515625" style="414" customWidth="1"/>
    <col min="12809" max="12809" width="2.7109375" style="414" customWidth="1"/>
    <col min="12810" max="12810" width="9.42578125" style="414" customWidth="1"/>
    <col min="12811" max="12811" width="2.7109375" style="414" customWidth="1"/>
    <col min="12812" max="12815" width="0" style="414" hidden="1" customWidth="1"/>
    <col min="12816" max="12816" width="10" style="414" customWidth="1"/>
    <col min="12817" max="12886" width="6.7109375" style="414" customWidth="1"/>
    <col min="12887" max="13057" width="9.140625" style="414"/>
    <col min="13058" max="13058" width="2.7109375" style="414" customWidth="1"/>
    <col min="13059" max="13060" width="11.5703125" style="414" customWidth="1"/>
    <col min="13061" max="13061" width="7.28515625" style="414" customWidth="1"/>
    <col min="13062" max="13062" width="9.85546875" style="414" customWidth="1"/>
    <col min="13063" max="13063" width="10.140625" style="414" customWidth="1"/>
    <col min="13064" max="13064" width="11.28515625" style="414" customWidth="1"/>
    <col min="13065" max="13065" width="2.7109375" style="414" customWidth="1"/>
    <col min="13066" max="13066" width="9.42578125" style="414" customWidth="1"/>
    <col min="13067" max="13067" width="2.7109375" style="414" customWidth="1"/>
    <col min="13068" max="13071" width="0" style="414" hidden="1" customWidth="1"/>
    <col min="13072" max="13072" width="10" style="414" customWidth="1"/>
    <col min="13073" max="13142" width="6.7109375" style="414" customWidth="1"/>
    <col min="13143" max="13313" width="9.140625" style="414"/>
    <col min="13314" max="13314" width="2.7109375" style="414" customWidth="1"/>
    <col min="13315" max="13316" width="11.5703125" style="414" customWidth="1"/>
    <col min="13317" max="13317" width="7.28515625" style="414" customWidth="1"/>
    <col min="13318" max="13318" width="9.85546875" style="414" customWidth="1"/>
    <col min="13319" max="13319" width="10.140625" style="414" customWidth="1"/>
    <col min="13320" max="13320" width="11.28515625" style="414" customWidth="1"/>
    <col min="13321" max="13321" width="2.7109375" style="414" customWidth="1"/>
    <col min="13322" max="13322" width="9.42578125" style="414" customWidth="1"/>
    <col min="13323" max="13323" width="2.7109375" style="414" customWidth="1"/>
    <col min="13324" max="13327" width="0" style="414" hidden="1" customWidth="1"/>
    <col min="13328" max="13328" width="10" style="414" customWidth="1"/>
    <col min="13329" max="13398" width="6.7109375" style="414" customWidth="1"/>
    <col min="13399" max="13569" width="9.140625" style="414"/>
    <col min="13570" max="13570" width="2.7109375" style="414" customWidth="1"/>
    <col min="13571" max="13572" width="11.5703125" style="414" customWidth="1"/>
    <col min="13573" max="13573" width="7.28515625" style="414" customWidth="1"/>
    <col min="13574" max="13574" width="9.85546875" style="414" customWidth="1"/>
    <col min="13575" max="13575" width="10.140625" style="414" customWidth="1"/>
    <col min="13576" max="13576" width="11.28515625" style="414" customWidth="1"/>
    <col min="13577" max="13577" width="2.7109375" style="414" customWidth="1"/>
    <col min="13578" max="13578" width="9.42578125" style="414" customWidth="1"/>
    <col min="13579" max="13579" width="2.7109375" style="414" customWidth="1"/>
    <col min="13580" max="13583" width="0" style="414" hidden="1" customWidth="1"/>
    <col min="13584" max="13584" width="10" style="414" customWidth="1"/>
    <col min="13585" max="13654" width="6.7109375" style="414" customWidth="1"/>
    <col min="13655" max="13825" width="9.140625" style="414"/>
    <col min="13826" max="13826" width="2.7109375" style="414" customWidth="1"/>
    <col min="13827" max="13828" width="11.5703125" style="414" customWidth="1"/>
    <col min="13829" max="13829" width="7.28515625" style="414" customWidth="1"/>
    <col min="13830" max="13830" width="9.85546875" style="414" customWidth="1"/>
    <col min="13831" max="13831" width="10.140625" style="414" customWidth="1"/>
    <col min="13832" max="13832" width="11.28515625" style="414" customWidth="1"/>
    <col min="13833" max="13833" width="2.7109375" style="414" customWidth="1"/>
    <col min="13834" max="13834" width="9.42578125" style="414" customWidth="1"/>
    <col min="13835" max="13835" width="2.7109375" style="414" customWidth="1"/>
    <col min="13836" max="13839" width="0" style="414" hidden="1" customWidth="1"/>
    <col min="13840" max="13840" width="10" style="414" customWidth="1"/>
    <col min="13841" max="13910" width="6.7109375" style="414" customWidth="1"/>
    <col min="13911" max="14081" width="9.140625" style="414"/>
    <col min="14082" max="14082" width="2.7109375" style="414" customWidth="1"/>
    <col min="14083" max="14084" width="11.5703125" style="414" customWidth="1"/>
    <col min="14085" max="14085" width="7.28515625" style="414" customWidth="1"/>
    <col min="14086" max="14086" width="9.85546875" style="414" customWidth="1"/>
    <col min="14087" max="14087" width="10.140625" style="414" customWidth="1"/>
    <col min="14088" max="14088" width="11.28515625" style="414" customWidth="1"/>
    <col min="14089" max="14089" width="2.7109375" style="414" customWidth="1"/>
    <col min="14090" max="14090" width="9.42578125" style="414" customWidth="1"/>
    <col min="14091" max="14091" width="2.7109375" style="414" customWidth="1"/>
    <col min="14092" max="14095" width="0" style="414" hidden="1" customWidth="1"/>
    <col min="14096" max="14096" width="10" style="414" customWidth="1"/>
    <col min="14097" max="14166" width="6.7109375" style="414" customWidth="1"/>
    <col min="14167" max="14337" width="9.140625" style="414"/>
    <col min="14338" max="14338" width="2.7109375" style="414" customWidth="1"/>
    <col min="14339" max="14340" width="11.5703125" style="414" customWidth="1"/>
    <col min="14341" max="14341" width="7.28515625" style="414" customWidth="1"/>
    <col min="14342" max="14342" width="9.85546875" style="414" customWidth="1"/>
    <col min="14343" max="14343" width="10.140625" style="414" customWidth="1"/>
    <col min="14344" max="14344" width="11.28515625" style="414" customWidth="1"/>
    <col min="14345" max="14345" width="2.7109375" style="414" customWidth="1"/>
    <col min="14346" max="14346" width="9.42578125" style="414" customWidth="1"/>
    <col min="14347" max="14347" width="2.7109375" style="414" customWidth="1"/>
    <col min="14348" max="14351" width="0" style="414" hidden="1" customWidth="1"/>
    <col min="14352" max="14352" width="10" style="414" customWidth="1"/>
    <col min="14353" max="14422" width="6.7109375" style="414" customWidth="1"/>
    <col min="14423" max="14593" width="9.140625" style="414"/>
    <col min="14594" max="14594" width="2.7109375" style="414" customWidth="1"/>
    <col min="14595" max="14596" width="11.5703125" style="414" customWidth="1"/>
    <col min="14597" max="14597" width="7.28515625" style="414" customWidth="1"/>
    <col min="14598" max="14598" width="9.85546875" style="414" customWidth="1"/>
    <col min="14599" max="14599" width="10.140625" style="414" customWidth="1"/>
    <col min="14600" max="14600" width="11.28515625" style="414" customWidth="1"/>
    <col min="14601" max="14601" width="2.7109375" style="414" customWidth="1"/>
    <col min="14602" max="14602" width="9.42578125" style="414" customWidth="1"/>
    <col min="14603" max="14603" width="2.7109375" style="414" customWidth="1"/>
    <col min="14604" max="14607" width="0" style="414" hidden="1" customWidth="1"/>
    <col min="14608" max="14608" width="10" style="414" customWidth="1"/>
    <col min="14609" max="14678" width="6.7109375" style="414" customWidth="1"/>
    <col min="14679" max="14849" width="9.140625" style="414"/>
    <col min="14850" max="14850" width="2.7109375" style="414" customWidth="1"/>
    <col min="14851" max="14852" width="11.5703125" style="414" customWidth="1"/>
    <col min="14853" max="14853" width="7.28515625" style="414" customWidth="1"/>
    <col min="14854" max="14854" width="9.85546875" style="414" customWidth="1"/>
    <col min="14855" max="14855" width="10.140625" style="414" customWidth="1"/>
    <col min="14856" max="14856" width="11.28515625" style="414" customWidth="1"/>
    <col min="14857" max="14857" width="2.7109375" style="414" customWidth="1"/>
    <col min="14858" max="14858" width="9.42578125" style="414" customWidth="1"/>
    <col min="14859" max="14859" width="2.7109375" style="414" customWidth="1"/>
    <col min="14860" max="14863" width="0" style="414" hidden="1" customWidth="1"/>
    <col min="14864" max="14864" width="10" style="414" customWidth="1"/>
    <col min="14865" max="14934" width="6.7109375" style="414" customWidth="1"/>
    <col min="14935" max="15105" width="9.140625" style="414"/>
    <col min="15106" max="15106" width="2.7109375" style="414" customWidth="1"/>
    <col min="15107" max="15108" width="11.5703125" style="414" customWidth="1"/>
    <col min="15109" max="15109" width="7.28515625" style="414" customWidth="1"/>
    <col min="15110" max="15110" width="9.85546875" style="414" customWidth="1"/>
    <col min="15111" max="15111" width="10.140625" style="414" customWidth="1"/>
    <col min="15112" max="15112" width="11.28515625" style="414" customWidth="1"/>
    <col min="15113" max="15113" width="2.7109375" style="414" customWidth="1"/>
    <col min="15114" max="15114" width="9.42578125" style="414" customWidth="1"/>
    <col min="15115" max="15115" width="2.7109375" style="414" customWidth="1"/>
    <col min="15116" max="15119" width="0" style="414" hidden="1" customWidth="1"/>
    <col min="15120" max="15120" width="10" style="414" customWidth="1"/>
    <col min="15121" max="15190" width="6.7109375" style="414" customWidth="1"/>
    <col min="15191" max="15361" width="9.140625" style="414"/>
    <col min="15362" max="15362" width="2.7109375" style="414" customWidth="1"/>
    <col min="15363" max="15364" width="11.5703125" style="414" customWidth="1"/>
    <col min="15365" max="15365" width="7.28515625" style="414" customWidth="1"/>
    <col min="15366" max="15366" width="9.85546875" style="414" customWidth="1"/>
    <col min="15367" max="15367" width="10.140625" style="414" customWidth="1"/>
    <col min="15368" max="15368" width="11.28515625" style="414" customWidth="1"/>
    <col min="15369" max="15369" width="2.7109375" style="414" customWidth="1"/>
    <col min="15370" max="15370" width="9.42578125" style="414" customWidth="1"/>
    <col min="15371" max="15371" width="2.7109375" style="414" customWidth="1"/>
    <col min="15372" max="15375" width="0" style="414" hidden="1" customWidth="1"/>
    <col min="15376" max="15376" width="10" style="414" customWidth="1"/>
    <col min="15377" max="15446" width="6.7109375" style="414" customWidth="1"/>
    <col min="15447" max="15617" width="9.140625" style="414"/>
    <col min="15618" max="15618" width="2.7109375" style="414" customWidth="1"/>
    <col min="15619" max="15620" width="11.5703125" style="414" customWidth="1"/>
    <col min="15621" max="15621" width="7.28515625" style="414" customWidth="1"/>
    <col min="15622" max="15622" width="9.85546875" style="414" customWidth="1"/>
    <col min="15623" max="15623" width="10.140625" style="414" customWidth="1"/>
    <col min="15624" max="15624" width="11.28515625" style="414" customWidth="1"/>
    <col min="15625" max="15625" width="2.7109375" style="414" customWidth="1"/>
    <col min="15626" max="15626" width="9.42578125" style="414" customWidth="1"/>
    <col min="15627" max="15627" width="2.7109375" style="414" customWidth="1"/>
    <col min="15628" max="15631" width="0" style="414" hidden="1" customWidth="1"/>
    <col min="15632" max="15632" width="10" style="414" customWidth="1"/>
    <col min="15633" max="15702" width="6.7109375" style="414" customWidth="1"/>
    <col min="15703" max="15873" width="9.140625" style="414"/>
    <col min="15874" max="15874" width="2.7109375" style="414" customWidth="1"/>
    <col min="15875" max="15876" width="11.5703125" style="414" customWidth="1"/>
    <col min="15877" max="15877" width="7.28515625" style="414" customWidth="1"/>
    <col min="15878" max="15878" width="9.85546875" style="414" customWidth="1"/>
    <col min="15879" max="15879" width="10.140625" style="414" customWidth="1"/>
    <col min="15880" max="15880" width="11.28515625" style="414" customWidth="1"/>
    <col min="15881" max="15881" width="2.7109375" style="414" customWidth="1"/>
    <col min="15882" max="15882" width="9.42578125" style="414" customWidth="1"/>
    <col min="15883" max="15883" width="2.7109375" style="414" customWidth="1"/>
    <col min="15884" max="15887" width="0" style="414" hidden="1" customWidth="1"/>
    <col min="15888" max="15888" width="10" style="414" customWidth="1"/>
    <col min="15889" max="15958" width="6.7109375" style="414" customWidth="1"/>
    <col min="15959" max="16129" width="9.140625" style="414"/>
    <col min="16130" max="16130" width="2.7109375" style="414" customWidth="1"/>
    <col min="16131" max="16132" width="11.5703125" style="414" customWidth="1"/>
    <col min="16133" max="16133" width="7.28515625" style="414" customWidth="1"/>
    <col min="16134" max="16134" width="9.85546875" style="414" customWidth="1"/>
    <col min="16135" max="16135" width="10.140625" style="414" customWidth="1"/>
    <col min="16136" max="16136" width="11.28515625" style="414" customWidth="1"/>
    <col min="16137" max="16137" width="2.7109375" style="414" customWidth="1"/>
    <col min="16138" max="16138" width="9.42578125" style="414" customWidth="1"/>
    <col min="16139" max="16139" width="2.7109375" style="414" customWidth="1"/>
    <col min="16140" max="16143" width="0" style="414" hidden="1" customWidth="1"/>
    <col min="16144" max="16144" width="10" style="414" customWidth="1"/>
    <col min="16145" max="16214" width="6.7109375" style="414" customWidth="1"/>
    <col min="16215" max="16384" width="9.140625" style="414"/>
  </cols>
  <sheetData>
    <row r="1" spans="1:81" ht="12.75" customHeight="1">
      <c r="B1" s="95" t="s">
        <v>748</v>
      </c>
      <c r="C1" s="441">
        <f>ROUND(ValueDate,0)</f>
        <v>42696</v>
      </c>
      <c r="D1" s="95" t="s">
        <v>623</v>
      </c>
      <c r="E1" s="441">
        <f>ROUND(today,0)</f>
        <v>42692</v>
      </c>
      <c r="F1" s="95" t="s">
        <v>5149</v>
      </c>
      <c r="G1" s="473" t="s">
        <v>5150</v>
      </c>
      <c r="I1" s="94"/>
      <c r="J1" s="94"/>
      <c r="S1" s="294"/>
      <c r="T1" s="456"/>
      <c r="AO1" s="53"/>
    </row>
    <row r="3" spans="1:81" ht="18">
      <c r="A3" s="108"/>
      <c r="B3" s="587" t="s">
        <v>232</v>
      </c>
      <c r="C3" s="587"/>
      <c r="D3" s="587"/>
      <c r="E3" s="587"/>
      <c r="F3" s="587"/>
      <c r="G3" s="587"/>
      <c r="H3" s="587"/>
      <c r="I3" s="587"/>
      <c r="J3" s="587"/>
      <c r="K3" s="587"/>
      <c r="M3" s="474"/>
      <c r="N3" s="470" t="s">
        <v>239</v>
      </c>
    </row>
    <row r="4" spans="1:81" ht="12.75" customHeight="1">
      <c r="A4" s="108"/>
      <c r="B4" s="588" t="s">
        <v>233</v>
      </c>
      <c r="C4" s="589"/>
      <c r="D4" s="589"/>
      <c r="E4" s="589"/>
      <c r="F4" s="589"/>
      <c r="G4" s="589"/>
      <c r="H4" s="590"/>
      <c r="I4" s="589" t="s">
        <v>234</v>
      </c>
      <c r="J4" s="589"/>
      <c r="K4" s="589"/>
      <c r="M4" s="475"/>
      <c r="N4" s="591" t="s">
        <v>5154</v>
      </c>
      <c r="P4" s="98" t="s">
        <v>235</v>
      </c>
      <c r="Q4" s="99" t="str">
        <f t="array" ref="Q4:CC4">TRANSPOSE(I6:I67&amp;"")</f>
        <v>O/N</v>
      </c>
      <c r="R4" s="99" t="str">
        <v>T/N</v>
      </c>
      <c r="S4" s="99" t="str">
        <v>S/N</v>
      </c>
      <c r="T4" s="99" t="str">
        <v>1W</v>
      </c>
      <c r="U4" s="99" t="str">
        <v>2W</v>
      </c>
      <c r="V4" s="99" t="str">
        <v>3W</v>
      </c>
      <c r="W4" s="99" t="str">
        <v>1M</v>
      </c>
      <c r="X4" s="99" t="str">
        <v>2M</v>
      </c>
      <c r="Y4" s="99" t="str">
        <v>3M</v>
      </c>
      <c r="Z4" s="99" t="str">
        <v>4M</v>
      </c>
      <c r="AA4" s="99" t="str">
        <v>5M</v>
      </c>
      <c r="AB4" s="99" t="str">
        <v>6M</v>
      </c>
      <c r="AC4" s="99" t="str">
        <v>7M</v>
      </c>
      <c r="AD4" s="99" t="str">
        <v>8M</v>
      </c>
      <c r="AE4" s="99" t="str">
        <v>9M</v>
      </c>
      <c r="AF4" s="99" t="str">
        <v>10M</v>
      </c>
      <c r="AG4" s="99" t="str">
        <v>11M</v>
      </c>
      <c r="AH4" s="99" t="str">
        <v>1Y</v>
      </c>
      <c r="AI4" s="99" t="str">
        <v>13M</v>
      </c>
      <c r="AJ4" s="99" t="str">
        <v>14M</v>
      </c>
      <c r="AK4" s="99" t="str">
        <v>15M</v>
      </c>
      <c r="AL4" s="99" t="str">
        <v>16M</v>
      </c>
      <c r="AM4" s="99" t="str">
        <v>17M</v>
      </c>
      <c r="AN4" s="99" t="str">
        <v>18M</v>
      </c>
      <c r="AO4" s="99" t="str">
        <v>19M</v>
      </c>
      <c r="AP4" s="99" t="str">
        <v>20M</v>
      </c>
      <c r="AQ4" s="99" t="str">
        <v>21M</v>
      </c>
      <c r="AR4" s="99" t="str">
        <v>22M</v>
      </c>
      <c r="AS4" s="99" t="str">
        <v>23M</v>
      </c>
      <c r="AT4" s="99" t="str">
        <v>2Y</v>
      </c>
      <c r="AU4" s="99" t="str">
        <v>3Y</v>
      </c>
      <c r="AV4" s="99" t="str">
        <v>4Y</v>
      </c>
      <c r="AW4" s="99" t="str">
        <v>5Y</v>
      </c>
      <c r="AX4" s="99" t="str">
        <v>6Y</v>
      </c>
      <c r="AY4" s="99" t="str">
        <v>7Y</v>
      </c>
      <c r="AZ4" s="99" t="str">
        <v>8Y</v>
      </c>
      <c r="BA4" s="99" t="str">
        <v>9Y</v>
      </c>
      <c r="BB4" s="99" t="str">
        <v>10Y</v>
      </c>
      <c r="BC4" s="99" t="str">
        <v>11Y</v>
      </c>
      <c r="BD4" s="99" t="str">
        <v>12Y</v>
      </c>
      <c r="BE4" s="99" t="str">
        <v>13Y</v>
      </c>
      <c r="BF4" s="99" t="str">
        <v>14Y</v>
      </c>
      <c r="BG4" s="99" t="str">
        <v>15Y</v>
      </c>
      <c r="BH4" s="99" t="str">
        <v>16Y</v>
      </c>
      <c r="BI4" s="99" t="str">
        <v>17Y</v>
      </c>
      <c r="BJ4" s="99" t="str">
        <v>18Y</v>
      </c>
      <c r="BK4" s="99" t="str">
        <v>19Y</v>
      </c>
      <c r="BL4" s="99" t="str">
        <v>20Y</v>
      </c>
      <c r="BM4" s="99" t="str">
        <v>21Y</v>
      </c>
      <c r="BN4" s="99" t="str">
        <v>22Y</v>
      </c>
      <c r="BO4" s="99" t="str">
        <v>23Y</v>
      </c>
      <c r="BP4" s="99" t="str">
        <v>24Y</v>
      </c>
      <c r="BQ4" s="99" t="str">
        <v>25Y</v>
      </c>
      <c r="BR4" s="99" t="str">
        <v>26Y</v>
      </c>
      <c r="BS4" s="99" t="str">
        <v>27Y</v>
      </c>
      <c r="BT4" s="99" t="str">
        <v>28Y</v>
      </c>
      <c r="BU4" s="99" t="str">
        <v>29Y</v>
      </c>
      <c r="BV4" s="99" t="str">
        <v>30Y</v>
      </c>
      <c r="BW4" s="99" t="str">
        <v>35Y</v>
      </c>
      <c r="BX4" s="99" t="str">
        <v>40Y</v>
      </c>
      <c r="BY4" s="99" t="str">
        <v>50Y</v>
      </c>
      <c r="BZ4" s="99" t="str">
        <v>60Y</v>
      </c>
      <c r="CA4" s="99" t="e">
        <v>#N/A</v>
      </c>
      <c r="CB4" s="99" t="e">
        <v>#N/A</v>
      </c>
      <c r="CC4" s="99" t="e">
        <v>#N/A</v>
      </c>
    </row>
    <row r="5" spans="1:81" ht="44.25">
      <c r="A5" s="108" t="s">
        <v>236</v>
      </c>
      <c r="B5" s="263" t="s">
        <v>195</v>
      </c>
      <c r="C5" s="471" t="s">
        <v>237</v>
      </c>
      <c r="D5" s="101" t="s">
        <v>240</v>
      </c>
      <c r="E5" s="101" t="s">
        <v>5144</v>
      </c>
      <c r="F5" s="101" t="s">
        <v>5143</v>
      </c>
      <c r="G5" s="101" t="s">
        <v>5151</v>
      </c>
      <c r="H5" s="101" t="s">
        <v>5145</v>
      </c>
      <c r="I5" s="472" t="s">
        <v>5142</v>
      </c>
      <c r="J5" s="109" t="s">
        <v>240</v>
      </c>
      <c r="K5" s="101" t="s">
        <v>231</v>
      </c>
      <c r="M5" s="476"/>
      <c r="N5" s="591"/>
      <c r="P5" s="469" t="b">
        <v>0</v>
      </c>
      <c r="Q5" s="104">
        <f t="array" ref="Q5:CC5">TRANSPOSE(K6:K68)</f>
        <v>42695</v>
      </c>
      <c r="R5" s="104">
        <v>42696</v>
      </c>
      <c r="S5" s="104">
        <v>42697</v>
      </c>
      <c r="T5" s="104">
        <v>42703</v>
      </c>
      <c r="U5" s="104">
        <v>42710</v>
      </c>
      <c r="V5" s="104">
        <v>42717</v>
      </c>
      <c r="W5" s="104">
        <v>42726</v>
      </c>
      <c r="X5" s="104">
        <v>42758</v>
      </c>
      <c r="Y5" s="104">
        <v>42788</v>
      </c>
      <c r="Z5" s="104">
        <v>42816</v>
      </c>
      <c r="AA5" s="104">
        <v>42849</v>
      </c>
      <c r="AB5" s="104">
        <v>42877</v>
      </c>
      <c r="AC5" s="104">
        <v>42908</v>
      </c>
      <c r="AD5" s="104">
        <v>42940</v>
      </c>
      <c r="AE5" s="104">
        <v>42969</v>
      </c>
      <c r="AF5" s="104">
        <v>43000</v>
      </c>
      <c r="AG5" s="104">
        <v>43031</v>
      </c>
      <c r="AH5" s="104">
        <v>43061</v>
      </c>
      <c r="AI5" s="104">
        <v>43091</v>
      </c>
      <c r="AJ5" s="104">
        <v>43122</v>
      </c>
      <c r="AK5" s="104">
        <v>43153</v>
      </c>
      <c r="AL5" s="104">
        <v>43181</v>
      </c>
      <c r="AM5" s="104">
        <v>43213</v>
      </c>
      <c r="AN5" s="104">
        <v>43242</v>
      </c>
      <c r="AO5" s="104">
        <v>43273</v>
      </c>
      <c r="AP5" s="104">
        <v>43304</v>
      </c>
      <c r="AQ5" s="104">
        <v>43334</v>
      </c>
      <c r="AR5" s="104">
        <v>43367</v>
      </c>
      <c r="AS5" s="104">
        <v>43395</v>
      </c>
      <c r="AT5" s="104">
        <v>43426</v>
      </c>
      <c r="AU5" s="104">
        <v>43791</v>
      </c>
      <c r="AV5" s="104">
        <v>44158</v>
      </c>
      <c r="AW5" s="104">
        <v>44522</v>
      </c>
      <c r="AX5" s="104">
        <v>44887</v>
      </c>
      <c r="AY5" s="104">
        <v>45252</v>
      </c>
      <c r="AZ5" s="104">
        <v>45618</v>
      </c>
      <c r="BA5" s="104">
        <v>45985</v>
      </c>
      <c r="BB5" s="104">
        <v>46349</v>
      </c>
      <c r="BC5" s="104">
        <v>46713</v>
      </c>
      <c r="BD5" s="104">
        <v>47079</v>
      </c>
      <c r="BE5" s="104">
        <v>47444</v>
      </c>
      <c r="BF5" s="104">
        <v>47809</v>
      </c>
      <c r="BG5" s="104">
        <v>48176</v>
      </c>
      <c r="BH5" s="104">
        <v>48540</v>
      </c>
      <c r="BI5" s="104">
        <v>48905</v>
      </c>
      <c r="BJ5" s="104">
        <v>49270</v>
      </c>
      <c r="BK5" s="104">
        <v>49635</v>
      </c>
      <c r="BL5" s="104">
        <v>50003</v>
      </c>
      <c r="BM5" s="104">
        <v>50367</v>
      </c>
      <c r="BN5" s="104">
        <v>50731</v>
      </c>
      <c r="BO5" s="104">
        <v>51096</v>
      </c>
      <c r="BP5" s="104">
        <v>51462</v>
      </c>
      <c r="BQ5" s="104">
        <v>51827</v>
      </c>
      <c r="BR5" s="104">
        <v>52194</v>
      </c>
      <c r="BS5" s="104">
        <v>52558</v>
      </c>
      <c r="BT5" s="104">
        <v>52923</v>
      </c>
      <c r="BU5" s="104">
        <v>53288</v>
      </c>
      <c r="BV5" s="104">
        <v>53653</v>
      </c>
      <c r="BW5" s="104">
        <v>55479</v>
      </c>
      <c r="BX5" s="104">
        <v>57306</v>
      </c>
      <c r="BY5" s="104">
        <v>60958</v>
      </c>
      <c r="BZ5" s="104">
        <v>64612</v>
      </c>
      <c r="CA5" s="104">
        <v>0</v>
      </c>
      <c r="CB5" s="104" t="e">
        <v>#N/A</v>
      </c>
      <c r="CC5" s="104" t="e">
        <v>#N/A</v>
      </c>
    </row>
    <row r="6" spans="1:81" ht="12.75" customHeight="1">
      <c r="A6" s="105">
        <v>1</v>
      </c>
      <c r="B6" s="112" t="str">
        <f t="array" ref="B6:B68">[0]!Bucket1M</f>
        <v>O/N</v>
      </c>
      <c r="C6" s="262">
        <f>'eur disaggregated'!AL17</f>
        <v>0</v>
      </c>
      <c r="D6" s="111" t="s">
        <v>484</v>
      </c>
      <c r="E6" s="441">
        <f>BktEur1mPL!E6</f>
        <v>42692</v>
      </c>
      <c r="F6" s="441">
        <f>BktEur1mPL!F6</f>
        <v>42695</v>
      </c>
      <c r="G6" s="462">
        <f>IF(AND(70&lt;H6, H6&lt;130),(100-H6)/100,H6/100)</f>
        <v>0</v>
      </c>
      <c r="H6" s="453">
        <f>BktEur1mPL!H6</f>
        <v>0</v>
      </c>
      <c r="I6" s="107" t="str">
        <f t="array" ref="I6:I68">[0]!BucketOIS</f>
        <v>O/N</v>
      </c>
      <c r="J6" s="106" t="str">
        <f t="shared" ref="J6:J21" si="0">IF(LEN(I6)&gt;0,IF((MID(I6,4,1)=" "),I6,IF((LEN(I6)=8),DATE("20" &amp; RIGHT(I6,2),MID(I6,4,2),LEFT(I6,2)),SimplifyTenor(I6))),"")</f>
        <v>1D</v>
      </c>
      <c r="K6" s="448">
        <f>_xll.qlCalendarAdvance("TARGET",EvaluationDate,J6)</f>
        <v>42695</v>
      </c>
      <c r="M6" s="99" t="str">
        <f t="array" ref="M6:M68">I6:I67</f>
        <v>O/N</v>
      </c>
      <c r="N6" s="465">
        <f t="array" ref="N6:N68">TRANSPOSE(Q70:CA70)</f>
        <v>0</v>
      </c>
      <c r="P6" s="106" t="b">
        <f t="shared" ref="P6:P37" si="1">MID(B6,4,1)=" "</f>
        <v>0</v>
      </c>
      <c r="Q6" s="460">
        <f t="array" ref="Q6:CC6">C6*ForwardToZero(OisBuckets,E6,F6,G6)</f>
        <v>0</v>
      </c>
      <c r="R6" s="460">
        <v>0</v>
      </c>
      <c r="S6" s="460">
        <v>0</v>
      </c>
      <c r="T6" s="460">
        <v>0</v>
      </c>
      <c r="U6" s="460">
        <v>0</v>
      </c>
      <c r="V6" s="460">
        <v>0</v>
      </c>
      <c r="W6" s="460">
        <v>0</v>
      </c>
      <c r="X6" s="460">
        <v>0</v>
      </c>
      <c r="Y6" s="460">
        <v>0</v>
      </c>
      <c r="Z6" s="460">
        <v>0</v>
      </c>
      <c r="AA6" s="460">
        <v>0</v>
      </c>
      <c r="AB6" s="460">
        <v>0</v>
      </c>
      <c r="AC6" s="460">
        <v>0</v>
      </c>
      <c r="AD6" s="460">
        <v>0</v>
      </c>
      <c r="AE6" s="460">
        <v>0</v>
      </c>
      <c r="AF6" s="460">
        <v>0</v>
      </c>
      <c r="AG6" s="460">
        <v>0</v>
      </c>
      <c r="AH6" s="460">
        <v>0</v>
      </c>
      <c r="AI6" s="460">
        <v>0</v>
      </c>
      <c r="AJ6" s="460">
        <v>0</v>
      </c>
      <c r="AK6" s="460">
        <v>0</v>
      </c>
      <c r="AL6" s="460">
        <v>0</v>
      </c>
      <c r="AM6" s="460">
        <v>0</v>
      </c>
      <c r="AN6" s="460">
        <v>0</v>
      </c>
      <c r="AO6" s="460">
        <v>0</v>
      </c>
      <c r="AP6" s="460">
        <v>0</v>
      </c>
      <c r="AQ6" s="460">
        <v>0</v>
      </c>
      <c r="AR6" s="460">
        <v>0</v>
      </c>
      <c r="AS6" s="460">
        <v>0</v>
      </c>
      <c r="AT6" s="460">
        <v>0</v>
      </c>
      <c r="AU6" s="460">
        <v>0</v>
      </c>
      <c r="AV6" s="460">
        <v>0</v>
      </c>
      <c r="AW6" s="460">
        <v>0</v>
      </c>
      <c r="AX6" s="460">
        <v>0</v>
      </c>
      <c r="AY6" s="460">
        <v>0</v>
      </c>
      <c r="AZ6" s="460">
        <v>0</v>
      </c>
      <c r="BA6" s="460">
        <v>0</v>
      </c>
      <c r="BB6" s="460">
        <v>0</v>
      </c>
      <c r="BC6" s="460">
        <v>0</v>
      </c>
      <c r="BD6" s="460">
        <v>0</v>
      </c>
      <c r="BE6" s="460">
        <v>0</v>
      </c>
      <c r="BF6" s="460">
        <v>0</v>
      </c>
      <c r="BG6" s="460">
        <v>0</v>
      </c>
      <c r="BH6" s="460">
        <v>0</v>
      </c>
      <c r="BI6" s="460">
        <v>0</v>
      </c>
      <c r="BJ6" s="460">
        <v>0</v>
      </c>
      <c r="BK6" s="460">
        <v>0</v>
      </c>
      <c r="BL6" s="460">
        <v>0</v>
      </c>
      <c r="BM6" s="460">
        <v>0</v>
      </c>
      <c r="BN6" s="460">
        <v>0</v>
      </c>
      <c r="BO6" s="460">
        <v>0</v>
      </c>
      <c r="BP6" s="460">
        <v>0</v>
      </c>
      <c r="BQ6" s="460">
        <v>0</v>
      </c>
      <c r="BR6" s="460">
        <v>0</v>
      </c>
      <c r="BS6" s="460">
        <v>0</v>
      </c>
      <c r="BT6" s="460">
        <v>0</v>
      </c>
      <c r="BU6" s="460">
        <v>0</v>
      </c>
      <c r="BV6" s="460">
        <v>0</v>
      </c>
      <c r="BW6" s="460">
        <v>0</v>
      </c>
      <c r="BX6" s="460">
        <v>0</v>
      </c>
      <c r="BY6" s="460">
        <v>0</v>
      </c>
      <c r="BZ6" s="460">
        <v>0</v>
      </c>
      <c r="CA6" s="460" t="e">
        <v>#N/A</v>
      </c>
      <c r="CB6" s="460" t="e">
        <v>#N/A</v>
      </c>
      <c r="CC6" s="460" t="e">
        <v>#N/A</v>
      </c>
    </row>
    <row r="7" spans="1:81" ht="12.75" customHeight="1">
      <c r="A7" s="105">
        <v>2</v>
      </c>
      <c r="B7" s="112" t="str">
        <v>T/N</v>
      </c>
      <c r="C7" s="262">
        <f>'eur disaggregated'!AL18</f>
        <v>0</v>
      </c>
      <c r="D7" s="111" t="str">
        <f t="shared" ref="D7:D24" si="2">IF(AND(LEN(B7)&gt;3,RIGHT(B7:B7,2)="3"), "27M", IF(AND(LEN(B7)&gt;3,RIGHT(B7:B7,2)="6"), "30M", IF(AND(LEN(B7)&gt;3,RIGHT(B7:B7,2)="9"), "33M", IF(LEN(B7)&gt;0,SimplifyTenor(B7),""))))</f>
        <v>2D</v>
      </c>
      <c r="E7" s="441">
        <f>BktEur1mPL!E7</f>
        <v>42692</v>
      </c>
      <c r="F7" s="441">
        <f>BktEur1mPL!F7</f>
        <v>42696</v>
      </c>
      <c r="G7" s="462">
        <f t="shared" ref="G7:G68" si="3">IF(AND(70&lt;H7, H7&lt;130),(100-H7)/100,H7/100)</f>
        <v>0</v>
      </c>
      <c r="H7" s="453">
        <f>BktEur1mPL!H7</f>
        <v>0</v>
      </c>
      <c r="I7" s="107" t="str">
        <v>T/N</v>
      </c>
      <c r="J7" s="106" t="str">
        <f t="shared" si="0"/>
        <v>2D</v>
      </c>
      <c r="K7" s="448">
        <f>_xll.qlCalendarAdvance("TARGET",EvaluationDate,J7)</f>
        <v>42696</v>
      </c>
      <c r="M7" s="99" t="str">
        <v>T/N</v>
      </c>
      <c r="N7" s="465">
        <v>0</v>
      </c>
      <c r="P7" s="106" t="b">
        <f t="shared" si="1"/>
        <v>0</v>
      </c>
      <c r="Q7" s="460">
        <f t="array" ref="Q7:CC7">C7*ForwardToZero(OisBuckets,E7,F7,G7)</f>
        <v>0</v>
      </c>
      <c r="R7" s="460">
        <v>0</v>
      </c>
      <c r="S7" s="460">
        <v>0</v>
      </c>
      <c r="T7" s="460">
        <v>0</v>
      </c>
      <c r="U7" s="460">
        <v>0</v>
      </c>
      <c r="V7" s="460">
        <v>0</v>
      </c>
      <c r="W7" s="460">
        <v>0</v>
      </c>
      <c r="X7" s="460">
        <v>0</v>
      </c>
      <c r="Y7" s="460">
        <v>0</v>
      </c>
      <c r="Z7" s="460">
        <v>0</v>
      </c>
      <c r="AA7" s="460">
        <v>0</v>
      </c>
      <c r="AB7" s="460">
        <v>0</v>
      </c>
      <c r="AC7" s="460">
        <v>0</v>
      </c>
      <c r="AD7" s="460">
        <v>0</v>
      </c>
      <c r="AE7" s="460">
        <v>0</v>
      </c>
      <c r="AF7" s="460">
        <v>0</v>
      </c>
      <c r="AG7" s="460">
        <v>0</v>
      </c>
      <c r="AH7" s="460">
        <v>0</v>
      </c>
      <c r="AI7" s="460">
        <v>0</v>
      </c>
      <c r="AJ7" s="460">
        <v>0</v>
      </c>
      <c r="AK7" s="460">
        <v>0</v>
      </c>
      <c r="AL7" s="460">
        <v>0</v>
      </c>
      <c r="AM7" s="460">
        <v>0</v>
      </c>
      <c r="AN7" s="460">
        <v>0</v>
      </c>
      <c r="AO7" s="460">
        <v>0</v>
      </c>
      <c r="AP7" s="460">
        <v>0</v>
      </c>
      <c r="AQ7" s="460">
        <v>0</v>
      </c>
      <c r="AR7" s="460">
        <v>0</v>
      </c>
      <c r="AS7" s="460">
        <v>0</v>
      </c>
      <c r="AT7" s="460">
        <v>0</v>
      </c>
      <c r="AU7" s="460">
        <v>0</v>
      </c>
      <c r="AV7" s="460">
        <v>0</v>
      </c>
      <c r="AW7" s="460">
        <v>0</v>
      </c>
      <c r="AX7" s="460">
        <v>0</v>
      </c>
      <c r="AY7" s="460">
        <v>0</v>
      </c>
      <c r="AZ7" s="460">
        <v>0</v>
      </c>
      <c r="BA7" s="460">
        <v>0</v>
      </c>
      <c r="BB7" s="460">
        <v>0</v>
      </c>
      <c r="BC7" s="460">
        <v>0</v>
      </c>
      <c r="BD7" s="460">
        <v>0</v>
      </c>
      <c r="BE7" s="460">
        <v>0</v>
      </c>
      <c r="BF7" s="460">
        <v>0</v>
      </c>
      <c r="BG7" s="460">
        <v>0</v>
      </c>
      <c r="BH7" s="460">
        <v>0</v>
      </c>
      <c r="BI7" s="460">
        <v>0</v>
      </c>
      <c r="BJ7" s="460">
        <v>0</v>
      </c>
      <c r="BK7" s="460">
        <v>0</v>
      </c>
      <c r="BL7" s="460">
        <v>0</v>
      </c>
      <c r="BM7" s="460">
        <v>0</v>
      </c>
      <c r="BN7" s="460">
        <v>0</v>
      </c>
      <c r="BO7" s="460">
        <v>0</v>
      </c>
      <c r="BP7" s="460">
        <v>0</v>
      </c>
      <c r="BQ7" s="460">
        <v>0</v>
      </c>
      <c r="BR7" s="460">
        <v>0</v>
      </c>
      <c r="BS7" s="460">
        <v>0</v>
      </c>
      <c r="BT7" s="460">
        <v>0</v>
      </c>
      <c r="BU7" s="460">
        <v>0</v>
      </c>
      <c r="BV7" s="460">
        <v>0</v>
      </c>
      <c r="BW7" s="460">
        <v>0</v>
      </c>
      <c r="BX7" s="460">
        <v>0</v>
      </c>
      <c r="BY7" s="460">
        <v>0</v>
      </c>
      <c r="BZ7" s="460">
        <v>0</v>
      </c>
      <c r="CA7" s="460" t="e">
        <v>#N/A</v>
      </c>
      <c r="CB7" s="460" t="e">
        <v>#N/A</v>
      </c>
      <c r="CC7" s="460" t="e">
        <v>#N/A</v>
      </c>
    </row>
    <row r="8" spans="1:81" ht="12.75" customHeight="1">
      <c r="A8" s="105">
        <v>3</v>
      </c>
      <c r="B8" s="112" t="str">
        <v>S/N</v>
      </c>
      <c r="C8" s="262">
        <f>'eur disaggregated'!AL19</f>
        <v>122.96990494586299</v>
      </c>
      <c r="D8" s="111" t="str">
        <f t="shared" si="2"/>
        <v>3D</v>
      </c>
      <c r="E8" s="441">
        <f>BktEur1mPL!E8</f>
        <v>42692</v>
      </c>
      <c r="F8" s="441">
        <f>BktEur1mPL!F8</f>
        <v>42697</v>
      </c>
      <c r="G8" s="462">
        <f t="shared" si="3"/>
        <v>-3.6550742200000003E-3</v>
      </c>
      <c r="H8" s="453">
        <f>BktEur1mPL!H8</f>
        <v>-0.36550742200000003</v>
      </c>
      <c r="I8" s="107" t="str">
        <v>S/N</v>
      </c>
      <c r="J8" s="106" t="str">
        <f t="shared" si="0"/>
        <v>3D</v>
      </c>
      <c r="K8" s="448">
        <f>_xll.qlCalendarAdvance("TARGET",EvaluationDate,J8)</f>
        <v>42697</v>
      </c>
      <c r="M8" s="99" t="str">
        <v>S/N</v>
      </c>
      <c r="N8" s="465">
        <v>122.96990494586299</v>
      </c>
      <c r="P8" s="106" t="b">
        <f t="shared" si="1"/>
        <v>0</v>
      </c>
      <c r="Q8" s="460">
        <f t="array" ref="Q8:CC8">C8*ForwardToZero(OisBuckets,E8,F8,G8)</f>
        <v>0</v>
      </c>
      <c r="R8" s="460">
        <v>0</v>
      </c>
      <c r="S8" s="460">
        <v>122.96990494586299</v>
      </c>
      <c r="T8" s="460">
        <v>0</v>
      </c>
      <c r="U8" s="460">
        <v>0</v>
      </c>
      <c r="V8" s="460">
        <v>0</v>
      </c>
      <c r="W8" s="460">
        <v>0</v>
      </c>
      <c r="X8" s="460">
        <v>0</v>
      </c>
      <c r="Y8" s="460">
        <v>0</v>
      </c>
      <c r="Z8" s="460">
        <v>0</v>
      </c>
      <c r="AA8" s="460">
        <v>0</v>
      </c>
      <c r="AB8" s="460">
        <v>0</v>
      </c>
      <c r="AC8" s="460">
        <v>0</v>
      </c>
      <c r="AD8" s="460">
        <v>0</v>
      </c>
      <c r="AE8" s="460">
        <v>0</v>
      </c>
      <c r="AF8" s="460">
        <v>0</v>
      </c>
      <c r="AG8" s="460">
        <v>0</v>
      </c>
      <c r="AH8" s="460">
        <v>0</v>
      </c>
      <c r="AI8" s="460">
        <v>0</v>
      </c>
      <c r="AJ8" s="460">
        <v>0</v>
      </c>
      <c r="AK8" s="460">
        <v>0</v>
      </c>
      <c r="AL8" s="460">
        <v>0</v>
      </c>
      <c r="AM8" s="460">
        <v>0</v>
      </c>
      <c r="AN8" s="460">
        <v>0</v>
      </c>
      <c r="AO8" s="460">
        <v>0</v>
      </c>
      <c r="AP8" s="460">
        <v>0</v>
      </c>
      <c r="AQ8" s="460">
        <v>0</v>
      </c>
      <c r="AR8" s="460">
        <v>0</v>
      </c>
      <c r="AS8" s="460">
        <v>0</v>
      </c>
      <c r="AT8" s="460">
        <v>0</v>
      </c>
      <c r="AU8" s="460">
        <v>0</v>
      </c>
      <c r="AV8" s="460">
        <v>0</v>
      </c>
      <c r="AW8" s="460">
        <v>0</v>
      </c>
      <c r="AX8" s="460">
        <v>0</v>
      </c>
      <c r="AY8" s="460">
        <v>0</v>
      </c>
      <c r="AZ8" s="460">
        <v>0</v>
      </c>
      <c r="BA8" s="460">
        <v>0</v>
      </c>
      <c r="BB8" s="460">
        <v>0</v>
      </c>
      <c r="BC8" s="460">
        <v>0</v>
      </c>
      <c r="BD8" s="460">
        <v>0</v>
      </c>
      <c r="BE8" s="460">
        <v>0</v>
      </c>
      <c r="BF8" s="460">
        <v>0</v>
      </c>
      <c r="BG8" s="460">
        <v>0</v>
      </c>
      <c r="BH8" s="460">
        <v>0</v>
      </c>
      <c r="BI8" s="460">
        <v>0</v>
      </c>
      <c r="BJ8" s="460">
        <v>0</v>
      </c>
      <c r="BK8" s="460">
        <v>0</v>
      </c>
      <c r="BL8" s="460">
        <v>0</v>
      </c>
      <c r="BM8" s="460">
        <v>0</v>
      </c>
      <c r="BN8" s="460">
        <v>0</v>
      </c>
      <c r="BO8" s="460">
        <v>0</v>
      </c>
      <c r="BP8" s="460">
        <v>0</v>
      </c>
      <c r="BQ8" s="460">
        <v>0</v>
      </c>
      <c r="BR8" s="460">
        <v>0</v>
      </c>
      <c r="BS8" s="460">
        <v>0</v>
      </c>
      <c r="BT8" s="460">
        <v>0</v>
      </c>
      <c r="BU8" s="460">
        <v>0</v>
      </c>
      <c r="BV8" s="460">
        <v>0</v>
      </c>
      <c r="BW8" s="460">
        <v>0</v>
      </c>
      <c r="BX8" s="460">
        <v>0</v>
      </c>
      <c r="BY8" s="460">
        <v>0</v>
      </c>
      <c r="BZ8" s="460">
        <v>0</v>
      </c>
      <c r="CA8" s="460" t="e">
        <v>#N/A</v>
      </c>
      <c r="CB8" s="460" t="e">
        <v>#N/A</v>
      </c>
      <c r="CC8" s="460" t="e">
        <v>#N/A</v>
      </c>
    </row>
    <row r="9" spans="1:81" ht="12.75" customHeight="1">
      <c r="A9" s="105">
        <v>4</v>
      </c>
      <c r="B9" s="112" t="str">
        <v>1W</v>
      </c>
      <c r="C9" s="262">
        <f>'eur disaggregated'!AL20</f>
        <v>1302.1294182797899</v>
      </c>
      <c r="D9" s="111" t="str">
        <f t="shared" si="2"/>
        <v>1W</v>
      </c>
      <c r="E9" s="441">
        <f>BktEur1mPL!E9</f>
        <v>42696</v>
      </c>
      <c r="F9" s="441">
        <f>BktEur1mPL!F9</f>
        <v>42703</v>
      </c>
      <c r="G9" s="462">
        <f t="shared" si="3"/>
        <v>-3.6549999999999998E-3</v>
      </c>
      <c r="H9" s="453">
        <f>BktEur1mPL!H9</f>
        <v>-0.36549999999999999</v>
      </c>
      <c r="I9" s="107" t="str">
        <v>1W</v>
      </c>
      <c r="J9" s="106" t="str">
        <f t="shared" si="0"/>
        <v>1W</v>
      </c>
      <c r="K9" s="448">
        <f>_xll.qlCalendarAdvance("TARGET",$C$1,J9)</f>
        <v>42703</v>
      </c>
      <c r="M9" s="99" t="str">
        <v>1W</v>
      </c>
      <c r="N9" s="465">
        <v>1302.1294182797899</v>
      </c>
      <c r="P9" s="106" t="b">
        <f t="shared" si="1"/>
        <v>0</v>
      </c>
      <c r="Q9" s="460">
        <f t="array" ref="Q9:CC9">C9*ForwardToZero(OisBuckets,E9,F9,G9)</f>
        <v>0</v>
      </c>
      <c r="R9" s="460">
        <v>0</v>
      </c>
      <c r="S9" s="460">
        <v>0</v>
      </c>
      <c r="T9" s="460">
        <v>1302.1294182797899</v>
      </c>
      <c r="U9" s="460">
        <v>0</v>
      </c>
      <c r="V9" s="460">
        <v>0</v>
      </c>
      <c r="W9" s="460">
        <v>0</v>
      </c>
      <c r="X9" s="460">
        <v>0</v>
      </c>
      <c r="Y9" s="460">
        <v>0</v>
      </c>
      <c r="Z9" s="460">
        <v>0</v>
      </c>
      <c r="AA9" s="460">
        <v>0</v>
      </c>
      <c r="AB9" s="460">
        <v>0</v>
      </c>
      <c r="AC9" s="460">
        <v>0</v>
      </c>
      <c r="AD9" s="460">
        <v>0</v>
      </c>
      <c r="AE9" s="460">
        <v>0</v>
      </c>
      <c r="AF9" s="460">
        <v>0</v>
      </c>
      <c r="AG9" s="460">
        <v>0</v>
      </c>
      <c r="AH9" s="460">
        <v>0</v>
      </c>
      <c r="AI9" s="460">
        <v>0</v>
      </c>
      <c r="AJ9" s="460">
        <v>0</v>
      </c>
      <c r="AK9" s="460">
        <v>0</v>
      </c>
      <c r="AL9" s="460">
        <v>0</v>
      </c>
      <c r="AM9" s="460">
        <v>0</v>
      </c>
      <c r="AN9" s="460">
        <v>0</v>
      </c>
      <c r="AO9" s="460">
        <v>0</v>
      </c>
      <c r="AP9" s="460">
        <v>0</v>
      </c>
      <c r="AQ9" s="460">
        <v>0</v>
      </c>
      <c r="AR9" s="460">
        <v>0</v>
      </c>
      <c r="AS9" s="460">
        <v>0</v>
      </c>
      <c r="AT9" s="460">
        <v>0</v>
      </c>
      <c r="AU9" s="460">
        <v>0</v>
      </c>
      <c r="AV9" s="460">
        <v>0</v>
      </c>
      <c r="AW9" s="460">
        <v>0</v>
      </c>
      <c r="AX9" s="460">
        <v>0</v>
      </c>
      <c r="AY9" s="460">
        <v>0</v>
      </c>
      <c r="AZ9" s="460">
        <v>0</v>
      </c>
      <c r="BA9" s="460">
        <v>0</v>
      </c>
      <c r="BB9" s="460">
        <v>0</v>
      </c>
      <c r="BC9" s="460">
        <v>0</v>
      </c>
      <c r="BD9" s="460">
        <v>0</v>
      </c>
      <c r="BE9" s="460">
        <v>0</v>
      </c>
      <c r="BF9" s="460">
        <v>0</v>
      </c>
      <c r="BG9" s="460">
        <v>0</v>
      </c>
      <c r="BH9" s="460">
        <v>0</v>
      </c>
      <c r="BI9" s="460">
        <v>0</v>
      </c>
      <c r="BJ9" s="460">
        <v>0</v>
      </c>
      <c r="BK9" s="460">
        <v>0</v>
      </c>
      <c r="BL9" s="460">
        <v>0</v>
      </c>
      <c r="BM9" s="460">
        <v>0</v>
      </c>
      <c r="BN9" s="460">
        <v>0</v>
      </c>
      <c r="BO9" s="460">
        <v>0</v>
      </c>
      <c r="BP9" s="460">
        <v>0</v>
      </c>
      <c r="BQ9" s="460">
        <v>0</v>
      </c>
      <c r="BR9" s="460">
        <v>0</v>
      </c>
      <c r="BS9" s="460">
        <v>0</v>
      </c>
      <c r="BT9" s="460">
        <v>0</v>
      </c>
      <c r="BU9" s="460">
        <v>0</v>
      </c>
      <c r="BV9" s="460">
        <v>0</v>
      </c>
      <c r="BW9" s="460">
        <v>0</v>
      </c>
      <c r="BX9" s="460">
        <v>0</v>
      </c>
      <c r="BY9" s="460">
        <v>0</v>
      </c>
      <c r="BZ9" s="460">
        <v>0</v>
      </c>
      <c r="CA9" s="460" t="e">
        <v>#N/A</v>
      </c>
      <c r="CB9" s="460" t="e">
        <v>#N/A</v>
      </c>
      <c r="CC9" s="460" t="e">
        <v>#N/A</v>
      </c>
    </row>
    <row r="10" spans="1:81" ht="12.75" customHeight="1">
      <c r="A10" s="105">
        <v>5</v>
      </c>
      <c r="B10" s="112" t="str">
        <v>2W</v>
      </c>
      <c r="C10" s="262">
        <f>'eur disaggregated'!AL21</f>
        <v>-226.32215908740201</v>
      </c>
      <c r="D10" s="111" t="str">
        <f t="shared" si="2"/>
        <v>2W</v>
      </c>
      <c r="E10" s="441">
        <f>BktEur1mPL!E10</f>
        <v>42696</v>
      </c>
      <c r="F10" s="441">
        <f>BktEur1mPL!F10</f>
        <v>42710</v>
      </c>
      <c r="G10" s="462">
        <f t="shared" si="3"/>
        <v>-3.6540000000000001E-3</v>
      </c>
      <c r="H10" s="453">
        <f>BktEur1mPL!H10</f>
        <v>-0.3654</v>
      </c>
      <c r="I10" s="107" t="str">
        <v>2W</v>
      </c>
      <c r="J10" s="106" t="str">
        <f t="shared" si="0"/>
        <v>2W</v>
      </c>
      <c r="K10" s="448">
        <f>_xll.qlCalendarAdvance("TARGET",$C$1,J10)</f>
        <v>42710</v>
      </c>
      <c r="M10" s="99" t="str">
        <v>2W</v>
      </c>
      <c r="N10" s="465">
        <v>-226.32215908740201</v>
      </c>
      <c r="P10" s="106" t="b">
        <f t="shared" si="1"/>
        <v>0</v>
      </c>
      <c r="Q10" s="460">
        <f t="array" ref="Q10:CC10">C10*ForwardToZero(OisBuckets,E10,F10,G10)</f>
        <v>0</v>
      </c>
      <c r="R10" s="460">
        <v>0</v>
      </c>
      <c r="S10" s="460">
        <v>0</v>
      </c>
      <c r="T10" s="460">
        <v>0</v>
      </c>
      <c r="U10" s="460">
        <v>-226.32215908740201</v>
      </c>
      <c r="V10" s="460">
        <v>0</v>
      </c>
      <c r="W10" s="460">
        <v>0</v>
      </c>
      <c r="X10" s="460">
        <v>0</v>
      </c>
      <c r="Y10" s="460">
        <v>0</v>
      </c>
      <c r="Z10" s="460">
        <v>0</v>
      </c>
      <c r="AA10" s="460">
        <v>0</v>
      </c>
      <c r="AB10" s="460">
        <v>0</v>
      </c>
      <c r="AC10" s="460">
        <v>0</v>
      </c>
      <c r="AD10" s="460">
        <v>0</v>
      </c>
      <c r="AE10" s="460">
        <v>0</v>
      </c>
      <c r="AF10" s="460">
        <v>0</v>
      </c>
      <c r="AG10" s="460">
        <v>0</v>
      </c>
      <c r="AH10" s="460">
        <v>0</v>
      </c>
      <c r="AI10" s="460">
        <v>0</v>
      </c>
      <c r="AJ10" s="460">
        <v>0</v>
      </c>
      <c r="AK10" s="460">
        <v>0</v>
      </c>
      <c r="AL10" s="460">
        <v>0</v>
      </c>
      <c r="AM10" s="460">
        <v>0</v>
      </c>
      <c r="AN10" s="460">
        <v>0</v>
      </c>
      <c r="AO10" s="460">
        <v>0</v>
      </c>
      <c r="AP10" s="460">
        <v>0</v>
      </c>
      <c r="AQ10" s="460">
        <v>0</v>
      </c>
      <c r="AR10" s="460">
        <v>0</v>
      </c>
      <c r="AS10" s="460">
        <v>0</v>
      </c>
      <c r="AT10" s="460">
        <v>0</v>
      </c>
      <c r="AU10" s="460">
        <v>0</v>
      </c>
      <c r="AV10" s="460">
        <v>0</v>
      </c>
      <c r="AW10" s="460">
        <v>0</v>
      </c>
      <c r="AX10" s="460">
        <v>0</v>
      </c>
      <c r="AY10" s="460">
        <v>0</v>
      </c>
      <c r="AZ10" s="460">
        <v>0</v>
      </c>
      <c r="BA10" s="460">
        <v>0</v>
      </c>
      <c r="BB10" s="460">
        <v>0</v>
      </c>
      <c r="BC10" s="460">
        <v>0</v>
      </c>
      <c r="BD10" s="460">
        <v>0</v>
      </c>
      <c r="BE10" s="460">
        <v>0</v>
      </c>
      <c r="BF10" s="460">
        <v>0</v>
      </c>
      <c r="BG10" s="460">
        <v>0</v>
      </c>
      <c r="BH10" s="460">
        <v>0</v>
      </c>
      <c r="BI10" s="460">
        <v>0</v>
      </c>
      <c r="BJ10" s="460">
        <v>0</v>
      </c>
      <c r="BK10" s="460">
        <v>0</v>
      </c>
      <c r="BL10" s="460">
        <v>0</v>
      </c>
      <c r="BM10" s="460">
        <v>0</v>
      </c>
      <c r="BN10" s="460">
        <v>0</v>
      </c>
      <c r="BO10" s="460">
        <v>0</v>
      </c>
      <c r="BP10" s="460">
        <v>0</v>
      </c>
      <c r="BQ10" s="460">
        <v>0</v>
      </c>
      <c r="BR10" s="460">
        <v>0</v>
      </c>
      <c r="BS10" s="460">
        <v>0</v>
      </c>
      <c r="BT10" s="460">
        <v>0</v>
      </c>
      <c r="BU10" s="460">
        <v>0</v>
      </c>
      <c r="BV10" s="460">
        <v>0</v>
      </c>
      <c r="BW10" s="460">
        <v>0</v>
      </c>
      <c r="BX10" s="460">
        <v>0</v>
      </c>
      <c r="BY10" s="460">
        <v>0</v>
      </c>
      <c r="BZ10" s="460">
        <v>0</v>
      </c>
      <c r="CA10" s="460" t="e">
        <v>#N/A</v>
      </c>
      <c r="CB10" s="460" t="e">
        <v>#N/A</v>
      </c>
      <c r="CC10" s="460" t="e">
        <v>#N/A</v>
      </c>
    </row>
    <row r="11" spans="1:81" ht="12.75" customHeight="1">
      <c r="A11" s="105">
        <v>6</v>
      </c>
      <c r="B11" s="112" t="str">
        <v>3W</v>
      </c>
      <c r="C11" s="262">
        <f>'eur disaggregated'!AL22</f>
        <v>-2522.5541137574101</v>
      </c>
      <c r="D11" s="111" t="str">
        <f t="shared" si="2"/>
        <v>3W</v>
      </c>
      <c r="E11" s="441">
        <f>BktEur1mPL!E11</f>
        <v>42696</v>
      </c>
      <c r="F11" s="441">
        <f>BktEur1mPL!F11</f>
        <v>42717</v>
      </c>
      <c r="G11" s="462">
        <f t="shared" si="3"/>
        <v>-3.6809999999999998E-3</v>
      </c>
      <c r="H11" s="453">
        <f>BktEur1mPL!H11</f>
        <v>-0.36809999999999998</v>
      </c>
      <c r="I11" s="107" t="str">
        <v>3W</v>
      </c>
      <c r="J11" s="106" t="str">
        <f t="shared" si="0"/>
        <v>3W</v>
      </c>
      <c r="K11" s="448">
        <f>_xll.qlCalendarAdvance("TARGET",$C$1,J11)</f>
        <v>42717</v>
      </c>
      <c r="M11" s="99" t="str">
        <v>3W</v>
      </c>
      <c r="N11" s="465">
        <v>-2522.5541137574101</v>
      </c>
      <c r="P11" s="106" t="b">
        <f t="shared" si="1"/>
        <v>0</v>
      </c>
      <c r="Q11" s="460">
        <f t="array" ref="Q11:CC11">C11*ForwardToZero(OisBuckets,E11,F11,G11)</f>
        <v>0</v>
      </c>
      <c r="R11" s="460">
        <v>0</v>
      </c>
      <c r="S11" s="460">
        <v>0</v>
      </c>
      <c r="T11" s="460">
        <v>0</v>
      </c>
      <c r="U11" s="460">
        <v>0</v>
      </c>
      <c r="V11" s="460">
        <v>-2522.5541137574101</v>
      </c>
      <c r="W11" s="460">
        <v>0</v>
      </c>
      <c r="X11" s="460">
        <v>0</v>
      </c>
      <c r="Y11" s="460">
        <v>0</v>
      </c>
      <c r="Z11" s="460">
        <v>0</v>
      </c>
      <c r="AA11" s="460">
        <v>0</v>
      </c>
      <c r="AB11" s="460">
        <v>0</v>
      </c>
      <c r="AC11" s="460">
        <v>0</v>
      </c>
      <c r="AD11" s="460">
        <v>0</v>
      </c>
      <c r="AE11" s="460">
        <v>0</v>
      </c>
      <c r="AF11" s="460">
        <v>0</v>
      </c>
      <c r="AG11" s="460">
        <v>0</v>
      </c>
      <c r="AH11" s="460">
        <v>0</v>
      </c>
      <c r="AI11" s="460">
        <v>0</v>
      </c>
      <c r="AJ11" s="460">
        <v>0</v>
      </c>
      <c r="AK11" s="460">
        <v>0</v>
      </c>
      <c r="AL11" s="460">
        <v>0</v>
      </c>
      <c r="AM11" s="460">
        <v>0</v>
      </c>
      <c r="AN11" s="460">
        <v>0</v>
      </c>
      <c r="AO11" s="460">
        <v>0</v>
      </c>
      <c r="AP11" s="460">
        <v>0</v>
      </c>
      <c r="AQ11" s="460">
        <v>0</v>
      </c>
      <c r="AR11" s="460">
        <v>0</v>
      </c>
      <c r="AS11" s="460">
        <v>0</v>
      </c>
      <c r="AT11" s="460">
        <v>0</v>
      </c>
      <c r="AU11" s="460">
        <v>0</v>
      </c>
      <c r="AV11" s="460">
        <v>0</v>
      </c>
      <c r="AW11" s="460">
        <v>0</v>
      </c>
      <c r="AX11" s="460">
        <v>0</v>
      </c>
      <c r="AY11" s="460">
        <v>0</v>
      </c>
      <c r="AZ11" s="460">
        <v>0</v>
      </c>
      <c r="BA11" s="460">
        <v>0</v>
      </c>
      <c r="BB11" s="460">
        <v>0</v>
      </c>
      <c r="BC11" s="460">
        <v>0</v>
      </c>
      <c r="BD11" s="460">
        <v>0</v>
      </c>
      <c r="BE11" s="460">
        <v>0</v>
      </c>
      <c r="BF11" s="460">
        <v>0</v>
      </c>
      <c r="BG11" s="460">
        <v>0</v>
      </c>
      <c r="BH11" s="460">
        <v>0</v>
      </c>
      <c r="BI11" s="460">
        <v>0</v>
      </c>
      <c r="BJ11" s="460">
        <v>0</v>
      </c>
      <c r="BK11" s="460">
        <v>0</v>
      </c>
      <c r="BL11" s="460">
        <v>0</v>
      </c>
      <c r="BM11" s="460">
        <v>0</v>
      </c>
      <c r="BN11" s="460">
        <v>0</v>
      </c>
      <c r="BO11" s="460">
        <v>0</v>
      </c>
      <c r="BP11" s="460">
        <v>0</v>
      </c>
      <c r="BQ11" s="460">
        <v>0</v>
      </c>
      <c r="BR11" s="460">
        <v>0</v>
      </c>
      <c r="BS11" s="460">
        <v>0</v>
      </c>
      <c r="BT11" s="460">
        <v>0</v>
      </c>
      <c r="BU11" s="460">
        <v>0</v>
      </c>
      <c r="BV11" s="460">
        <v>0</v>
      </c>
      <c r="BW11" s="460">
        <v>0</v>
      </c>
      <c r="BX11" s="460">
        <v>0</v>
      </c>
      <c r="BY11" s="460">
        <v>0</v>
      </c>
      <c r="BZ11" s="460">
        <v>0</v>
      </c>
      <c r="CA11" s="460" t="e">
        <v>#N/A</v>
      </c>
      <c r="CB11" s="460" t="e">
        <v>#N/A</v>
      </c>
      <c r="CC11" s="460" t="e">
        <v>#N/A</v>
      </c>
    </row>
    <row r="12" spans="1:81" ht="12.75" customHeight="1">
      <c r="A12" s="105">
        <v>7</v>
      </c>
      <c r="B12" s="112" t="str">
        <v>1M</v>
      </c>
      <c r="C12" s="262">
        <f>'eur disaggregated'!AL23</f>
        <v>2804.2292034340999</v>
      </c>
      <c r="D12" s="111" t="str">
        <f t="shared" si="2"/>
        <v>1M</v>
      </c>
      <c r="E12" s="441">
        <f>BktEur1mPL!E12</f>
        <v>42696</v>
      </c>
      <c r="F12" s="441">
        <f>BktEur1mPL!F12</f>
        <v>42726</v>
      </c>
      <c r="G12" s="462">
        <f t="shared" si="3"/>
        <v>-3.7099999999999998E-3</v>
      </c>
      <c r="H12" s="453">
        <f>BktEur1mPL!H12</f>
        <v>-0.371</v>
      </c>
      <c r="I12" s="107" t="str">
        <v>1M</v>
      </c>
      <c r="J12" s="106" t="str">
        <f t="shared" si="0"/>
        <v>1M</v>
      </c>
      <c r="K12" s="448">
        <f>_xll.qlCalendarAdvance("TARGET",$C$1,J12)</f>
        <v>42726</v>
      </c>
      <c r="M12" s="99" t="str">
        <v>1M</v>
      </c>
      <c r="N12" s="465">
        <v>2804.2292034340999</v>
      </c>
      <c r="P12" s="106" t="b">
        <f t="shared" si="1"/>
        <v>0</v>
      </c>
      <c r="Q12" s="460">
        <f t="array" ref="Q12:CC12">C12*ForwardToZero(OisBuckets,E12,F12,G12)</f>
        <v>0</v>
      </c>
      <c r="R12" s="460">
        <v>0</v>
      </c>
      <c r="S12" s="460">
        <v>0</v>
      </c>
      <c r="T12" s="460">
        <v>0</v>
      </c>
      <c r="U12" s="460">
        <v>0</v>
      </c>
      <c r="V12" s="460">
        <v>0</v>
      </c>
      <c r="W12" s="460">
        <v>2804.2292034340999</v>
      </c>
      <c r="X12" s="460">
        <v>0</v>
      </c>
      <c r="Y12" s="460">
        <v>0</v>
      </c>
      <c r="Z12" s="460">
        <v>0</v>
      </c>
      <c r="AA12" s="460">
        <v>0</v>
      </c>
      <c r="AB12" s="460">
        <v>0</v>
      </c>
      <c r="AC12" s="460">
        <v>0</v>
      </c>
      <c r="AD12" s="460">
        <v>0</v>
      </c>
      <c r="AE12" s="460">
        <v>0</v>
      </c>
      <c r="AF12" s="460">
        <v>0</v>
      </c>
      <c r="AG12" s="460">
        <v>0</v>
      </c>
      <c r="AH12" s="460">
        <v>0</v>
      </c>
      <c r="AI12" s="460">
        <v>0</v>
      </c>
      <c r="AJ12" s="460">
        <v>0</v>
      </c>
      <c r="AK12" s="460">
        <v>0</v>
      </c>
      <c r="AL12" s="460">
        <v>0</v>
      </c>
      <c r="AM12" s="460">
        <v>0</v>
      </c>
      <c r="AN12" s="460">
        <v>0</v>
      </c>
      <c r="AO12" s="460">
        <v>0</v>
      </c>
      <c r="AP12" s="460">
        <v>0</v>
      </c>
      <c r="AQ12" s="460">
        <v>0</v>
      </c>
      <c r="AR12" s="460">
        <v>0</v>
      </c>
      <c r="AS12" s="460">
        <v>0</v>
      </c>
      <c r="AT12" s="460">
        <v>0</v>
      </c>
      <c r="AU12" s="460">
        <v>0</v>
      </c>
      <c r="AV12" s="460">
        <v>0</v>
      </c>
      <c r="AW12" s="460">
        <v>0</v>
      </c>
      <c r="AX12" s="460">
        <v>0</v>
      </c>
      <c r="AY12" s="460">
        <v>0</v>
      </c>
      <c r="AZ12" s="460">
        <v>0</v>
      </c>
      <c r="BA12" s="460">
        <v>0</v>
      </c>
      <c r="BB12" s="460">
        <v>0</v>
      </c>
      <c r="BC12" s="460">
        <v>0</v>
      </c>
      <c r="BD12" s="460">
        <v>0</v>
      </c>
      <c r="BE12" s="460">
        <v>0</v>
      </c>
      <c r="BF12" s="460">
        <v>0</v>
      </c>
      <c r="BG12" s="460">
        <v>0</v>
      </c>
      <c r="BH12" s="460">
        <v>0</v>
      </c>
      <c r="BI12" s="460">
        <v>0</v>
      </c>
      <c r="BJ12" s="460">
        <v>0</v>
      </c>
      <c r="BK12" s="460">
        <v>0</v>
      </c>
      <c r="BL12" s="460">
        <v>0</v>
      </c>
      <c r="BM12" s="460">
        <v>0</v>
      </c>
      <c r="BN12" s="460">
        <v>0</v>
      </c>
      <c r="BO12" s="460">
        <v>0</v>
      </c>
      <c r="BP12" s="460">
        <v>0</v>
      </c>
      <c r="BQ12" s="460">
        <v>0</v>
      </c>
      <c r="BR12" s="460">
        <v>0</v>
      </c>
      <c r="BS12" s="460">
        <v>0</v>
      </c>
      <c r="BT12" s="460">
        <v>0</v>
      </c>
      <c r="BU12" s="460">
        <v>0</v>
      </c>
      <c r="BV12" s="460">
        <v>0</v>
      </c>
      <c r="BW12" s="460">
        <v>0</v>
      </c>
      <c r="BX12" s="460">
        <v>0</v>
      </c>
      <c r="BY12" s="460">
        <v>0</v>
      </c>
      <c r="BZ12" s="460">
        <v>0</v>
      </c>
      <c r="CA12" s="460" t="e">
        <v>#N/A</v>
      </c>
      <c r="CB12" s="460" t="e">
        <v>#N/A</v>
      </c>
      <c r="CC12" s="460" t="e">
        <v>#N/A</v>
      </c>
    </row>
    <row r="13" spans="1:81">
      <c r="A13" s="105">
        <v>8</v>
      </c>
      <c r="B13" s="112" t="str">
        <v>2M</v>
      </c>
      <c r="C13" s="262">
        <f>'eur disaggregated'!AL24</f>
        <v>-874.17247072345504</v>
      </c>
      <c r="D13" s="111" t="str">
        <f t="shared" si="2"/>
        <v>2M</v>
      </c>
      <c r="E13" s="441">
        <f>BktEur1mPL!E13</f>
        <v>42696</v>
      </c>
      <c r="F13" s="441">
        <f>BktEur1mPL!F13</f>
        <v>42758</v>
      </c>
      <c r="G13" s="462">
        <f t="shared" si="3"/>
        <v>-3.7199999999999998E-3</v>
      </c>
      <c r="H13" s="453">
        <f>BktEur1mPL!H13</f>
        <v>-0.372</v>
      </c>
      <c r="I13" s="107" t="str">
        <v>2M</v>
      </c>
      <c r="J13" s="106" t="str">
        <f t="shared" si="0"/>
        <v>2M</v>
      </c>
      <c r="K13" s="448">
        <f>_xll.qlCalendarAdvance("TARGET",$C$1,J13)</f>
        <v>42758</v>
      </c>
      <c r="M13" s="99" t="str">
        <v>2M</v>
      </c>
      <c r="N13" s="465">
        <v>-874.17247072345504</v>
      </c>
      <c r="P13" s="106" t="b">
        <f t="shared" si="1"/>
        <v>0</v>
      </c>
      <c r="Q13" s="460">
        <f t="array" ref="Q13:CC13">C13*ForwardToZero(OisBuckets,E13,F13,G13)</f>
        <v>0</v>
      </c>
      <c r="R13" s="460">
        <v>0</v>
      </c>
      <c r="S13" s="460">
        <v>0</v>
      </c>
      <c r="T13" s="460">
        <v>0</v>
      </c>
      <c r="U13" s="460">
        <v>0</v>
      </c>
      <c r="V13" s="460">
        <v>0</v>
      </c>
      <c r="W13" s="460">
        <v>0</v>
      </c>
      <c r="X13" s="460">
        <v>-874.17247072345504</v>
      </c>
      <c r="Y13" s="460">
        <v>0</v>
      </c>
      <c r="Z13" s="460">
        <v>0</v>
      </c>
      <c r="AA13" s="460">
        <v>0</v>
      </c>
      <c r="AB13" s="460">
        <v>0</v>
      </c>
      <c r="AC13" s="460">
        <v>0</v>
      </c>
      <c r="AD13" s="460">
        <v>0</v>
      </c>
      <c r="AE13" s="460">
        <v>0</v>
      </c>
      <c r="AF13" s="460">
        <v>0</v>
      </c>
      <c r="AG13" s="460">
        <v>0</v>
      </c>
      <c r="AH13" s="460">
        <v>0</v>
      </c>
      <c r="AI13" s="460">
        <v>0</v>
      </c>
      <c r="AJ13" s="460">
        <v>0</v>
      </c>
      <c r="AK13" s="460">
        <v>0</v>
      </c>
      <c r="AL13" s="460">
        <v>0</v>
      </c>
      <c r="AM13" s="460">
        <v>0</v>
      </c>
      <c r="AN13" s="460">
        <v>0</v>
      </c>
      <c r="AO13" s="460">
        <v>0</v>
      </c>
      <c r="AP13" s="460">
        <v>0</v>
      </c>
      <c r="AQ13" s="460">
        <v>0</v>
      </c>
      <c r="AR13" s="460">
        <v>0</v>
      </c>
      <c r="AS13" s="460">
        <v>0</v>
      </c>
      <c r="AT13" s="460">
        <v>0</v>
      </c>
      <c r="AU13" s="460">
        <v>0</v>
      </c>
      <c r="AV13" s="460">
        <v>0</v>
      </c>
      <c r="AW13" s="460">
        <v>0</v>
      </c>
      <c r="AX13" s="460">
        <v>0</v>
      </c>
      <c r="AY13" s="460">
        <v>0</v>
      </c>
      <c r="AZ13" s="460">
        <v>0</v>
      </c>
      <c r="BA13" s="460">
        <v>0</v>
      </c>
      <c r="BB13" s="460">
        <v>0</v>
      </c>
      <c r="BC13" s="460">
        <v>0</v>
      </c>
      <c r="BD13" s="460">
        <v>0</v>
      </c>
      <c r="BE13" s="460">
        <v>0</v>
      </c>
      <c r="BF13" s="460">
        <v>0</v>
      </c>
      <c r="BG13" s="460">
        <v>0</v>
      </c>
      <c r="BH13" s="460">
        <v>0</v>
      </c>
      <c r="BI13" s="460">
        <v>0</v>
      </c>
      <c r="BJ13" s="460">
        <v>0</v>
      </c>
      <c r="BK13" s="460">
        <v>0</v>
      </c>
      <c r="BL13" s="460">
        <v>0</v>
      </c>
      <c r="BM13" s="460">
        <v>0</v>
      </c>
      <c r="BN13" s="460">
        <v>0</v>
      </c>
      <c r="BO13" s="460">
        <v>0</v>
      </c>
      <c r="BP13" s="460">
        <v>0</v>
      </c>
      <c r="BQ13" s="460">
        <v>0</v>
      </c>
      <c r="BR13" s="460">
        <v>0</v>
      </c>
      <c r="BS13" s="460">
        <v>0</v>
      </c>
      <c r="BT13" s="460">
        <v>0</v>
      </c>
      <c r="BU13" s="460">
        <v>0</v>
      </c>
      <c r="BV13" s="460">
        <v>0</v>
      </c>
      <c r="BW13" s="460">
        <v>0</v>
      </c>
      <c r="BX13" s="460">
        <v>0</v>
      </c>
      <c r="BY13" s="460">
        <v>0</v>
      </c>
      <c r="BZ13" s="460">
        <v>0</v>
      </c>
      <c r="CA13" s="460" t="e">
        <v>#N/A</v>
      </c>
      <c r="CB13" s="460" t="e">
        <v>#N/A</v>
      </c>
      <c r="CC13" s="460" t="e">
        <v>#N/A</v>
      </c>
    </row>
    <row r="14" spans="1:81" ht="12.75" customHeight="1">
      <c r="A14" s="105">
        <v>9</v>
      </c>
      <c r="B14" s="112" t="str">
        <v>3M</v>
      </c>
      <c r="C14" s="262">
        <f>'eur disaggregated'!AL25</f>
        <v>-624.58080266680702</v>
      </c>
      <c r="D14" s="111" t="str">
        <f t="shared" si="2"/>
        <v>3M</v>
      </c>
      <c r="E14" s="441">
        <f>BktEur1mPL!E14</f>
        <v>42696</v>
      </c>
      <c r="F14" s="441">
        <f>BktEur1mPL!F14</f>
        <v>42788</v>
      </c>
      <c r="G14" s="462">
        <f t="shared" si="3"/>
        <v>-3.7199999999999998E-3</v>
      </c>
      <c r="H14" s="453">
        <f>BktEur1mPL!H14</f>
        <v>-0.372</v>
      </c>
      <c r="I14" s="107" t="str">
        <v>3M</v>
      </c>
      <c r="J14" s="106" t="str">
        <f t="shared" si="0"/>
        <v>3M</v>
      </c>
      <c r="K14" s="448">
        <f>_xll.qlCalendarAdvance("TARGET",$C$1,J14)</f>
        <v>42788</v>
      </c>
      <c r="M14" s="99" t="str">
        <v>3M</v>
      </c>
      <c r="N14" s="465">
        <v>-624.58080266680702</v>
      </c>
      <c r="P14" s="106" t="b">
        <f t="shared" si="1"/>
        <v>0</v>
      </c>
      <c r="Q14" s="460">
        <f t="array" ref="Q14:CC14">C14*ForwardToZero(OisBuckets,E14,F14,G14)</f>
        <v>0</v>
      </c>
      <c r="R14" s="460">
        <v>0</v>
      </c>
      <c r="S14" s="460">
        <v>0</v>
      </c>
      <c r="T14" s="460">
        <v>0</v>
      </c>
      <c r="U14" s="460">
        <v>0</v>
      </c>
      <c r="V14" s="460">
        <v>0</v>
      </c>
      <c r="W14" s="460">
        <v>0</v>
      </c>
      <c r="X14" s="460">
        <v>0</v>
      </c>
      <c r="Y14" s="460">
        <v>-624.58080266680702</v>
      </c>
      <c r="Z14" s="460">
        <v>0</v>
      </c>
      <c r="AA14" s="460">
        <v>0</v>
      </c>
      <c r="AB14" s="460">
        <v>0</v>
      </c>
      <c r="AC14" s="460">
        <v>0</v>
      </c>
      <c r="AD14" s="460">
        <v>0</v>
      </c>
      <c r="AE14" s="460">
        <v>0</v>
      </c>
      <c r="AF14" s="460">
        <v>0</v>
      </c>
      <c r="AG14" s="460">
        <v>0</v>
      </c>
      <c r="AH14" s="460">
        <v>0</v>
      </c>
      <c r="AI14" s="460">
        <v>0</v>
      </c>
      <c r="AJ14" s="460">
        <v>0</v>
      </c>
      <c r="AK14" s="460">
        <v>0</v>
      </c>
      <c r="AL14" s="460">
        <v>0</v>
      </c>
      <c r="AM14" s="460">
        <v>0</v>
      </c>
      <c r="AN14" s="460">
        <v>0</v>
      </c>
      <c r="AO14" s="460">
        <v>0</v>
      </c>
      <c r="AP14" s="460">
        <v>0</v>
      </c>
      <c r="AQ14" s="460">
        <v>0</v>
      </c>
      <c r="AR14" s="460">
        <v>0</v>
      </c>
      <c r="AS14" s="460">
        <v>0</v>
      </c>
      <c r="AT14" s="460">
        <v>0</v>
      </c>
      <c r="AU14" s="460">
        <v>0</v>
      </c>
      <c r="AV14" s="460">
        <v>0</v>
      </c>
      <c r="AW14" s="460">
        <v>0</v>
      </c>
      <c r="AX14" s="460">
        <v>0</v>
      </c>
      <c r="AY14" s="460">
        <v>0</v>
      </c>
      <c r="AZ14" s="460">
        <v>0</v>
      </c>
      <c r="BA14" s="460">
        <v>0</v>
      </c>
      <c r="BB14" s="460">
        <v>0</v>
      </c>
      <c r="BC14" s="460">
        <v>0</v>
      </c>
      <c r="BD14" s="460">
        <v>0</v>
      </c>
      <c r="BE14" s="460">
        <v>0</v>
      </c>
      <c r="BF14" s="460">
        <v>0</v>
      </c>
      <c r="BG14" s="460">
        <v>0</v>
      </c>
      <c r="BH14" s="460">
        <v>0</v>
      </c>
      <c r="BI14" s="460">
        <v>0</v>
      </c>
      <c r="BJ14" s="460">
        <v>0</v>
      </c>
      <c r="BK14" s="460">
        <v>0</v>
      </c>
      <c r="BL14" s="460">
        <v>0</v>
      </c>
      <c r="BM14" s="460">
        <v>0</v>
      </c>
      <c r="BN14" s="460">
        <v>0</v>
      </c>
      <c r="BO14" s="460">
        <v>0</v>
      </c>
      <c r="BP14" s="460">
        <v>0</v>
      </c>
      <c r="BQ14" s="460">
        <v>0</v>
      </c>
      <c r="BR14" s="460">
        <v>0</v>
      </c>
      <c r="BS14" s="460">
        <v>0</v>
      </c>
      <c r="BT14" s="460">
        <v>0</v>
      </c>
      <c r="BU14" s="460">
        <v>0</v>
      </c>
      <c r="BV14" s="460">
        <v>0</v>
      </c>
      <c r="BW14" s="460">
        <v>0</v>
      </c>
      <c r="BX14" s="460">
        <v>0</v>
      </c>
      <c r="BY14" s="460">
        <v>0</v>
      </c>
      <c r="BZ14" s="460">
        <v>0</v>
      </c>
      <c r="CA14" s="460" t="e">
        <v>#N/A</v>
      </c>
      <c r="CB14" s="460" t="e">
        <v>#N/A</v>
      </c>
      <c r="CC14" s="460" t="e">
        <v>#N/A</v>
      </c>
    </row>
    <row r="15" spans="1:81" ht="12.75" customHeight="1">
      <c r="A15" s="105">
        <v>10</v>
      </c>
      <c r="B15" s="112" t="str">
        <v>4M</v>
      </c>
      <c r="C15" s="262">
        <f>'eur disaggregated'!AL26</f>
        <v>-2933.24458425074</v>
      </c>
      <c r="D15" s="111" t="str">
        <f t="shared" si="2"/>
        <v>4M</v>
      </c>
      <c r="E15" s="441">
        <f>BktEur1mPL!E15</f>
        <v>42696</v>
      </c>
      <c r="F15" s="441">
        <f>BktEur1mPL!F15</f>
        <v>42816</v>
      </c>
      <c r="G15" s="462">
        <f t="shared" si="3"/>
        <v>-3.7199999999999998E-3</v>
      </c>
      <c r="H15" s="453">
        <f>BktEur1mPL!H15</f>
        <v>-0.372</v>
      </c>
      <c r="I15" s="107" t="str">
        <v>4M</v>
      </c>
      <c r="J15" s="106" t="str">
        <f t="shared" si="0"/>
        <v>4M</v>
      </c>
      <c r="K15" s="448">
        <f>_xll.qlCalendarAdvance("TARGET",$C$1,J15)</f>
        <v>42816</v>
      </c>
      <c r="M15" s="99" t="str">
        <v>4M</v>
      </c>
      <c r="N15" s="465">
        <v>-2933.24458425074</v>
      </c>
      <c r="P15" s="106" t="b">
        <f t="shared" si="1"/>
        <v>0</v>
      </c>
      <c r="Q15" s="460">
        <f t="array" ref="Q15:CC15">C15*ForwardToZero(OisBuckets,E15,F15,G15)</f>
        <v>0</v>
      </c>
      <c r="R15" s="460">
        <v>0</v>
      </c>
      <c r="S15" s="460">
        <v>0</v>
      </c>
      <c r="T15" s="460">
        <v>0</v>
      </c>
      <c r="U15" s="460">
        <v>0</v>
      </c>
      <c r="V15" s="460">
        <v>0</v>
      </c>
      <c r="W15" s="460">
        <v>0</v>
      </c>
      <c r="X15" s="460">
        <v>0</v>
      </c>
      <c r="Y15" s="460">
        <v>0</v>
      </c>
      <c r="Z15" s="460">
        <v>-2933.24458425074</v>
      </c>
      <c r="AA15" s="460">
        <v>0</v>
      </c>
      <c r="AB15" s="460">
        <v>0</v>
      </c>
      <c r="AC15" s="460">
        <v>0</v>
      </c>
      <c r="AD15" s="460">
        <v>0</v>
      </c>
      <c r="AE15" s="460">
        <v>0</v>
      </c>
      <c r="AF15" s="460">
        <v>0</v>
      </c>
      <c r="AG15" s="460">
        <v>0</v>
      </c>
      <c r="AH15" s="460">
        <v>0</v>
      </c>
      <c r="AI15" s="460">
        <v>0</v>
      </c>
      <c r="AJ15" s="460">
        <v>0</v>
      </c>
      <c r="AK15" s="460">
        <v>0</v>
      </c>
      <c r="AL15" s="460">
        <v>0</v>
      </c>
      <c r="AM15" s="460">
        <v>0</v>
      </c>
      <c r="AN15" s="460">
        <v>0</v>
      </c>
      <c r="AO15" s="460">
        <v>0</v>
      </c>
      <c r="AP15" s="460">
        <v>0</v>
      </c>
      <c r="AQ15" s="460">
        <v>0</v>
      </c>
      <c r="AR15" s="460">
        <v>0</v>
      </c>
      <c r="AS15" s="460">
        <v>0</v>
      </c>
      <c r="AT15" s="460">
        <v>0</v>
      </c>
      <c r="AU15" s="460">
        <v>0</v>
      </c>
      <c r="AV15" s="460">
        <v>0</v>
      </c>
      <c r="AW15" s="460">
        <v>0</v>
      </c>
      <c r="AX15" s="460">
        <v>0</v>
      </c>
      <c r="AY15" s="460">
        <v>0</v>
      </c>
      <c r="AZ15" s="460">
        <v>0</v>
      </c>
      <c r="BA15" s="460">
        <v>0</v>
      </c>
      <c r="BB15" s="460">
        <v>0</v>
      </c>
      <c r="BC15" s="460">
        <v>0</v>
      </c>
      <c r="BD15" s="460">
        <v>0</v>
      </c>
      <c r="BE15" s="460">
        <v>0</v>
      </c>
      <c r="BF15" s="460">
        <v>0</v>
      </c>
      <c r="BG15" s="460">
        <v>0</v>
      </c>
      <c r="BH15" s="460">
        <v>0</v>
      </c>
      <c r="BI15" s="460">
        <v>0</v>
      </c>
      <c r="BJ15" s="460">
        <v>0</v>
      </c>
      <c r="BK15" s="460">
        <v>0</v>
      </c>
      <c r="BL15" s="460">
        <v>0</v>
      </c>
      <c r="BM15" s="460">
        <v>0</v>
      </c>
      <c r="BN15" s="460">
        <v>0</v>
      </c>
      <c r="BO15" s="460">
        <v>0</v>
      </c>
      <c r="BP15" s="460">
        <v>0</v>
      </c>
      <c r="BQ15" s="460">
        <v>0</v>
      </c>
      <c r="BR15" s="460">
        <v>0</v>
      </c>
      <c r="BS15" s="460">
        <v>0</v>
      </c>
      <c r="BT15" s="460">
        <v>0</v>
      </c>
      <c r="BU15" s="460">
        <v>0</v>
      </c>
      <c r="BV15" s="460">
        <v>0</v>
      </c>
      <c r="BW15" s="460">
        <v>0</v>
      </c>
      <c r="BX15" s="460">
        <v>0</v>
      </c>
      <c r="BY15" s="460">
        <v>0</v>
      </c>
      <c r="BZ15" s="460">
        <v>0</v>
      </c>
      <c r="CA15" s="460" t="e">
        <v>#N/A</v>
      </c>
      <c r="CB15" s="460" t="e">
        <v>#N/A</v>
      </c>
      <c r="CC15" s="460" t="e">
        <v>#N/A</v>
      </c>
    </row>
    <row r="16" spans="1:81" ht="12.75" customHeight="1">
      <c r="A16" s="105">
        <v>11</v>
      </c>
      <c r="B16" s="112" t="str">
        <v>5M</v>
      </c>
      <c r="C16" s="262">
        <f>'eur disaggregated'!AL27</f>
        <v>930.42418436719299</v>
      </c>
      <c r="D16" s="111" t="str">
        <f t="shared" si="2"/>
        <v>5M</v>
      </c>
      <c r="E16" s="441">
        <f>BktEur1mPL!E16</f>
        <v>42696</v>
      </c>
      <c r="F16" s="441">
        <f>BktEur1mPL!F16</f>
        <v>42849</v>
      </c>
      <c r="G16" s="462">
        <f t="shared" si="3"/>
        <v>-3.7299999999999998E-3</v>
      </c>
      <c r="H16" s="453">
        <f>BktEur1mPL!H16</f>
        <v>-0.373</v>
      </c>
      <c r="I16" s="107" t="str">
        <v>5M</v>
      </c>
      <c r="J16" s="106" t="str">
        <f t="shared" si="0"/>
        <v>5M</v>
      </c>
      <c r="K16" s="448">
        <f>_xll.qlCalendarAdvance("TARGET",$C$1,J16)</f>
        <v>42849</v>
      </c>
      <c r="M16" s="99" t="str">
        <v>5M</v>
      </c>
      <c r="N16" s="465">
        <v>930.42418436719299</v>
      </c>
      <c r="P16" s="106" t="b">
        <f t="shared" si="1"/>
        <v>0</v>
      </c>
      <c r="Q16" s="460">
        <f t="array" ref="Q16:CC16">C16*ForwardToZero(OisBuckets,E16,F16,G16)</f>
        <v>0</v>
      </c>
      <c r="R16" s="460">
        <v>0</v>
      </c>
      <c r="S16" s="460">
        <v>0</v>
      </c>
      <c r="T16" s="460">
        <v>0</v>
      </c>
      <c r="U16" s="460">
        <v>0</v>
      </c>
      <c r="V16" s="460">
        <v>0</v>
      </c>
      <c r="W16" s="460">
        <v>0</v>
      </c>
      <c r="X16" s="460">
        <v>0</v>
      </c>
      <c r="Y16" s="460">
        <v>0</v>
      </c>
      <c r="Z16" s="460">
        <v>0</v>
      </c>
      <c r="AA16" s="460">
        <v>930.42418436719299</v>
      </c>
      <c r="AB16" s="460">
        <v>0</v>
      </c>
      <c r="AC16" s="460">
        <v>0</v>
      </c>
      <c r="AD16" s="460">
        <v>0</v>
      </c>
      <c r="AE16" s="460">
        <v>0</v>
      </c>
      <c r="AF16" s="460">
        <v>0</v>
      </c>
      <c r="AG16" s="460">
        <v>0</v>
      </c>
      <c r="AH16" s="460">
        <v>0</v>
      </c>
      <c r="AI16" s="460">
        <v>0</v>
      </c>
      <c r="AJ16" s="460">
        <v>0</v>
      </c>
      <c r="AK16" s="460">
        <v>0</v>
      </c>
      <c r="AL16" s="460">
        <v>0</v>
      </c>
      <c r="AM16" s="460">
        <v>0</v>
      </c>
      <c r="AN16" s="460">
        <v>0</v>
      </c>
      <c r="AO16" s="460">
        <v>0</v>
      </c>
      <c r="AP16" s="460">
        <v>0</v>
      </c>
      <c r="AQ16" s="460">
        <v>0</v>
      </c>
      <c r="AR16" s="460">
        <v>0</v>
      </c>
      <c r="AS16" s="460">
        <v>0</v>
      </c>
      <c r="AT16" s="460">
        <v>0</v>
      </c>
      <c r="AU16" s="460">
        <v>0</v>
      </c>
      <c r="AV16" s="460">
        <v>0</v>
      </c>
      <c r="AW16" s="460">
        <v>0</v>
      </c>
      <c r="AX16" s="460">
        <v>0</v>
      </c>
      <c r="AY16" s="460">
        <v>0</v>
      </c>
      <c r="AZ16" s="460">
        <v>0</v>
      </c>
      <c r="BA16" s="460">
        <v>0</v>
      </c>
      <c r="BB16" s="460">
        <v>0</v>
      </c>
      <c r="BC16" s="460">
        <v>0</v>
      </c>
      <c r="BD16" s="460">
        <v>0</v>
      </c>
      <c r="BE16" s="460">
        <v>0</v>
      </c>
      <c r="BF16" s="460">
        <v>0</v>
      </c>
      <c r="BG16" s="460">
        <v>0</v>
      </c>
      <c r="BH16" s="460">
        <v>0</v>
      </c>
      <c r="BI16" s="460">
        <v>0</v>
      </c>
      <c r="BJ16" s="460">
        <v>0</v>
      </c>
      <c r="BK16" s="460">
        <v>0</v>
      </c>
      <c r="BL16" s="460">
        <v>0</v>
      </c>
      <c r="BM16" s="460">
        <v>0</v>
      </c>
      <c r="BN16" s="460">
        <v>0</v>
      </c>
      <c r="BO16" s="460">
        <v>0</v>
      </c>
      <c r="BP16" s="460">
        <v>0</v>
      </c>
      <c r="BQ16" s="460">
        <v>0</v>
      </c>
      <c r="BR16" s="460">
        <v>0</v>
      </c>
      <c r="BS16" s="460">
        <v>0</v>
      </c>
      <c r="BT16" s="460">
        <v>0</v>
      </c>
      <c r="BU16" s="460">
        <v>0</v>
      </c>
      <c r="BV16" s="460">
        <v>0</v>
      </c>
      <c r="BW16" s="460">
        <v>0</v>
      </c>
      <c r="BX16" s="460">
        <v>0</v>
      </c>
      <c r="BY16" s="460">
        <v>0</v>
      </c>
      <c r="BZ16" s="460">
        <v>0</v>
      </c>
      <c r="CA16" s="460" t="e">
        <v>#N/A</v>
      </c>
      <c r="CB16" s="460" t="e">
        <v>#N/A</v>
      </c>
      <c r="CC16" s="460" t="e">
        <v>#N/A</v>
      </c>
    </row>
    <row r="17" spans="1:81" ht="12.75" customHeight="1">
      <c r="A17" s="105">
        <v>12</v>
      </c>
      <c r="B17" s="112" t="str">
        <v>6M</v>
      </c>
      <c r="C17" s="262">
        <f>'eur disaggregated'!AL28</f>
        <v>1478.6638414945801</v>
      </c>
      <c r="D17" s="111" t="str">
        <f t="shared" si="2"/>
        <v>6M</v>
      </c>
      <c r="E17" s="441">
        <f>BktEur1mPL!E17</f>
        <v>42696</v>
      </c>
      <c r="F17" s="441">
        <f>BktEur1mPL!F17</f>
        <v>42877</v>
      </c>
      <c r="G17" s="462">
        <f t="shared" si="3"/>
        <v>-3.7299999999999998E-3</v>
      </c>
      <c r="H17" s="453">
        <f>BktEur1mPL!H17</f>
        <v>-0.373</v>
      </c>
      <c r="I17" s="107" t="str">
        <v>6M</v>
      </c>
      <c r="J17" s="106" t="str">
        <f t="shared" si="0"/>
        <v>6M</v>
      </c>
      <c r="K17" s="448">
        <f>_xll.qlCalendarAdvance("TARGET",$C$1,J17)</f>
        <v>42877</v>
      </c>
      <c r="M17" s="99" t="str">
        <v>6M</v>
      </c>
      <c r="N17" s="465">
        <v>1478.6638414945801</v>
      </c>
      <c r="P17" s="106" t="b">
        <f t="shared" si="1"/>
        <v>0</v>
      </c>
      <c r="Q17" s="460">
        <f t="array" ref="Q17:CC17">C17*ForwardToZero(OisBuckets,E17,F17,G17)</f>
        <v>0</v>
      </c>
      <c r="R17" s="460">
        <v>0</v>
      </c>
      <c r="S17" s="460">
        <v>0</v>
      </c>
      <c r="T17" s="460">
        <v>0</v>
      </c>
      <c r="U17" s="460">
        <v>0</v>
      </c>
      <c r="V17" s="460">
        <v>0</v>
      </c>
      <c r="W17" s="460">
        <v>0</v>
      </c>
      <c r="X17" s="460">
        <v>0</v>
      </c>
      <c r="Y17" s="460">
        <v>0</v>
      </c>
      <c r="Z17" s="460">
        <v>0</v>
      </c>
      <c r="AA17" s="460">
        <v>0</v>
      </c>
      <c r="AB17" s="460">
        <v>1478.6638414945801</v>
      </c>
      <c r="AC17" s="460">
        <v>0</v>
      </c>
      <c r="AD17" s="460">
        <v>0</v>
      </c>
      <c r="AE17" s="460">
        <v>0</v>
      </c>
      <c r="AF17" s="460">
        <v>0</v>
      </c>
      <c r="AG17" s="460">
        <v>0</v>
      </c>
      <c r="AH17" s="460">
        <v>0</v>
      </c>
      <c r="AI17" s="460">
        <v>0</v>
      </c>
      <c r="AJ17" s="460">
        <v>0</v>
      </c>
      <c r="AK17" s="460">
        <v>0</v>
      </c>
      <c r="AL17" s="460">
        <v>0</v>
      </c>
      <c r="AM17" s="460">
        <v>0</v>
      </c>
      <c r="AN17" s="460">
        <v>0</v>
      </c>
      <c r="AO17" s="460">
        <v>0</v>
      </c>
      <c r="AP17" s="460">
        <v>0</v>
      </c>
      <c r="AQ17" s="460">
        <v>0</v>
      </c>
      <c r="AR17" s="460">
        <v>0</v>
      </c>
      <c r="AS17" s="460">
        <v>0</v>
      </c>
      <c r="AT17" s="460">
        <v>0</v>
      </c>
      <c r="AU17" s="460">
        <v>0</v>
      </c>
      <c r="AV17" s="460">
        <v>0</v>
      </c>
      <c r="AW17" s="460">
        <v>0</v>
      </c>
      <c r="AX17" s="460">
        <v>0</v>
      </c>
      <c r="AY17" s="460">
        <v>0</v>
      </c>
      <c r="AZ17" s="460">
        <v>0</v>
      </c>
      <c r="BA17" s="460">
        <v>0</v>
      </c>
      <c r="BB17" s="460">
        <v>0</v>
      </c>
      <c r="BC17" s="460">
        <v>0</v>
      </c>
      <c r="BD17" s="460">
        <v>0</v>
      </c>
      <c r="BE17" s="460">
        <v>0</v>
      </c>
      <c r="BF17" s="460">
        <v>0</v>
      </c>
      <c r="BG17" s="460">
        <v>0</v>
      </c>
      <c r="BH17" s="460">
        <v>0</v>
      </c>
      <c r="BI17" s="460">
        <v>0</v>
      </c>
      <c r="BJ17" s="460">
        <v>0</v>
      </c>
      <c r="BK17" s="460">
        <v>0</v>
      </c>
      <c r="BL17" s="460">
        <v>0</v>
      </c>
      <c r="BM17" s="460">
        <v>0</v>
      </c>
      <c r="BN17" s="460">
        <v>0</v>
      </c>
      <c r="BO17" s="460">
        <v>0</v>
      </c>
      <c r="BP17" s="460">
        <v>0</v>
      </c>
      <c r="BQ17" s="460">
        <v>0</v>
      </c>
      <c r="BR17" s="460">
        <v>0</v>
      </c>
      <c r="BS17" s="460">
        <v>0</v>
      </c>
      <c r="BT17" s="460">
        <v>0</v>
      </c>
      <c r="BU17" s="460">
        <v>0</v>
      </c>
      <c r="BV17" s="460">
        <v>0</v>
      </c>
      <c r="BW17" s="460">
        <v>0</v>
      </c>
      <c r="BX17" s="460">
        <v>0</v>
      </c>
      <c r="BY17" s="460">
        <v>0</v>
      </c>
      <c r="BZ17" s="460">
        <v>0</v>
      </c>
      <c r="CA17" s="460" t="e">
        <v>#N/A</v>
      </c>
      <c r="CB17" s="460" t="e">
        <v>#N/A</v>
      </c>
      <c r="CC17" s="460" t="e">
        <v>#N/A</v>
      </c>
    </row>
    <row r="18" spans="1:81" ht="12.75" customHeight="1">
      <c r="A18" s="105">
        <v>13</v>
      </c>
      <c r="B18" s="112" t="str">
        <v>7M</v>
      </c>
      <c r="C18" s="262">
        <f>'eur disaggregated'!AL29</f>
        <v>-5840.4986884384098</v>
      </c>
      <c r="D18" s="111" t="str">
        <f t="shared" si="2"/>
        <v>7M</v>
      </c>
      <c r="E18" s="441">
        <f>BktEur1mPL!E18</f>
        <v>42696</v>
      </c>
      <c r="F18" s="441">
        <f>BktEur1mPL!F18</f>
        <v>42908</v>
      </c>
      <c r="G18" s="462">
        <f t="shared" si="3"/>
        <v>-3.7299999999999998E-3</v>
      </c>
      <c r="H18" s="453">
        <f>BktEur1mPL!H18</f>
        <v>-0.373</v>
      </c>
      <c r="I18" s="107" t="str">
        <v>7M</v>
      </c>
      <c r="J18" s="106" t="str">
        <f t="shared" si="0"/>
        <v>7M</v>
      </c>
      <c r="K18" s="448">
        <f>_xll.qlCalendarAdvance("TARGET",$C$1,J18)</f>
        <v>42908</v>
      </c>
      <c r="M18" s="99" t="str">
        <v>7M</v>
      </c>
      <c r="N18" s="465">
        <v>-5840.4986884384098</v>
      </c>
      <c r="P18" s="106" t="b">
        <f t="shared" si="1"/>
        <v>0</v>
      </c>
      <c r="Q18" s="460">
        <f t="array" ref="Q18:CC18">C18*ForwardToZero(OisBuckets,E18,F18,G18)</f>
        <v>0</v>
      </c>
      <c r="R18" s="460">
        <v>0</v>
      </c>
      <c r="S18" s="460">
        <v>0</v>
      </c>
      <c r="T18" s="460">
        <v>0</v>
      </c>
      <c r="U18" s="460">
        <v>0</v>
      </c>
      <c r="V18" s="460">
        <v>0</v>
      </c>
      <c r="W18" s="460">
        <v>0</v>
      </c>
      <c r="X18" s="460">
        <v>0</v>
      </c>
      <c r="Y18" s="460">
        <v>0</v>
      </c>
      <c r="Z18" s="460">
        <v>0</v>
      </c>
      <c r="AA18" s="460">
        <v>0</v>
      </c>
      <c r="AB18" s="460">
        <v>0</v>
      </c>
      <c r="AC18" s="460">
        <v>-5840.4986884384098</v>
      </c>
      <c r="AD18" s="460">
        <v>0</v>
      </c>
      <c r="AE18" s="460">
        <v>0</v>
      </c>
      <c r="AF18" s="460">
        <v>0</v>
      </c>
      <c r="AG18" s="460">
        <v>0</v>
      </c>
      <c r="AH18" s="460">
        <v>0</v>
      </c>
      <c r="AI18" s="460">
        <v>0</v>
      </c>
      <c r="AJ18" s="460">
        <v>0</v>
      </c>
      <c r="AK18" s="460">
        <v>0</v>
      </c>
      <c r="AL18" s="460">
        <v>0</v>
      </c>
      <c r="AM18" s="460">
        <v>0</v>
      </c>
      <c r="AN18" s="460">
        <v>0</v>
      </c>
      <c r="AO18" s="460">
        <v>0</v>
      </c>
      <c r="AP18" s="460">
        <v>0</v>
      </c>
      <c r="AQ18" s="460">
        <v>0</v>
      </c>
      <c r="AR18" s="460">
        <v>0</v>
      </c>
      <c r="AS18" s="460">
        <v>0</v>
      </c>
      <c r="AT18" s="460">
        <v>0</v>
      </c>
      <c r="AU18" s="460">
        <v>0</v>
      </c>
      <c r="AV18" s="460">
        <v>0</v>
      </c>
      <c r="AW18" s="460">
        <v>0</v>
      </c>
      <c r="AX18" s="460">
        <v>0</v>
      </c>
      <c r="AY18" s="460">
        <v>0</v>
      </c>
      <c r="AZ18" s="460">
        <v>0</v>
      </c>
      <c r="BA18" s="460">
        <v>0</v>
      </c>
      <c r="BB18" s="460">
        <v>0</v>
      </c>
      <c r="BC18" s="460">
        <v>0</v>
      </c>
      <c r="BD18" s="460">
        <v>0</v>
      </c>
      <c r="BE18" s="460">
        <v>0</v>
      </c>
      <c r="BF18" s="460">
        <v>0</v>
      </c>
      <c r="BG18" s="460">
        <v>0</v>
      </c>
      <c r="BH18" s="460">
        <v>0</v>
      </c>
      <c r="BI18" s="460">
        <v>0</v>
      </c>
      <c r="BJ18" s="460">
        <v>0</v>
      </c>
      <c r="BK18" s="460">
        <v>0</v>
      </c>
      <c r="BL18" s="460">
        <v>0</v>
      </c>
      <c r="BM18" s="460">
        <v>0</v>
      </c>
      <c r="BN18" s="460">
        <v>0</v>
      </c>
      <c r="BO18" s="460">
        <v>0</v>
      </c>
      <c r="BP18" s="460">
        <v>0</v>
      </c>
      <c r="BQ18" s="460">
        <v>0</v>
      </c>
      <c r="BR18" s="460">
        <v>0</v>
      </c>
      <c r="BS18" s="460">
        <v>0</v>
      </c>
      <c r="BT18" s="460">
        <v>0</v>
      </c>
      <c r="BU18" s="460">
        <v>0</v>
      </c>
      <c r="BV18" s="460">
        <v>0</v>
      </c>
      <c r="BW18" s="460">
        <v>0</v>
      </c>
      <c r="BX18" s="460">
        <v>0</v>
      </c>
      <c r="BY18" s="460">
        <v>0</v>
      </c>
      <c r="BZ18" s="460">
        <v>0</v>
      </c>
      <c r="CA18" s="460" t="e">
        <v>#N/A</v>
      </c>
      <c r="CB18" s="460" t="e">
        <v>#N/A</v>
      </c>
      <c r="CC18" s="460" t="e">
        <v>#N/A</v>
      </c>
    </row>
    <row r="19" spans="1:81" ht="12.75" customHeight="1">
      <c r="A19" s="105">
        <v>14</v>
      </c>
      <c r="B19" s="112" t="str">
        <v>8M</v>
      </c>
      <c r="C19" s="262">
        <f>'eur disaggregated'!AL30</f>
        <v>5846.6164206244803</v>
      </c>
      <c r="D19" s="111" t="str">
        <f t="shared" si="2"/>
        <v>8M</v>
      </c>
      <c r="E19" s="441">
        <f>BktEur1mPL!E19</f>
        <v>42696</v>
      </c>
      <c r="F19" s="441">
        <f>BktEur1mPL!F19</f>
        <v>42940</v>
      </c>
      <c r="G19" s="462">
        <f t="shared" si="3"/>
        <v>-3.7199999999999998E-3</v>
      </c>
      <c r="H19" s="453">
        <f>BktEur1mPL!H19</f>
        <v>-0.372</v>
      </c>
      <c r="I19" s="107" t="str">
        <v>8M</v>
      </c>
      <c r="J19" s="106" t="str">
        <f t="shared" si="0"/>
        <v>8M</v>
      </c>
      <c r="K19" s="448">
        <f>_xll.qlCalendarAdvance("TARGET",$C$1,J19)</f>
        <v>42940</v>
      </c>
      <c r="M19" s="99" t="str">
        <v>8M</v>
      </c>
      <c r="N19" s="465">
        <v>5846.6164206244803</v>
      </c>
      <c r="P19" s="106" t="b">
        <f t="shared" si="1"/>
        <v>0</v>
      </c>
      <c r="Q19" s="460">
        <f t="array" ref="Q19:CC19">C19*ForwardToZero(OisBuckets,E19,F19,G19)</f>
        <v>0</v>
      </c>
      <c r="R19" s="460">
        <v>0</v>
      </c>
      <c r="S19" s="460">
        <v>0</v>
      </c>
      <c r="T19" s="460">
        <v>0</v>
      </c>
      <c r="U19" s="460">
        <v>0</v>
      </c>
      <c r="V19" s="460">
        <v>0</v>
      </c>
      <c r="W19" s="460">
        <v>0</v>
      </c>
      <c r="X19" s="460">
        <v>0</v>
      </c>
      <c r="Y19" s="460">
        <v>0</v>
      </c>
      <c r="Z19" s="460">
        <v>0</v>
      </c>
      <c r="AA19" s="460">
        <v>0</v>
      </c>
      <c r="AB19" s="460">
        <v>0</v>
      </c>
      <c r="AC19" s="460">
        <v>0</v>
      </c>
      <c r="AD19" s="460">
        <v>5846.6164206244803</v>
      </c>
      <c r="AE19" s="460">
        <v>0</v>
      </c>
      <c r="AF19" s="460">
        <v>0</v>
      </c>
      <c r="AG19" s="460">
        <v>0</v>
      </c>
      <c r="AH19" s="460">
        <v>0</v>
      </c>
      <c r="AI19" s="460">
        <v>0</v>
      </c>
      <c r="AJ19" s="460">
        <v>0</v>
      </c>
      <c r="AK19" s="460">
        <v>0</v>
      </c>
      <c r="AL19" s="460">
        <v>0</v>
      </c>
      <c r="AM19" s="460">
        <v>0</v>
      </c>
      <c r="AN19" s="460">
        <v>0</v>
      </c>
      <c r="AO19" s="460">
        <v>0</v>
      </c>
      <c r="AP19" s="460">
        <v>0</v>
      </c>
      <c r="AQ19" s="460">
        <v>0</v>
      </c>
      <c r="AR19" s="460">
        <v>0</v>
      </c>
      <c r="AS19" s="460">
        <v>0</v>
      </c>
      <c r="AT19" s="460">
        <v>0</v>
      </c>
      <c r="AU19" s="460">
        <v>0</v>
      </c>
      <c r="AV19" s="460">
        <v>0</v>
      </c>
      <c r="AW19" s="460">
        <v>0</v>
      </c>
      <c r="AX19" s="460">
        <v>0</v>
      </c>
      <c r="AY19" s="460">
        <v>0</v>
      </c>
      <c r="AZ19" s="460">
        <v>0</v>
      </c>
      <c r="BA19" s="460">
        <v>0</v>
      </c>
      <c r="BB19" s="460">
        <v>0</v>
      </c>
      <c r="BC19" s="460">
        <v>0</v>
      </c>
      <c r="BD19" s="460">
        <v>0</v>
      </c>
      <c r="BE19" s="460">
        <v>0</v>
      </c>
      <c r="BF19" s="460">
        <v>0</v>
      </c>
      <c r="BG19" s="460">
        <v>0</v>
      </c>
      <c r="BH19" s="460">
        <v>0</v>
      </c>
      <c r="BI19" s="460">
        <v>0</v>
      </c>
      <c r="BJ19" s="460">
        <v>0</v>
      </c>
      <c r="BK19" s="460">
        <v>0</v>
      </c>
      <c r="BL19" s="460">
        <v>0</v>
      </c>
      <c r="BM19" s="460">
        <v>0</v>
      </c>
      <c r="BN19" s="460">
        <v>0</v>
      </c>
      <c r="BO19" s="460">
        <v>0</v>
      </c>
      <c r="BP19" s="460">
        <v>0</v>
      </c>
      <c r="BQ19" s="460">
        <v>0</v>
      </c>
      <c r="BR19" s="460">
        <v>0</v>
      </c>
      <c r="BS19" s="460">
        <v>0</v>
      </c>
      <c r="BT19" s="460">
        <v>0</v>
      </c>
      <c r="BU19" s="460">
        <v>0</v>
      </c>
      <c r="BV19" s="460">
        <v>0</v>
      </c>
      <c r="BW19" s="460">
        <v>0</v>
      </c>
      <c r="BX19" s="460">
        <v>0</v>
      </c>
      <c r="BY19" s="460">
        <v>0</v>
      </c>
      <c r="BZ19" s="460">
        <v>0</v>
      </c>
      <c r="CA19" s="460" t="e">
        <v>#N/A</v>
      </c>
      <c r="CB19" s="460" t="e">
        <v>#N/A</v>
      </c>
      <c r="CC19" s="460" t="e">
        <v>#N/A</v>
      </c>
    </row>
    <row r="20" spans="1:81" ht="12.75" customHeight="1">
      <c r="A20" s="105">
        <v>15</v>
      </c>
      <c r="B20" s="112" t="str">
        <v>9M</v>
      </c>
      <c r="C20" s="262">
        <f>'eur disaggregated'!AL31</f>
        <v>-3834.4889431023898</v>
      </c>
      <c r="D20" s="111" t="str">
        <f t="shared" si="2"/>
        <v>9M</v>
      </c>
      <c r="E20" s="441">
        <f>BktEur1mPL!E20</f>
        <v>42696</v>
      </c>
      <c r="F20" s="441">
        <f>BktEur1mPL!F20</f>
        <v>42969</v>
      </c>
      <c r="G20" s="462">
        <f t="shared" si="3"/>
        <v>-3.7199999999999998E-3</v>
      </c>
      <c r="H20" s="453">
        <f>BktEur1mPL!H20</f>
        <v>-0.372</v>
      </c>
      <c r="I20" s="107" t="str">
        <v>9M</v>
      </c>
      <c r="J20" s="106" t="str">
        <f t="shared" si="0"/>
        <v>9M</v>
      </c>
      <c r="K20" s="448">
        <f>_xll.qlCalendarAdvance("TARGET",$C$1,J20)</f>
        <v>42969</v>
      </c>
      <c r="M20" s="99" t="str">
        <v>9M</v>
      </c>
      <c r="N20" s="465">
        <v>-3834.4889431023898</v>
      </c>
      <c r="P20" s="106" t="b">
        <f t="shared" si="1"/>
        <v>0</v>
      </c>
      <c r="Q20" s="460">
        <f t="array" ref="Q20:CC20">C20*ForwardToZero(OisBuckets,E20,F20,G20)</f>
        <v>0</v>
      </c>
      <c r="R20" s="460">
        <v>0</v>
      </c>
      <c r="S20" s="460">
        <v>0</v>
      </c>
      <c r="T20" s="460">
        <v>0</v>
      </c>
      <c r="U20" s="460">
        <v>0</v>
      </c>
      <c r="V20" s="460">
        <v>0</v>
      </c>
      <c r="W20" s="460">
        <v>0</v>
      </c>
      <c r="X20" s="460">
        <v>0</v>
      </c>
      <c r="Y20" s="460">
        <v>0</v>
      </c>
      <c r="Z20" s="460">
        <v>0</v>
      </c>
      <c r="AA20" s="460">
        <v>0</v>
      </c>
      <c r="AB20" s="460">
        <v>0</v>
      </c>
      <c r="AC20" s="460">
        <v>0</v>
      </c>
      <c r="AD20" s="460">
        <v>0</v>
      </c>
      <c r="AE20" s="460">
        <v>-3834.4889431023898</v>
      </c>
      <c r="AF20" s="460">
        <v>0</v>
      </c>
      <c r="AG20" s="460">
        <v>0</v>
      </c>
      <c r="AH20" s="460">
        <v>0</v>
      </c>
      <c r="AI20" s="460">
        <v>0</v>
      </c>
      <c r="AJ20" s="460">
        <v>0</v>
      </c>
      <c r="AK20" s="460">
        <v>0</v>
      </c>
      <c r="AL20" s="460">
        <v>0</v>
      </c>
      <c r="AM20" s="460">
        <v>0</v>
      </c>
      <c r="AN20" s="460">
        <v>0</v>
      </c>
      <c r="AO20" s="460">
        <v>0</v>
      </c>
      <c r="AP20" s="460">
        <v>0</v>
      </c>
      <c r="AQ20" s="460">
        <v>0</v>
      </c>
      <c r="AR20" s="460">
        <v>0</v>
      </c>
      <c r="AS20" s="460">
        <v>0</v>
      </c>
      <c r="AT20" s="460">
        <v>0</v>
      </c>
      <c r="AU20" s="460">
        <v>0</v>
      </c>
      <c r="AV20" s="460">
        <v>0</v>
      </c>
      <c r="AW20" s="460">
        <v>0</v>
      </c>
      <c r="AX20" s="460">
        <v>0</v>
      </c>
      <c r="AY20" s="460">
        <v>0</v>
      </c>
      <c r="AZ20" s="460">
        <v>0</v>
      </c>
      <c r="BA20" s="460">
        <v>0</v>
      </c>
      <c r="BB20" s="460">
        <v>0</v>
      </c>
      <c r="BC20" s="460">
        <v>0</v>
      </c>
      <c r="BD20" s="460">
        <v>0</v>
      </c>
      <c r="BE20" s="460">
        <v>0</v>
      </c>
      <c r="BF20" s="460">
        <v>0</v>
      </c>
      <c r="BG20" s="460">
        <v>0</v>
      </c>
      <c r="BH20" s="460">
        <v>0</v>
      </c>
      <c r="BI20" s="460">
        <v>0</v>
      </c>
      <c r="BJ20" s="460">
        <v>0</v>
      </c>
      <c r="BK20" s="460">
        <v>0</v>
      </c>
      <c r="BL20" s="460">
        <v>0</v>
      </c>
      <c r="BM20" s="460">
        <v>0</v>
      </c>
      <c r="BN20" s="460">
        <v>0</v>
      </c>
      <c r="BO20" s="460">
        <v>0</v>
      </c>
      <c r="BP20" s="460">
        <v>0</v>
      </c>
      <c r="BQ20" s="460">
        <v>0</v>
      </c>
      <c r="BR20" s="460">
        <v>0</v>
      </c>
      <c r="BS20" s="460">
        <v>0</v>
      </c>
      <c r="BT20" s="460">
        <v>0</v>
      </c>
      <c r="BU20" s="460">
        <v>0</v>
      </c>
      <c r="BV20" s="460">
        <v>0</v>
      </c>
      <c r="BW20" s="460">
        <v>0</v>
      </c>
      <c r="BX20" s="460">
        <v>0</v>
      </c>
      <c r="BY20" s="460">
        <v>0</v>
      </c>
      <c r="BZ20" s="460">
        <v>0</v>
      </c>
      <c r="CA20" s="460" t="e">
        <v>#N/A</v>
      </c>
      <c r="CB20" s="460" t="e">
        <v>#N/A</v>
      </c>
      <c r="CC20" s="460" t="e">
        <v>#N/A</v>
      </c>
    </row>
    <row r="21" spans="1:81" ht="12.75" customHeight="1">
      <c r="A21" s="105">
        <v>16</v>
      </c>
      <c r="B21" s="112" t="str">
        <v>10M</v>
      </c>
      <c r="C21" s="262">
        <f>'eur disaggregated'!AL32</f>
        <v>-3470.4979195719102</v>
      </c>
      <c r="D21" s="111" t="str">
        <f t="shared" si="2"/>
        <v>10M</v>
      </c>
      <c r="E21" s="441">
        <f>BktEur1mPL!E21</f>
        <v>42696</v>
      </c>
      <c r="F21" s="441">
        <f>BktEur1mPL!F21</f>
        <v>43000</v>
      </c>
      <c r="G21" s="462">
        <f t="shared" si="3"/>
        <v>-3.7099999999999998E-3</v>
      </c>
      <c r="H21" s="453">
        <f>BktEur1mPL!H21</f>
        <v>-0.371</v>
      </c>
      <c r="I21" s="107" t="str">
        <v>10M</v>
      </c>
      <c r="J21" s="106" t="str">
        <f t="shared" si="0"/>
        <v>10M</v>
      </c>
      <c r="K21" s="448">
        <f>_xll.qlCalendarAdvance("TARGET",$C$1,J21)</f>
        <v>43000</v>
      </c>
      <c r="M21" s="99" t="str">
        <v>10M</v>
      </c>
      <c r="N21" s="465">
        <v>-3470.4979195719102</v>
      </c>
      <c r="P21" s="106" t="b">
        <f t="shared" si="1"/>
        <v>0</v>
      </c>
      <c r="Q21" s="460">
        <f t="array" ref="Q21:CC21">C21*ForwardToZero(OisBuckets,E21,F21,G21)</f>
        <v>0</v>
      </c>
      <c r="R21" s="460">
        <v>0</v>
      </c>
      <c r="S21" s="460">
        <v>0</v>
      </c>
      <c r="T21" s="460">
        <v>0</v>
      </c>
      <c r="U21" s="460">
        <v>0</v>
      </c>
      <c r="V21" s="460">
        <v>0</v>
      </c>
      <c r="W21" s="460">
        <v>0</v>
      </c>
      <c r="X21" s="460">
        <v>0</v>
      </c>
      <c r="Y21" s="460">
        <v>0</v>
      </c>
      <c r="Z21" s="460">
        <v>0</v>
      </c>
      <c r="AA21" s="460">
        <v>0</v>
      </c>
      <c r="AB21" s="460">
        <v>0</v>
      </c>
      <c r="AC21" s="460">
        <v>0</v>
      </c>
      <c r="AD21" s="460">
        <v>0</v>
      </c>
      <c r="AE21" s="460">
        <v>0</v>
      </c>
      <c r="AF21" s="460">
        <v>-3470.4979195719102</v>
      </c>
      <c r="AG21" s="460">
        <v>0</v>
      </c>
      <c r="AH21" s="460">
        <v>0</v>
      </c>
      <c r="AI21" s="460">
        <v>0</v>
      </c>
      <c r="AJ21" s="460">
        <v>0</v>
      </c>
      <c r="AK21" s="460">
        <v>0</v>
      </c>
      <c r="AL21" s="460">
        <v>0</v>
      </c>
      <c r="AM21" s="460">
        <v>0</v>
      </c>
      <c r="AN21" s="460">
        <v>0</v>
      </c>
      <c r="AO21" s="460">
        <v>0</v>
      </c>
      <c r="AP21" s="460">
        <v>0</v>
      </c>
      <c r="AQ21" s="460">
        <v>0</v>
      </c>
      <c r="AR21" s="460">
        <v>0</v>
      </c>
      <c r="AS21" s="460">
        <v>0</v>
      </c>
      <c r="AT21" s="460">
        <v>0</v>
      </c>
      <c r="AU21" s="460">
        <v>0</v>
      </c>
      <c r="AV21" s="460">
        <v>0</v>
      </c>
      <c r="AW21" s="460">
        <v>0</v>
      </c>
      <c r="AX21" s="460">
        <v>0</v>
      </c>
      <c r="AY21" s="460">
        <v>0</v>
      </c>
      <c r="AZ21" s="460">
        <v>0</v>
      </c>
      <c r="BA21" s="460">
        <v>0</v>
      </c>
      <c r="BB21" s="460">
        <v>0</v>
      </c>
      <c r="BC21" s="460">
        <v>0</v>
      </c>
      <c r="BD21" s="460">
        <v>0</v>
      </c>
      <c r="BE21" s="460">
        <v>0</v>
      </c>
      <c r="BF21" s="460">
        <v>0</v>
      </c>
      <c r="BG21" s="460">
        <v>0</v>
      </c>
      <c r="BH21" s="460">
        <v>0</v>
      </c>
      <c r="BI21" s="460">
        <v>0</v>
      </c>
      <c r="BJ21" s="460">
        <v>0</v>
      </c>
      <c r="BK21" s="460">
        <v>0</v>
      </c>
      <c r="BL21" s="460">
        <v>0</v>
      </c>
      <c r="BM21" s="460">
        <v>0</v>
      </c>
      <c r="BN21" s="460">
        <v>0</v>
      </c>
      <c r="BO21" s="460">
        <v>0</v>
      </c>
      <c r="BP21" s="460">
        <v>0</v>
      </c>
      <c r="BQ21" s="460">
        <v>0</v>
      </c>
      <c r="BR21" s="460">
        <v>0</v>
      </c>
      <c r="BS21" s="460">
        <v>0</v>
      </c>
      <c r="BT21" s="460">
        <v>0</v>
      </c>
      <c r="BU21" s="460">
        <v>0</v>
      </c>
      <c r="BV21" s="460">
        <v>0</v>
      </c>
      <c r="BW21" s="460">
        <v>0</v>
      </c>
      <c r="BX21" s="460">
        <v>0</v>
      </c>
      <c r="BY21" s="460">
        <v>0</v>
      </c>
      <c r="BZ21" s="460">
        <v>0</v>
      </c>
      <c r="CA21" s="460" t="e">
        <v>#N/A</v>
      </c>
      <c r="CB21" s="460" t="e">
        <v>#N/A</v>
      </c>
      <c r="CC21" s="460" t="e">
        <v>#N/A</v>
      </c>
    </row>
    <row r="22" spans="1:81" ht="12.75" customHeight="1">
      <c r="A22" s="105">
        <v>17</v>
      </c>
      <c r="B22" s="112" t="str">
        <v>11M</v>
      </c>
      <c r="C22" s="262">
        <f>'eur disaggregated'!AL33</f>
        <v>4416.2067091142999</v>
      </c>
      <c r="D22" s="111" t="str">
        <f t="shared" si="2"/>
        <v>11M</v>
      </c>
      <c r="E22" s="441">
        <f>BktEur1mPL!E22</f>
        <v>42696</v>
      </c>
      <c r="F22" s="441">
        <f>BktEur1mPL!F22</f>
        <v>43031</v>
      </c>
      <c r="G22" s="462">
        <f t="shared" si="3"/>
        <v>-3.7000000000000002E-3</v>
      </c>
      <c r="H22" s="453">
        <f>BktEur1mPL!H22</f>
        <v>-0.37</v>
      </c>
      <c r="I22" s="107" t="str">
        <v>11M</v>
      </c>
      <c r="J22" s="106" t="str">
        <f>IF(LEN(I22)&gt;0,IF((MID(I22,4,1)=" "),I22,IF((LEN(I22)=8),DATE("20" &amp; RIGHT(I22,2),MID(I22,4,2),LEFT(I22,2)),SimplifyTenor(I22))),"")</f>
        <v>11M</v>
      </c>
      <c r="K22" s="448">
        <f>_xll.qlCalendarAdvance("TARGET",$C$1,J22)</f>
        <v>43031</v>
      </c>
      <c r="M22" s="99" t="str">
        <v>11M</v>
      </c>
      <c r="N22" s="465">
        <v>4416.2067091142999</v>
      </c>
      <c r="P22" s="106" t="b">
        <f t="shared" si="1"/>
        <v>0</v>
      </c>
      <c r="Q22" s="460">
        <f t="array" ref="Q22:CC22">C22*ForwardToZero(OisBuckets,E22,F22,G22)</f>
        <v>0</v>
      </c>
      <c r="R22" s="460">
        <v>0</v>
      </c>
      <c r="S22" s="460">
        <v>0</v>
      </c>
      <c r="T22" s="460">
        <v>0</v>
      </c>
      <c r="U22" s="460">
        <v>0</v>
      </c>
      <c r="V22" s="460">
        <v>0</v>
      </c>
      <c r="W22" s="460">
        <v>0</v>
      </c>
      <c r="X22" s="460">
        <v>0</v>
      </c>
      <c r="Y22" s="460">
        <v>0</v>
      </c>
      <c r="Z22" s="460">
        <v>0</v>
      </c>
      <c r="AA22" s="460">
        <v>0</v>
      </c>
      <c r="AB22" s="460">
        <v>0</v>
      </c>
      <c r="AC22" s="460">
        <v>0</v>
      </c>
      <c r="AD22" s="460">
        <v>0</v>
      </c>
      <c r="AE22" s="460">
        <v>0</v>
      </c>
      <c r="AF22" s="460">
        <v>0</v>
      </c>
      <c r="AG22" s="460">
        <v>4416.2067091142999</v>
      </c>
      <c r="AH22" s="460">
        <v>0</v>
      </c>
      <c r="AI22" s="460">
        <v>0</v>
      </c>
      <c r="AJ22" s="460">
        <v>0</v>
      </c>
      <c r="AK22" s="460">
        <v>0</v>
      </c>
      <c r="AL22" s="460">
        <v>0</v>
      </c>
      <c r="AM22" s="460">
        <v>0</v>
      </c>
      <c r="AN22" s="460">
        <v>0</v>
      </c>
      <c r="AO22" s="460">
        <v>0</v>
      </c>
      <c r="AP22" s="460">
        <v>0</v>
      </c>
      <c r="AQ22" s="460">
        <v>0</v>
      </c>
      <c r="AR22" s="460">
        <v>0</v>
      </c>
      <c r="AS22" s="460">
        <v>0</v>
      </c>
      <c r="AT22" s="460">
        <v>0</v>
      </c>
      <c r="AU22" s="460">
        <v>0</v>
      </c>
      <c r="AV22" s="460">
        <v>0</v>
      </c>
      <c r="AW22" s="460">
        <v>0</v>
      </c>
      <c r="AX22" s="460">
        <v>0</v>
      </c>
      <c r="AY22" s="460">
        <v>0</v>
      </c>
      <c r="AZ22" s="460">
        <v>0</v>
      </c>
      <c r="BA22" s="460">
        <v>0</v>
      </c>
      <c r="BB22" s="460">
        <v>0</v>
      </c>
      <c r="BC22" s="460">
        <v>0</v>
      </c>
      <c r="BD22" s="460">
        <v>0</v>
      </c>
      <c r="BE22" s="460">
        <v>0</v>
      </c>
      <c r="BF22" s="460">
        <v>0</v>
      </c>
      <c r="BG22" s="460">
        <v>0</v>
      </c>
      <c r="BH22" s="460">
        <v>0</v>
      </c>
      <c r="BI22" s="460">
        <v>0</v>
      </c>
      <c r="BJ22" s="460">
        <v>0</v>
      </c>
      <c r="BK22" s="460">
        <v>0</v>
      </c>
      <c r="BL22" s="460">
        <v>0</v>
      </c>
      <c r="BM22" s="460">
        <v>0</v>
      </c>
      <c r="BN22" s="460">
        <v>0</v>
      </c>
      <c r="BO22" s="460">
        <v>0</v>
      </c>
      <c r="BP22" s="460">
        <v>0</v>
      </c>
      <c r="BQ22" s="460">
        <v>0</v>
      </c>
      <c r="BR22" s="460">
        <v>0</v>
      </c>
      <c r="BS22" s="460">
        <v>0</v>
      </c>
      <c r="BT22" s="460">
        <v>0</v>
      </c>
      <c r="BU22" s="460">
        <v>0</v>
      </c>
      <c r="BV22" s="460">
        <v>0</v>
      </c>
      <c r="BW22" s="460">
        <v>0</v>
      </c>
      <c r="BX22" s="460">
        <v>0</v>
      </c>
      <c r="BY22" s="460">
        <v>0</v>
      </c>
      <c r="BZ22" s="460">
        <v>0</v>
      </c>
      <c r="CA22" s="460" t="e">
        <v>#N/A</v>
      </c>
      <c r="CB22" s="460" t="e">
        <v>#N/A</v>
      </c>
      <c r="CC22" s="460" t="e">
        <v>#N/A</v>
      </c>
    </row>
    <row r="23" spans="1:81" ht="12.75" customHeight="1">
      <c r="A23" s="105">
        <v>18</v>
      </c>
      <c r="B23" s="112" t="str">
        <v>12M</v>
      </c>
      <c r="C23" s="262">
        <f>'eur disaggregated'!AL34</f>
        <v>-3238.7967676090502</v>
      </c>
      <c r="D23" s="111" t="str">
        <f t="shared" si="2"/>
        <v>12M</v>
      </c>
      <c r="E23" s="441">
        <f>BktEur1mPL!E23</f>
        <v>42696</v>
      </c>
      <c r="F23" s="441">
        <f>BktEur1mPL!F23</f>
        <v>43061</v>
      </c>
      <c r="G23" s="462">
        <f t="shared" si="3"/>
        <v>-3.6900000000000001E-3</v>
      </c>
      <c r="H23" s="453">
        <f>BktEur1mPL!H23</f>
        <v>-0.36899999999999999</v>
      </c>
      <c r="I23" s="107" t="str">
        <v>1Y</v>
      </c>
      <c r="J23" s="106" t="str">
        <f t="shared" ref="J23:J68" si="4">IF(LEN(I23)&gt;0,IF((MID(I23,4,1)=" "),I23,IF((LEN(I23)=8),DATE("20" &amp; RIGHT(I23,2),MID(I23,4,2),LEFT(I23,2)),SimplifyTenor(I23))),"")</f>
        <v>12M</v>
      </c>
      <c r="K23" s="448">
        <f>_xll.qlCalendarAdvance("TARGET",$C$1,J23)</f>
        <v>43061</v>
      </c>
      <c r="M23" s="99" t="str">
        <v>1Y</v>
      </c>
      <c r="N23" s="465">
        <v>-3238.7967676090502</v>
      </c>
      <c r="P23" s="106" t="b">
        <f t="shared" si="1"/>
        <v>0</v>
      </c>
      <c r="Q23" s="460">
        <f t="array" ref="Q23:CC23">C23*ForwardToZero(OisBuckets,E23,F23,G23)</f>
        <v>0</v>
      </c>
      <c r="R23" s="460">
        <v>0</v>
      </c>
      <c r="S23" s="460">
        <v>0</v>
      </c>
      <c r="T23" s="460">
        <v>0</v>
      </c>
      <c r="U23" s="460">
        <v>0</v>
      </c>
      <c r="V23" s="460">
        <v>0</v>
      </c>
      <c r="W23" s="460">
        <v>0</v>
      </c>
      <c r="X23" s="460">
        <v>0</v>
      </c>
      <c r="Y23" s="460">
        <v>0</v>
      </c>
      <c r="Z23" s="460">
        <v>0</v>
      </c>
      <c r="AA23" s="460">
        <v>0</v>
      </c>
      <c r="AB23" s="460">
        <v>0</v>
      </c>
      <c r="AC23" s="460">
        <v>0</v>
      </c>
      <c r="AD23" s="460">
        <v>0</v>
      </c>
      <c r="AE23" s="460">
        <v>0</v>
      </c>
      <c r="AF23" s="460">
        <v>0</v>
      </c>
      <c r="AG23" s="460">
        <v>0</v>
      </c>
      <c r="AH23" s="460">
        <v>-3238.7967676090502</v>
      </c>
      <c r="AI23" s="460">
        <v>0</v>
      </c>
      <c r="AJ23" s="460">
        <v>0</v>
      </c>
      <c r="AK23" s="460">
        <v>0</v>
      </c>
      <c r="AL23" s="460">
        <v>0</v>
      </c>
      <c r="AM23" s="460">
        <v>0</v>
      </c>
      <c r="AN23" s="460">
        <v>0</v>
      </c>
      <c r="AO23" s="460">
        <v>0</v>
      </c>
      <c r="AP23" s="460">
        <v>0</v>
      </c>
      <c r="AQ23" s="460">
        <v>0</v>
      </c>
      <c r="AR23" s="460">
        <v>0</v>
      </c>
      <c r="AS23" s="460">
        <v>0</v>
      </c>
      <c r="AT23" s="460">
        <v>0</v>
      </c>
      <c r="AU23" s="460">
        <v>0</v>
      </c>
      <c r="AV23" s="460">
        <v>0</v>
      </c>
      <c r="AW23" s="460">
        <v>0</v>
      </c>
      <c r="AX23" s="460">
        <v>0</v>
      </c>
      <c r="AY23" s="460">
        <v>0</v>
      </c>
      <c r="AZ23" s="460">
        <v>0</v>
      </c>
      <c r="BA23" s="460">
        <v>0</v>
      </c>
      <c r="BB23" s="460">
        <v>0</v>
      </c>
      <c r="BC23" s="460">
        <v>0</v>
      </c>
      <c r="BD23" s="460">
        <v>0</v>
      </c>
      <c r="BE23" s="460">
        <v>0</v>
      </c>
      <c r="BF23" s="460">
        <v>0</v>
      </c>
      <c r="BG23" s="460">
        <v>0</v>
      </c>
      <c r="BH23" s="460">
        <v>0</v>
      </c>
      <c r="BI23" s="460">
        <v>0</v>
      </c>
      <c r="BJ23" s="460">
        <v>0</v>
      </c>
      <c r="BK23" s="460">
        <v>0</v>
      </c>
      <c r="BL23" s="460">
        <v>0</v>
      </c>
      <c r="BM23" s="460">
        <v>0</v>
      </c>
      <c r="BN23" s="460">
        <v>0</v>
      </c>
      <c r="BO23" s="460">
        <v>0</v>
      </c>
      <c r="BP23" s="460">
        <v>0</v>
      </c>
      <c r="BQ23" s="460">
        <v>0</v>
      </c>
      <c r="BR23" s="460">
        <v>0</v>
      </c>
      <c r="BS23" s="460">
        <v>0</v>
      </c>
      <c r="BT23" s="460">
        <v>0</v>
      </c>
      <c r="BU23" s="460">
        <v>0</v>
      </c>
      <c r="BV23" s="460">
        <v>0</v>
      </c>
      <c r="BW23" s="460">
        <v>0</v>
      </c>
      <c r="BX23" s="460">
        <v>0</v>
      </c>
      <c r="BY23" s="460">
        <v>0</v>
      </c>
      <c r="BZ23" s="460">
        <v>0</v>
      </c>
      <c r="CA23" s="460" t="e">
        <v>#N/A</v>
      </c>
      <c r="CB23" s="460" t="e">
        <v>#N/A</v>
      </c>
      <c r="CC23" s="460" t="e">
        <v>#N/A</v>
      </c>
    </row>
    <row r="24" spans="1:81" ht="12.75" customHeight="1">
      <c r="A24" s="105">
        <v>19</v>
      </c>
      <c r="B24" s="112" t="str">
        <v>15M</v>
      </c>
      <c r="C24" s="262">
        <f>'eur disaggregated'!AL35</f>
        <v>-2069.7986788017201</v>
      </c>
      <c r="D24" s="111" t="str">
        <f t="shared" si="2"/>
        <v>15M</v>
      </c>
      <c r="E24" s="441">
        <f>BktEur1mPL!E24</f>
        <v>42696</v>
      </c>
      <c r="F24" s="441">
        <f>BktEur1mPL!F24</f>
        <v>43153</v>
      </c>
      <c r="G24" s="462">
        <f t="shared" si="3"/>
        <v>-3.7106719100000003E-3</v>
      </c>
      <c r="H24" s="453">
        <f>BktEur1mPL!H24</f>
        <v>-0.37106719100000002</v>
      </c>
      <c r="I24" s="107" t="str">
        <v>13M</v>
      </c>
      <c r="J24" s="106" t="str">
        <f t="shared" si="4"/>
        <v>13M</v>
      </c>
      <c r="K24" s="448">
        <f>_xll.qlCalendarAdvance("TARGET",$C$1,J24)</f>
        <v>43091</v>
      </c>
      <c r="M24" s="99" t="str">
        <v>13M</v>
      </c>
      <c r="N24" s="465">
        <v>0</v>
      </c>
      <c r="P24" s="106" t="b">
        <f t="shared" si="1"/>
        <v>0</v>
      </c>
      <c r="Q24" s="460">
        <f t="array" ref="Q24:CC24">C24*ForwardToZero(OisBuckets,E24,F24,G24)</f>
        <v>0</v>
      </c>
      <c r="R24" s="460">
        <v>0</v>
      </c>
      <c r="S24" s="460">
        <v>0</v>
      </c>
      <c r="T24" s="460">
        <v>0</v>
      </c>
      <c r="U24" s="460">
        <v>0</v>
      </c>
      <c r="V24" s="460">
        <v>0</v>
      </c>
      <c r="W24" s="460">
        <v>0</v>
      </c>
      <c r="X24" s="460">
        <v>0</v>
      </c>
      <c r="Y24" s="460">
        <v>0</v>
      </c>
      <c r="Z24" s="460">
        <v>0</v>
      </c>
      <c r="AA24" s="460">
        <v>0</v>
      </c>
      <c r="AB24" s="460">
        <v>0</v>
      </c>
      <c r="AC24" s="460">
        <v>0</v>
      </c>
      <c r="AD24" s="460">
        <v>0</v>
      </c>
      <c r="AE24" s="460">
        <v>0</v>
      </c>
      <c r="AF24" s="460">
        <v>0</v>
      </c>
      <c r="AG24" s="460">
        <v>0</v>
      </c>
      <c r="AH24" s="460">
        <v>0</v>
      </c>
      <c r="AI24" s="460">
        <v>0</v>
      </c>
      <c r="AJ24" s="460">
        <v>0</v>
      </c>
      <c r="AK24" s="460">
        <v>-2069.7986788017201</v>
      </c>
      <c r="AL24" s="460">
        <v>0</v>
      </c>
      <c r="AM24" s="460">
        <v>0</v>
      </c>
      <c r="AN24" s="460">
        <v>0</v>
      </c>
      <c r="AO24" s="460">
        <v>0</v>
      </c>
      <c r="AP24" s="460">
        <v>0</v>
      </c>
      <c r="AQ24" s="460">
        <v>0</v>
      </c>
      <c r="AR24" s="460">
        <v>0</v>
      </c>
      <c r="AS24" s="460">
        <v>0</v>
      </c>
      <c r="AT24" s="460">
        <v>0</v>
      </c>
      <c r="AU24" s="460">
        <v>0</v>
      </c>
      <c r="AV24" s="460">
        <v>0</v>
      </c>
      <c r="AW24" s="460">
        <v>0</v>
      </c>
      <c r="AX24" s="460">
        <v>0</v>
      </c>
      <c r="AY24" s="460">
        <v>0</v>
      </c>
      <c r="AZ24" s="460">
        <v>0</v>
      </c>
      <c r="BA24" s="460">
        <v>0</v>
      </c>
      <c r="BB24" s="460">
        <v>0</v>
      </c>
      <c r="BC24" s="460">
        <v>0</v>
      </c>
      <c r="BD24" s="460">
        <v>0</v>
      </c>
      <c r="BE24" s="460">
        <v>0</v>
      </c>
      <c r="BF24" s="460">
        <v>0</v>
      </c>
      <c r="BG24" s="460">
        <v>0</v>
      </c>
      <c r="BH24" s="460">
        <v>0</v>
      </c>
      <c r="BI24" s="460">
        <v>0</v>
      </c>
      <c r="BJ24" s="460">
        <v>0</v>
      </c>
      <c r="BK24" s="460">
        <v>0</v>
      </c>
      <c r="BL24" s="460">
        <v>0</v>
      </c>
      <c r="BM24" s="460">
        <v>0</v>
      </c>
      <c r="BN24" s="460">
        <v>0</v>
      </c>
      <c r="BO24" s="460">
        <v>0</v>
      </c>
      <c r="BP24" s="460">
        <v>0</v>
      </c>
      <c r="BQ24" s="460">
        <v>0</v>
      </c>
      <c r="BR24" s="460">
        <v>0</v>
      </c>
      <c r="BS24" s="460">
        <v>0</v>
      </c>
      <c r="BT24" s="460">
        <v>0</v>
      </c>
      <c r="BU24" s="460">
        <v>0</v>
      </c>
      <c r="BV24" s="460">
        <v>0</v>
      </c>
      <c r="BW24" s="460">
        <v>0</v>
      </c>
      <c r="BX24" s="460">
        <v>0</v>
      </c>
      <c r="BY24" s="460">
        <v>0</v>
      </c>
      <c r="BZ24" s="460">
        <v>0</v>
      </c>
      <c r="CA24" s="460" t="e">
        <v>#N/A</v>
      </c>
      <c r="CB24" s="460" t="e">
        <v>#N/A</v>
      </c>
      <c r="CC24" s="460" t="e">
        <v>#N/A</v>
      </c>
    </row>
    <row r="25" spans="1:81" ht="12.75" customHeight="1">
      <c r="A25" s="111">
        <v>20</v>
      </c>
      <c r="B25" s="458" t="str">
        <v>18M</v>
      </c>
      <c r="C25" s="262">
        <f>'eur disaggregated'!AL36</f>
        <v>-9868.2128932927099</v>
      </c>
      <c r="D25" s="111" t="str">
        <f>IF(AND(LEN(B25)&gt;3,RIGHT(B25:B25,2)="3"), "27M", IF(AND(LEN(B25)&gt;3,RIGHT(B25:B25,2)="6"), "30M", IF(AND(LEN(B25)&gt;3,RIGHT(B25:B25,2)="9"), "33M", IF(LEN(B25)&gt;0,SimplifyTenor(B25),""))))</f>
        <v>18M</v>
      </c>
      <c r="E25" s="441">
        <f>BktEur1mPL!E25</f>
        <v>42696</v>
      </c>
      <c r="F25" s="441">
        <f>BktEur1mPL!F25</f>
        <v>43242</v>
      </c>
      <c r="G25" s="462">
        <f t="shared" si="3"/>
        <v>-3.6399232899999999E-3</v>
      </c>
      <c r="H25" s="453">
        <f>BktEur1mPL!H25</f>
        <v>-0.363992329</v>
      </c>
      <c r="I25" s="107" t="str">
        <v>14M</v>
      </c>
      <c r="J25" s="441" t="str">
        <f t="shared" si="4"/>
        <v>14M</v>
      </c>
      <c r="K25" s="448">
        <f>_xll.qlCalendarAdvance("TARGET",$C$1,J25)</f>
        <v>43122</v>
      </c>
      <c r="L25" s="89"/>
      <c r="M25" s="99" t="str">
        <v>14M</v>
      </c>
      <c r="N25" s="465">
        <v>0</v>
      </c>
      <c r="P25" s="106" t="b">
        <f t="shared" si="1"/>
        <v>0</v>
      </c>
      <c r="Q25" s="460">
        <f t="array" ref="Q25:CC25">C25*ForwardToZero(OisBuckets,E25,F25,G25)</f>
        <v>0</v>
      </c>
      <c r="R25" s="460">
        <v>0</v>
      </c>
      <c r="S25" s="460">
        <v>0</v>
      </c>
      <c r="T25" s="460">
        <v>0</v>
      </c>
      <c r="U25" s="460">
        <v>0</v>
      </c>
      <c r="V25" s="460">
        <v>0</v>
      </c>
      <c r="W25" s="460">
        <v>0</v>
      </c>
      <c r="X25" s="460">
        <v>0</v>
      </c>
      <c r="Y25" s="460">
        <v>0</v>
      </c>
      <c r="Z25" s="460">
        <v>0</v>
      </c>
      <c r="AA25" s="460">
        <v>0</v>
      </c>
      <c r="AB25" s="460">
        <v>0</v>
      </c>
      <c r="AC25" s="460">
        <v>0</v>
      </c>
      <c r="AD25" s="460">
        <v>0</v>
      </c>
      <c r="AE25" s="460">
        <v>0</v>
      </c>
      <c r="AF25" s="460">
        <v>0</v>
      </c>
      <c r="AG25" s="460">
        <v>0</v>
      </c>
      <c r="AH25" s="460">
        <v>0</v>
      </c>
      <c r="AI25" s="460">
        <v>0</v>
      </c>
      <c r="AJ25" s="460">
        <v>0</v>
      </c>
      <c r="AK25" s="460">
        <v>0</v>
      </c>
      <c r="AL25" s="460">
        <v>0</v>
      </c>
      <c r="AM25" s="460">
        <v>0</v>
      </c>
      <c r="AN25" s="460">
        <v>-9868.2128932927099</v>
      </c>
      <c r="AO25" s="460">
        <v>0</v>
      </c>
      <c r="AP25" s="460">
        <v>0</v>
      </c>
      <c r="AQ25" s="460">
        <v>0</v>
      </c>
      <c r="AR25" s="460">
        <v>0</v>
      </c>
      <c r="AS25" s="460">
        <v>0</v>
      </c>
      <c r="AT25" s="460">
        <v>0</v>
      </c>
      <c r="AU25" s="460">
        <v>0</v>
      </c>
      <c r="AV25" s="460">
        <v>0</v>
      </c>
      <c r="AW25" s="460">
        <v>0</v>
      </c>
      <c r="AX25" s="460">
        <v>0</v>
      </c>
      <c r="AY25" s="460">
        <v>0</v>
      </c>
      <c r="AZ25" s="460">
        <v>0</v>
      </c>
      <c r="BA25" s="460">
        <v>0</v>
      </c>
      <c r="BB25" s="460">
        <v>0</v>
      </c>
      <c r="BC25" s="460">
        <v>0</v>
      </c>
      <c r="BD25" s="460">
        <v>0</v>
      </c>
      <c r="BE25" s="460">
        <v>0</v>
      </c>
      <c r="BF25" s="460">
        <v>0</v>
      </c>
      <c r="BG25" s="460">
        <v>0</v>
      </c>
      <c r="BH25" s="460">
        <v>0</v>
      </c>
      <c r="BI25" s="460">
        <v>0</v>
      </c>
      <c r="BJ25" s="460">
        <v>0</v>
      </c>
      <c r="BK25" s="460">
        <v>0</v>
      </c>
      <c r="BL25" s="460">
        <v>0</v>
      </c>
      <c r="BM25" s="460">
        <v>0</v>
      </c>
      <c r="BN25" s="460">
        <v>0</v>
      </c>
      <c r="BO25" s="460">
        <v>0</v>
      </c>
      <c r="BP25" s="460">
        <v>0</v>
      </c>
      <c r="BQ25" s="460">
        <v>0</v>
      </c>
      <c r="BR25" s="460">
        <v>0</v>
      </c>
      <c r="BS25" s="460">
        <v>0</v>
      </c>
      <c r="BT25" s="460">
        <v>0</v>
      </c>
      <c r="BU25" s="460">
        <v>0</v>
      </c>
      <c r="BV25" s="460">
        <v>0</v>
      </c>
      <c r="BW25" s="460">
        <v>0</v>
      </c>
      <c r="BX25" s="460">
        <v>0</v>
      </c>
      <c r="BY25" s="460">
        <v>0</v>
      </c>
      <c r="BZ25" s="460">
        <v>0</v>
      </c>
      <c r="CA25" s="460" t="e">
        <v>#N/A</v>
      </c>
      <c r="CB25" s="460" t="e">
        <v>#N/A</v>
      </c>
      <c r="CC25" s="460" t="e">
        <v>#N/A</v>
      </c>
    </row>
    <row r="26" spans="1:81" ht="12.75" customHeight="1">
      <c r="A26" s="111">
        <v>21</v>
      </c>
      <c r="B26" s="458" t="str">
        <v>21M</v>
      </c>
      <c r="C26" s="262">
        <f>'eur disaggregated'!AL37</f>
        <v>10448.226999991301</v>
      </c>
      <c r="D26" s="111" t="str">
        <f t="shared" ref="D26:D68" si="5">IF(AND(LEN(B26)&gt;3,RIGHT(B26:B26,2)="3"), "27M", IF(AND(LEN(B26)&gt;3,RIGHT(B26:B26,2)="6"), "30M", IF(AND(LEN(B26)&gt;3,RIGHT(B26:B26,2)="9"), "33M", IF(LEN(B26)&gt;0,SimplifyTenor(B26),""))))</f>
        <v>21M</v>
      </c>
      <c r="E26" s="441">
        <f>BktEur1mPL!E26</f>
        <v>42696</v>
      </c>
      <c r="F26" s="441">
        <f>BktEur1mPL!F26</f>
        <v>43334</v>
      </c>
      <c r="G26" s="462">
        <f t="shared" si="3"/>
        <v>-3.5653697200000002E-3</v>
      </c>
      <c r="H26" s="453">
        <f>BktEur1mPL!H26</f>
        <v>-0.35653697200000001</v>
      </c>
      <c r="I26" s="107" t="str">
        <v>15M</v>
      </c>
      <c r="J26" s="441" t="str">
        <f t="shared" si="4"/>
        <v>15M</v>
      </c>
      <c r="K26" s="448">
        <f>_xll.qlCalendarAdvance("TARGET",$C$1,J26)</f>
        <v>43153</v>
      </c>
      <c r="L26" s="89"/>
      <c r="M26" s="99" t="str">
        <v>15M</v>
      </c>
      <c r="N26" s="465">
        <v>-2069.7986788017201</v>
      </c>
      <c r="P26" s="106" t="b">
        <f t="shared" si="1"/>
        <v>0</v>
      </c>
      <c r="Q26" s="460">
        <f t="array" ref="Q26:CC26">C26*ForwardToZero(OisBuckets,E26,F26,G26)</f>
        <v>0</v>
      </c>
      <c r="R26" s="460">
        <v>0</v>
      </c>
      <c r="S26" s="460">
        <v>0</v>
      </c>
      <c r="T26" s="460">
        <v>0</v>
      </c>
      <c r="U26" s="460">
        <v>0</v>
      </c>
      <c r="V26" s="460">
        <v>0</v>
      </c>
      <c r="W26" s="460">
        <v>0</v>
      </c>
      <c r="X26" s="460">
        <v>0</v>
      </c>
      <c r="Y26" s="460">
        <v>0</v>
      </c>
      <c r="Z26" s="460">
        <v>0</v>
      </c>
      <c r="AA26" s="460">
        <v>0</v>
      </c>
      <c r="AB26" s="460">
        <v>0</v>
      </c>
      <c r="AC26" s="460">
        <v>0</v>
      </c>
      <c r="AD26" s="460">
        <v>0</v>
      </c>
      <c r="AE26" s="460">
        <v>0</v>
      </c>
      <c r="AF26" s="460">
        <v>0</v>
      </c>
      <c r="AG26" s="460">
        <v>0</v>
      </c>
      <c r="AH26" s="460">
        <v>0</v>
      </c>
      <c r="AI26" s="460">
        <v>0</v>
      </c>
      <c r="AJ26" s="460">
        <v>0</v>
      </c>
      <c r="AK26" s="460">
        <v>0</v>
      </c>
      <c r="AL26" s="460">
        <v>0</v>
      </c>
      <c r="AM26" s="460">
        <v>0</v>
      </c>
      <c r="AN26" s="460">
        <v>0</v>
      </c>
      <c r="AO26" s="460">
        <v>0</v>
      </c>
      <c r="AP26" s="460">
        <v>0</v>
      </c>
      <c r="AQ26" s="460">
        <v>10448.226999991301</v>
      </c>
      <c r="AR26" s="460">
        <v>0</v>
      </c>
      <c r="AS26" s="460">
        <v>0</v>
      </c>
      <c r="AT26" s="460">
        <v>0</v>
      </c>
      <c r="AU26" s="460">
        <v>0</v>
      </c>
      <c r="AV26" s="460">
        <v>0</v>
      </c>
      <c r="AW26" s="460">
        <v>0</v>
      </c>
      <c r="AX26" s="460">
        <v>0</v>
      </c>
      <c r="AY26" s="460">
        <v>0</v>
      </c>
      <c r="AZ26" s="460">
        <v>0</v>
      </c>
      <c r="BA26" s="460">
        <v>0</v>
      </c>
      <c r="BB26" s="460">
        <v>0</v>
      </c>
      <c r="BC26" s="460">
        <v>0</v>
      </c>
      <c r="BD26" s="460">
        <v>0</v>
      </c>
      <c r="BE26" s="460">
        <v>0</v>
      </c>
      <c r="BF26" s="460">
        <v>0</v>
      </c>
      <c r="BG26" s="460">
        <v>0</v>
      </c>
      <c r="BH26" s="460">
        <v>0</v>
      </c>
      <c r="BI26" s="460">
        <v>0</v>
      </c>
      <c r="BJ26" s="460">
        <v>0</v>
      </c>
      <c r="BK26" s="460">
        <v>0</v>
      </c>
      <c r="BL26" s="460">
        <v>0</v>
      </c>
      <c r="BM26" s="460">
        <v>0</v>
      </c>
      <c r="BN26" s="460">
        <v>0</v>
      </c>
      <c r="BO26" s="460">
        <v>0</v>
      </c>
      <c r="BP26" s="460">
        <v>0</v>
      </c>
      <c r="BQ26" s="460">
        <v>0</v>
      </c>
      <c r="BR26" s="460">
        <v>0</v>
      </c>
      <c r="BS26" s="460">
        <v>0</v>
      </c>
      <c r="BT26" s="460">
        <v>0</v>
      </c>
      <c r="BU26" s="460">
        <v>0</v>
      </c>
      <c r="BV26" s="460">
        <v>0</v>
      </c>
      <c r="BW26" s="460">
        <v>0</v>
      </c>
      <c r="BX26" s="460">
        <v>0</v>
      </c>
      <c r="BY26" s="460">
        <v>0</v>
      </c>
      <c r="BZ26" s="460">
        <v>0</v>
      </c>
      <c r="CA26" s="460" t="e">
        <v>#N/A</v>
      </c>
      <c r="CB26" s="460" t="e">
        <v>#N/A</v>
      </c>
      <c r="CC26" s="460" t="e">
        <v>#N/A</v>
      </c>
    </row>
    <row r="27" spans="1:81" ht="12.75" customHeight="1">
      <c r="A27" s="111">
        <v>22</v>
      </c>
      <c r="B27" s="458" t="str">
        <v>2Y</v>
      </c>
      <c r="C27" s="262">
        <f>'eur disaggregated'!AL38</f>
        <v>-4222.8477210135397</v>
      </c>
      <c r="D27" s="111" t="str">
        <f t="shared" si="5"/>
        <v>24M</v>
      </c>
      <c r="E27" s="441">
        <f>BktEur1mPL!E27</f>
        <v>42696</v>
      </c>
      <c r="F27" s="441">
        <f>BktEur1mPL!F27</f>
        <v>43426</v>
      </c>
      <c r="G27" s="462">
        <f t="shared" si="3"/>
        <v>-3.4699999999999996E-3</v>
      </c>
      <c r="H27" s="453">
        <f>BktEur1mPL!H27</f>
        <v>-0.34699999999999998</v>
      </c>
      <c r="I27" s="107" t="str">
        <v>16M</v>
      </c>
      <c r="J27" s="441" t="str">
        <f t="shared" si="4"/>
        <v>16M</v>
      </c>
      <c r="K27" s="448">
        <f>_xll.qlCalendarAdvance("TARGET",$C$1,J27)</f>
        <v>43181</v>
      </c>
      <c r="L27" s="89"/>
      <c r="M27" s="99" t="str">
        <v>16M</v>
      </c>
      <c r="N27" s="465">
        <v>0</v>
      </c>
      <c r="P27" s="106" t="b">
        <f t="shared" si="1"/>
        <v>0</v>
      </c>
      <c r="Q27" s="460">
        <f t="array" ref="Q27:CC27">C27*ForwardToZero(OisBuckets,E27,F27,G27)</f>
        <v>0</v>
      </c>
      <c r="R27" s="460">
        <v>0</v>
      </c>
      <c r="S27" s="460">
        <v>0</v>
      </c>
      <c r="T27" s="460">
        <v>0</v>
      </c>
      <c r="U27" s="460">
        <v>0</v>
      </c>
      <c r="V27" s="460">
        <v>0</v>
      </c>
      <c r="W27" s="460">
        <v>0</v>
      </c>
      <c r="X27" s="460">
        <v>0</v>
      </c>
      <c r="Y27" s="460">
        <v>0</v>
      </c>
      <c r="Z27" s="460">
        <v>0</v>
      </c>
      <c r="AA27" s="460">
        <v>0</v>
      </c>
      <c r="AB27" s="460">
        <v>0</v>
      </c>
      <c r="AC27" s="460">
        <v>0</v>
      </c>
      <c r="AD27" s="460">
        <v>0</v>
      </c>
      <c r="AE27" s="460">
        <v>0</v>
      </c>
      <c r="AF27" s="460">
        <v>0</v>
      </c>
      <c r="AG27" s="460">
        <v>0</v>
      </c>
      <c r="AH27" s="460">
        <v>0</v>
      </c>
      <c r="AI27" s="460">
        <v>0</v>
      </c>
      <c r="AJ27" s="460">
        <v>0</v>
      </c>
      <c r="AK27" s="460">
        <v>0</v>
      </c>
      <c r="AL27" s="460">
        <v>0</v>
      </c>
      <c r="AM27" s="460">
        <v>0</v>
      </c>
      <c r="AN27" s="460">
        <v>0</v>
      </c>
      <c r="AO27" s="460">
        <v>0</v>
      </c>
      <c r="AP27" s="460">
        <v>0</v>
      </c>
      <c r="AQ27" s="460">
        <v>0</v>
      </c>
      <c r="AR27" s="460">
        <v>0</v>
      </c>
      <c r="AS27" s="460">
        <v>0</v>
      </c>
      <c r="AT27" s="460">
        <v>-4222.8477210135397</v>
      </c>
      <c r="AU27" s="460">
        <v>0</v>
      </c>
      <c r="AV27" s="460">
        <v>0</v>
      </c>
      <c r="AW27" s="460">
        <v>0</v>
      </c>
      <c r="AX27" s="460">
        <v>0</v>
      </c>
      <c r="AY27" s="460">
        <v>0</v>
      </c>
      <c r="AZ27" s="460">
        <v>0</v>
      </c>
      <c r="BA27" s="460">
        <v>0</v>
      </c>
      <c r="BB27" s="460">
        <v>0</v>
      </c>
      <c r="BC27" s="460">
        <v>0</v>
      </c>
      <c r="BD27" s="460">
        <v>0</v>
      </c>
      <c r="BE27" s="460">
        <v>0</v>
      </c>
      <c r="BF27" s="460">
        <v>0</v>
      </c>
      <c r="BG27" s="460">
        <v>0</v>
      </c>
      <c r="BH27" s="460">
        <v>0</v>
      </c>
      <c r="BI27" s="460">
        <v>0</v>
      </c>
      <c r="BJ27" s="460">
        <v>0</v>
      </c>
      <c r="BK27" s="460">
        <v>0</v>
      </c>
      <c r="BL27" s="460">
        <v>0</v>
      </c>
      <c r="BM27" s="460">
        <v>0</v>
      </c>
      <c r="BN27" s="460">
        <v>0</v>
      </c>
      <c r="BO27" s="460">
        <v>0</v>
      </c>
      <c r="BP27" s="460">
        <v>0</v>
      </c>
      <c r="BQ27" s="460">
        <v>0</v>
      </c>
      <c r="BR27" s="460">
        <v>0</v>
      </c>
      <c r="BS27" s="460">
        <v>0</v>
      </c>
      <c r="BT27" s="460">
        <v>0</v>
      </c>
      <c r="BU27" s="460">
        <v>0</v>
      </c>
      <c r="BV27" s="460">
        <v>0</v>
      </c>
      <c r="BW27" s="460">
        <v>0</v>
      </c>
      <c r="BX27" s="460">
        <v>0</v>
      </c>
      <c r="BY27" s="460">
        <v>0</v>
      </c>
      <c r="BZ27" s="460">
        <v>0</v>
      </c>
      <c r="CA27" s="460" t="e">
        <v>#N/A</v>
      </c>
      <c r="CB27" s="460" t="e">
        <v>#N/A</v>
      </c>
      <c r="CC27" s="460" t="e">
        <v>#N/A</v>
      </c>
    </row>
    <row r="28" spans="1:81" ht="12.75" customHeight="1">
      <c r="A28" s="111">
        <v>23</v>
      </c>
      <c r="B28" s="458" t="str">
        <v>2Y3M</v>
      </c>
      <c r="C28" s="262">
        <f>'eur disaggregated'!AL39</f>
        <v>537.32470455294595</v>
      </c>
      <c r="D28" s="111" t="str">
        <f t="shared" si="5"/>
        <v>27M</v>
      </c>
      <c r="E28" s="441">
        <f>BktEur1mPL!E28</f>
        <v>42696</v>
      </c>
      <c r="F28" s="441">
        <f>BktEur1mPL!F28</f>
        <v>43518</v>
      </c>
      <c r="G28" s="462">
        <f t="shared" si="3"/>
        <v>-3.3531118700000002E-3</v>
      </c>
      <c r="H28" s="453">
        <f>BktEur1mPL!H28</f>
        <v>-0.33531118700000001</v>
      </c>
      <c r="I28" s="107" t="str">
        <v>17M</v>
      </c>
      <c r="J28" s="441" t="str">
        <f t="shared" si="4"/>
        <v>17M</v>
      </c>
      <c r="K28" s="448">
        <f>_xll.qlCalendarAdvance("TARGET",$C$1,J28)</f>
        <v>43213</v>
      </c>
      <c r="L28" s="89"/>
      <c r="M28" s="99" t="str">
        <v>17M</v>
      </c>
      <c r="N28" s="465">
        <v>0</v>
      </c>
      <c r="P28" s="106" t="b">
        <f t="shared" si="1"/>
        <v>0</v>
      </c>
      <c r="Q28" s="460">
        <f t="array" ref="Q28:CC28">C28*ForwardToZero(OisBuckets,E28,F28,G28)</f>
        <v>0</v>
      </c>
      <c r="R28" s="460">
        <v>0</v>
      </c>
      <c r="S28" s="460">
        <v>0</v>
      </c>
      <c r="T28" s="460">
        <v>0</v>
      </c>
      <c r="U28" s="460">
        <v>0</v>
      </c>
      <c r="V28" s="460">
        <v>0</v>
      </c>
      <c r="W28" s="460">
        <v>0</v>
      </c>
      <c r="X28" s="460">
        <v>0</v>
      </c>
      <c r="Y28" s="460">
        <v>0</v>
      </c>
      <c r="Z28" s="460">
        <v>0</v>
      </c>
      <c r="AA28" s="460">
        <v>0</v>
      </c>
      <c r="AB28" s="460">
        <v>0</v>
      </c>
      <c r="AC28" s="460">
        <v>0</v>
      </c>
      <c r="AD28" s="460">
        <v>0</v>
      </c>
      <c r="AE28" s="460">
        <v>0</v>
      </c>
      <c r="AF28" s="460">
        <v>0</v>
      </c>
      <c r="AG28" s="460">
        <v>0</v>
      </c>
      <c r="AH28" s="460">
        <v>0</v>
      </c>
      <c r="AI28" s="460">
        <v>0</v>
      </c>
      <c r="AJ28" s="460">
        <v>0</v>
      </c>
      <c r="AK28" s="460">
        <v>0</v>
      </c>
      <c r="AL28" s="460">
        <v>0</v>
      </c>
      <c r="AM28" s="460">
        <v>0</v>
      </c>
      <c r="AN28" s="460">
        <v>0</v>
      </c>
      <c r="AO28" s="460">
        <v>0</v>
      </c>
      <c r="AP28" s="460">
        <v>0</v>
      </c>
      <c r="AQ28" s="460">
        <v>0</v>
      </c>
      <c r="AR28" s="460">
        <v>0</v>
      </c>
      <c r="AS28" s="460">
        <v>0</v>
      </c>
      <c r="AT28" s="460">
        <v>401.88943655603913</v>
      </c>
      <c r="AU28" s="460">
        <v>135.43526799690684</v>
      </c>
      <c r="AV28" s="460">
        <v>0</v>
      </c>
      <c r="AW28" s="460">
        <v>0</v>
      </c>
      <c r="AX28" s="460">
        <v>0</v>
      </c>
      <c r="AY28" s="460">
        <v>0</v>
      </c>
      <c r="AZ28" s="460">
        <v>0</v>
      </c>
      <c r="BA28" s="460">
        <v>0</v>
      </c>
      <c r="BB28" s="460">
        <v>0</v>
      </c>
      <c r="BC28" s="460">
        <v>0</v>
      </c>
      <c r="BD28" s="460">
        <v>0</v>
      </c>
      <c r="BE28" s="460">
        <v>0</v>
      </c>
      <c r="BF28" s="460">
        <v>0</v>
      </c>
      <c r="BG28" s="460">
        <v>0</v>
      </c>
      <c r="BH28" s="460">
        <v>0</v>
      </c>
      <c r="BI28" s="460">
        <v>0</v>
      </c>
      <c r="BJ28" s="460">
        <v>0</v>
      </c>
      <c r="BK28" s="460">
        <v>0</v>
      </c>
      <c r="BL28" s="460">
        <v>0</v>
      </c>
      <c r="BM28" s="460">
        <v>0</v>
      </c>
      <c r="BN28" s="460">
        <v>0</v>
      </c>
      <c r="BO28" s="460">
        <v>0</v>
      </c>
      <c r="BP28" s="460">
        <v>0</v>
      </c>
      <c r="BQ28" s="460">
        <v>0</v>
      </c>
      <c r="BR28" s="460">
        <v>0</v>
      </c>
      <c r="BS28" s="460">
        <v>0</v>
      </c>
      <c r="BT28" s="460">
        <v>0</v>
      </c>
      <c r="BU28" s="460">
        <v>0</v>
      </c>
      <c r="BV28" s="460">
        <v>0</v>
      </c>
      <c r="BW28" s="460">
        <v>0</v>
      </c>
      <c r="BX28" s="460">
        <v>0</v>
      </c>
      <c r="BY28" s="460">
        <v>0</v>
      </c>
      <c r="BZ28" s="460">
        <v>0</v>
      </c>
      <c r="CA28" s="460" t="e">
        <v>#N/A</v>
      </c>
      <c r="CB28" s="460" t="e">
        <v>#N/A</v>
      </c>
      <c r="CC28" s="460" t="e">
        <v>#N/A</v>
      </c>
    </row>
    <row r="29" spans="1:81" ht="12.75" customHeight="1">
      <c r="A29" s="111">
        <v>24</v>
      </c>
      <c r="B29" s="458" t="str">
        <v>2Y6M</v>
      </c>
      <c r="C29" s="262">
        <f>'eur disaggregated'!AL40</f>
        <v>3866.5303755885202</v>
      </c>
      <c r="D29" s="111" t="str">
        <f t="shared" si="5"/>
        <v>30M</v>
      </c>
      <c r="E29" s="441">
        <f>BktEur1mPL!E29</f>
        <v>42696</v>
      </c>
      <c r="F29" s="441">
        <f>BktEur1mPL!F29</f>
        <v>43607</v>
      </c>
      <c r="G29" s="462">
        <f t="shared" si="3"/>
        <v>-3.2054951900000002E-3</v>
      </c>
      <c r="H29" s="453">
        <f>BktEur1mPL!H29</f>
        <v>-0.320549519</v>
      </c>
      <c r="I29" s="107" t="str">
        <v>18M</v>
      </c>
      <c r="J29" s="441" t="str">
        <f t="shared" si="4"/>
        <v>18M</v>
      </c>
      <c r="K29" s="448">
        <f>_xll.qlCalendarAdvance("TARGET",$C$1,J29)</f>
        <v>43242</v>
      </c>
      <c r="L29" s="89"/>
      <c r="M29" s="99" t="str">
        <v>18M</v>
      </c>
      <c r="N29" s="465">
        <v>-9868.2128932927099</v>
      </c>
      <c r="P29" s="106" t="b">
        <f t="shared" si="1"/>
        <v>0</v>
      </c>
      <c r="Q29" s="460">
        <f t="array" ref="Q29:CC29">C29*ForwardToZero(OisBuckets,E29,F29,G29)</f>
        <v>0</v>
      </c>
      <c r="R29" s="460">
        <v>0</v>
      </c>
      <c r="S29" s="460">
        <v>0</v>
      </c>
      <c r="T29" s="460">
        <v>0</v>
      </c>
      <c r="U29" s="460">
        <v>0</v>
      </c>
      <c r="V29" s="460">
        <v>0</v>
      </c>
      <c r="W29" s="460">
        <v>0</v>
      </c>
      <c r="X29" s="460">
        <v>0</v>
      </c>
      <c r="Y29" s="460">
        <v>0</v>
      </c>
      <c r="Z29" s="460">
        <v>0</v>
      </c>
      <c r="AA29" s="460">
        <v>0</v>
      </c>
      <c r="AB29" s="460">
        <v>0</v>
      </c>
      <c r="AC29" s="460">
        <v>0</v>
      </c>
      <c r="AD29" s="460">
        <v>0</v>
      </c>
      <c r="AE29" s="460">
        <v>0</v>
      </c>
      <c r="AF29" s="460">
        <v>0</v>
      </c>
      <c r="AG29" s="460">
        <v>0</v>
      </c>
      <c r="AH29" s="460">
        <v>0</v>
      </c>
      <c r="AI29" s="460">
        <v>0</v>
      </c>
      <c r="AJ29" s="460">
        <v>0</v>
      </c>
      <c r="AK29" s="460">
        <v>0</v>
      </c>
      <c r="AL29" s="460">
        <v>0</v>
      </c>
      <c r="AM29" s="460">
        <v>0</v>
      </c>
      <c r="AN29" s="460">
        <v>0</v>
      </c>
      <c r="AO29" s="460">
        <v>0</v>
      </c>
      <c r="AP29" s="460">
        <v>0</v>
      </c>
      <c r="AQ29" s="460">
        <v>0</v>
      </c>
      <c r="AR29" s="460">
        <v>0</v>
      </c>
      <c r="AS29" s="460">
        <v>0</v>
      </c>
      <c r="AT29" s="460">
        <v>1949.1550386528436</v>
      </c>
      <c r="AU29" s="460">
        <v>1917.3753369356766</v>
      </c>
      <c r="AV29" s="460">
        <v>0</v>
      </c>
      <c r="AW29" s="460">
        <v>0</v>
      </c>
      <c r="AX29" s="460">
        <v>0</v>
      </c>
      <c r="AY29" s="460">
        <v>0</v>
      </c>
      <c r="AZ29" s="460">
        <v>0</v>
      </c>
      <c r="BA29" s="460">
        <v>0</v>
      </c>
      <c r="BB29" s="460">
        <v>0</v>
      </c>
      <c r="BC29" s="460">
        <v>0</v>
      </c>
      <c r="BD29" s="460">
        <v>0</v>
      </c>
      <c r="BE29" s="460">
        <v>0</v>
      </c>
      <c r="BF29" s="460">
        <v>0</v>
      </c>
      <c r="BG29" s="460">
        <v>0</v>
      </c>
      <c r="BH29" s="460">
        <v>0</v>
      </c>
      <c r="BI29" s="460">
        <v>0</v>
      </c>
      <c r="BJ29" s="460">
        <v>0</v>
      </c>
      <c r="BK29" s="460">
        <v>0</v>
      </c>
      <c r="BL29" s="460">
        <v>0</v>
      </c>
      <c r="BM29" s="460">
        <v>0</v>
      </c>
      <c r="BN29" s="460">
        <v>0</v>
      </c>
      <c r="BO29" s="460">
        <v>0</v>
      </c>
      <c r="BP29" s="460">
        <v>0</v>
      </c>
      <c r="BQ29" s="460">
        <v>0</v>
      </c>
      <c r="BR29" s="460">
        <v>0</v>
      </c>
      <c r="BS29" s="460">
        <v>0</v>
      </c>
      <c r="BT29" s="460">
        <v>0</v>
      </c>
      <c r="BU29" s="460">
        <v>0</v>
      </c>
      <c r="BV29" s="460">
        <v>0</v>
      </c>
      <c r="BW29" s="460">
        <v>0</v>
      </c>
      <c r="BX29" s="460">
        <v>0</v>
      </c>
      <c r="BY29" s="460">
        <v>0</v>
      </c>
      <c r="BZ29" s="460">
        <v>0</v>
      </c>
      <c r="CA29" s="460" t="e">
        <v>#N/A</v>
      </c>
      <c r="CB29" s="460" t="e">
        <v>#N/A</v>
      </c>
      <c r="CC29" s="460" t="e">
        <v>#N/A</v>
      </c>
    </row>
    <row r="30" spans="1:81" ht="12.75" customHeight="1">
      <c r="A30" s="111">
        <v>25</v>
      </c>
      <c r="B30" s="458" t="str">
        <v>2Y9M</v>
      </c>
      <c r="C30" s="262">
        <f>'eur disaggregated'!AL41</f>
        <v>-1526.9260425745499</v>
      </c>
      <c r="D30" s="111" t="str">
        <f t="shared" si="5"/>
        <v>33M</v>
      </c>
      <c r="E30" s="441">
        <f>BktEur1mPL!E30</f>
        <v>42696</v>
      </c>
      <c r="F30" s="441">
        <f>BktEur1mPL!F30</f>
        <v>43699</v>
      </c>
      <c r="G30" s="462">
        <f t="shared" si="3"/>
        <v>-3.0539198899999999E-3</v>
      </c>
      <c r="H30" s="453">
        <f>BktEur1mPL!H30</f>
        <v>-0.30539198899999997</v>
      </c>
      <c r="I30" s="107" t="str">
        <v>19M</v>
      </c>
      <c r="J30" s="441" t="str">
        <f t="shared" si="4"/>
        <v>19M</v>
      </c>
      <c r="K30" s="448">
        <f>_xll.qlCalendarAdvance("TARGET",$C$1,J30)</f>
        <v>43273</v>
      </c>
      <c r="L30" s="89"/>
      <c r="M30" s="99" t="str">
        <v>19M</v>
      </c>
      <c r="N30" s="465">
        <v>0</v>
      </c>
      <c r="P30" s="106" t="b">
        <f t="shared" si="1"/>
        <v>0</v>
      </c>
      <c r="Q30" s="460">
        <f t="array" ref="Q30:CC30">C30*ForwardToZero(OisBuckets,E30,F30,G30)</f>
        <v>0</v>
      </c>
      <c r="R30" s="460">
        <v>0</v>
      </c>
      <c r="S30" s="460">
        <v>0</v>
      </c>
      <c r="T30" s="460">
        <v>0</v>
      </c>
      <c r="U30" s="460">
        <v>0</v>
      </c>
      <c r="V30" s="460">
        <v>0</v>
      </c>
      <c r="W30" s="460">
        <v>0</v>
      </c>
      <c r="X30" s="460">
        <v>0</v>
      </c>
      <c r="Y30" s="460">
        <v>0</v>
      </c>
      <c r="Z30" s="460">
        <v>0</v>
      </c>
      <c r="AA30" s="460">
        <v>0</v>
      </c>
      <c r="AB30" s="460">
        <v>0</v>
      </c>
      <c r="AC30" s="460">
        <v>0</v>
      </c>
      <c r="AD30" s="460">
        <v>0</v>
      </c>
      <c r="AE30" s="460">
        <v>0</v>
      </c>
      <c r="AF30" s="460">
        <v>0</v>
      </c>
      <c r="AG30" s="460">
        <v>0</v>
      </c>
      <c r="AH30" s="460">
        <v>0</v>
      </c>
      <c r="AI30" s="460">
        <v>0</v>
      </c>
      <c r="AJ30" s="460">
        <v>0</v>
      </c>
      <c r="AK30" s="460">
        <v>0</v>
      </c>
      <c r="AL30" s="460">
        <v>0</v>
      </c>
      <c r="AM30" s="460">
        <v>0</v>
      </c>
      <c r="AN30" s="460">
        <v>0</v>
      </c>
      <c r="AO30" s="460">
        <v>0</v>
      </c>
      <c r="AP30" s="460">
        <v>0</v>
      </c>
      <c r="AQ30" s="460">
        <v>0</v>
      </c>
      <c r="AR30" s="460">
        <v>0</v>
      </c>
      <c r="AS30" s="460">
        <v>0</v>
      </c>
      <c r="AT30" s="460">
        <v>-384.8690299092014</v>
      </c>
      <c r="AU30" s="460">
        <v>-1142.0570126653486</v>
      </c>
      <c r="AV30" s="460">
        <v>0</v>
      </c>
      <c r="AW30" s="460">
        <v>0</v>
      </c>
      <c r="AX30" s="460">
        <v>0</v>
      </c>
      <c r="AY30" s="460">
        <v>0</v>
      </c>
      <c r="AZ30" s="460">
        <v>0</v>
      </c>
      <c r="BA30" s="460">
        <v>0</v>
      </c>
      <c r="BB30" s="460">
        <v>0</v>
      </c>
      <c r="BC30" s="460">
        <v>0</v>
      </c>
      <c r="BD30" s="460">
        <v>0</v>
      </c>
      <c r="BE30" s="460">
        <v>0</v>
      </c>
      <c r="BF30" s="460">
        <v>0</v>
      </c>
      <c r="BG30" s="460">
        <v>0</v>
      </c>
      <c r="BH30" s="460">
        <v>0</v>
      </c>
      <c r="BI30" s="460">
        <v>0</v>
      </c>
      <c r="BJ30" s="460">
        <v>0</v>
      </c>
      <c r="BK30" s="460">
        <v>0</v>
      </c>
      <c r="BL30" s="460">
        <v>0</v>
      </c>
      <c r="BM30" s="460">
        <v>0</v>
      </c>
      <c r="BN30" s="460">
        <v>0</v>
      </c>
      <c r="BO30" s="460">
        <v>0</v>
      </c>
      <c r="BP30" s="460">
        <v>0</v>
      </c>
      <c r="BQ30" s="460">
        <v>0</v>
      </c>
      <c r="BR30" s="460">
        <v>0</v>
      </c>
      <c r="BS30" s="460">
        <v>0</v>
      </c>
      <c r="BT30" s="460">
        <v>0</v>
      </c>
      <c r="BU30" s="460">
        <v>0</v>
      </c>
      <c r="BV30" s="460">
        <v>0</v>
      </c>
      <c r="BW30" s="460">
        <v>0</v>
      </c>
      <c r="BX30" s="460">
        <v>0</v>
      </c>
      <c r="BY30" s="460">
        <v>0</v>
      </c>
      <c r="BZ30" s="460">
        <v>0</v>
      </c>
      <c r="CA30" s="460" t="e">
        <v>#N/A</v>
      </c>
      <c r="CB30" s="460" t="e">
        <v>#N/A</v>
      </c>
      <c r="CC30" s="460" t="e">
        <v>#N/A</v>
      </c>
    </row>
    <row r="31" spans="1:81" ht="12.75" customHeight="1">
      <c r="A31" s="105">
        <v>26</v>
      </c>
      <c r="B31" s="112" t="str">
        <v>3Y</v>
      </c>
      <c r="C31" s="262">
        <f>'eur disaggregated'!AL42</f>
        <v>4800.2280671111002</v>
      </c>
      <c r="D31" s="111" t="str">
        <f t="shared" si="5"/>
        <v>36M</v>
      </c>
      <c r="E31" s="441">
        <f>BktEur1mPL!E31</f>
        <v>42696</v>
      </c>
      <c r="F31" s="441">
        <f>BktEur1mPL!F31</f>
        <v>43791</v>
      </c>
      <c r="G31" s="462">
        <f t="shared" si="3"/>
        <v>-2.8899999999999998E-3</v>
      </c>
      <c r="H31" s="453">
        <f>BktEur1mPL!H31</f>
        <v>-0.28899999999999998</v>
      </c>
      <c r="I31" s="107" t="str">
        <v>20M</v>
      </c>
      <c r="J31" s="106" t="str">
        <f t="shared" si="4"/>
        <v>20M</v>
      </c>
      <c r="K31" s="448">
        <f>_xll.qlCalendarAdvance("TARGET",$C$1,J31)</f>
        <v>43304</v>
      </c>
      <c r="M31" s="99" t="str">
        <v>20M</v>
      </c>
      <c r="N31" s="465">
        <v>0</v>
      </c>
      <c r="P31" s="106" t="b">
        <f t="shared" si="1"/>
        <v>0</v>
      </c>
      <c r="Q31" s="460">
        <f t="array" ref="Q31:CC31">C31*ForwardToZero(OisBuckets,E31,F31,G31)</f>
        <v>0</v>
      </c>
      <c r="R31" s="460">
        <v>0</v>
      </c>
      <c r="S31" s="460">
        <v>0</v>
      </c>
      <c r="T31" s="460">
        <v>0</v>
      </c>
      <c r="U31" s="460">
        <v>0</v>
      </c>
      <c r="V31" s="460">
        <v>0</v>
      </c>
      <c r="W31" s="460">
        <v>0</v>
      </c>
      <c r="X31" s="460">
        <v>0</v>
      </c>
      <c r="Y31" s="460">
        <v>0</v>
      </c>
      <c r="Z31" s="460">
        <v>0</v>
      </c>
      <c r="AA31" s="460">
        <v>0</v>
      </c>
      <c r="AB31" s="460">
        <v>0</v>
      </c>
      <c r="AC31" s="460">
        <v>0</v>
      </c>
      <c r="AD31" s="460">
        <v>0</v>
      </c>
      <c r="AE31" s="460">
        <v>0</v>
      </c>
      <c r="AF31" s="460">
        <v>0</v>
      </c>
      <c r="AG31" s="460">
        <v>0</v>
      </c>
      <c r="AH31" s="460">
        <v>0</v>
      </c>
      <c r="AI31" s="460">
        <v>0</v>
      </c>
      <c r="AJ31" s="460">
        <v>0</v>
      </c>
      <c r="AK31" s="460">
        <v>0</v>
      </c>
      <c r="AL31" s="460">
        <v>0</v>
      </c>
      <c r="AM31" s="460">
        <v>0</v>
      </c>
      <c r="AN31" s="460">
        <v>0</v>
      </c>
      <c r="AO31" s="460">
        <v>0</v>
      </c>
      <c r="AP31" s="460">
        <v>0</v>
      </c>
      <c r="AQ31" s="460">
        <v>0</v>
      </c>
      <c r="AR31" s="460">
        <v>0</v>
      </c>
      <c r="AS31" s="460">
        <v>0</v>
      </c>
      <c r="AT31" s="460">
        <v>0</v>
      </c>
      <c r="AU31" s="460">
        <v>4800.2280671111002</v>
      </c>
      <c r="AV31" s="460">
        <v>0</v>
      </c>
      <c r="AW31" s="460">
        <v>0</v>
      </c>
      <c r="AX31" s="460">
        <v>0</v>
      </c>
      <c r="AY31" s="460">
        <v>0</v>
      </c>
      <c r="AZ31" s="460">
        <v>0</v>
      </c>
      <c r="BA31" s="460">
        <v>0</v>
      </c>
      <c r="BB31" s="460">
        <v>0</v>
      </c>
      <c r="BC31" s="460">
        <v>0</v>
      </c>
      <c r="BD31" s="460">
        <v>0</v>
      </c>
      <c r="BE31" s="460">
        <v>0</v>
      </c>
      <c r="BF31" s="460">
        <v>0</v>
      </c>
      <c r="BG31" s="460">
        <v>0</v>
      </c>
      <c r="BH31" s="460">
        <v>0</v>
      </c>
      <c r="BI31" s="460">
        <v>0</v>
      </c>
      <c r="BJ31" s="460">
        <v>0</v>
      </c>
      <c r="BK31" s="460">
        <v>0</v>
      </c>
      <c r="BL31" s="460">
        <v>0</v>
      </c>
      <c r="BM31" s="460">
        <v>0</v>
      </c>
      <c r="BN31" s="460">
        <v>0</v>
      </c>
      <c r="BO31" s="460">
        <v>0</v>
      </c>
      <c r="BP31" s="460">
        <v>0</v>
      </c>
      <c r="BQ31" s="460">
        <v>0</v>
      </c>
      <c r="BR31" s="460">
        <v>0</v>
      </c>
      <c r="BS31" s="460">
        <v>0</v>
      </c>
      <c r="BT31" s="460">
        <v>0</v>
      </c>
      <c r="BU31" s="460">
        <v>0</v>
      </c>
      <c r="BV31" s="460">
        <v>0</v>
      </c>
      <c r="BW31" s="460">
        <v>0</v>
      </c>
      <c r="BX31" s="460">
        <v>0</v>
      </c>
      <c r="BY31" s="460">
        <v>0</v>
      </c>
      <c r="BZ31" s="460">
        <v>0</v>
      </c>
      <c r="CA31" s="460" t="e">
        <v>#N/A</v>
      </c>
      <c r="CB31" s="460" t="e">
        <v>#N/A</v>
      </c>
      <c r="CC31" s="460" t="e">
        <v>#N/A</v>
      </c>
    </row>
    <row r="32" spans="1:81" ht="12.75" customHeight="1">
      <c r="A32" s="105">
        <v>27</v>
      </c>
      <c r="B32" s="112" t="str">
        <v>4Y</v>
      </c>
      <c r="C32" s="262">
        <f>'eur disaggregated'!AL43</f>
        <v>-6144.0978926827902</v>
      </c>
      <c r="D32" s="111" t="str">
        <f t="shared" si="5"/>
        <v>48M</v>
      </c>
      <c r="E32" s="441">
        <f>BktEur1mPL!E32</f>
        <v>42696</v>
      </c>
      <c r="F32" s="441">
        <f>BktEur1mPL!F32</f>
        <v>44158</v>
      </c>
      <c r="G32" s="462">
        <f t="shared" si="3"/>
        <v>-2.1299999999999999E-3</v>
      </c>
      <c r="H32" s="453">
        <f>BktEur1mPL!H32</f>
        <v>-0.21299999999999999</v>
      </c>
      <c r="I32" s="107" t="str">
        <v>21M</v>
      </c>
      <c r="J32" s="106" t="str">
        <f t="shared" si="4"/>
        <v>21M</v>
      </c>
      <c r="K32" s="448">
        <f>_xll.qlCalendarAdvance("TARGET",$C$1,J32)</f>
        <v>43334</v>
      </c>
      <c r="M32" s="99" t="str">
        <v>21M</v>
      </c>
      <c r="N32" s="465">
        <v>10448.226999991301</v>
      </c>
      <c r="P32" s="106" t="b">
        <f t="shared" si="1"/>
        <v>0</v>
      </c>
      <c r="Q32" s="460">
        <f t="array" ref="Q32:CC32">C32*ForwardToZero(OisBuckets,E32,F32,G32)</f>
        <v>0</v>
      </c>
      <c r="R32" s="460">
        <v>0</v>
      </c>
      <c r="S32" s="460">
        <v>0</v>
      </c>
      <c r="T32" s="460">
        <v>0</v>
      </c>
      <c r="U32" s="460">
        <v>0</v>
      </c>
      <c r="V32" s="460">
        <v>0</v>
      </c>
      <c r="W32" s="460">
        <v>0</v>
      </c>
      <c r="X32" s="460">
        <v>0</v>
      </c>
      <c r="Y32" s="460">
        <v>0</v>
      </c>
      <c r="Z32" s="460">
        <v>0</v>
      </c>
      <c r="AA32" s="460">
        <v>0</v>
      </c>
      <c r="AB32" s="460">
        <v>0</v>
      </c>
      <c r="AC32" s="460">
        <v>0</v>
      </c>
      <c r="AD32" s="460">
        <v>0</v>
      </c>
      <c r="AE32" s="460">
        <v>0</v>
      </c>
      <c r="AF32" s="460">
        <v>0</v>
      </c>
      <c r="AG32" s="460">
        <v>0</v>
      </c>
      <c r="AH32" s="460">
        <v>0</v>
      </c>
      <c r="AI32" s="460">
        <v>0</v>
      </c>
      <c r="AJ32" s="460">
        <v>0</v>
      </c>
      <c r="AK32" s="460">
        <v>0</v>
      </c>
      <c r="AL32" s="460">
        <v>0</v>
      </c>
      <c r="AM32" s="460">
        <v>0</v>
      </c>
      <c r="AN32" s="460">
        <v>0</v>
      </c>
      <c r="AO32" s="460">
        <v>0</v>
      </c>
      <c r="AP32" s="460">
        <v>0</v>
      </c>
      <c r="AQ32" s="460">
        <v>0</v>
      </c>
      <c r="AR32" s="460">
        <v>0</v>
      </c>
      <c r="AS32" s="460">
        <v>0</v>
      </c>
      <c r="AT32" s="460">
        <v>0</v>
      </c>
      <c r="AU32" s="460">
        <v>0</v>
      </c>
      <c r="AV32" s="460">
        <v>-6144.0978926827902</v>
      </c>
      <c r="AW32" s="460">
        <v>0</v>
      </c>
      <c r="AX32" s="460">
        <v>0</v>
      </c>
      <c r="AY32" s="460">
        <v>0</v>
      </c>
      <c r="AZ32" s="460">
        <v>0</v>
      </c>
      <c r="BA32" s="460">
        <v>0</v>
      </c>
      <c r="BB32" s="460">
        <v>0</v>
      </c>
      <c r="BC32" s="460">
        <v>0</v>
      </c>
      <c r="BD32" s="460">
        <v>0</v>
      </c>
      <c r="BE32" s="460">
        <v>0</v>
      </c>
      <c r="BF32" s="460">
        <v>0</v>
      </c>
      <c r="BG32" s="460">
        <v>0</v>
      </c>
      <c r="BH32" s="460">
        <v>0</v>
      </c>
      <c r="BI32" s="460">
        <v>0</v>
      </c>
      <c r="BJ32" s="460">
        <v>0</v>
      </c>
      <c r="BK32" s="460">
        <v>0</v>
      </c>
      <c r="BL32" s="460">
        <v>0</v>
      </c>
      <c r="BM32" s="460">
        <v>0</v>
      </c>
      <c r="BN32" s="460">
        <v>0</v>
      </c>
      <c r="BO32" s="460">
        <v>0</v>
      </c>
      <c r="BP32" s="460">
        <v>0</v>
      </c>
      <c r="BQ32" s="460">
        <v>0</v>
      </c>
      <c r="BR32" s="460">
        <v>0</v>
      </c>
      <c r="BS32" s="460">
        <v>0</v>
      </c>
      <c r="BT32" s="460">
        <v>0</v>
      </c>
      <c r="BU32" s="460">
        <v>0</v>
      </c>
      <c r="BV32" s="460">
        <v>0</v>
      </c>
      <c r="BW32" s="460">
        <v>0</v>
      </c>
      <c r="BX32" s="460">
        <v>0</v>
      </c>
      <c r="BY32" s="460">
        <v>0</v>
      </c>
      <c r="BZ32" s="460">
        <v>0</v>
      </c>
      <c r="CA32" s="460" t="e">
        <v>#N/A</v>
      </c>
      <c r="CB32" s="460" t="e">
        <v>#N/A</v>
      </c>
      <c r="CC32" s="460" t="e">
        <v>#N/A</v>
      </c>
    </row>
    <row r="33" spans="1:81" ht="12.75" customHeight="1">
      <c r="A33" s="105">
        <v>28</v>
      </c>
      <c r="B33" s="112" t="str">
        <v>5Y</v>
      </c>
      <c r="C33" s="262">
        <f>'eur disaggregated'!AL44</f>
        <v>-9030.7303297496092</v>
      </c>
      <c r="D33" s="111" t="str">
        <f t="shared" si="5"/>
        <v>60M</v>
      </c>
      <c r="E33" s="441">
        <f>BktEur1mPL!E33</f>
        <v>42696</v>
      </c>
      <c r="F33" s="441">
        <f>BktEur1mPL!F33</f>
        <v>44522</v>
      </c>
      <c r="G33" s="462">
        <f t="shared" si="3"/>
        <v>-1.1899999999999999E-3</v>
      </c>
      <c r="H33" s="453">
        <f>BktEur1mPL!H33</f>
        <v>-0.11899999999999999</v>
      </c>
      <c r="I33" s="107" t="str">
        <v>22M</v>
      </c>
      <c r="J33" s="106" t="str">
        <f t="shared" si="4"/>
        <v>22M</v>
      </c>
      <c r="K33" s="448">
        <f>_xll.qlCalendarAdvance("TARGET",$C$1,J33)</f>
        <v>43367</v>
      </c>
      <c r="M33" s="99" t="str">
        <v>22M</v>
      </c>
      <c r="N33" s="465">
        <v>0</v>
      </c>
      <c r="P33" s="106" t="b">
        <f t="shared" si="1"/>
        <v>0</v>
      </c>
      <c r="Q33" s="460">
        <f t="array" ref="Q33:CC33">C33*ForwardToZero(OisBuckets,E33,F33,G33)</f>
        <v>0</v>
      </c>
      <c r="R33" s="460">
        <v>0</v>
      </c>
      <c r="S33" s="460">
        <v>0</v>
      </c>
      <c r="T33" s="460">
        <v>0</v>
      </c>
      <c r="U33" s="460">
        <v>0</v>
      </c>
      <c r="V33" s="460">
        <v>0</v>
      </c>
      <c r="W33" s="460">
        <v>0</v>
      </c>
      <c r="X33" s="460">
        <v>0</v>
      </c>
      <c r="Y33" s="460">
        <v>0</v>
      </c>
      <c r="Z33" s="460">
        <v>0</v>
      </c>
      <c r="AA33" s="460">
        <v>0</v>
      </c>
      <c r="AB33" s="460">
        <v>0</v>
      </c>
      <c r="AC33" s="460">
        <v>0</v>
      </c>
      <c r="AD33" s="460">
        <v>0</v>
      </c>
      <c r="AE33" s="460">
        <v>0</v>
      </c>
      <c r="AF33" s="460">
        <v>0</v>
      </c>
      <c r="AG33" s="460">
        <v>0</v>
      </c>
      <c r="AH33" s="460">
        <v>0</v>
      </c>
      <c r="AI33" s="460">
        <v>0</v>
      </c>
      <c r="AJ33" s="460">
        <v>0</v>
      </c>
      <c r="AK33" s="460">
        <v>0</v>
      </c>
      <c r="AL33" s="460">
        <v>0</v>
      </c>
      <c r="AM33" s="460">
        <v>0</v>
      </c>
      <c r="AN33" s="460">
        <v>0</v>
      </c>
      <c r="AO33" s="460">
        <v>0</v>
      </c>
      <c r="AP33" s="460">
        <v>0</v>
      </c>
      <c r="AQ33" s="460">
        <v>0</v>
      </c>
      <c r="AR33" s="460">
        <v>0</v>
      </c>
      <c r="AS33" s="460">
        <v>0</v>
      </c>
      <c r="AT33" s="460">
        <v>0</v>
      </c>
      <c r="AU33" s="460">
        <v>0</v>
      </c>
      <c r="AV33" s="460">
        <v>0</v>
      </c>
      <c r="AW33" s="460">
        <v>-9030.7303297496092</v>
      </c>
      <c r="AX33" s="460">
        <v>0</v>
      </c>
      <c r="AY33" s="460">
        <v>0</v>
      </c>
      <c r="AZ33" s="460">
        <v>0</v>
      </c>
      <c r="BA33" s="460">
        <v>0</v>
      </c>
      <c r="BB33" s="460">
        <v>0</v>
      </c>
      <c r="BC33" s="460">
        <v>0</v>
      </c>
      <c r="BD33" s="460">
        <v>0</v>
      </c>
      <c r="BE33" s="460">
        <v>0</v>
      </c>
      <c r="BF33" s="460">
        <v>0</v>
      </c>
      <c r="BG33" s="460">
        <v>0</v>
      </c>
      <c r="BH33" s="460">
        <v>0</v>
      </c>
      <c r="BI33" s="460">
        <v>0</v>
      </c>
      <c r="BJ33" s="460">
        <v>0</v>
      </c>
      <c r="BK33" s="460">
        <v>0</v>
      </c>
      <c r="BL33" s="460">
        <v>0</v>
      </c>
      <c r="BM33" s="460">
        <v>0</v>
      </c>
      <c r="BN33" s="460">
        <v>0</v>
      </c>
      <c r="BO33" s="460">
        <v>0</v>
      </c>
      <c r="BP33" s="460">
        <v>0</v>
      </c>
      <c r="BQ33" s="460">
        <v>0</v>
      </c>
      <c r="BR33" s="460">
        <v>0</v>
      </c>
      <c r="BS33" s="460">
        <v>0</v>
      </c>
      <c r="BT33" s="460">
        <v>0</v>
      </c>
      <c r="BU33" s="460">
        <v>0</v>
      </c>
      <c r="BV33" s="460">
        <v>0</v>
      </c>
      <c r="BW33" s="460">
        <v>0</v>
      </c>
      <c r="BX33" s="460">
        <v>0</v>
      </c>
      <c r="BY33" s="460">
        <v>0</v>
      </c>
      <c r="BZ33" s="460">
        <v>0</v>
      </c>
      <c r="CA33" s="460" t="e">
        <v>#N/A</v>
      </c>
      <c r="CB33" s="460" t="e">
        <v>#N/A</v>
      </c>
      <c r="CC33" s="460" t="e">
        <v>#N/A</v>
      </c>
    </row>
    <row r="34" spans="1:81" ht="12.75" customHeight="1">
      <c r="A34" s="105">
        <v>29</v>
      </c>
      <c r="B34" s="112" t="str">
        <v>6Y</v>
      </c>
      <c r="C34" s="262">
        <f>'eur disaggregated'!AL45</f>
        <v>-599.282450301111</v>
      </c>
      <c r="D34" s="111" t="str">
        <f t="shared" si="5"/>
        <v>72M</v>
      </c>
      <c r="E34" s="441">
        <f>BktEur1mPL!E34</f>
        <v>42696</v>
      </c>
      <c r="F34" s="441">
        <f>BktEur1mPL!F34</f>
        <v>44887</v>
      </c>
      <c r="G34" s="462">
        <f t="shared" si="3"/>
        <v>-1.0999999999999999E-4</v>
      </c>
      <c r="H34" s="453">
        <f>BktEur1mPL!H34</f>
        <v>-1.0999999999999999E-2</v>
      </c>
      <c r="I34" s="107" t="str">
        <v>23M</v>
      </c>
      <c r="J34" s="106" t="str">
        <f t="shared" si="4"/>
        <v>23M</v>
      </c>
      <c r="K34" s="448">
        <f>_xll.qlCalendarAdvance("TARGET",$C$1,J34)</f>
        <v>43395</v>
      </c>
      <c r="M34" s="99" t="str">
        <v>23M</v>
      </c>
      <c r="N34" s="465">
        <v>0</v>
      </c>
      <c r="P34" s="106" t="b">
        <f t="shared" si="1"/>
        <v>0</v>
      </c>
      <c r="Q34" s="460">
        <f t="array" ref="Q34:CC34">C34*ForwardToZero(OisBuckets,E34,F34,G34)</f>
        <v>0</v>
      </c>
      <c r="R34" s="460">
        <v>0</v>
      </c>
      <c r="S34" s="460">
        <v>0</v>
      </c>
      <c r="T34" s="460">
        <v>0</v>
      </c>
      <c r="U34" s="460">
        <v>0</v>
      </c>
      <c r="V34" s="460">
        <v>0</v>
      </c>
      <c r="W34" s="460">
        <v>0</v>
      </c>
      <c r="X34" s="460">
        <v>0</v>
      </c>
      <c r="Y34" s="460">
        <v>0</v>
      </c>
      <c r="Z34" s="460">
        <v>0</v>
      </c>
      <c r="AA34" s="460">
        <v>0</v>
      </c>
      <c r="AB34" s="460">
        <v>0</v>
      </c>
      <c r="AC34" s="460">
        <v>0</v>
      </c>
      <c r="AD34" s="460">
        <v>0</v>
      </c>
      <c r="AE34" s="460">
        <v>0</v>
      </c>
      <c r="AF34" s="460">
        <v>0</v>
      </c>
      <c r="AG34" s="460">
        <v>0</v>
      </c>
      <c r="AH34" s="460">
        <v>0</v>
      </c>
      <c r="AI34" s="460">
        <v>0</v>
      </c>
      <c r="AJ34" s="460">
        <v>0</v>
      </c>
      <c r="AK34" s="460">
        <v>0</v>
      </c>
      <c r="AL34" s="460">
        <v>0</v>
      </c>
      <c r="AM34" s="460">
        <v>0</v>
      </c>
      <c r="AN34" s="460">
        <v>0</v>
      </c>
      <c r="AO34" s="460">
        <v>0</v>
      </c>
      <c r="AP34" s="460">
        <v>0</v>
      </c>
      <c r="AQ34" s="460">
        <v>0</v>
      </c>
      <c r="AR34" s="460">
        <v>0</v>
      </c>
      <c r="AS34" s="460">
        <v>0</v>
      </c>
      <c r="AT34" s="460">
        <v>0</v>
      </c>
      <c r="AU34" s="460">
        <v>0</v>
      </c>
      <c r="AV34" s="460">
        <v>0</v>
      </c>
      <c r="AW34" s="460">
        <v>0</v>
      </c>
      <c r="AX34" s="460">
        <v>-599.282450301111</v>
      </c>
      <c r="AY34" s="460">
        <v>0</v>
      </c>
      <c r="AZ34" s="460">
        <v>0</v>
      </c>
      <c r="BA34" s="460">
        <v>0</v>
      </c>
      <c r="BB34" s="460">
        <v>0</v>
      </c>
      <c r="BC34" s="460">
        <v>0</v>
      </c>
      <c r="BD34" s="460">
        <v>0</v>
      </c>
      <c r="BE34" s="460">
        <v>0</v>
      </c>
      <c r="BF34" s="460">
        <v>0</v>
      </c>
      <c r="BG34" s="460">
        <v>0</v>
      </c>
      <c r="BH34" s="460">
        <v>0</v>
      </c>
      <c r="BI34" s="460">
        <v>0</v>
      </c>
      <c r="BJ34" s="460">
        <v>0</v>
      </c>
      <c r="BK34" s="460">
        <v>0</v>
      </c>
      <c r="BL34" s="460">
        <v>0</v>
      </c>
      <c r="BM34" s="460">
        <v>0</v>
      </c>
      <c r="BN34" s="460">
        <v>0</v>
      </c>
      <c r="BO34" s="460">
        <v>0</v>
      </c>
      <c r="BP34" s="460">
        <v>0</v>
      </c>
      <c r="BQ34" s="460">
        <v>0</v>
      </c>
      <c r="BR34" s="460">
        <v>0</v>
      </c>
      <c r="BS34" s="460">
        <v>0</v>
      </c>
      <c r="BT34" s="460">
        <v>0</v>
      </c>
      <c r="BU34" s="460">
        <v>0</v>
      </c>
      <c r="BV34" s="460">
        <v>0</v>
      </c>
      <c r="BW34" s="460">
        <v>0</v>
      </c>
      <c r="BX34" s="460">
        <v>0</v>
      </c>
      <c r="BY34" s="460">
        <v>0</v>
      </c>
      <c r="BZ34" s="460">
        <v>0</v>
      </c>
      <c r="CA34" s="460" t="e">
        <v>#N/A</v>
      </c>
      <c r="CB34" s="460" t="e">
        <v>#N/A</v>
      </c>
      <c r="CC34" s="460" t="e">
        <v>#N/A</v>
      </c>
    </row>
    <row r="35" spans="1:81" ht="12.75" customHeight="1">
      <c r="A35" s="105">
        <v>30</v>
      </c>
      <c r="B35" s="112" t="str">
        <v>7Y</v>
      </c>
      <c r="C35" s="262">
        <f>'eur disaggregated'!AL46</f>
        <v>1497.19335187301</v>
      </c>
      <c r="D35" s="111" t="str">
        <f t="shared" si="5"/>
        <v>84M</v>
      </c>
      <c r="E35" s="441">
        <f>BktEur1mPL!E35</f>
        <v>42696</v>
      </c>
      <c r="F35" s="441">
        <f>BktEur1mPL!F35</f>
        <v>45252</v>
      </c>
      <c r="G35" s="462">
        <f t="shared" si="3"/>
        <v>1.0499999999999999E-3</v>
      </c>
      <c r="H35" s="453">
        <f>BktEur1mPL!H35</f>
        <v>0.105</v>
      </c>
      <c r="I35" s="107" t="str">
        <v>2Y</v>
      </c>
      <c r="J35" s="106" t="str">
        <f t="shared" si="4"/>
        <v>24M</v>
      </c>
      <c r="K35" s="448">
        <f>_xll.qlCalendarAdvance("TARGET",$C$1,J35)</f>
        <v>43426</v>
      </c>
      <c r="M35" s="99" t="str">
        <v>2Y</v>
      </c>
      <c r="N35" s="465">
        <v>-2256.6722757138587</v>
      </c>
      <c r="P35" s="106" t="b">
        <f t="shared" si="1"/>
        <v>0</v>
      </c>
      <c r="Q35" s="460">
        <f t="array" ref="Q35:CC35">C35*ForwardToZero(OisBuckets,E35,F35,G35)</f>
        <v>0</v>
      </c>
      <c r="R35" s="460">
        <v>0</v>
      </c>
      <c r="S35" s="460">
        <v>0</v>
      </c>
      <c r="T35" s="460">
        <v>0</v>
      </c>
      <c r="U35" s="460">
        <v>0</v>
      </c>
      <c r="V35" s="460">
        <v>0</v>
      </c>
      <c r="W35" s="460">
        <v>0</v>
      </c>
      <c r="X35" s="460">
        <v>0</v>
      </c>
      <c r="Y35" s="460">
        <v>0</v>
      </c>
      <c r="Z35" s="460">
        <v>0</v>
      </c>
      <c r="AA35" s="460">
        <v>0</v>
      </c>
      <c r="AB35" s="460">
        <v>0</v>
      </c>
      <c r="AC35" s="460">
        <v>0</v>
      </c>
      <c r="AD35" s="460">
        <v>0</v>
      </c>
      <c r="AE35" s="460">
        <v>0</v>
      </c>
      <c r="AF35" s="460">
        <v>0</v>
      </c>
      <c r="AG35" s="460">
        <v>0</v>
      </c>
      <c r="AH35" s="460">
        <v>0</v>
      </c>
      <c r="AI35" s="460">
        <v>0</v>
      </c>
      <c r="AJ35" s="460">
        <v>0</v>
      </c>
      <c r="AK35" s="460">
        <v>0</v>
      </c>
      <c r="AL35" s="460">
        <v>0</v>
      </c>
      <c r="AM35" s="460">
        <v>0</v>
      </c>
      <c r="AN35" s="460">
        <v>0</v>
      </c>
      <c r="AO35" s="460">
        <v>0</v>
      </c>
      <c r="AP35" s="460">
        <v>0</v>
      </c>
      <c r="AQ35" s="460">
        <v>0</v>
      </c>
      <c r="AR35" s="460">
        <v>0</v>
      </c>
      <c r="AS35" s="460">
        <v>0</v>
      </c>
      <c r="AT35" s="460">
        <v>0</v>
      </c>
      <c r="AU35" s="460">
        <v>0</v>
      </c>
      <c r="AV35" s="460">
        <v>0</v>
      </c>
      <c r="AW35" s="460">
        <v>0</v>
      </c>
      <c r="AX35" s="460">
        <v>0</v>
      </c>
      <c r="AY35" s="460">
        <v>1497.19335187301</v>
      </c>
      <c r="AZ35" s="460">
        <v>0</v>
      </c>
      <c r="BA35" s="460">
        <v>0</v>
      </c>
      <c r="BB35" s="460">
        <v>0</v>
      </c>
      <c r="BC35" s="460">
        <v>0</v>
      </c>
      <c r="BD35" s="460">
        <v>0</v>
      </c>
      <c r="BE35" s="460">
        <v>0</v>
      </c>
      <c r="BF35" s="460">
        <v>0</v>
      </c>
      <c r="BG35" s="460">
        <v>0</v>
      </c>
      <c r="BH35" s="460">
        <v>0</v>
      </c>
      <c r="BI35" s="460">
        <v>0</v>
      </c>
      <c r="BJ35" s="460">
        <v>0</v>
      </c>
      <c r="BK35" s="460">
        <v>0</v>
      </c>
      <c r="BL35" s="460">
        <v>0</v>
      </c>
      <c r="BM35" s="460">
        <v>0</v>
      </c>
      <c r="BN35" s="460">
        <v>0</v>
      </c>
      <c r="BO35" s="460">
        <v>0</v>
      </c>
      <c r="BP35" s="460">
        <v>0</v>
      </c>
      <c r="BQ35" s="460">
        <v>0</v>
      </c>
      <c r="BR35" s="460">
        <v>0</v>
      </c>
      <c r="BS35" s="460">
        <v>0</v>
      </c>
      <c r="BT35" s="460">
        <v>0</v>
      </c>
      <c r="BU35" s="460">
        <v>0</v>
      </c>
      <c r="BV35" s="460">
        <v>0</v>
      </c>
      <c r="BW35" s="460">
        <v>0</v>
      </c>
      <c r="BX35" s="460">
        <v>0</v>
      </c>
      <c r="BY35" s="460">
        <v>0</v>
      </c>
      <c r="BZ35" s="460">
        <v>0</v>
      </c>
      <c r="CA35" s="460" t="e">
        <v>#N/A</v>
      </c>
      <c r="CB35" s="460" t="e">
        <v>#N/A</v>
      </c>
      <c r="CC35" s="460" t="e">
        <v>#N/A</v>
      </c>
    </row>
    <row r="36" spans="1:81" ht="12.75" customHeight="1">
      <c r="A36" s="105">
        <v>31</v>
      </c>
      <c r="B36" s="112" t="str">
        <v>8Y</v>
      </c>
      <c r="C36" s="262">
        <f>'eur disaggregated'!AL47</f>
        <v>10935.487610640301</v>
      </c>
      <c r="D36" s="111" t="str">
        <f t="shared" si="5"/>
        <v>96M</v>
      </c>
      <c r="E36" s="441">
        <f>BktEur1mPL!E36</f>
        <v>42696</v>
      </c>
      <c r="F36" s="441">
        <f>BktEur1mPL!F36</f>
        <v>45618</v>
      </c>
      <c r="G36" s="462">
        <f t="shared" si="3"/>
        <v>2.2200000000000002E-3</v>
      </c>
      <c r="H36" s="453">
        <f>BktEur1mPL!H36</f>
        <v>0.222</v>
      </c>
      <c r="I36" s="107" t="str">
        <v>3Y</v>
      </c>
      <c r="J36" s="106" t="str">
        <f t="shared" si="4"/>
        <v>36M</v>
      </c>
      <c r="K36" s="448">
        <f>_xll.qlCalendarAdvance("TARGET",$C$1,J36)</f>
        <v>43791</v>
      </c>
      <c r="M36" s="99" t="str">
        <v>3Y</v>
      </c>
      <c r="N36" s="465">
        <v>5710.9816593783353</v>
      </c>
      <c r="P36" s="106" t="b">
        <f t="shared" si="1"/>
        <v>0</v>
      </c>
      <c r="Q36" s="460">
        <f t="array" ref="Q36:CC36">C36*ForwardToZero(OisBuckets,E36,F36,G36)</f>
        <v>0</v>
      </c>
      <c r="R36" s="460">
        <v>0</v>
      </c>
      <c r="S36" s="460">
        <v>0</v>
      </c>
      <c r="T36" s="460">
        <v>0</v>
      </c>
      <c r="U36" s="460">
        <v>0</v>
      </c>
      <c r="V36" s="460">
        <v>0</v>
      </c>
      <c r="W36" s="460">
        <v>0</v>
      </c>
      <c r="X36" s="460">
        <v>0</v>
      </c>
      <c r="Y36" s="460">
        <v>0</v>
      </c>
      <c r="Z36" s="460">
        <v>0</v>
      </c>
      <c r="AA36" s="460">
        <v>0</v>
      </c>
      <c r="AB36" s="460">
        <v>0</v>
      </c>
      <c r="AC36" s="460">
        <v>0</v>
      </c>
      <c r="AD36" s="460">
        <v>0</v>
      </c>
      <c r="AE36" s="460">
        <v>0</v>
      </c>
      <c r="AF36" s="460">
        <v>0</v>
      </c>
      <c r="AG36" s="460">
        <v>0</v>
      </c>
      <c r="AH36" s="460">
        <v>0</v>
      </c>
      <c r="AI36" s="460">
        <v>0</v>
      </c>
      <c r="AJ36" s="460">
        <v>0</v>
      </c>
      <c r="AK36" s="460">
        <v>0</v>
      </c>
      <c r="AL36" s="460">
        <v>0</v>
      </c>
      <c r="AM36" s="460">
        <v>0</v>
      </c>
      <c r="AN36" s="460">
        <v>0</v>
      </c>
      <c r="AO36" s="460">
        <v>0</v>
      </c>
      <c r="AP36" s="460">
        <v>0</v>
      </c>
      <c r="AQ36" s="460">
        <v>0</v>
      </c>
      <c r="AR36" s="460">
        <v>0</v>
      </c>
      <c r="AS36" s="460">
        <v>0</v>
      </c>
      <c r="AT36" s="460">
        <v>0</v>
      </c>
      <c r="AU36" s="460">
        <v>0</v>
      </c>
      <c r="AV36" s="460">
        <v>0</v>
      </c>
      <c r="AW36" s="460">
        <v>0</v>
      </c>
      <c r="AX36" s="460">
        <v>0</v>
      </c>
      <c r="AY36" s="460">
        <v>0</v>
      </c>
      <c r="AZ36" s="460">
        <v>10935.487610640301</v>
      </c>
      <c r="BA36" s="460">
        <v>0</v>
      </c>
      <c r="BB36" s="460">
        <v>0</v>
      </c>
      <c r="BC36" s="460">
        <v>0</v>
      </c>
      <c r="BD36" s="460">
        <v>0</v>
      </c>
      <c r="BE36" s="460">
        <v>0</v>
      </c>
      <c r="BF36" s="460">
        <v>0</v>
      </c>
      <c r="BG36" s="460">
        <v>0</v>
      </c>
      <c r="BH36" s="460">
        <v>0</v>
      </c>
      <c r="BI36" s="460">
        <v>0</v>
      </c>
      <c r="BJ36" s="460">
        <v>0</v>
      </c>
      <c r="BK36" s="460">
        <v>0</v>
      </c>
      <c r="BL36" s="460">
        <v>0</v>
      </c>
      <c r="BM36" s="460">
        <v>0</v>
      </c>
      <c r="BN36" s="460">
        <v>0</v>
      </c>
      <c r="BO36" s="460">
        <v>0</v>
      </c>
      <c r="BP36" s="460">
        <v>0</v>
      </c>
      <c r="BQ36" s="460">
        <v>0</v>
      </c>
      <c r="BR36" s="460">
        <v>0</v>
      </c>
      <c r="BS36" s="460">
        <v>0</v>
      </c>
      <c r="BT36" s="460">
        <v>0</v>
      </c>
      <c r="BU36" s="460">
        <v>0</v>
      </c>
      <c r="BV36" s="460">
        <v>0</v>
      </c>
      <c r="BW36" s="460">
        <v>0</v>
      </c>
      <c r="BX36" s="460">
        <v>0</v>
      </c>
      <c r="BY36" s="460">
        <v>0</v>
      </c>
      <c r="BZ36" s="460">
        <v>0</v>
      </c>
      <c r="CA36" s="460" t="e">
        <v>#N/A</v>
      </c>
      <c r="CB36" s="460" t="e">
        <v>#N/A</v>
      </c>
      <c r="CC36" s="460" t="e">
        <v>#N/A</v>
      </c>
    </row>
    <row r="37" spans="1:81" ht="12.75" customHeight="1">
      <c r="A37" s="105">
        <v>32</v>
      </c>
      <c r="B37" s="112" t="str">
        <v>9Y</v>
      </c>
      <c r="C37" s="262">
        <f>'eur disaggregated'!AL48</f>
        <v>-64294.064739210698</v>
      </c>
      <c r="D37" s="111" t="str">
        <f t="shared" si="5"/>
        <v>108M</v>
      </c>
      <c r="E37" s="441">
        <f>BktEur1mPL!E37</f>
        <v>42696</v>
      </c>
      <c r="F37" s="441">
        <f>BktEur1mPL!F37</f>
        <v>45985</v>
      </c>
      <c r="G37" s="462">
        <f t="shared" si="3"/>
        <v>3.3600000000000001E-3</v>
      </c>
      <c r="H37" s="453">
        <f>BktEur1mPL!H37</f>
        <v>0.33600000000000002</v>
      </c>
      <c r="I37" s="107" t="str">
        <v>4Y</v>
      </c>
      <c r="J37" s="106" t="str">
        <f t="shared" si="4"/>
        <v>48M</v>
      </c>
      <c r="K37" s="448">
        <f>_xll.qlCalendarAdvance("TARGET",$C$1,J37)</f>
        <v>44158</v>
      </c>
      <c r="M37" s="99" t="str">
        <v>4Y</v>
      </c>
      <c r="N37" s="465">
        <v>-6144.0978926827902</v>
      </c>
      <c r="P37" s="106" t="b">
        <f t="shared" si="1"/>
        <v>0</v>
      </c>
      <c r="Q37" s="460">
        <f t="array" ref="Q37:CC37">C37*ForwardToZero(OisBuckets,E37,F37,G37)</f>
        <v>0</v>
      </c>
      <c r="R37" s="460">
        <v>0</v>
      </c>
      <c r="S37" s="460">
        <v>0</v>
      </c>
      <c r="T37" s="460">
        <v>0</v>
      </c>
      <c r="U37" s="460">
        <v>0</v>
      </c>
      <c r="V37" s="460">
        <v>0</v>
      </c>
      <c r="W37" s="460">
        <v>0</v>
      </c>
      <c r="X37" s="460">
        <v>0</v>
      </c>
      <c r="Y37" s="460">
        <v>0</v>
      </c>
      <c r="Z37" s="460">
        <v>0</v>
      </c>
      <c r="AA37" s="460">
        <v>0</v>
      </c>
      <c r="AB37" s="460">
        <v>0</v>
      </c>
      <c r="AC37" s="460">
        <v>0</v>
      </c>
      <c r="AD37" s="460">
        <v>0</v>
      </c>
      <c r="AE37" s="460">
        <v>0</v>
      </c>
      <c r="AF37" s="460">
        <v>0</v>
      </c>
      <c r="AG37" s="460">
        <v>0</v>
      </c>
      <c r="AH37" s="460">
        <v>0</v>
      </c>
      <c r="AI37" s="460">
        <v>0</v>
      </c>
      <c r="AJ37" s="460">
        <v>0</v>
      </c>
      <c r="AK37" s="460">
        <v>0</v>
      </c>
      <c r="AL37" s="460">
        <v>0</v>
      </c>
      <c r="AM37" s="460">
        <v>0</v>
      </c>
      <c r="AN37" s="460">
        <v>0</v>
      </c>
      <c r="AO37" s="460">
        <v>0</v>
      </c>
      <c r="AP37" s="460">
        <v>0</v>
      </c>
      <c r="AQ37" s="460">
        <v>0</v>
      </c>
      <c r="AR37" s="460">
        <v>0</v>
      </c>
      <c r="AS37" s="460">
        <v>0</v>
      </c>
      <c r="AT37" s="460">
        <v>0</v>
      </c>
      <c r="AU37" s="460">
        <v>0</v>
      </c>
      <c r="AV37" s="460">
        <v>0</v>
      </c>
      <c r="AW37" s="460">
        <v>0</v>
      </c>
      <c r="AX37" s="460">
        <v>0</v>
      </c>
      <c r="AY37" s="460">
        <v>0</v>
      </c>
      <c r="AZ37" s="460">
        <v>0</v>
      </c>
      <c r="BA37" s="460">
        <v>-64294.064739210698</v>
      </c>
      <c r="BB37" s="460">
        <v>0</v>
      </c>
      <c r="BC37" s="460">
        <v>0</v>
      </c>
      <c r="BD37" s="460">
        <v>0</v>
      </c>
      <c r="BE37" s="460">
        <v>0</v>
      </c>
      <c r="BF37" s="460">
        <v>0</v>
      </c>
      <c r="BG37" s="460">
        <v>0</v>
      </c>
      <c r="BH37" s="460">
        <v>0</v>
      </c>
      <c r="BI37" s="460">
        <v>0</v>
      </c>
      <c r="BJ37" s="460">
        <v>0</v>
      </c>
      <c r="BK37" s="460">
        <v>0</v>
      </c>
      <c r="BL37" s="460">
        <v>0</v>
      </c>
      <c r="BM37" s="460">
        <v>0</v>
      </c>
      <c r="BN37" s="460">
        <v>0</v>
      </c>
      <c r="BO37" s="460">
        <v>0</v>
      </c>
      <c r="BP37" s="460">
        <v>0</v>
      </c>
      <c r="BQ37" s="460">
        <v>0</v>
      </c>
      <c r="BR37" s="460">
        <v>0</v>
      </c>
      <c r="BS37" s="460">
        <v>0</v>
      </c>
      <c r="BT37" s="460">
        <v>0</v>
      </c>
      <c r="BU37" s="460">
        <v>0</v>
      </c>
      <c r="BV37" s="460">
        <v>0</v>
      </c>
      <c r="BW37" s="460">
        <v>0</v>
      </c>
      <c r="BX37" s="460">
        <v>0</v>
      </c>
      <c r="BY37" s="460">
        <v>0</v>
      </c>
      <c r="BZ37" s="460">
        <v>0</v>
      </c>
      <c r="CA37" s="460" t="e">
        <v>#N/A</v>
      </c>
      <c r="CB37" s="460" t="e">
        <v>#N/A</v>
      </c>
      <c r="CC37" s="460" t="e">
        <v>#N/A</v>
      </c>
    </row>
    <row r="38" spans="1:81" ht="12.75" customHeight="1">
      <c r="A38" s="105">
        <v>33</v>
      </c>
      <c r="B38" s="112" t="str">
        <v>10Y</v>
      </c>
      <c r="C38" s="262">
        <f>'eur disaggregated'!AL49</f>
        <v>-22709.083387828901</v>
      </c>
      <c r="D38" s="111" t="str">
        <f t="shared" si="5"/>
        <v>120M</v>
      </c>
      <c r="E38" s="441">
        <f>BktEur1mPL!E38</f>
        <v>42696</v>
      </c>
      <c r="F38" s="441">
        <f>BktEur1mPL!F38</f>
        <v>46349</v>
      </c>
      <c r="G38" s="462">
        <f t="shared" si="3"/>
        <v>4.4200000000000003E-3</v>
      </c>
      <c r="H38" s="453">
        <f>BktEur1mPL!H38</f>
        <v>0.442</v>
      </c>
      <c r="I38" s="107" t="str">
        <v>5Y</v>
      </c>
      <c r="J38" s="106" t="str">
        <f t="shared" si="4"/>
        <v>60M</v>
      </c>
      <c r="K38" s="448">
        <f>_xll.qlCalendarAdvance("TARGET",$C$1,J38)</f>
        <v>44522</v>
      </c>
      <c r="M38" s="99" t="str">
        <v>5Y</v>
      </c>
      <c r="N38" s="465">
        <v>-9030.7303297496092</v>
      </c>
      <c r="P38" s="106" t="b">
        <f t="shared" ref="P38:P68" si="6">MID(B38,4,1)=" "</f>
        <v>0</v>
      </c>
      <c r="Q38" s="460">
        <f t="array" ref="Q38:CC38">C38*ForwardToZero(OisBuckets,E38,F38,G38)</f>
        <v>0</v>
      </c>
      <c r="R38" s="460">
        <v>0</v>
      </c>
      <c r="S38" s="460">
        <v>0</v>
      </c>
      <c r="T38" s="460">
        <v>0</v>
      </c>
      <c r="U38" s="460">
        <v>0</v>
      </c>
      <c r="V38" s="460">
        <v>0</v>
      </c>
      <c r="W38" s="460">
        <v>0</v>
      </c>
      <c r="X38" s="460">
        <v>0</v>
      </c>
      <c r="Y38" s="460">
        <v>0</v>
      </c>
      <c r="Z38" s="460">
        <v>0</v>
      </c>
      <c r="AA38" s="460">
        <v>0</v>
      </c>
      <c r="AB38" s="460">
        <v>0</v>
      </c>
      <c r="AC38" s="460">
        <v>0</v>
      </c>
      <c r="AD38" s="460">
        <v>0</v>
      </c>
      <c r="AE38" s="460">
        <v>0</v>
      </c>
      <c r="AF38" s="460">
        <v>0</v>
      </c>
      <c r="AG38" s="460">
        <v>0</v>
      </c>
      <c r="AH38" s="460">
        <v>0</v>
      </c>
      <c r="AI38" s="460">
        <v>0</v>
      </c>
      <c r="AJ38" s="460">
        <v>0</v>
      </c>
      <c r="AK38" s="460">
        <v>0</v>
      </c>
      <c r="AL38" s="460">
        <v>0</v>
      </c>
      <c r="AM38" s="460">
        <v>0</v>
      </c>
      <c r="AN38" s="460">
        <v>0</v>
      </c>
      <c r="AO38" s="460">
        <v>0</v>
      </c>
      <c r="AP38" s="460">
        <v>0</v>
      </c>
      <c r="AQ38" s="460">
        <v>0</v>
      </c>
      <c r="AR38" s="460">
        <v>0</v>
      </c>
      <c r="AS38" s="460">
        <v>0</v>
      </c>
      <c r="AT38" s="460">
        <v>0</v>
      </c>
      <c r="AU38" s="460">
        <v>0</v>
      </c>
      <c r="AV38" s="460">
        <v>0</v>
      </c>
      <c r="AW38" s="460">
        <v>0</v>
      </c>
      <c r="AX38" s="460">
        <v>0</v>
      </c>
      <c r="AY38" s="460">
        <v>0</v>
      </c>
      <c r="AZ38" s="460">
        <v>0</v>
      </c>
      <c r="BA38" s="460">
        <v>0</v>
      </c>
      <c r="BB38" s="460">
        <v>-22709.083387828901</v>
      </c>
      <c r="BC38" s="460">
        <v>0</v>
      </c>
      <c r="BD38" s="460">
        <v>0</v>
      </c>
      <c r="BE38" s="460">
        <v>0</v>
      </c>
      <c r="BF38" s="460">
        <v>0</v>
      </c>
      <c r="BG38" s="460">
        <v>0</v>
      </c>
      <c r="BH38" s="460">
        <v>0</v>
      </c>
      <c r="BI38" s="460">
        <v>0</v>
      </c>
      <c r="BJ38" s="460">
        <v>0</v>
      </c>
      <c r="BK38" s="460">
        <v>0</v>
      </c>
      <c r="BL38" s="460">
        <v>0</v>
      </c>
      <c r="BM38" s="460">
        <v>0</v>
      </c>
      <c r="BN38" s="460">
        <v>0</v>
      </c>
      <c r="BO38" s="460">
        <v>0</v>
      </c>
      <c r="BP38" s="460">
        <v>0</v>
      </c>
      <c r="BQ38" s="460">
        <v>0</v>
      </c>
      <c r="BR38" s="460">
        <v>0</v>
      </c>
      <c r="BS38" s="460">
        <v>0</v>
      </c>
      <c r="BT38" s="460">
        <v>0</v>
      </c>
      <c r="BU38" s="460">
        <v>0</v>
      </c>
      <c r="BV38" s="460">
        <v>0</v>
      </c>
      <c r="BW38" s="460">
        <v>0</v>
      </c>
      <c r="BX38" s="460">
        <v>0</v>
      </c>
      <c r="BY38" s="460">
        <v>0</v>
      </c>
      <c r="BZ38" s="460">
        <v>0</v>
      </c>
      <c r="CA38" s="460" t="e">
        <v>#N/A</v>
      </c>
      <c r="CB38" s="460" t="e">
        <v>#N/A</v>
      </c>
      <c r="CC38" s="460" t="e">
        <v>#N/A</v>
      </c>
    </row>
    <row r="39" spans="1:81" ht="12.75" customHeight="1">
      <c r="A39" s="105">
        <v>34</v>
      </c>
      <c r="B39" s="112" t="str">
        <v>11Y</v>
      </c>
      <c r="C39" s="262">
        <f>'eur disaggregated'!AL50</f>
        <v>165999.65515405501</v>
      </c>
      <c r="D39" s="111" t="str">
        <f t="shared" si="5"/>
        <v>132M</v>
      </c>
      <c r="E39" s="441">
        <f>BktEur1mPL!E39</f>
        <v>42696</v>
      </c>
      <c r="F39" s="441">
        <f>BktEur1mPL!F39</f>
        <v>46713</v>
      </c>
      <c r="G39" s="462">
        <f t="shared" si="3"/>
        <v>5.3659216799999999E-3</v>
      </c>
      <c r="H39" s="453">
        <f>BktEur1mPL!H39</f>
        <v>0.53659216799999998</v>
      </c>
      <c r="I39" s="107" t="str">
        <v>6Y</v>
      </c>
      <c r="J39" s="106" t="str">
        <f t="shared" si="4"/>
        <v>72M</v>
      </c>
      <c r="K39" s="448">
        <f>_xll.qlCalendarAdvance("TARGET",$C$1,J39)</f>
        <v>44887</v>
      </c>
      <c r="M39" s="99" t="str">
        <v>6Y</v>
      </c>
      <c r="N39" s="465">
        <v>-599.282450301111</v>
      </c>
      <c r="P39" s="106" t="b">
        <f t="shared" si="6"/>
        <v>0</v>
      </c>
      <c r="Q39" s="460">
        <f t="array" ref="Q39:CC39">C39*ForwardToZero(OisBuckets,E39,F39,G39)</f>
        <v>0</v>
      </c>
      <c r="R39" s="460">
        <v>0</v>
      </c>
      <c r="S39" s="460">
        <v>0</v>
      </c>
      <c r="T39" s="460">
        <v>0</v>
      </c>
      <c r="U39" s="460">
        <v>0</v>
      </c>
      <c r="V39" s="460">
        <v>0</v>
      </c>
      <c r="W39" s="460">
        <v>0</v>
      </c>
      <c r="X39" s="460">
        <v>0</v>
      </c>
      <c r="Y39" s="460">
        <v>0</v>
      </c>
      <c r="Z39" s="460">
        <v>0</v>
      </c>
      <c r="AA39" s="460">
        <v>0</v>
      </c>
      <c r="AB39" s="460">
        <v>0</v>
      </c>
      <c r="AC39" s="460">
        <v>0</v>
      </c>
      <c r="AD39" s="460">
        <v>0</v>
      </c>
      <c r="AE39" s="460">
        <v>0</v>
      </c>
      <c r="AF39" s="460">
        <v>0</v>
      </c>
      <c r="AG39" s="460">
        <v>0</v>
      </c>
      <c r="AH39" s="460">
        <v>0</v>
      </c>
      <c r="AI39" s="460">
        <v>0</v>
      </c>
      <c r="AJ39" s="460">
        <v>0</v>
      </c>
      <c r="AK39" s="460">
        <v>0</v>
      </c>
      <c r="AL39" s="460">
        <v>0</v>
      </c>
      <c r="AM39" s="460">
        <v>0</v>
      </c>
      <c r="AN39" s="460">
        <v>0</v>
      </c>
      <c r="AO39" s="460">
        <v>0</v>
      </c>
      <c r="AP39" s="460">
        <v>0</v>
      </c>
      <c r="AQ39" s="460">
        <v>0</v>
      </c>
      <c r="AR39" s="460">
        <v>0</v>
      </c>
      <c r="AS39" s="460">
        <v>0</v>
      </c>
      <c r="AT39" s="460">
        <v>0</v>
      </c>
      <c r="AU39" s="460">
        <v>0</v>
      </c>
      <c r="AV39" s="460">
        <v>0</v>
      </c>
      <c r="AW39" s="460">
        <v>0</v>
      </c>
      <c r="AX39" s="460">
        <v>0</v>
      </c>
      <c r="AY39" s="460">
        <v>0</v>
      </c>
      <c r="AZ39" s="460">
        <v>0</v>
      </c>
      <c r="BA39" s="460">
        <v>0</v>
      </c>
      <c r="BB39" s="460">
        <v>0</v>
      </c>
      <c r="BC39" s="460">
        <v>165999.65515405501</v>
      </c>
      <c r="BD39" s="460">
        <v>0</v>
      </c>
      <c r="BE39" s="460">
        <v>0</v>
      </c>
      <c r="BF39" s="460">
        <v>0</v>
      </c>
      <c r="BG39" s="460">
        <v>0</v>
      </c>
      <c r="BH39" s="460">
        <v>0</v>
      </c>
      <c r="BI39" s="460">
        <v>0</v>
      </c>
      <c r="BJ39" s="460">
        <v>0</v>
      </c>
      <c r="BK39" s="460">
        <v>0</v>
      </c>
      <c r="BL39" s="460">
        <v>0</v>
      </c>
      <c r="BM39" s="460">
        <v>0</v>
      </c>
      <c r="BN39" s="460">
        <v>0</v>
      </c>
      <c r="BO39" s="460">
        <v>0</v>
      </c>
      <c r="BP39" s="460">
        <v>0</v>
      </c>
      <c r="BQ39" s="460">
        <v>0</v>
      </c>
      <c r="BR39" s="460">
        <v>0</v>
      </c>
      <c r="BS39" s="460">
        <v>0</v>
      </c>
      <c r="BT39" s="460">
        <v>0</v>
      </c>
      <c r="BU39" s="460">
        <v>0</v>
      </c>
      <c r="BV39" s="460">
        <v>0</v>
      </c>
      <c r="BW39" s="460">
        <v>0</v>
      </c>
      <c r="BX39" s="460">
        <v>0</v>
      </c>
      <c r="BY39" s="460">
        <v>0</v>
      </c>
      <c r="BZ39" s="460">
        <v>0</v>
      </c>
      <c r="CA39" s="460" t="e">
        <v>#N/A</v>
      </c>
      <c r="CB39" s="460" t="e">
        <v>#N/A</v>
      </c>
      <c r="CC39" s="460" t="e">
        <v>#N/A</v>
      </c>
    </row>
    <row r="40" spans="1:81" ht="12.75" customHeight="1">
      <c r="A40" s="105">
        <v>35</v>
      </c>
      <c r="B40" s="112" t="str">
        <v>12Y</v>
      </c>
      <c r="C40" s="262">
        <f>'eur disaggregated'!AL51</f>
        <v>-56614.123880405998</v>
      </c>
      <c r="D40" s="111" t="str">
        <f t="shared" si="5"/>
        <v>144M</v>
      </c>
      <c r="E40" s="441">
        <f>BktEur1mPL!E40</f>
        <v>42696</v>
      </c>
      <c r="F40" s="441">
        <f>BktEur1mPL!F40</f>
        <v>47079</v>
      </c>
      <c r="G40" s="462">
        <f t="shared" si="3"/>
        <v>6.2100000000000002E-3</v>
      </c>
      <c r="H40" s="453">
        <f>BktEur1mPL!H40</f>
        <v>0.621</v>
      </c>
      <c r="I40" s="107" t="str">
        <v>7Y</v>
      </c>
      <c r="J40" s="106" t="str">
        <f t="shared" si="4"/>
        <v>84M</v>
      </c>
      <c r="K40" s="448">
        <f>_xll.qlCalendarAdvance("TARGET",$C$1,J40)</f>
        <v>45252</v>
      </c>
      <c r="M40" s="99" t="str">
        <v>7Y</v>
      </c>
      <c r="N40" s="465">
        <v>1497.19335187301</v>
      </c>
      <c r="P40" s="106" t="b">
        <f t="shared" si="6"/>
        <v>0</v>
      </c>
      <c r="Q40" s="460">
        <f t="array" ref="Q40:CC40">C40*ForwardToZero(OisBuckets,E40,F40,G40)</f>
        <v>0</v>
      </c>
      <c r="R40" s="460">
        <v>0</v>
      </c>
      <c r="S40" s="460">
        <v>0</v>
      </c>
      <c r="T40" s="460">
        <v>0</v>
      </c>
      <c r="U40" s="460">
        <v>0</v>
      </c>
      <c r="V40" s="460">
        <v>0</v>
      </c>
      <c r="W40" s="460">
        <v>0</v>
      </c>
      <c r="X40" s="460">
        <v>0</v>
      </c>
      <c r="Y40" s="460">
        <v>0</v>
      </c>
      <c r="Z40" s="460">
        <v>0</v>
      </c>
      <c r="AA40" s="460">
        <v>0</v>
      </c>
      <c r="AB40" s="460">
        <v>0</v>
      </c>
      <c r="AC40" s="460">
        <v>0</v>
      </c>
      <c r="AD40" s="460">
        <v>0</v>
      </c>
      <c r="AE40" s="460">
        <v>0</v>
      </c>
      <c r="AF40" s="460">
        <v>0</v>
      </c>
      <c r="AG40" s="460">
        <v>0</v>
      </c>
      <c r="AH40" s="460">
        <v>0</v>
      </c>
      <c r="AI40" s="460">
        <v>0</v>
      </c>
      <c r="AJ40" s="460">
        <v>0</v>
      </c>
      <c r="AK40" s="460">
        <v>0</v>
      </c>
      <c r="AL40" s="460">
        <v>0</v>
      </c>
      <c r="AM40" s="460">
        <v>0</v>
      </c>
      <c r="AN40" s="460">
        <v>0</v>
      </c>
      <c r="AO40" s="460">
        <v>0</v>
      </c>
      <c r="AP40" s="460">
        <v>0</v>
      </c>
      <c r="AQ40" s="460">
        <v>0</v>
      </c>
      <c r="AR40" s="460">
        <v>0</v>
      </c>
      <c r="AS40" s="460">
        <v>0</v>
      </c>
      <c r="AT40" s="460">
        <v>0</v>
      </c>
      <c r="AU40" s="460">
        <v>0</v>
      </c>
      <c r="AV40" s="460">
        <v>0</v>
      </c>
      <c r="AW40" s="460">
        <v>0</v>
      </c>
      <c r="AX40" s="460">
        <v>0</v>
      </c>
      <c r="AY40" s="460">
        <v>0</v>
      </c>
      <c r="AZ40" s="460">
        <v>0</v>
      </c>
      <c r="BA40" s="460">
        <v>0</v>
      </c>
      <c r="BB40" s="460">
        <v>0</v>
      </c>
      <c r="BC40" s="460">
        <v>0</v>
      </c>
      <c r="BD40" s="460">
        <v>-56614.123880405998</v>
      </c>
      <c r="BE40" s="460">
        <v>0</v>
      </c>
      <c r="BF40" s="460">
        <v>0</v>
      </c>
      <c r="BG40" s="460">
        <v>0</v>
      </c>
      <c r="BH40" s="460">
        <v>0</v>
      </c>
      <c r="BI40" s="460">
        <v>0</v>
      </c>
      <c r="BJ40" s="460">
        <v>0</v>
      </c>
      <c r="BK40" s="460">
        <v>0</v>
      </c>
      <c r="BL40" s="460">
        <v>0</v>
      </c>
      <c r="BM40" s="460">
        <v>0</v>
      </c>
      <c r="BN40" s="460">
        <v>0</v>
      </c>
      <c r="BO40" s="460">
        <v>0</v>
      </c>
      <c r="BP40" s="460">
        <v>0</v>
      </c>
      <c r="BQ40" s="460">
        <v>0</v>
      </c>
      <c r="BR40" s="460">
        <v>0</v>
      </c>
      <c r="BS40" s="460">
        <v>0</v>
      </c>
      <c r="BT40" s="460">
        <v>0</v>
      </c>
      <c r="BU40" s="460">
        <v>0</v>
      </c>
      <c r="BV40" s="460">
        <v>0</v>
      </c>
      <c r="BW40" s="460">
        <v>0</v>
      </c>
      <c r="BX40" s="460">
        <v>0</v>
      </c>
      <c r="BY40" s="460">
        <v>0</v>
      </c>
      <c r="BZ40" s="460">
        <v>0</v>
      </c>
      <c r="CA40" s="460" t="e">
        <v>#N/A</v>
      </c>
      <c r="CB40" s="460" t="e">
        <v>#N/A</v>
      </c>
      <c r="CC40" s="460" t="e">
        <v>#N/A</v>
      </c>
    </row>
    <row r="41" spans="1:81" ht="12.75" customHeight="1">
      <c r="A41" s="105">
        <v>36</v>
      </c>
      <c r="B41" s="112" t="str">
        <v>13Y</v>
      </c>
      <c r="C41" s="262">
        <f>'eur disaggregated'!AL52</f>
        <v>-29487.523899883399</v>
      </c>
      <c r="D41" s="111" t="str">
        <f t="shared" si="5"/>
        <v>156M</v>
      </c>
      <c r="E41" s="441">
        <f>BktEur1mPL!E41</f>
        <v>42696</v>
      </c>
      <c r="F41" s="441">
        <f>BktEur1mPL!F41</f>
        <v>47444</v>
      </c>
      <c r="G41" s="462">
        <f t="shared" si="3"/>
        <v>6.9459105899999998E-3</v>
      </c>
      <c r="H41" s="453">
        <f>BktEur1mPL!H41</f>
        <v>0.69459105899999996</v>
      </c>
      <c r="I41" s="107" t="str">
        <v>8Y</v>
      </c>
      <c r="J41" s="106" t="str">
        <f t="shared" si="4"/>
        <v>96M</v>
      </c>
      <c r="K41" s="448">
        <f>_xll.qlCalendarAdvance("TARGET",$C$1,J41)</f>
        <v>45618</v>
      </c>
      <c r="M41" s="99" t="str">
        <v>8Y</v>
      </c>
      <c r="N41" s="465">
        <v>10935.487610640301</v>
      </c>
      <c r="P41" s="106" t="b">
        <f t="shared" si="6"/>
        <v>0</v>
      </c>
      <c r="Q41" s="460">
        <f t="array" ref="Q41:CC41">C41*ForwardToZero(OisBuckets,E41,F41,G41)</f>
        <v>0</v>
      </c>
      <c r="R41" s="460">
        <v>0</v>
      </c>
      <c r="S41" s="460">
        <v>0</v>
      </c>
      <c r="T41" s="460">
        <v>0</v>
      </c>
      <c r="U41" s="460">
        <v>0</v>
      </c>
      <c r="V41" s="460">
        <v>0</v>
      </c>
      <c r="W41" s="460">
        <v>0</v>
      </c>
      <c r="X41" s="460">
        <v>0</v>
      </c>
      <c r="Y41" s="460">
        <v>0</v>
      </c>
      <c r="Z41" s="460">
        <v>0</v>
      </c>
      <c r="AA41" s="460">
        <v>0</v>
      </c>
      <c r="AB41" s="460">
        <v>0</v>
      </c>
      <c r="AC41" s="460">
        <v>0</v>
      </c>
      <c r="AD41" s="460">
        <v>0</v>
      </c>
      <c r="AE41" s="460">
        <v>0</v>
      </c>
      <c r="AF41" s="460">
        <v>0</v>
      </c>
      <c r="AG41" s="460">
        <v>0</v>
      </c>
      <c r="AH41" s="460">
        <v>0</v>
      </c>
      <c r="AI41" s="460">
        <v>0</v>
      </c>
      <c r="AJ41" s="460">
        <v>0</v>
      </c>
      <c r="AK41" s="460">
        <v>0</v>
      </c>
      <c r="AL41" s="460">
        <v>0</v>
      </c>
      <c r="AM41" s="460">
        <v>0</v>
      </c>
      <c r="AN41" s="460">
        <v>0</v>
      </c>
      <c r="AO41" s="460">
        <v>0</v>
      </c>
      <c r="AP41" s="460">
        <v>0</v>
      </c>
      <c r="AQ41" s="460">
        <v>0</v>
      </c>
      <c r="AR41" s="460">
        <v>0</v>
      </c>
      <c r="AS41" s="460">
        <v>0</v>
      </c>
      <c r="AT41" s="460">
        <v>0</v>
      </c>
      <c r="AU41" s="460">
        <v>0</v>
      </c>
      <c r="AV41" s="460">
        <v>0</v>
      </c>
      <c r="AW41" s="460">
        <v>0</v>
      </c>
      <c r="AX41" s="460">
        <v>0</v>
      </c>
      <c r="AY41" s="460">
        <v>0</v>
      </c>
      <c r="AZ41" s="460">
        <v>0</v>
      </c>
      <c r="BA41" s="460">
        <v>0</v>
      </c>
      <c r="BB41" s="460">
        <v>0</v>
      </c>
      <c r="BC41" s="460">
        <v>0</v>
      </c>
      <c r="BD41" s="460">
        <v>0</v>
      </c>
      <c r="BE41" s="460">
        <v>-29487.523899883399</v>
      </c>
      <c r="BF41" s="460">
        <v>0</v>
      </c>
      <c r="BG41" s="460">
        <v>0</v>
      </c>
      <c r="BH41" s="460">
        <v>0</v>
      </c>
      <c r="BI41" s="460">
        <v>0</v>
      </c>
      <c r="BJ41" s="460">
        <v>0</v>
      </c>
      <c r="BK41" s="460">
        <v>0</v>
      </c>
      <c r="BL41" s="460">
        <v>0</v>
      </c>
      <c r="BM41" s="460">
        <v>0</v>
      </c>
      <c r="BN41" s="460">
        <v>0</v>
      </c>
      <c r="BO41" s="460">
        <v>0</v>
      </c>
      <c r="BP41" s="460">
        <v>0</v>
      </c>
      <c r="BQ41" s="460">
        <v>0</v>
      </c>
      <c r="BR41" s="460">
        <v>0</v>
      </c>
      <c r="BS41" s="460">
        <v>0</v>
      </c>
      <c r="BT41" s="460">
        <v>0</v>
      </c>
      <c r="BU41" s="460">
        <v>0</v>
      </c>
      <c r="BV41" s="460">
        <v>0</v>
      </c>
      <c r="BW41" s="460">
        <v>0</v>
      </c>
      <c r="BX41" s="460">
        <v>0</v>
      </c>
      <c r="BY41" s="460">
        <v>0</v>
      </c>
      <c r="BZ41" s="460">
        <v>0</v>
      </c>
      <c r="CA41" s="460" t="e">
        <v>#N/A</v>
      </c>
      <c r="CB41" s="460" t="e">
        <v>#N/A</v>
      </c>
      <c r="CC41" s="460" t="e">
        <v>#N/A</v>
      </c>
    </row>
    <row r="42" spans="1:81" ht="12.75" customHeight="1">
      <c r="A42" s="105">
        <v>37</v>
      </c>
      <c r="B42" s="112" t="str">
        <v>14Y</v>
      </c>
      <c r="C42" s="262">
        <f>'eur disaggregated'!AL53</f>
        <v>-18179.723898906599</v>
      </c>
      <c r="D42" s="111" t="str">
        <f t="shared" si="5"/>
        <v>168M</v>
      </c>
      <c r="E42" s="441">
        <f>BktEur1mPL!E42</f>
        <v>42696</v>
      </c>
      <c r="F42" s="441">
        <f>BktEur1mPL!F42</f>
        <v>47809</v>
      </c>
      <c r="G42" s="462">
        <f t="shared" si="3"/>
        <v>7.5882464900000005E-3</v>
      </c>
      <c r="H42" s="453">
        <f>BktEur1mPL!H42</f>
        <v>0.75882464900000002</v>
      </c>
      <c r="I42" s="107" t="str">
        <v>9Y</v>
      </c>
      <c r="J42" s="106" t="str">
        <f t="shared" si="4"/>
        <v>108M</v>
      </c>
      <c r="K42" s="448">
        <f>_xll.qlCalendarAdvance("TARGET",$C$1,J42)</f>
        <v>45985</v>
      </c>
      <c r="M42" s="99" t="str">
        <v>9Y</v>
      </c>
      <c r="N42" s="465">
        <v>-64294.064739210698</v>
      </c>
      <c r="P42" s="106" t="b">
        <f t="shared" si="6"/>
        <v>0</v>
      </c>
      <c r="Q42" s="460">
        <f t="array" ref="Q42:CC42">C42*ForwardToZero(OisBuckets,E42,F42,G42)</f>
        <v>0</v>
      </c>
      <c r="R42" s="460">
        <v>0</v>
      </c>
      <c r="S42" s="460">
        <v>0</v>
      </c>
      <c r="T42" s="460">
        <v>0</v>
      </c>
      <c r="U42" s="460">
        <v>0</v>
      </c>
      <c r="V42" s="460">
        <v>0</v>
      </c>
      <c r="W42" s="460">
        <v>0</v>
      </c>
      <c r="X42" s="460">
        <v>0</v>
      </c>
      <c r="Y42" s="460">
        <v>0</v>
      </c>
      <c r="Z42" s="460">
        <v>0</v>
      </c>
      <c r="AA42" s="460">
        <v>0</v>
      </c>
      <c r="AB42" s="460">
        <v>0</v>
      </c>
      <c r="AC42" s="460">
        <v>0</v>
      </c>
      <c r="AD42" s="460">
        <v>0</v>
      </c>
      <c r="AE42" s="460">
        <v>0</v>
      </c>
      <c r="AF42" s="460">
        <v>0</v>
      </c>
      <c r="AG42" s="460">
        <v>0</v>
      </c>
      <c r="AH42" s="460">
        <v>0</v>
      </c>
      <c r="AI42" s="460">
        <v>0</v>
      </c>
      <c r="AJ42" s="460">
        <v>0</v>
      </c>
      <c r="AK42" s="460">
        <v>0</v>
      </c>
      <c r="AL42" s="460">
        <v>0</v>
      </c>
      <c r="AM42" s="460">
        <v>0</v>
      </c>
      <c r="AN42" s="460">
        <v>0</v>
      </c>
      <c r="AO42" s="460">
        <v>0</v>
      </c>
      <c r="AP42" s="460">
        <v>0</v>
      </c>
      <c r="AQ42" s="460">
        <v>0</v>
      </c>
      <c r="AR42" s="460">
        <v>0</v>
      </c>
      <c r="AS42" s="460">
        <v>0</v>
      </c>
      <c r="AT42" s="460">
        <v>0</v>
      </c>
      <c r="AU42" s="460">
        <v>0</v>
      </c>
      <c r="AV42" s="460">
        <v>0</v>
      </c>
      <c r="AW42" s="460">
        <v>0</v>
      </c>
      <c r="AX42" s="460">
        <v>0</v>
      </c>
      <c r="AY42" s="460">
        <v>0</v>
      </c>
      <c r="AZ42" s="460">
        <v>0</v>
      </c>
      <c r="BA42" s="460">
        <v>0</v>
      </c>
      <c r="BB42" s="460">
        <v>0</v>
      </c>
      <c r="BC42" s="460">
        <v>0</v>
      </c>
      <c r="BD42" s="460">
        <v>0</v>
      </c>
      <c r="BE42" s="460">
        <v>0</v>
      </c>
      <c r="BF42" s="460">
        <v>-18179.723898906599</v>
      </c>
      <c r="BG42" s="460">
        <v>0</v>
      </c>
      <c r="BH42" s="460">
        <v>0</v>
      </c>
      <c r="BI42" s="460">
        <v>0</v>
      </c>
      <c r="BJ42" s="460">
        <v>0</v>
      </c>
      <c r="BK42" s="460">
        <v>0</v>
      </c>
      <c r="BL42" s="460">
        <v>0</v>
      </c>
      <c r="BM42" s="460">
        <v>0</v>
      </c>
      <c r="BN42" s="460">
        <v>0</v>
      </c>
      <c r="BO42" s="460">
        <v>0</v>
      </c>
      <c r="BP42" s="460">
        <v>0</v>
      </c>
      <c r="BQ42" s="460">
        <v>0</v>
      </c>
      <c r="BR42" s="460">
        <v>0</v>
      </c>
      <c r="BS42" s="460">
        <v>0</v>
      </c>
      <c r="BT42" s="460">
        <v>0</v>
      </c>
      <c r="BU42" s="460">
        <v>0</v>
      </c>
      <c r="BV42" s="460">
        <v>0</v>
      </c>
      <c r="BW42" s="460">
        <v>0</v>
      </c>
      <c r="BX42" s="460">
        <v>0</v>
      </c>
      <c r="BY42" s="460">
        <v>0</v>
      </c>
      <c r="BZ42" s="460">
        <v>0</v>
      </c>
      <c r="CA42" s="460" t="e">
        <v>#N/A</v>
      </c>
      <c r="CB42" s="460" t="e">
        <v>#N/A</v>
      </c>
      <c r="CC42" s="460" t="e">
        <v>#N/A</v>
      </c>
    </row>
    <row r="43" spans="1:81" ht="12.75" customHeight="1">
      <c r="A43" s="105">
        <v>38</v>
      </c>
      <c r="B43" s="112" t="str">
        <v>15Y</v>
      </c>
      <c r="C43" s="262">
        <f>'eur disaggregated'!AL54</f>
        <v>-23433.102846004</v>
      </c>
      <c r="D43" s="111" t="str">
        <f t="shared" si="5"/>
        <v>180M</v>
      </c>
      <c r="E43" s="441">
        <f>BktEur1mPL!E43</f>
        <v>42696</v>
      </c>
      <c r="F43" s="441">
        <f>BktEur1mPL!F43</f>
        <v>48176</v>
      </c>
      <c r="G43" s="462">
        <f t="shared" si="3"/>
        <v>8.1399999999999997E-3</v>
      </c>
      <c r="H43" s="453">
        <f>BktEur1mPL!H43</f>
        <v>0.81399999999999995</v>
      </c>
      <c r="I43" s="107" t="str">
        <v>10Y</v>
      </c>
      <c r="J43" s="106" t="str">
        <f t="shared" si="4"/>
        <v>120M</v>
      </c>
      <c r="K43" s="448">
        <f>_xll.qlCalendarAdvance("TARGET",$C$1,J43)</f>
        <v>46349</v>
      </c>
      <c r="M43" s="99" t="str">
        <v>10Y</v>
      </c>
      <c r="N43" s="465">
        <v>-22709.083387828901</v>
      </c>
      <c r="P43" s="106" t="b">
        <f t="shared" si="6"/>
        <v>0</v>
      </c>
      <c r="Q43" s="460">
        <f t="array" ref="Q43:CC43">C43*ForwardToZero(OisBuckets,E43,F43,G43)</f>
        <v>0</v>
      </c>
      <c r="R43" s="460">
        <v>0</v>
      </c>
      <c r="S43" s="460">
        <v>0</v>
      </c>
      <c r="T43" s="460">
        <v>0</v>
      </c>
      <c r="U43" s="460">
        <v>0</v>
      </c>
      <c r="V43" s="460">
        <v>0</v>
      </c>
      <c r="W43" s="460">
        <v>0</v>
      </c>
      <c r="X43" s="460">
        <v>0</v>
      </c>
      <c r="Y43" s="460">
        <v>0</v>
      </c>
      <c r="Z43" s="460">
        <v>0</v>
      </c>
      <c r="AA43" s="460">
        <v>0</v>
      </c>
      <c r="AB43" s="460">
        <v>0</v>
      </c>
      <c r="AC43" s="460">
        <v>0</v>
      </c>
      <c r="AD43" s="460">
        <v>0</v>
      </c>
      <c r="AE43" s="460">
        <v>0</v>
      </c>
      <c r="AF43" s="460">
        <v>0</v>
      </c>
      <c r="AG43" s="460">
        <v>0</v>
      </c>
      <c r="AH43" s="460">
        <v>0</v>
      </c>
      <c r="AI43" s="460">
        <v>0</v>
      </c>
      <c r="AJ43" s="460">
        <v>0</v>
      </c>
      <c r="AK43" s="460">
        <v>0</v>
      </c>
      <c r="AL43" s="460">
        <v>0</v>
      </c>
      <c r="AM43" s="460">
        <v>0</v>
      </c>
      <c r="AN43" s="460">
        <v>0</v>
      </c>
      <c r="AO43" s="460">
        <v>0</v>
      </c>
      <c r="AP43" s="460">
        <v>0</v>
      </c>
      <c r="AQ43" s="460">
        <v>0</v>
      </c>
      <c r="AR43" s="460">
        <v>0</v>
      </c>
      <c r="AS43" s="460">
        <v>0</v>
      </c>
      <c r="AT43" s="460">
        <v>0</v>
      </c>
      <c r="AU43" s="460">
        <v>0</v>
      </c>
      <c r="AV43" s="460">
        <v>0</v>
      </c>
      <c r="AW43" s="460">
        <v>0</v>
      </c>
      <c r="AX43" s="460">
        <v>0</v>
      </c>
      <c r="AY43" s="460">
        <v>0</v>
      </c>
      <c r="AZ43" s="460">
        <v>0</v>
      </c>
      <c r="BA43" s="460">
        <v>0</v>
      </c>
      <c r="BB43" s="460">
        <v>0</v>
      </c>
      <c r="BC43" s="460">
        <v>0</v>
      </c>
      <c r="BD43" s="460">
        <v>0</v>
      </c>
      <c r="BE43" s="460">
        <v>0</v>
      </c>
      <c r="BF43" s="460">
        <v>0</v>
      </c>
      <c r="BG43" s="460">
        <v>-23433.102846004</v>
      </c>
      <c r="BH43" s="460">
        <v>0</v>
      </c>
      <c r="BI43" s="460">
        <v>0</v>
      </c>
      <c r="BJ43" s="460">
        <v>0</v>
      </c>
      <c r="BK43" s="460">
        <v>0</v>
      </c>
      <c r="BL43" s="460">
        <v>0</v>
      </c>
      <c r="BM43" s="460">
        <v>0</v>
      </c>
      <c r="BN43" s="460">
        <v>0</v>
      </c>
      <c r="BO43" s="460">
        <v>0</v>
      </c>
      <c r="BP43" s="460">
        <v>0</v>
      </c>
      <c r="BQ43" s="460">
        <v>0</v>
      </c>
      <c r="BR43" s="460">
        <v>0</v>
      </c>
      <c r="BS43" s="460">
        <v>0</v>
      </c>
      <c r="BT43" s="460">
        <v>0</v>
      </c>
      <c r="BU43" s="460">
        <v>0</v>
      </c>
      <c r="BV43" s="460">
        <v>0</v>
      </c>
      <c r="BW43" s="460">
        <v>0</v>
      </c>
      <c r="BX43" s="460">
        <v>0</v>
      </c>
      <c r="BY43" s="460">
        <v>0</v>
      </c>
      <c r="BZ43" s="460">
        <v>0</v>
      </c>
      <c r="CA43" s="460" t="e">
        <v>#N/A</v>
      </c>
      <c r="CB43" s="460" t="e">
        <v>#N/A</v>
      </c>
      <c r="CC43" s="460" t="e">
        <v>#N/A</v>
      </c>
    </row>
    <row r="44" spans="1:81" ht="12.75" customHeight="1">
      <c r="A44" s="105">
        <v>39</v>
      </c>
      <c r="B44" s="112" t="str">
        <v>16Y</v>
      </c>
      <c r="C44" s="262">
        <f>'eur disaggregated'!AL55</f>
        <v>22928.154175529799</v>
      </c>
      <c r="D44" s="111" t="str">
        <f t="shared" si="5"/>
        <v>192M</v>
      </c>
      <c r="E44" s="441">
        <f>BktEur1mPL!E44</f>
        <v>42696</v>
      </c>
      <c r="F44" s="441">
        <f>BktEur1mPL!F44</f>
        <v>48540</v>
      </c>
      <c r="G44" s="462">
        <f t="shared" si="3"/>
        <v>8.6049465799999999E-3</v>
      </c>
      <c r="H44" s="453">
        <f>BktEur1mPL!H44</f>
        <v>0.86049465800000002</v>
      </c>
      <c r="I44" s="107" t="str">
        <v>11Y</v>
      </c>
      <c r="J44" s="106" t="str">
        <f t="shared" si="4"/>
        <v>132M</v>
      </c>
      <c r="K44" s="448">
        <f>_xll.qlCalendarAdvance("TARGET",$C$1,J44)</f>
        <v>46713</v>
      </c>
      <c r="M44" s="99" t="str">
        <v>11Y</v>
      </c>
      <c r="N44" s="465">
        <v>165999.65515405501</v>
      </c>
      <c r="P44" s="106" t="b">
        <f t="shared" si="6"/>
        <v>0</v>
      </c>
      <c r="Q44" s="460">
        <f t="array" ref="Q44:CC44">C44*ForwardToZero(OisBuckets,E44,F44,G44)</f>
        <v>0</v>
      </c>
      <c r="R44" s="460">
        <v>0</v>
      </c>
      <c r="S44" s="460">
        <v>0</v>
      </c>
      <c r="T44" s="460">
        <v>0</v>
      </c>
      <c r="U44" s="460">
        <v>0</v>
      </c>
      <c r="V44" s="460">
        <v>0</v>
      </c>
      <c r="W44" s="460">
        <v>0</v>
      </c>
      <c r="X44" s="460">
        <v>0</v>
      </c>
      <c r="Y44" s="460">
        <v>0</v>
      </c>
      <c r="Z44" s="460">
        <v>0</v>
      </c>
      <c r="AA44" s="460">
        <v>0</v>
      </c>
      <c r="AB44" s="460">
        <v>0</v>
      </c>
      <c r="AC44" s="460">
        <v>0</v>
      </c>
      <c r="AD44" s="460">
        <v>0</v>
      </c>
      <c r="AE44" s="460">
        <v>0</v>
      </c>
      <c r="AF44" s="460">
        <v>0</v>
      </c>
      <c r="AG44" s="460">
        <v>0</v>
      </c>
      <c r="AH44" s="460">
        <v>0</v>
      </c>
      <c r="AI44" s="460">
        <v>0</v>
      </c>
      <c r="AJ44" s="460">
        <v>0</v>
      </c>
      <c r="AK44" s="460">
        <v>0</v>
      </c>
      <c r="AL44" s="460">
        <v>0</v>
      </c>
      <c r="AM44" s="460">
        <v>0</v>
      </c>
      <c r="AN44" s="460">
        <v>0</v>
      </c>
      <c r="AO44" s="460">
        <v>0</v>
      </c>
      <c r="AP44" s="460">
        <v>0</v>
      </c>
      <c r="AQ44" s="460">
        <v>0</v>
      </c>
      <c r="AR44" s="460">
        <v>0</v>
      </c>
      <c r="AS44" s="460">
        <v>0</v>
      </c>
      <c r="AT44" s="460">
        <v>0</v>
      </c>
      <c r="AU44" s="460">
        <v>0</v>
      </c>
      <c r="AV44" s="460">
        <v>0</v>
      </c>
      <c r="AW44" s="460">
        <v>0</v>
      </c>
      <c r="AX44" s="460">
        <v>0</v>
      </c>
      <c r="AY44" s="460">
        <v>0</v>
      </c>
      <c r="AZ44" s="460">
        <v>0</v>
      </c>
      <c r="BA44" s="460">
        <v>0</v>
      </c>
      <c r="BB44" s="460">
        <v>0</v>
      </c>
      <c r="BC44" s="460">
        <v>0</v>
      </c>
      <c r="BD44" s="460">
        <v>0</v>
      </c>
      <c r="BE44" s="460">
        <v>0</v>
      </c>
      <c r="BF44" s="460">
        <v>0</v>
      </c>
      <c r="BG44" s="460">
        <v>0</v>
      </c>
      <c r="BH44" s="460">
        <v>22928.154175529799</v>
      </c>
      <c r="BI44" s="460">
        <v>0</v>
      </c>
      <c r="BJ44" s="460">
        <v>0</v>
      </c>
      <c r="BK44" s="460">
        <v>0</v>
      </c>
      <c r="BL44" s="460">
        <v>0</v>
      </c>
      <c r="BM44" s="460">
        <v>0</v>
      </c>
      <c r="BN44" s="460">
        <v>0</v>
      </c>
      <c r="BO44" s="460">
        <v>0</v>
      </c>
      <c r="BP44" s="460">
        <v>0</v>
      </c>
      <c r="BQ44" s="460">
        <v>0</v>
      </c>
      <c r="BR44" s="460">
        <v>0</v>
      </c>
      <c r="BS44" s="460">
        <v>0</v>
      </c>
      <c r="BT44" s="460">
        <v>0</v>
      </c>
      <c r="BU44" s="460">
        <v>0</v>
      </c>
      <c r="BV44" s="460">
        <v>0</v>
      </c>
      <c r="BW44" s="460">
        <v>0</v>
      </c>
      <c r="BX44" s="460">
        <v>0</v>
      </c>
      <c r="BY44" s="460">
        <v>0</v>
      </c>
      <c r="BZ44" s="460">
        <v>0</v>
      </c>
      <c r="CA44" s="460" t="e">
        <v>#N/A</v>
      </c>
      <c r="CB44" s="460" t="e">
        <v>#N/A</v>
      </c>
      <c r="CC44" s="460" t="e">
        <v>#N/A</v>
      </c>
    </row>
    <row r="45" spans="1:81" ht="12.75" customHeight="1">
      <c r="A45" s="105">
        <v>40</v>
      </c>
      <c r="B45" s="112" t="str">
        <v>17Y</v>
      </c>
      <c r="C45" s="262">
        <f>'eur disaggregated'!AL56</f>
        <v>8323.4482101735794</v>
      </c>
      <c r="D45" s="111" t="str">
        <f t="shared" si="5"/>
        <v>204M</v>
      </c>
      <c r="E45" s="441">
        <f>BktEur1mPL!E45</f>
        <v>42696</v>
      </c>
      <c r="F45" s="441">
        <f>BktEur1mPL!F45</f>
        <v>48905</v>
      </c>
      <c r="G45" s="462">
        <f t="shared" si="3"/>
        <v>8.9871899100000003E-3</v>
      </c>
      <c r="H45" s="453">
        <f>BktEur1mPL!H45</f>
        <v>0.89871899099999997</v>
      </c>
      <c r="I45" s="107" t="str">
        <v>12Y</v>
      </c>
      <c r="J45" s="106" t="str">
        <f t="shared" si="4"/>
        <v>144M</v>
      </c>
      <c r="K45" s="448">
        <f>_xll.qlCalendarAdvance("TARGET",$C$1,J45)</f>
        <v>47079</v>
      </c>
      <c r="M45" s="99" t="str">
        <v>12Y</v>
      </c>
      <c r="N45" s="465">
        <v>-56614.123880405998</v>
      </c>
      <c r="P45" s="106" t="b">
        <f t="shared" si="6"/>
        <v>0</v>
      </c>
      <c r="Q45" s="460">
        <f t="array" ref="Q45:CC45">C45*ForwardToZero(OisBuckets,E45,F45,G45)</f>
        <v>0</v>
      </c>
      <c r="R45" s="460">
        <v>0</v>
      </c>
      <c r="S45" s="460">
        <v>0</v>
      </c>
      <c r="T45" s="460">
        <v>0</v>
      </c>
      <c r="U45" s="460">
        <v>0</v>
      </c>
      <c r="V45" s="460">
        <v>0</v>
      </c>
      <c r="W45" s="460">
        <v>0</v>
      </c>
      <c r="X45" s="460">
        <v>0</v>
      </c>
      <c r="Y45" s="460">
        <v>0</v>
      </c>
      <c r="Z45" s="460">
        <v>0</v>
      </c>
      <c r="AA45" s="460">
        <v>0</v>
      </c>
      <c r="AB45" s="460">
        <v>0</v>
      </c>
      <c r="AC45" s="460">
        <v>0</v>
      </c>
      <c r="AD45" s="460">
        <v>0</v>
      </c>
      <c r="AE45" s="460">
        <v>0</v>
      </c>
      <c r="AF45" s="460">
        <v>0</v>
      </c>
      <c r="AG45" s="460">
        <v>0</v>
      </c>
      <c r="AH45" s="460">
        <v>0</v>
      </c>
      <c r="AI45" s="460">
        <v>0</v>
      </c>
      <c r="AJ45" s="460">
        <v>0</v>
      </c>
      <c r="AK45" s="460">
        <v>0</v>
      </c>
      <c r="AL45" s="460">
        <v>0</v>
      </c>
      <c r="AM45" s="460">
        <v>0</v>
      </c>
      <c r="AN45" s="460">
        <v>0</v>
      </c>
      <c r="AO45" s="460">
        <v>0</v>
      </c>
      <c r="AP45" s="460">
        <v>0</v>
      </c>
      <c r="AQ45" s="460">
        <v>0</v>
      </c>
      <c r="AR45" s="460">
        <v>0</v>
      </c>
      <c r="AS45" s="460">
        <v>0</v>
      </c>
      <c r="AT45" s="460">
        <v>0</v>
      </c>
      <c r="AU45" s="460">
        <v>0</v>
      </c>
      <c r="AV45" s="460">
        <v>0</v>
      </c>
      <c r="AW45" s="460">
        <v>0</v>
      </c>
      <c r="AX45" s="460">
        <v>0</v>
      </c>
      <c r="AY45" s="460">
        <v>0</v>
      </c>
      <c r="AZ45" s="460">
        <v>0</v>
      </c>
      <c r="BA45" s="460">
        <v>0</v>
      </c>
      <c r="BB45" s="460">
        <v>0</v>
      </c>
      <c r="BC45" s="460">
        <v>0</v>
      </c>
      <c r="BD45" s="460">
        <v>0</v>
      </c>
      <c r="BE45" s="460">
        <v>0</v>
      </c>
      <c r="BF45" s="460">
        <v>0</v>
      </c>
      <c r="BG45" s="460">
        <v>0</v>
      </c>
      <c r="BH45" s="460">
        <v>0</v>
      </c>
      <c r="BI45" s="460">
        <v>8323.4482101735794</v>
      </c>
      <c r="BJ45" s="460">
        <v>0</v>
      </c>
      <c r="BK45" s="460">
        <v>0</v>
      </c>
      <c r="BL45" s="460">
        <v>0</v>
      </c>
      <c r="BM45" s="460">
        <v>0</v>
      </c>
      <c r="BN45" s="460">
        <v>0</v>
      </c>
      <c r="BO45" s="460">
        <v>0</v>
      </c>
      <c r="BP45" s="460">
        <v>0</v>
      </c>
      <c r="BQ45" s="460">
        <v>0</v>
      </c>
      <c r="BR45" s="460">
        <v>0</v>
      </c>
      <c r="BS45" s="460">
        <v>0</v>
      </c>
      <c r="BT45" s="460">
        <v>0</v>
      </c>
      <c r="BU45" s="460">
        <v>0</v>
      </c>
      <c r="BV45" s="460">
        <v>0</v>
      </c>
      <c r="BW45" s="460">
        <v>0</v>
      </c>
      <c r="BX45" s="460">
        <v>0</v>
      </c>
      <c r="BY45" s="460">
        <v>0</v>
      </c>
      <c r="BZ45" s="460">
        <v>0</v>
      </c>
      <c r="CA45" s="460" t="e">
        <v>#N/A</v>
      </c>
      <c r="CB45" s="460" t="e">
        <v>#N/A</v>
      </c>
      <c r="CC45" s="460" t="e">
        <v>#N/A</v>
      </c>
    </row>
    <row r="46" spans="1:81" ht="12.75" customHeight="1">
      <c r="A46" s="105">
        <v>41</v>
      </c>
      <c r="B46" s="112" t="str">
        <v>18Y</v>
      </c>
      <c r="C46" s="262">
        <f>'eur disaggregated'!AL57</f>
        <v>-11560.0898545132</v>
      </c>
      <c r="D46" s="111" t="str">
        <f t="shared" si="5"/>
        <v>216M</v>
      </c>
      <c r="E46" s="441">
        <f>BktEur1mPL!E46</f>
        <v>42696</v>
      </c>
      <c r="F46" s="441">
        <f>BktEur1mPL!F46</f>
        <v>49270</v>
      </c>
      <c r="G46" s="462">
        <f t="shared" si="3"/>
        <v>9.3015633899999998E-3</v>
      </c>
      <c r="H46" s="453">
        <f>BktEur1mPL!H46</f>
        <v>0.93015633900000005</v>
      </c>
      <c r="I46" s="107" t="str">
        <v>13Y</v>
      </c>
      <c r="J46" s="106" t="str">
        <f t="shared" si="4"/>
        <v>156M</v>
      </c>
      <c r="K46" s="448">
        <f>_xll.qlCalendarAdvance("TARGET",$C$1,J46)</f>
        <v>47444</v>
      </c>
      <c r="M46" s="99" t="str">
        <v>13Y</v>
      </c>
      <c r="N46" s="465">
        <v>-29487.523899883399</v>
      </c>
      <c r="P46" s="106" t="b">
        <f t="shared" si="6"/>
        <v>0</v>
      </c>
      <c r="Q46" s="460">
        <f t="array" ref="Q46:CC46">C46*ForwardToZero(OisBuckets,E46,F46,G46)</f>
        <v>0</v>
      </c>
      <c r="R46" s="460">
        <v>0</v>
      </c>
      <c r="S46" s="460">
        <v>0</v>
      </c>
      <c r="T46" s="460">
        <v>0</v>
      </c>
      <c r="U46" s="460">
        <v>0</v>
      </c>
      <c r="V46" s="460">
        <v>0</v>
      </c>
      <c r="W46" s="460">
        <v>0</v>
      </c>
      <c r="X46" s="460">
        <v>0</v>
      </c>
      <c r="Y46" s="460">
        <v>0</v>
      </c>
      <c r="Z46" s="460">
        <v>0</v>
      </c>
      <c r="AA46" s="460">
        <v>0</v>
      </c>
      <c r="AB46" s="460">
        <v>0</v>
      </c>
      <c r="AC46" s="460">
        <v>0</v>
      </c>
      <c r="AD46" s="460">
        <v>0</v>
      </c>
      <c r="AE46" s="460">
        <v>0</v>
      </c>
      <c r="AF46" s="460">
        <v>0</v>
      </c>
      <c r="AG46" s="460">
        <v>0</v>
      </c>
      <c r="AH46" s="460">
        <v>0</v>
      </c>
      <c r="AI46" s="460">
        <v>0</v>
      </c>
      <c r="AJ46" s="460">
        <v>0</v>
      </c>
      <c r="AK46" s="460">
        <v>0</v>
      </c>
      <c r="AL46" s="460">
        <v>0</v>
      </c>
      <c r="AM46" s="460">
        <v>0</v>
      </c>
      <c r="AN46" s="460">
        <v>0</v>
      </c>
      <c r="AO46" s="460">
        <v>0</v>
      </c>
      <c r="AP46" s="460">
        <v>0</v>
      </c>
      <c r="AQ46" s="460">
        <v>0</v>
      </c>
      <c r="AR46" s="460">
        <v>0</v>
      </c>
      <c r="AS46" s="460">
        <v>0</v>
      </c>
      <c r="AT46" s="460">
        <v>0</v>
      </c>
      <c r="AU46" s="460">
        <v>0</v>
      </c>
      <c r="AV46" s="460">
        <v>0</v>
      </c>
      <c r="AW46" s="460">
        <v>0</v>
      </c>
      <c r="AX46" s="460">
        <v>0</v>
      </c>
      <c r="AY46" s="460">
        <v>0</v>
      </c>
      <c r="AZ46" s="460">
        <v>0</v>
      </c>
      <c r="BA46" s="460">
        <v>0</v>
      </c>
      <c r="BB46" s="460">
        <v>0</v>
      </c>
      <c r="BC46" s="460">
        <v>0</v>
      </c>
      <c r="BD46" s="460">
        <v>0</v>
      </c>
      <c r="BE46" s="460">
        <v>0</v>
      </c>
      <c r="BF46" s="460">
        <v>0</v>
      </c>
      <c r="BG46" s="460">
        <v>0</v>
      </c>
      <c r="BH46" s="460">
        <v>0</v>
      </c>
      <c r="BI46" s="460">
        <v>0</v>
      </c>
      <c r="BJ46" s="460">
        <v>-11560.0898545132</v>
      </c>
      <c r="BK46" s="460">
        <v>0</v>
      </c>
      <c r="BL46" s="460">
        <v>0</v>
      </c>
      <c r="BM46" s="460">
        <v>0</v>
      </c>
      <c r="BN46" s="460">
        <v>0</v>
      </c>
      <c r="BO46" s="460">
        <v>0</v>
      </c>
      <c r="BP46" s="460">
        <v>0</v>
      </c>
      <c r="BQ46" s="460">
        <v>0</v>
      </c>
      <c r="BR46" s="460">
        <v>0</v>
      </c>
      <c r="BS46" s="460">
        <v>0</v>
      </c>
      <c r="BT46" s="460">
        <v>0</v>
      </c>
      <c r="BU46" s="460">
        <v>0</v>
      </c>
      <c r="BV46" s="460">
        <v>0</v>
      </c>
      <c r="BW46" s="460">
        <v>0</v>
      </c>
      <c r="BX46" s="460">
        <v>0</v>
      </c>
      <c r="BY46" s="460">
        <v>0</v>
      </c>
      <c r="BZ46" s="460">
        <v>0</v>
      </c>
      <c r="CA46" s="460" t="e">
        <v>#N/A</v>
      </c>
      <c r="CB46" s="460" t="e">
        <v>#N/A</v>
      </c>
      <c r="CC46" s="460" t="e">
        <v>#N/A</v>
      </c>
    </row>
    <row r="47" spans="1:81" ht="12.75" customHeight="1">
      <c r="A47" s="105">
        <v>42</v>
      </c>
      <c r="B47" s="112" t="str">
        <v>19Y</v>
      </c>
      <c r="C47" s="262">
        <f>'eur disaggregated'!AL58</f>
        <v>-15819.463837727701</v>
      </c>
      <c r="D47" s="111" t="str">
        <f t="shared" si="5"/>
        <v>228M</v>
      </c>
      <c r="E47" s="441">
        <f>BktEur1mPL!E47</f>
        <v>42696</v>
      </c>
      <c r="F47" s="441">
        <f>BktEur1mPL!F47</f>
        <v>49635</v>
      </c>
      <c r="G47" s="462">
        <f t="shared" si="3"/>
        <v>9.5543685999999999E-3</v>
      </c>
      <c r="H47" s="453">
        <f>BktEur1mPL!H47</f>
        <v>0.95543686000000005</v>
      </c>
      <c r="I47" s="107" t="str">
        <v>14Y</v>
      </c>
      <c r="J47" s="106" t="str">
        <f t="shared" si="4"/>
        <v>168M</v>
      </c>
      <c r="K47" s="448">
        <f>_xll.qlCalendarAdvance("TARGET",$C$1,J47)</f>
        <v>47809</v>
      </c>
      <c r="M47" s="99" t="str">
        <v>14Y</v>
      </c>
      <c r="N47" s="465">
        <v>-18179.723898906599</v>
      </c>
      <c r="P47" s="106" t="b">
        <f t="shared" si="6"/>
        <v>0</v>
      </c>
      <c r="Q47" s="460">
        <f t="array" ref="Q47:CC47">C47*ForwardToZero(OisBuckets,E47,F47,G47)</f>
        <v>0</v>
      </c>
      <c r="R47" s="460">
        <v>0</v>
      </c>
      <c r="S47" s="460">
        <v>0</v>
      </c>
      <c r="T47" s="460">
        <v>0</v>
      </c>
      <c r="U47" s="460">
        <v>0</v>
      </c>
      <c r="V47" s="460">
        <v>0</v>
      </c>
      <c r="W47" s="460">
        <v>0</v>
      </c>
      <c r="X47" s="460">
        <v>0</v>
      </c>
      <c r="Y47" s="460">
        <v>0</v>
      </c>
      <c r="Z47" s="460">
        <v>0</v>
      </c>
      <c r="AA47" s="460">
        <v>0</v>
      </c>
      <c r="AB47" s="460">
        <v>0</v>
      </c>
      <c r="AC47" s="460">
        <v>0</v>
      </c>
      <c r="AD47" s="460">
        <v>0</v>
      </c>
      <c r="AE47" s="460">
        <v>0</v>
      </c>
      <c r="AF47" s="460">
        <v>0</v>
      </c>
      <c r="AG47" s="460">
        <v>0</v>
      </c>
      <c r="AH47" s="460">
        <v>0</v>
      </c>
      <c r="AI47" s="460">
        <v>0</v>
      </c>
      <c r="AJ47" s="460">
        <v>0</v>
      </c>
      <c r="AK47" s="460">
        <v>0</v>
      </c>
      <c r="AL47" s="460">
        <v>0</v>
      </c>
      <c r="AM47" s="460">
        <v>0</v>
      </c>
      <c r="AN47" s="460">
        <v>0</v>
      </c>
      <c r="AO47" s="460">
        <v>0</v>
      </c>
      <c r="AP47" s="460">
        <v>0</v>
      </c>
      <c r="AQ47" s="460">
        <v>0</v>
      </c>
      <c r="AR47" s="460">
        <v>0</v>
      </c>
      <c r="AS47" s="460">
        <v>0</v>
      </c>
      <c r="AT47" s="460">
        <v>0</v>
      </c>
      <c r="AU47" s="460">
        <v>0</v>
      </c>
      <c r="AV47" s="460">
        <v>0</v>
      </c>
      <c r="AW47" s="460">
        <v>0</v>
      </c>
      <c r="AX47" s="460">
        <v>0</v>
      </c>
      <c r="AY47" s="460">
        <v>0</v>
      </c>
      <c r="AZ47" s="460">
        <v>0</v>
      </c>
      <c r="BA47" s="460">
        <v>0</v>
      </c>
      <c r="BB47" s="460">
        <v>0</v>
      </c>
      <c r="BC47" s="460">
        <v>0</v>
      </c>
      <c r="BD47" s="460">
        <v>0</v>
      </c>
      <c r="BE47" s="460">
        <v>0</v>
      </c>
      <c r="BF47" s="460">
        <v>0</v>
      </c>
      <c r="BG47" s="460">
        <v>0</v>
      </c>
      <c r="BH47" s="460">
        <v>0</v>
      </c>
      <c r="BI47" s="460">
        <v>0</v>
      </c>
      <c r="BJ47" s="460">
        <v>0</v>
      </c>
      <c r="BK47" s="460">
        <v>-15819.463837727701</v>
      </c>
      <c r="BL47" s="460">
        <v>0</v>
      </c>
      <c r="BM47" s="460">
        <v>0</v>
      </c>
      <c r="BN47" s="460">
        <v>0</v>
      </c>
      <c r="BO47" s="460">
        <v>0</v>
      </c>
      <c r="BP47" s="460">
        <v>0</v>
      </c>
      <c r="BQ47" s="460">
        <v>0</v>
      </c>
      <c r="BR47" s="460">
        <v>0</v>
      </c>
      <c r="BS47" s="460">
        <v>0</v>
      </c>
      <c r="BT47" s="460">
        <v>0</v>
      </c>
      <c r="BU47" s="460">
        <v>0</v>
      </c>
      <c r="BV47" s="460">
        <v>0</v>
      </c>
      <c r="BW47" s="460">
        <v>0</v>
      </c>
      <c r="BX47" s="460">
        <v>0</v>
      </c>
      <c r="BY47" s="460">
        <v>0</v>
      </c>
      <c r="BZ47" s="460">
        <v>0</v>
      </c>
      <c r="CA47" s="460" t="e">
        <v>#N/A</v>
      </c>
      <c r="CB47" s="460" t="e">
        <v>#N/A</v>
      </c>
      <c r="CC47" s="460" t="e">
        <v>#N/A</v>
      </c>
    </row>
    <row r="48" spans="1:81" ht="12.75" customHeight="1">
      <c r="A48" s="105">
        <v>43</v>
      </c>
      <c r="B48" s="112" t="str">
        <v>20Y</v>
      </c>
      <c r="C48" s="262">
        <f>'eur disaggregated'!AL59</f>
        <v>-19482.4483390063</v>
      </c>
      <c r="D48" s="111" t="str">
        <f t="shared" si="5"/>
        <v>240M</v>
      </c>
      <c r="E48" s="441">
        <f>BktEur1mPL!E48</f>
        <v>42696</v>
      </c>
      <c r="F48" s="441">
        <f>BktEur1mPL!F48</f>
        <v>50003</v>
      </c>
      <c r="G48" s="462">
        <f t="shared" si="3"/>
        <v>9.7599999999999996E-3</v>
      </c>
      <c r="H48" s="453">
        <f>BktEur1mPL!H48</f>
        <v>0.97599999999999998</v>
      </c>
      <c r="I48" s="107" t="str">
        <v>15Y</v>
      </c>
      <c r="J48" s="106" t="str">
        <f t="shared" si="4"/>
        <v>180M</v>
      </c>
      <c r="K48" s="448">
        <f>_xll.qlCalendarAdvance("TARGET",$C$1,J48)</f>
        <v>48176</v>
      </c>
      <c r="M48" s="99" t="str">
        <v>15Y</v>
      </c>
      <c r="N48" s="465">
        <v>-23433.102846004</v>
      </c>
      <c r="P48" s="106" t="b">
        <f t="shared" si="6"/>
        <v>0</v>
      </c>
      <c r="Q48" s="460">
        <f t="array" ref="Q48:CC48">C48*ForwardToZero(OisBuckets,E48,F48,G48)</f>
        <v>0</v>
      </c>
      <c r="R48" s="460">
        <v>0</v>
      </c>
      <c r="S48" s="460">
        <v>0</v>
      </c>
      <c r="T48" s="460">
        <v>0</v>
      </c>
      <c r="U48" s="460">
        <v>0</v>
      </c>
      <c r="V48" s="460">
        <v>0</v>
      </c>
      <c r="W48" s="460">
        <v>0</v>
      </c>
      <c r="X48" s="460">
        <v>0</v>
      </c>
      <c r="Y48" s="460">
        <v>0</v>
      </c>
      <c r="Z48" s="460">
        <v>0</v>
      </c>
      <c r="AA48" s="460">
        <v>0</v>
      </c>
      <c r="AB48" s="460">
        <v>0</v>
      </c>
      <c r="AC48" s="460">
        <v>0</v>
      </c>
      <c r="AD48" s="460">
        <v>0</v>
      </c>
      <c r="AE48" s="460">
        <v>0</v>
      </c>
      <c r="AF48" s="460">
        <v>0</v>
      </c>
      <c r="AG48" s="460">
        <v>0</v>
      </c>
      <c r="AH48" s="460">
        <v>0</v>
      </c>
      <c r="AI48" s="460">
        <v>0</v>
      </c>
      <c r="AJ48" s="460">
        <v>0</v>
      </c>
      <c r="AK48" s="460">
        <v>0</v>
      </c>
      <c r="AL48" s="460">
        <v>0</v>
      </c>
      <c r="AM48" s="460">
        <v>0</v>
      </c>
      <c r="AN48" s="460">
        <v>0</v>
      </c>
      <c r="AO48" s="460">
        <v>0</v>
      </c>
      <c r="AP48" s="460">
        <v>0</v>
      </c>
      <c r="AQ48" s="460">
        <v>0</v>
      </c>
      <c r="AR48" s="460">
        <v>0</v>
      </c>
      <c r="AS48" s="460">
        <v>0</v>
      </c>
      <c r="AT48" s="460">
        <v>0</v>
      </c>
      <c r="AU48" s="460">
        <v>0</v>
      </c>
      <c r="AV48" s="460">
        <v>0</v>
      </c>
      <c r="AW48" s="460">
        <v>0</v>
      </c>
      <c r="AX48" s="460">
        <v>0</v>
      </c>
      <c r="AY48" s="460">
        <v>0</v>
      </c>
      <c r="AZ48" s="460">
        <v>0</v>
      </c>
      <c r="BA48" s="460">
        <v>0</v>
      </c>
      <c r="BB48" s="460">
        <v>0</v>
      </c>
      <c r="BC48" s="460">
        <v>0</v>
      </c>
      <c r="BD48" s="460">
        <v>0</v>
      </c>
      <c r="BE48" s="460">
        <v>0</v>
      </c>
      <c r="BF48" s="460">
        <v>0</v>
      </c>
      <c r="BG48" s="460">
        <v>0</v>
      </c>
      <c r="BH48" s="460">
        <v>0</v>
      </c>
      <c r="BI48" s="460">
        <v>0</v>
      </c>
      <c r="BJ48" s="460">
        <v>0</v>
      </c>
      <c r="BK48" s="460">
        <v>0</v>
      </c>
      <c r="BL48" s="460">
        <v>-19482.4483390063</v>
      </c>
      <c r="BM48" s="460">
        <v>0</v>
      </c>
      <c r="BN48" s="460">
        <v>0</v>
      </c>
      <c r="BO48" s="460">
        <v>0</v>
      </c>
      <c r="BP48" s="460">
        <v>0</v>
      </c>
      <c r="BQ48" s="460">
        <v>0</v>
      </c>
      <c r="BR48" s="460">
        <v>0</v>
      </c>
      <c r="BS48" s="460">
        <v>0</v>
      </c>
      <c r="BT48" s="460">
        <v>0</v>
      </c>
      <c r="BU48" s="460">
        <v>0</v>
      </c>
      <c r="BV48" s="460">
        <v>0</v>
      </c>
      <c r="BW48" s="460">
        <v>0</v>
      </c>
      <c r="BX48" s="460">
        <v>0</v>
      </c>
      <c r="BY48" s="460">
        <v>0</v>
      </c>
      <c r="BZ48" s="460">
        <v>0</v>
      </c>
      <c r="CA48" s="460" t="e">
        <v>#N/A</v>
      </c>
      <c r="CB48" s="460" t="e">
        <v>#N/A</v>
      </c>
      <c r="CC48" s="460" t="e">
        <v>#N/A</v>
      </c>
    </row>
    <row r="49" spans="1:81" ht="12.75" customHeight="1">
      <c r="A49" s="105">
        <v>44</v>
      </c>
      <c r="B49" s="112" t="str">
        <v>21Y</v>
      </c>
      <c r="C49" s="262">
        <f>'eur disaggregated'!AL60</f>
        <v>16456.237811994601</v>
      </c>
      <c r="D49" s="111" t="str">
        <f t="shared" si="5"/>
        <v>252M</v>
      </c>
      <c r="E49" s="441">
        <f>BktEur1mPL!E49</f>
        <v>42696</v>
      </c>
      <c r="F49" s="441">
        <f>BktEur1mPL!F49</f>
        <v>50367</v>
      </c>
      <c r="G49" s="462">
        <f t="shared" si="3"/>
        <v>9.9245433599999995E-3</v>
      </c>
      <c r="H49" s="453">
        <f>BktEur1mPL!H49</f>
        <v>0.99245433599999999</v>
      </c>
      <c r="I49" s="107" t="str">
        <v>16Y</v>
      </c>
      <c r="J49" s="106" t="str">
        <f t="shared" si="4"/>
        <v>192M</v>
      </c>
      <c r="K49" s="448">
        <f>_xll.qlCalendarAdvance("TARGET",$C$1,J49)</f>
        <v>48540</v>
      </c>
      <c r="M49" s="99" t="str">
        <v>16Y</v>
      </c>
      <c r="N49" s="465">
        <v>22928.154175529799</v>
      </c>
      <c r="P49" s="106" t="b">
        <f t="shared" si="6"/>
        <v>0</v>
      </c>
      <c r="Q49" s="460">
        <f t="array" ref="Q49:CC49">C49*ForwardToZero(OisBuckets,E49,F49,G49)</f>
        <v>0</v>
      </c>
      <c r="R49" s="460">
        <v>0</v>
      </c>
      <c r="S49" s="460">
        <v>0</v>
      </c>
      <c r="T49" s="460">
        <v>0</v>
      </c>
      <c r="U49" s="460">
        <v>0</v>
      </c>
      <c r="V49" s="460">
        <v>0</v>
      </c>
      <c r="W49" s="460">
        <v>0</v>
      </c>
      <c r="X49" s="460">
        <v>0</v>
      </c>
      <c r="Y49" s="460">
        <v>0</v>
      </c>
      <c r="Z49" s="460">
        <v>0</v>
      </c>
      <c r="AA49" s="460">
        <v>0</v>
      </c>
      <c r="AB49" s="460">
        <v>0</v>
      </c>
      <c r="AC49" s="460">
        <v>0</v>
      </c>
      <c r="AD49" s="460">
        <v>0</v>
      </c>
      <c r="AE49" s="460">
        <v>0</v>
      </c>
      <c r="AF49" s="460">
        <v>0</v>
      </c>
      <c r="AG49" s="460">
        <v>0</v>
      </c>
      <c r="AH49" s="460">
        <v>0</v>
      </c>
      <c r="AI49" s="460">
        <v>0</v>
      </c>
      <c r="AJ49" s="460">
        <v>0</v>
      </c>
      <c r="AK49" s="460">
        <v>0</v>
      </c>
      <c r="AL49" s="460">
        <v>0</v>
      </c>
      <c r="AM49" s="460">
        <v>0</v>
      </c>
      <c r="AN49" s="460">
        <v>0</v>
      </c>
      <c r="AO49" s="460">
        <v>0</v>
      </c>
      <c r="AP49" s="460">
        <v>0</v>
      </c>
      <c r="AQ49" s="460">
        <v>0</v>
      </c>
      <c r="AR49" s="460">
        <v>0</v>
      </c>
      <c r="AS49" s="460">
        <v>0</v>
      </c>
      <c r="AT49" s="460">
        <v>0</v>
      </c>
      <c r="AU49" s="460">
        <v>0</v>
      </c>
      <c r="AV49" s="460">
        <v>0</v>
      </c>
      <c r="AW49" s="460">
        <v>0</v>
      </c>
      <c r="AX49" s="460">
        <v>0</v>
      </c>
      <c r="AY49" s="460">
        <v>0</v>
      </c>
      <c r="AZ49" s="460">
        <v>0</v>
      </c>
      <c r="BA49" s="460">
        <v>0</v>
      </c>
      <c r="BB49" s="460">
        <v>0</v>
      </c>
      <c r="BC49" s="460">
        <v>0</v>
      </c>
      <c r="BD49" s="460">
        <v>0</v>
      </c>
      <c r="BE49" s="460">
        <v>0</v>
      </c>
      <c r="BF49" s="460">
        <v>0</v>
      </c>
      <c r="BG49" s="460">
        <v>0</v>
      </c>
      <c r="BH49" s="460">
        <v>0</v>
      </c>
      <c r="BI49" s="460">
        <v>0</v>
      </c>
      <c r="BJ49" s="460">
        <v>0</v>
      </c>
      <c r="BK49" s="460">
        <v>0</v>
      </c>
      <c r="BL49" s="460">
        <v>0</v>
      </c>
      <c r="BM49" s="460">
        <v>16456.237811994601</v>
      </c>
      <c r="BN49" s="460">
        <v>0</v>
      </c>
      <c r="BO49" s="460">
        <v>0</v>
      </c>
      <c r="BP49" s="460">
        <v>0</v>
      </c>
      <c r="BQ49" s="460">
        <v>0</v>
      </c>
      <c r="BR49" s="460">
        <v>0</v>
      </c>
      <c r="BS49" s="460">
        <v>0</v>
      </c>
      <c r="BT49" s="460">
        <v>0</v>
      </c>
      <c r="BU49" s="460">
        <v>0</v>
      </c>
      <c r="BV49" s="460">
        <v>0</v>
      </c>
      <c r="BW49" s="460">
        <v>0</v>
      </c>
      <c r="BX49" s="460">
        <v>0</v>
      </c>
      <c r="BY49" s="460">
        <v>0</v>
      </c>
      <c r="BZ49" s="460">
        <v>0</v>
      </c>
      <c r="CA49" s="460" t="e">
        <v>#N/A</v>
      </c>
      <c r="CB49" s="460" t="e">
        <v>#N/A</v>
      </c>
      <c r="CC49" s="460" t="e">
        <v>#N/A</v>
      </c>
    </row>
    <row r="50" spans="1:81" ht="12.75" customHeight="1">
      <c r="A50" s="105">
        <v>45</v>
      </c>
      <c r="B50" s="112" t="str">
        <v>22Y</v>
      </c>
      <c r="C50" s="262">
        <f>'eur disaggregated'!AL61</f>
        <v>37242.8134750963</v>
      </c>
      <c r="D50" s="111" t="str">
        <f t="shared" si="5"/>
        <v>264M</v>
      </c>
      <c r="E50" s="441">
        <f>BktEur1mPL!E50</f>
        <v>42696</v>
      </c>
      <c r="F50" s="441">
        <f>BktEur1mPL!F50</f>
        <v>50731</v>
      </c>
      <c r="G50" s="462">
        <f t="shared" si="3"/>
        <v>1.0056301830000001E-2</v>
      </c>
      <c r="H50" s="453">
        <f>BktEur1mPL!H50</f>
        <v>1.0056301830000001</v>
      </c>
      <c r="I50" s="107" t="str">
        <v>17Y</v>
      </c>
      <c r="J50" s="106" t="str">
        <f t="shared" si="4"/>
        <v>204M</v>
      </c>
      <c r="K50" s="448">
        <f>_xll.qlCalendarAdvance("TARGET",$C$1,J50)</f>
        <v>48905</v>
      </c>
      <c r="M50" s="99" t="str">
        <v>17Y</v>
      </c>
      <c r="N50" s="465">
        <v>8323.4482101735794</v>
      </c>
      <c r="P50" s="106" t="b">
        <f t="shared" si="6"/>
        <v>0</v>
      </c>
      <c r="Q50" s="460">
        <f t="array" ref="Q50:CC50">C50*ForwardToZero(OisBuckets,E50,F50,G50)</f>
        <v>0</v>
      </c>
      <c r="R50" s="460">
        <v>0</v>
      </c>
      <c r="S50" s="460">
        <v>0</v>
      </c>
      <c r="T50" s="460">
        <v>0</v>
      </c>
      <c r="U50" s="460">
        <v>0</v>
      </c>
      <c r="V50" s="460">
        <v>0</v>
      </c>
      <c r="W50" s="460">
        <v>0</v>
      </c>
      <c r="X50" s="460">
        <v>0</v>
      </c>
      <c r="Y50" s="460">
        <v>0</v>
      </c>
      <c r="Z50" s="460">
        <v>0</v>
      </c>
      <c r="AA50" s="460">
        <v>0</v>
      </c>
      <c r="AB50" s="460">
        <v>0</v>
      </c>
      <c r="AC50" s="460">
        <v>0</v>
      </c>
      <c r="AD50" s="460">
        <v>0</v>
      </c>
      <c r="AE50" s="460">
        <v>0</v>
      </c>
      <c r="AF50" s="460">
        <v>0</v>
      </c>
      <c r="AG50" s="460">
        <v>0</v>
      </c>
      <c r="AH50" s="460">
        <v>0</v>
      </c>
      <c r="AI50" s="460">
        <v>0</v>
      </c>
      <c r="AJ50" s="460">
        <v>0</v>
      </c>
      <c r="AK50" s="460">
        <v>0</v>
      </c>
      <c r="AL50" s="460">
        <v>0</v>
      </c>
      <c r="AM50" s="460">
        <v>0</v>
      </c>
      <c r="AN50" s="460">
        <v>0</v>
      </c>
      <c r="AO50" s="460">
        <v>0</v>
      </c>
      <c r="AP50" s="460">
        <v>0</v>
      </c>
      <c r="AQ50" s="460">
        <v>0</v>
      </c>
      <c r="AR50" s="460">
        <v>0</v>
      </c>
      <c r="AS50" s="460">
        <v>0</v>
      </c>
      <c r="AT50" s="460">
        <v>0</v>
      </c>
      <c r="AU50" s="460">
        <v>0</v>
      </c>
      <c r="AV50" s="460">
        <v>0</v>
      </c>
      <c r="AW50" s="460">
        <v>0</v>
      </c>
      <c r="AX50" s="460">
        <v>0</v>
      </c>
      <c r="AY50" s="460">
        <v>0</v>
      </c>
      <c r="AZ50" s="460">
        <v>0</v>
      </c>
      <c r="BA50" s="460">
        <v>0</v>
      </c>
      <c r="BB50" s="460">
        <v>0</v>
      </c>
      <c r="BC50" s="460">
        <v>0</v>
      </c>
      <c r="BD50" s="460">
        <v>0</v>
      </c>
      <c r="BE50" s="460">
        <v>0</v>
      </c>
      <c r="BF50" s="460">
        <v>0</v>
      </c>
      <c r="BG50" s="460">
        <v>0</v>
      </c>
      <c r="BH50" s="460">
        <v>0</v>
      </c>
      <c r="BI50" s="460">
        <v>0</v>
      </c>
      <c r="BJ50" s="460">
        <v>0</v>
      </c>
      <c r="BK50" s="460">
        <v>0</v>
      </c>
      <c r="BL50" s="460">
        <v>0</v>
      </c>
      <c r="BM50" s="460">
        <v>0</v>
      </c>
      <c r="BN50" s="460">
        <v>37242.8134750963</v>
      </c>
      <c r="BO50" s="460">
        <v>0</v>
      </c>
      <c r="BP50" s="460">
        <v>0</v>
      </c>
      <c r="BQ50" s="460">
        <v>0</v>
      </c>
      <c r="BR50" s="460">
        <v>0</v>
      </c>
      <c r="BS50" s="460">
        <v>0</v>
      </c>
      <c r="BT50" s="460">
        <v>0</v>
      </c>
      <c r="BU50" s="460">
        <v>0</v>
      </c>
      <c r="BV50" s="460">
        <v>0</v>
      </c>
      <c r="BW50" s="460">
        <v>0</v>
      </c>
      <c r="BX50" s="460">
        <v>0</v>
      </c>
      <c r="BY50" s="460">
        <v>0</v>
      </c>
      <c r="BZ50" s="460">
        <v>0</v>
      </c>
      <c r="CA50" s="460" t="e">
        <v>#N/A</v>
      </c>
      <c r="CB50" s="460" t="e">
        <v>#N/A</v>
      </c>
      <c r="CC50" s="460" t="e">
        <v>#N/A</v>
      </c>
    </row>
    <row r="51" spans="1:81" ht="12.75" customHeight="1">
      <c r="A51" s="105">
        <v>46</v>
      </c>
      <c r="B51" s="112" t="str">
        <v>23Y</v>
      </c>
      <c r="C51" s="262">
        <f>'eur disaggregated'!AL62</f>
        <v>-6521.3019414986702</v>
      </c>
      <c r="D51" s="111" t="str">
        <f t="shared" si="5"/>
        <v>276M</v>
      </c>
      <c r="E51" s="441">
        <f>BktEur1mPL!E51</f>
        <v>42696</v>
      </c>
      <c r="F51" s="441">
        <f>BktEur1mPL!F51</f>
        <v>51096</v>
      </c>
      <c r="G51" s="462">
        <f t="shared" si="3"/>
        <v>1.0161733159999999E-2</v>
      </c>
      <c r="H51" s="453">
        <f>BktEur1mPL!H51</f>
        <v>1.0161733159999999</v>
      </c>
      <c r="I51" s="107" t="str">
        <v>18Y</v>
      </c>
      <c r="J51" s="106" t="str">
        <f t="shared" si="4"/>
        <v>216M</v>
      </c>
      <c r="K51" s="448">
        <f>_xll.qlCalendarAdvance("TARGET",$C$1,J51)</f>
        <v>49270</v>
      </c>
      <c r="M51" s="99" t="str">
        <v>18Y</v>
      </c>
      <c r="N51" s="465">
        <v>-11560.0898545132</v>
      </c>
      <c r="P51" s="106" t="b">
        <f t="shared" si="6"/>
        <v>0</v>
      </c>
      <c r="Q51" s="460">
        <f t="array" ref="Q51:CC51">C51*ForwardToZero(OisBuckets,E51,F51,G51)</f>
        <v>0</v>
      </c>
      <c r="R51" s="460">
        <v>0</v>
      </c>
      <c r="S51" s="460">
        <v>0</v>
      </c>
      <c r="T51" s="460">
        <v>0</v>
      </c>
      <c r="U51" s="460">
        <v>0</v>
      </c>
      <c r="V51" s="460">
        <v>0</v>
      </c>
      <c r="W51" s="460">
        <v>0</v>
      </c>
      <c r="X51" s="460">
        <v>0</v>
      </c>
      <c r="Y51" s="460">
        <v>0</v>
      </c>
      <c r="Z51" s="460">
        <v>0</v>
      </c>
      <c r="AA51" s="460">
        <v>0</v>
      </c>
      <c r="AB51" s="460">
        <v>0</v>
      </c>
      <c r="AC51" s="460">
        <v>0</v>
      </c>
      <c r="AD51" s="460">
        <v>0</v>
      </c>
      <c r="AE51" s="460">
        <v>0</v>
      </c>
      <c r="AF51" s="460">
        <v>0</v>
      </c>
      <c r="AG51" s="460">
        <v>0</v>
      </c>
      <c r="AH51" s="460">
        <v>0</v>
      </c>
      <c r="AI51" s="460">
        <v>0</v>
      </c>
      <c r="AJ51" s="460">
        <v>0</v>
      </c>
      <c r="AK51" s="460">
        <v>0</v>
      </c>
      <c r="AL51" s="460">
        <v>0</v>
      </c>
      <c r="AM51" s="460">
        <v>0</v>
      </c>
      <c r="AN51" s="460">
        <v>0</v>
      </c>
      <c r="AO51" s="460">
        <v>0</v>
      </c>
      <c r="AP51" s="460">
        <v>0</v>
      </c>
      <c r="AQ51" s="460">
        <v>0</v>
      </c>
      <c r="AR51" s="460">
        <v>0</v>
      </c>
      <c r="AS51" s="460">
        <v>0</v>
      </c>
      <c r="AT51" s="460">
        <v>0</v>
      </c>
      <c r="AU51" s="460">
        <v>0</v>
      </c>
      <c r="AV51" s="460">
        <v>0</v>
      </c>
      <c r="AW51" s="460">
        <v>0</v>
      </c>
      <c r="AX51" s="460">
        <v>0</v>
      </c>
      <c r="AY51" s="460">
        <v>0</v>
      </c>
      <c r="AZ51" s="460">
        <v>0</v>
      </c>
      <c r="BA51" s="460">
        <v>0</v>
      </c>
      <c r="BB51" s="460">
        <v>0</v>
      </c>
      <c r="BC51" s="460">
        <v>0</v>
      </c>
      <c r="BD51" s="460">
        <v>0</v>
      </c>
      <c r="BE51" s="460">
        <v>0</v>
      </c>
      <c r="BF51" s="460">
        <v>0</v>
      </c>
      <c r="BG51" s="460">
        <v>0</v>
      </c>
      <c r="BH51" s="460">
        <v>0</v>
      </c>
      <c r="BI51" s="460">
        <v>0</v>
      </c>
      <c r="BJ51" s="460">
        <v>0</v>
      </c>
      <c r="BK51" s="460">
        <v>0</v>
      </c>
      <c r="BL51" s="460">
        <v>0</v>
      </c>
      <c r="BM51" s="460">
        <v>0</v>
      </c>
      <c r="BN51" s="460">
        <v>0</v>
      </c>
      <c r="BO51" s="460">
        <v>-6521.3019414986702</v>
      </c>
      <c r="BP51" s="460">
        <v>0</v>
      </c>
      <c r="BQ51" s="460">
        <v>0</v>
      </c>
      <c r="BR51" s="460">
        <v>0</v>
      </c>
      <c r="BS51" s="460">
        <v>0</v>
      </c>
      <c r="BT51" s="460">
        <v>0</v>
      </c>
      <c r="BU51" s="460">
        <v>0</v>
      </c>
      <c r="BV51" s="460">
        <v>0</v>
      </c>
      <c r="BW51" s="460">
        <v>0</v>
      </c>
      <c r="BX51" s="460">
        <v>0</v>
      </c>
      <c r="BY51" s="460">
        <v>0</v>
      </c>
      <c r="BZ51" s="460">
        <v>0</v>
      </c>
      <c r="CA51" s="460" t="e">
        <v>#N/A</v>
      </c>
      <c r="CB51" s="460" t="e">
        <v>#N/A</v>
      </c>
      <c r="CC51" s="460" t="e">
        <v>#N/A</v>
      </c>
    </row>
    <row r="52" spans="1:81" ht="12.75" customHeight="1">
      <c r="A52" s="105">
        <v>47</v>
      </c>
      <c r="B52" s="112" t="str">
        <v>24Y</v>
      </c>
      <c r="C52" s="262">
        <f>'eur disaggregated'!AL63</f>
        <v>272.30455508405402</v>
      </c>
      <c r="D52" s="111" t="str">
        <f t="shared" si="5"/>
        <v>288M</v>
      </c>
      <c r="E52" s="441">
        <f>BktEur1mPL!E52</f>
        <v>42696</v>
      </c>
      <c r="F52" s="441">
        <f>BktEur1mPL!F52</f>
        <v>51462</v>
      </c>
      <c r="G52" s="462">
        <f t="shared" si="3"/>
        <v>1.0248589340000001E-2</v>
      </c>
      <c r="H52" s="453">
        <f>BktEur1mPL!H52</f>
        <v>1.0248589340000001</v>
      </c>
      <c r="I52" s="107" t="str">
        <v>19Y</v>
      </c>
      <c r="J52" s="106" t="str">
        <f t="shared" si="4"/>
        <v>228M</v>
      </c>
      <c r="K52" s="448">
        <f>_xll.qlCalendarAdvance("TARGET",$C$1,J52)</f>
        <v>49635</v>
      </c>
      <c r="M52" s="99" t="str">
        <v>19Y</v>
      </c>
      <c r="N52" s="465">
        <v>-15819.463837727701</v>
      </c>
      <c r="P52" s="106" t="b">
        <f t="shared" si="6"/>
        <v>0</v>
      </c>
      <c r="Q52" s="460">
        <f t="array" ref="Q52:CC52">C52*ForwardToZero(OisBuckets,E52,F52,G52)</f>
        <v>0</v>
      </c>
      <c r="R52" s="460">
        <v>0</v>
      </c>
      <c r="S52" s="460">
        <v>0</v>
      </c>
      <c r="T52" s="460">
        <v>0</v>
      </c>
      <c r="U52" s="460">
        <v>0</v>
      </c>
      <c r="V52" s="460">
        <v>0</v>
      </c>
      <c r="W52" s="460">
        <v>0</v>
      </c>
      <c r="X52" s="460">
        <v>0</v>
      </c>
      <c r="Y52" s="460">
        <v>0</v>
      </c>
      <c r="Z52" s="460">
        <v>0</v>
      </c>
      <c r="AA52" s="460">
        <v>0</v>
      </c>
      <c r="AB52" s="460">
        <v>0</v>
      </c>
      <c r="AC52" s="460">
        <v>0</v>
      </c>
      <c r="AD52" s="460">
        <v>0</v>
      </c>
      <c r="AE52" s="460">
        <v>0</v>
      </c>
      <c r="AF52" s="460">
        <v>0</v>
      </c>
      <c r="AG52" s="460">
        <v>0</v>
      </c>
      <c r="AH52" s="460">
        <v>0</v>
      </c>
      <c r="AI52" s="460">
        <v>0</v>
      </c>
      <c r="AJ52" s="460">
        <v>0</v>
      </c>
      <c r="AK52" s="460">
        <v>0</v>
      </c>
      <c r="AL52" s="460">
        <v>0</v>
      </c>
      <c r="AM52" s="460">
        <v>0</v>
      </c>
      <c r="AN52" s="460">
        <v>0</v>
      </c>
      <c r="AO52" s="460">
        <v>0</v>
      </c>
      <c r="AP52" s="460">
        <v>0</v>
      </c>
      <c r="AQ52" s="460">
        <v>0</v>
      </c>
      <c r="AR52" s="460">
        <v>0</v>
      </c>
      <c r="AS52" s="460">
        <v>0</v>
      </c>
      <c r="AT52" s="460">
        <v>0</v>
      </c>
      <c r="AU52" s="460">
        <v>0</v>
      </c>
      <c r="AV52" s="460">
        <v>0</v>
      </c>
      <c r="AW52" s="460">
        <v>0</v>
      </c>
      <c r="AX52" s="460">
        <v>0</v>
      </c>
      <c r="AY52" s="460">
        <v>0</v>
      </c>
      <c r="AZ52" s="460">
        <v>0</v>
      </c>
      <c r="BA52" s="460">
        <v>0</v>
      </c>
      <c r="BB52" s="460">
        <v>0</v>
      </c>
      <c r="BC52" s="460">
        <v>0</v>
      </c>
      <c r="BD52" s="460">
        <v>0</v>
      </c>
      <c r="BE52" s="460">
        <v>0</v>
      </c>
      <c r="BF52" s="460">
        <v>0</v>
      </c>
      <c r="BG52" s="460">
        <v>0</v>
      </c>
      <c r="BH52" s="460">
        <v>0</v>
      </c>
      <c r="BI52" s="460">
        <v>0</v>
      </c>
      <c r="BJ52" s="460">
        <v>0</v>
      </c>
      <c r="BK52" s="460">
        <v>0</v>
      </c>
      <c r="BL52" s="460">
        <v>0</v>
      </c>
      <c r="BM52" s="460">
        <v>0</v>
      </c>
      <c r="BN52" s="460">
        <v>0</v>
      </c>
      <c r="BO52" s="460">
        <v>0</v>
      </c>
      <c r="BP52" s="460">
        <v>272.30455508405402</v>
      </c>
      <c r="BQ52" s="460">
        <v>0</v>
      </c>
      <c r="BR52" s="460">
        <v>0</v>
      </c>
      <c r="BS52" s="460">
        <v>0</v>
      </c>
      <c r="BT52" s="460">
        <v>0</v>
      </c>
      <c r="BU52" s="460">
        <v>0</v>
      </c>
      <c r="BV52" s="460">
        <v>0</v>
      </c>
      <c r="BW52" s="460">
        <v>0</v>
      </c>
      <c r="BX52" s="460">
        <v>0</v>
      </c>
      <c r="BY52" s="460">
        <v>0</v>
      </c>
      <c r="BZ52" s="460">
        <v>0</v>
      </c>
      <c r="CA52" s="460" t="e">
        <v>#N/A</v>
      </c>
      <c r="CB52" s="460" t="e">
        <v>#N/A</v>
      </c>
      <c r="CC52" s="460" t="e">
        <v>#N/A</v>
      </c>
    </row>
    <row r="53" spans="1:81" ht="12.75" customHeight="1">
      <c r="A53" s="105">
        <v>48</v>
      </c>
      <c r="B53" s="112" t="str">
        <v>25Y</v>
      </c>
      <c r="C53" s="262">
        <f>'eur disaggregated'!AL64</f>
        <v>9832.04622788503</v>
      </c>
      <c r="D53" s="111" t="str">
        <f t="shared" si="5"/>
        <v>300M</v>
      </c>
      <c r="E53" s="441">
        <f>BktEur1mPL!E53</f>
        <v>42696</v>
      </c>
      <c r="F53" s="441">
        <f>BktEur1mPL!F53</f>
        <v>51827</v>
      </c>
      <c r="G53" s="462">
        <f t="shared" si="3"/>
        <v>1.0320000000000001E-2</v>
      </c>
      <c r="H53" s="453">
        <f>BktEur1mPL!H53</f>
        <v>1.032</v>
      </c>
      <c r="I53" s="107" t="str">
        <v>20Y</v>
      </c>
      <c r="J53" s="106" t="str">
        <f t="shared" si="4"/>
        <v>240M</v>
      </c>
      <c r="K53" s="448">
        <f>_xll.qlCalendarAdvance("TARGET",$C$1,J53)</f>
        <v>50003</v>
      </c>
      <c r="M53" s="99" t="str">
        <v>20Y</v>
      </c>
      <c r="N53" s="465">
        <v>-19482.4483390063</v>
      </c>
      <c r="P53" s="106" t="b">
        <f t="shared" si="6"/>
        <v>0</v>
      </c>
      <c r="Q53" s="460">
        <f t="array" ref="Q53:CC53">C53*ForwardToZero(OisBuckets,E53,F53,G53)</f>
        <v>0</v>
      </c>
      <c r="R53" s="460">
        <v>0</v>
      </c>
      <c r="S53" s="460">
        <v>0</v>
      </c>
      <c r="T53" s="460">
        <v>0</v>
      </c>
      <c r="U53" s="460">
        <v>0</v>
      </c>
      <c r="V53" s="460">
        <v>0</v>
      </c>
      <c r="W53" s="460">
        <v>0</v>
      </c>
      <c r="X53" s="460">
        <v>0</v>
      </c>
      <c r="Y53" s="460">
        <v>0</v>
      </c>
      <c r="Z53" s="460">
        <v>0</v>
      </c>
      <c r="AA53" s="460">
        <v>0</v>
      </c>
      <c r="AB53" s="460">
        <v>0</v>
      </c>
      <c r="AC53" s="460">
        <v>0</v>
      </c>
      <c r="AD53" s="460">
        <v>0</v>
      </c>
      <c r="AE53" s="460">
        <v>0</v>
      </c>
      <c r="AF53" s="460">
        <v>0</v>
      </c>
      <c r="AG53" s="460">
        <v>0</v>
      </c>
      <c r="AH53" s="460">
        <v>0</v>
      </c>
      <c r="AI53" s="460">
        <v>0</v>
      </c>
      <c r="AJ53" s="460">
        <v>0</v>
      </c>
      <c r="AK53" s="460">
        <v>0</v>
      </c>
      <c r="AL53" s="460">
        <v>0</v>
      </c>
      <c r="AM53" s="460">
        <v>0</v>
      </c>
      <c r="AN53" s="460">
        <v>0</v>
      </c>
      <c r="AO53" s="460">
        <v>0</v>
      </c>
      <c r="AP53" s="460">
        <v>0</v>
      </c>
      <c r="AQ53" s="460">
        <v>0</v>
      </c>
      <c r="AR53" s="460">
        <v>0</v>
      </c>
      <c r="AS53" s="460">
        <v>0</v>
      </c>
      <c r="AT53" s="460">
        <v>0</v>
      </c>
      <c r="AU53" s="460">
        <v>0</v>
      </c>
      <c r="AV53" s="460">
        <v>0</v>
      </c>
      <c r="AW53" s="460">
        <v>0</v>
      </c>
      <c r="AX53" s="460">
        <v>0</v>
      </c>
      <c r="AY53" s="460">
        <v>0</v>
      </c>
      <c r="AZ53" s="460">
        <v>0</v>
      </c>
      <c r="BA53" s="460">
        <v>0</v>
      </c>
      <c r="BB53" s="460">
        <v>0</v>
      </c>
      <c r="BC53" s="460">
        <v>0</v>
      </c>
      <c r="BD53" s="460">
        <v>0</v>
      </c>
      <c r="BE53" s="460">
        <v>0</v>
      </c>
      <c r="BF53" s="460">
        <v>0</v>
      </c>
      <c r="BG53" s="460">
        <v>0</v>
      </c>
      <c r="BH53" s="460">
        <v>0</v>
      </c>
      <c r="BI53" s="460">
        <v>0</v>
      </c>
      <c r="BJ53" s="460">
        <v>0</v>
      </c>
      <c r="BK53" s="460">
        <v>0</v>
      </c>
      <c r="BL53" s="460">
        <v>0</v>
      </c>
      <c r="BM53" s="460">
        <v>0</v>
      </c>
      <c r="BN53" s="460">
        <v>0</v>
      </c>
      <c r="BO53" s="460">
        <v>0</v>
      </c>
      <c r="BP53" s="460">
        <v>0</v>
      </c>
      <c r="BQ53" s="460">
        <v>9832.04622788503</v>
      </c>
      <c r="BR53" s="460">
        <v>0</v>
      </c>
      <c r="BS53" s="460">
        <v>0</v>
      </c>
      <c r="BT53" s="460">
        <v>0</v>
      </c>
      <c r="BU53" s="460">
        <v>0</v>
      </c>
      <c r="BV53" s="460">
        <v>0</v>
      </c>
      <c r="BW53" s="460">
        <v>0</v>
      </c>
      <c r="BX53" s="460">
        <v>0</v>
      </c>
      <c r="BY53" s="460">
        <v>0</v>
      </c>
      <c r="BZ53" s="460">
        <v>0</v>
      </c>
      <c r="CA53" s="460" t="e">
        <v>#N/A</v>
      </c>
      <c r="CB53" s="460" t="e">
        <v>#N/A</v>
      </c>
      <c r="CC53" s="460" t="e">
        <v>#N/A</v>
      </c>
    </row>
    <row r="54" spans="1:81" ht="12.75" customHeight="1">
      <c r="A54" s="105">
        <v>49</v>
      </c>
      <c r="B54" s="112" t="str">
        <v>26Y</v>
      </c>
      <c r="C54" s="262">
        <f>'eur disaggregated'!AL65</f>
        <v>-1849.65016331417</v>
      </c>
      <c r="D54" s="111" t="str">
        <f t="shared" si="5"/>
        <v>312M</v>
      </c>
      <c r="E54" s="441">
        <f>BktEur1mPL!E54</f>
        <v>42696</v>
      </c>
      <c r="F54" s="441">
        <f>BktEur1mPL!F54</f>
        <v>52194</v>
      </c>
      <c r="G54" s="462">
        <f t="shared" si="3"/>
        <v>1.0383068019999999E-2</v>
      </c>
      <c r="H54" s="453">
        <f>BktEur1mPL!H54</f>
        <v>1.0383068019999999</v>
      </c>
      <c r="I54" s="107" t="str">
        <v>21Y</v>
      </c>
      <c r="J54" s="106" t="str">
        <f t="shared" si="4"/>
        <v>252M</v>
      </c>
      <c r="K54" s="448">
        <f>_xll.qlCalendarAdvance("TARGET",$C$1,J54)</f>
        <v>50367</v>
      </c>
      <c r="M54" s="99" t="str">
        <v>21Y</v>
      </c>
      <c r="N54" s="465">
        <v>16456.237811994601</v>
      </c>
      <c r="P54" s="106" t="b">
        <f t="shared" si="6"/>
        <v>0</v>
      </c>
      <c r="Q54" s="460">
        <f t="array" ref="Q54:CC54">C54*ForwardToZero(OisBuckets,E54,F54,G54)</f>
        <v>0</v>
      </c>
      <c r="R54" s="460">
        <v>0</v>
      </c>
      <c r="S54" s="460">
        <v>0</v>
      </c>
      <c r="T54" s="460">
        <v>0</v>
      </c>
      <c r="U54" s="460">
        <v>0</v>
      </c>
      <c r="V54" s="460">
        <v>0</v>
      </c>
      <c r="W54" s="460">
        <v>0</v>
      </c>
      <c r="X54" s="460">
        <v>0</v>
      </c>
      <c r="Y54" s="460">
        <v>0</v>
      </c>
      <c r="Z54" s="460">
        <v>0</v>
      </c>
      <c r="AA54" s="460">
        <v>0</v>
      </c>
      <c r="AB54" s="460">
        <v>0</v>
      </c>
      <c r="AC54" s="460">
        <v>0</v>
      </c>
      <c r="AD54" s="460">
        <v>0</v>
      </c>
      <c r="AE54" s="460">
        <v>0</v>
      </c>
      <c r="AF54" s="460">
        <v>0</v>
      </c>
      <c r="AG54" s="460">
        <v>0</v>
      </c>
      <c r="AH54" s="460">
        <v>0</v>
      </c>
      <c r="AI54" s="460">
        <v>0</v>
      </c>
      <c r="AJ54" s="460">
        <v>0</v>
      </c>
      <c r="AK54" s="460">
        <v>0</v>
      </c>
      <c r="AL54" s="460">
        <v>0</v>
      </c>
      <c r="AM54" s="460">
        <v>0</v>
      </c>
      <c r="AN54" s="460">
        <v>0</v>
      </c>
      <c r="AO54" s="460">
        <v>0</v>
      </c>
      <c r="AP54" s="460">
        <v>0</v>
      </c>
      <c r="AQ54" s="460">
        <v>0</v>
      </c>
      <c r="AR54" s="460">
        <v>0</v>
      </c>
      <c r="AS54" s="460">
        <v>0</v>
      </c>
      <c r="AT54" s="460">
        <v>0</v>
      </c>
      <c r="AU54" s="460">
        <v>0</v>
      </c>
      <c r="AV54" s="460">
        <v>0</v>
      </c>
      <c r="AW54" s="460">
        <v>0</v>
      </c>
      <c r="AX54" s="460">
        <v>0</v>
      </c>
      <c r="AY54" s="460">
        <v>0</v>
      </c>
      <c r="AZ54" s="460">
        <v>0</v>
      </c>
      <c r="BA54" s="460">
        <v>0</v>
      </c>
      <c r="BB54" s="460">
        <v>0</v>
      </c>
      <c r="BC54" s="460">
        <v>0</v>
      </c>
      <c r="BD54" s="460">
        <v>0</v>
      </c>
      <c r="BE54" s="460">
        <v>0</v>
      </c>
      <c r="BF54" s="460">
        <v>0</v>
      </c>
      <c r="BG54" s="460">
        <v>0</v>
      </c>
      <c r="BH54" s="460">
        <v>0</v>
      </c>
      <c r="BI54" s="460">
        <v>0</v>
      </c>
      <c r="BJ54" s="460">
        <v>0</v>
      </c>
      <c r="BK54" s="460">
        <v>0</v>
      </c>
      <c r="BL54" s="460">
        <v>0</v>
      </c>
      <c r="BM54" s="460">
        <v>0</v>
      </c>
      <c r="BN54" s="460">
        <v>0</v>
      </c>
      <c r="BO54" s="460">
        <v>0</v>
      </c>
      <c r="BP54" s="460">
        <v>0</v>
      </c>
      <c r="BQ54" s="460">
        <v>0</v>
      </c>
      <c r="BR54" s="460">
        <v>-1849.65016331417</v>
      </c>
      <c r="BS54" s="460">
        <v>0</v>
      </c>
      <c r="BT54" s="460">
        <v>0</v>
      </c>
      <c r="BU54" s="460">
        <v>0</v>
      </c>
      <c r="BV54" s="460">
        <v>0</v>
      </c>
      <c r="BW54" s="460">
        <v>0</v>
      </c>
      <c r="BX54" s="460">
        <v>0</v>
      </c>
      <c r="BY54" s="460">
        <v>0</v>
      </c>
      <c r="BZ54" s="460">
        <v>0</v>
      </c>
      <c r="CA54" s="460" t="e">
        <v>#N/A</v>
      </c>
      <c r="CB54" s="460" t="e">
        <v>#N/A</v>
      </c>
      <c r="CC54" s="460" t="e">
        <v>#N/A</v>
      </c>
    </row>
    <row r="55" spans="1:81" ht="12.75" customHeight="1">
      <c r="A55" s="105">
        <v>50</v>
      </c>
      <c r="B55" s="112" t="str">
        <v>27Y</v>
      </c>
      <c r="C55" s="262">
        <f>'eur disaggregated'!AL66</f>
        <v>-1021.38812027604</v>
      </c>
      <c r="D55" s="111" t="str">
        <f t="shared" si="5"/>
        <v>324M</v>
      </c>
      <c r="E55" s="441">
        <f>BktEur1mPL!E55</f>
        <v>42696</v>
      </c>
      <c r="F55" s="441">
        <f>BktEur1mPL!F55</f>
        <v>52558</v>
      </c>
      <c r="G55" s="462">
        <f t="shared" si="3"/>
        <v>1.043902035E-2</v>
      </c>
      <c r="H55" s="453">
        <f>BktEur1mPL!H55</f>
        <v>1.0439020349999999</v>
      </c>
      <c r="I55" s="107" t="str">
        <v>22Y</v>
      </c>
      <c r="J55" s="106" t="str">
        <f t="shared" si="4"/>
        <v>264M</v>
      </c>
      <c r="K55" s="448">
        <f>_xll.qlCalendarAdvance("TARGET",$C$1,J55)</f>
        <v>50731</v>
      </c>
      <c r="M55" s="99" t="str">
        <v>22Y</v>
      </c>
      <c r="N55" s="465">
        <v>37242.8134750963</v>
      </c>
      <c r="P55" s="106" t="b">
        <f t="shared" si="6"/>
        <v>0</v>
      </c>
      <c r="Q55" s="460">
        <f t="array" ref="Q55:CC55">C55*ForwardToZero(OisBuckets,E55,F55,G55)</f>
        <v>0</v>
      </c>
      <c r="R55" s="460">
        <v>0</v>
      </c>
      <c r="S55" s="460">
        <v>0</v>
      </c>
      <c r="T55" s="460">
        <v>0</v>
      </c>
      <c r="U55" s="460">
        <v>0</v>
      </c>
      <c r="V55" s="460">
        <v>0</v>
      </c>
      <c r="W55" s="460">
        <v>0</v>
      </c>
      <c r="X55" s="460">
        <v>0</v>
      </c>
      <c r="Y55" s="460">
        <v>0</v>
      </c>
      <c r="Z55" s="460">
        <v>0</v>
      </c>
      <c r="AA55" s="460">
        <v>0</v>
      </c>
      <c r="AB55" s="460">
        <v>0</v>
      </c>
      <c r="AC55" s="460">
        <v>0</v>
      </c>
      <c r="AD55" s="460">
        <v>0</v>
      </c>
      <c r="AE55" s="460">
        <v>0</v>
      </c>
      <c r="AF55" s="460">
        <v>0</v>
      </c>
      <c r="AG55" s="460">
        <v>0</v>
      </c>
      <c r="AH55" s="460">
        <v>0</v>
      </c>
      <c r="AI55" s="460">
        <v>0</v>
      </c>
      <c r="AJ55" s="460">
        <v>0</v>
      </c>
      <c r="AK55" s="460">
        <v>0</v>
      </c>
      <c r="AL55" s="460">
        <v>0</v>
      </c>
      <c r="AM55" s="460">
        <v>0</v>
      </c>
      <c r="AN55" s="460">
        <v>0</v>
      </c>
      <c r="AO55" s="460">
        <v>0</v>
      </c>
      <c r="AP55" s="460">
        <v>0</v>
      </c>
      <c r="AQ55" s="460">
        <v>0</v>
      </c>
      <c r="AR55" s="460">
        <v>0</v>
      </c>
      <c r="AS55" s="460">
        <v>0</v>
      </c>
      <c r="AT55" s="460">
        <v>0</v>
      </c>
      <c r="AU55" s="460">
        <v>0</v>
      </c>
      <c r="AV55" s="460">
        <v>0</v>
      </c>
      <c r="AW55" s="460">
        <v>0</v>
      </c>
      <c r="AX55" s="460">
        <v>0</v>
      </c>
      <c r="AY55" s="460">
        <v>0</v>
      </c>
      <c r="AZ55" s="460">
        <v>0</v>
      </c>
      <c r="BA55" s="460">
        <v>0</v>
      </c>
      <c r="BB55" s="460">
        <v>0</v>
      </c>
      <c r="BC55" s="460">
        <v>0</v>
      </c>
      <c r="BD55" s="460">
        <v>0</v>
      </c>
      <c r="BE55" s="460">
        <v>0</v>
      </c>
      <c r="BF55" s="460">
        <v>0</v>
      </c>
      <c r="BG55" s="460">
        <v>0</v>
      </c>
      <c r="BH55" s="460">
        <v>0</v>
      </c>
      <c r="BI55" s="460">
        <v>0</v>
      </c>
      <c r="BJ55" s="460">
        <v>0</v>
      </c>
      <c r="BK55" s="460">
        <v>0</v>
      </c>
      <c r="BL55" s="460">
        <v>0</v>
      </c>
      <c r="BM55" s="460">
        <v>0</v>
      </c>
      <c r="BN55" s="460">
        <v>0</v>
      </c>
      <c r="BO55" s="460">
        <v>0</v>
      </c>
      <c r="BP55" s="460">
        <v>0</v>
      </c>
      <c r="BQ55" s="460">
        <v>0</v>
      </c>
      <c r="BR55" s="460">
        <v>0</v>
      </c>
      <c r="BS55" s="460">
        <v>-1021.38812027604</v>
      </c>
      <c r="BT55" s="460">
        <v>0</v>
      </c>
      <c r="BU55" s="460">
        <v>0</v>
      </c>
      <c r="BV55" s="460">
        <v>0</v>
      </c>
      <c r="BW55" s="460">
        <v>0</v>
      </c>
      <c r="BX55" s="460">
        <v>0</v>
      </c>
      <c r="BY55" s="460">
        <v>0</v>
      </c>
      <c r="BZ55" s="460">
        <v>0</v>
      </c>
      <c r="CA55" s="460" t="e">
        <v>#N/A</v>
      </c>
      <c r="CB55" s="460" t="e">
        <v>#N/A</v>
      </c>
      <c r="CC55" s="460" t="e">
        <v>#N/A</v>
      </c>
    </row>
    <row r="56" spans="1:81" ht="12.75" customHeight="1">
      <c r="A56" s="105">
        <v>51</v>
      </c>
      <c r="B56" s="112" t="str">
        <v>28Y</v>
      </c>
      <c r="C56" s="262">
        <f>'eur disaggregated'!AL67</f>
        <v>-1107.45660196331</v>
      </c>
      <c r="D56" s="111" t="str">
        <f t="shared" si="5"/>
        <v>336M</v>
      </c>
      <c r="E56" s="441">
        <f>BktEur1mPL!E56</f>
        <v>42696</v>
      </c>
      <c r="F56" s="441">
        <f>BktEur1mPL!F56</f>
        <v>52923</v>
      </c>
      <c r="G56" s="462">
        <f t="shared" si="3"/>
        <v>1.048932843E-2</v>
      </c>
      <c r="H56" s="453">
        <f>BktEur1mPL!H56</f>
        <v>1.048932843</v>
      </c>
      <c r="I56" s="107" t="str">
        <v>23Y</v>
      </c>
      <c r="J56" s="106" t="str">
        <f t="shared" si="4"/>
        <v>276M</v>
      </c>
      <c r="K56" s="448">
        <f>_xll.qlCalendarAdvance("TARGET",$C$1,J56)</f>
        <v>51096</v>
      </c>
      <c r="M56" s="99" t="str">
        <v>23Y</v>
      </c>
      <c r="N56" s="465">
        <v>-6521.3019414986702</v>
      </c>
      <c r="P56" s="106" t="b">
        <f t="shared" si="6"/>
        <v>0</v>
      </c>
      <c r="Q56" s="460">
        <f t="array" ref="Q56:CC56">C56*ForwardToZero(OisBuckets,E56,F56,G56)</f>
        <v>0</v>
      </c>
      <c r="R56" s="460">
        <v>0</v>
      </c>
      <c r="S56" s="460">
        <v>0</v>
      </c>
      <c r="T56" s="460">
        <v>0</v>
      </c>
      <c r="U56" s="460">
        <v>0</v>
      </c>
      <c r="V56" s="460">
        <v>0</v>
      </c>
      <c r="W56" s="460">
        <v>0</v>
      </c>
      <c r="X56" s="460">
        <v>0</v>
      </c>
      <c r="Y56" s="460">
        <v>0</v>
      </c>
      <c r="Z56" s="460">
        <v>0</v>
      </c>
      <c r="AA56" s="460">
        <v>0</v>
      </c>
      <c r="AB56" s="460">
        <v>0</v>
      </c>
      <c r="AC56" s="460">
        <v>0</v>
      </c>
      <c r="AD56" s="460">
        <v>0</v>
      </c>
      <c r="AE56" s="460">
        <v>0</v>
      </c>
      <c r="AF56" s="460">
        <v>0</v>
      </c>
      <c r="AG56" s="460">
        <v>0</v>
      </c>
      <c r="AH56" s="460">
        <v>0</v>
      </c>
      <c r="AI56" s="460">
        <v>0</v>
      </c>
      <c r="AJ56" s="460">
        <v>0</v>
      </c>
      <c r="AK56" s="460">
        <v>0</v>
      </c>
      <c r="AL56" s="460">
        <v>0</v>
      </c>
      <c r="AM56" s="460">
        <v>0</v>
      </c>
      <c r="AN56" s="460">
        <v>0</v>
      </c>
      <c r="AO56" s="460">
        <v>0</v>
      </c>
      <c r="AP56" s="460">
        <v>0</v>
      </c>
      <c r="AQ56" s="460">
        <v>0</v>
      </c>
      <c r="AR56" s="460">
        <v>0</v>
      </c>
      <c r="AS56" s="460">
        <v>0</v>
      </c>
      <c r="AT56" s="460">
        <v>0</v>
      </c>
      <c r="AU56" s="460">
        <v>0</v>
      </c>
      <c r="AV56" s="460">
        <v>0</v>
      </c>
      <c r="AW56" s="460">
        <v>0</v>
      </c>
      <c r="AX56" s="460">
        <v>0</v>
      </c>
      <c r="AY56" s="460">
        <v>0</v>
      </c>
      <c r="AZ56" s="460">
        <v>0</v>
      </c>
      <c r="BA56" s="460">
        <v>0</v>
      </c>
      <c r="BB56" s="460">
        <v>0</v>
      </c>
      <c r="BC56" s="460">
        <v>0</v>
      </c>
      <c r="BD56" s="460">
        <v>0</v>
      </c>
      <c r="BE56" s="460">
        <v>0</v>
      </c>
      <c r="BF56" s="460">
        <v>0</v>
      </c>
      <c r="BG56" s="460">
        <v>0</v>
      </c>
      <c r="BH56" s="460">
        <v>0</v>
      </c>
      <c r="BI56" s="460">
        <v>0</v>
      </c>
      <c r="BJ56" s="460">
        <v>0</v>
      </c>
      <c r="BK56" s="460">
        <v>0</v>
      </c>
      <c r="BL56" s="460">
        <v>0</v>
      </c>
      <c r="BM56" s="460">
        <v>0</v>
      </c>
      <c r="BN56" s="460">
        <v>0</v>
      </c>
      <c r="BO56" s="460">
        <v>0</v>
      </c>
      <c r="BP56" s="460">
        <v>0</v>
      </c>
      <c r="BQ56" s="460">
        <v>0</v>
      </c>
      <c r="BR56" s="460">
        <v>0</v>
      </c>
      <c r="BS56" s="460">
        <v>0</v>
      </c>
      <c r="BT56" s="460">
        <v>-1107.45660196331</v>
      </c>
      <c r="BU56" s="460">
        <v>0</v>
      </c>
      <c r="BV56" s="460">
        <v>0</v>
      </c>
      <c r="BW56" s="460">
        <v>0</v>
      </c>
      <c r="BX56" s="460">
        <v>0</v>
      </c>
      <c r="BY56" s="460">
        <v>0</v>
      </c>
      <c r="BZ56" s="460">
        <v>0</v>
      </c>
      <c r="CA56" s="460" t="e">
        <v>#N/A</v>
      </c>
      <c r="CB56" s="460" t="e">
        <v>#N/A</v>
      </c>
      <c r="CC56" s="460" t="e">
        <v>#N/A</v>
      </c>
    </row>
    <row r="57" spans="1:81" ht="12.75" customHeight="1">
      <c r="A57" s="105">
        <v>52</v>
      </c>
      <c r="B57" s="112" t="str">
        <v>29Y</v>
      </c>
      <c r="C57" s="262">
        <f>'eur disaggregated'!AL68</f>
        <v>-1186.2919567843401</v>
      </c>
      <c r="D57" s="111" t="str">
        <f t="shared" si="5"/>
        <v>348M</v>
      </c>
      <c r="E57" s="441">
        <f>BktEur1mPL!E57</f>
        <v>42696</v>
      </c>
      <c r="F57" s="441">
        <f>BktEur1mPL!F57</f>
        <v>53288</v>
      </c>
      <c r="G57" s="462">
        <f t="shared" si="3"/>
        <v>1.053267043E-2</v>
      </c>
      <c r="H57" s="453">
        <f>BktEur1mPL!H57</f>
        <v>1.053267043</v>
      </c>
      <c r="I57" s="107" t="str">
        <v>24Y</v>
      </c>
      <c r="J57" s="106" t="str">
        <f t="shared" si="4"/>
        <v>288M</v>
      </c>
      <c r="K57" s="448">
        <f>_xll.qlCalendarAdvance("TARGET",$C$1,J57)</f>
        <v>51462</v>
      </c>
      <c r="M57" s="99" t="str">
        <v>24Y</v>
      </c>
      <c r="N57" s="465">
        <v>272.30455508405402</v>
      </c>
      <c r="P57" s="106" t="b">
        <f t="shared" si="6"/>
        <v>0</v>
      </c>
      <c r="Q57" s="460">
        <f t="array" ref="Q57:CC57">C57*ForwardToZero(OisBuckets,E57,F57,G57)</f>
        <v>0</v>
      </c>
      <c r="R57" s="460">
        <v>0</v>
      </c>
      <c r="S57" s="460">
        <v>0</v>
      </c>
      <c r="T57" s="460">
        <v>0</v>
      </c>
      <c r="U57" s="460">
        <v>0</v>
      </c>
      <c r="V57" s="460">
        <v>0</v>
      </c>
      <c r="W57" s="460">
        <v>0</v>
      </c>
      <c r="X57" s="460">
        <v>0</v>
      </c>
      <c r="Y57" s="460">
        <v>0</v>
      </c>
      <c r="Z57" s="460">
        <v>0</v>
      </c>
      <c r="AA57" s="460">
        <v>0</v>
      </c>
      <c r="AB57" s="460">
        <v>0</v>
      </c>
      <c r="AC57" s="460">
        <v>0</v>
      </c>
      <c r="AD57" s="460">
        <v>0</v>
      </c>
      <c r="AE57" s="460">
        <v>0</v>
      </c>
      <c r="AF57" s="460">
        <v>0</v>
      </c>
      <c r="AG57" s="460">
        <v>0</v>
      </c>
      <c r="AH57" s="460">
        <v>0</v>
      </c>
      <c r="AI57" s="460">
        <v>0</v>
      </c>
      <c r="AJ57" s="460">
        <v>0</v>
      </c>
      <c r="AK57" s="460">
        <v>0</v>
      </c>
      <c r="AL57" s="460">
        <v>0</v>
      </c>
      <c r="AM57" s="460">
        <v>0</v>
      </c>
      <c r="AN57" s="460">
        <v>0</v>
      </c>
      <c r="AO57" s="460">
        <v>0</v>
      </c>
      <c r="AP57" s="460">
        <v>0</v>
      </c>
      <c r="AQ57" s="460">
        <v>0</v>
      </c>
      <c r="AR57" s="460">
        <v>0</v>
      </c>
      <c r="AS57" s="460">
        <v>0</v>
      </c>
      <c r="AT57" s="460">
        <v>0</v>
      </c>
      <c r="AU57" s="460">
        <v>0</v>
      </c>
      <c r="AV57" s="460">
        <v>0</v>
      </c>
      <c r="AW57" s="460">
        <v>0</v>
      </c>
      <c r="AX57" s="460">
        <v>0</v>
      </c>
      <c r="AY57" s="460">
        <v>0</v>
      </c>
      <c r="AZ57" s="460">
        <v>0</v>
      </c>
      <c r="BA57" s="460">
        <v>0</v>
      </c>
      <c r="BB57" s="460">
        <v>0</v>
      </c>
      <c r="BC57" s="460">
        <v>0</v>
      </c>
      <c r="BD57" s="460">
        <v>0</v>
      </c>
      <c r="BE57" s="460">
        <v>0</v>
      </c>
      <c r="BF57" s="460">
        <v>0</v>
      </c>
      <c r="BG57" s="460">
        <v>0</v>
      </c>
      <c r="BH57" s="460">
        <v>0</v>
      </c>
      <c r="BI57" s="460">
        <v>0</v>
      </c>
      <c r="BJ57" s="460">
        <v>0</v>
      </c>
      <c r="BK57" s="460">
        <v>0</v>
      </c>
      <c r="BL57" s="460">
        <v>0</v>
      </c>
      <c r="BM57" s="460">
        <v>0</v>
      </c>
      <c r="BN57" s="460">
        <v>0</v>
      </c>
      <c r="BO57" s="460">
        <v>0</v>
      </c>
      <c r="BP57" s="460">
        <v>0</v>
      </c>
      <c r="BQ57" s="460">
        <v>0</v>
      </c>
      <c r="BR57" s="460">
        <v>0</v>
      </c>
      <c r="BS57" s="460">
        <v>0</v>
      </c>
      <c r="BT57" s="460">
        <v>0</v>
      </c>
      <c r="BU57" s="460">
        <v>-1186.2919567843401</v>
      </c>
      <c r="BV57" s="460">
        <v>0</v>
      </c>
      <c r="BW57" s="460">
        <v>0</v>
      </c>
      <c r="BX57" s="460">
        <v>0</v>
      </c>
      <c r="BY57" s="460">
        <v>0</v>
      </c>
      <c r="BZ57" s="460">
        <v>0</v>
      </c>
      <c r="CA57" s="460" t="e">
        <v>#N/A</v>
      </c>
      <c r="CB57" s="460" t="e">
        <v>#N/A</v>
      </c>
      <c r="CC57" s="460" t="e">
        <v>#N/A</v>
      </c>
    </row>
    <row r="58" spans="1:81">
      <c r="A58" s="105">
        <v>53</v>
      </c>
      <c r="B58" s="112" t="str">
        <v>30Y</v>
      </c>
      <c r="C58" s="262">
        <f>'eur disaggregated'!AL69</f>
        <v>-1284.1976198571001</v>
      </c>
      <c r="D58" s="111" t="str">
        <f t="shared" si="5"/>
        <v>360M</v>
      </c>
      <c r="E58" s="441">
        <f>BktEur1mPL!E58</f>
        <v>42696</v>
      </c>
      <c r="F58" s="441">
        <f>BktEur1mPL!F58</f>
        <v>53653</v>
      </c>
      <c r="G58" s="462">
        <f t="shared" si="3"/>
        <v>1.057E-2</v>
      </c>
      <c r="H58" s="453">
        <f>BktEur1mPL!H58</f>
        <v>1.0569999999999999</v>
      </c>
      <c r="I58" s="107" t="str">
        <v>25Y</v>
      </c>
      <c r="J58" s="106" t="str">
        <f t="shared" si="4"/>
        <v>300M</v>
      </c>
      <c r="K58" s="448">
        <f>_xll.qlCalendarAdvance("TARGET",$C$1,J58)</f>
        <v>51827</v>
      </c>
      <c r="M58" s="99" t="str">
        <v>25Y</v>
      </c>
      <c r="N58" s="465">
        <v>9832.04622788503</v>
      </c>
      <c r="P58" s="106" t="b">
        <f t="shared" si="6"/>
        <v>0</v>
      </c>
      <c r="Q58" s="460">
        <f t="array" ref="Q58:CC58">C58*ForwardToZero(OisBuckets,E58,F58,G58)</f>
        <v>0</v>
      </c>
      <c r="R58" s="460">
        <v>0</v>
      </c>
      <c r="S58" s="460">
        <v>0</v>
      </c>
      <c r="T58" s="460">
        <v>0</v>
      </c>
      <c r="U58" s="460">
        <v>0</v>
      </c>
      <c r="V58" s="460">
        <v>0</v>
      </c>
      <c r="W58" s="460">
        <v>0</v>
      </c>
      <c r="X58" s="460">
        <v>0</v>
      </c>
      <c r="Y58" s="460">
        <v>0</v>
      </c>
      <c r="Z58" s="460">
        <v>0</v>
      </c>
      <c r="AA58" s="460">
        <v>0</v>
      </c>
      <c r="AB58" s="460">
        <v>0</v>
      </c>
      <c r="AC58" s="460">
        <v>0</v>
      </c>
      <c r="AD58" s="460">
        <v>0</v>
      </c>
      <c r="AE58" s="460">
        <v>0</v>
      </c>
      <c r="AF58" s="460">
        <v>0</v>
      </c>
      <c r="AG58" s="460">
        <v>0</v>
      </c>
      <c r="AH58" s="460">
        <v>0</v>
      </c>
      <c r="AI58" s="460">
        <v>0</v>
      </c>
      <c r="AJ58" s="460">
        <v>0</v>
      </c>
      <c r="AK58" s="460">
        <v>0</v>
      </c>
      <c r="AL58" s="460">
        <v>0</v>
      </c>
      <c r="AM58" s="460">
        <v>0</v>
      </c>
      <c r="AN58" s="460">
        <v>0</v>
      </c>
      <c r="AO58" s="460">
        <v>0</v>
      </c>
      <c r="AP58" s="460">
        <v>0</v>
      </c>
      <c r="AQ58" s="460">
        <v>0</v>
      </c>
      <c r="AR58" s="460">
        <v>0</v>
      </c>
      <c r="AS58" s="460">
        <v>0</v>
      </c>
      <c r="AT58" s="460">
        <v>0</v>
      </c>
      <c r="AU58" s="460">
        <v>0</v>
      </c>
      <c r="AV58" s="460">
        <v>0</v>
      </c>
      <c r="AW58" s="460">
        <v>0</v>
      </c>
      <c r="AX58" s="460">
        <v>0</v>
      </c>
      <c r="AY58" s="460">
        <v>0</v>
      </c>
      <c r="AZ58" s="460">
        <v>0</v>
      </c>
      <c r="BA58" s="460">
        <v>0</v>
      </c>
      <c r="BB58" s="460">
        <v>0</v>
      </c>
      <c r="BC58" s="460">
        <v>0</v>
      </c>
      <c r="BD58" s="460">
        <v>0</v>
      </c>
      <c r="BE58" s="460">
        <v>0</v>
      </c>
      <c r="BF58" s="460">
        <v>0</v>
      </c>
      <c r="BG58" s="460">
        <v>0</v>
      </c>
      <c r="BH58" s="460">
        <v>0</v>
      </c>
      <c r="BI58" s="460">
        <v>0</v>
      </c>
      <c r="BJ58" s="460">
        <v>0</v>
      </c>
      <c r="BK58" s="460">
        <v>0</v>
      </c>
      <c r="BL58" s="460">
        <v>0</v>
      </c>
      <c r="BM58" s="460">
        <v>0</v>
      </c>
      <c r="BN58" s="460">
        <v>0</v>
      </c>
      <c r="BO58" s="460">
        <v>0</v>
      </c>
      <c r="BP58" s="460">
        <v>0</v>
      </c>
      <c r="BQ58" s="460">
        <v>0</v>
      </c>
      <c r="BR58" s="460">
        <v>0</v>
      </c>
      <c r="BS58" s="460">
        <v>0</v>
      </c>
      <c r="BT58" s="460">
        <v>0</v>
      </c>
      <c r="BU58" s="460">
        <v>0</v>
      </c>
      <c r="BV58" s="460">
        <v>-1284.1976198571001</v>
      </c>
      <c r="BW58" s="460">
        <v>0</v>
      </c>
      <c r="BX58" s="460">
        <v>0</v>
      </c>
      <c r="BY58" s="460">
        <v>0</v>
      </c>
      <c r="BZ58" s="460">
        <v>0</v>
      </c>
      <c r="CA58" s="460" t="e">
        <v>#N/A</v>
      </c>
      <c r="CB58" s="460" t="e">
        <v>#N/A</v>
      </c>
      <c r="CC58" s="460" t="e">
        <v>#N/A</v>
      </c>
    </row>
    <row r="59" spans="1:81" ht="12.75" customHeight="1">
      <c r="A59" s="105">
        <v>54</v>
      </c>
      <c r="B59" s="112" t="str">
        <v>31Y</v>
      </c>
      <c r="C59" s="262">
        <f>'eur disaggregated'!AL70</f>
        <v>-1422.36134600984</v>
      </c>
      <c r="D59" s="111" t="str">
        <f t="shared" si="5"/>
        <v>372M</v>
      </c>
      <c r="E59" s="441">
        <f>BktEur1mPL!E59</f>
        <v>42696</v>
      </c>
      <c r="F59" s="441">
        <f>BktEur1mPL!F59</f>
        <v>54018</v>
      </c>
      <c r="G59" s="462">
        <f t="shared" si="3"/>
        <v>1.0602025159999999E-2</v>
      </c>
      <c r="H59" s="453">
        <f>BktEur1mPL!H59</f>
        <v>1.0602025159999999</v>
      </c>
      <c r="I59" s="107" t="str">
        <v>26Y</v>
      </c>
      <c r="J59" s="106" t="str">
        <f t="shared" si="4"/>
        <v>312M</v>
      </c>
      <c r="K59" s="448">
        <f>_xll.qlCalendarAdvance("TARGET",$C$1,J59)</f>
        <v>52194</v>
      </c>
      <c r="M59" s="99" t="str">
        <v>26Y</v>
      </c>
      <c r="N59" s="465">
        <v>-1849.65016331417</v>
      </c>
      <c r="P59" s="106" t="b">
        <f t="shared" si="6"/>
        <v>0</v>
      </c>
      <c r="Q59" s="460">
        <f t="array" ref="Q59:CC59">C59*ForwardToZero(OisBuckets,E59,F59,G59)</f>
        <v>0</v>
      </c>
      <c r="R59" s="460">
        <v>0</v>
      </c>
      <c r="S59" s="460">
        <v>0</v>
      </c>
      <c r="T59" s="460">
        <v>0</v>
      </c>
      <c r="U59" s="460">
        <v>0</v>
      </c>
      <c r="V59" s="460">
        <v>0</v>
      </c>
      <c r="W59" s="460">
        <v>0</v>
      </c>
      <c r="X59" s="460">
        <v>0</v>
      </c>
      <c r="Y59" s="460">
        <v>0</v>
      </c>
      <c r="Z59" s="460">
        <v>0</v>
      </c>
      <c r="AA59" s="460">
        <v>0</v>
      </c>
      <c r="AB59" s="460">
        <v>0</v>
      </c>
      <c r="AC59" s="460">
        <v>0</v>
      </c>
      <c r="AD59" s="460">
        <v>0</v>
      </c>
      <c r="AE59" s="460">
        <v>0</v>
      </c>
      <c r="AF59" s="460">
        <v>0</v>
      </c>
      <c r="AG59" s="460">
        <v>0</v>
      </c>
      <c r="AH59" s="460">
        <v>0</v>
      </c>
      <c r="AI59" s="460">
        <v>0</v>
      </c>
      <c r="AJ59" s="460">
        <v>0</v>
      </c>
      <c r="AK59" s="460">
        <v>0</v>
      </c>
      <c r="AL59" s="460">
        <v>0</v>
      </c>
      <c r="AM59" s="460">
        <v>0</v>
      </c>
      <c r="AN59" s="460">
        <v>0</v>
      </c>
      <c r="AO59" s="460">
        <v>0</v>
      </c>
      <c r="AP59" s="460">
        <v>0</v>
      </c>
      <c r="AQ59" s="460">
        <v>0</v>
      </c>
      <c r="AR59" s="460">
        <v>0</v>
      </c>
      <c r="AS59" s="460">
        <v>0</v>
      </c>
      <c r="AT59" s="460">
        <v>0</v>
      </c>
      <c r="AU59" s="460">
        <v>0</v>
      </c>
      <c r="AV59" s="460">
        <v>0</v>
      </c>
      <c r="AW59" s="460">
        <v>0</v>
      </c>
      <c r="AX59" s="460">
        <v>0</v>
      </c>
      <c r="AY59" s="460">
        <v>0</v>
      </c>
      <c r="AZ59" s="460">
        <v>0</v>
      </c>
      <c r="BA59" s="460">
        <v>0</v>
      </c>
      <c r="BB59" s="460">
        <v>0</v>
      </c>
      <c r="BC59" s="460">
        <v>0</v>
      </c>
      <c r="BD59" s="460">
        <v>0</v>
      </c>
      <c r="BE59" s="460">
        <v>0</v>
      </c>
      <c r="BF59" s="460">
        <v>0</v>
      </c>
      <c r="BG59" s="460">
        <v>0</v>
      </c>
      <c r="BH59" s="460">
        <v>0</v>
      </c>
      <c r="BI59" s="460">
        <v>0</v>
      </c>
      <c r="BJ59" s="460">
        <v>0</v>
      </c>
      <c r="BK59" s="460">
        <v>0</v>
      </c>
      <c r="BL59" s="460">
        <v>0</v>
      </c>
      <c r="BM59" s="460">
        <v>0</v>
      </c>
      <c r="BN59" s="460">
        <v>0</v>
      </c>
      <c r="BO59" s="460">
        <v>0</v>
      </c>
      <c r="BP59" s="460">
        <v>0</v>
      </c>
      <c r="BQ59" s="460">
        <v>0</v>
      </c>
      <c r="BR59" s="460">
        <v>0</v>
      </c>
      <c r="BS59" s="460">
        <v>0</v>
      </c>
      <c r="BT59" s="460">
        <v>0</v>
      </c>
      <c r="BU59" s="460">
        <v>0</v>
      </c>
      <c r="BV59" s="460">
        <v>-1138.0448666595707</v>
      </c>
      <c r="BW59" s="460">
        <v>-284.31647935026922</v>
      </c>
      <c r="BX59" s="460">
        <v>0</v>
      </c>
      <c r="BY59" s="460">
        <v>0</v>
      </c>
      <c r="BZ59" s="460">
        <v>0</v>
      </c>
      <c r="CA59" s="460" t="e">
        <v>#N/A</v>
      </c>
      <c r="CB59" s="460" t="e">
        <v>#N/A</v>
      </c>
      <c r="CC59" s="460" t="e">
        <v>#N/A</v>
      </c>
    </row>
    <row r="60" spans="1:81" ht="12.75" customHeight="1">
      <c r="A60" s="105">
        <v>55</v>
      </c>
      <c r="B60" s="112" t="str">
        <v>32Y</v>
      </c>
      <c r="C60" s="262">
        <f>'eur disaggregated'!AL71</f>
        <v>-678.51118956368896</v>
      </c>
      <c r="D60" s="111" t="str">
        <f t="shared" si="5"/>
        <v>384M</v>
      </c>
      <c r="E60" s="441">
        <f>BktEur1mPL!E60</f>
        <v>42696</v>
      </c>
      <c r="F60" s="441">
        <f>BktEur1mPL!F60</f>
        <v>54385</v>
      </c>
      <c r="G60" s="462">
        <f t="shared" si="3"/>
        <v>1.062955541E-2</v>
      </c>
      <c r="H60" s="453">
        <f>BktEur1mPL!H60</f>
        <v>1.062955541</v>
      </c>
      <c r="I60" s="107" t="str">
        <v>27Y</v>
      </c>
      <c r="J60" s="106" t="str">
        <f t="shared" si="4"/>
        <v>324M</v>
      </c>
      <c r="K60" s="448">
        <f>_xll.qlCalendarAdvance("TARGET",$C$1,J60)</f>
        <v>52558</v>
      </c>
      <c r="M60" s="99" t="str">
        <v>27Y</v>
      </c>
      <c r="N60" s="465">
        <v>-1021.38812027604</v>
      </c>
      <c r="P60" s="106" t="b">
        <f t="shared" si="6"/>
        <v>0</v>
      </c>
      <c r="Q60" s="460">
        <f t="array" ref="Q60:CC60">C60*ForwardToZero(OisBuckets,E60,F60,G60)</f>
        <v>0</v>
      </c>
      <c r="R60" s="460">
        <v>0</v>
      </c>
      <c r="S60" s="460">
        <v>0</v>
      </c>
      <c r="T60" s="460">
        <v>0</v>
      </c>
      <c r="U60" s="460">
        <v>0</v>
      </c>
      <c r="V60" s="460">
        <v>0</v>
      </c>
      <c r="W60" s="460">
        <v>0</v>
      </c>
      <c r="X60" s="460">
        <v>0</v>
      </c>
      <c r="Y60" s="460">
        <v>0</v>
      </c>
      <c r="Z60" s="460">
        <v>0</v>
      </c>
      <c r="AA60" s="460">
        <v>0</v>
      </c>
      <c r="AB60" s="460">
        <v>0</v>
      </c>
      <c r="AC60" s="460">
        <v>0</v>
      </c>
      <c r="AD60" s="460">
        <v>0</v>
      </c>
      <c r="AE60" s="460">
        <v>0</v>
      </c>
      <c r="AF60" s="460">
        <v>0</v>
      </c>
      <c r="AG60" s="460">
        <v>0</v>
      </c>
      <c r="AH60" s="460">
        <v>0</v>
      </c>
      <c r="AI60" s="460">
        <v>0</v>
      </c>
      <c r="AJ60" s="460">
        <v>0</v>
      </c>
      <c r="AK60" s="460">
        <v>0</v>
      </c>
      <c r="AL60" s="460">
        <v>0</v>
      </c>
      <c r="AM60" s="460">
        <v>0</v>
      </c>
      <c r="AN60" s="460">
        <v>0</v>
      </c>
      <c r="AO60" s="460">
        <v>0</v>
      </c>
      <c r="AP60" s="460">
        <v>0</v>
      </c>
      <c r="AQ60" s="460">
        <v>0</v>
      </c>
      <c r="AR60" s="460">
        <v>0</v>
      </c>
      <c r="AS60" s="460">
        <v>0</v>
      </c>
      <c r="AT60" s="460">
        <v>0</v>
      </c>
      <c r="AU60" s="460">
        <v>0</v>
      </c>
      <c r="AV60" s="460">
        <v>0</v>
      </c>
      <c r="AW60" s="460">
        <v>0</v>
      </c>
      <c r="AX60" s="460">
        <v>0</v>
      </c>
      <c r="AY60" s="460">
        <v>0</v>
      </c>
      <c r="AZ60" s="460">
        <v>0</v>
      </c>
      <c r="BA60" s="460">
        <v>0</v>
      </c>
      <c r="BB60" s="460">
        <v>0</v>
      </c>
      <c r="BC60" s="460">
        <v>0</v>
      </c>
      <c r="BD60" s="460">
        <v>0</v>
      </c>
      <c r="BE60" s="460">
        <v>0</v>
      </c>
      <c r="BF60" s="460">
        <v>0</v>
      </c>
      <c r="BG60" s="460">
        <v>0</v>
      </c>
      <c r="BH60" s="460">
        <v>0</v>
      </c>
      <c r="BI60" s="460">
        <v>0</v>
      </c>
      <c r="BJ60" s="460">
        <v>0</v>
      </c>
      <c r="BK60" s="460">
        <v>0</v>
      </c>
      <c r="BL60" s="460">
        <v>0</v>
      </c>
      <c r="BM60" s="460">
        <v>0</v>
      </c>
      <c r="BN60" s="460">
        <v>0</v>
      </c>
      <c r="BO60" s="460">
        <v>0</v>
      </c>
      <c r="BP60" s="460">
        <v>0</v>
      </c>
      <c r="BQ60" s="460">
        <v>0</v>
      </c>
      <c r="BR60" s="460">
        <v>0</v>
      </c>
      <c r="BS60" s="460">
        <v>0</v>
      </c>
      <c r="BT60" s="460">
        <v>0</v>
      </c>
      <c r="BU60" s="460">
        <v>0</v>
      </c>
      <c r="BV60" s="460">
        <v>-406.5121803848167</v>
      </c>
      <c r="BW60" s="460">
        <v>-271.99900917887237</v>
      </c>
      <c r="BX60" s="460">
        <v>0</v>
      </c>
      <c r="BY60" s="460">
        <v>0</v>
      </c>
      <c r="BZ60" s="460">
        <v>0</v>
      </c>
      <c r="CA60" s="460" t="e">
        <v>#N/A</v>
      </c>
      <c r="CB60" s="460" t="e">
        <v>#N/A</v>
      </c>
      <c r="CC60" s="460" t="e">
        <v>#N/A</v>
      </c>
    </row>
    <row r="61" spans="1:81" ht="12.75" customHeight="1">
      <c r="A61" s="105">
        <v>56</v>
      </c>
      <c r="B61" s="112" t="str">
        <v>33Y</v>
      </c>
      <c r="C61" s="262">
        <f>'eur disaggregated'!AL72</f>
        <v>88.451415653441003</v>
      </c>
      <c r="D61" s="111" t="str">
        <f t="shared" si="5"/>
        <v>396M</v>
      </c>
      <c r="E61" s="441">
        <f>BktEur1mPL!E61</f>
        <v>42696</v>
      </c>
      <c r="F61" s="441">
        <f>BktEur1mPL!F61</f>
        <v>54749</v>
      </c>
      <c r="G61" s="462">
        <f t="shared" si="3"/>
        <v>1.06506914E-2</v>
      </c>
      <c r="H61" s="453">
        <f>BktEur1mPL!H61</f>
        <v>1.0650691400000001</v>
      </c>
      <c r="I61" s="107" t="str">
        <v>28Y</v>
      </c>
      <c r="J61" s="106" t="str">
        <f t="shared" si="4"/>
        <v>336M</v>
      </c>
      <c r="K61" s="448">
        <f>_xll.qlCalendarAdvance("TARGET",$C$1,J61)</f>
        <v>52923</v>
      </c>
      <c r="M61" s="99" t="str">
        <v>28Y</v>
      </c>
      <c r="N61" s="465">
        <v>-1107.45660196331</v>
      </c>
      <c r="P61" s="106" t="b">
        <f t="shared" si="6"/>
        <v>0</v>
      </c>
      <c r="Q61" s="460">
        <f t="array" ref="Q61:CC61">C61*ForwardToZero(OisBuckets,E61,F61,G61)</f>
        <v>0</v>
      </c>
      <c r="R61" s="460">
        <v>0</v>
      </c>
      <c r="S61" s="460">
        <v>0</v>
      </c>
      <c r="T61" s="460">
        <v>0</v>
      </c>
      <c r="U61" s="460">
        <v>0</v>
      </c>
      <c r="V61" s="460">
        <v>0</v>
      </c>
      <c r="W61" s="460">
        <v>0</v>
      </c>
      <c r="X61" s="460">
        <v>0</v>
      </c>
      <c r="Y61" s="460">
        <v>0</v>
      </c>
      <c r="Z61" s="460">
        <v>0</v>
      </c>
      <c r="AA61" s="460">
        <v>0</v>
      </c>
      <c r="AB61" s="460">
        <v>0</v>
      </c>
      <c r="AC61" s="460">
        <v>0</v>
      </c>
      <c r="AD61" s="460">
        <v>0</v>
      </c>
      <c r="AE61" s="460">
        <v>0</v>
      </c>
      <c r="AF61" s="460">
        <v>0</v>
      </c>
      <c r="AG61" s="460">
        <v>0</v>
      </c>
      <c r="AH61" s="460">
        <v>0</v>
      </c>
      <c r="AI61" s="460">
        <v>0</v>
      </c>
      <c r="AJ61" s="460">
        <v>0</v>
      </c>
      <c r="AK61" s="460">
        <v>0</v>
      </c>
      <c r="AL61" s="460">
        <v>0</v>
      </c>
      <c r="AM61" s="460">
        <v>0</v>
      </c>
      <c r="AN61" s="460">
        <v>0</v>
      </c>
      <c r="AO61" s="460">
        <v>0</v>
      </c>
      <c r="AP61" s="460">
        <v>0</v>
      </c>
      <c r="AQ61" s="460">
        <v>0</v>
      </c>
      <c r="AR61" s="460">
        <v>0</v>
      </c>
      <c r="AS61" s="460">
        <v>0</v>
      </c>
      <c r="AT61" s="460">
        <v>0</v>
      </c>
      <c r="AU61" s="460">
        <v>0</v>
      </c>
      <c r="AV61" s="460">
        <v>0</v>
      </c>
      <c r="AW61" s="460">
        <v>0</v>
      </c>
      <c r="AX61" s="460">
        <v>0</v>
      </c>
      <c r="AY61" s="460">
        <v>0</v>
      </c>
      <c r="AZ61" s="460">
        <v>0</v>
      </c>
      <c r="BA61" s="460">
        <v>0</v>
      </c>
      <c r="BB61" s="460">
        <v>0</v>
      </c>
      <c r="BC61" s="460">
        <v>0</v>
      </c>
      <c r="BD61" s="460">
        <v>0</v>
      </c>
      <c r="BE61" s="460">
        <v>0</v>
      </c>
      <c r="BF61" s="460">
        <v>0</v>
      </c>
      <c r="BG61" s="460">
        <v>0</v>
      </c>
      <c r="BH61" s="460">
        <v>0</v>
      </c>
      <c r="BI61" s="460">
        <v>0</v>
      </c>
      <c r="BJ61" s="460">
        <v>0</v>
      </c>
      <c r="BK61" s="460">
        <v>0</v>
      </c>
      <c r="BL61" s="460">
        <v>0</v>
      </c>
      <c r="BM61" s="460">
        <v>0</v>
      </c>
      <c r="BN61" s="460">
        <v>0</v>
      </c>
      <c r="BO61" s="460">
        <v>0</v>
      </c>
      <c r="BP61" s="460">
        <v>0</v>
      </c>
      <c r="BQ61" s="460">
        <v>0</v>
      </c>
      <c r="BR61" s="460">
        <v>0</v>
      </c>
      <c r="BS61" s="460">
        <v>0</v>
      </c>
      <c r="BT61" s="460">
        <v>0</v>
      </c>
      <c r="BU61" s="460">
        <v>0</v>
      </c>
      <c r="BV61" s="460">
        <v>35.36119026670972</v>
      </c>
      <c r="BW61" s="460">
        <v>53.090225386731284</v>
      </c>
      <c r="BX61" s="460">
        <v>0</v>
      </c>
      <c r="BY61" s="460">
        <v>0</v>
      </c>
      <c r="BZ61" s="460">
        <v>0</v>
      </c>
      <c r="CA61" s="460" t="e">
        <v>#N/A</v>
      </c>
      <c r="CB61" s="460" t="e">
        <v>#N/A</v>
      </c>
      <c r="CC61" s="460" t="e">
        <v>#N/A</v>
      </c>
    </row>
    <row r="62" spans="1:81" ht="12.75" customHeight="1">
      <c r="A62" s="105">
        <v>57</v>
      </c>
      <c r="B62" s="112" t="str">
        <v>34Y</v>
      </c>
      <c r="C62" s="262">
        <f>'eur disaggregated'!AL73</f>
        <v>3.8811730015612902E-2</v>
      </c>
      <c r="D62" s="111" t="str">
        <f t="shared" si="5"/>
        <v>408M</v>
      </c>
      <c r="E62" s="441">
        <f>BktEur1mPL!E62</f>
        <v>42696</v>
      </c>
      <c r="F62" s="441">
        <f>BktEur1mPL!F62</f>
        <v>55114</v>
      </c>
      <c r="G62" s="462">
        <f t="shared" si="3"/>
        <v>1.066611028E-2</v>
      </c>
      <c r="H62" s="453">
        <f>BktEur1mPL!H62</f>
        <v>1.0666110280000001</v>
      </c>
      <c r="I62" s="107" t="str">
        <v>29Y</v>
      </c>
      <c r="J62" s="106" t="str">
        <f t="shared" si="4"/>
        <v>348M</v>
      </c>
      <c r="K62" s="448">
        <f>_xll.qlCalendarAdvance("TARGET",$C$1,J62)</f>
        <v>53288</v>
      </c>
      <c r="M62" s="99" t="str">
        <v>29Y</v>
      </c>
      <c r="N62" s="465">
        <v>-1186.2919567843401</v>
      </c>
      <c r="P62" s="106" t="b">
        <f t="shared" si="6"/>
        <v>0</v>
      </c>
      <c r="Q62" s="460">
        <f t="array" ref="Q62:CC62">C62*ForwardToZero(OisBuckets,E62,F62,G62)</f>
        <v>0</v>
      </c>
      <c r="R62" s="460">
        <v>0</v>
      </c>
      <c r="S62" s="460">
        <v>0</v>
      </c>
      <c r="T62" s="460">
        <v>0</v>
      </c>
      <c r="U62" s="460">
        <v>0</v>
      </c>
      <c r="V62" s="460">
        <v>0</v>
      </c>
      <c r="W62" s="460">
        <v>0</v>
      </c>
      <c r="X62" s="460">
        <v>0</v>
      </c>
      <c r="Y62" s="460">
        <v>0</v>
      </c>
      <c r="Z62" s="460">
        <v>0</v>
      </c>
      <c r="AA62" s="460">
        <v>0</v>
      </c>
      <c r="AB62" s="460">
        <v>0</v>
      </c>
      <c r="AC62" s="460">
        <v>0</v>
      </c>
      <c r="AD62" s="460">
        <v>0</v>
      </c>
      <c r="AE62" s="460">
        <v>0</v>
      </c>
      <c r="AF62" s="460">
        <v>0</v>
      </c>
      <c r="AG62" s="460">
        <v>0</v>
      </c>
      <c r="AH62" s="460">
        <v>0</v>
      </c>
      <c r="AI62" s="460">
        <v>0</v>
      </c>
      <c r="AJ62" s="460">
        <v>0</v>
      </c>
      <c r="AK62" s="460">
        <v>0</v>
      </c>
      <c r="AL62" s="460">
        <v>0</v>
      </c>
      <c r="AM62" s="460">
        <v>0</v>
      </c>
      <c r="AN62" s="460">
        <v>0</v>
      </c>
      <c r="AO62" s="460">
        <v>0</v>
      </c>
      <c r="AP62" s="460">
        <v>0</v>
      </c>
      <c r="AQ62" s="460">
        <v>0</v>
      </c>
      <c r="AR62" s="460">
        <v>0</v>
      </c>
      <c r="AS62" s="460">
        <v>0</v>
      </c>
      <c r="AT62" s="460">
        <v>0</v>
      </c>
      <c r="AU62" s="460">
        <v>0</v>
      </c>
      <c r="AV62" s="460">
        <v>0</v>
      </c>
      <c r="AW62" s="460">
        <v>0</v>
      </c>
      <c r="AX62" s="460">
        <v>0</v>
      </c>
      <c r="AY62" s="460">
        <v>0</v>
      </c>
      <c r="AZ62" s="460">
        <v>0</v>
      </c>
      <c r="BA62" s="460">
        <v>0</v>
      </c>
      <c r="BB62" s="460">
        <v>0</v>
      </c>
      <c r="BC62" s="460">
        <v>0</v>
      </c>
      <c r="BD62" s="460">
        <v>0</v>
      </c>
      <c r="BE62" s="460">
        <v>0</v>
      </c>
      <c r="BF62" s="460">
        <v>0</v>
      </c>
      <c r="BG62" s="460">
        <v>0</v>
      </c>
      <c r="BH62" s="460">
        <v>0</v>
      </c>
      <c r="BI62" s="460">
        <v>0</v>
      </c>
      <c r="BJ62" s="460">
        <v>0</v>
      </c>
      <c r="BK62" s="460">
        <v>0</v>
      </c>
      <c r="BL62" s="460">
        <v>0</v>
      </c>
      <c r="BM62" s="460">
        <v>0</v>
      </c>
      <c r="BN62" s="460">
        <v>0</v>
      </c>
      <c r="BO62" s="460">
        <v>0</v>
      </c>
      <c r="BP62" s="460">
        <v>0</v>
      </c>
      <c r="BQ62" s="460">
        <v>0</v>
      </c>
      <c r="BR62" s="460">
        <v>0</v>
      </c>
      <c r="BS62" s="460">
        <v>0</v>
      </c>
      <c r="BT62" s="460">
        <v>0</v>
      </c>
      <c r="BU62" s="460">
        <v>0</v>
      </c>
      <c r="BV62" s="460">
        <v>7.7580949921679694E-3</v>
      </c>
      <c r="BW62" s="460">
        <v>3.1053635023444933E-2</v>
      </c>
      <c r="BX62" s="460">
        <v>0</v>
      </c>
      <c r="BY62" s="460">
        <v>0</v>
      </c>
      <c r="BZ62" s="460">
        <v>0</v>
      </c>
      <c r="CA62" s="460" t="e">
        <v>#N/A</v>
      </c>
      <c r="CB62" s="460" t="e">
        <v>#N/A</v>
      </c>
      <c r="CC62" s="460" t="e">
        <v>#N/A</v>
      </c>
    </row>
    <row r="63" spans="1:81" ht="12.75" customHeight="1">
      <c r="A63" s="105">
        <v>58</v>
      </c>
      <c r="B63" s="112" t="str">
        <v>35Y</v>
      </c>
      <c r="C63" s="262">
        <f>'eur disaggregated'!AL74</f>
        <v>7.7702614125669507E-6</v>
      </c>
      <c r="D63" s="111" t="str">
        <f t="shared" si="5"/>
        <v>420M</v>
      </c>
      <c r="E63" s="441">
        <f>BktEur1mPL!E63</f>
        <v>42696</v>
      </c>
      <c r="F63" s="441">
        <f>BktEur1mPL!F63</f>
        <v>55479</v>
      </c>
      <c r="G63" s="462">
        <f t="shared" si="3"/>
        <v>1.0675671499999999E-2</v>
      </c>
      <c r="H63" s="453">
        <f>BktEur1mPL!H63</f>
        <v>1.0675671499999999</v>
      </c>
      <c r="I63" s="107" t="str">
        <v>30Y</v>
      </c>
      <c r="J63" s="106" t="str">
        <f t="shared" si="4"/>
        <v>360M</v>
      </c>
      <c r="K63" s="448">
        <f>_xll.qlCalendarAdvance("TARGET",$C$1,J63)</f>
        <v>53653</v>
      </c>
      <c r="M63" s="99" t="str">
        <v>30Y</v>
      </c>
      <c r="N63" s="465">
        <v>-2793.3857185397851</v>
      </c>
      <c r="P63" s="106" t="b">
        <f t="shared" si="6"/>
        <v>0</v>
      </c>
      <c r="Q63" s="460">
        <f t="array" ref="Q63:CC63">C63*ForwardToZero(OisBuckets,E63,F63,G63)</f>
        <v>0</v>
      </c>
      <c r="R63" s="460">
        <v>0</v>
      </c>
      <c r="S63" s="460">
        <v>0</v>
      </c>
      <c r="T63" s="460">
        <v>0</v>
      </c>
      <c r="U63" s="460">
        <v>0</v>
      </c>
      <c r="V63" s="460">
        <v>0</v>
      </c>
      <c r="W63" s="460">
        <v>0</v>
      </c>
      <c r="X63" s="460">
        <v>0</v>
      </c>
      <c r="Y63" s="460">
        <v>0</v>
      </c>
      <c r="Z63" s="460">
        <v>0</v>
      </c>
      <c r="AA63" s="460">
        <v>0</v>
      </c>
      <c r="AB63" s="460">
        <v>0</v>
      </c>
      <c r="AC63" s="460">
        <v>0</v>
      </c>
      <c r="AD63" s="460">
        <v>0</v>
      </c>
      <c r="AE63" s="460">
        <v>0</v>
      </c>
      <c r="AF63" s="460">
        <v>0</v>
      </c>
      <c r="AG63" s="460">
        <v>0</v>
      </c>
      <c r="AH63" s="460">
        <v>0</v>
      </c>
      <c r="AI63" s="460">
        <v>0</v>
      </c>
      <c r="AJ63" s="460">
        <v>0</v>
      </c>
      <c r="AK63" s="460">
        <v>0</v>
      </c>
      <c r="AL63" s="460">
        <v>0</v>
      </c>
      <c r="AM63" s="460">
        <v>0</v>
      </c>
      <c r="AN63" s="460">
        <v>0</v>
      </c>
      <c r="AO63" s="460">
        <v>0</v>
      </c>
      <c r="AP63" s="460">
        <v>0</v>
      </c>
      <c r="AQ63" s="460">
        <v>0</v>
      </c>
      <c r="AR63" s="460">
        <v>0</v>
      </c>
      <c r="AS63" s="460">
        <v>0</v>
      </c>
      <c r="AT63" s="460">
        <v>0</v>
      </c>
      <c r="AU63" s="460">
        <v>0</v>
      </c>
      <c r="AV63" s="460">
        <v>0</v>
      </c>
      <c r="AW63" s="460">
        <v>0</v>
      </c>
      <c r="AX63" s="460">
        <v>0</v>
      </c>
      <c r="AY63" s="460">
        <v>0</v>
      </c>
      <c r="AZ63" s="460">
        <v>0</v>
      </c>
      <c r="BA63" s="460">
        <v>0</v>
      </c>
      <c r="BB63" s="460">
        <v>0</v>
      </c>
      <c r="BC63" s="460">
        <v>0</v>
      </c>
      <c r="BD63" s="460">
        <v>0</v>
      </c>
      <c r="BE63" s="460">
        <v>0</v>
      </c>
      <c r="BF63" s="460">
        <v>0</v>
      </c>
      <c r="BG63" s="460">
        <v>0</v>
      </c>
      <c r="BH63" s="460">
        <v>0</v>
      </c>
      <c r="BI63" s="460">
        <v>0</v>
      </c>
      <c r="BJ63" s="460">
        <v>0</v>
      </c>
      <c r="BK63" s="460">
        <v>0</v>
      </c>
      <c r="BL63" s="460">
        <v>0</v>
      </c>
      <c r="BM63" s="460">
        <v>0</v>
      </c>
      <c r="BN63" s="460">
        <v>0</v>
      </c>
      <c r="BO63" s="460">
        <v>0</v>
      </c>
      <c r="BP63" s="460">
        <v>0</v>
      </c>
      <c r="BQ63" s="460">
        <v>0</v>
      </c>
      <c r="BR63" s="460">
        <v>0</v>
      </c>
      <c r="BS63" s="460">
        <v>0</v>
      </c>
      <c r="BT63" s="460">
        <v>0</v>
      </c>
      <c r="BU63" s="460">
        <v>0</v>
      </c>
      <c r="BV63" s="460">
        <v>0</v>
      </c>
      <c r="BW63" s="460">
        <v>7.7702614125669507E-6</v>
      </c>
      <c r="BX63" s="460">
        <v>0</v>
      </c>
      <c r="BY63" s="460">
        <v>0</v>
      </c>
      <c r="BZ63" s="460">
        <v>0</v>
      </c>
      <c r="CA63" s="460" t="e">
        <v>#N/A</v>
      </c>
      <c r="CB63" s="460" t="e">
        <v>#N/A</v>
      </c>
      <c r="CC63" s="460" t="e">
        <v>#N/A</v>
      </c>
    </row>
    <row r="64" spans="1:81" ht="12.75" customHeight="1">
      <c r="A64" s="105">
        <v>59</v>
      </c>
      <c r="B64" s="112" t="str">
        <v>36Y</v>
      </c>
      <c r="C64" s="262">
        <f>'eur disaggregated'!AL75</f>
        <v>-1.2006905089505299E-10</v>
      </c>
      <c r="D64" s="111" t="str">
        <f t="shared" si="5"/>
        <v>432M</v>
      </c>
      <c r="E64" s="441">
        <f>BktEur1mPL!E64</f>
        <v>42696</v>
      </c>
      <c r="F64" s="441">
        <f>BktEur1mPL!F64</f>
        <v>55845</v>
      </c>
      <c r="G64" s="462">
        <f t="shared" si="3"/>
        <v>1.067978352E-2</v>
      </c>
      <c r="H64" s="453">
        <f>BktEur1mPL!H64</f>
        <v>1.0679783519999999</v>
      </c>
      <c r="I64" s="107" t="str">
        <v>35Y</v>
      </c>
      <c r="J64" s="106" t="str">
        <f t="shared" si="4"/>
        <v>420M</v>
      </c>
      <c r="K64" s="448">
        <f>_xll.qlCalendarAdvance("TARGET",$C$1,J64)</f>
        <v>55479</v>
      </c>
      <c r="M64" s="99" t="str">
        <v>35Y</v>
      </c>
      <c r="N64" s="465">
        <v>-503.19420173722148</v>
      </c>
      <c r="P64" s="106" t="b">
        <f t="shared" si="6"/>
        <v>0</v>
      </c>
      <c r="Q64" s="460">
        <f t="array" ref="Q64:CC64">C64*ForwardToZero(OisBuckets,E64,F64,G64)</f>
        <v>0</v>
      </c>
      <c r="R64" s="460">
        <v>0</v>
      </c>
      <c r="S64" s="460">
        <v>0</v>
      </c>
      <c r="T64" s="460">
        <v>0</v>
      </c>
      <c r="U64" s="460">
        <v>0</v>
      </c>
      <c r="V64" s="460">
        <v>0</v>
      </c>
      <c r="W64" s="460">
        <v>0</v>
      </c>
      <c r="X64" s="460">
        <v>0</v>
      </c>
      <c r="Y64" s="460">
        <v>0</v>
      </c>
      <c r="Z64" s="460">
        <v>0</v>
      </c>
      <c r="AA64" s="460">
        <v>0</v>
      </c>
      <c r="AB64" s="460">
        <v>0</v>
      </c>
      <c r="AC64" s="460">
        <v>0</v>
      </c>
      <c r="AD64" s="460">
        <v>0</v>
      </c>
      <c r="AE64" s="460">
        <v>0</v>
      </c>
      <c r="AF64" s="460">
        <v>0</v>
      </c>
      <c r="AG64" s="460">
        <v>0</v>
      </c>
      <c r="AH64" s="460">
        <v>0</v>
      </c>
      <c r="AI64" s="460">
        <v>0</v>
      </c>
      <c r="AJ64" s="460">
        <v>0</v>
      </c>
      <c r="AK64" s="460">
        <v>0</v>
      </c>
      <c r="AL64" s="460">
        <v>0</v>
      </c>
      <c r="AM64" s="460">
        <v>0</v>
      </c>
      <c r="AN64" s="460">
        <v>0</v>
      </c>
      <c r="AO64" s="460">
        <v>0</v>
      </c>
      <c r="AP64" s="460">
        <v>0</v>
      </c>
      <c r="AQ64" s="460">
        <v>0</v>
      </c>
      <c r="AR64" s="460">
        <v>0</v>
      </c>
      <c r="AS64" s="460">
        <v>0</v>
      </c>
      <c r="AT64" s="460">
        <v>0</v>
      </c>
      <c r="AU64" s="460">
        <v>0</v>
      </c>
      <c r="AV64" s="460">
        <v>0</v>
      </c>
      <c r="AW64" s="460">
        <v>0</v>
      </c>
      <c r="AX64" s="460">
        <v>0</v>
      </c>
      <c r="AY64" s="460">
        <v>0</v>
      </c>
      <c r="AZ64" s="460">
        <v>0</v>
      </c>
      <c r="BA64" s="460">
        <v>0</v>
      </c>
      <c r="BB64" s="460">
        <v>0</v>
      </c>
      <c r="BC64" s="460">
        <v>0</v>
      </c>
      <c r="BD64" s="460">
        <v>0</v>
      </c>
      <c r="BE64" s="460">
        <v>0</v>
      </c>
      <c r="BF64" s="460">
        <v>0</v>
      </c>
      <c r="BG64" s="460">
        <v>0</v>
      </c>
      <c r="BH64" s="460">
        <v>0</v>
      </c>
      <c r="BI64" s="460">
        <v>0</v>
      </c>
      <c r="BJ64" s="460">
        <v>0</v>
      </c>
      <c r="BK64" s="460">
        <v>0</v>
      </c>
      <c r="BL64" s="460">
        <v>0</v>
      </c>
      <c r="BM64" s="460">
        <v>0</v>
      </c>
      <c r="BN64" s="460">
        <v>0</v>
      </c>
      <c r="BO64" s="460">
        <v>0</v>
      </c>
      <c r="BP64" s="460">
        <v>0</v>
      </c>
      <c r="BQ64" s="460">
        <v>0</v>
      </c>
      <c r="BR64" s="460">
        <v>0</v>
      </c>
      <c r="BS64" s="460">
        <v>0</v>
      </c>
      <c r="BT64" s="460">
        <v>0</v>
      </c>
      <c r="BU64" s="460">
        <v>0</v>
      </c>
      <c r="BV64" s="460">
        <v>0</v>
      </c>
      <c r="BW64" s="460">
        <v>-9.6015809172234461E-11</v>
      </c>
      <c r="BX64" s="460">
        <v>-2.4053241722818537E-11</v>
      </c>
      <c r="BY64" s="460">
        <v>0</v>
      </c>
      <c r="BZ64" s="460">
        <v>0</v>
      </c>
      <c r="CA64" s="460" t="e">
        <v>#N/A</v>
      </c>
      <c r="CB64" s="460" t="e">
        <v>#N/A</v>
      </c>
      <c r="CC64" s="460" t="e">
        <v>#N/A</v>
      </c>
    </row>
    <row r="65" spans="1:81" ht="12.75" customHeight="1">
      <c r="A65" s="105">
        <v>60</v>
      </c>
      <c r="B65" s="112" t="str">
        <v>37Y</v>
      </c>
      <c r="C65" s="262">
        <f>'eur disaggregated'!AL76</f>
        <v>0</v>
      </c>
      <c r="D65" s="111" t="str">
        <f t="shared" si="5"/>
        <v>444M</v>
      </c>
      <c r="E65" s="441">
        <f>BktEur1mPL!E65</f>
        <v>42696</v>
      </c>
      <c r="F65" s="441">
        <f>BktEur1mPL!F65</f>
        <v>56212</v>
      </c>
      <c r="G65" s="462">
        <f t="shared" si="3"/>
        <v>1.067701918E-2</v>
      </c>
      <c r="H65" s="453">
        <f>BktEur1mPL!H65</f>
        <v>1.067701918</v>
      </c>
      <c r="I65" s="107" t="str">
        <v>40Y</v>
      </c>
      <c r="J65" s="106" t="str">
        <f t="shared" si="4"/>
        <v>480M</v>
      </c>
      <c r="K65" s="448">
        <f>_xll.qlCalendarAdvance("TARGET",$C$1,J65)</f>
        <v>57306</v>
      </c>
      <c r="M65" s="99" t="str">
        <v>40Y</v>
      </c>
      <c r="N65" s="465">
        <v>-2.4053241722818537E-11</v>
      </c>
      <c r="P65" s="106" t="b">
        <f t="shared" si="6"/>
        <v>0</v>
      </c>
      <c r="Q65" s="460">
        <f t="array" ref="Q65:CC65">C65*ForwardToZero(OisBuckets,E65,F65,G65)</f>
        <v>0</v>
      </c>
      <c r="R65" s="460">
        <v>0</v>
      </c>
      <c r="S65" s="460">
        <v>0</v>
      </c>
      <c r="T65" s="460">
        <v>0</v>
      </c>
      <c r="U65" s="460">
        <v>0</v>
      </c>
      <c r="V65" s="460">
        <v>0</v>
      </c>
      <c r="W65" s="460">
        <v>0</v>
      </c>
      <c r="X65" s="460">
        <v>0</v>
      </c>
      <c r="Y65" s="460">
        <v>0</v>
      </c>
      <c r="Z65" s="460">
        <v>0</v>
      </c>
      <c r="AA65" s="460">
        <v>0</v>
      </c>
      <c r="AB65" s="460">
        <v>0</v>
      </c>
      <c r="AC65" s="460">
        <v>0</v>
      </c>
      <c r="AD65" s="460">
        <v>0</v>
      </c>
      <c r="AE65" s="460">
        <v>0</v>
      </c>
      <c r="AF65" s="460">
        <v>0</v>
      </c>
      <c r="AG65" s="460">
        <v>0</v>
      </c>
      <c r="AH65" s="460">
        <v>0</v>
      </c>
      <c r="AI65" s="460">
        <v>0</v>
      </c>
      <c r="AJ65" s="460">
        <v>0</v>
      </c>
      <c r="AK65" s="460">
        <v>0</v>
      </c>
      <c r="AL65" s="460">
        <v>0</v>
      </c>
      <c r="AM65" s="460">
        <v>0</v>
      </c>
      <c r="AN65" s="460">
        <v>0</v>
      </c>
      <c r="AO65" s="460">
        <v>0</v>
      </c>
      <c r="AP65" s="460">
        <v>0</v>
      </c>
      <c r="AQ65" s="460">
        <v>0</v>
      </c>
      <c r="AR65" s="460">
        <v>0</v>
      </c>
      <c r="AS65" s="460">
        <v>0</v>
      </c>
      <c r="AT65" s="460">
        <v>0</v>
      </c>
      <c r="AU65" s="460">
        <v>0</v>
      </c>
      <c r="AV65" s="460">
        <v>0</v>
      </c>
      <c r="AW65" s="460">
        <v>0</v>
      </c>
      <c r="AX65" s="460">
        <v>0</v>
      </c>
      <c r="AY65" s="460">
        <v>0</v>
      </c>
      <c r="AZ65" s="460">
        <v>0</v>
      </c>
      <c r="BA65" s="460">
        <v>0</v>
      </c>
      <c r="BB65" s="460">
        <v>0</v>
      </c>
      <c r="BC65" s="460">
        <v>0</v>
      </c>
      <c r="BD65" s="460">
        <v>0</v>
      </c>
      <c r="BE65" s="460">
        <v>0</v>
      </c>
      <c r="BF65" s="460">
        <v>0</v>
      </c>
      <c r="BG65" s="460">
        <v>0</v>
      </c>
      <c r="BH65" s="460">
        <v>0</v>
      </c>
      <c r="BI65" s="460">
        <v>0</v>
      </c>
      <c r="BJ65" s="460">
        <v>0</v>
      </c>
      <c r="BK65" s="460">
        <v>0</v>
      </c>
      <c r="BL65" s="460">
        <v>0</v>
      </c>
      <c r="BM65" s="460">
        <v>0</v>
      </c>
      <c r="BN65" s="460">
        <v>0</v>
      </c>
      <c r="BO65" s="460">
        <v>0</v>
      </c>
      <c r="BP65" s="460">
        <v>0</v>
      </c>
      <c r="BQ65" s="460">
        <v>0</v>
      </c>
      <c r="BR65" s="460">
        <v>0</v>
      </c>
      <c r="BS65" s="460">
        <v>0</v>
      </c>
      <c r="BT65" s="460">
        <v>0</v>
      </c>
      <c r="BU65" s="460">
        <v>0</v>
      </c>
      <c r="BV65" s="460">
        <v>0</v>
      </c>
      <c r="BW65" s="460">
        <v>0</v>
      </c>
      <c r="BX65" s="460">
        <v>0</v>
      </c>
      <c r="BY65" s="460">
        <v>0</v>
      </c>
      <c r="BZ65" s="460">
        <v>0</v>
      </c>
      <c r="CA65" s="460" t="e">
        <v>#N/A</v>
      </c>
      <c r="CB65" s="460" t="e">
        <v>#N/A</v>
      </c>
      <c r="CC65" s="460" t="e">
        <v>#N/A</v>
      </c>
    </row>
    <row r="66" spans="1:81" ht="12.75" customHeight="1">
      <c r="A66" s="105">
        <v>61</v>
      </c>
      <c r="B66" s="112" t="str">
        <v>38Y</v>
      </c>
      <c r="C66" s="262">
        <f>'eur disaggregated'!AL77</f>
        <v>0</v>
      </c>
      <c r="D66" s="111" t="str">
        <f t="shared" si="5"/>
        <v>456M</v>
      </c>
      <c r="E66" s="441">
        <f>BktEur1mPL!E66</f>
        <v>42696</v>
      </c>
      <c r="F66" s="441">
        <f>BktEur1mPL!F66</f>
        <v>56576</v>
      </c>
      <c r="G66" s="462">
        <f t="shared" si="3"/>
        <v>1.066786168E-2</v>
      </c>
      <c r="H66" s="453">
        <f>BktEur1mPL!H66</f>
        <v>1.0667861679999999</v>
      </c>
      <c r="I66" s="107" t="str">
        <v>50Y</v>
      </c>
      <c r="J66" s="106" t="str">
        <f t="shared" si="4"/>
        <v>600M</v>
      </c>
      <c r="K66" s="448">
        <f>_xll.qlCalendarAdvance("TARGET",$C$1,J66)</f>
        <v>60958</v>
      </c>
      <c r="M66" s="99" t="str">
        <v>50Y</v>
      </c>
      <c r="N66" s="465">
        <v>0</v>
      </c>
      <c r="P66" s="106" t="b">
        <f t="shared" si="6"/>
        <v>0</v>
      </c>
      <c r="Q66" s="460">
        <f t="array" ref="Q66:CC66">C66*ForwardToZero(OisBuckets,E66,F66,G66)</f>
        <v>0</v>
      </c>
      <c r="R66" s="460">
        <v>0</v>
      </c>
      <c r="S66" s="460">
        <v>0</v>
      </c>
      <c r="T66" s="460">
        <v>0</v>
      </c>
      <c r="U66" s="460">
        <v>0</v>
      </c>
      <c r="V66" s="460">
        <v>0</v>
      </c>
      <c r="W66" s="460">
        <v>0</v>
      </c>
      <c r="X66" s="460">
        <v>0</v>
      </c>
      <c r="Y66" s="460">
        <v>0</v>
      </c>
      <c r="Z66" s="460">
        <v>0</v>
      </c>
      <c r="AA66" s="460">
        <v>0</v>
      </c>
      <c r="AB66" s="460">
        <v>0</v>
      </c>
      <c r="AC66" s="460">
        <v>0</v>
      </c>
      <c r="AD66" s="460">
        <v>0</v>
      </c>
      <c r="AE66" s="460">
        <v>0</v>
      </c>
      <c r="AF66" s="460">
        <v>0</v>
      </c>
      <c r="AG66" s="460">
        <v>0</v>
      </c>
      <c r="AH66" s="460">
        <v>0</v>
      </c>
      <c r="AI66" s="460">
        <v>0</v>
      </c>
      <c r="AJ66" s="460">
        <v>0</v>
      </c>
      <c r="AK66" s="460">
        <v>0</v>
      </c>
      <c r="AL66" s="460">
        <v>0</v>
      </c>
      <c r="AM66" s="460">
        <v>0</v>
      </c>
      <c r="AN66" s="460">
        <v>0</v>
      </c>
      <c r="AO66" s="460">
        <v>0</v>
      </c>
      <c r="AP66" s="460">
        <v>0</v>
      </c>
      <c r="AQ66" s="460">
        <v>0</v>
      </c>
      <c r="AR66" s="460">
        <v>0</v>
      </c>
      <c r="AS66" s="460">
        <v>0</v>
      </c>
      <c r="AT66" s="460">
        <v>0</v>
      </c>
      <c r="AU66" s="460">
        <v>0</v>
      </c>
      <c r="AV66" s="460">
        <v>0</v>
      </c>
      <c r="AW66" s="460">
        <v>0</v>
      </c>
      <c r="AX66" s="460">
        <v>0</v>
      </c>
      <c r="AY66" s="460">
        <v>0</v>
      </c>
      <c r="AZ66" s="460">
        <v>0</v>
      </c>
      <c r="BA66" s="460">
        <v>0</v>
      </c>
      <c r="BB66" s="460">
        <v>0</v>
      </c>
      <c r="BC66" s="460">
        <v>0</v>
      </c>
      <c r="BD66" s="460">
        <v>0</v>
      </c>
      <c r="BE66" s="460">
        <v>0</v>
      </c>
      <c r="BF66" s="460">
        <v>0</v>
      </c>
      <c r="BG66" s="460">
        <v>0</v>
      </c>
      <c r="BH66" s="460">
        <v>0</v>
      </c>
      <c r="BI66" s="460">
        <v>0</v>
      </c>
      <c r="BJ66" s="460">
        <v>0</v>
      </c>
      <c r="BK66" s="460">
        <v>0</v>
      </c>
      <c r="BL66" s="460">
        <v>0</v>
      </c>
      <c r="BM66" s="460">
        <v>0</v>
      </c>
      <c r="BN66" s="460">
        <v>0</v>
      </c>
      <c r="BO66" s="460">
        <v>0</v>
      </c>
      <c r="BP66" s="460">
        <v>0</v>
      </c>
      <c r="BQ66" s="460">
        <v>0</v>
      </c>
      <c r="BR66" s="460">
        <v>0</v>
      </c>
      <c r="BS66" s="460">
        <v>0</v>
      </c>
      <c r="BT66" s="460">
        <v>0</v>
      </c>
      <c r="BU66" s="460">
        <v>0</v>
      </c>
      <c r="BV66" s="460">
        <v>0</v>
      </c>
      <c r="BW66" s="460">
        <v>0</v>
      </c>
      <c r="BX66" s="460">
        <v>0</v>
      </c>
      <c r="BY66" s="460">
        <v>0</v>
      </c>
      <c r="BZ66" s="460">
        <v>0</v>
      </c>
      <c r="CA66" s="460" t="e">
        <v>#N/A</v>
      </c>
      <c r="CB66" s="460" t="e">
        <v>#N/A</v>
      </c>
      <c r="CC66" s="460" t="e">
        <v>#N/A</v>
      </c>
    </row>
    <row r="67" spans="1:81" ht="12.75" customHeight="1">
      <c r="A67" s="105">
        <v>62</v>
      </c>
      <c r="B67" s="112" t="str">
        <v>39Y</v>
      </c>
      <c r="C67" s="262">
        <f>'eur disaggregated'!AL78</f>
        <v>0</v>
      </c>
      <c r="D67" s="111" t="str">
        <f t="shared" si="5"/>
        <v>468M</v>
      </c>
      <c r="E67" s="441">
        <f>BktEur1mPL!E67</f>
        <v>42696</v>
      </c>
      <c r="F67" s="441">
        <f>BktEur1mPL!F67</f>
        <v>56940</v>
      </c>
      <c r="G67" s="462">
        <f t="shared" si="3"/>
        <v>1.065213374E-2</v>
      </c>
      <c r="H67" s="453">
        <f>BktEur1mPL!H67</f>
        <v>1.065213374</v>
      </c>
      <c r="I67" s="107" t="str">
        <v>60Y</v>
      </c>
      <c r="J67" s="106" t="str">
        <f t="shared" si="4"/>
        <v>720M</v>
      </c>
      <c r="K67" s="448">
        <f>_xll.qlCalendarAdvance("TARGET",$C$1,J67)</f>
        <v>64612</v>
      </c>
      <c r="M67" s="99" t="str">
        <v>60Y</v>
      </c>
      <c r="N67" s="465">
        <v>0</v>
      </c>
      <c r="P67" s="106" t="b">
        <f t="shared" si="6"/>
        <v>0</v>
      </c>
      <c r="Q67" s="460">
        <f t="array" ref="Q67:CC67">C67*ForwardToZero(OisBuckets,E67,F67,G67)</f>
        <v>0</v>
      </c>
      <c r="R67" s="460">
        <v>0</v>
      </c>
      <c r="S67" s="460">
        <v>0</v>
      </c>
      <c r="T67" s="460">
        <v>0</v>
      </c>
      <c r="U67" s="460">
        <v>0</v>
      </c>
      <c r="V67" s="460">
        <v>0</v>
      </c>
      <c r="W67" s="460">
        <v>0</v>
      </c>
      <c r="X67" s="460">
        <v>0</v>
      </c>
      <c r="Y67" s="460">
        <v>0</v>
      </c>
      <c r="Z67" s="460">
        <v>0</v>
      </c>
      <c r="AA67" s="460">
        <v>0</v>
      </c>
      <c r="AB67" s="460">
        <v>0</v>
      </c>
      <c r="AC67" s="460">
        <v>0</v>
      </c>
      <c r="AD67" s="460">
        <v>0</v>
      </c>
      <c r="AE67" s="460">
        <v>0</v>
      </c>
      <c r="AF67" s="460">
        <v>0</v>
      </c>
      <c r="AG67" s="460">
        <v>0</v>
      </c>
      <c r="AH67" s="460">
        <v>0</v>
      </c>
      <c r="AI67" s="460">
        <v>0</v>
      </c>
      <c r="AJ67" s="460">
        <v>0</v>
      </c>
      <c r="AK67" s="460">
        <v>0</v>
      </c>
      <c r="AL67" s="460">
        <v>0</v>
      </c>
      <c r="AM67" s="460">
        <v>0</v>
      </c>
      <c r="AN67" s="460">
        <v>0</v>
      </c>
      <c r="AO67" s="460">
        <v>0</v>
      </c>
      <c r="AP67" s="460">
        <v>0</v>
      </c>
      <c r="AQ67" s="460">
        <v>0</v>
      </c>
      <c r="AR67" s="460">
        <v>0</v>
      </c>
      <c r="AS67" s="460">
        <v>0</v>
      </c>
      <c r="AT67" s="460">
        <v>0</v>
      </c>
      <c r="AU67" s="460">
        <v>0</v>
      </c>
      <c r="AV67" s="460">
        <v>0</v>
      </c>
      <c r="AW67" s="460">
        <v>0</v>
      </c>
      <c r="AX67" s="460">
        <v>0</v>
      </c>
      <c r="AY67" s="460">
        <v>0</v>
      </c>
      <c r="AZ67" s="460">
        <v>0</v>
      </c>
      <c r="BA67" s="460">
        <v>0</v>
      </c>
      <c r="BB67" s="460">
        <v>0</v>
      </c>
      <c r="BC67" s="460">
        <v>0</v>
      </c>
      <c r="BD67" s="460">
        <v>0</v>
      </c>
      <c r="BE67" s="460">
        <v>0</v>
      </c>
      <c r="BF67" s="460">
        <v>0</v>
      </c>
      <c r="BG67" s="460">
        <v>0</v>
      </c>
      <c r="BH67" s="460">
        <v>0</v>
      </c>
      <c r="BI67" s="460">
        <v>0</v>
      </c>
      <c r="BJ67" s="460">
        <v>0</v>
      </c>
      <c r="BK67" s="460">
        <v>0</v>
      </c>
      <c r="BL67" s="460">
        <v>0</v>
      </c>
      <c r="BM67" s="460">
        <v>0</v>
      </c>
      <c r="BN67" s="460">
        <v>0</v>
      </c>
      <c r="BO67" s="460">
        <v>0</v>
      </c>
      <c r="BP67" s="460">
        <v>0</v>
      </c>
      <c r="BQ67" s="460">
        <v>0</v>
      </c>
      <c r="BR67" s="460">
        <v>0</v>
      </c>
      <c r="BS67" s="460">
        <v>0</v>
      </c>
      <c r="BT67" s="460">
        <v>0</v>
      </c>
      <c r="BU67" s="460">
        <v>0</v>
      </c>
      <c r="BV67" s="460">
        <v>0</v>
      </c>
      <c r="BW67" s="460">
        <v>0</v>
      </c>
      <c r="BX67" s="460">
        <v>0</v>
      </c>
      <c r="BY67" s="460">
        <v>0</v>
      </c>
      <c r="BZ67" s="460">
        <v>0</v>
      </c>
      <c r="CA67" s="460" t="e">
        <v>#N/A</v>
      </c>
      <c r="CB67" s="460" t="e">
        <v>#N/A</v>
      </c>
      <c r="CC67" s="460" t="e">
        <v>#N/A</v>
      </c>
    </row>
    <row r="68" spans="1:81" ht="12.75" customHeight="1">
      <c r="A68" s="105">
        <v>63</v>
      </c>
      <c r="B68" s="112" t="str">
        <v>40Y</v>
      </c>
      <c r="C68" s="262">
        <f>'eur disaggregated'!AL79</f>
        <v>0</v>
      </c>
      <c r="D68" s="111" t="str">
        <f t="shared" si="5"/>
        <v>480M</v>
      </c>
      <c r="E68" s="441">
        <f>BktEur1mPL!E68</f>
        <v>42696</v>
      </c>
      <c r="F68" s="441">
        <f>BktEur1mPL!F68</f>
        <v>57306</v>
      </c>
      <c r="G68" s="462">
        <f t="shared" si="3"/>
        <v>1.0629999999999999E-2</v>
      </c>
      <c r="H68" s="453">
        <f>BktEur1mPL!H68</f>
        <v>1.0629999999999999</v>
      </c>
      <c r="I68" s="107" t="e">
        <v>#N/A</v>
      </c>
      <c r="J68" s="106" t="e">
        <f t="shared" si="4"/>
        <v>#N/A</v>
      </c>
      <c r="K68" s="448"/>
      <c r="M68" s="99" t="e">
        <v>#N/A</v>
      </c>
      <c r="N68" s="465" t="e">
        <v>#N/A</v>
      </c>
      <c r="P68" s="106" t="b">
        <f t="shared" si="6"/>
        <v>0</v>
      </c>
      <c r="Q68" s="460"/>
      <c r="R68" s="460"/>
      <c r="S68" s="460"/>
      <c r="T68" s="460"/>
      <c r="U68" s="460"/>
      <c r="V68" s="460"/>
      <c r="W68" s="460"/>
      <c r="X68" s="460"/>
      <c r="Y68" s="460"/>
      <c r="Z68" s="460"/>
      <c r="AA68" s="460"/>
      <c r="AB68" s="460"/>
      <c r="AC68" s="460"/>
      <c r="AD68" s="460"/>
      <c r="AE68" s="460"/>
      <c r="AF68" s="460"/>
      <c r="AG68" s="460"/>
      <c r="AH68" s="460"/>
      <c r="AI68" s="460"/>
      <c r="AJ68" s="460"/>
      <c r="AK68" s="460"/>
      <c r="AL68" s="460"/>
      <c r="AM68" s="460"/>
      <c r="AN68" s="460"/>
      <c r="AO68" s="460"/>
      <c r="AP68" s="460"/>
      <c r="AQ68" s="460"/>
      <c r="AR68" s="460"/>
      <c r="AS68" s="460"/>
      <c r="AT68" s="460"/>
      <c r="AU68" s="460"/>
      <c r="AV68" s="460"/>
      <c r="AW68" s="460"/>
      <c r="AX68" s="460"/>
      <c r="AY68" s="460"/>
      <c r="AZ68" s="460"/>
      <c r="BA68" s="460"/>
      <c r="BB68" s="460"/>
      <c r="BC68" s="460"/>
      <c r="BD68" s="460"/>
      <c r="BE68" s="460"/>
      <c r="BF68" s="460"/>
      <c r="BG68" s="460"/>
      <c r="BH68" s="460"/>
      <c r="BI68" s="460"/>
      <c r="BJ68" s="460"/>
      <c r="BK68" s="460"/>
      <c r="BL68" s="460"/>
      <c r="BM68" s="460"/>
      <c r="BN68" s="460"/>
      <c r="BO68" s="460"/>
      <c r="BP68" s="460"/>
      <c r="BQ68" s="460"/>
      <c r="BR68" s="460"/>
      <c r="BS68" s="460"/>
      <c r="BT68" s="460"/>
      <c r="BU68" s="460"/>
      <c r="BV68" s="460"/>
      <c r="BW68" s="460"/>
      <c r="BX68" s="460"/>
      <c r="BY68" s="460"/>
      <c r="BZ68" s="460"/>
      <c r="CA68" s="460"/>
      <c r="CB68" s="460"/>
      <c r="CC68" s="460"/>
    </row>
    <row r="69" spans="1:81" ht="12.75" customHeight="1">
      <c r="A69" s="335"/>
      <c r="B69" s="335"/>
      <c r="C69" s="335"/>
      <c r="D69" s="335"/>
      <c r="E69" s="335"/>
      <c r="F69" s="335"/>
      <c r="G69" s="335"/>
      <c r="H69" s="335"/>
      <c r="I69" s="335"/>
      <c r="J69" s="295"/>
      <c r="K69" s="335"/>
      <c r="M69" s="468"/>
      <c r="N69" s="468"/>
      <c r="P69" s="335"/>
      <c r="Q69" s="335"/>
      <c r="R69" s="335"/>
      <c r="S69" s="335"/>
      <c r="T69" s="335"/>
      <c r="U69" s="335"/>
      <c r="V69" s="335"/>
      <c r="W69" s="335"/>
      <c r="X69" s="335"/>
      <c r="Y69" s="335"/>
      <c r="Z69" s="335"/>
      <c r="AA69" s="335"/>
      <c r="AB69" s="335"/>
      <c r="AC69" s="335"/>
      <c r="AD69" s="335"/>
      <c r="AE69" s="335"/>
      <c r="AF69" s="335"/>
      <c r="AG69" s="335"/>
      <c r="AH69" s="335"/>
      <c r="AI69" s="335"/>
      <c r="AJ69" s="335"/>
      <c r="AK69" s="335"/>
      <c r="AL69" s="335"/>
      <c r="AM69" s="335"/>
      <c r="AN69" s="335"/>
      <c r="AO69" s="335"/>
      <c r="AP69" s="335"/>
      <c r="AQ69" s="335"/>
      <c r="AR69" s="335"/>
      <c r="AS69" s="335"/>
      <c r="AT69" s="335"/>
      <c r="AU69" s="335"/>
      <c r="AV69" s="335"/>
      <c r="AW69" s="335"/>
      <c r="AX69" s="335"/>
      <c r="AY69" s="335"/>
      <c r="AZ69" s="335"/>
      <c r="BA69" s="335"/>
      <c r="BB69" s="335"/>
      <c r="BC69" s="335"/>
      <c r="BD69" s="335"/>
      <c r="BE69" s="335"/>
      <c r="BF69" s="335"/>
      <c r="BG69" s="335"/>
      <c r="BH69" s="335"/>
      <c r="BI69" s="335"/>
      <c r="BJ69" s="335"/>
      <c r="BK69" s="335"/>
      <c r="BL69" s="335"/>
      <c r="BM69" s="335"/>
      <c r="BN69" s="335"/>
      <c r="BO69" s="335"/>
      <c r="BP69" s="335"/>
      <c r="BQ69" s="335"/>
      <c r="BR69" s="335"/>
      <c r="BS69" s="335"/>
      <c r="BT69" s="335"/>
      <c r="BU69" s="335"/>
      <c r="BV69" s="335"/>
      <c r="BW69" s="335"/>
      <c r="BX69" s="335"/>
      <c r="BY69" s="335"/>
      <c r="BZ69" s="335"/>
      <c r="CA69" s="335"/>
      <c r="CB69" s="335"/>
      <c r="CC69" s="335"/>
    </row>
    <row r="70" spans="1:81" ht="12.75" customHeight="1" thickBot="1">
      <c r="P70" s="99" t="s">
        <v>5155</v>
      </c>
      <c r="Q70" s="465">
        <f t="shared" ref="Q70:AV70" si="7">SUM(Q6:Q68)</f>
        <v>0</v>
      </c>
      <c r="R70" s="465">
        <f t="shared" si="7"/>
        <v>0</v>
      </c>
      <c r="S70" s="465">
        <f t="shared" si="7"/>
        <v>122.96990494586299</v>
      </c>
      <c r="T70" s="465">
        <f t="shared" si="7"/>
        <v>1302.1294182797899</v>
      </c>
      <c r="U70" s="465">
        <f t="shared" si="7"/>
        <v>-226.32215908740201</v>
      </c>
      <c r="V70" s="465">
        <f t="shared" si="7"/>
        <v>-2522.5541137574101</v>
      </c>
      <c r="W70" s="465">
        <f t="shared" si="7"/>
        <v>2804.2292034340999</v>
      </c>
      <c r="X70" s="465">
        <f t="shared" si="7"/>
        <v>-874.17247072345504</v>
      </c>
      <c r="Y70" s="465">
        <f t="shared" si="7"/>
        <v>-624.58080266680702</v>
      </c>
      <c r="Z70" s="465">
        <f t="shared" si="7"/>
        <v>-2933.24458425074</v>
      </c>
      <c r="AA70" s="465">
        <f t="shared" si="7"/>
        <v>930.42418436719299</v>
      </c>
      <c r="AB70" s="465">
        <f t="shared" si="7"/>
        <v>1478.6638414945801</v>
      </c>
      <c r="AC70" s="465">
        <f t="shared" si="7"/>
        <v>-5840.4986884384098</v>
      </c>
      <c r="AD70" s="465">
        <f t="shared" si="7"/>
        <v>5846.6164206244803</v>
      </c>
      <c r="AE70" s="465">
        <f t="shared" si="7"/>
        <v>-3834.4889431023898</v>
      </c>
      <c r="AF70" s="465">
        <f t="shared" si="7"/>
        <v>-3470.4979195719102</v>
      </c>
      <c r="AG70" s="465">
        <f t="shared" si="7"/>
        <v>4416.2067091142999</v>
      </c>
      <c r="AH70" s="465">
        <f t="shared" si="7"/>
        <v>-3238.7967676090502</v>
      </c>
      <c r="AI70" s="465">
        <f t="shared" si="7"/>
        <v>0</v>
      </c>
      <c r="AJ70" s="465">
        <f t="shared" si="7"/>
        <v>0</v>
      </c>
      <c r="AK70" s="465">
        <f t="shared" si="7"/>
        <v>-2069.7986788017201</v>
      </c>
      <c r="AL70" s="465">
        <f t="shared" si="7"/>
        <v>0</v>
      </c>
      <c r="AM70" s="465">
        <f t="shared" si="7"/>
        <v>0</v>
      </c>
      <c r="AN70" s="465">
        <f t="shared" si="7"/>
        <v>-9868.2128932927099</v>
      </c>
      <c r="AO70" s="465">
        <f t="shared" si="7"/>
        <v>0</v>
      </c>
      <c r="AP70" s="465">
        <f t="shared" si="7"/>
        <v>0</v>
      </c>
      <c r="AQ70" s="465">
        <f t="shared" si="7"/>
        <v>10448.226999991301</v>
      </c>
      <c r="AR70" s="465">
        <f t="shared" si="7"/>
        <v>0</v>
      </c>
      <c r="AS70" s="465">
        <f t="shared" si="7"/>
        <v>0</v>
      </c>
      <c r="AT70" s="465">
        <f t="shared" si="7"/>
        <v>-2256.6722757138587</v>
      </c>
      <c r="AU70" s="465">
        <f t="shared" si="7"/>
        <v>5710.9816593783353</v>
      </c>
      <c r="AV70" s="465">
        <f t="shared" si="7"/>
        <v>-6144.0978926827902</v>
      </c>
      <c r="AW70" s="465">
        <f t="shared" ref="AW70:CC70" si="8">SUM(AW6:AW68)</f>
        <v>-9030.7303297496092</v>
      </c>
      <c r="AX70" s="465">
        <f t="shared" si="8"/>
        <v>-599.282450301111</v>
      </c>
      <c r="AY70" s="465">
        <f t="shared" si="8"/>
        <v>1497.19335187301</v>
      </c>
      <c r="AZ70" s="465">
        <f t="shared" si="8"/>
        <v>10935.487610640301</v>
      </c>
      <c r="BA70" s="465">
        <f t="shared" si="8"/>
        <v>-64294.064739210698</v>
      </c>
      <c r="BB70" s="465">
        <f t="shared" si="8"/>
        <v>-22709.083387828901</v>
      </c>
      <c r="BC70" s="465">
        <f t="shared" si="8"/>
        <v>165999.65515405501</v>
      </c>
      <c r="BD70" s="465">
        <f t="shared" si="8"/>
        <v>-56614.123880405998</v>
      </c>
      <c r="BE70" s="465">
        <f t="shared" si="8"/>
        <v>-29487.523899883399</v>
      </c>
      <c r="BF70" s="465">
        <f t="shared" si="8"/>
        <v>-18179.723898906599</v>
      </c>
      <c r="BG70" s="465">
        <f t="shared" si="8"/>
        <v>-23433.102846004</v>
      </c>
      <c r="BH70" s="465">
        <f t="shared" si="8"/>
        <v>22928.154175529799</v>
      </c>
      <c r="BI70" s="465">
        <f t="shared" si="8"/>
        <v>8323.4482101735794</v>
      </c>
      <c r="BJ70" s="465">
        <f t="shared" si="8"/>
        <v>-11560.0898545132</v>
      </c>
      <c r="BK70" s="465">
        <f t="shared" si="8"/>
        <v>-15819.463837727701</v>
      </c>
      <c r="BL70" s="465">
        <f t="shared" si="8"/>
        <v>-19482.4483390063</v>
      </c>
      <c r="BM70" s="465">
        <f t="shared" si="8"/>
        <v>16456.237811994601</v>
      </c>
      <c r="BN70" s="465">
        <f t="shared" si="8"/>
        <v>37242.8134750963</v>
      </c>
      <c r="BO70" s="465">
        <f t="shared" si="8"/>
        <v>-6521.3019414986702</v>
      </c>
      <c r="BP70" s="465">
        <f t="shared" si="8"/>
        <v>272.30455508405402</v>
      </c>
      <c r="BQ70" s="465">
        <f t="shared" si="8"/>
        <v>9832.04622788503</v>
      </c>
      <c r="BR70" s="465">
        <f t="shared" si="8"/>
        <v>-1849.65016331417</v>
      </c>
      <c r="BS70" s="465">
        <f t="shared" si="8"/>
        <v>-1021.38812027604</v>
      </c>
      <c r="BT70" s="465">
        <f t="shared" si="8"/>
        <v>-1107.45660196331</v>
      </c>
      <c r="BU70" s="465">
        <f t="shared" si="8"/>
        <v>-1186.2919567843401</v>
      </c>
      <c r="BV70" s="465">
        <f t="shared" si="8"/>
        <v>-2793.3857185397851</v>
      </c>
      <c r="BW70" s="465">
        <f t="shared" si="8"/>
        <v>-503.19420173722148</v>
      </c>
      <c r="BX70" s="465">
        <f t="shared" si="8"/>
        <v>-2.4053241722818537E-11</v>
      </c>
      <c r="BY70" s="465">
        <f t="shared" si="8"/>
        <v>0</v>
      </c>
      <c r="BZ70" s="465">
        <f t="shared" si="8"/>
        <v>0</v>
      </c>
      <c r="CA70" s="465" t="e">
        <f t="shared" si="8"/>
        <v>#N/A</v>
      </c>
      <c r="CB70" s="465" t="e">
        <f t="shared" si="8"/>
        <v>#N/A</v>
      </c>
      <c r="CC70" s="465" t="e">
        <f t="shared" si="8"/>
        <v>#N/A</v>
      </c>
    </row>
    <row r="71" spans="1:81" ht="45" customHeight="1" thickBot="1">
      <c r="B71" s="478" t="s">
        <v>5146</v>
      </c>
      <c r="C71" s="477">
        <f>SUM(C6:INDEX(C6:C68,COUNT(C6:C68)))</f>
        <v>-23548.455443388102</v>
      </c>
      <c r="N71" s="477">
        <f>SUM(N6:INDEX(N6:N68,COUNT(N6:N68)))</f>
        <v>-23548.455443388109</v>
      </c>
    </row>
    <row r="74" spans="1:81" ht="12.75" customHeight="1">
      <c r="H74" s="52"/>
    </row>
  </sheetData>
  <mergeCells count="4">
    <mergeCell ref="B3:K3"/>
    <mergeCell ref="B4:H4"/>
    <mergeCell ref="I4:K4"/>
    <mergeCell ref="N4:N5"/>
  </mergeCells>
  <conditionalFormatting sqref="P6:CC67">
    <cfRule type="expression" dxfId="18" priority="1">
      <formula>OR(LEN($I6)=0,LEN(P$4)=0)</formula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theme="3" tint="0.59999389629810485"/>
  </sheetPr>
  <dimension ref="A1:CH141"/>
  <sheetViews>
    <sheetView showGridLines="0" workbookViewId="0">
      <selection activeCell="H6" sqref="H6:H70"/>
    </sheetView>
  </sheetViews>
  <sheetFormatPr defaultRowHeight="12.75" customHeight="1" outlineLevelCol="1"/>
  <cols>
    <col min="1" max="1" width="2.7109375" style="93" customWidth="1"/>
    <col min="2" max="2" width="11.5703125" style="93" customWidth="1"/>
    <col min="3" max="3" width="13.85546875" style="93" bestFit="1" customWidth="1"/>
    <col min="4" max="4" width="10.85546875" style="93" hidden="1" customWidth="1" outlineLevel="1"/>
    <col min="5" max="5" width="12.28515625" style="414" hidden="1" customWidth="1" outlineLevel="1"/>
    <col min="6" max="6" width="9.42578125" style="414" hidden="1" customWidth="1" outlineLevel="1"/>
    <col min="7" max="7" width="13.28515625" style="414" hidden="1" customWidth="1" outlineLevel="1"/>
    <col min="8" max="8" width="9.85546875" style="93" hidden="1" customWidth="1" outlineLevel="1"/>
    <col min="9" max="9" width="10.140625" style="93" hidden="1" customWidth="1" outlineLevel="1"/>
    <col min="10" max="10" width="9.140625" style="93" hidden="1" customWidth="1" outlineLevel="1"/>
    <col min="11" max="11" width="11.28515625" style="93" hidden="1" customWidth="1" outlineLevel="1"/>
    <col min="12" max="12" width="2.7109375" style="93" customWidth="1" collapsed="1"/>
    <col min="13" max="13" width="5.28515625" style="414" customWidth="1"/>
    <col min="14" max="14" width="14.5703125" style="414" customWidth="1"/>
    <col min="15" max="15" width="2.7109375" style="93" customWidth="1"/>
    <col min="16" max="16" width="8.42578125" style="93" bestFit="1" customWidth="1"/>
    <col min="17" max="30" width="8.7109375" style="93" customWidth="1"/>
    <col min="31" max="31" width="9.28515625" style="93" bestFit="1" customWidth="1"/>
    <col min="32" max="32" width="9.140625" style="93" bestFit="1" customWidth="1"/>
    <col min="33" max="34" width="9.28515625" style="93" bestFit="1" customWidth="1"/>
    <col min="35" max="35" width="9.140625" style="93" bestFit="1" customWidth="1"/>
    <col min="36" max="37" width="9.28515625" style="93" bestFit="1" customWidth="1"/>
    <col min="38" max="38" width="9.140625" style="93" bestFit="1" customWidth="1"/>
    <col min="39" max="40" width="9.28515625" style="93" bestFit="1" customWidth="1"/>
    <col min="41" max="41" width="8.7109375" style="93" customWidth="1"/>
    <col min="42" max="42" width="9.5703125" style="93" bestFit="1" customWidth="1"/>
    <col min="43" max="43" width="8.7109375" style="93" customWidth="1"/>
    <col min="44" max="44" width="9.5703125" style="93" bestFit="1" customWidth="1"/>
    <col min="45" max="45" width="9.7109375" style="93" bestFit="1" customWidth="1"/>
    <col min="46" max="46" width="10.140625" style="93" bestFit="1" customWidth="1"/>
    <col min="47" max="47" width="10" style="93" bestFit="1" customWidth="1"/>
    <col min="48" max="48" width="10.140625" style="93" bestFit="1" customWidth="1"/>
    <col min="49" max="49" width="9.7109375" style="93" bestFit="1" customWidth="1"/>
    <col min="50" max="50" width="10" style="93" bestFit="1" customWidth="1"/>
    <col min="51" max="51" width="9.7109375" style="93" bestFit="1" customWidth="1"/>
    <col min="52" max="52" width="9.5703125" style="93" bestFit="1" customWidth="1"/>
    <col min="53" max="53" width="9.28515625" style="93" bestFit="1" customWidth="1"/>
    <col min="54" max="55" width="11.28515625" style="93" bestFit="1" customWidth="1"/>
    <col min="56" max="56" width="9.7109375" style="93" bestFit="1" customWidth="1"/>
    <col min="57" max="57" width="9.28515625" style="93" bestFit="1" customWidth="1"/>
    <col min="58" max="58" width="10.85546875" style="93" bestFit="1" customWidth="1"/>
    <col min="59" max="59" width="9.7109375" style="93" bestFit="1" customWidth="1"/>
    <col min="60" max="60" width="11.28515625" style="93" bestFit="1" customWidth="1"/>
    <col min="61" max="61" width="8.7109375" style="93" customWidth="1"/>
    <col min="62" max="62" width="9.5703125" style="93" bestFit="1" customWidth="1"/>
    <col min="63" max="63" width="10" style="93" bestFit="1" customWidth="1"/>
    <col min="64" max="64" width="10.140625" style="93" bestFit="1" customWidth="1"/>
    <col min="65" max="65" width="10.85546875" style="93" bestFit="1" customWidth="1"/>
    <col min="66" max="66" width="9.7109375" style="93" bestFit="1" customWidth="1"/>
    <col min="67" max="67" width="11.28515625" style="93" bestFit="1" customWidth="1"/>
    <col min="68" max="68" width="9.5703125" style="93" bestFit="1" customWidth="1"/>
    <col min="69" max="86" width="8.7109375" style="93" customWidth="1"/>
    <col min="87" max="257" width="9.140625" style="93"/>
    <col min="258" max="258" width="2.7109375" style="93" customWidth="1"/>
    <col min="259" max="260" width="11.5703125" style="93" customWidth="1"/>
    <col min="261" max="261" width="7.28515625" style="93" customWidth="1"/>
    <col min="262" max="262" width="9.85546875" style="93" customWidth="1"/>
    <col min="263" max="263" width="10.140625" style="93" customWidth="1"/>
    <col min="264" max="264" width="11.28515625" style="93" customWidth="1"/>
    <col min="265" max="265" width="2.7109375" style="93" customWidth="1"/>
    <col min="266" max="266" width="9.42578125" style="93" customWidth="1"/>
    <col min="267" max="267" width="2.7109375" style="93" customWidth="1"/>
    <col min="268" max="271" width="0" style="93" hidden="1" customWidth="1"/>
    <col min="272" max="272" width="10" style="93" customWidth="1"/>
    <col min="273" max="342" width="6.7109375" style="93" customWidth="1"/>
    <col min="343" max="513" width="9.140625" style="93"/>
    <col min="514" max="514" width="2.7109375" style="93" customWidth="1"/>
    <col min="515" max="516" width="11.5703125" style="93" customWidth="1"/>
    <col min="517" max="517" width="7.28515625" style="93" customWidth="1"/>
    <col min="518" max="518" width="9.85546875" style="93" customWidth="1"/>
    <col min="519" max="519" width="10.140625" style="93" customWidth="1"/>
    <col min="520" max="520" width="11.28515625" style="93" customWidth="1"/>
    <col min="521" max="521" width="2.7109375" style="93" customWidth="1"/>
    <col min="522" max="522" width="9.42578125" style="93" customWidth="1"/>
    <col min="523" max="523" width="2.7109375" style="93" customWidth="1"/>
    <col min="524" max="527" width="0" style="93" hidden="1" customWidth="1"/>
    <col min="528" max="528" width="10" style="93" customWidth="1"/>
    <col min="529" max="598" width="6.7109375" style="93" customWidth="1"/>
    <col min="599" max="769" width="9.140625" style="93"/>
    <col min="770" max="770" width="2.7109375" style="93" customWidth="1"/>
    <col min="771" max="772" width="11.5703125" style="93" customWidth="1"/>
    <col min="773" max="773" width="7.28515625" style="93" customWidth="1"/>
    <col min="774" max="774" width="9.85546875" style="93" customWidth="1"/>
    <col min="775" max="775" width="10.140625" style="93" customWidth="1"/>
    <col min="776" max="776" width="11.28515625" style="93" customWidth="1"/>
    <col min="777" max="777" width="2.7109375" style="93" customWidth="1"/>
    <col min="778" max="778" width="9.42578125" style="93" customWidth="1"/>
    <col min="779" max="779" width="2.7109375" style="93" customWidth="1"/>
    <col min="780" max="783" width="0" style="93" hidden="1" customWidth="1"/>
    <col min="784" max="784" width="10" style="93" customWidth="1"/>
    <col min="785" max="854" width="6.7109375" style="93" customWidth="1"/>
    <col min="855" max="1025" width="9.140625" style="93"/>
    <col min="1026" max="1026" width="2.7109375" style="93" customWidth="1"/>
    <col min="1027" max="1028" width="11.5703125" style="93" customWidth="1"/>
    <col min="1029" max="1029" width="7.28515625" style="93" customWidth="1"/>
    <col min="1030" max="1030" width="9.85546875" style="93" customWidth="1"/>
    <col min="1031" max="1031" width="10.140625" style="93" customWidth="1"/>
    <col min="1032" max="1032" width="11.28515625" style="93" customWidth="1"/>
    <col min="1033" max="1033" width="2.7109375" style="93" customWidth="1"/>
    <col min="1034" max="1034" width="9.42578125" style="93" customWidth="1"/>
    <col min="1035" max="1035" width="2.7109375" style="93" customWidth="1"/>
    <col min="1036" max="1039" width="0" style="93" hidden="1" customWidth="1"/>
    <col min="1040" max="1040" width="10" style="93" customWidth="1"/>
    <col min="1041" max="1110" width="6.7109375" style="93" customWidth="1"/>
    <col min="1111" max="1281" width="9.140625" style="93"/>
    <col min="1282" max="1282" width="2.7109375" style="93" customWidth="1"/>
    <col min="1283" max="1284" width="11.5703125" style="93" customWidth="1"/>
    <col min="1285" max="1285" width="7.28515625" style="93" customWidth="1"/>
    <col min="1286" max="1286" width="9.85546875" style="93" customWidth="1"/>
    <col min="1287" max="1287" width="10.140625" style="93" customWidth="1"/>
    <col min="1288" max="1288" width="11.28515625" style="93" customWidth="1"/>
    <col min="1289" max="1289" width="2.7109375" style="93" customWidth="1"/>
    <col min="1290" max="1290" width="9.42578125" style="93" customWidth="1"/>
    <col min="1291" max="1291" width="2.7109375" style="93" customWidth="1"/>
    <col min="1292" max="1295" width="0" style="93" hidden="1" customWidth="1"/>
    <col min="1296" max="1296" width="10" style="93" customWidth="1"/>
    <col min="1297" max="1366" width="6.7109375" style="93" customWidth="1"/>
    <col min="1367" max="1537" width="9.140625" style="93"/>
    <col min="1538" max="1538" width="2.7109375" style="93" customWidth="1"/>
    <col min="1539" max="1540" width="11.5703125" style="93" customWidth="1"/>
    <col min="1541" max="1541" width="7.28515625" style="93" customWidth="1"/>
    <col min="1542" max="1542" width="9.85546875" style="93" customWidth="1"/>
    <col min="1543" max="1543" width="10.140625" style="93" customWidth="1"/>
    <col min="1544" max="1544" width="11.28515625" style="93" customWidth="1"/>
    <col min="1545" max="1545" width="2.7109375" style="93" customWidth="1"/>
    <col min="1546" max="1546" width="9.42578125" style="93" customWidth="1"/>
    <col min="1547" max="1547" width="2.7109375" style="93" customWidth="1"/>
    <col min="1548" max="1551" width="0" style="93" hidden="1" customWidth="1"/>
    <col min="1552" max="1552" width="10" style="93" customWidth="1"/>
    <col min="1553" max="1622" width="6.7109375" style="93" customWidth="1"/>
    <col min="1623" max="1793" width="9.140625" style="93"/>
    <col min="1794" max="1794" width="2.7109375" style="93" customWidth="1"/>
    <col min="1795" max="1796" width="11.5703125" style="93" customWidth="1"/>
    <col min="1797" max="1797" width="7.28515625" style="93" customWidth="1"/>
    <col min="1798" max="1798" width="9.85546875" style="93" customWidth="1"/>
    <col min="1799" max="1799" width="10.140625" style="93" customWidth="1"/>
    <col min="1800" max="1800" width="11.28515625" style="93" customWidth="1"/>
    <col min="1801" max="1801" width="2.7109375" style="93" customWidth="1"/>
    <col min="1802" max="1802" width="9.42578125" style="93" customWidth="1"/>
    <col min="1803" max="1803" width="2.7109375" style="93" customWidth="1"/>
    <col min="1804" max="1807" width="0" style="93" hidden="1" customWidth="1"/>
    <col min="1808" max="1808" width="10" style="93" customWidth="1"/>
    <col min="1809" max="1878" width="6.7109375" style="93" customWidth="1"/>
    <col min="1879" max="2049" width="9.140625" style="93"/>
    <col min="2050" max="2050" width="2.7109375" style="93" customWidth="1"/>
    <col min="2051" max="2052" width="11.5703125" style="93" customWidth="1"/>
    <col min="2053" max="2053" width="7.28515625" style="93" customWidth="1"/>
    <col min="2054" max="2054" width="9.85546875" style="93" customWidth="1"/>
    <col min="2055" max="2055" width="10.140625" style="93" customWidth="1"/>
    <col min="2056" max="2056" width="11.28515625" style="93" customWidth="1"/>
    <col min="2057" max="2057" width="2.7109375" style="93" customWidth="1"/>
    <col min="2058" max="2058" width="9.42578125" style="93" customWidth="1"/>
    <col min="2059" max="2059" width="2.7109375" style="93" customWidth="1"/>
    <col min="2060" max="2063" width="0" style="93" hidden="1" customWidth="1"/>
    <col min="2064" max="2064" width="10" style="93" customWidth="1"/>
    <col min="2065" max="2134" width="6.7109375" style="93" customWidth="1"/>
    <col min="2135" max="2305" width="9.140625" style="93"/>
    <col min="2306" max="2306" width="2.7109375" style="93" customWidth="1"/>
    <col min="2307" max="2308" width="11.5703125" style="93" customWidth="1"/>
    <col min="2309" max="2309" width="7.28515625" style="93" customWidth="1"/>
    <col min="2310" max="2310" width="9.85546875" style="93" customWidth="1"/>
    <col min="2311" max="2311" width="10.140625" style="93" customWidth="1"/>
    <col min="2312" max="2312" width="11.28515625" style="93" customWidth="1"/>
    <col min="2313" max="2313" width="2.7109375" style="93" customWidth="1"/>
    <col min="2314" max="2314" width="9.42578125" style="93" customWidth="1"/>
    <col min="2315" max="2315" width="2.7109375" style="93" customWidth="1"/>
    <col min="2316" max="2319" width="0" style="93" hidden="1" customWidth="1"/>
    <col min="2320" max="2320" width="10" style="93" customWidth="1"/>
    <col min="2321" max="2390" width="6.7109375" style="93" customWidth="1"/>
    <col min="2391" max="2561" width="9.140625" style="93"/>
    <col min="2562" max="2562" width="2.7109375" style="93" customWidth="1"/>
    <col min="2563" max="2564" width="11.5703125" style="93" customWidth="1"/>
    <col min="2565" max="2565" width="7.28515625" style="93" customWidth="1"/>
    <col min="2566" max="2566" width="9.85546875" style="93" customWidth="1"/>
    <col min="2567" max="2567" width="10.140625" style="93" customWidth="1"/>
    <col min="2568" max="2568" width="11.28515625" style="93" customWidth="1"/>
    <col min="2569" max="2569" width="2.7109375" style="93" customWidth="1"/>
    <col min="2570" max="2570" width="9.42578125" style="93" customWidth="1"/>
    <col min="2571" max="2571" width="2.7109375" style="93" customWidth="1"/>
    <col min="2572" max="2575" width="0" style="93" hidden="1" customWidth="1"/>
    <col min="2576" max="2576" width="10" style="93" customWidth="1"/>
    <col min="2577" max="2646" width="6.7109375" style="93" customWidth="1"/>
    <col min="2647" max="2817" width="9.140625" style="93"/>
    <col min="2818" max="2818" width="2.7109375" style="93" customWidth="1"/>
    <col min="2819" max="2820" width="11.5703125" style="93" customWidth="1"/>
    <col min="2821" max="2821" width="7.28515625" style="93" customWidth="1"/>
    <col min="2822" max="2822" width="9.85546875" style="93" customWidth="1"/>
    <col min="2823" max="2823" width="10.140625" style="93" customWidth="1"/>
    <col min="2824" max="2824" width="11.28515625" style="93" customWidth="1"/>
    <col min="2825" max="2825" width="2.7109375" style="93" customWidth="1"/>
    <col min="2826" max="2826" width="9.42578125" style="93" customWidth="1"/>
    <col min="2827" max="2827" width="2.7109375" style="93" customWidth="1"/>
    <col min="2828" max="2831" width="0" style="93" hidden="1" customWidth="1"/>
    <col min="2832" max="2832" width="10" style="93" customWidth="1"/>
    <col min="2833" max="2902" width="6.7109375" style="93" customWidth="1"/>
    <col min="2903" max="3073" width="9.140625" style="93"/>
    <col min="3074" max="3074" width="2.7109375" style="93" customWidth="1"/>
    <col min="3075" max="3076" width="11.5703125" style="93" customWidth="1"/>
    <col min="3077" max="3077" width="7.28515625" style="93" customWidth="1"/>
    <col min="3078" max="3078" width="9.85546875" style="93" customWidth="1"/>
    <col min="3079" max="3079" width="10.140625" style="93" customWidth="1"/>
    <col min="3080" max="3080" width="11.28515625" style="93" customWidth="1"/>
    <col min="3081" max="3081" width="2.7109375" style="93" customWidth="1"/>
    <col min="3082" max="3082" width="9.42578125" style="93" customWidth="1"/>
    <col min="3083" max="3083" width="2.7109375" style="93" customWidth="1"/>
    <col min="3084" max="3087" width="0" style="93" hidden="1" customWidth="1"/>
    <col min="3088" max="3088" width="10" style="93" customWidth="1"/>
    <col min="3089" max="3158" width="6.7109375" style="93" customWidth="1"/>
    <col min="3159" max="3329" width="9.140625" style="93"/>
    <col min="3330" max="3330" width="2.7109375" style="93" customWidth="1"/>
    <col min="3331" max="3332" width="11.5703125" style="93" customWidth="1"/>
    <col min="3333" max="3333" width="7.28515625" style="93" customWidth="1"/>
    <col min="3334" max="3334" width="9.85546875" style="93" customWidth="1"/>
    <col min="3335" max="3335" width="10.140625" style="93" customWidth="1"/>
    <col min="3336" max="3336" width="11.28515625" style="93" customWidth="1"/>
    <col min="3337" max="3337" width="2.7109375" style="93" customWidth="1"/>
    <col min="3338" max="3338" width="9.42578125" style="93" customWidth="1"/>
    <col min="3339" max="3339" width="2.7109375" style="93" customWidth="1"/>
    <col min="3340" max="3343" width="0" style="93" hidden="1" customWidth="1"/>
    <col min="3344" max="3344" width="10" style="93" customWidth="1"/>
    <col min="3345" max="3414" width="6.7109375" style="93" customWidth="1"/>
    <col min="3415" max="3585" width="9.140625" style="93"/>
    <col min="3586" max="3586" width="2.7109375" style="93" customWidth="1"/>
    <col min="3587" max="3588" width="11.5703125" style="93" customWidth="1"/>
    <col min="3589" max="3589" width="7.28515625" style="93" customWidth="1"/>
    <col min="3590" max="3590" width="9.85546875" style="93" customWidth="1"/>
    <col min="3591" max="3591" width="10.140625" style="93" customWidth="1"/>
    <col min="3592" max="3592" width="11.28515625" style="93" customWidth="1"/>
    <col min="3593" max="3593" width="2.7109375" style="93" customWidth="1"/>
    <col min="3594" max="3594" width="9.42578125" style="93" customWidth="1"/>
    <col min="3595" max="3595" width="2.7109375" style="93" customWidth="1"/>
    <col min="3596" max="3599" width="0" style="93" hidden="1" customWidth="1"/>
    <col min="3600" max="3600" width="10" style="93" customWidth="1"/>
    <col min="3601" max="3670" width="6.7109375" style="93" customWidth="1"/>
    <col min="3671" max="3841" width="9.140625" style="93"/>
    <col min="3842" max="3842" width="2.7109375" style="93" customWidth="1"/>
    <col min="3843" max="3844" width="11.5703125" style="93" customWidth="1"/>
    <col min="3845" max="3845" width="7.28515625" style="93" customWidth="1"/>
    <col min="3846" max="3846" width="9.85546875" style="93" customWidth="1"/>
    <col min="3847" max="3847" width="10.140625" style="93" customWidth="1"/>
    <col min="3848" max="3848" width="11.28515625" style="93" customWidth="1"/>
    <col min="3849" max="3849" width="2.7109375" style="93" customWidth="1"/>
    <col min="3850" max="3850" width="9.42578125" style="93" customWidth="1"/>
    <col min="3851" max="3851" width="2.7109375" style="93" customWidth="1"/>
    <col min="3852" max="3855" width="0" style="93" hidden="1" customWidth="1"/>
    <col min="3856" max="3856" width="10" style="93" customWidth="1"/>
    <col min="3857" max="3926" width="6.7109375" style="93" customWidth="1"/>
    <col min="3927" max="4097" width="9.140625" style="93"/>
    <col min="4098" max="4098" width="2.7109375" style="93" customWidth="1"/>
    <col min="4099" max="4100" width="11.5703125" style="93" customWidth="1"/>
    <col min="4101" max="4101" width="7.28515625" style="93" customWidth="1"/>
    <col min="4102" max="4102" width="9.85546875" style="93" customWidth="1"/>
    <col min="4103" max="4103" width="10.140625" style="93" customWidth="1"/>
    <col min="4104" max="4104" width="11.28515625" style="93" customWidth="1"/>
    <col min="4105" max="4105" width="2.7109375" style="93" customWidth="1"/>
    <col min="4106" max="4106" width="9.42578125" style="93" customWidth="1"/>
    <col min="4107" max="4107" width="2.7109375" style="93" customWidth="1"/>
    <col min="4108" max="4111" width="0" style="93" hidden="1" customWidth="1"/>
    <col min="4112" max="4112" width="10" style="93" customWidth="1"/>
    <col min="4113" max="4182" width="6.7109375" style="93" customWidth="1"/>
    <col min="4183" max="4353" width="9.140625" style="93"/>
    <col min="4354" max="4354" width="2.7109375" style="93" customWidth="1"/>
    <col min="4355" max="4356" width="11.5703125" style="93" customWidth="1"/>
    <col min="4357" max="4357" width="7.28515625" style="93" customWidth="1"/>
    <col min="4358" max="4358" width="9.85546875" style="93" customWidth="1"/>
    <col min="4359" max="4359" width="10.140625" style="93" customWidth="1"/>
    <col min="4360" max="4360" width="11.28515625" style="93" customWidth="1"/>
    <col min="4361" max="4361" width="2.7109375" style="93" customWidth="1"/>
    <col min="4362" max="4362" width="9.42578125" style="93" customWidth="1"/>
    <col min="4363" max="4363" width="2.7109375" style="93" customWidth="1"/>
    <col min="4364" max="4367" width="0" style="93" hidden="1" customWidth="1"/>
    <col min="4368" max="4368" width="10" style="93" customWidth="1"/>
    <col min="4369" max="4438" width="6.7109375" style="93" customWidth="1"/>
    <col min="4439" max="4609" width="9.140625" style="93"/>
    <col min="4610" max="4610" width="2.7109375" style="93" customWidth="1"/>
    <col min="4611" max="4612" width="11.5703125" style="93" customWidth="1"/>
    <col min="4613" max="4613" width="7.28515625" style="93" customWidth="1"/>
    <col min="4614" max="4614" width="9.85546875" style="93" customWidth="1"/>
    <col min="4615" max="4615" width="10.140625" style="93" customWidth="1"/>
    <col min="4616" max="4616" width="11.28515625" style="93" customWidth="1"/>
    <col min="4617" max="4617" width="2.7109375" style="93" customWidth="1"/>
    <col min="4618" max="4618" width="9.42578125" style="93" customWidth="1"/>
    <col min="4619" max="4619" width="2.7109375" style="93" customWidth="1"/>
    <col min="4620" max="4623" width="0" style="93" hidden="1" customWidth="1"/>
    <col min="4624" max="4624" width="10" style="93" customWidth="1"/>
    <col min="4625" max="4694" width="6.7109375" style="93" customWidth="1"/>
    <col min="4695" max="4865" width="9.140625" style="93"/>
    <col min="4866" max="4866" width="2.7109375" style="93" customWidth="1"/>
    <col min="4867" max="4868" width="11.5703125" style="93" customWidth="1"/>
    <col min="4869" max="4869" width="7.28515625" style="93" customWidth="1"/>
    <col min="4870" max="4870" width="9.85546875" style="93" customWidth="1"/>
    <col min="4871" max="4871" width="10.140625" style="93" customWidth="1"/>
    <col min="4872" max="4872" width="11.28515625" style="93" customWidth="1"/>
    <col min="4873" max="4873" width="2.7109375" style="93" customWidth="1"/>
    <col min="4874" max="4874" width="9.42578125" style="93" customWidth="1"/>
    <col min="4875" max="4875" width="2.7109375" style="93" customWidth="1"/>
    <col min="4876" max="4879" width="0" style="93" hidden="1" customWidth="1"/>
    <col min="4880" max="4880" width="10" style="93" customWidth="1"/>
    <col min="4881" max="4950" width="6.7109375" style="93" customWidth="1"/>
    <col min="4951" max="5121" width="9.140625" style="93"/>
    <col min="5122" max="5122" width="2.7109375" style="93" customWidth="1"/>
    <col min="5123" max="5124" width="11.5703125" style="93" customWidth="1"/>
    <col min="5125" max="5125" width="7.28515625" style="93" customWidth="1"/>
    <col min="5126" max="5126" width="9.85546875" style="93" customWidth="1"/>
    <col min="5127" max="5127" width="10.140625" style="93" customWidth="1"/>
    <col min="5128" max="5128" width="11.28515625" style="93" customWidth="1"/>
    <col min="5129" max="5129" width="2.7109375" style="93" customWidth="1"/>
    <col min="5130" max="5130" width="9.42578125" style="93" customWidth="1"/>
    <col min="5131" max="5131" width="2.7109375" style="93" customWidth="1"/>
    <col min="5132" max="5135" width="0" style="93" hidden="1" customWidth="1"/>
    <col min="5136" max="5136" width="10" style="93" customWidth="1"/>
    <col min="5137" max="5206" width="6.7109375" style="93" customWidth="1"/>
    <col min="5207" max="5377" width="9.140625" style="93"/>
    <col min="5378" max="5378" width="2.7109375" style="93" customWidth="1"/>
    <col min="5379" max="5380" width="11.5703125" style="93" customWidth="1"/>
    <col min="5381" max="5381" width="7.28515625" style="93" customWidth="1"/>
    <col min="5382" max="5382" width="9.85546875" style="93" customWidth="1"/>
    <col min="5383" max="5383" width="10.140625" style="93" customWidth="1"/>
    <col min="5384" max="5384" width="11.28515625" style="93" customWidth="1"/>
    <col min="5385" max="5385" width="2.7109375" style="93" customWidth="1"/>
    <col min="5386" max="5386" width="9.42578125" style="93" customWidth="1"/>
    <col min="5387" max="5387" width="2.7109375" style="93" customWidth="1"/>
    <col min="5388" max="5391" width="0" style="93" hidden="1" customWidth="1"/>
    <col min="5392" max="5392" width="10" style="93" customWidth="1"/>
    <col min="5393" max="5462" width="6.7109375" style="93" customWidth="1"/>
    <col min="5463" max="5633" width="9.140625" style="93"/>
    <col min="5634" max="5634" width="2.7109375" style="93" customWidth="1"/>
    <col min="5635" max="5636" width="11.5703125" style="93" customWidth="1"/>
    <col min="5637" max="5637" width="7.28515625" style="93" customWidth="1"/>
    <col min="5638" max="5638" width="9.85546875" style="93" customWidth="1"/>
    <col min="5639" max="5639" width="10.140625" style="93" customWidth="1"/>
    <col min="5640" max="5640" width="11.28515625" style="93" customWidth="1"/>
    <col min="5641" max="5641" width="2.7109375" style="93" customWidth="1"/>
    <col min="5642" max="5642" width="9.42578125" style="93" customWidth="1"/>
    <col min="5643" max="5643" width="2.7109375" style="93" customWidth="1"/>
    <col min="5644" max="5647" width="0" style="93" hidden="1" customWidth="1"/>
    <col min="5648" max="5648" width="10" style="93" customWidth="1"/>
    <col min="5649" max="5718" width="6.7109375" style="93" customWidth="1"/>
    <col min="5719" max="5889" width="9.140625" style="93"/>
    <col min="5890" max="5890" width="2.7109375" style="93" customWidth="1"/>
    <col min="5891" max="5892" width="11.5703125" style="93" customWidth="1"/>
    <col min="5893" max="5893" width="7.28515625" style="93" customWidth="1"/>
    <col min="5894" max="5894" width="9.85546875" style="93" customWidth="1"/>
    <col min="5895" max="5895" width="10.140625" style="93" customWidth="1"/>
    <col min="5896" max="5896" width="11.28515625" style="93" customWidth="1"/>
    <col min="5897" max="5897" width="2.7109375" style="93" customWidth="1"/>
    <col min="5898" max="5898" width="9.42578125" style="93" customWidth="1"/>
    <col min="5899" max="5899" width="2.7109375" style="93" customWidth="1"/>
    <col min="5900" max="5903" width="0" style="93" hidden="1" customWidth="1"/>
    <col min="5904" max="5904" width="10" style="93" customWidth="1"/>
    <col min="5905" max="5974" width="6.7109375" style="93" customWidth="1"/>
    <col min="5975" max="6145" width="9.140625" style="93"/>
    <col min="6146" max="6146" width="2.7109375" style="93" customWidth="1"/>
    <col min="6147" max="6148" width="11.5703125" style="93" customWidth="1"/>
    <col min="6149" max="6149" width="7.28515625" style="93" customWidth="1"/>
    <col min="6150" max="6150" width="9.85546875" style="93" customWidth="1"/>
    <col min="6151" max="6151" width="10.140625" style="93" customWidth="1"/>
    <col min="6152" max="6152" width="11.28515625" style="93" customWidth="1"/>
    <col min="6153" max="6153" width="2.7109375" style="93" customWidth="1"/>
    <col min="6154" max="6154" width="9.42578125" style="93" customWidth="1"/>
    <col min="6155" max="6155" width="2.7109375" style="93" customWidth="1"/>
    <col min="6156" max="6159" width="0" style="93" hidden="1" customWidth="1"/>
    <col min="6160" max="6160" width="10" style="93" customWidth="1"/>
    <col min="6161" max="6230" width="6.7109375" style="93" customWidth="1"/>
    <col min="6231" max="6401" width="9.140625" style="93"/>
    <col min="6402" max="6402" width="2.7109375" style="93" customWidth="1"/>
    <col min="6403" max="6404" width="11.5703125" style="93" customWidth="1"/>
    <col min="6405" max="6405" width="7.28515625" style="93" customWidth="1"/>
    <col min="6406" max="6406" width="9.85546875" style="93" customWidth="1"/>
    <col min="6407" max="6407" width="10.140625" style="93" customWidth="1"/>
    <col min="6408" max="6408" width="11.28515625" style="93" customWidth="1"/>
    <col min="6409" max="6409" width="2.7109375" style="93" customWidth="1"/>
    <col min="6410" max="6410" width="9.42578125" style="93" customWidth="1"/>
    <col min="6411" max="6411" width="2.7109375" style="93" customWidth="1"/>
    <col min="6412" max="6415" width="0" style="93" hidden="1" customWidth="1"/>
    <col min="6416" max="6416" width="10" style="93" customWidth="1"/>
    <col min="6417" max="6486" width="6.7109375" style="93" customWidth="1"/>
    <col min="6487" max="6657" width="9.140625" style="93"/>
    <col min="6658" max="6658" width="2.7109375" style="93" customWidth="1"/>
    <col min="6659" max="6660" width="11.5703125" style="93" customWidth="1"/>
    <col min="6661" max="6661" width="7.28515625" style="93" customWidth="1"/>
    <col min="6662" max="6662" width="9.85546875" style="93" customWidth="1"/>
    <col min="6663" max="6663" width="10.140625" style="93" customWidth="1"/>
    <col min="6664" max="6664" width="11.28515625" style="93" customWidth="1"/>
    <col min="6665" max="6665" width="2.7109375" style="93" customWidth="1"/>
    <col min="6666" max="6666" width="9.42578125" style="93" customWidth="1"/>
    <col min="6667" max="6667" width="2.7109375" style="93" customWidth="1"/>
    <col min="6668" max="6671" width="0" style="93" hidden="1" customWidth="1"/>
    <col min="6672" max="6672" width="10" style="93" customWidth="1"/>
    <col min="6673" max="6742" width="6.7109375" style="93" customWidth="1"/>
    <col min="6743" max="6913" width="9.140625" style="93"/>
    <col min="6914" max="6914" width="2.7109375" style="93" customWidth="1"/>
    <col min="6915" max="6916" width="11.5703125" style="93" customWidth="1"/>
    <col min="6917" max="6917" width="7.28515625" style="93" customWidth="1"/>
    <col min="6918" max="6918" width="9.85546875" style="93" customWidth="1"/>
    <col min="6919" max="6919" width="10.140625" style="93" customWidth="1"/>
    <col min="6920" max="6920" width="11.28515625" style="93" customWidth="1"/>
    <col min="6921" max="6921" width="2.7109375" style="93" customWidth="1"/>
    <col min="6922" max="6922" width="9.42578125" style="93" customWidth="1"/>
    <col min="6923" max="6923" width="2.7109375" style="93" customWidth="1"/>
    <col min="6924" max="6927" width="0" style="93" hidden="1" customWidth="1"/>
    <col min="6928" max="6928" width="10" style="93" customWidth="1"/>
    <col min="6929" max="6998" width="6.7109375" style="93" customWidth="1"/>
    <col min="6999" max="7169" width="9.140625" style="93"/>
    <col min="7170" max="7170" width="2.7109375" style="93" customWidth="1"/>
    <col min="7171" max="7172" width="11.5703125" style="93" customWidth="1"/>
    <col min="7173" max="7173" width="7.28515625" style="93" customWidth="1"/>
    <col min="7174" max="7174" width="9.85546875" style="93" customWidth="1"/>
    <col min="7175" max="7175" width="10.140625" style="93" customWidth="1"/>
    <col min="7176" max="7176" width="11.28515625" style="93" customWidth="1"/>
    <col min="7177" max="7177" width="2.7109375" style="93" customWidth="1"/>
    <col min="7178" max="7178" width="9.42578125" style="93" customWidth="1"/>
    <col min="7179" max="7179" width="2.7109375" style="93" customWidth="1"/>
    <col min="7180" max="7183" width="0" style="93" hidden="1" customWidth="1"/>
    <col min="7184" max="7184" width="10" style="93" customWidth="1"/>
    <col min="7185" max="7254" width="6.7109375" style="93" customWidth="1"/>
    <col min="7255" max="7425" width="9.140625" style="93"/>
    <col min="7426" max="7426" width="2.7109375" style="93" customWidth="1"/>
    <col min="7427" max="7428" width="11.5703125" style="93" customWidth="1"/>
    <col min="7429" max="7429" width="7.28515625" style="93" customWidth="1"/>
    <col min="7430" max="7430" width="9.85546875" style="93" customWidth="1"/>
    <col min="7431" max="7431" width="10.140625" style="93" customWidth="1"/>
    <col min="7432" max="7432" width="11.28515625" style="93" customWidth="1"/>
    <col min="7433" max="7433" width="2.7109375" style="93" customWidth="1"/>
    <col min="7434" max="7434" width="9.42578125" style="93" customWidth="1"/>
    <col min="7435" max="7435" width="2.7109375" style="93" customWidth="1"/>
    <col min="7436" max="7439" width="0" style="93" hidden="1" customWidth="1"/>
    <col min="7440" max="7440" width="10" style="93" customWidth="1"/>
    <col min="7441" max="7510" width="6.7109375" style="93" customWidth="1"/>
    <col min="7511" max="7681" width="9.140625" style="93"/>
    <col min="7682" max="7682" width="2.7109375" style="93" customWidth="1"/>
    <col min="7683" max="7684" width="11.5703125" style="93" customWidth="1"/>
    <col min="7685" max="7685" width="7.28515625" style="93" customWidth="1"/>
    <col min="7686" max="7686" width="9.85546875" style="93" customWidth="1"/>
    <col min="7687" max="7687" width="10.140625" style="93" customWidth="1"/>
    <col min="7688" max="7688" width="11.28515625" style="93" customWidth="1"/>
    <col min="7689" max="7689" width="2.7109375" style="93" customWidth="1"/>
    <col min="7690" max="7690" width="9.42578125" style="93" customWidth="1"/>
    <col min="7691" max="7691" width="2.7109375" style="93" customWidth="1"/>
    <col min="7692" max="7695" width="0" style="93" hidden="1" customWidth="1"/>
    <col min="7696" max="7696" width="10" style="93" customWidth="1"/>
    <col min="7697" max="7766" width="6.7109375" style="93" customWidth="1"/>
    <col min="7767" max="7937" width="9.140625" style="93"/>
    <col min="7938" max="7938" width="2.7109375" style="93" customWidth="1"/>
    <col min="7939" max="7940" width="11.5703125" style="93" customWidth="1"/>
    <col min="7941" max="7941" width="7.28515625" style="93" customWidth="1"/>
    <col min="7942" max="7942" width="9.85546875" style="93" customWidth="1"/>
    <col min="7943" max="7943" width="10.140625" style="93" customWidth="1"/>
    <col min="7944" max="7944" width="11.28515625" style="93" customWidth="1"/>
    <col min="7945" max="7945" width="2.7109375" style="93" customWidth="1"/>
    <col min="7946" max="7946" width="9.42578125" style="93" customWidth="1"/>
    <col min="7947" max="7947" width="2.7109375" style="93" customWidth="1"/>
    <col min="7948" max="7951" width="0" style="93" hidden="1" customWidth="1"/>
    <col min="7952" max="7952" width="10" style="93" customWidth="1"/>
    <col min="7953" max="8022" width="6.7109375" style="93" customWidth="1"/>
    <col min="8023" max="8193" width="9.140625" style="93"/>
    <col min="8194" max="8194" width="2.7109375" style="93" customWidth="1"/>
    <col min="8195" max="8196" width="11.5703125" style="93" customWidth="1"/>
    <col min="8197" max="8197" width="7.28515625" style="93" customWidth="1"/>
    <col min="8198" max="8198" width="9.85546875" style="93" customWidth="1"/>
    <col min="8199" max="8199" width="10.140625" style="93" customWidth="1"/>
    <col min="8200" max="8200" width="11.28515625" style="93" customWidth="1"/>
    <col min="8201" max="8201" width="2.7109375" style="93" customWidth="1"/>
    <col min="8202" max="8202" width="9.42578125" style="93" customWidth="1"/>
    <col min="8203" max="8203" width="2.7109375" style="93" customWidth="1"/>
    <col min="8204" max="8207" width="0" style="93" hidden="1" customWidth="1"/>
    <col min="8208" max="8208" width="10" style="93" customWidth="1"/>
    <col min="8209" max="8278" width="6.7109375" style="93" customWidth="1"/>
    <col min="8279" max="8449" width="9.140625" style="93"/>
    <col min="8450" max="8450" width="2.7109375" style="93" customWidth="1"/>
    <col min="8451" max="8452" width="11.5703125" style="93" customWidth="1"/>
    <col min="8453" max="8453" width="7.28515625" style="93" customWidth="1"/>
    <col min="8454" max="8454" width="9.85546875" style="93" customWidth="1"/>
    <col min="8455" max="8455" width="10.140625" style="93" customWidth="1"/>
    <col min="8456" max="8456" width="11.28515625" style="93" customWidth="1"/>
    <col min="8457" max="8457" width="2.7109375" style="93" customWidth="1"/>
    <col min="8458" max="8458" width="9.42578125" style="93" customWidth="1"/>
    <col min="8459" max="8459" width="2.7109375" style="93" customWidth="1"/>
    <col min="8460" max="8463" width="0" style="93" hidden="1" customWidth="1"/>
    <col min="8464" max="8464" width="10" style="93" customWidth="1"/>
    <col min="8465" max="8534" width="6.7109375" style="93" customWidth="1"/>
    <col min="8535" max="8705" width="9.140625" style="93"/>
    <col min="8706" max="8706" width="2.7109375" style="93" customWidth="1"/>
    <col min="8707" max="8708" width="11.5703125" style="93" customWidth="1"/>
    <col min="8709" max="8709" width="7.28515625" style="93" customWidth="1"/>
    <col min="8710" max="8710" width="9.85546875" style="93" customWidth="1"/>
    <col min="8711" max="8711" width="10.140625" style="93" customWidth="1"/>
    <col min="8712" max="8712" width="11.28515625" style="93" customWidth="1"/>
    <col min="8713" max="8713" width="2.7109375" style="93" customWidth="1"/>
    <col min="8714" max="8714" width="9.42578125" style="93" customWidth="1"/>
    <col min="8715" max="8715" width="2.7109375" style="93" customWidth="1"/>
    <col min="8716" max="8719" width="0" style="93" hidden="1" customWidth="1"/>
    <col min="8720" max="8720" width="10" style="93" customWidth="1"/>
    <col min="8721" max="8790" width="6.7109375" style="93" customWidth="1"/>
    <col min="8791" max="8961" width="9.140625" style="93"/>
    <col min="8962" max="8962" width="2.7109375" style="93" customWidth="1"/>
    <col min="8963" max="8964" width="11.5703125" style="93" customWidth="1"/>
    <col min="8965" max="8965" width="7.28515625" style="93" customWidth="1"/>
    <col min="8966" max="8966" width="9.85546875" style="93" customWidth="1"/>
    <col min="8967" max="8967" width="10.140625" style="93" customWidth="1"/>
    <col min="8968" max="8968" width="11.28515625" style="93" customWidth="1"/>
    <col min="8969" max="8969" width="2.7109375" style="93" customWidth="1"/>
    <col min="8970" max="8970" width="9.42578125" style="93" customWidth="1"/>
    <col min="8971" max="8971" width="2.7109375" style="93" customWidth="1"/>
    <col min="8972" max="8975" width="0" style="93" hidden="1" customWidth="1"/>
    <col min="8976" max="8976" width="10" style="93" customWidth="1"/>
    <col min="8977" max="9046" width="6.7109375" style="93" customWidth="1"/>
    <col min="9047" max="9217" width="9.140625" style="93"/>
    <col min="9218" max="9218" width="2.7109375" style="93" customWidth="1"/>
    <col min="9219" max="9220" width="11.5703125" style="93" customWidth="1"/>
    <col min="9221" max="9221" width="7.28515625" style="93" customWidth="1"/>
    <col min="9222" max="9222" width="9.85546875" style="93" customWidth="1"/>
    <col min="9223" max="9223" width="10.140625" style="93" customWidth="1"/>
    <col min="9224" max="9224" width="11.28515625" style="93" customWidth="1"/>
    <col min="9225" max="9225" width="2.7109375" style="93" customWidth="1"/>
    <col min="9226" max="9226" width="9.42578125" style="93" customWidth="1"/>
    <col min="9227" max="9227" width="2.7109375" style="93" customWidth="1"/>
    <col min="9228" max="9231" width="0" style="93" hidden="1" customWidth="1"/>
    <col min="9232" max="9232" width="10" style="93" customWidth="1"/>
    <col min="9233" max="9302" width="6.7109375" style="93" customWidth="1"/>
    <col min="9303" max="9473" width="9.140625" style="93"/>
    <col min="9474" max="9474" width="2.7109375" style="93" customWidth="1"/>
    <col min="9475" max="9476" width="11.5703125" style="93" customWidth="1"/>
    <col min="9477" max="9477" width="7.28515625" style="93" customWidth="1"/>
    <col min="9478" max="9478" width="9.85546875" style="93" customWidth="1"/>
    <col min="9479" max="9479" width="10.140625" style="93" customWidth="1"/>
    <col min="9480" max="9480" width="11.28515625" style="93" customWidth="1"/>
    <col min="9481" max="9481" width="2.7109375" style="93" customWidth="1"/>
    <col min="9482" max="9482" width="9.42578125" style="93" customWidth="1"/>
    <col min="9483" max="9483" width="2.7109375" style="93" customWidth="1"/>
    <col min="9484" max="9487" width="0" style="93" hidden="1" customWidth="1"/>
    <col min="9488" max="9488" width="10" style="93" customWidth="1"/>
    <col min="9489" max="9558" width="6.7109375" style="93" customWidth="1"/>
    <col min="9559" max="9729" width="9.140625" style="93"/>
    <col min="9730" max="9730" width="2.7109375" style="93" customWidth="1"/>
    <col min="9731" max="9732" width="11.5703125" style="93" customWidth="1"/>
    <col min="9733" max="9733" width="7.28515625" style="93" customWidth="1"/>
    <col min="9734" max="9734" width="9.85546875" style="93" customWidth="1"/>
    <col min="9735" max="9735" width="10.140625" style="93" customWidth="1"/>
    <col min="9736" max="9736" width="11.28515625" style="93" customWidth="1"/>
    <col min="9737" max="9737" width="2.7109375" style="93" customWidth="1"/>
    <col min="9738" max="9738" width="9.42578125" style="93" customWidth="1"/>
    <col min="9739" max="9739" width="2.7109375" style="93" customWidth="1"/>
    <col min="9740" max="9743" width="0" style="93" hidden="1" customWidth="1"/>
    <col min="9744" max="9744" width="10" style="93" customWidth="1"/>
    <col min="9745" max="9814" width="6.7109375" style="93" customWidth="1"/>
    <col min="9815" max="9985" width="9.140625" style="93"/>
    <col min="9986" max="9986" width="2.7109375" style="93" customWidth="1"/>
    <col min="9987" max="9988" width="11.5703125" style="93" customWidth="1"/>
    <col min="9989" max="9989" width="7.28515625" style="93" customWidth="1"/>
    <col min="9990" max="9990" width="9.85546875" style="93" customWidth="1"/>
    <col min="9991" max="9991" width="10.140625" style="93" customWidth="1"/>
    <col min="9992" max="9992" width="11.28515625" style="93" customWidth="1"/>
    <col min="9993" max="9993" width="2.7109375" style="93" customWidth="1"/>
    <col min="9994" max="9994" width="9.42578125" style="93" customWidth="1"/>
    <col min="9995" max="9995" width="2.7109375" style="93" customWidth="1"/>
    <col min="9996" max="9999" width="0" style="93" hidden="1" customWidth="1"/>
    <col min="10000" max="10000" width="10" style="93" customWidth="1"/>
    <col min="10001" max="10070" width="6.7109375" style="93" customWidth="1"/>
    <col min="10071" max="10241" width="9.140625" style="93"/>
    <col min="10242" max="10242" width="2.7109375" style="93" customWidth="1"/>
    <col min="10243" max="10244" width="11.5703125" style="93" customWidth="1"/>
    <col min="10245" max="10245" width="7.28515625" style="93" customWidth="1"/>
    <col min="10246" max="10246" width="9.85546875" style="93" customWidth="1"/>
    <col min="10247" max="10247" width="10.140625" style="93" customWidth="1"/>
    <col min="10248" max="10248" width="11.28515625" style="93" customWidth="1"/>
    <col min="10249" max="10249" width="2.7109375" style="93" customWidth="1"/>
    <col min="10250" max="10250" width="9.42578125" style="93" customWidth="1"/>
    <col min="10251" max="10251" width="2.7109375" style="93" customWidth="1"/>
    <col min="10252" max="10255" width="0" style="93" hidden="1" customWidth="1"/>
    <col min="10256" max="10256" width="10" style="93" customWidth="1"/>
    <col min="10257" max="10326" width="6.7109375" style="93" customWidth="1"/>
    <col min="10327" max="10497" width="9.140625" style="93"/>
    <col min="10498" max="10498" width="2.7109375" style="93" customWidth="1"/>
    <col min="10499" max="10500" width="11.5703125" style="93" customWidth="1"/>
    <col min="10501" max="10501" width="7.28515625" style="93" customWidth="1"/>
    <col min="10502" max="10502" width="9.85546875" style="93" customWidth="1"/>
    <col min="10503" max="10503" width="10.140625" style="93" customWidth="1"/>
    <col min="10504" max="10504" width="11.28515625" style="93" customWidth="1"/>
    <col min="10505" max="10505" width="2.7109375" style="93" customWidth="1"/>
    <col min="10506" max="10506" width="9.42578125" style="93" customWidth="1"/>
    <col min="10507" max="10507" width="2.7109375" style="93" customWidth="1"/>
    <col min="10508" max="10511" width="0" style="93" hidden="1" customWidth="1"/>
    <col min="10512" max="10512" width="10" style="93" customWidth="1"/>
    <col min="10513" max="10582" width="6.7109375" style="93" customWidth="1"/>
    <col min="10583" max="10753" width="9.140625" style="93"/>
    <col min="10754" max="10754" width="2.7109375" style="93" customWidth="1"/>
    <col min="10755" max="10756" width="11.5703125" style="93" customWidth="1"/>
    <col min="10757" max="10757" width="7.28515625" style="93" customWidth="1"/>
    <col min="10758" max="10758" width="9.85546875" style="93" customWidth="1"/>
    <col min="10759" max="10759" width="10.140625" style="93" customWidth="1"/>
    <col min="10760" max="10760" width="11.28515625" style="93" customWidth="1"/>
    <col min="10761" max="10761" width="2.7109375" style="93" customWidth="1"/>
    <col min="10762" max="10762" width="9.42578125" style="93" customWidth="1"/>
    <col min="10763" max="10763" width="2.7109375" style="93" customWidth="1"/>
    <col min="10764" max="10767" width="0" style="93" hidden="1" customWidth="1"/>
    <col min="10768" max="10768" width="10" style="93" customWidth="1"/>
    <col min="10769" max="10838" width="6.7109375" style="93" customWidth="1"/>
    <col min="10839" max="11009" width="9.140625" style="93"/>
    <col min="11010" max="11010" width="2.7109375" style="93" customWidth="1"/>
    <col min="11011" max="11012" width="11.5703125" style="93" customWidth="1"/>
    <col min="11013" max="11013" width="7.28515625" style="93" customWidth="1"/>
    <col min="11014" max="11014" width="9.85546875" style="93" customWidth="1"/>
    <col min="11015" max="11015" width="10.140625" style="93" customWidth="1"/>
    <col min="11016" max="11016" width="11.28515625" style="93" customWidth="1"/>
    <col min="11017" max="11017" width="2.7109375" style="93" customWidth="1"/>
    <col min="11018" max="11018" width="9.42578125" style="93" customWidth="1"/>
    <col min="11019" max="11019" width="2.7109375" style="93" customWidth="1"/>
    <col min="11020" max="11023" width="0" style="93" hidden="1" customWidth="1"/>
    <col min="11024" max="11024" width="10" style="93" customWidth="1"/>
    <col min="11025" max="11094" width="6.7109375" style="93" customWidth="1"/>
    <col min="11095" max="11265" width="9.140625" style="93"/>
    <col min="11266" max="11266" width="2.7109375" style="93" customWidth="1"/>
    <col min="11267" max="11268" width="11.5703125" style="93" customWidth="1"/>
    <col min="11269" max="11269" width="7.28515625" style="93" customWidth="1"/>
    <col min="11270" max="11270" width="9.85546875" style="93" customWidth="1"/>
    <col min="11271" max="11271" width="10.140625" style="93" customWidth="1"/>
    <col min="11272" max="11272" width="11.28515625" style="93" customWidth="1"/>
    <col min="11273" max="11273" width="2.7109375" style="93" customWidth="1"/>
    <col min="11274" max="11274" width="9.42578125" style="93" customWidth="1"/>
    <col min="11275" max="11275" width="2.7109375" style="93" customWidth="1"/>
    <col min="11276" max="11279" width="0" style="93" hidden="1" customWidth="1"/>
    <col min="11280" max="11280" width="10" style="93" customWidth="1"/>
    <col min="11281" max="11350" width="6.7109375" style="93" customWidth="1"/>
    <col min="11351" max="11521" width="9.140625" style="93"/>
    <col min="11522" max="11522" width="2.7109375" style="93" customWidth="1"/>
    <col min="11523" max="11524" width="11.5703125" style="93" customWidth="1"/>
    <col min="11525" max="11525" width="7.28515625" style="93" customWidth="1"/>
    <col min="11526" max="11526" width="9.85546875" style="93" customWidth="1"/>
    <col min="11527" max="11527" width="10.140625" style="93" customWidth="1"/>
    <col min="11528" max="11528" width="11.28515625" style="93" customWidth="1"/>
    <col min="11529" max="11529" width="2.7109375" style="93" customWidth="1"/>
    <col min="11530" max="11530" width="9.42578125" style="93" customWidth="1"/>
    <col min="11531" max="11531" width="2.7109375" style="93" customWidth="1"/>
    <col min="11532" max="11535" width="0" style="93" hidden="1" customWidth="1"/>
    <col min="11536" max="11536" width="10" style="93" customWidth="1"/>
    <col min="11537" max="11606" width="6.7109375" style="93" customWidth="1"/>
    <col min="11607" max="11777" width="9.140625" style="93"/>
    <col min="11778" max="11778" width="2.7109375" style="93" customWidth="1"/>
    <col min="11779" max="11780" width="11.5703125" style="93" customWidth="1"/>
    <col min="11781" max="11781" width="7.28515625" style="93" customWidth="1"/>
    <col min="11782" max="11782" width="9.85546875" style="93" customWidth="1"/>
    <col min="11783" max="11783" width="10.140625" style="93" customWidth="1"/>
    <col min="11784" max="11784" width="11.28515625" style="93" customWidth="1"/>
    <col min="11785" max="11785" width="2.7109375" style="93" customWidth="1"/>
    <col min="11786" max="11786" width="9.42578125" style="93" customWidth="1"/>
    <col min="11787" max="11787" width="2.7109375" style="93" customWidth="1"/>
    <col min="11788" max="11791" width="0" style="93" hidden="1" customWidth="1"/>
    <col min="11792" max="11792" width="10" style="93" customWidth="1"/>
    <col min="11793" max="11862" width="6.7109375" style="93" customWidth="1"/>
    <col min="11863" max="12033" width="9.140625" style="93"/>
    <col min="12034" max="12034" width="2.7109375" style="93" customWidth="1"/>
    <col min="12035" max="12036" width="11.5703125" style="93" customWidth="1"/>
    <col min="12037" max="12037" width="7.28515625" style="93" customWidth="1"/>
    <col min="12038" max="12038" width="9.85546875" style="93" customWidth="1"/>
    <col min="12039" max="12039" width="10.140625" style="93" customWidth="1"/>
    <col min="12040" max="12040" width="11.28515625" style="93" customWidth="1"/>
    <col min="12041" max="12041" width="2.7109375" style="93" customWidth="1"/>
    <col min="12042" max="12042" width="9.42578125" style="93" customWidth="1"/>
    <col min="12043" max="12043" width="2.7109375" style="93" customWidth="1"/>
    <col min="12044" max="12047" width="0" style="93" hidden="1" customWidth="1"/>
    <col min="12048" max="12048" width="10" style="93" customWidth="1"/>
    <col min="12049" max="12118" width="6.7109375" style="93" customWidth="1"/>
    <col min="12119" max="12289" width="9.140625" style="93"/>
    <col min="12290" max="12290" width="2.7109375" style="93" customWidth="1"/>
    <col min="12291" max="12292" width="11.5703125" style="93" customWidth="1"/>
    <col min="12293" max="12293" width="7.28515625" style="93" customWidth="1"/>
    <col min="12294" max="12294" width="9.85546875" style="93" customWidth="1"/>
    <col min="12295" max="12295" width="10.140625" style="93" customWidth="1"/>
    <col min="12296" max="12296" width="11.28515625" style="93" customWidth="1"/>
    <col min="12297" max="12297" width="2.7109375" style="93" customWidth="1"/>
    <col min="12298" max="12298" width="9.42578125" style="93" customWidth="1"/>
    <col min="12299" max="12299" width="2.7109375" style="93" customWidth="1"/>
    <col min="12300" max="12303" width="0" style="93" hidden="1" customWidth="1"/>
    <col min="12304" max="12304" width="10" style="93" customWidth="1"/>
    <col min="12305" max="12374" width="6.7109375" style="93" customWidth="1"/>
    <col min="12375" max="12545" width="9.140625" style="93"/>
    <col min="12546" max="12546" width="2.7109375" style="93" customWidth="1"/>
    <col min="12547" max="12548" width="11.5703125" style="93" customWidth="1"/>
    <col min="12549" max="12549" width="7.28515625" style="93" customWidth="1"/>
    <col min="12550" max="12550" width="9.85546875" style="93" customWidth="1"/>
    <col min="12551" max="12551" width="10.140625" style="93" customWidth="1"/>
    <col min="12552" max="12552" width="11.28515625" style="93" customWidth="1"/>
    <col min="12553" max="12553" width="2.7109375" style="93" customWidth="1"/>
    <col min="12554" max="12554" width="9.42578125" style="93" customWidth="1"/>
    <col min="12555" max="12555" width="2.7109375" style="93" customWidth="1"/>
    <col min="12556" max="12559" width="0" style="93" hidden="1" customWidth="1"/>
    <col min="12560" max="12560" width="10" style="93" customWidth="1"/>
    <col min="12561" max="12630" width="6.7109375" style="93" customWidth="1"/>
    <col min="12631" max="12801" width="9.140625" style="93"/>
    <col min="12802" max="12802" width="2.7109375" style="93" customWidth="1"/>
    <col min="12803" max="12804" width="11.5703125" style="93" customWidth="1"/>
    <col min="12805" max="12805" width="7.28515625" style="93" customWidth="1"/>
    <col min="12806" max="12806" width="9.85546875" style="93" customWidth="1"/>
    <col min="12807" max="12807" width="10.140625" style="93" customWidth="1"/>
    <col min="12808" max="12808" width="11.28515625" style="93" customWidth="1"/>
    <col min="12809" max="12809" width="2.7109375" style="93" customWidth="1"/>
    <col min="12810" max="12810" width="9.42578125" style="93" customWidth="1"/>
    <col min="12811" max="12811" width="2.7109375" style="93" customWidth="1"/>
    <col min="12812" max="12815" width="0" style="93" hidden="1" customWidth="1"/>
    <col min="12816" max="12816" width="10" style="93" customWidth="1"/>
    <col min="12817" max="12886" width="6.7109375" style="93" customWidth="1"/>
    <col min="12887" max="13057" width="9.140625" style="93"/>
    <col min="13058" max="13058" width="2.7109375" style="93" customWidth="1"/>
    <col min="13059" max="13060" width="11.5703125" style="93" customWidth="1"/>
    <col min="13061" max="13061" width="7.28515625" style="93" customWidth="1"/>
    <col min="13062" max="13062" width="9.85546875" style="93" customWidth="1"/>
    <col min="13063" max="13063" width="10.140625" style="93" customWidth="1"/>
    <col min="13064" max="13064" width="11.28515625" style="93" customWidth="1"/>
    <col min="13065" max="13065" width="2.7109375" style="93" customWidth="1"/>
    <col min="13066" max="13066" width="9.42578125" style="93" customWidth="1"/>
    <col min="13067" max="13067" width="2.7109375" style="93" customWidth="1"/>
    <col min="13068" max="13071" width="0" style="93" hidden="1" customWidth="1"/>
    <col min="13072" max="13072" width="10" style="93" customWidth="1"/>
    <col min="13073" max="13142" width="6.7109375" style="93" customWidth="1"/>
    <col min="13143" max="13313" width="9.140625" style="93"/>
    <col min="13314" max="13314" width="2.7109375" style="93" customWidth="1"/>
    <col min="13315" max="13316" width="11.5703125" style="93" customWidth="1"/>
    <col min="13317" max="13317" width="7.28515625" style="93" customWidth="1"/>
    <col min="13318" max="13318" width="9.85546875" style="93" customWidth="1"/>
    <col min="13319" max="13319" width="10.140625" style="93" customWidth="1"/>
    <col min="13320" max="13320" width="11.28515625" style="93" customWidth="1"/>
    <col min="13321" max="13321" width="2.7109375" style="93" customWidth="1"/>
    <col min="13322" max="13322" width="9.42578125" style="93" customWidth="1"/>
    <col min="13323" max="13323" width="2.7109375" style="93" customWidth="1"/>
    <col min="13324" max="13327" width="0" style="93" hidden="1" customWidth="1"/>
    <col min="13328" max="13328" width="10" style="93" customWidth="1"/>
    <col min="13329" max="13398" width="6.7109375" style="93" customWidth="1"/>
    <col min="13399" max="13569" width="9.140625" style="93"/>
    <col min="13570" max="13570" width="2.7109375" style="93" customWidth="1"/>
    <col min="13571" max="13572" width="11.5703125" style="93" customWidth="1"/>
    <col min="13573" max="13573" width="7.28515625" style="93" customWidth="1"/>
    <col min="13574" max="13574" width="9.85546875" style="93" customWidth="1"/>
    <col min="13575" max="13575" width="10.140625" style="93" customWidth="1"/>
    <col min="13576" max="13576" width="11.28515625" style="93" customWidth="1"/>
    <col min="13577" max="13577" width="2.7109375" style="93" customWidth="1"/>
    <col min="13578" max="13578" width="9.42578125" style="93" customWidth="1"/>
    <col min="13579" max="13579" width="2.7109375" style="93" customWidth="1"/>
    <col min="13580" max="13583" width="0" style="93" hidden="1" customWidth="1"/>
    <col min="13584" max="13584" width="10" style="93" customWidth="1"/>
    <col min="13585" max="13654" width="6.7109375" style="93" customWidth="1"/>
    <col min="13655" max="13825" width="9.140625" style="93"/>
    <col min="13826" max="13826" width="2.7109375" style="93" customWidth="1"/>
    <col min="13827" max="13828" width="11.5703125" style="93" customWidth="1"/>
    <col min="13829" max="13829" width="7.28515625" style="93" customWidth="1"/>
    <col min="13830" max="13830" width="9.85546875" style="93" customWidth="1"/>
    <col min="13831" max="13831" width="10.140625" style="93" customWidth="1"/>
    <col min="13832" max="13832" width="11.28515625" style="93" customWidth="1"/>
    <col min="13833" max="13833" width="2.7109375" style="93" customWidth="1"/>
    <col min="13834" max="13834" width="9.42578125" style="93" customWidth="1"/>
    <col min="13835" max="13835" width="2.7109375" style="93" customWidth="1"/>
    <col min="13836" max="13839" width="0" style="93" hidden="1" customWidth="1"/>
    <col min="13840" max="13840" width="10" style="93" customWidth="1"/>
    <col min="13841" max="13910" width="6.7109375" style="93" customWidth="1"/>
    <col min="13911" max="14081" width="9.140625" style="93"/>
    <col min="14082" max="14082" width="2.7109375" style="93" customWidth="1"/>
    <col min="14083" max="14084" width="11.5703125" style="93" customWidth="1"/>
    <col min="14085" max="14085" width="7.28515625" style="93" customWidth="1"/>
    <col min="14086" max="14086" width="9.85546875" style="93" customWidth="1"/>
    <col min="14087" max="14087" width="10.140625" style="93" customWidth="1"/>
    <col min="14088" max="14088" width="11.28515625" style="93" customWidth="1"/>
    <col min="14089" max="14089" width="2.7109375" style="93" customWidth="1"/>
    <col min="14090" max="14090" width="9.42578125" style="93" customWidth="1"/>
    <col min="14091" max="14091" width="2.7109375" style="93" customWidth="1"/>
    <col min="14092" max="14095" width="0" style="93" hidden="1" customWidth="1"/>
    <col min="14096" max="14096" width="10" style="93" customWidth="1"/>
    <col min="14097" max="14166" width="6.7109375" style="93" customWidth="1"/>
    <col min="14167" max="14337" width="9.140625" style="93"/>
    <col min="14338" max="14338" width="2.7109375" style="93" customWidth="1"/>
    <col min="14339" max="14340" width="11.5703125" style="93" customWidth="1"/>
    <col min="14341" max="14341" width="7.28515625" style="93" customWidth="1"/>
    <col min="14342" max="14342" width="9.85546875" style="93" customWidth="1"/>
    <col min="14343" max="14343" width="10.140625" style="93" customWidth="1"/>
    <col min="14344" max="14344" width="11.28515625" style="93" customWidth="1"/>
    <col min="14345" max="14345" width="2.7109375" style="93" customWidth="1"/>
    <col min="14346" max="14346" width="9.42578125" style="93" customWidth="1"/>
    <col min="14347" max="14347" width="2.7109375" style="93" customWidth="1"/>
    <col min="14348" max="14351" width="0" style="93" hidden="1" customWidth="1"/>
    <col min="14352" max="14352" width="10" style="93" customWidth="1"/>
    <col min="14353" max="14422" width="6.7109375" style="93" customWidth="1"/>
    <col min="14423" max="14593" width="9.140625" style="93"/>
    <col min="14594" max="14594" width="2.7109375" style="93" customWidth="1"/>
    <col min="14595" max="14596" width="11.5703125" style="93" customWidth="1"/>
    <col min="14597" max="14597" width="7.28515625" style="93" customWidth="1"/>
    <col min="14598" max="14598" width="9.85546875" style="93" customWidth="1"/>
    <col min="14599" max="14599" width="10.140625" style="93" customWidth="1"/>
    <col min="14600" max="14600" width="11.28515625" style="93" customWidth="1"/>
    <col min="14601" max="14601" width="2.7109375" style="93" customWidth="1"/>
    <col min="14602" max="14602" width="9.42578125" style="93" customWidth="1"/>
    <col min="14603" max="14603" width="2.7109375" style="93" customWidth="1"/>
    <col min="14604" max="14607" width="0" style="93" hidden="1" customWidth="1"/>
    <col min="14608" max="14608" width="10" style="93" customWidth="1"/>
    <col min="14609" max="14678" width="6.7109375" style="93" customWidth="1"/>
    <col min="14679" max="14849" width="9.140625" style="93"/>
    <col min="14850" max="14850" width="2.7109375" style="93" customWidth="1"/>
    <col min="14851" max="14852" width="11.5703125" style="93" customWidth="1"/>
    <col min="14853" max="14853" width="7.28515625" style="93" customWidth="1"/>
    <col min="14854" max="14854" width="9.85546875" style="93" customWidth="1"/>
    <col min="14855" max="14855" width="10.140625" style="93" customWidth="1"/>
    <col min="14856" max="14856" width="11.28515625" style="93" customWidth="1"/>
    <col min="14857" max="14857" width="2.7109375" style="93" customWidth="1"/>
    <col min="14858" max="14858" width="9.42578125" style="93" customWidth="1"/>
    <col min="14859" max="14859" width="2.7109375" style="93" customWidth="1"/>
    <col min="14860" max="14863" width="0" style="93" hidden="1" customWidth="1"/>
    <col min="14864" max="14864" width="10" style="93" customWidth="1"/>
    <col min="14865" max="14934" width="6.7109375" style="93" customWidth="1"/>
    <col min="14935" max="15105" width="9.140625" style="93"/>
    <col min="15106" max="15106" width="2.7109375" style="93" customWidth="1"/>
    <col min="15107" max="15108" width="11.5703125" style="93" customWidth="1"/>
    <col min="15109" max="15109" width="7.28515625" style="93" customWidth="1"/>
    <col min="15110" max="15110" width="9.85546875" style="93" customWidth="1"/>
    <col min="15111" max="15111" width="10.140625" style="93" customWidth="1"/>
    <col min="15112" max="15112" width="11.28515625" style="93" customWidth="1"/>
    <col min="15113" max="15113" width="2.7109375" style="93" customWidth="1"/>
    <col min="15114" max="15114" width="9.42578125" style="93" customWidth="1"/>
    <col min="15115" max="15115" width="2.7109375" style="93" customWidth="1"/>
    <col min="15116" max="15119" width="0" style="93" hidden="1" customWidth="1"/>
    <col min="15120" max="15120" width="10" style="93" customWidth="1"/>
    <col min="15121" max="15190" width="6.7109375" style="93" customWidth="1"/>
    <col min="15191" max="15361" width="9.140625" style="93"/>
    <col min="15362" max="15362" width="2.7109375" style="93" customWidth="1"/>
    <col min="15363" max="15364" width="11.5703125" style="93" customWidth="1"/>
    <col min="15365" max="15365" width="7.28515625" style="93" customWidth="1"/>
    <col min="15366" max="15366" width="9.85546875" style="93" customWidth="1"/>
    <col min="15367" max="15367" width="10.140625" style="93" customWidth="1"/>
    <col min="15368" max="15368" width="11.28515625" style="93" customWidth="1"/>
    <col min="15369" max="15369" width="2.7109375" style="93" customWidth="1"/>
    <col min="15370" max="15370" width="9.42578125" style="93" customWidth="1"/>
    <col min="15371" max="15371" width="2.7109375" style="93" customWidth="1"/>
    <col min="15372" max="15375" width="0" style="93" hidden="1" customWidth="1"/>
    <col min="15376" max="15376" width="10" style="93" customWidth="1"/>
    <col min="15377" max="15446" width="6.7109375" style="93" customWidth="1"/>
    <col min="15447" max="15617" width="9.140625" style="93"/>
    <col min="15618" max="15618" width="2.7109375" style="93" customWidth="1"/>
    <col min="15619" max="15620" width="11.5703125" style="93" customWidth="1"/>
    <col min="15621" max="15621" width="7.28515625" style="93" customWidth="1"/>
    <col min="15622" max="15622" width="9.85546875" style="93" customWidth="1"/>
    <col min="15623" max="15623" width="10.140625" style="93" customWidth="1"/>
    <col min="15624" max="15624" width="11.28515625" style="93" customWidth="1"/>
    <col min="15625" max="15625" width="2.7109375" style="93" customWidth="1"/>
    <col min="15626" max="15626" width="9.42578125" style="93" customWidth="1"/>
    <col min="15627" max="15627" width="2.7109375" style="93" customWidth="1"/>
    <col min="15628" max="15631" width="0" style="93" hidden="1" customWidth="1"/>
    <col min="15632" max="15632" width="10" style="93" customWidth="1"/>
    <col min="15633" max="15702" width="6.7109375" style="93" customWidth="1"/>
    <col min="15703" max="15873" width="9.140625" style="93"/>
    <col min="15874" max="15874" width="2.7109375" style="93" customWidth="1"/>
    <col min="15875" max="15876" width="11.5703125" style="93" customWidth="1"/>
    <col min="15877" max="15877" width="7.28515625" style="93" customWidth="1"/>
    <col min="15878" max="15878" width="9.85546875" style="93" customWidth="1"/>
    <col min="15879" max="15879" width="10.140625" style="93" customWidth="1"/>
    <col min="15880" max="15880" width="11.28515625" style="93" customWidth="1"/>
    <col min="15881" max="15881" width="2.7109375" style="93" customWidth="1"/>
    <col min="15882" max="15882" width="9.42578125" style="93" customWidth="1"/>
    <col min="15883" max="15883" width="2.7109375" style="93" customWidth="1"/>
    <col min="15884" max="15887" width="0" style="93" hidden="1" customWidth="1"/>
    <col min="15888" max="15888" width="10" style="93" customWidth="1"/>
    <col min="15889" max="15958" width="6.7109375" style="93" customWidth="1"/>
    <col min="15959" max="16129" width="9.140625" style="93"/>
    <col min="16130" max="16130" width="2.7109375" style="93" customWidth="1"/>
    <col min="16131" max="16132" width="11.5703125" style="93" customWidth="1"/>
    <col min="16133" max="16133" width="7.28515625" style="93" customWidth="1"/>
    <col min="16134" max="16134" width="9.85546875" style="93" customWidth="1"/>
    <col min="16135" max="16135" width="10.140625" style="93" customWidth="1"/>
    <col min="16136" max="16136" width="11.28515625" style="93" customWidth="1"/>
    <col min="16137" max="16137" width="2.7109375" style="93" customWidth="1"/>
    <col min="16138" max="16138" width="9.42578125" style="93" customWidth="1"/>
    <col min="16139" max="16139" width="2.7109375" style="93" customWidth="1"/>
    <col min="16140" max="16143" width="0" style="93" hidden="1" customWidth="1"/>
    <col min="16144" max="16144" width="10" style="93" customWidth="1"/>
    <col min="16145" max="16214" width="6.7109375" style="93" customWidth="1"/>
    <col min="16215" max="16384" width="9.140625" style="93"/>
  </cols>
  <sheetData>
    <row r="1" spans="1:86" ht="12.75" customHeight="1">
      <c r="B1" s="95" t="s">
        <v>748</v>
      </c>
      <c r="C1" s="441">
        <f>ROUND(ValueDate,0)</f>
        <v>42696</v>
      </c>
      <c r="D1" s="95" t="s">
        <v>623</v>
      </c>
      <c r="E1" s="441">
        <f>ROUND(today,0)</f>
        <v>42692</v>
      </c>
      <c r="F1" s="95" t="s">
        <v>5149</v>
      </c>
      <c r="G1" s="473" t="s">
        <v>5150</v>
      </c>
      <c r="H1" s="414"/>
      <c r="I1" s="94"/>
      <c r="J1" s="94"/>
      <c r="K1" s="414"/>
      <c r="L1" s="414"/>
      <c r="O1" s="414"/>
      <c r="P1" s="414"/>
      <c r="Q1" s="414"/>
      <c r="S1" s="294"/>
      <c r="T1" s="456"/>
      <c r="AO1" s="53"/>
    </row>
    <row r="2" spans="1:86" ht="12.75" customHeight="1">
      <c r="O2"/>
      <c r="R2" s="113"/>
      <c r="S2" s="113"/>
      <c r="T2" s="113"/>
      <c r="U2" s="113"/>
      <c r="V2" s="113"/>
      <c r="W2" s="113"/>
      <c r="X2" s="113"/>
      <c r="Y2" s="113"/>
      <c r="Z2" s="113"/>
      <c r="AA2" s="113"/>
      <c r="AB2" s="113"/>
      <c r="AC2" s="113"/>
      <c r="AD2" s="113"/>
      <c r="AE2" s="113"/>
      <c r="AF2" s="113"/>
      <c r="AG2" s="113"/>
      <c r="AH2" s="113"/>
      <c r="AI2" s="113"/>
      <c r="AJ2" s="113"/>
      <c r="AK2" s="113"/>
      <c r="AL2" s="113"/>
      <c r="AM2" s="113"/>
      <c r="AN2" s="113"/>
      <c r="AO2" s="113"/>
      <c r="AP2" s="113"/>
      <c r="AQ2" s="113"/>
      <c r="AR2" s="113"/>
      <c r="AS2" s="113"/>
      <c r="AT2" s="113"/>
      <c r="AU2" s="113"/>
      <c r="AV2" s="113"/>
      <c r="AW2" s="113"/>
      <c r="AX2" s="113"/>
      <c r="AY2" s="113"/>
      <c r="AZ2" s="113"/>
      <c r="BA2" s="113"/>
      <c r="BB2" s="113"/>
      <c r="BC2" s="113"/>
      <c r="BD2" s="113"/>
      <c r="BE2" s="113"/>
      <c r="BF2" s="113"/>
      <c r="BG2" s="113"/>
      <c r="BH2" s="113"/>
      <c r="BI2" s="113"/>
      <c r="BJ2" s="113"/>
      <c r="BK2" s="113"/>
      <c r="BL2" s="113"/>
      <c r="BM2" s="113"/>
      <c r="BN2" s="113"/>
      <c r="BO2" s="113"/>
      <c r="BP2" s="113"/>
      <c r="BQ2" s="113"/>
      <c r="BR2" s="113"/>
      <c r="BS2" s="113"/>
      <c r="BT2" s="113"/>
      <c r="BU2" s="113"/>
      <c r="BV2" s="113"/>
      <c r="BW2" s="113"/>
      <c r="BX2" s="113"/>
      <c r="BY2" s="113"/>
      <c r="BZ2" s="113"/>
      <c r="CA2" s="113"/>
      <c r="CB2" s="113"/>
      <c r="CC2" s="113"/>
      <c r="CD2" s="113"/>
      <c r="CE2" s="113"/>
      <c r="CF2" s="113"/>
      <c r="CG2" s="113"/>
      <c r="CH2" s="113"/>
    </row>
    <row r="3" spans="1:86" ht="18">
      <c r="A3" s="108"/>
      <c r="B3" s="587" t="s">
        <v>232</v>
      </c>
      <c r="C3" s="587"/>
      <c r="D3" s="587"/>
      <c r="E3" s="587"/>
      <c r="F3" s="587"/>
      <c r="G3" s="587"/>
      <c r="H3" s="587"/>
      <c r="I3" s="587"/>
      <c r="J3" s="587"/>
      <c r="K3" s="587"/>
      <c r="M3" s="474"/>
      <c r="N3" s="470" t="s">
        <v>239</v>
      </c>
      <c r="P3" s="414"/>
      <c r="Q3" s="414"/>
      <c r="R3" s="414"/>
      <c r="S3" s="414"/>
      <c r="T3" s="414"/>
      <c r="U3" s="414"/>
      <c r="V3" s="414"/>
      <c r="W3" s="414"/>
      <c r="X3" s="414"/>
      <c r="Y3" s="414"/>
      <c r="Z3" s="414"/>
      <c r="AA3" s="414"/>
      <c r="AB3" s="414"/>
      <c r="AC3" s="414"/>
      <c r="AD3" s="414"/>
      <c r="AE3" s="414"/>
      <c r="AF3" s="414"/>
      <c r="AG3" s="414"/>
      <c r="AH3" s="414"/>
      <c r="AI3" s="414"/>
      <c r="AJ3" s="414"/>
      <c r="AK3" s="414"/>
      <c r="AL3" s="414"/>
      <c r="AM3" s="414"/>
      <c r="AN3" s="414"/>
      <c r="AO3" s="414"/>
      <c r="AP3" s="414"/>
      <c r="AQ3" s="414"/>
      <c r="AR3" s="414"/>
      <c r="AS3" s="414"/>
      <c r="AT3" s="414"/>
      <c r="AU3" s="414"/>
      <c r="AV3" s="414"/>
      <c r="AW3" s="414"/>
      <c r="AX3" s="414"/>
      <c r="AY3" s="414"/>
      <c r="AZ3" s="414"/>
      <c r="BA3" s="414"/>
      <c r="BB3" s="414"/>
      <c r="BC3" s="414"/>
      <c r="BD3" s="414"/>
      <c r="BE3" s="414"/>
      <c r="BF3" s="414"/>
      <c r="BG3" s="414"/>
      <c r="BH3" s="414"/>
      <c r="BI3" s="414"/>
      <c r="BJ3" s="414"/>
      <c r="BK3" s="414"/>
      <c r="BL3" s="414"/>
      <c r="BM3" s="414"/>
      <c r="BN3" s="414"/>
      <c r="BO3" s="414"/>
      <c r="BP3" s="414"/>
      <c r="BQ3" s="414"/>
      <c r="BR3" s="414"/>
      <c r="BS3" s="414"/>
      <c r="BT3" s="414"/>
      <c r="BU3" s="414"/>
      <c r="BV3" s="414"/>
      <c r="BW3" s="414"/>
      <c r="BX3" s="414"/>
      <c r="BY3" s="414"/>
      <c r="BZ3" s="414"/>
      <c r="CA3" s="414"/>
      <c r="CB3" s="414"/>
      <c r="CC3" s="414"/>
      <c r="CD3"/>
      <c r="CE3"/>
      <c r="CF3"/>
      <c r="CG3"/>
      <c r="CH3"/>
    </row>
    <row r="4" spans="1:86" ht="12.75" customHeight="1">
      <c r="A4" s="108"/>
      <c r="B4" s="588" t="s">
        <v>233</v>
      </c>
      <c r="C4" s="589"/>
      <c r="D4" s="589"/>
      <c r="E4" s="589"/>
      <c r="F4" s="589"/>
      <c r="G4" s="589"/>
      <c r="H4" s="590"/>
      <c r="I4" s="589" t="s">
        <v>234</v>
      </c>
      <c r="J4" s="589"/>
      <c r="K4" s="589"/>
      <c r="M4" s="475"/>
      <c r="N4" s="591" t="s">
        <v>5147</v>
      </c>
      <c r="P4" s="97" t="s">
        <v>235</v>
      </c>
      <c r="Q4" s="99" t="str">
        <f t="array" ref="Q4:CC4">TRANSPOSE(I6:I70&amp;"")</f>
        <v>O/N</v>
      </c>
      <c r="R4" s="99" t="str">
        <v>T/N</v>
      </c>
      <c r="S4" s="99" t="str">
        <v>S/N</v>
      </c>
      <c r="T4" s="99" t="str">
        <v>1W</v>
      </c>
      <c r="U4" s="99" t="str">
        <v>2W</v>
      </c>
      <c r="V4" s="99" t="str">
        <v>3W</v>
      </c>
      <c r="W4" s="99" t="str">
        <v>1M</v>
      </c>
      <c r="X4" s="99" t="str">
        <v>2M</v>
      </c>
      <c r="Y4" s="99" t="str">
        <v>3M</v>
      </c>
      <c r="Z4" s="99" t="str">
        <v>4M</v>
      </c>
      <c r="AA4" s="99" t="str">
        <v>5M</v>
      </c>
      <c r="AB4" s="99" t="str">
        <v>6M</v>
      </c>
      <c r="AC4" s="99" t="str">
        <v>7M</v>
      </c>
      <c r="AD4" s="99" t="str">
        <v>8M</v>
      </c>
      <c r="AE4" s="99" t="str">
        <v>9M</v>
      </c>
      <c r="AF4" s="99" t="str">
        <v>10M</v>
      </c>
      <c r="AG4" s="99" t="str">
        <v>11M</v>
      </c>
      <c r="AH4" s="99" t="str">
        <v>1Y</v>
      </c>
      <c r="AI4" s="99" t="str">
        <v>13M</v>
      </c>
      <c r="AJ4" s="99" t="str">
        <v>14M</v>
      </c>
      <c r="AK4" s="99" t="str">
        <v>15M</v>
      </c>
      <c r="AL4" s="99" t="str">
        <v>16M</v>
      </c>
      <c r="AM4" s="99" t="str">
        <v>17M</v>
      </c>
      <c r="AN4" s="99" t="str">
        <v>18M</v>
      </c>
      <c r="AO4" s="99" t="str">
        <v>19M</v>
      </c>
      <c r="AP4" s="99" t="str">
        <v>20M</v>
      </c>
      <c r="AQ4" s="99" t="str">
        <v>21M</v>
      </c>
      <c r="AR4" s="99" t="str">
        <v>22M</v>
      </c>
      <c r="AS4" s="99" t="str">
        <v>23M</v>
      </c>
      <c r="AT4" s="99" t="str">
        <v>2Y</v>
      </c>
      <c r="AU4" s="99" t="str">
        <v>3Y</v>
      </c>
      <c r="AV4" s="99" t="str">
        <v>4Y</v>
      </c>
      <c r="AW4" s="99" t="str">
        <v>5Y</v>
      </c>
      <c r="AX4" s="99" t="str">
        <v>6Y</v>
      </c>
      <c r="AY4" s="99" t="str">
        <v>7Y</v>
      </c>
      <c r="AZ4" s="99" t="str">
        <v>8Y</v>
      </c>
      <c r="BA4" s="99" t="str">
        <v>9Y</v>
      </c>
      <c r="BB4" s="99" t="str">
        <v>10Y</v>
      </c>
      <c r="BC4" s="99" t="str">
        <v>11Y</v>
      </c>
      <c r="BD4" s="99" t="str">
        <v>12Y</v>
      </c>
      <c r="BE4" s="99" t="str">
        <v>13Y</v>
      </c>
      <c r="BF4" s="99" t="str">
        <v>14Y</v>
      </c>
      <c r="BG4" s="99" t="str">
        <v>15Y</v>
      </c>
      <c r="BH4" s="99" t="str">
        <v>16Y</v>
      </c>
      <c r="BI4" s="99" t="str">
        <v>17Y</v>
      </c>
      <c r="BJ4" s="99" t="str">
        <v>18Y</v>
      </c>
      <c r="BK4" s="99" t="str">
        <v>19Y</v>
      </c>
      <c r="BL4" s="99" t="str">
        <v>20Y</v>
      </c>
      <c r="BM4" s="99" t="str">
        <v>21Y</v>
      </c>
      <c r="BN4" s="99" t="str">
        <v>22Y</v>
      </c>
      <c r="BO4" s="99" t="str">
        <v>23Y</v>
      </c>
      <c r="BP4" s="99" t="str">
        <v>24Y</v>
      </c>
      <c r="BQ4" s="99" t="str">
        <v>25Y</v>
      </c>
      <c r="BR4" s="99" t="str">
        <v>26Y</v>
      </c>
      <c r="BS4" s="99" t="str">
        <v>27Y</v>
      </c>
      <c r="BT4" s="99" t="str">
        <v>28Y</v>
      </c>
      <c r="BU4" s="99" t="str">
        <v>29Y</v>
      </c>
      <c r="BV4" s="99" t="str">
        <v>30Y</v>
      </c>
      <c r="BW4" s="99" t="str">
        <v>35Y</v>
      </c>
      <c r="BX4" s="99" t="str">
        <v>40Y</v>
      </c>
      <c r="BY4" s="99" t="str">
        <v>50Y</v>
      </c>
      <c r="BZ4" s="99" t="str">
        <v>60Y</v>
      </c>
      <c r="CA4" s="99" t="e">
        <v>#N/A</v>
      </c>
      <c r="CB4" s="99" t="e">
        <v>#N/A</v>
      </c>
      <c r="CC4" s="99" t="e">
        <v>#N/A</v>
      </c>
      <c r="CD4"/>
      <c r="CE4"/>
      <c r="CF4"/>
      <c r="CG4"/>
      <c r="CH4"/>
    </row>
    <row r="5" spans="1:86" ht="44.25">
      <c r="A5" s="108" t="s">
        <v>236</v>
      </c>
      <c r="B5" s="263" t="s">
        <v>88</v>
      </c>
      <c r="C5" s="100" t="s">
        <v>159</v>
      </c>
      <c r="D5" s="101" t="s">
        <v>240</v>
      </c>
      <c r="E5" s="101" t="s">
        <v>5144</v>
      </c>
      <c r="F5" s="101" t="s">
        <v>5143</v>
      </c>
      <c r="G5" s="101" t="s">
        <v>5151</v>
      </c>
      <c r="H5" s="101" t="s">
        <v>5145</v>
      </c>
      <c r="I5" s="472" t="s">
        <v>5142</v>
      </c>
      <c r="J5" s="109" t="s">
        <v>240</v>
      </c>
      <c r="K5" s="101" t="s">
        <v>231</v>
      </c>
      <c r="M5" s="476"/>
      <c r="N5" s="591"/>
      <c r="P5" s="103" t="b">
        <v>0</v>
      </c>
      <c r="Q5" s="104">
        <f t="array" ref="Q5:CC5">TRANSPOSE(K6:K70)</f>
        <v>42695</v>
      </c>
      <c r="R5" s="104">
        <v>42696</v>
      </c>
      <c r="S5" s="104">
        <v>42697</v>
      </c>
      <c r="T5" s="104">
        <v>42703</v>
      </c>
      <c r="U5" s="104">
        <v>42710</v>
      </c>
      <c r="V5" s="104">
        <v>42717</v>
      </c>
      <c r="W5" s="104">
        <v>42726</v>
      </c>
      <c r="X5" s="104">
        <v>42758</v>
      </c>
      <c r="Y5" s="104">
        <v>42788</v>
      </c>
      <c r="Z5" s="104">
        <v>42816</v>
      </c>
      <c r="AA5" s="104">
        <v>42849</v>
      </c>
      <c r="AB5" s="104">
        <v>42877</v>
      </c>
      <c r="AC5" s="104">
        <v>42908</v>
      </c>
      <c r="AD5" s="104">
        <v>42940</v>
      </c>
      <c r="AE5" s="104">
        <v>42969</v>
      </c>
      <c r="AF5" s="104">
        <v>43000</v>
      </c>
      <c r="AG5" s="104">
        <v>43031</v>
      </c>
      <c r="AH5" s="104">
        <v>43061</v>
      </c>
      <c r="AI5" s="104">
        <v>43091</v>
      </c>
      <c r="AJ5" s="104">
        <v>43122</v>
      </c>
      <c r="AK5" s="104">
        <v>43153</v>
      </c>
      <c r="AL5" s="104">
        <v>43181</v>
      </c>
      <c r="AM5" s="104">
        <v>43213</v>
      </c>
      <c r="AN5" s="104">
        <v>43242</v>
      </c>
      <c r="AO5" s="104">
        <v>43273</v>
      </c>
      <c r="AP5" s="104">
        <v>43304</v>
      </c>
      <c r="AQ5" s="104">
        <v>43334</v>
      </c>
      <c r="AR5" s="104">
        <v>43367</v>
      </c>
      <c r="AS5" s="104">
        <v>43395</v>
      </c>
      <c r="AT5" s="104">
        <v>43426</v>
      </c>
      <c r="AU5" s="104">
        <v>43791</v>
      </c>
      <c r="AV5" s="104">
        <v>44158</v>
      </c>
      <c r="AW5" s="104">
        <v>44522</v>
      </c>
      <c r="AX5" s="104">
        <v>44887</v>
      </c>
      <c r="AY5" s="104">
        <v>45252</v>
      </c>
      <c r="AZ5" s="104">
        <v>45618</v>
      </c>
      <c r="BA5" s="104">
        <v>45985</v>
      </c>
      <c r="BB5" s="104">
        <v>46349</v>
      </c>
      <c r="BC5" s="104">
        <v>46713</v>
      </c>
      <c r="BD5" s="104">
        <v>47079</v>
      </c>
      <c r="BE5" s="104">
        <v>47444</v>
      </c>
      <c r="BF5" s="104">
        <v>47809</v>
      </c>
      <c r="BG5" s="104">
        <v>48176</v>
      </c>
      <c r="BH5" s="104">
        <v>48540</v>
      </c>
      <c r="BI5" s="104">
        <v>48905</v>
      </c>
      <c r="BJ5" s="104">
        <v>49270</v>
      </c>
      <c r="BK5" s="104">
        <v>49635</v>
      </c>
      <c r="BL5" s="104">
        <v>50003</v>
      </c>
      <c r="BM5" s="104">
        <v>50367</v>
      </c>
      <c r="BN5" s="104">
        <v>50731</v>
      </c>
      <c r="BO5" s="104">
        <v>51096</v>
      </c>
      <c r="BP5" s="104">
        <v>51462</v>
      </c>
      <c r="BQ5" s="104">
        <v>51827</v>
      </c>
      <c r="BR5" s="104">
        <v>52194</v>
      </c>
      <c r="BS5" s="104">
        <v>52558</v>
      </c>
      <c r="BT5" s="104">
        <v>52923</v>
      </c>
      <c r="BU5" s="104">
        <v>53288</v>
      </c>
      <c r="BV5" s="104">
        <v>53653</v>
      </c>
      <c r="BW5" s="104">
        <v>55479</v>
      </c>
      <c r="BX5" s="104">
        <v>57306</v>
      </c>
      <c r="BY5" s="104">
        <v>60958</v>
      </c>
      <c r="BZ5" s="104">
        <v>64612</v>
      </c>
      <c r="CA5" s="104" t="e">
        <v>#NUM!</v>
      </c>
      <c r="CB5" s="104" t="e">
        <v>#NUM!</v>
      </c>
      <c r="CC5" s="104" t="e">
        <v>#NUM!</v>
      </c>
      <c r="CD5"/>
      <c r="CE5"/>
      <c r="CF5"/>
      <c r="CG5"/>
      <c r="CH5"/>
    </row>
    <row r="6" spans="1:86" ht="12.75" customHeight="1">
      <c r="A6" s="105">
        <v>1</v>
      </c>
      <c r="B6" s="112" t="str">
        <f t="array" ref="B6:B70">[0]!Bucket3M</f>
        <v>S/N</v>
      </c>
      <c r="C6" s="465">
        <f>'eur disaggregated'!AF17</f>
        <v>34.0790860673482</v>
      </c>
      <c r="D6" s="111" t="s">
        <v>484</v>
      </c>
      <c r="E6" s="441">
        <f>IF(LEN(B6)&lt;4,$C$1,IF(OR(LEFT(B6,3)="DEC",LEFT(B6,3)="MAR",LEFT(B6,3)="JUN",LEFT(B6,3)="SEP"),INDEX(EurMkt!$F$15:$F$34,MATCH(B6,EurMkt!$H$15:$H$34,0)),F3))</f>
        <v>42696</v>
      </c>
      <c r="F6" s="441">
        <f>IF(AND(NOT(ISNA(MATCH(RIGHT(B6,2),$I$6:$I$67,0))),LEN(B6)&lt;6,RIGHT(B6,1)="M"), INDEX($K$6:$K$67, MATCH(RIGHT(B6,2),$I$6:$I$67,0)), IF(AND(NOT(ISNA(MATCH(RIGHT(B6,3),$I$6:$I$67,0))), LEN(B6)&gt;=6, RIGHT(B6,1)="M"), INDEX($K$6:$K$67, MATCH(RIGHT(B6,3),$I$6:$I$67,0)), _xll.qlCalendarAdvance(Calendar,E6,D6)))</f>
        <v>42697</v>
      </c>
      <c r="G6" s="462">
        <f>IF(AND(70&lt;H6, H6&lt;130),(100-H6)/100,H6/100)</f>
        <v>-3.2428576300000001E-3</v>
      </c>
      <c r="H6" s="453">
        <v>-0.324285763</v>
      </c>
      <c r="I6" s="107" t="str">
        <f t="array" ref="I6:I70">[0]!BucketOIS</f>
        <v>O/N</v>
      </c>
      <c r="J6" s="106" t="str">
        <f t="shared" ref="J6:J69" si="0">IF(LEN(I6)&gt;0,IF((MID(I6,4,1)=" "),I6,IF((LEN(I6)=8),DATE("20" &amp; RIGHT(I6,2),MID(I6,4,2),LEFT(I6,2)),SimplifyTenor(I6))),"")</f>
        <v>1D</v>
      </c>
      <c r="K6" s="441">
        <f>_xll.qlCalendarAdvance("TARGET",EvaluationDate,J6)</f>
        <v>42695</v>
      </c>
      <c r="M6" s="99" t="str">
        <f t="array" ref="M6:M70">I6:I70</f>
        <v>O/N</v>
      </c>
      <c r="N6" s="465">
        <f t="array" ref="N6:N70">TRANSPOSE(Q72:CC72)</f>
        <v>0</v>
      </c>
      <c r="P6" s="106" t="b">
        <f t="shared" ref="P6:P37" si="1">MID(B6,4,1)=" "</f>
        <v>0</v>
      </c>
      <c r="Q6" s="460">
        <f t="array" ref="Q6:CC6">C6*ForwardToZero(OisBuckets,E6,F6,G6)</f>
        <v>0</v>
      </c>
      <c r="R6" s="460">
        <v>0</v>
      </c>
      <c r="S6" s="460">
        <v>34.0790860673482</v>
      </c>
      <c r="T6" s="460">
        <v>0</v>
      </c>
      <c r="U6" s="460">
        <v>0</v>
      </c>
      <c r="V6" s="460">
        <v>0</v>
      </c>
      <c r="W6" s="460">
        <v>0</v>
      </c>
      <c r="X6" s="460">
        <v>0</v>
      </c>
      <c r="Y6" s="460">
        <v>0</v>
      </c>
      <c r="Z6" s="460">
        <v>0</v>
      </c>
      <c r="AA6" s="460">
        <v>0</v>
      </c>
      <c r="AB6" s="460">
        <v>0</v>
      </c>
      <c r="AC6" s="460">
        <v>0</v>
      </c>
      <c r="AD6" s="460">
        <v>0</v>
      </c>
      <c r="AE6" s="460">
        <v>0</v>
      </c>
      <c r="AF6" s="460">
        <v>0</v>
      </c>
      <c r="AG6" s="460">
        <v>0</v>
      </c>
      <c r="AH6" s="460">
        <v>0</v>
      </c>
      <c r="AI6" s="460">
        <v>0</v>
      </c>
      <c r="AJ6" s="460">
        <v>0</v>
      </c>
      <c r="AK6" s="460">
        <v>0</v>
      </c>
      <c r="AL6" s="460">
        <v>0</v>
      </c>
      <c r="AM6" s="460">
        <v>0</v>
      </c>
      <c r="AN6" s="460">
        <v>0</v>
      </c>
      <c r="AO6" s="460">
        <v>0</v>
      </c>
      <c r="AP6" s="460">
        <v>0</v>
      </c>
      <c r="AQ6" s="460">
        <v>0</v>
      </c>
      <c r="AR6" s="460">
        <v>0</v>
      </c>
      <c r="AS6" s="460">
        <v>0</v>
      </c>
      <c r="AT6" s="460">
        <v>0</v>
      </c>
      <c r="AU6" s="460">
        <v>0</v>
      </c>
      <c r="AV6" s="460">
        <v>0</v>
      </c>
      <c r="AW6" s="460">
        <v>0</v>
      </c>
      <c r="AX6" s="460">
        <v>0</v>
      </c>
      <c r="AY6" s="460">
        <v>0</v>
      </c>
      <c r="AZ6" s="460">
        <v>0</v>
      </c>
      <c r="BA6" s="460">
        <v>0</v>
      </c>
      <c r="BB6" s="460">
        <v>0</v>
      </c>
      <c r="BC6" s="460">
        <v>0</v>
      </c>
      <c r="BD6" s="460">
        <v>0</v>
      </c>
      <c r="BE6" s="460">
        <v>0</v>
      </c>
      <c r="BF6" s="460">
        <v>0</v>
      </c>
      <c r="BG6" s="460">
        <v>0</v>
      </c>
      <c r="BH6" s="460">
        <v>0</v>
      </c>
      <c r="BI6" s="460">
        <v>0</v>
      </c>
      <c r="BJ6" s="460">
        <v>0</v>
      </c>
      <c r="BK6" s="460">
        <v>0</v>
      </c>
      <c r="BL6" s="460">
        <v>0</v>
      </c>
      <c r="BM6" s="460">
        <v>0</v>
      </c>
      <c r="BN6" s="460">
        <v>0</v>
      </c>
      <c r="BO6" s="460">
        <v>0</v>
      </c>
      <c r="BP6" s="460">
        <v>0</v>
      </c>
      <c r="BQ6" s="460">
        <v>0</v>
      </c>
      <c r="BR6" s="460">
        <v>0</v>
      </c>
      <c r="BS6" s="460">
        <v>0</v>
      </c>
      <c r="BT6" s="460">
        <v>0</v>
      </c>
      <c r="BU6" s="460">
        <v>0</v>
      </c>
      <c r="BV6" s="460">
        <v>0</v>
      </c>
      <c r="BW6" s="460">
        <v>0</v>
      </c>
      <c r="BX6" s="460">
        <v>0</v>
      </c>
      <c r="BY6" s="460">
        <v>0</v>
      </c>
      <c r="BZ6" s="460">
        <v>0</v>
      </c>
      <c r="CA6" s="460" t="e">
        <v>#N/A</v>
      </c>
      <c r="CB6" s="460" t="e">
        <v>#N/A</v>
      </c>
      <c r="CC6" s="460" t="e">
        <v>#N/A</v>
      </c>
      <c r="CD6"/>
      <c r="CE6"/>
      <c r="CF6"/>
      <c r="CG6"/>
      <c r="CH6"/>
    </row>
    <row r="7" spans="1:86" ht="12.75" customHeight="1">
      <c r="A7" s="105">
        <v>2</v>
      </c>
      <c r="B7" s="112" t="str">
        <v>1W</v>
      </c>
      <c r="C7" s="465">
        <f>'eur disaggregated'!AF18</f>
        <v>41.695673239333409</v>
      </c>
      <c r="D7" s="111" t="str">
        <f t="shared" ref="D7:D30" si="2">IF(LEN(B7)&gt;3, "3M",IF(LEN(B7)&gt;0,SimplifyTenor(B7),""))</f>
        <v>1W</v>
      </c>
      <c r="E7" s="441">
        <f>IF(LEN(B7)&lt;4,$C$1,IF(OR(LEFT(B7,3)="DEC",LEFT(B7,3)="MAR",LEFT(B7,3)="JUN",LEFT(B7,3)="SEP"),INDEX(EurMkt!$F$15:$F$34,MATCH(B7,EurMkt!$H$15:$H$34,0)),F4))</f>
        <v>42696</v>
      </c>
      <c r="F7" s="441">
        <f>IF(AND(NOT(ISNA(MATCH(RIGHT(B7,2),$I$6:$I$67,0))),LEN(B7)&lt;6,RIGHT(B7,1)="M"), INDEX($K$6:$K$67, MATCH(RIGHT(B7,2),$I$6:$I$67,0)), IF(AND(NOT(ISNA(MATCH(RIGHT(B7,3),$I$6:$I$67,0))), LEN(B7)&gt;=6, RIGHT(B7,1)="M"), INDEX($K$6:$K$67, MATCH(RIGHT(B7,3),$I$6:$I$67,0)), _xll.qlCalendarAdvance(Calendar,E7,D7)))</f>
        <v>42703</v>
      </c>
      <c r="G7" s="462">
        <f t="shared" ref="G7:G70" si="3">IF(AND(70&lt;H7, H7&lt;130),(100-H7)/100,H7/100)</f>
        <v>-3.2427992100000002E-3</v>
      </c>
      <c r="H7" s="453">
        <v>-0.32427992100000003</v>
      </c>
      <c r="I7" s="107" t="str">
        <v>T/N</v>
      </c>
      <c r="J7" s="106" t="str">
        <f t="shared" si="0"/>
        <v>2D</v>
      </c>
      <c r="K7" s="441">
        <f>_xll.qlCalendarAdvance("TARGET",EvaluationDate,J7)</f>
        <v>42696</v>
      </c>
      <c r="M7" s="99" t="str">
        <v>T/N</v>
      </c>
      <c r="N7" s="465">
        <v>0</v>
      </c>
      <c r="P7" s="106" t="b">
        <f t="shared" si="1"/>
        <v>0</v>
      </c>
      <c r="Q7" s="460">
        <f t="array" ref="Q7:CC7">C7*ForwardToZero(OisBuckets,E7,F7,G7)</f>
        <v>0</v>
      </c>
      <c r="R7" s="460">
        <v>0</v>
      </c>
      <c r="S7" s="460">
        <v>0</v>
      </c>
      <c r="T7" s="460">
        <v>41.695673239333409</v>
      </c>
      <c r="U7" s="460">
        <v>0</v>
      </c>
      <c r="V7" s="460">
        <v>0</v>
      </c>
      <c r="W7" s="460">
        <v>0</v>
      </c>
      <c r="X7" s="460">
        <v>0</v>
      </c>
      <c r="Y7" s="460">
        <v>0</v>
      </c>
      <c r="Z7" s="460">
        <v>0</v>
      </c>
      <c r="AA7" s="460">
        <v>0</v>
      </c>
      <c r="AB7" s="460">
        <v>0</v>
      </c>
      <c r="AC7" s="460">
        <v>0</v>
      </c>
      <c r="AD7" s="460">
        <v>0</v>
      </c>
      <c r="AE7" s="460">
        <v>0</v>
      </c>
      <c r="AF7" s="460">
        <v>0</v>
      </c>
      <c r="AG7" s="460">
        <v>0</v>
      </c>
      <c r="AH7" s="460">
        <v>0</v>
      </c>
      <c r="AI7" s="460">
        <v>0</v>
      </c>
      <c r="AJ7" s="460">
        <v>0</v>
      </c>
      <c r="AK7" s="460">
        <v>0</v>
      </c>
      <c r="AL7" s="460">
        <v>0</v>
      </c>
      <c r="AM7" s="460">
        <v>0</v>
      </c>
      <c r="AN7" s="460">
        <v>0</v>
      </c>
      <c r="AO7" s="460">
        <v>0</v>
      </c>
      <c r="AP7" s="460">
        <v>0</v>
      </c>
      <c r="AQ7" s="460">
        <v>0</v>
      </c>
      <c r="AR7" s="460">
        <v>0</v>
      </c>
      <c r="AS7" s="460">
        <v>0</v>
      </c>
      <c r="AT7" s="460">
        <v>0</v>
      </c>
      <c r="AU7" s="460">
        <v>0</v>
      </c>
      <c r="AV7" s="460">
        <v>0</v>
      </c>
      <c r="AW7" s="460">
        <v>0</v>
      </c>
      <c r="AX7" s="460">
        <v>0</v>
      </c>
      <c r="AY7" s="460">
        <v>0</v>
      </c>
      <c r="AZ7" s="460">
        <v>0</v>
      </c>
      <c r="BA7" s="460">
        <v>0</v>
      </c>
      <c r="BB7" s="460">
        <v>0</v>
      </c>
      <c r="BC7" s="460">
        <v>0</v>
      </c>
      <c r="BD7" s="460">
        <v>0</v>
      </c>
      <c r="BE7" s="460">
        <v>0</v>
      </c>
      <c r="BF7" s="460">
        <v>0</v>
      </c>
      <c r="BG7" s="460">
        <v>0</v>
      </c>
      <c r="BH7" s="460">
        <v>0</v>
      </c>
      <c r="BI7" s="460">
        <v>0</v>
      </c>
      <c r="BJ7" s="460">
        <v>0</v>
      </c>
      <c r="BK7" s="460">
        <v>0</v>
      </c>
      <c r="BL7" s="460">
        <v>0</v>
      </c>
      <c r="BM7" s="460">
        <v>0</v>
      </c>
      <c r="BN7" s="460">
        <v>0</v>
      </c>
      <c r="BO7" s="460">
        <v>0</v>
      </c>
      <c r="BP7" s="460">
        <v>0</v>
      </c>
      <c r="BQ7" s="460">
        <v>0</v>
      </c>
      <c r="BR7" s="460">
        <v>0</v>
      </c>
      <c r="BS7" s="460">
        <v>0</v>
      </c>
      <c r="BT7" s="460">
        <v>0</v>
      </c>
      <c r="BU7" s="460">
        <v>0</v>
      </c>
      <c r="BV7" s="460">
        <v>0</v>
      </c>
      <c r="BW7" s="460">
        <v>0</v>
      </c>
      <c r="BX7" s="460">
        <v>0</v>
      </c>
      <c r="BY7" s="460">
        <v>0</v>
      </c>
      <c r="BZ7" s="460">
        <v>0</v>
      </c>
      <c r="CA7" s="460" t="e">
        <v>#N/A</v>
      </c>
      <c r="CB7" s="460" t="e">
        <v>#N/A</v>
      </c>
      <c r="CC7" s="460" t="e">
        <v>#N/A</v>
      </c>
      <c r="CD7"/>
      <c r="CE7"/>
      <c r="CF7"/>
      <c r="CG7"/>
      <c r="CH7"/>
    </row>
    <row r="8" spans="1:86" ht="12.75" customHeight="1">
      <c r="A8" s="105">
        <v>3</v>
      </c>
      <c r="B8" s="112" t="str">
        <v>2W</v>
      </c>
      <c r="C8" s="465">
        <f>'eur disaggregated'!AF19</f>
        <v>49.888466595010136</v>
      </c>
      <c r="D8" s="111" t="str">
        <f t="shared" si="2"/>
        <v>2W</v>
      </c>
      <c r="E8" s="441">
        <f>IF(LEN(B8)&lt;4,$C$1,IF(OR(LEFT(B8,3)="DEC",LEFT(B8,3)="MAR",LEFT(B8,3)="JUN",LEFT(B8,3)="SEP"),INDEX(EurMkt!$F$15:$F$34,MATCH(B8,EurMkt!$H$15:$H$34,0)),F5))</f>
        <v>42696</v>
      </c>
      <c r="F8" s="441">
        <f>IF(AND(NOT(ISNA(MATCH(RIGHT(B8,2),$I$6:$I$67,0))),LEN(B8)&lt;6,RIGHT(B8,1)="M"), INDEX($K$6:$K$67, MATCH(RIGHT(B8,2),$I$6:$I$67,0)), IF(AND(NOT(ISNA(MATCH(RIGHT(B8,3),$I$6:$I$67,0))), LEN(B8)&gt;=6, RIGHT(B8,1)="M"), INDEX($K$6:$K$67, MATCH(RIGHT(B8,3),$I$6:$I$67,0)), _xll.qlCalendarAdvance(Calendar,E8,D8)))</f>
        <v>42710</v>
      </c>
      <c r="G8" s="462">
        <f t="shared" si="3"/>
        <v>-3.21955702E-3</v>
      </c>
      <c r="H8" s="453">
        <v>-0.32195570200000001</v>
      </c>
      <c r="I8" s="107" t="str">
        <v>S/N</v>
      </c>
      <c r="J8" s="106" t="str">
        <f t="shared" si="0"/>
        <v>3D</v>
      </c>
      <c r="K8" s="441">
        <f>_xll.qlCalendarAdvance("TARGET",EvaluationDate,J8)</f>
        <v>42697</v>
      </c>
      <c r="M8" s="99" t="str">
        <v>S/N</v>
      </c>
      <c r="N8" s="465">
        <v>34.0790860673482</v>
      </c>
      <c r="P8" s="106" t="b">
        <f t="shared" si="1"/>
        <v>0</v>
      </c>
      <c r="Q8" s="460">
        <f t="array" ref="Q8:CC8">C8*ForwardToZero(OisBuckets,E8,F8,G8)</f>
        <v>0</v>
      </c>
      <c r="R8" s="460">
        <v>0</v>
      </c>
      <c r="S8" s="460">
        <v>0</v>
      </c>
      <c r="T8" s="460">
        <v>0</v>
      </c>
      <c r="U8" s="460">
        <v>49.888466595010136</v>
      </c>
      <c r="V8" s="460">
        <v>0</v>
      </c>
      <c r="W8" s="460">
        <v>0</v>
      </c>
      <c r="X8" s="460">
        <v>0</v>
      </c>
      <c r="Y8" s="460">
        <v>0</v>
      </c>
      <c r="Z8" s="460">
        <v>0</v>
      </c>
      <c r="AA8" s="460">
        <v>0</v>
      </c>
      <c r="AB8" s="460">
        <v>0</v>
      </c>
      <c r="AC8" s="460">
        <v>0</v>
      </c>
      <c r="AD8" s="460">
        <v>0</v>
      </c>
      <c r="AE8" s="460">
        <v>0</v>
      </c>
      <c r="AF8" s="460">
        <v>0</v>
      </c>
      <c r="AG8" s="460">
        <v>0</v>
      </c>
      <c r="AH8" s="460">
        <v>0</v>
      </c>
      <c r="AI8" s="460">
        <v>0</v>
      </c>
      <c r="AJ8" s="460">
        <v>0</v>
      </c>
      <c r="AK8" s="460">
        <v>0</v>
      </c>
      <c r="AL8" s="460">
        <v>0</v>
      </c>
      <c r="AM8" s="460">
        <v>0</v>
      </c>
      <c r="AN8" s="460">
        <v>0</v>
      </c>
      <c r="AO8" s="460">
        <v>0</v>
      </c>
      <c r="AP8" s="460">
        <v>0</v>
      </c>
      <c r="AQ8" s="460">
        <v>0</v>
      </c>
      <c r="AR8" s="460">
        <v>0</v>
      </c>
      <c r="AS8" s="460">
        <v>0</v>
      </c>
      <c r="AT8" s="460">
        <v>0</v>
      </c>
      <c r="AU8" s="460">
        <v>0</v>
      </c>
      <c r="AV8" s="460">
        <v>0</v>
      </c>
      <c r="AW8" s="460">
        <v>0</v>
      </c>
      <c r="AX8" s="460">
        <v>0</v>
      </c>
      <c r="AY8" s="460">
        <v>0</v>
      </c>
      <c r="AZ8" s="460">
        <v>0</v>
      </c>
      <c r="BA8" s="460">
        <v>0</v>
      </c>
      <c r="BB8" s="460">
        <v>0</v>
      </c>
      <c r="BC8" s="460">
        <v>0</v>
      </c>
      <c r="BD8" s="460">
        <v>0</v>
      </c>
      <c r="BE8" s="460">
        <v>0</v>
      </c>
      <c r="BF8" s="460">
        <v>0</v>
      </c>
      <c r="BG8" s="460">
        <v>0</v>
      </c>
      <c r="BH8" s="460">
        <v>0</v>
      </c>
      <c r="BI8" s="460">
        <v>0</v>
      </c>
      <c r="BJ8" s="460">
        <v>0</v>
      </c>
      <c r="BK8" s="460">
        <v>0</v>
      </c>
      <c r="BL8" s="460">
        <v>0</v>
      </c>
      <c r="BM8" s="460">
        <v>0</v>
      </c>
      <c r="BN8" s="460">
        <v>0</v>
      </c>
      <c r="BO8" s="460">
        <v>0</v>
      </c>
      <c r="BP8" s="460">
        <v>0</v>
      </c>
      <c r="BQ8" s="460">
        <v>0</v>
      </c>
      <c r="BR8" s="460">
        <v>0</v>
      </c>
      <c r="BS8" s="460">
        <v>0</v>
      </c>
      <c r="BT8" s="460">
        <v>0</v>
      </c>
      <c r="BU8" s="460">
        <v>0</v>
      </c>
      <c r="BV8" s="460">
        <v>0</v>
      </c>
      <c r="BW8" s="460">
        <v>0</v>
      </c>
      <c r="BX8" s="460">
        <v>0</v>
      </c>
      <c r="BY8" s="460">
        <v>0</v>
      </c>
      <c r="BZ8" s="460">
        <v>0</v>
      </c>
      <c r="CA8" s="460" t="e">
        <v>#N/A</v>
      </c>
      <c r="CB8" s="460" t="e">
        <v>#N/A</v>
      </c>
      <c r="CC8" s="460" t="e">
        <v>#N/A</v>
      </c>
      <c r="CD8"/>
      <c r="CE8"/>
      <c r="CF8"/>
      <c r="CG8"/>
      <c r="CH8"/>
    </row>
    <row r="9" spans="1:86" ht="12.75" customHeight="1">
      <c r="A9" s="105">
        <v>4</v>
      </c>
      <c r="B9" s="112" t="str">
        <v>3W</v>
      </c>
      <c r="C9" s="465">
        <f>'eur disaggregated'!AF20</f>
        <v>-285.12146685071059</v>
      </c>
      <c r="D9" s="111" t="str">
        <f t="shared" si="2"/>
        <v>3W</v>
      </c>
      <c r="E9" s="441">
        <f>IF(LEN(B9)&lt;4,$C$1,IF(OR(LEFT(B9,3)="DEC",LEFT(B9,3)="MAR",LEFT(B9,3)="JUN",LEFT(B9,3)="SEP"),INDEX(EurMkt!$F$15:$F$34,MATCH(B9,EurMkt!$H$15:$H$34,0)),F6))</f>
        <v>42696</v>
      </c>
      <c r="F9" s="441">
        <f>IF(AND(NOT(ISNA(MATCH(RIGHT(B9,2),$I$6:$I$67,0))),LEN(B9)&lt;6,RIGHT(B9,1)="M"), INDEX($K$6:$K$67, MATCH(RIGHT(B9,2),$I$6:$I$67,0)), IF(AND(NOT(ISNA(MATCH(RIGHT(B9,3),$I$6:$I$67,0))), LEN(B9)&gt;=6, RIGHT(B9,1)="M"), INDEX($K$6:$K$67, MATCH(RIGHT(B9,3),$I$6:$I$67,0)), _xll.qlCalendarAdvance(Calendar,E9,D9)))</f>
        <v>42717</v>
      </c>
      <c r="G9" s="462">
        <f t="shared" si="3"/>
        <v>-3.2271690800000003E-3</v>
      </c>
      <c r="H9" s="453">
        <v>-0.32271690800000002</v>
      </c>
      <c r="I9" s="107" t="str">
        <v>1W</v>
      </c>
      <c r="J9" s="106" t="str">
        <f t="shared" si="0"/>
        <v>1W</v>
      </c>
      <c r="K9" s="106">
        <f>_xll.qlCalendarAdvance("TARGET",SettlementDate,J9)</f>
        <v>42703</v>
      </c>
      <c r="M9" s="99" t="str">
        <v>1W</v>
      </c>
      <c r="N9" s="465">
        <v>41.695673239333409</v>
      </c>
      <c r="P9" s="106" t="b">
        <f t="shared" si="1"/>
        <v>0</v>
      </c>
      <c r="Q9" s="460">
        <f t="array" ref="Q9:CC9">C9*ForwardToZero(OisBuckets,E9,F9,G9)</f>
        <v>0</v>
      </c>
      <c r="R9" s="460">
        <v>0</v>
      </c>
      <c r="S9" s="460">
        <v>0</v>
      </c>
      <c r="T9" s="460">
        <v>0</v>
      </c>
      <c r="U9" s="460">
        <v>0</v>
      </c>
      <c r="V9" s="460">
        <v>-285.12146685071059</v>
      </c>
      <c r="W9" s="460">
        <v>0</v>
      </c>
      <c r="X9" s="460">
        <v>0</v>
      </c>
      <c r="Y9" s="460">
        <v>0</v>
      </c>
      <c r="Z9" s="460">
        <v>0</v>
      </c>
      <c r="AA9" s="460">
        <v>0</v>
      </c>
      <c r="AB9" s="460">
        <v>0</v>
      </c>
      <c r="AC9" s="460">
        <v>0</v>
      </c>
      <c r="AD9" s="460">
        <v>0</v>
      </c>
      <c r="AE9" s="460">
        <v>0</v>
      </c>
      <c r="AF9" s="460">
        <v>0</v>
      </c>
      <c r="AG9" s="460">
        <v>0</v>
      </c>
      <c r="AH9" s="460">
        <v>0</v>
      </c>
      <c r="AI9" s="460">
        <v>0</v>
      </c>
      <c r="AJ9" s="460">
        <v>0</v>
      </c>
      <c r="AK9" s="460">
        <v>0</v>
      </c>
      <c r="AL9" s="460">
        <v>0</v>
      </c>
      <c r="AM9" s="460">
        <v>0</v>
      </c>
      <c r="AN9" s="460">
        <v>0</v>
      </c>
      <c r="AO9" s="460">
        <v>0</v>
      </c>
      <c r="AP9" s="460">
        <v>0</v>
      </c>
      <c r="AQ9" s="460">
        <v>0</v>
      </c>
      <c r="AR9" s="460">
        <v>0</v>
      </c>
      <c r="AS9" s="460">
        <v>0</v>
      </c>
      <c r="AT9" s="460">
        <v>0</v>
      </c>
      <c r="AU9" s="460">
        <v>0</v>
      </c>
      <c r="AV9" s="460">
        <v>0</v>
      </c>
      <c r="AW9" s="460">
        <v>0</v>
      </c>
      <c r="AX9" s="460">
        <v>0</v>
      </c>
      <c r="AY9" s="460">
        <v>0</v>
      </c>
      <c r="AZ9" s="460">
        <v>0</v>
      </c>
      <c r="BA9" s="460">
        <v>0</v>
      </c>
      <c r="BB9" s="460">
        <v>0</v>
      </c>
      <c r="BC9" s="460">
        <v>0</v>
      </c>
      <c r="BD9" s="460">
        <v>0</v>
      </c>
      <c r="BE9" s="460">
        <v>0</v>
      </c>
      <c r="BF9" s="460">
        <v>0</v>
      </c>
      <c r="BG9" s="460">
        <v>0</v>
      </c>
      <c r="BH9" s="460">
        <v>0</v>
      </c>
      <c r="BI9" s="460">
        <v>0</v>
      </c>
      <c r="BJ9" s="460">
        <v>0</v>
      </c>
      <c r="BK9" s="460">
        <v>0</v>
      </c>
      <c r="BL9" s="460">
        <v>0</v>
      </c>
      <c r="BM9" s="460">
        <v>0</v>
      </c>
      <c r="BN9" s="460">
        <v>0</v>
      </c>
      <c r="BO9" s="460">
        <v>0</v>
      </c>
      <c r="BP9" s="460">
        <v>0</v>
      </c>
      <c r="BQ9" s="460">
        <v>0</v>
      </c>
      <c r="BR9" s="460">
        <v>0</v>
      </c>
      <c r="BS9" s="460">
        <v>0</v>
      </c>
      <c r="BT9" s="460">
        <v>0</v>
      </c>
      <c r="BU9" s="460">
        <v>0</v>
      </c>
      <c r="BV9" s="460">
        <v>0</v>
      </c>
      <c r="BW9" s="460">
        <v>0</v>
      </c>
      <c r="BX9" s="460">
        <v>0</v>
      </c>
      <c r="BY9" s="460">
        <v>0</v>
      </c>
      <c r="BZ9" s="460">
        <v>0</v>
      </c>
      <c r="CA9" s="460" t="e">
        <v>#N/A</v>
      </c>
      <c r="CB9" s="460" t="e">
        <v>#N/A</v>
      </c>
      <c r="CC9" s="460" t="e">
        <v>#N/A</v>
      </c>
      <c r="CD9"/>
      <c r="CE9"/>
      <c r="CF9"/>
      <c r="CG9"/>
      <c r="CH9"/>
    </row>
    <row r="10" spans="1:86" ht="12.75" customHeight="1">
      <c r="A10" s="105">
        <v>5</v>
      </c>
      <c r="B10" s="112" t="str">
        <v>1M</v>
      </c>
      <c r="C10" s="465">
        <f>'eur disaggregated'!AF21</f>
        <v>647.21575404333441</v>
      </c>
      <c r="D10" s="111" t="str">
        <f t="shared" si="2"/>
        <v>1M</v>
      </c>
      <c r="E10" s="441">
        <f>IF(LEN(B10)&lt;4,$C$1,IF(OR(LEFT(B10,3)="DEC",LEFT(B10,3)="MAR",LEFT(B10,3)="JUN",LEFT(B10,3)="SEP"),INDEX(EurMkt!$F$15:$F$34,MATCH(B10,EurMkt!$H$15:$H$34,0)),F7))</f>
        <v>42696</v>
      </c>
      <c r="F10" s="441">
        <f>IF(AND(NOT(ISNA(MATCH(RIGHT(B10,2),$I$6:$I$67,0))),LEN(B10)&lt;6,RIGHT(B10,1)="M"), INDEX($K$6:$K$67, MATCH(RIGHT(B10,2),$I$6:$I$67,0)), IF(AND(NOT(ISNA(MATCH(RIGHT(B10,3),$I$6:$I$67,0))), LEN(B10)&gt;=6, RIGHT(B10,1)="M"), INDEX($K$6:$K$67, MATCH(RIGHT(B10,3),$I$6:$I$67,0)), _xll.qlCalendarAdvance(Calendar,E10,D10)))</f>
        <v>42726</v>
      </c>
      <c r="G10" s="462">
        <f t="shared" si="3"/>
        <v>-3.2320000000000001E-3</v>
      </c>
      <c r="H10" s="453">
        <v>-0.32319999999999999</v>
      </c>
      <c r="I10" s="107" t="str">
        <v>2W</v>
      </c>
      <c r="J10" s="106" t="str">
        <f t="shared" si="0"/>
        <v>2W</v>
      </c>
      <c r="K10" s="106">
        <f>_xll.qlCalendarAdvance("TARGET",SettlementDate,J10)</f>
        <v>42710</v>
      </c>
      <c r="M10" s="99" t="str">
        <v>2W</v>
      </c>
      <c r="N10" s="465">
        <v>49.888466595010136</v>
      </c>
      <c r="P10" s="106" t="b">
        <f t="shared" si="1"/>
        <v>0</v>
      </c>
      <c r="Q10" s="460">
        <f t="array" ref="Q10:CC10">C10*ForwardToZero(OisBuckets,E10,F10,G10)</f>
        <v>0</v>
      </c>
      <c r="R10" s="460">
        <v>0</v>
      </c>
      <c r="S10" s="460">
        <v>0</v>
      </c>
      <c r="T10" s="460">
        <v>0</v>
      </c>
      <c r="U10" s="460">
        <v>0</v>
      </c>
      <c r="V10" s="460">
        <v>0</v>
      </c>
      <c r="W10" s="460">
        <v>647.21575404333441</v>
      </c>
      <c r="X10" s="460">
        <v>0</v>
      </c>
      <c r="Y10" s="460">
        <v>0</v>
      </c>
      <c r="Z10" s="460">
        <v>0</v>
      </c>
      <c r="AA10" s="460">
        <v>0</v>
      </c>
      <c r="AB10" s="460">
        <v>0</v>
      </c>
      <c r="AC10" s="460">
        <v>0</v>
      </c>
      <c r="AD10" s="460">
        <v>0</v>
      </c>
      <c r="AE10" s="460">
        <v>0</v>
      </c>
      <c r="AF10" s="460">
        <v>0</v>
      </c>
      <c r="AG10" s="460">
        <v>0</v>
      </c>
      <c r="AH10" s="460">
        <v>0</v>
      </c>
      <c r="AI10" s="460">
        <v>0</v>
      </c>
      <c r="AJ10" s="460">
        <v>0</v>
      </c>
      <c r="AK10" s="460">
        <v>0</v>
      </c>
      <c r="AL10" s="460">
        <v>0</v>
      </c>
      <c r="AM10" s="460">
        <v>0</v>
      </c>
      <c r="AN10" s="460">
        <v>0</v>
      </c>
      <c r="AO10" s="460">
        <v>0</v>
      </c>
      <c r="AP10" s="460">
        <v>0</v>
      </c>
      <c r="AQ10" s="460">
        <v>0</v>
      </c>
      <c r="AR10" s="460">
        <v>0</v>
      </c>
      <c r="AS10" s="460">
        <v>0</v>
      </c>
      <c r="AT10" s="460">
        <v>0</v>
      </c>
      <c r="AU10" s="460">
        <v>0</v>
      </c>
      <c r="AV10" s="460">
        <v>0</v>
      </c>
      <c r="AW10" s="460">
        <v>0</v>
      </c>
      <c r="AX10" s="460">
        <v>0</v>
      </c>
      <c r="AY10" s="460">
        <v>0</v>
      </c>
      <c r="AZ10" s="460">
        <v>0</v>
      </c>
      <c r="BA10" s="460">
        <v>0</v>
      </c>
      <c r="BB10" s="460">
        <v>0</v>
      </c>
      <c r="BC10" s="460">
        <v>0</v>
      </c>
      <c r="BD10" s="460">
        <v>0</v>
      </c>
      <c r="BE10" s="460">
        <v>0</v>
      </c>
      <c r="BF10" s="460">
        <v>0</v>
      </c>
      <c r="BG10" s="460">
        <v>0</v>
      </c>
      <c r="BH10" s="460">
        <v>0</v>
      </c>
      <c r="BI10" s="460">
        <v>0</v>
      </c>
      <c r="BJ10" s="460">
        <v>0</v>
      </c>
      <c r="BK10" s="460">
        <v>0</v>
      </c>
      <c r="BL10" s="460">
        <v>0</v>
      </c>
      <c r="BM10" s="460">
        <v>0</v>
      </c>
      <c r="BN10" s="460">
        <v>0</v>
      </c>
      <c r="BO10" s="460">
        <v>0</v>
      </c>
      <c r="BP10" s="460">
        <v>0</v>
      </c>
      <c r="BQ10" s="460">
        <v>0</v>
      </c>
      <c r="BR10" s="460">
        <v>0</v>
      </c>
      <c r="BS10" s="460">
        <v>0</v>
      </c>
      <c r="BT10" s="460">
        <v>0</v>
      </c>
      <c r="BU10" s="460">
        <v>0</v>
      </c>
      <c r="BV10" s="460">
        <v>0</v>
      </c>
      <c r="BW10" s="460">
        <v>0</v>
      </c>
      <c r="BX10" s="460">
        <v>0</v>
      </c>
      <c r="BY10" s="460">
        <v>0</v>
      </c>
      <c r="BZ10" s="460">
        <v>0</v>
      </c>
      <c r="CA10" s="460" t="e">
        <v>#N/A</v>
      </c>
      <c r="CB10" s="460" t="e">
        <v>#N/A</v>
      </c>
      <c r="CC10" s="460" t="e">
        <v>#N/A</v>
      </c>
      <c r="CD10"/>
      <c r="CE10"/>
      <c r="CF10"/>
      <c r="CG10"/>
      <c r="CH10"/>
    </row>
    <row r="11" spans="1:86" ht="12.75" customHeight="1">
      <c r="A11" s="105">
        <v>6</v>
      </c>
      <c r="B11" s="112" t="str">
        <v>2M</v>
      </c>
      <c r="C11" s="465">
        <f>'eur disaggregated'!AF22</f>
        <v>-49.474450113651571</v>
      </c>
      <c r="D11" s="111" t="str">
        <f t="shared" si="2"/>
        <v>2M</v>
      </c>
      <c r="E11" s="441">
        <f>IF(LEN(B11)&lt;4,$C$1,IF(OR(LEFT(B11,3)="DEC",LEFT(B11,3)="MAR",LEFT(B11,3)="JUN",LEFT(B11,3)="SEP"),INDEX(EurMkt!$F$15:$F$34,MATCH(B11,EurMkt!$H$15:$H$34,0)),F8))</f>
        <v>42696</v>
      </c>
      <c r="F11" s="441">
        <f>IF(AND(NOT(ISNA(MATCH(RIGHT(B11,2),$I$6:$I$67,0))),LEN(B11)&lt;6,RIGHT(B11,1)="M"), INDEX($K$6:$K$67, MATCH(RIGHT(B11,2),$I$6:$I$67,0)), IF(AND(NOT(ISNA(MATCH(RIGHT(B11,3),$I$6:$I$67,0))), LEN(B11)&gt;=6, RIGHT(B11,1)="M"), INDEX($K$6:$K$67, MATCH(RIGHT(B11,3),$I$6:$I$67,0)), _xll.qlCalendarAdvance(Calendar,E11,D11)))</f>
        <v>42758</v>
      </c>
      <c r="G11" s="462">
        <f t="shared" si="3"/>
        <v>-3.1649999999999998E-3</v>
      </c>
      <c r="H11" s="453">
        <v>-0.3165</v>
      </c>
      <c r="I11" s="107" t="str">
        <v>3W</v>
      </c>
      <c r="J11" s="106" t="str">
        <f t="shared" si="0"/>
        <v>3W</v>
      </c>
      <c r="K11" s="106">
        <f>_xll.qlCalendarAdvance("TARGET",SettlementDate,J11)</f>
        <v>42717</v>
      </c>
      <c r="M11" s="99" t="str">
        <v>3W</v>
      </c>
      <c r="N11" s="465">
        <v>-285.12146685071059</v>
      </c>
      <c r="P11" s="106" t="b">
        <f t="shared" si="1"/>
        <v>0</v>
      </c>
      <c r="Q11" s="460">
        <f t="array" ref="Q11:CC11">C11*ForwardToZero(OisBuckets,E11,F11,G11)</f>
        <v>0</v>
      </c>
      <c r="R11" s="460">
        <v>0</v>
      </c>
      <c r="S11" s="460">
        <v>0</v>
      </c>
      <c r="T11" s="460">
        <v>0</v>
      </c>
      <c r="U11" s="460">
        <v>0</v>
      </c>
      <c r="V11" s="460">
        <v>0</v>
      </c>
      <c r="W11" s="460">
        <v>0</v>
      </c>
      <c r="X11" s="460">
        <v>-49.474450113651571</v>
      </c>
      <c r="Y11" s="460">
        <v>0</v>
      </c>
      <c r="Z11" s="460">
        <v>0</v>
      </c>
      <c r="AA11" s="460">
        <v>0</v>
      </c>
      <c r="AB11" s="460">
        <v>0</v>
      </c>
      <c r="AC11" s="460">
        <v>0</v>
      </c>
      <c r="AD11" s="460">
        <v>0</v>
      </c>
      <c r="AE11" s="460">
        <v>0</v>
      </c>
      <c r="AF11" s="460">
        <v>0</v>
      </c>
      <c r="AG11" s="460">
        <v>0</v>
      </c>
      <c r="AH11" s="460">
        <v>0</v>
      </c>
      <c r="AI11" s="460">
        <v>0</v>
      </c>
      <c r="AJ11" s="460">
        <v>0</v>
      </c>
      <c r="AK11" s="460">
        <v>0</v>
      </c>
      <c r="AL11" s="460">
        <v>0</v>
      </c>
      <c r="AM11" s="460">
        <v>0</v>
      </c>
      <c r="AN11" s="460">
        <v>0</v>
      </c>
      <c r="AO11" s="460">
        <v>0</v>
      </c>
      <c r="AP11" s="460">
        <v>0</v>
      </c>
      <c r="AQ11" s="460">
        <v>0</v>
      </c>
      <c r="AR11" s="460">
        <v>0</v>
      </c>
      <c r="AS11" s="460">
        <v>0</v>
      </c>
      <c r="AT11" s="460">
        <v>0</v>
      </c>
      <c r="AU11" s="460">
        <v>0</v>
      </c>
      <c r="AV11" s="460">
        <v>0</v>
      </c>
      <c r="AW11" s="460">
        <v>0</v>
      </c>
      <c r="AX11" s="460">
        <v>0</v>
      </c>
      <c r="AY11" s="460">
        <v>0</v>
      </c>
      <c r="AZ11" s="460">
        <v>0</v>
      </c>
      <c r="BA11" s="460">
        <v>0</v>
      </c>
      <c r="BB11" s="460">
        <v>0</v>
      </c>
      <c r="BC11" s="460">
        <v>0</v>
      </c>
      <c r="BD11" s="460">
        <v>0</v>
      </c>
      <c r="BE11" s="460">
        <v>0</v>
      </c>
      <c r="BF11" s="460">
        <v>0</v>
      </c>
      <c r="BG11" s="460">
        <v>0</v>
      </c>
      <c r="BH11" s="460">
        <v>0</v>
      </c>
      <c r="BI11" s="460">
        <v>0</v>
      </c>
      <c r="BJ11" s="460">
        <v>0</v>
      </c>
      <c r="BK11" s="460">
        <v>0</v>
      </c>
      <c r="BL11" s="460">
        <v>0</v>
      </c>
      <c r="BM11" s="460">
        <v>0</v>
      </c>
      <c r="BN11" s="460">
        <v>0</v>
      </c>
      <c r="BO11" s="460">
        <v>0</v>
      </c>
      <c r="BP11" s="460">
        <v>0</v>
      </c>
      <c r="BQ11" s="460">
        <v>0</v>
      </c>
      <c r="BR11" s="460">
        <v>0</v>
      </c>
      <c r="BS11" s="460">
        <v>0</v>
      </c>
      <c r="BT11" s="460">
        <v>0</v>
      </c>
      <c r="BU11" s="460">
        <v>0</v>
      </c>
      <c r="BV11" s="460">
        <v>0</v>
      </c>
      <c r="BW11" s="460">
        <v>0</v>
      </c>
      <c r="BX11" s="460">
        <v>0</v>
      </c>
      <c r="BY11" s="460">
        <v>0</v>
      </c>
      <c r="BZ11" s="460">
        <v>0</v>
      </c>
      <c r="CA11" s="460" t="e">
        <v>#N/A</v>
      </c>
      <c r="CB11" s="460" t="e">
        <v>#N/A</v>
      </c>
      <c r="CC11" s="460" t="e">
        <v>#N/A</v>
      </c>
      <c r="CD11"/>
      <c r="CE11"/>
      <c r="CF11"/>
      <c r="CG11"/>
      <c r="CH11"/>
    </row>
    <row r="12" spans="1:86" ht="12.75" customHeight="1">
      <c r="A12" s="105">
        <v>7</v>
      </c>
      <c r="B12" s="112" t="str">
        <v>3M</v>
      </c>
      <c r="C12" s="465">
        <f>'eur disaggregated'!AF23</f>
        <v>-305.97823459969527</v>
      </c>
      <c r="D12" s="111" t="str">
        <f t="shared" si="2"/>
        <v>3M</v>
      </c>
      <c r="E12" s="441">
        <f>IF(LEN(B12)&lt;4,$C$1,IF(OR(LEFT(B12,3)="DEC",LEFT(B12,3)="MAR",LEFT(B12,3)="JUN",LEFT(B12,3)="SEP"),INDEX(EurMkt!$F$15:$F$34,MATCH(B12,EurMkt!$H$15:$H$34,0)),F9))</f>
        <v>42696</v>
      </c>
      <c r="F12" s="441">
        <f>IF(AND(NOT(ISNA(MATCH(RIGHT(B12,2),$I$6:$I$67,0))),LEN(B12)&lt;6,RIGHT(B12,1)="M"), INDEX($K$6:$K$67, MATCH(RIGHT(B12,2),$I$6:$I$67,0)), IF(AND(NOT(ISNA(MATCH(RIGHT(B12,3),$I$6:$I$67,0))), LEN(B12)&gt;=6, RIGHT(B12,1)="M"), INDEX($K$6:$K$67, MATCH(RIGHT(B12,3),$I$6:$I$67,0)), _xll.qlCalendarAdvance(Calendar,E12,D12)))</f>
        <v>42788</v>
      </c>
      <c r="G12" s="462">
        <f t="shared" si="3"/>
        <v>-3.1310000000000001E-3</v>
      </c>
      <c r="H12" s="453">
        <v>-0.31309999999999999</v>
      </c>
      <c r="I12" s="107" t="str">
        <v>1M</v>
      </c>
      <c r="J12" s="106" t="str">
        <f t="shared" si="0"/>
        <v>1M</v>
      </c>
      <c r="K12" s="106">
        <f>_xll.qlCalendarAdvance("TARGET",SettlementDate,J12)</f>
        <v>42726</v>
      </c>
      <c r="M12" s="99" t="str">
        <v>1M</v>
      </c>
      <c r="N12" s="465">
        <v>197.66457617695283</v>
      </c>
      <c r="P12" s="106" t="b">
        <f t="shared" si="1"/>
        <v>0</v>
      </c>
      <c r="Q12" s="460">
        <f t="array" ref="Q12:CC12">C12*ForwardToZero(OisBuckets,E12,F12,G12)</f>
        <v>0</v>
      </c>
      <c r="R12" s="460">
        <v>0</v>
      </c>
      <c r="S12" s="460">
        <v>0</v>
      </c>
      <c r="T12" s="460">
        <v>0</v>
      </c>
      <c r="U12" s="460">
        <v>0</v>
      </c>
      <c r="V12" s="460">
        <v>0</v>
      </c>
      <c r="W12" s="460">
        <v>0</v>
      </c>
      <c r="X12" s="460">
        <v>0</v>
      </c>
      <c r="Y12" s="460">
        <v>-305.97823459969527</v>
      </c>
      <c r="Z12" s="460">
        <v>0</v>
      </c>
      <c r="AA12" s="460">
        <v>0</v>
      </c>
      <c r="AB12" s="460">
        <v>0</v>
      </c>
      <c r="AC12" s="460">
        <v>0</v>
      </c>
      <c r="AD12" s="460">
        <v>0</v>
      </c>
      <c r="AE12" s="460">
        <v>0</v>
      </c>
      <c r="AF12" s="460">
        <v>0</v>
      </c>
      <c r="AG12" s="460">
        <v>0</v>
      </c>
      <c r="AH12" s="460">
        <v>0</v>
      </c>
      <c r="AI12" s="460">
        <v>0</v>
      </c>
      <c r="AJ12" s="460">
        <v>0</v>
      </c>
      <c r="AK12" s="460">
        <v>0</v>
      </c>
      <c r="AL12" s="460">
        <v>0</v>
      </c>
      <c r="AM12" s="460">
        <v>0</v>
      </c>
      <c r="AN12" s="460">
        <v>0</v>
      </c>
      <c r="AO12" s="460">
        <v>0</v>
      </c>
      <c r="AP12" s="460">
        <v>0</v>
      </c>
      <c r="AQ12" s="460">
        <v>0</v>
      </c>
      <c r="AR12" s="460">
        <v>0</v>
      </c>
      <c r="AS12" s="460">
        <v>0</v>
      </c>
      <c r="AT12" s="460">
        <v>0</v>
      </c>
      <c r="AU12" s="460">
        <v>0</v>
      </c>
      <c r="AV12" s="460">
        <v>0</v>
      </c>
      <c r="AW12" s="460">
        <v>0</v>
      </c>
      <c r="AX12" s="460">
        <v>0</v>
      </c>
      <c r="AY12" s="460">
        <v>0</v>
      </c>
      <c r="AZ12" s="460">
        <v>0</v>
      </c>
      <c r="BA12" s="460">
        <v>0</v>
      </c>
      <c r="BB12" s="460">
        <v>0</v>
      </c>
      <c r="BC12" s="460">
        <v>0</v>
      </c>
      <c r="BD12" s="460">
        <v>0</v>
      </c>
      <c r="BE12" s="460">
        <v>0</v>
      </c>
      <c r="BF12" s="460">
        <v>0</v>
      </c>
      <c r="BG12" s="460">
        <v>0</v>
      </c>
      <c r="BH12" s="460">
        <v>0</v>
      </c>
      <c r="BI12" s="460">
        <v>0</v>
      </c>
      <c r="BJ12" s="460">
        <v>0</v>
      </c>
      <c r="BK12" s="460">
        <v>0</v>
      </c>
      <c r="BL12" s="460">
        <v>0</v>
      </c>
      <c r="BM12" s="460">
        <v>0</v>
      </c>
      <c r="BN12" s="460">
        <v>0</v>
      </c>
      <c r="BO12" s="460">
        <v>0</v>
      </c>
      <c r="BP12" s="460">
        <v>0</v>
      </c>
      <c r="BQ12" s="460">
        <v>0</v>
      </c>
      <c r="BR12" s="460">
        <v>0</v>
      </c>
      <c r="BS12" s="460">
        <v>0</v>
      </c>
      <c r="BT12" s="460">
        <v>0</v>
      </c>
      <c r="BU12" s="460">
        <v>0</v>
      </c>
      <c r="BV12" s="460">
        <v>0</v>
      </c>
      <c r="BW12" s="460">
        <v>0</v>
      </c>
      <c r="BX12" s="460">
        <v>0</v>
      </c>
      <c r="BY12" s="460">
        <v>0</v>
      </c>
      <c r="BZ12" s="460">
        <v>0</v>
      </c>
      <c r="CA12" s="460" t="e">
        <v>#N/A</v>
      </c>
      <c r="CB12" s="460" t="e">
        <v>#N/A</v>
      </c>
      <c r="CC12" s="460" t="e">
        <v>#N/A</v>
      </c>
      <c r="CD12"/>
      <c r="CE12"/>
      <c r="CF12"/>
      <c r="CG12"/>
      <c r="CH12"/>
    </row>
    <row r="13" spans="1:86">
      <c r="A13" s="105">
        <v>8</v>
      </c>
      <c r="B13" s="112" t="str">
        <v>1M-4M</v>
      </c>
      <c r="C13" s="465">
        <f>'eur disaggregated'!AF24</f>
        <v>1189.988411999245</v>
      </c>
      <c r="D13" s="111" t="str">
        <f t="shared" si="2"/>
        <v>3M</v>
      </c>
      <c r="E13" s="441">
        <f>IF(LEN(B13)&lt;4,$C$1,IF(OR(LEFT(B13,3)="DEC",LEFT(B13,3)="MAR",LEFT(B13,3)="JUN",LEFT(B13,3)="SEP"),INDEX(EurMkt!$F$15:$F$34,MATCH(B13,EurMkt!$H$15:$H$34,0)),F10))</f>
        <v>42726</v>
      </c>
      <c r="F13" s="441">
        <f>IF(AND(NOT(ISNA(MATCH(RIGHT(B13,2),$I$6:$I$67,0))),LEN(B13)&lt;6,RIGHT(B13,1)="M"), INDEX($K$6:$K$67, MATCH(RIGHT(B13,2),$I$6:$I$67,0)), IF(AND(NOT(ISNA(MATCH(RIGHT(B13,3),$I$6:$I$67,0))), LEN(B13)&gt;=6, RIGHT(B13,1)="M"), INDEX($K$6:$K$67, MATCH(RIGHT(B13,3),$I$6:$I$67,0)), _xll.qlCalendarAdvance(Calendar,E13,D13)))</f>
        <v>42816</v>
      </c>
      <c r="G13" s="462">
        <f t="shared" si="3"/>
        <v>-3.0499999999999998E-3</v>
      </c>
      <c r="H13" s="453">
        <v>-0.30499999999999999</v>
      </c>
      <c r="I13" s="107" t="str">
        <v>2M</v>
      </c>
      <c r="J13" s="106" t="str">
        <f t="shared" si="0"/>
        <v>2M</v>
      </c>
      <c r="K13" s="106">
        <f>_xll.qlCalendarAdvance("TARGET",SettlementDate,J13)</f>
        <v>42758</v>
      </c>
      <c r="M13" s="99" t="str">
        <v>2M</v>
      </c>
      <c r="N13" s="465">
        <v>-281.53928405038965</v>
      </c>
      <c r="P13" s="106" t="b">
        <f t="shared" si="1"/>
        <v>0</v>
      </c>
      <c r="Q13" s="460">
        <f t="array" ref="Q13:CC13">C13*ForwardToZero(OisBuckets,E13,F13,G13)</f>
        <v>0</v>
      </c>
      <c r="R13" s="460">
        <v>0</v>
      </c>
      <c r="S13" s="460">
        <v>0</v>
      </c>
      <c r="T13" s="460">
        <v>0</v>
      </c>
      <c r="U13" s="460">
        <v>0</v>
      </c>
      <c r="V13" s="460">
        <v>0</v>
      </c>
      <c r="W13" s="460">
        <v>-449.55117786638158</v>
      </c>
      <c r="X13" s="460">
        <v>0</v>
      </c>
      <c r="Y13" s="460">
        <v>0</v>
      </c>
      <c r="Z13" s="460">
        <v>1639.5395898656266</v>
      </c>
      <c r="AA13" s="460">
        <v>0</v>
      </c>
      <c r="AB13" s="460">
        <v>0</v>
      </c>
      <c r="AC13" s="460">
        <v>0</v>
      </c>
      <c r="AD13" s="460">
        <v>0</v>
      </c>
      <c r="AE13" s="460">
        <v>0</v>
      </c>
      <c r="AF13" s="460">
        <v>0</v>
      </c>
      <c r="AG13" s="460">
        <v>0</v>
      </c>
      <c r="AH13" s="460">
        <v>0</v>
      </c>
      <c r="AI13" s="460">
        <v>0</v>
      </c>
      <c r="AJ13" s="460">
        <v>0</v>
      </c>
      <c r="AK13" s="460">
        <v>0</v>
      </c>
      <c r="AL13" s="460">
        <v>0</v>
      </c>
      <c r="AM13" s="460">
        <v>0</v>
      </c>
      <c r="AN13" s="460">
        <v>0</v>
      </c>
      <c r="AO13" s="460">
        <v>0</v>
      </c>
      <c r="AP13" s="460">
        <v>0</v>
      </c>
      <c r="AQ13" s="460">
        <v>0</v>
      </c>
      <c r="AR13" s="460">
        <v>0</v>
      </c>
      <c r="AS13" s="460">
        <v>0</v>
      </c>
      <c r="AT13" s="460">
        <v>0</v>
      </c>
      <c r="AU13" s="460">
        <v>0</v>
      </c>
      <c r="AV13" s="460">
        <v>0</v>
      </c>
      <c r="AW13" s="460">
        <v>0</v>
      </c>
      <c r="AX13" s="460">
        <v>0</v>
      </c>
      <c r="AY13" s="460">
        <v>0</v>
      </c>
      <c r="AZ13" s="460">
        <v>0</v>
      </c>
      <c r="BA13" s="460">
        <v>0</v>
      </c>
      <c r="BB13" s="460">
        <v>0</v>
      </c>
      <c r="BC13" s="460">
        <v>0</v>
      </c>
      <c r="BD13" s="460">
        <v>0</v>
      </c>
      <c r="BE13" s="460">
        <v>0</v>
      </c>
      <c r="BF13" s="460">
        <v>0</v>
      </c>
      <c r="BG13" s="460">
        <v>0</v>
      </c>
      <c r="BH13" s="460">
        <v>0</v>
      </c>
      <c r="BI13" s="460">
        <v>0</v>
      </c>
      <c r="BJ13" s="460">
        <v>0</v>
      </c>
      <c r="BK13" s="460">
        <v>0</v>
      </c>
      <c r="BL13" s="460">
        <v>0</v>
      </c>
      <c r="BM13" s="460">
        <v>0</v>
      </c>
      <c r="BN13" s="460">
        <v>0</v>
      </c>
      <c r="BO13" s="460">
        <v>0</v>
      </c>
      <c r="BP13" s="460">
        <v>0</v>
      </c>
      <c r="BQ13" s="460">
        <v>0</v>
      </c>
      <c r="BR13" s="460">
        <v>0</v>
      </c>
      <c r="BS13" s="460">
        <v>0</v>
      </c>
      <c r="BT13" s="460">
        <v>0</v>
      </c>
      <c r="BU13" s="460">
        <v>0</v>
      </c>
      <c r="BV13" s="460">
        <v>0</v>
      </c>
      <c r="BW13" s="460">
        <v>0</v>
      </c>
      <c r="BX13" s="460">
        <v>0</v>
      </c>
      <c r="BY13" s="460">
        <v>0</v>
      </c>
      <c r="BZ13" s="460">
        <v>0</v>
      </c>
      <c r="CA13" s="460" t="e">
        <v>#N/A</v>
      </c>
      <c r="CB13" s="460" t="e">
        <v>#N/A</v>
      </c>
      <c r="CC13" s="460" t="e">
        <v>#N/A</v>
      </c>
      <c r="CD13"/>
      <c r="CE13"/>
      <c r="CF13"/>
      <c r="CG13"/>
      <c r="CH13"/>
    </row>
    <row r="14" spans="1:86" ht="12.75" customHeight="1">
      <c r="A14" s="105">
        <v>9</v>
      </c>
      <c r="B14" s="112" t="str">
        <v>2M-5M</v>
      </c>
      <c r="C14" s="465">
        <f>'eur disaggregated'!AF25</f>
        <v>319.96818012489649</v>
      </c>
      <c r="D14" s="111" t="str">
        <f t="shared" si="2"/>
        <v>3M</v>
      </c>
      <c r="E14" s="441">
        <f>IF(LEN(B14)&lt;4,$C$1,IF(OR(LEFT(B14,3)="DEC",LEFT(B14,3)="MAR",LEFT(B14,3)="JUN",LEFT(B14,3)="SEP"),INDEX(EurMkt!$F$15:$F$34,MATCH(B14,EurMkt!$H$15:$H$34,0)),F11))</f>
        <v>42758</v>
      </c>
      <c r="F14" s="441">
        <f>IF(AND(NOT(ISNA(MATCH(RIGHT(B14,2),$I$6:$I$67,0))),LEN(B14)&lt;6,RIGHT(B14,1)="M"), INDEX($K$6:$K$67, MATCH(RIGHT(B14,2),$I$6:$I$67,0)), IF(AND(NOT(ISNA(MATCH(RIGHT(B14,3),$I$6:$I$67,0))), LEN(B14)&gt;=6, RIGHT(B14,1)="M"), INDEX($K$6:$K$67, MATCH(RIGHT(B14,3),$I$6:$I$67,0)), _xll.qlCalendarAdvance(Calendar,E14,D14)))</f>
        <v>42849</v>
      </c>
      <c r="G14" s="462">
        <f t="shared" si="3"/>
        <v>-3.0000000000000001E-3</v>
      </c>
      <c r="H14" s="453">
        <v>-0.3</v>
      </c>
      <c r="I14" s="107" t="str">
        <v>3M</v>
      </c>
      <c r="J14" s="106" t="str">
        <f t="shared" si="0"/>
        <v>3M</v>
      </c>
      <c r="K14" s="106">
        <f>_xll.qlCalendarAdvance("TARGET",SettlementDate,J14)</f>
        <v>42788</v>
      </c>
      <c r="M14" s="99" t="str">
        <v>3M</v>
      </c>
      <c r="N14" s="465">
        <v>-72.854023296558296</v>
      </c>
      <c r="P14" s="106" t="b">
        <f t="shared" si="1"/>
        <v>0</v>
      </c>
      <c r="Q14" s="460">
        <f t="array" ref="Q14:CC14">C14*ForwardToZero(OisBuckets,E14,F14,G14)</f>
        <v>0</v>
      </c>
      <c r="R14" s="460">
        <v>0</v>
      </c>
      <c r="S14" s="460">
        <v>0</v>
      </c>
      <c r="T14" s="460">
        <v>0</v>
      </c>
      <c r="U14" s="460">
        <v>0</v>
      </c>
      <c r="V14" s="460">
        <v>0</v>
      </c>
      <c r="W14" s="460">
        <v>0</v>
      </c>
      <c r="X14" s="460">
        <v>-232.06483393673807</v>
      </c>
      <c r="Y14" s="460">
        <v>0</v>
      </c>
      <c r="Z14" s="460">
        <v>0</v>
      </c>
      <c r="AA14" s="460">
        <v>552.03301406163462</v>
      </c>
      <c r="AB14" s="460">
        <v>0</v>
      </c>
      <c r="AC14" s="460">
        <v>0</v>
      </c>
      <c r="AD14" s="460">
        <v>0</v>
      </c>
      <c r="AE14" s="460">
        <v>0</v>
      </c>
      <c r="AF14" s="460">
        <v>0</v>
      </c>
      <c r="AG14" s="460">
        <v>0</v>
      </c>
      <c r="AH14" s="460">
        <v>0</v>
      </c>
      <c r="AI14" s="460">
        <v>0</v>
      </c>
      <c r="AJ14" s="460">
        <v>0</v>
      </c>
      <c r="AK14" s="460">
        <v>0</v>
      </c>
      <c r="AL14" s="460">
        <v>0</v>
      </c>
      <c r="AM14" s="460">
        <v>0</v>
      </c>
      <c r="AN14" s="460">
        <v>0</v>
      </c>
      <c r="AO14" s="460">
        <v>0</v>
      </c>
      <c r="AP14" s="460">
        <v>0</v>
      </c>
      <c r="AQ14" s="460">
        <v>0</v>
      </c>
      <c r="AR14" s="460">
        <v>0</v>
      </c>
      <c r="AS14" s="460">
        <v>0</v>
      </c>
      <c r="AT14" s="460">
        <v>0</v>
      </c>
      <c r="AU14" s="460">
        <v>0</v>
      </c>
      <c r="AV14" s="460">
        <v>0</v>
      </c>
      <c r="AW14" s="460">
        <v>0</v>
      </c>
      <c r="AX14" s="460">
        <v>0</v>
      </c>
      <c r="AY14" s="460">
        <v>0</v>
      </c>
      <c r="AZ14" s="460">
        <v>0</v>
      </c>
      <c r="BA14" s="460">
        <v>0</v>
      </c>
      <c r="BB14" s="460">
        <v>0</v>
      </c>
      <c r="BC14" s="460">
        <v>0</v>
      </c>
      <c r="BD14" s="460">
        <v>0</v>
      </c>
      <c r="BE14" s="460">
        <v>0</v>
      </c>
      <c r="BF14" s="460">
        <v>0</v>
      </c>
      <c r="BG14" s="460">
        <v>0</v>
      </c>
      <c r="BH14" s="460">
        <v>0</v>
      </c>
      <c r="BI14" s="460">
        <v>0</v>
      </c>
      <c r="BJ14" s="460">
        <v>0</v>
      </c>
      <c r="BK14" s="460">
        <v>0</v>
      </c>
      <c r="BL14" s="460">
        <v>0</v>
      </c>
      <c r="BM14" s="460">
        <v>0</v>
      </c>
      <c r="BN14" s="460">
        <v>0</v>
      </c>
      <c r="BO14" s="460">
        <v>0</v>
      </c>
      <c r="BP14" s="460">
        <v>0</v>
      </c>
      <c r="BQ14" s="460">
        <v>0</v>
      </c>
      <c r="BR14" s="460">
        <v>0</v>
      </c>
      <c r="BS14" s="460">
        <v>0</v>
      </c>
      <c r="BT14" s="460">
        <v>0</v>
      </c>
      <c r="BU14" s="460">
        <v>0</v>
      </c>
      <c r="BV14" s="460">
        <v>0</v>
      </c>
      <c r="BW14" s="460">
        <v>0</v>
      </c>
      <c r="BX14" s="460">
        <v>0</v>
      </c>
      <c r="BY14" s="460">
        <v>0</v>
      </c>
      <c r="BZ14" s="460">
        <v>0</v>
      </c>
      <c r="CA14" s="460" t="e">
        <v>#N/A</v>
      </c>
      <c r="CB14" s="460" t="e">
        <v>#N/A</v>
      </c>
      <c r="CC14" s="460" t="e">
        <v>#N/A</v>
      </c>
      <c r="CD14"/>
      <c r="CE14"/>
      <c r="CF14"/>
      <c r="CG14"/>
      <c r="CH14"/>
    </row>
    <row r="15" spans="1:86" ht="12.75" customHeight="1">
      <c r="A15" s="105">
        <v>10</v>
      </c>
      <c r="B15" s="112" t="str">
        <v>3M-6M</v>
      </c>
      <c r="C15" s="465">
        <f>'eur disaggregated'!AF26</f>
        <v>-216.12557089561662</v>
      </c>
      <c r="D15" s="111" t="str">
        <f t="shared" si="2"/>
        <v>3M</v>
      </c>
      <c r="E15" s="441">
        <f>IF(LEN(B15)&lt;4,$C$1,IF(OR(LEFT(B15,3)="DEC",LEFT(B15,3)="MAR",LEFT(B15,3)="JUN",LEFT(B15,3)="SEP"),INDEX(EurMkt!$F$15:$F$34,MATCH(B15,EurMkt!$H$15:$H$34,0)),F12))</f>
        <v>42788</v>
      </c>
      <c r="F15" s="441">
        <f>IF(AND(NOT(ISNA(MATCH(RIGHT(B15,2),$I$6:$I$67,0))),LEN(B15)&lt;6,RIGHT(B15,1)="M"), INDEX($K$6:$K$67, MATCH(RIGHT(B15,2),$I$6:$I$67,0)), IF(AND(NOT(ISNA(MATCH(RIGHT(B15,3),$I$6:$I$67,0))), LEN(B15)&gt;=6, RIGHT(B15,1)="M"), INDEX($K$6:$K$67, MATCH(RIGHT(B15,3),$I$6:$I$67,0)), _xll.qlCalendarAdvance(Calendar,E15,D15)))</f>
        <v>42877</v>
      </c>
      <c r="G15" s="462">
        <f t="shared" si="3"/>
        <v>-2.96E-3</v>
      </c>
      <c r="H15" s="453">
        <v>-0.29599999999999999</v>
      </c>
      <c r="I15" s="107" t="str">
        <v>4M</v>
      </c>
      <c r="J15" s="106" t="str">
        <f t="shared" si="0"/>
        <v>4M</v>
      </c>
      <c r="K15" s="106">
        <f>_xll.qlCalendarAdvance("TARGET",SettlementDate,J15)</f>
        <v>42816</v>
      </c>
      <c r="M15" s="99" t="str">
        <v>4M</v>
      </c>
      <c r="N15" s="465">
        <v>1074.2616078711567</v>
      </c>
      <c r="P15" s="106" t="b">
        <f t="shared" si="1"/>
        <v>0</v>
      </c>
      <c r="Q15" s="460">
        <f t="array" ref="Q15:CC15">C15*ForwardToZero(OisBuckets,E15,F15,G15)</f>
        <v>0</v>
      </c>
      <c r="R15" s="460">
        <v>0</v>
      </c>
      <c r="S15" s="460">
        <v>0</v>
      </c>
      <c r="T15" s="460">
        <v>0</v>
      </c>
      <c r="U15" s="460">
        <v>0</v>
      </c>
      <c r="V15" s="460">
        <v>0</v>
      </c>
      <c r="W15" s="460">
        <v>0</v>
      </c>
      <c r="X15" s="460">
        <v>0</v>
      </c>
      <c r="Y15" s="460">
        <v>233.12421130313697</v>
      </c>
      <c r="Z15" s="460">
        <v>0</v>
      </c>
      <c r="AA15" s="460">
        <v>0</v>
      </c>
      <c r="AB15" s="460">
        <v>-449.24978219875356</v>
      </c>
      <c r="AC15" s="460">
        <v>0</v>
      </c>
      <c r="AD15" s="460">
        <v>0</v>
      </c>
      <c r="AE15" s="460">
        <v>0</v>
      </c>
      <c r="AF15" s="460">
        <v>0</v>
      </c>
      <c r="AG15" s="460">
        <v>0</v>
      </c>
      <c r="AH15" s="460">
        <v>0</v>
      </c>
      <c r="AI15" s="460">
        <v>0</v>
      </c>
      <c r="AJ15" s="460">
        <v>0</v>
      </c>
      <c r="AK15" s="460">
        <v>0</v>
      </c>
      <c r="AL15" s="460">
        <v>0</v>
      </c>
      <c r="AM15" s="460">
        <v>0</v>
      </c>
      <c r="AN15" s="460">
        <v>0</v>
      </c>
      <c r="AO15" s="460">
        <v>0</v>
      </c>
      <c r="AP15" s="460">
        <v>0</v>
      </c>
      <c r="AQ15" s="460">
        <v>0</v>
      </c>
      <c r="AR15" s="460">
        <v>0</v>
      </c>
      <c r="AS15" s="460">
        <v>0</v>
      </c>
      <c r="AT15" s="460">
        <v>0</v>
      </c>
      <c r="AU15" s="460">
        <v>0</v>
      </c>
      <c r="AV15" s="460">
        <v>0</v>
      </c>
      <c r="AW15" s="460">
        <v>0</v>
      </c>
      <c r="AX15" s="460">
        <v>0</v>
      </c>
      <c r="AY15" s="460">
        <v>0</v>
      </c>
      <c r="AZ15" s="460">
        <v>0</v>
      </c>
      <c r="BA15" s="460">
        <v>0</v>
      </c>
      <c r="BB15" s="460">
        <v>0</v>
      </c>
      <c r="BC15" s="460">
        <v>0</v>
      </c>
      <c r="BD15" s="460">
        <v>0</v>
      </c>
      <c r="BE15" s="460">
        <v>0</v>
      </c>
      <c r="BF15" s="460">
        <v>0</v>
      </c>
      <c r="BG15" s="460">
        <v>0</v>
      </c>
      <c r="BH15" s="460">
        <v>0</v>
      </c>
      <c r="BI15" s="460">
        <v>0</v>
      </c>
      <c r="BJ15" s="460">
        <v>0</v>
      </c>
      <c r="BK15" s="460">
        <v>0</v>
      </c>
      <c r="BL15" s="460">
        <v>0</v>
      </c>
      <c r="BM15" s="460">
        <v>0</v>
      </c>
      <c r="BN15" s="460">
        <v>0</v>
      </c>
      <c r="BO15" s="460">
        <v>0</v>
      </c>
      <c r="BP15" s="460">
        <v>0</v>
      </c>
      <c r="BQ15" s="460">
        <v>0</v>
      </c>
      <c r="BR15" s="460">
        <v>0</v>
      </c>
      <c r="BS15" s="460">
        <v>0</v>
      </c>
      <c r="BT15" s="460">
        <v>0</v>
      </c>
      <c r="BU15" s="460">
        <v>0</v>
      </c>
      <c r="BV15" s="460">
        <v>0</v>
      </c>
      <c r="BW15" s="460">
        <v>0</v>
      </c>
      <c r="BX15" s="460">
        <v>0</v>
      </c>
      <c r="BY15" s="460">
        <v>0</v>
      </c>
      <c r="BZ15" s="460">
        <v>0</v>
      </c>
      <c r="CA15" s="460" t="e">
        <v>#N/A</v>
      </c>
      <c r="CB15" s="460" t="e">
        <v>#N/A</v>
      </c>
      <c r="CC15" s="460" t="e">
        <v>#N/A</v>
      </c>
      <c r="CD15"/>
      <c r="CE15"/>
      <c r="CF15"/>
      <c r="CG15"/>
      <c r="CH15"/>
    </row>
    <row r="16" spans="1:86" ht="12.75" customHeight="1">
      <c r="A16" s="105">
        <v>11</v>
      </c>
      <c r="B16" s="112" t="str">
        <v>4M-7M</v>
      </c>
      <c r="C16" s="465">
        <f>'eur disaggregated'!AF27</f>
        <v>419.39979309267136</v>
      </c>
      <c r="D16" s="111" t="str">
        <f t="shared" si="2"/>
        <v>3M</v>
      </c>
      <c r="E16" s="441">
        <f>IF(LEN(B16)&lt;4,$C$1,IF(OR(LEFT(B16,3)="DEC",LEFT(B16,3)="MAR",LEFT(B16,3)="JUN",LEFT(B16,3)="SEP"),INDEX(EurMkt!$F$15:$F$34,MATCH(B16,EurMkt!$H$15:$H$34,0)),F13))</f>
        <v>42816</v>
      </c>
      <c r="F16" s="441">
        <f>IF(AND(NOT(ISNA(MATCH(RIGHT(B16,2),$I$6:$I$67,0))),LEN(B16)&lt;6,RIGHT(B16,1)="M"), INDEX($K$6:$K$67, MATCH(RIGHT(B16,2),$I$6:$I$67,0)), IF(AND(NOT(ISNA(MATCH(RIGHT(B16,3),$I$6:$I$67,0))), LEN(B16)&gt;=6, RIGHT(B16,1)="M"), INDEX($K$6:$K$67, MATCH(RIGHT(B16,3),$I$6:$I$67,0)), _xll.qlCalendarAdvance(Calendar,E16,D16)))</f>
        <v>42908</v>
      </c>
      <c r="G16" s="462">
        <f t="shared" si="3"/>
        <v>-2.9099999999999998E-3</v>
      </c>
      <c r="H16" s="453">
        <v>-0.29099999999999998</v>
      </c>
      <c r="I16" s="107" t="str">
        <v>5M</v>
      </c>
      <c r="J16" s="106" t="str">
        <f t="shared" si="0"/>
        <v>5M</v>
      </c>
      <c r="K16" s="106">
        <f>_xll.qlCalendarAdvance("TARGET",SettlementDate,J16)</f>
        <v>42849</v>
      </c>
      <c r="M16" s="99" t="str">
        <v>5M</v>
      </c>
      <c r="N16" s="465">
        <v>527.06726138466809</v>
      </c>
      <c r="P16" s="106" t="b">
        <f t="shared" si="1"/>
        <v>0</v>
      </c>
      <c r="Q16" s="460">
        <f t="array" ref="Q16:CC16">C16*ForwardToZero(OisBuckets,E16,F16,G16)</f>
        <v>0</v>
      </c>
      <c r="R16" s="460">
        <v>0</v>
      </c>
      <c r="S16" s="460">
        <v>0</v>
      </c>
      <c r="T16" s="460">
        <v>0</v>
      </c>
      <c r="U16" s="460">
        <v>0</v>
      </c>
      <c r="V16" s="460">
        <v>0</v>
      </c>
      <c r="W16" s="460">
        <v>0</v>
      </c>
      <c r="X16" s="460">
        <v>0</v>
      </c>
      <c r="Y16" s="460">
        <v>0</v>
      </c>
      <c r="Z16" s="460">
        <v>-565.27798199446988</v>
      </c>
      <c r="AA16" s="460">
        <v>0</v>
      </c>
      <c r="AB16" s="460">
        <v>0</v>
      </c>
      <c r="AC16" s="460">
        <v>984.67777508714119</v>
      </c>
      <c r="AD16" s="460">
        <v>0</v>
      </c>
      <c r="AE16" s="460">
        <v>0</v>
      </c>
      <c r="AF16" s="460">
        <v>0</v>
      </c>
      <c r="AG16" s="460">
        <v>0</v>
      </c>
      <c r="AH16" s="460">
        <v>0</v>
      </c>
      <c r="AI16" s="460">
        <v>0</v>
      </c>
      <c r="AJ16" s="460">
        <v>0</v>
      </c>
      <c r="AK16" s="460">
        <v>0</v>
      </c>
      <c r="AL16" s="460">
        <v>0</v>
      </c>
      <c r="AM16" s="460">
        <v>0</v>
      </c>
      <c r="AN16" s="460">
        <v>0</v>
      </c>
      <c r="AO16" s="460">
        <v>0</v>
      </c>
      <c r="AP16" s="460">
        <v>0</v>
      </c>
      <c r="AQ16" s="460">
        <v>0</v>
      </c>
      <c r="AR16" s="460">
        <v>0</v>
      </c>
      <c r="AS16" s="460">
        <v>0</v>
      </c>
      <c r="AT16" s="460">
        <v>0</v>
      </c>
      <c r="AU16" s="460">
        <v>0</v>
      </c>
      <c r="AV16" s="460">
        <v>0</v>
      </c>
      <c r="AW16" s="460">
        <v>0</v>
      </c>
      <c r="AX16" s="460">
        <v>0</v>
      </c>
      <c r="AY16" s="460">
        <v>0</v>
      </c>
      <c r="AZ16" s="460">
        <v>0</v>
      </c>
      <c r="BA16" s="460">
        <v>0</v>
      </c>
      <c r="BB16" s="460">
        <v>0</v>
      </c>
      <c r="BC16" s="460">
        <v>0</v>
      </c>
      <c r="BD16" s="460">
        <v>0</v>
      </c>
      <c r="BE16" s="460">
        <v>0</v>
      </c>
      <c r="BF16" s="460">
        <v>0</v>
      </c>
      <c r="BG16" s="460">
        <v>0</v>
      </c>
      <c r="BH16" s="460">
        <v>0</v>
      </c>
      <c r="BI16" s="460">
        <v>0</v>
      </c>
      <c r="BJ16" s="460">
        <v>0</v>
      </c>
      <c r="BK16" s="460">
        <v>0</v>
      </c>
      <c r="BL16" s="460">
        <v>0</v>
      </c>
      <c r="BM16" s="460">
        <v>0</v>
      </c>
      <c r="BN16" s="460">
        <v>0</v>
      </c>
      <c r="BO16" s="460">
        <v>0</v>
      </c>
      <c r="BP16" s="460">
        <v>0</v>
      </c>
      <c r="BQ16" s="460">
        <v>0</v>
      </c>
      <c r="BR16" s="460">
        <v>0</v>
      </c>
      <c r="BS16" s="460">
        <v>0</v>
      </c>
      <c r="BT16" s="460">
        <v>0</v>
      </c>
      <c r="BU16" s="460">
        <v>0</v>
      </c>
      <c r="BV16" s="460">
        <v>0</v>
      </c>
      <c r="BW16" s="460">
        <v>0</v>
      </c>
      <c r="BX16" s="460">
        <v>0</v>
      </c>
      <c r="BY16" s="460">
        <v>0</v>
      </c>
      <c r="BZ16" s="460">
        <v>0</v>
      </c>
      <c r="CA16" s="460" t="e">
        <v>#N/A</v>
      </c>
      <c r="CB16" s="460" t="e">
        <v>#N/A</v>
      </c>
      <c r="CC16" s="460" t="e">
        <v>#N/A</v>
      </c>
      <c r="CD16"/>
      <c r="CE16"/>
      <c r="CF16"/>
      <c r="CG16"/>
      <c r="CH16"/>
    </row>
    <row r="17" spans="1:86" ht="12.75" customHeight="1">
      <c r="A17" s="105">
        <v>12</v>
      </c>
      <c r="B17" s="112" t="str">
        <v>5M-8M</v>
      </c>
      <c r="C17" s="465">
        <f>'eur disaggregated'!AF28</f>
        <v>14.470595500662146</v>
      </c>
      <c r="D17" s="111" t="str">
        <f t="shared" si="2"/>
        <v>3M</v>
      </c>
      <c r="E17" s="441">
        <f>IF(LEN(B17)&lt;4,$C$1,IF(OR(LEFT(B17,3)="DEC",LEFT(B17,3)="MAR",LEFT(B17,3)="JUN",LEFT(B17,3)="SEP"),INDEX(EurMkt!$F$15:$F$34,MATCH(B17,EurMkt!$H$15:$H$34,0)),F14))</f>
        <v>42849</v>
      </c>
      <c r="F17" s="441">
        <f>IF(AND(NOT(ISNA(MATCH(RIGHT(B17,2),$I$6:$I$67,0))),LEN(B17)&lt;6,RIGHT(B17,1)="M"), INDEX($K$6:$K$67, MATCH(RIGHT(B17,2),$I$6:$I$67,0)), IF(AND(NOT(ISNA(MATCH(RIGHT(B17,3),$I$6:$I$67,0))), LEN(B17)&gt;=6, RIGHT(B17,1)="M"), INDEX($K$6:$K$67, MATCH(RIGHT(B17,3),$I$6:$I$67,0)), _xll.qlCalendarAdvance(Calendar,E17,D17)))</f>
        <v>42940</v>
      </c>
      <c r="G17" s="462">
        <f t="shared" si="3"/>
        <v>-2.8599999999999997E-3</v>
      </c>
      <c r="H17" s="453">
        <v>-0.28599999999999998</v>
      </c>
      <c r="I17" s="107" t="str">
        <v>6M</v>
      </c>
      <c r="J17" s="106" t="str">
        <f t="shared" si="0"/>
        <v>6M</v>
      </c>
      <c r="K17" s="106">
        <f>_xll.qlCalendarAdvance("TARGET",SettlementDate,J17)</f>
        <v>42877</v>
      </c>
      <c r="M17" s="99" t="str">
        <v>6M</v>
      </c>
      <c r="N17" s="465">
        <v>-327.78540764427117</v>
      </c>
      <c r="P17" s="106" t="b">
        <f t="shared" si="1"/>
        <v>0</v>
      </c>
      <c r="Q17" s="460">
        <f t="array" ref="Q17:CC17">C17*ForwardToZero(OisBuckets,E17,F17,G17)</f>
        <v>0</v>
      </c>
      <c r="R17" s="460">
        <v>0</v>
      </c>
      <c r="S17" s="460">
        <v>0</v>
      </c>
      <c r="T17" s="460">
        <v>0</v>
      </c>
      <c r="U17" s="460">
        <v>0</v>
      </c>
      <c r="V17" s="460">
        <v>0</v>
      </c>
      <c r="W17" s="460">
        <v>0</v>
      </c>
      <c r="X17" s="460">
        <v>0</v>
      </c>
      <c r="Y17" s="460">
        <v>0</v>
      </c>
      <c r="Z17" s="460">
        <v>0</v>
      </c>
      <c r="AA17" s="460">
        <v>-24.965752676966556</v>
      </c>
      <c r="AB17" s="460">
        <v>0</v>
      </c>
      <c r="AC17" s="460">
        <v>0</v>
      </c>
      <c r="AD17" s="460">
        <v>39.436348177628702</v>
      </c>
      <c r="AE17" s="460">
        <v>0</v>
      </c>
      <c r="AF17" s="460">
        <v>0</v>
      </c>
      <c r="AG17" s="460">
        <v>0</v>
      </c>
      <c r="AH17" s="460">
        <v>0</v>
      </c>
      <c r="AI17" s="460">
        <v>0</v>
      </c>
      <c r="AJ17" s="460">
        <v>0</v>
      </c>
      <c r="AK17" s="460">
        <v>0</v>
      </c>
      <c r="AL17" s="460">
        <v>0</v>
      </c>
      <c r="AM17" s="460">
        <v>0</v>
      </c>
      <c r="AN17" s="460">
        <v>0</v>
      </c>
      <c r="AO17" s="460">
        <v>0</v>
      </c>
      <c r="AP17" s="460">
        <v>0</v>
      </c>
      <c r="AQ17" s="460">
        <v>0</v>
      </c>
      <c r="AR17" s="460">
        <v>0</v>
      </c>
      <c r="AS17" s="460">
        <v>0</v>
      </c>
      <c r="AT17" s="460">
        <v>0</v>
      </c>
      <c r="AU17" s="460">
        <v>0</v>
      </c>
      <c r="AV17" s="460">
        <v>0</v>
      </c>
      <c r="AW17" s="460">
        <v>0</v>
      </c>
      <c r="AX17" s="460">
        <v>0</v>
      </c>
      <c r="AY17" s="460">
        <v>0</v>
      </c>
      <c r="AZ17" s="460">
        <v>0</v>
      </c>
      <c r="BA17" s="460">
        <v>0</v>
      </c>
      <c r="BB17" s="460">
        <v>0</v>
      </c>
      <c r="BC17" s="460">
        <v>0</v>
      </c>
      <c r="BD17" s="460">
        <v>0</v>
      </c>
      <c r="BE17" s="460">
        <v>0</v>
      </c>
      <c r="BF17" s="460">
        <v>0</v>
      </c>
      <c r="BG17" s="460">
        <v>0</v>
      </c>
      <c r="BH17" s="460">
        <v>0</v>
      </c>
      <c r="BI17" s="460">
        <v>0</v>
      </c>
      <c r="BJ17" s="460">
        <v>0</v>
      </c>
      <c r="BK17" s="460">
        <v>0</v>
      </c>
      <c r="BL17" s="460">
        <v>0</v>
      </c>
      <c r="BM17" s="460">
        <v>0</v>
      </c>
      <c r="BN17" s="460">
        <v>0</v>
      </c>
      <c r="BO17" s="460">
        <v>0</v>
      </c>
      <c r="BP17" s="460">
        <v>0</v>
      </c>
      <c r="BQ17" s="460">
        <v>0</v>
      </c>
      <c r="BR17" s="460">
        <v>0</v>
      </c>
      <c r="BS17" s="460">
        <v>0</v>
      </c>
      <c r="BT17" s="460">
        <v>0</v>
      </c>
      <c r="BU17" s="460">
        <v>0</v>
      </c>
      <c r="BV17" s="460">
        <v>0</v>
      </c>
      <c r="BW17" s="460">
        <v>0</v>
      </c>
      <c r="BX17" s="460">
        <v>0</v>
      </c>
      <c r="BY17" s="460">
        <v>0</v>
      </c>
      <c r="BZ17" s="460">
        <v>0</v>
      </c>
      <c r="CA17" s="460" t="e">
        <v>#N/A</v>
      </c>
      <c r="CB17" s="460" t="e">
        <v>#N/A</v>
      </c>
      <c r="CC17" s="460" t="e">
        <v>#N/A</v>
      </c>
      <c r="CD17"/>
      <c r="CE17"/>
      <c r="CF17"/>
      <c r="CG17"/>
      <c r="CH17"/>
    </row>
    <row r="18" spans="1:86" ht="12.75" customHeight="1">
      <c r="A18" s="105">
        <v>13</v>
      </c>
      <c r="B18" s="112" t="str">
        <v>6M-9M</v>
      </c>
      <c r="C18" s="465">
        <f>'eur disaggregated'!AF29</f>
        <v>-60.403905183850696</v>
      </c>
      <c r="D18" s="111" t="str">
        <f t="shared" si="2"/>
        <v>3M</v>
      </c>
      <c r="E18" s="441">
        <f>IF(LEN(B18)&lt;4,$C$1,IF(OR(LEFT(B18,3)="DEC",LEFT(B18,3)="MAR",LEFT(B18,3)="JUN",LEFT(B18,3)="SEP"),INDEX(EurMkt!$F$15:$F$34,MATCH(B18,EurMkt!$H$15:$H$34,0)),F15))</f>
        <v>42877</v>
      </c>
      <c r="F18" s="441">
        <f>IF(AND(NOT(ISNA(MATCH(RIGHT(B18,2),$I$6:$I$67,0))),LEN(B18)&lt;6,RIGHT(B18,1)="M"), INDEX($K$6:$K$67, MATCH(RIGHT(B18,2),$I$6:$I$67,0)), IF(AND(NOT(ISNA(MATCH(RIGHT(B18,3),$I$6:$I$67,0))), LEN(B18)&gt;=6, RIGHT(B18,1)="M"), INDEX($K$6:$K$67, MATCH(RIGHT(B18,3),$I$6:$I$67,0)), _xll.qlCalendarAdvance(Calendar,E18,D18)))</f>
        <v>42969</v>
      </c>
      <c r="G18" s="462">
        <f t="shared" si="3"/>
        <v>-2.8199999999999996E-3</v>
      </c>
      <c r="H18" s="453">
        <v>-0.28199999999999997</v>
      </c>
      <c r="I18" s="107" t="str">
        <v>7M</v>
      </c>
      <c r="J18" s="106" t="str">
        <f t="shared" si="0"/>
        <v>7M</v>
      </c>
      <c r="K18" s="106">
        <f>_xll.qlCalendarAdvance("TARGET",SettlementDate,J18)</f>
        <v>42908</v>
      </c>
      <c r="M18" s="99" t="str">
        <v>7M</v>
      </c>
      <c r="N18" s="465">
        <v>-24.298703744930663</v>
      </c>
      <c r="P18" s="106" t="b">
        <f t="shared" si="1"/>
        <v>0</v>
      </c>
      <c r="Q18" s="460">
        <f t="array" ref="Q18:CC18">C18*ForwardToZero(OisBuckets,E18,F18,G18)</f>
        <v>0</v>
      </c>
      <c r="R18" s="460">
        <v>0</v>
      </c>
      <c r="S18" s="460">
        <v>0</v>
      </c>
      <c r="T18" s="460">
        <v>0</v>
      </c>
      <c r="U18" s="460">
        <v>0</v>
      </c>
      <c r="V18" s="460">
        <v>0</v>
      </c>
      <c r="W18" s="460">
        <v>0</v>
      </c>
      <c r="X18" s="460">
        <v>0</v>
      </c>
      <c r="Y18" s="460">
        <v>0</v>
      </c>
      <c r="Z18" s="460">
        <v>0</v>
      </c>
      <c r="AA18" s="460">
        <v>0</v>
      </c>
      <c r="AB18" s="460">
        <v>121.46437455448239</v>
      </c>
      <c r="AC18" s="460">
        <v>0</v>
      </c>
      <c r="AD18" s="460">
        <v>0</v>
      </c>
      <c r="AE18" s="460">
        <v>-181.86827973833309</v>
      </c>
      <c r="AF18" s="460">
        <v>0</v>
      </c>
      <c r="AG18" s="460">
        <v>0</v>
      </c>
      <c r="AH18" s="460">
        <v>0</v>
      </c>
      <c r="AI18" s="460">
        <v>0</v>
      </c>
      <c r="AJ18" s="460">
        <v>0</v>
      </c>
      <c r="AK18" s="460">
        <v>0</v>
      </c>
      <c r="AL18" s="460">
        <v>0</v>
      </c>
      <c r="AM18" s="460">
        <v>0</v>
      </c>
      <c r="AN18" s="460">
        <v>0</v>
      </c>
      <c r="AO18" s="460">
        <v>0</v>
      </c>
      <c r="AP18" s="460">
        <v>0</v>
      </c>
      <c r="AQ18" s="460">
        <v>0</v>
      </c>
      <c r="AR18" s="460">
        <v>0</v>
      </c>
      <c r="AS18" s="460">
        <v>0</v>
      </c>
      <c r="AT18" s="460">
        <v>0</v>
      </c>
      <c r="AU18" s="460">
        <v>0</v>
      </c>
      <c r="AV18" s="460">
        <v>0</v>
      </c>
      <c r="AW18" s="460">
        <v>0</v>
      </c>
      <c r="AX18" s="460">
        <v>0</v>
      </c>
      <c r="AY18" s="460">
        <v>0</v>
      </c>
      <c r="AZ18" s="460">
        <v>0</v>
      </c>
      <c r="BA18" s="460">
        <v>0</v>
      </c>
      <c r="BB18" s="460">
        <v>0</v>
      </c>
      <c r="BC18" s="460">
        <v>0</v>
      </c>
      <c r="BD18" s="460">
        <v>0</v>
      </c>
      <c r="BE18" s="460">
        <v>0</v>
      </c>
      <c r="BF18" s="460">
        <v>0</v>
      </c>
      <c r="BG18" s="460">
        <v>0</v>
      </c>
      <c r="BH18" s="460">
        <v>0</v>
      </c>
      <c r="BI18" s="460">
        <v>0</v>
      </c>
      <c r="BJ18" s="460">
        <v>0</v>
      </c>
      <c r="BK18" s="460">
        <v>0</v>
      </c>
      <c r="BL18" s="460">
        <v>0</v>
      </c>
      <c r="BM18" s="460">
        <v>0</v>
      </c>
      <c r="BN18" s="460">
        <v>0</v>
      </c>
      <c r="BO18" s="460">
        <v>0</v>
      </c>
      <c r="BP18" s="460">
        <v>0</v>
      </c>
      <c r="BQ18" s="460">
        <v>0</v>
      </c>
      <c r="BR18" s="460">
        <v>0</v>
      </c>
      <c r="BS18" s="460">
        <v>0</v>
      </c>
      <c r="BT18" s="460">
        <v>0</v>
      </c>
      <c r="BU18" s="460">
        <v>0</v>
      </c>
      <c r="BV18" s="460">
        <v>0</v>
      </c>
      <c r="BW18" s="460">
        <v>0</v>
      </c>
      <c r="BX18" s="460">
        <v>0</v>
      </c>
      <c r="BY18" s="460">
        <v>0</v>
      </c>
      <c r="BZ18" s="460">
        <v>0</v>
      </c>
      <c r="CA18" s="460" t="e">
        <v>#N/A</v>
      </c>
      <c r="CB18" s="460" t="e">
        <v>#N/A</v>
      </c>
      <c r="CC18" s="460" t="e">
        <v>#N/A</v>
      </c>
      <c r="CD18"/>
      <c r="CE18"/>
      <c r="CF18"/>
      <c r="CG18"/>
      <c r="CH18"/>
    </row>
    <row r="19" spans="1:86" ht="12.75" customHeight="1">
      <c r="A19" s="105">
        <v>14</v>
      </c>
      <c r="B19" s="112" t="str">
        <v>7M-10M</v>
      </c>
      <c r="C19" s="465">
        <f>'eur disaggregated'!AF30</f>
        <v>429.74924098403039</v>
      </c>
      <c r="D19" s="111" t="str">
        <f t="shared" si="2"/>
        <v>3M</v>
      </c>
      <c r="E19" s="441">
        <f>IF(LEN(B19)&lt;4,$C$1,IF(OR(LEFT(B19,3)="DEC",LEFT(B19,3)="MAR",LEFT(B19,3)="JUN",LEFT(B19,3)="SEP"),INDEX(EurMkt!$F$15:$F$34,MATCH(B19,EurMkt!$H$15:$H$34,0)),F16))</f>
        <v>42908</v>
      </c>
      <c r="F19" s="441">
        <f>IF(AND(NOT(ISNA(MATCH(RIGHT(B19,2),$I$6:$I$67,0))),LEN(B19)&lt;6,RIGHT(B19,1)="M"), INDEX($K$6:$K$67, MATCH(RIGHT(B19,2),$I$6:$I$67,0)), IF(AND(NOT(ISNA(MATCH(RIGHT(B19,3),$I$6:$I$67,0))), LEN(B19)&gt;=6, RIGHT(B19,1)="M"), INDEX($K$6:$K$67, MATCH(RIGHT(B19,3),$I$6:$I$67,0)), _xll.qlCalendarAdvance(Calendar,E19,D19)))</f>
        <v>43000</v>
      </c>
      <c r="G19" s="462">
        <f t="shared" si="3"/>
        <v>-2.7700000000000003E-3</v>
      </c>
      <c r="H19" s="453">
        <v>-0.27700000000000002</v>
      </c>
      <c r="I19" s="107" t="str">
        <v>8M</v>
      </c>
      <c r="J19" s="106" t="str">
        <f t="shared" si="0"/>
        <v>8M</v>
      </c>
      <c r="K19" s="106">
        <f>_xll.qlCalendarAdvance("TARGET",SettlementDate,J19)</f>
        <v>42940</v>
      </c>
      <c r="M19" s="99" t="str">
        <v>8M</v>
      </c>
      <c r="N19" s="465">
        <v>106.2474044707409</v>
      </c>
      <c r="P19" s="106" t="b">
        <f t="shared" si="1"/>
        <v>0</v>
      </c>
      <c r="Q19" s="460">
        <f t="array" ref="Q19:CC19">C19*ForwardToZero(OisBuckets,E19,F19,G19)</f>
        <v>0</v>
      </c>
      <c r="R19" s="460">
        <v>0</v>
      </c>
      <c r="S19" s="460">
        <v>0</v>
      </c>
      <c r="T19" s="460">
        <v>0</v>
      </c>
      <c r="U19" s="460">
        <v>0</v>
      </c>
      <c r="V19" s="460">
        <v>0</v>
      </c>
      <c r="W19" s="460">
        <v>0</v>
      </c>
      <c r="X19" s="460">
        <v>0</v>
      </c>
      <c r="Y19" s="460">
        <v>0</v>
      </c>
      <c r="Z19" s="460">
        <v>0</v>
      </c>
      <c r="AA19" s="460">
        <v>0</v>
      </c>
      <c r="AB19" s="460">
        <v>0</v>
      </c>
      <c r="AC19" s="460">
        <v>-1008.9764788320718</v>
      </c>
      <c r="AD19" s="460">
        <v>0</v>
      </c>
      <c r="AE19" s="460">
        <v>0</v>
      </c>
      <c r="AF19" s="460">
        <v>1438.7257198161021</v>
      </c>
      <c r="AG19" s="460">
        <v>0</v>
      </c>
      <c r="AH19" s="460">
        <v>0</v>
      </c>
      <c r="AI19" s="460">
        <v>0</v>
      </c>
      <c r="AJ19" s="460">
        <v>0</v>
      </c>
      <c r="AK19" s="460">
        <v>0</v>
      </c>
      <c r="AL19" s="460">
        <v>0</v>
      </c>
      <c r="AM19" s="460">
        <v>0</v>
      </c>
      <c r="AN19" s="460">
        <v>0</v>
      </c>
      <c r="AO19" s="460">
        <v>0</v>
      </c>
      <c r="AP19" s="460">
        <v>0</v>
      </c>
      <c r="AQ19" s="460">
        <v>0</v>
      </c>
      <c r="AR19" s="460">
        <v>0</v>
      </c>
      <c r="AS19" s="460">
        <v>0</v>
      </c>
      <c r="AT19" s="460">
        <v>0</v>
      </c>
      <c r="AU19" s="460">
        <v>0</v>
      </c>
      <c r="AV19" s="460">
        <v>0</v>
      </c>
      <c r="AW19" s="460">
        <v>0</v>
      </c>
      <c r="AX19" s="460">
        <v>0</v>
      </c>
      <c r="AY19" s="460">
        <v>0</v>
      </c>
      <c r="AZ19" s="460">
        <v>0</v>
      </c>
      <c r="BA19" s="460">
        <v>0</v>
      </c>
      <c r="BB19" s="460">
        <v>0</v>
      </c>
      <c r="BC19" s="460">
        <v>0</v>
      </c>
      <c r="BD19" s="460">
        <v>0</v>
      </c>
      <c r="BE19" s="460">
        <v>0</v>
      </c>
      <c r="BF19" s="460">
        <v>0</v>
      </c>
      <c r="BG19" s="460">
        <v>0</v>
      </c>
      <c r="BH19" s="460">
        <v>0</v>
      </c>
      <c r="BI19" s="460">
        <v>0</v>
      </c>
      <c r="BJ19" s="460">
        <v>0</v>
      </c>
      <c r="BK19" s="460">
        <v>0</v>
      </c>
      <c r="BL19" s="460">
        <v>0</v>
      </c>
      <c r="BM19" s="460">
        <v>0</v>
      </c>
      <c r="BN19" s="460">
        <v>0</v>
      </c>
      <c r="BO19" s="460">
        <v>0</v>
      </c>
      <c r="BP19" s="460">
        <v>0</v>
      </c>
      <c r="BQ19" s="460">
        <v>0</v>
      </c>
      <c r="BR19" s="460">
        <v>0</v>
      </c>
      <c r="BS19" s="460">
        <v>0</v>
      </c>
      <c r="BT19" s="460">
        <v>0</v>
      </c>
      <c r="BU19" s="460">
        <v>0</v>
      </c>
      <c r="BV19" s="460">
        <v>0</v>
      </c>
      <c r="BW19" s="460">
        <v>0</v>
      </c>
      <c r="BX19" s="460">
        <v>0</v>
      </c>
      <c r="BY19" s="460">
        <v>0</v>
      </c>
      <c r="BZ19" s="460">
        <v>0</v>
      </c>
      <c r="CA19" s="460" t="e">
        <v>#N/A</v>
      </c>
      <c r="CB19" s="460" t="e">
        <v>#N/A</v>
      </c>
      <c r="CC19" s="460" t="e">
        <v>#N/A</v>
      </c>
      <c r="CD19"/>
      <c r="CE19"/>
      <c r="CF19"/>
      <c r="CG19"/>
      <c r="CH19"/>
    </row>
    <row r="20" spans="1:86" ht="12.75" customHeight="1">
      <c r="A20" s="105">
        <v>15</v>
      </c>
      <c r="B20" s="112" t="str">
        <v>8M-11M</v>
      </c>
      <c r="C20" s="465">
        <f>'eur disaggregated'!AF31</f>
        <v>-24.515347268843584</v>
      </c>
      <c r="D20" s="111" t="str">
        <f t="shared" si="2"/>
        <v>3M</v>
      </c>
      <c r="E20" s="441">
        <f>IF(LEN(B20)&lt;4,$C$1,IF(OR(LEFT(B20,3)="DEC",LEFT(B20,3)="MAR",LEFT(B20,3)="JUN",LEFT(B20,3)="SEP"),INDEX(EurMkt!$F$15:$F$34,MATCH(B20,EurMkt!$H$15:$H$34,0)),F17))</f>
        <v>42940</v>
      </c>
      <c r="F20" s="441">
        <f>IF(AND(NOT(ISNA(MATCH(RIGHT(B20,2),$I$6:$I$67,0))),LEN(B20)&lt;6,RIGHT(B20,1)="M"), INDEX($K$6:$K$67, MATCH(RIGHT(B20,2),$I$6:$I$67,0)), IF(AND(NOT(ISNA(MATCH(RIGHT(B20,3),$I$6:$I$67,0))), LEN(B20)&gt;=6, RIGHT(B20,1)="M"), INDEX($K$6:$K$67, MATCH(RIGHT(B20,3),$I$6:$I$67,0)), _xll.qlCalendarAdvance(Calendar,E20,D20)))</f>
        <v>43031</v>
      </c>
      <c r="G20" s="462">
        <f t="shared" si="3"/>
        <v>-2.7100000000000002E-3</v>
      </c>
      <c r="H20" s="453">
        <v>-0.27100000000000002</v>
      </c>
      <c r="I20" s="107" t="str">
        <v>9M</v>
      </c>
      <c r="J20" s="106" t="str">
        <f t="shared" si="0"/>
        <v>9M</v>
      </c>
      <c r="K20" s="106">
        <f>_xll.qlCalendarAdvance("TARGET",SettlementDate,J20)</f>
        <v>42969</v>
      </c>
      <c r="M20" s="99" t="str">
        <v>9M</v>
      </c>
      <c r="N20" s="465">
        <v>-181.86827973833309</v>
      </c>
      <c r="P20" s="106" t="b">
        <f t="shared" si="1"/>
        <v>0</v>
      </c>
      <c r="Q20" s="460">
        <f t="array" ref="Q20:CC20">C20*ForwardToZero(OisBuckets,E20,F20,G20)</f>
        <v>0</v>
      </c>
      <c r="R20" s="460">
        <v>0</v>
      </c>
      <c r="S20" s="460">
        <v>0</v>
      </c>
      <c r="T20" s="460">
        <v>0</v>
      </c>
      <c r="U20" s="460">
        <v>0</v>
      </c>
      <c r="V20" s="460">
        <v>0</v>
      </c>
      <c r="W20" s="460">
        <v>0</v>
      </c>
      <c r="X20" s="460">
        <v>0</v>
      </c>
      <c r="Y20" s="460">
        <v>0</v>
      </c>
      <c r="Z20" s="460">
        <v>0</v>
      </c>
      <c r="AA20" s="460">
        <v>0</v>
      </c>
      <c r="AB20" s="460">
        <v>0</v>
      </c>
      <c r="AC20" s="460">
        <v>0</v>
      </c>
      <c r="AD20" s="460">
        <v>66.811056293112202</v>
      </c>
      <c r="AE20" s="460">
        <v>0</v>
      </c>
      <c r="AF20" s="460">
        <v>0</v>
      </c>
      <c r="AG20" s="460">
        <v>-91.326403561955786</v>
      </c>
      <c r="AH20" s="460">
        <v>0</v>
      </c>
      <c r="AI20" s="460">
        <v>0</v>
      </c>
      <c r="AJ20" s="460">
        <v>0</v>
      </c>
      <c r="AK20" s="460">
        <v>0</v>
      </c>
      <c r="AL20" s="460">
        <v>0</v>
      </c>
      <c r="AM20" s="460">
        <v>0</v>
      </c>
      <c r="AN20" s="460">
        <v>0</v>
      </c>
      <c r="AO20" s="460">
        <v>0</v>
      </c>
      <c r="AP20" s="460">
        <v>0</v>
      </c>
      <c r="AQ20" s="460">
        <v>0</v>
      </c>
      <c r="AR20" s="460">
        <v>0</v>
      </c>
      <c r="AS20" s="460">
        <v>0</v>
      </c>
      <c r="AT20" s="460">
        <v>0</v>
      </c>
      <c r="AU20" s="460">
        <v>0</v>
      </c>
      <c r="AV20" s="460">
        <v>0</v>
      </c>
      <c r="AW20" s="460">
        <v>0</v>
      </c>
      <c r="AX20" s="460">
        <v>0</v>
      </c>
      <c r="AY20" s="460">
        <v>0</v>
      </c>
      <c r="AZ20" s="460">
        <v>0</v>
      </c>
      <c r="BA20" s="460">
        <v>0</v>
      </c>
      <c r="BB20" s="460">
        <v>0</v>
      </c>
      <c r="BC20" s="460">
        <v>0</v>
      </c>
      <c r="BD20" s="460">
        <v>0</v>
      </c>
      <c r="BE20" s="460">
        <v>0</v>
      </c>
      <c r="BF20" s="460">
        <v>0</v>
      </c>
      <c r="BG20" s="460">
        <v>0</v>
      </c>
      <c r="BH20" s="460">
        <v>0</v>
      </c>
      <c r="BI20" s="460">
        <v>0</v>
      </c>
      <c r="BJ20" s="460">
        <v>0</v>
      </c>
      <c r="BK20" s="460">
        <v>0</v>
      </c>
      <c r="BL20" s="460">
        <v>0</v>
      </c>
      <c r="BM20" s="460">
        <v>0</v>
      </c>
      <c r="BN20" s="460">
        <v>0</v>
      </c>
      <c r="BO20" s="460">
        <v>0</v>
      </c>
      <c r="BP20" s="460">
        <v>0</v>
      </c>
      <c r="BQ20" s="460">
        <v>0</v>
      </c>
      <c r="BR20" s="460">
        <v>0</v>
      </c>
      <c r="BS20" s="460">
        <v>0</v>
      </c>
      <c r="BT20" s="460">
        <v>0</v>
      </c>
      <c r="BU20" s="460">
        <v>0</v>
      </c>
      <c r="BV20" s="460">
        <v>0</v>
      </c>
      <c r="BW20" s="460">
        <v>0</v>
      </c>
      <c r="BX20" s="460">
        <v>0</v>
      </c>
      <c r="BY20" s="460">
        <v>0</v>
      </c>
      <c r="BZ20" s="460">
        <v>0</v>
      </c>
      <c r="CA20" s="460" t="e">
        <v>#N/A</v>
      </c>
      <c r="CB20" s="460" t="e">
        <v>#N/A</v>
      </c>
      <c r="CC20" s="460" t="e">
        <v>#N/A</v>
      </c>
      <c r="CD20"/>
      <c r="CE20"/>
      <c r="CF20"/>
      <c r="CG20"/>
      <c r="CH20"/>
    </row>
    <row r="21" spans="1:86" ht="12.75" customHeight="1">
      <c r="A21" s="105">
        <v>16</v>
      </c>
      <c r="B21" s="112" t="str">
        <v>9M-12M</v>
      </c>
      <c r="C21" s="465">
        <f>'eur disaggregated'!AF32</f>
        <v>0</v>
      </c>
      <c r="D21" s="111" t="str">
        <f t="shared" si="2"/>
        <v>3M</v>
      </c>
      <c r="E21" s="441">
        <f>IF(LEN(B21)&lt;4,$C$1,IF(OR(LEFT(B21,3)="DEC",LEFT(B21,3)="MAR",LEFT(B21,3)="JUN",LEFT(B21,3)="SEP"),INDEX(EurMkt!$F$15:$F$34,MATCH(B21,EurMkt!$H$15:$H$34,0)),F18))</f>
        <v>42969</v>
      </c>
      <c r="F21" s="441">
        <f>IF(AND(NOT(ISNA(MATCH(RIGHT(B21,2),$I$6:$I$67,0))),LEN(B21)&lt;6,RIGHT(B21,1)="M"), INDEX($K$6:$K$67, MATCH(RIGHT(B21,2),$I$6:$I$67,0)), IF(AND(NOT(ISNA(MATCH(RIGHT(B21,3),$I$6:$I$67,0))), LEN(B21)&gt;=6, RIGHT(B21,1)="M"), INDEX($K$6:$K$67, MATCH(RIGHT(B21,3),$I$6:$I$67,0)), _xll.qlCalendarAdvance(Calendar,E21,D21)))</f>
        <v>43061</v>
      </c>
      <c r="G21" s="462">
        <f t="shared" si="3"/>
        <v>-2.66E-3</v>
      </c>
      <c r="H21" s="453">
        <v>-0.26600000000000001</v>
      </c>
      <c r="I21" s="107" t="str">
        <v>10M</v>
      </c>
      <c r="J21" s="106" t="str">
        <f t="shared" si="0"/>
        <v>10M</v>
      </c>
      <c r="K21" s="106">
        <f>_xll.qlCalendarAdvance("TARGET",SettlementDate,J21)</f>
        <v>43000</v>
      </c>
      <c r="M21" s="99" t="str">
        <v>10M</v>
      </c>
      <c r="N21" s="465">
        <v>255.99072072124568</v>
      </c>
      <c r="P21" s="106" t="b">
        <f t="shared" si="1"/>
        <v>0</v>
      </c>
      <c r="Q21" s="460">
        <f t="array" ref="Q21:CC21">C21*ForwardToZero(OisBuckets,E21,F21,G21)</f>
        <v>0</v>
      </c>
      <c r="R21" s="460">
        <v>0</v>
      </c>
      <c r="S21" s="460">
        <v>0</v>
      </c>
      <c r="T21" s="460">
        <v>0</v>
      </c>
      <c r="U21" s="460">
        <v>0</v>
      </c>
      <c r="V21" s="460">
        <v>0</v>
      </c>
      <c r="W21" s="460">
        <v>0</v>
      </c>
      <c r="X21" s="460">
        <v>0</v>
      </c>
      <c r="Y21" s="460">
        <v>0</v>
      </c>
      <c r="Z21" s="460">
        <v>0</v>
      </c>
      <c r="AA21" s="460">
        <v>0</v>
      </c>
      <c r="AB21" s="460">
        <v>0</v>
      </c>
      <c r="AC21" s="460">
        <v>0</v>
      </c>
      <c r="AD21" s="460">
        <v>0</v>
      </c>
      <c r="AE21" s="460">
        <v>0</v>
      </c>
      <c r="AF21" s="460">
        <v>0</v>
      </c>
      <c r="AG21" s="460">
        <v>0</v>
      </c>
      <c r="AH21" s="460">
        <v>0</v>
      </c>
      <c r="AI21" s="460">
        <v>0</v>
      </c>
      <c r="AJ21" s="460">
        <v>0</v>
      </c>
      <c r="AK21" s="460">
        <v>0</v>
      </c>
      <c r="AL21" s="460">
        <v>0</v>
      </c>
      <c r="AM21" s="460">
        <v>0</v>
      </c>
      <c r="AN21" s="460">
        <v>0</v>
      </c>
      <c r="AO21" s="460">
        <v>0</v>
      </c>
      <c r="AP21" s="460">
        <v>0</v>
      </c>
      <c r="AQ21" s="460">
        <v>0</v>
      </c>
      <c r="AR21" s="460">
        <v>0</v>
      </c>
      <c r="AS21" s="460">
        <v>0</v>
      </c>
      <c r="AT21" s="460">
        <v>0</v>
      </c>
      <c r="AU21" s="460">
        <v>0</v>
      </c>
      <c r="AV21" s="460">
        <v>0</v>
      </c>
      <c r="AW21" s="460">
        <v>0</v>
      </c>
      <c r="AX21" s="460">
        <v>0</v>
      </c>
      <c r="AY21" s="460">
        <v>0</v>
      </c>
      <c r="AZ21" s="460">
        <v>0</v>
      </c>
      <c r="BA21" s="460">
        <v>0</v>
      </c>
      <c r="BB21" s="460">
        <v>0</v>
      </c>
      <c r="BC21" s="460">
        <v>0</v>
      </c>
      <c r="BD21" s="460">
        <v>0</v>
      </c>
      <c r="BE21" s="460">
        <v>0</v>
      </c>
      <c r="BF21" s="460">
        <v>0</v>
      </c>
      <c r="BG21" s="460">
        <v>0</v>
      </c>
      <c r="BH21" s="460">
        <v>0</v>
      </c>
      <c r="BI21" s="460">
        <v>0</v>
      </c>
      <c r="BJ21" s="460">
        <v>0</v>
      </c>
      <c r="BK21" s="460">
        <v>0</v>
      </c>
      <c r="BL21" s="460">
        <v>0</v>
      </c>
      <c r="BM21" s="460">
        <v>0</v>
      </c>
      <c r="BN21" s="460">
        <v>0</v>
      </c>
      <c r="BO21" s="460">
        <v>0</v>
      </c>
      <c r="BP21" s="460">
        <v>0</v>
      </c>
      <c r="BQ21" s="460">
        <v>0</v>
      </c>
      <c r="BR21" s="460">
        <v>0</v>
      </c>
      <c r="BS21" s="460">
        <v>0</v>
      </c>
      <c r="BT21" s="460">
        <v>0</v>
      </c>
      <c r="BU21" s="460">
        <v>0</v>
      </c>
      <c r="BV21" s="460">
        <v>0</v>
      </c>
      <c r="BW21" s="460">
        <v>0</v>
      </c>
      <c r="BX21" s="460">
        <v>0</v>
      </c>
      <c r="BY21" s="460">
        <v>0</v>
      </c>
      <c r="BZ21" s="460">
        <v>0</v>
      </c>
      <c r="CA21" s="460" t="e">
        <v>#N/A</v>
      </c>
      <c r="CB21" s="460" t="e">
        <v>#N/A</v>
      </c>
      <c r="CC21" s="460" t="e">
        <v>#N/A</v>
      </c>
      <c r="CD21"/>
      <c r="CE21"/>
      <c r="CF21"/>
      <c r="CG21"/>
      <c r="CH21"/>
    </row>
    <row r="22" spans="1:86" ht="12.75" customHeight="1">
      <c r="A22" s="105">
        <v>17</v>
      </c>
      <c r="B22" s="112" t="str">
        <v>10M-13M</v>
      </c>
      <c r="C22" s="465">
        <f>'eur disaggregated'!AF33</f>
        <v>349.44443155075328</v>
      </c>
      <c r="D22" s="111" t="str">
        <f t="shared" si="2"/>
        <v>3M</v>
      </c>
      <c r="E22" s="441">
        <f>IF(LEN(B22)&lt;4,$C$1,IF(OR(LEFT(B22,3)="DEC",LEFT(B22,3)="MAR",LEFT(B22,3)="JUN",LEFT(B22,3)="SEP"),INDEX(EurMkt!$F$15:$F$34,MATCH(B22,EurMkt!$H$15:$H$34,0)),F19))</f>
        <v>43000</v>
      </c>
      <c r="F22" s="441">
        <f>IF(AND(NOT(ISNA(MATCH(RIGHT(B22,2),$I$6:$I$67,0))),LEN(B22)&lt;6,RIGHT(B22,1)="M"), INDEX($K$6:$K$67, MATCH(RIGHT(B22,2),$I$6:$I$67,0)), IF(AND(NOT(ISNA(MATCH(RIGHT(B22,3),$I$6:$I$67,0))), LEN(B22)&gt;=6, RIGHT(B22,1)="M"), INDEX($K$6:$K$67, MATCH(RIGHT(B22,3),$I$6:$I$67,0)), _xll.qlCalendarAdvance(Calendar,E22,D22)))</f>
        <v>43091</v>
      </c>
      <c r="G22" s="462">
        <f t="shared" si="3"/>
        <v>-2.5999999999999999E-3</v>
      </c>
      <c r="H22" s="453">
        <v>-0.26</v>
      </c>
      <c r="I22" s="107" t="str">
        <v>11M</v>
      </c>
      <c r="J22" s="106" t="str">
        <f>IF(LEN(I22)&gt;0,IF((MID(I22,4,1)=" "),I22,IF((LEN(I22)=8),DATE("20" &amp; RIGHT(I22,2),MID(I22,4,2),LEFT(I22,2)),SimplifyTenor(I22))),"")</f>
        <v>11M</v>
      </c>
      <c r="K22" s="106">
        <f>_xll.qlCalendarAdvance("TARGET",SettlementDate,J22)</f>
        <v>43031</v>
      </c>
      <c r="M22" s="99" t="str">
        <v>11M</v>
      </c>
      <c r="N22" s="465">
        <v>-236.01237973797714</v>
      </c>
      <c r="P22" s="106" t="b">
        <f t="shared" si="1"/>
        <v>0</v>
      </c>
      <c r="Q22" s="460">
        <f t="array" ref="Q22:CC22">C22*ForwardToZero(OisBuckets,E22,F22,G22)</f>
        <v>0</v>
      </c>
      <c r="R22" s="460">
        <v>0</v>
      </c>
      <c r="S22" s="460">
        <v>0</v>
      </c>
      <c r="T22" s="460">
        <v>0</v>
      </c>
      <c r="U22" s="460">
        <v>0</v>
      </c>
      <c r="V22" s="460">
        <v>0</v>
      </c>
      <c r="W22" s="460">
        <v>0</v>
      </c>
      <c r="X22" s="460">
        <v>0</v>
      </c>
      <c r="Y22" s="460">
        <v>0</v>
      </c>
      <c r="Z22" s="460">
        <v>0</v>
      </c>
      <c r="AA22" s="460">
        <v>0</v>
      </c>
      <c r="AB22" s="460">
        <v>0</v>
      </c>
      <c r="AC22" s="460">
        <v>0</v>
      </c>
      <c r="AD22" s="460">
        <v>0</v>
      </c>
      <c r="AE22" s="460">
        <v>0</v>
      </c>
      <c r="AF22" s="460">
        <v>-1182.7349990948564</v>
      </c>
      <c r="AG22" s="460">
        <v>0</v>
      </c>
      <c r="AH22" s="460">
        <v>0</v>
      </c>
      <c r="AI22" s="460">
        <v>1532.1794306456097</v>
      </c>
      <c r="AJ22" s="460">
        <v>0</v>
      </c>
      <c r="AK22" s="460">
        <v>0</v>
      </c>
      <c r="AL22" s="460">
        <v>0</v>
      </c>
      <c r="AM22" s="460">
        <v>0</v>
      </c>
      <c r="AN22" s="460">
        <v>0</v>
      </c>
      <c r="AO22" s="460">
        <v>0</v>
      </c>
      <c r="AP22" s="460">
        <v>0</v>
      </c>
      <c r="AQ22" s="460">
        <v>0</v>
      </c>
      <c r="AR22" s="460">
        <v>0</v>
      </c>
      <c r="AS22" s="460">
        <v>0</v>
      </c>
      <c r="AT22" s="460">
        <v>0</v>
      </c>
      <c r="AU22" s="460">
        <v>0</v>
      </c>
      <c r="AV22" s="460">
        <v>0</v>
      </c>
      <c r="AW22" s="460">
        <v>0</v>
      </c>
      <c r="AX22" s="460">
        <v>0</v>
      </c>
      <c r="AY22" s="460">
        <v>0</v>
      </c>
      <c r="AZ22" s="460">
        <v>0</v>
      </c>
      <c r="BA22" s="460">
        <v>0</v>
      </c>
      <c r="BB22" s="460">
        <v>0</v>
      </c>
      <c r="BC22" s="460">
        <v>0</v>
      </c>
      <c r="BD22" s="460">
        <v>0</v>
      </c>
      <c r="BE22" s="460">
        <v>0</v>
      </c>
      <c r="BF22" s="460">
        <v>0</v>
      </c>
      <c r="BG22" s="460">
        <v>0</v>
      </c>
      <c r="BH22" s="460">
        <v>0</v>
      </c>
      <c r="BI22" s="460">
        <v>0</v>
      </c>
      <c r="BJ22" s="460">
        <v>0</v>
      </c>
      <c r="BK22" s="460">
        <v>0</v>
      </c>
      <c r="BL22" s="460">
        <v>0</v>
      </c>
      <c r="BM22" s="460">
        <v>0</v>
      </c>
      <c r="BN22" s="460">
        <v>0</v>
      </c>
      <c r="BO22" s="460">
        <v>0</v>
      </c>
      <c r="BP22" s="460">
        <v>0</v>
      </c>
      <c r="BQ22" s="460">
        <v>0</v>
      </c>
      <c r="BR22" s="460">
        <v>0</v>
      </c>
      <c r="BS22" s="460">
        <v>0</v>
      </c>
      <c r="BT22" s="460">
        <v>0</v>
      </c>
      <c r="BU22" s="460">
        <v>0</v>
      </c>
      <c r="BV22" s="460">
        <v>0</v>
      </c>
      <c r="BW22" s="460">
        <v>0</v>
      </c>
      <c r="BX22" s="460">
        <v>0</v>
      </c>
      <c r="BY22" s="460">
        <v>0</v>
      </c>
      <c r="BZ22" s="460">
        <v>0</v>
      </c>
      <c r="CA22" s="460" t="e">
        <v>#N/A</v>
      </c>
      <c r="CB22" s="460" t="e">
        <v>#N/A</v>
      </c>
      <c r="CC22" s="460" t="e">
        <v>#N/A</v>
      </c>
      <c r="CD22"/>
      <c r="CE22"/>
      <c r="CF22"/>
      <c r="CG22"/>
      <c r="CH22"/>
    </row>
    <row r="23" spans="1:86" ht="12.75" customHeight="1">
      <c r="A23" s="105">
        <v>18</v>
      </c>
      <c r="B23" s="112" t="str">
        <v>11M-14M</v>
      </c>
      <c r="C23" s="465">
        <f>'eur disaggregated'!AF34</f>
        <v>38.839008354035251</v>
      </c>
      <c r="D23" s="111" t="str">
        <f t="shared" si="2"/>
        <v>3M</v>
      </c>
      <c r="E23" s="441">
        <f>IF(LEN(B23)&lt;4,$C$1,IF(OR(LEFT(B23,3)="DEC",LEFT(B23,3)="MAR",LEFT(B23,3)="JUN",LEFT(B23,3)="SEP"),INDEX(EurMkt!$F$15:$F$34,MATCH(B23,EurMkt!$H$15:$H$34,0)),F20))</f>
        <v>43031</v>
      </c>
      <c r="F23" s="441">
        <f>IF(AND(NOT(ISNA(MATCH(RIGHT(B23,2),$I$6:$I$67,0))),LEN(B23)&lt;6,RIGHT(B23,1)="M"), INDEX($K$6:$K$67, MATCH(RIGHT(B23,2),$I$6:$I$67,0)), IF(AND(NOT(ISNA(MATCH(RIGHT(B23,3),$I$6:$I$67,0))), LEN(B23)&gt;=6, RIGHT(B23,1)="M"), INDEX($K$6:$K$67, MATCH(RIGHT(B23,3),$I$6:$I$67,0)), _xll.qlCalendarAdvance(Calendar,E23,D23)))</f>
        <v>43122</v>
      </c>
      <c r="G23" s="462">
        <f t="shared" si="3"/>
        <v>-2.5200000000000001E-3</v>
      </c>
      <c r="H23" s="453">
        <v>-0.252</v>
      </c>
      <c r="I23" s="107" t="str">
        <v>1Y</v>
      </c>
      <c r="J23" s="106" t="str">
        <f t="shared" si="0"/>
        <v>12M</v>
      </c>
      <c r="K23" s="106">
        <f>_xll.qlCalendarAdvance("TARGET",SettlementDate,J23)</f>
        <v>43061</v>
      </c>
      <c r="M23" s="99" t="str">
        <v>1Y</v>
      </c>
      <c r="N23" s="465">
        <v>2138.5446011730146</v>
      </c>
      <c r="P23" s="106" t="b">
        <f t="shared" si="1"/>
        <v>0</v>
      </c>
      <c r="Q23" s="460">
        <f t="array" ref="Q23:CC23">C23*ForwardToZero(OisBuckets,E23,F23,G23)</f>
        <v>0</v>
      </c>
      <c r="R23" s="460">
        <v>0</v>
      </c>
      <c r="S23" s="460">
        <v>0</v>
      </c>
      <c r="T23" s="460">
        <v>0</v>
      </c>
      <c r="U23" s="460">
        <v>0</v>
      </c>
      <c r="V23" s="460">
        <v>0</v>
      </c>
      <c r="W23" s="460">
        <v>0</v>
      </c>
      <c r="X23" s="460">
        <v>0</v>
      </c>
      <c r="Y23" s="460">
        <v>0</v>
      </c>
      <c r="Z23" s="460">
        <v>0</v>
      </c>
      <c r="AA23" s="460">
        <v>0</v>
      </c>
      <c r="AB23" s="460">
        <v>0</v>
      </c>
      <c r="AC23" s="460">
        <v>0</v>
      </c>
      <c r="AD23" s="460">
        <v>0</v>
      </c>
      <c r="AE23" s="460">
        <v>0</v>
      </c>
      <c r="AF23" s="460">
        <v>0</v>
      </c>
      <c r="AG23" s="460">
        <v>-144.68597617602137</v>
      </c>
      <c r="AH23" s="460">
        <v>0</v>
      </c>
      <c r="AI23" s="460">
        <v>0</v>
      </c>
      <c r="AJ23" s="460">
        <v>183.5249845300566</v>
      </c>
      <c r="AK23" s="460">
        <v>0</v>
      </c>
      <c r="AL23" s="460">
        <v>0</v>
      </c>
      <c r="AM23" s="460">
        <v>0</v>
      </c>
      <c r="AN23" s="460">
        <v>0</v>
      </c>
      <c r="AO23" s="460">
        <v>0</v>
      </c>
      <c r="AP23" s="460">
        <v>0</v>
      </c>
      <c r="AQ23" s="460">
        <v>0</v>
      </c>
      <c r="AR23" s="460">
        <v>0</v>
      </c>
      <c r="AS23" s="460">
        <v>0</v>
      </c>
      <c r="AT23" s="460">
        <v>0</v>
      </c>
      <c r="AU23" s="460">
        <v>0</v>
      </c>
      <c r="AV23" s="460">
        <v>0</v>
      </c>
      <c r="AW23" s="460">
        <v>0</v>
      </c>
      <c r="AX23" s="460">
        <v>0</v>
      </c>
      <c r="AY23" s="460">
        <v>0</v>
      </c>
      <c r="AZ23" s="460">
        <v>0</v>
      </c>
      <c r="BA23" s="460">
        <v>0</v>
      </c>
      <c r="BB23" s="460">
        <v>0</v>
      </c>
      <c r="BC23" s="460">
        <v>0</v>
      </c>
      <c r="BD23" s="460">
        <v>0</v>
      </c>
      <c r="BE23" s="460">
        <v>0</v>
      </c>
      <c r="BF23" s="460">
        <v>0</v>
      </c>
      <c r="BG23" s="460">
        <v>0</v>
      </c>
      <c r="BH23" s="460">
        <v>0</v>
      </c>
      <c r="BI23" s="460">
        <v>0</v>
      </c>
      <c r="BJ23" s="460">
        <v>0</v>
      </c>
      <c r="BK23" s="460">
        <v>0</v>
      </c>
      <c r="BL23" s="460">
        <v>0</v>
      </c>
      <c r="BM23" s="460">
        <v>0</v>
      </c>
      <c r="BN23" s="460">
        <v>0</v>
      </c>
      <c r="BO23" s="460">
        <v>0</v>
      </c>
      <c r="BP23" s="460">
        <v>0</v>
      </c>
      <c r="BQ23" s="460">
        <v>0</v>
      </c>
      <c r="BR23" s="460">
        <v>0</v>
      </c>
      <c r="BS23" s="460">
        <v>0</v>
      </c>
      <c r="BT23" s="460">
        <v>0</v>
      </c>
      <c r="BU23" s="460">
        <v>0</v>
      </c>
      <c r="BV23" s="460">
        <v>0</v>
      </c>
      <c r="BW23" s="460">
        <v>0</v>
      </c>
      <c r="BX23" s="460">
        <v>0</v>
      </c>
      <c r="BY23" s="460">
        <v>0</v>
      </c>
      <c r="BZ23" s="460">
        <v>0</v>
      </c>
      <c r="CA23" s="460" t="e">
        <v>#N/A</v>
      </c>
      <c r="CB23" s="460" t="e">
        <v>#N/A</v>
      </c>
      <c r="CC23" s="460" t="e">
        <v>#N/A</v>
      </c>
      <c r="CD23"/>
      <c r="CE23"/>
      <c r="CF23"/>
      <c r="CG23"/>
      <c r="CH23"/>
    </row>
    <row r="24" spans="1:86" ht="12.75" customHeight="1">
      <c r="A24" s="105">
        <v>19</v>
      </c>
      <c r="B24" s="112" t="str">
        <v>12M-15M</v>
      </c>
      <c r="C24" s="465">
        <f>'eur disaggregated'!AF35</f>
        <v>-533.18727183717476</v>
      </c>
      <c r="D24" s="111" t="str">
        <f t="shared" si="2"/>
        <v>3M</v>
      </c>
      <c r="E24" s="441">
        <f>IF(LEN(B24)&lt;4,$C$1,IF(OR(LEFT(B24,3)="DEC",LEFT(B24,3)="MAR",LEFT(B24,3)="JUN",LEFT(B24,3)="SEP"),INDEX(EurMkt!$F$15:$F$34,MATCH(B24,EurMkt!$H$15:$H$34,0)),F21))</f>
        <v>43061</v>
      </c>
      <c r="F24" s="441">
        <f>IF(AND(NOT(ISNA(MATCH(RIGHT(B24,2),$I$6:$I$67,0))),LEN(B24)&lt;6,RIGHT(B24,1)="M"), INDEX($K$6:$K$67, MATCH(RIGHT(B24,2),$I$6:$I$67,0)), IF(AND(NOT(ISNA(MATCH(RIGHT(B24,3),$I$6:$I$67,0))), LEN(B24)&gt;=6, RIGHT(B24,1)="M"), INDEX($K$6:$K$67, MATCH(RIGHT(B24,3),$I$6:$I$67,0)), _xll.qlCalendarAdvance(Calendar,E24,D24)))</f>
        <v>43153</v>
      </c>
      <c r="G24" s="462">
        <f t="shared" si="3"/>
        <v>-2.4599999999999999E-3</v>
      </c>
      <c r="H24" s="453">
        <v>-0.246</v>
      </c>
      <c r="I24" s="107" t="str">
        <v>13M</v>
      </c>
      <c r="J24" s="106" t="str">
        <f t="shared" si="0"/>
        <v>13M</v>
      </c>
      <c r="K24" s="106">
        <f>_xll.qlCalendarAdvance("TARGET",SettlementDate,J24)</f>
        <v>43091</v>
      </c>
      <c r="M24" s="99" t="str">
        <v>13M</v>
      </c>
      <c r="N24" s="465">
        <v>1532.1794306456097</v>
      </c>
      <c r="P24" s="106" t="b">
        <f t="shared" si="1"/>
        <v>0</v>
      </c>
      <c r="Q24" s="460">
        <f t="array" ref="Q24:CC24">C24*ForwardToZero(OisBuckets,E24,F24,G24)</f>
        <v>0</v>
      </c>
      <c r="R24" s="460">
        <v>0</v>
      </c>
      <c r="S24" s="460">
        <v>0</v>
      </c>
      <c r="T24" s="460">
        <v>0</v>
      </c>
      <c r="U24" s="460">
        <v>0</v>
      </c>
      <c r="V24" s="460">
        <v>0</v>
      </c>
      <c r="W24" s="460">
        <v>0</v>
      </c>
      <c r="X24" s="460">
        <v>0</v>
      </c>
      <c r="Y24" s="460">
        <v>0</v>
      </c>
      <c r="Z24" s="460">
        <v>0</v>
      </c>
      <c r="AA24" s="460">
        <v>0</v>
      </c>
      <c r="AB24" s="460">
        <v>0</v>
      </c>
      <c r="AC24" s="460">
        <v>0</v>
      </c>
      <c r="AD24" s="460">
        <v>0</v>
      </c>
      <c r="AE24" s="460">
        <v>0</v>
      </c>
      <c r="AF24" s="460">
        <v>0</v>
      </c>
      <c r="AG24" s="460">
        <v>0</v>
      </c>
      <c r="AH24" s="460">
        <v>2138.5446011730146</v>
      </c>
      <c r="AI24" s="460">
        <v>0</v>
      </c>
      <c r="AJ24" s="460">
        <v>0</v>
      </c>
      <c r="AK24" s="460">
        <v>-2671.7318730101892</v>
      </c>
      <c r="AL24" s="460">
        <v>0</v>
      </c>
      <c r="AM24" s="460">
        <v>0</v>
      </c>
      <c r="AN24" s="460">
        <v>0</v>
      </c>
      <c r="AO24" s="460">
        <v>0</v>
      </c>
      <c r="AP24" s="460">
        <v>0</v>
      </c>
      <c r="AQ24" s="460">
        <v>0</v>
      </c>
      <c r="AR24" s="460">
        <v>0</v>
      </c>
      <c r="AS24" s="460">
        <v>0</v>
      </c>
      <c r="AT24" s="460">
        <v>0</v>
      </c>
      <c r="AU24" s="460">
        <v>0</v>
      </c>
      <c r="AV24" s="460">
        <v>0</v>
      </c>
      <c r="AW24" s="460">
        <v>0</v>
      </c>
      <c r="AX24" s="460">
        <v>0</v>
      </c>
      <c r="AY24" s="460">
        <v>0</v>
      </c>
      <c r="AZ24" s="460">
        <v>0</v>
      </c>
      <c r="BA24" s="460">
        <v>0</v>
      </c>
      <c r="BB24" s="460">
        <v>0</v>
      </c>
      <c r="BC24" s="460">
        <v>0</v>
      </c>
      <c r="BD24" s="460">
        <v>0</v>
      </c>
      <c r="BE24" s="460">
        <v>0</v>
      </c>
      <c r="BF24" s="460">
        <v>0</v>
      </c>
      <c r="BG24" s="460">
        <v>0</v>
      </c>
      <c r="BH24" s="460">
        <v>0</v>
      </c>
      <c r="BI24" s="460">
        <v>0</v>
      </c>
      <c r="BJ24" s="460">
        <v>0</v>
      </c>
      <c r="BK24" s="460">
        <v>0</v>
      </c>
      <c r="BL24" s="460">
        <v>0</v>
      </c>
      <c r="BM24" s="460">
        <v>0</v>
      </c>
      <c r="BN24" s="460">
        <v>0</v>
      </c>
      <c r="BO24" s="460">
        <v>0</v>
      </c>
      <c r="BP24" s="460">
        <v>0</v>
      </c>
      <c r="BQ24" s="460">
        <v>0</v>
      </c>
      <c r="BR24" s="460">
        <v>0</v>
      </c>
      <c r="BS24" s="460">
        <v>0</v>
      </c>
      <c r="BT24" s="460">
        <v>0</v>
      </c>
      <c r="BU24" s="460">
        <v>0</v>
      </c>
      <c r="BV24" s="460">
        <v>0</v>
      </c>
      <c r="BW24" s="460">
        <v>0</v>
      </c>
      <c r="BX24" s="460">
        <v>0</v>
      </c>
      <c r="BY24" s="460">
        <v>0</v>
      </c>
      <c r="BZ24" s="460">
        <v>0</v>
      </c>
      <c r="CA24" s="460" t="e">
        <v>#N/A</v>
      </c>
      <c r="CB24" s="460" t="e">
        <v>#N/A</v>
      </c>
      <c r="CC24" s="460" t="e">
        <v>#N/A</v>
      </c>
      <c r="CD24"/>
      <c r="CE24"/>
      <c r="CF24"/>
      <c r="CG24"/>
      <c r="CH24"/>
    </row>
    <row r="25" spans="1:86" ht="12.75" customHeight="1">
      <c r="A25" s="442">
        <v>20</v>
      </c>
      <c r="B25" s="457" t="str">
        <v>DEC 17</v>
      </c>
      <c r="C25" s="466">
        <f>'eur disaggregated'!AF36</f>
        <v>0</v>
      </c>
      <c r="D25" s="443" t="str">
        <f t="shared" si="2"/>
        <v>3M</v>
      </c>
      <c r="E25" s="444">
        <f>IF(LEN(B25)&lt;4,$C$1,IF(OR(LEFT(B25,3)="DEC",LEFT(B25,3)="MAR",LEFT(B25,3)="JUN",LEFT(B25,3)="SEP"),INDEX(EurMkt!$F$15:$F$34,MATCH(B25,EurMkt!$H$15:$H$34,0)),F22))</f>
        <v>43089</v>
      </c>
      <c r="F25" s="444">
        <f>IF(AND(NOT(ISNA(MATCH(RIGHT(B25,2),$I$6:$I$67,0))),LEN(B25)&lt;6,RIGHT(B25,1)="M"), INDEX($K$6:$K$67, MATCH(RIGHT(B25,2),$I$6:$I$67,0)), IF(AND(NOT(ISNA(MATCH(RIGHT(B25,3),$I$6:$I$67,0))), LEN(B25)&gt;=6, RIGHT(B25,1)="M"), INDEX($K$6:$K$67, MATCH(RIGHT(B25,3),$I$6:$I$67,0)), _xll.qlCalendarAdvance(Calendar,E25,D25)))</f>
        <v>43179</v>
      </c>
      <c r="G25" s="463">
        <f t="shared" si="3"/>
        <v>-2.4275000000000091E-3</v>
      </c>
      <c r="H25" s="454">
        <v>100.24275</v>
      </c>
      <c r="I25" s="445" t="str">
        <v>14M</v>
      </c>
      <c r="J25" s="444" t="str">
        <f t="shared" si="0"/>
        <v>14M</v>
      </c>
      <c r="K25" s="446">
        <f>_xll.qlCalendarAdvance("TARGET",SettlementDate,J25)</f>
        <v>43122</v>
      </c>
      <c r="M25" s="99" t="str">
        <v>14M</v>
      </c>
      <c r="N25" s="466">
        <v>183.5249845300566</v>
      </c>
      <c r="P25" s="106" t="b">
        <f t="shared" si="1"/>
        <v>1</v>
      </c>
      <c r="Q25" s="460">
        <f t="array" ref="Q25:CC25">C25*ForwardToZero(OisBuckets,E25,F25,G25)</f>
        <v>0</v>
      </c>
      <c r="R25" s="460">
        <v>0</v>
      </c>
      <c r="S25" s="460">
        <v>0</v>
      </c>
      <c r="T25" s="460">
        <v>0</v>
      </c>
      <c r="U25" s="460">
        <v>0</v>
      </c>
      <c r="V25" s="460">
        <v>0</v>
      </c>
      <c r="W25" s="460">
        <v>0</v>
      </c>
      <c r="X25" s="460">
        <v>0</v>
      </c>
      <c r="Y25" s="460">
        <v>0</v>
      </c>
      <c r="Z25" s="460">
        <v>0</v>
      </c>
      <c r="AA25" s="460">
        <v>0</v>
      </c>
      <c r="AB25" s="460">
        <v>0</v>
      </c>
      <c r="AC25" s="460">
        <v>0</v>
      </c>
      <c r="AD25" s="460">
        <v>0</v>
      </c>
      <c r="AE25" s="460">
        <v>0</v>
      </c>
      <c r="AF25" s="460">
        <v>0</v>
      </c>
      <c r="AG25" s="460">
        <v>0</v>
      </c>
      <c r="AH25" s="460">
        <v>0</v>
      </c>
      <c r="AI25" s="460">
        <v>0</v>
      </c>
      <c r="AJ25" s="460">
        <v>0</v>
      </c>
      <c r="AK25" s="460">
        <v>0</v>
      </c>
      <c r="AL25" s="460">
        <v>0</v>
      </c>
      <c r="AM25" s="460">
        <v>0</v>
      </c>
      <c r="AN25" s="460">
        <v>0</v>
      </c>
      <c r="AO25" s="460">
        <v>0</v>
      </c>
      <c r="AP25" s="460">
        <v>0</v>
      </c>
      <c r="AQ25" s="460">
        <v>0</v>
      </c>
      <c r="AR25" s="460">
        <v>0</v>
      </c>
      <c r="AS25" s="460">
        <v>0</v>
      </c>
      <c r="AT25" s="460">
        <v>0</v>
      </c>
      <c r="AU25" s="460">
        <v>0</v>
      </c>
      <c r="AV25" s="460">
        <v>0</v>
      </c>
      <c r="AW25" s="460">
        <v>0</v>
      </c>
      <c r="AX25" s="460">
        <v>0</v>
      </c>
      <c r="AY25" s="460">
        <v>0</v>
      </c>
      <c r="AZ25" s="460">
        <v>0</v>
      </c>
      <c r="BA25" s="460">
        <v>0</v>
      </c>
      <c r="BB25" s="460">
        <v>0</v>
      </c>
      <c r="BC25" s="460">
        <v>0</v>
      </c>
      <c r="BD25" s="460">
        <v>0</v>
      </c>
      <c r="BE25" s="460">
        <v>0</v>
      </c>
      <c r="BF25" s="460">
        <v>0</v>
      </c>
      <c r="BG25" s="460">
        <v>0</v>
      </c>
      <c r="BH25" s="460">
        <v>0</v>
      </c>
      <c r="BI25" s="460">
        <v>0</v>
      </c>
      <c r="BJ25" s="460">
        <v>0</v>
      </c>
      <c r="BK25" s="460">
        <v>0</v>
      </c>
      <c r="BL25" s="460">
        <v>0</v>
      </c>
      <c r="BM25" s="460">
        <v>0</v>
      </c>
      <c r="BN25" s="460">
        <v>0</v>
      </c>
      <c r="BO25" s="460">
        <v>0</v>
      </c>
      <c r="BP25" s="460">
        <v>0</v>
      </c>
      <c r="BQ25" s="460">
        <v>0</v>
      </c>
      <c r="BR25" s="460">
        <v>0</v>
      </c>
      <c r="BS25" s="460">
        <v>0</v>
      </c>
      <c r="BT25" s="460">
        <v>0</v>
      </c>
      <c r="BU25" s="460">
        <v>0</v>
      </c>
      <c r="BV25" s="460">
        <v>0</v>
      </c>
      <c r="BW25" s="460">
        <v>0</v>
      </c>
      <c r="BX25" s="460">
        <v>0</v>
      </c>
      <c r="BY25" s="460">
        <v>0</v>
      </c>
      <c r="BZ25" s="460">
        <v>0</v>
      </c>
      <c r="CA25" s="460" t="e">
        <v>#N/A</v>
      </c>
      <c r="CB25" s="460" t="e">
        <v>#N/A</v>
      </c>
      <c r="CC25" s="460" t="e">
        <v>#N/A</v>
      </c>
      <c r="CD25"/>
      <c r="CE25"/>
      <c r="CF25"/>
      <c r="CG25"/>
      <c r="CH25"/>
    </row>
    <row r="26" spans="1:86" ht="12.75" customHeight="1">
      <c r="A26" s="447">
        <v>21</v>
      </c>
      <c r="B26" s="458" t="str">
        <v>MAR 18</v>
      </c>
      <c r="C26" s="465">
        <f>'eur disaggregated'!AF37</f>
        <v>0</v>
      </c>
      <c r="D26" s="111" t="str">
        <f t="shared" si="2"/>
        <v>3M</v>
      </c>
      <c r="E26" s="441">
        <f>IF(LEN(B26)&lt;4,$C$1,IF(OR(LEFT(B26,3)="DEC",LEFT(B26,3)="MAR",LEFT(B26,3)="JUN",LEFT(B26,3)="SEP"),INDEX(EurMkt!$F$15:$F$34,MATCH(B26,EurMkt!$H$15:$H$34,0)),F23))</f>
        <v>43180</v>
      </c>
      <c r="F26" s="441">
        <f>IF(AND(NOT(ISNA(MATCH(RIGHT(B26,2),$I$6:$I$67,0))),LEN(B26)&lt;6,RIGHT(B26,1)="M"), INDEX($K$6:$K$67, MATCH(RIGHT(B26,2),$I$6:$I$67,0)), IF(AND(NOT(ISNA(MATCH(RIGHT(B26,3),$I$6:$I$67,0))), LEN(B26)&gt;=6, RIGHT(B26,1)="M"), INDEX($K$6:$K$67, MATCH(RIGHT(B26,3),$I$6:$I$67,0)), _xll.qlCalendarAdvance(Calendar,E26,D26)))</f>
        <v>43272</v>
      </c>
      <c r="G26" s="462">
        <f t="shared" si="3"/>
        <v>-2.177499999999952E-3</v>
      </c>
      <c r="H26" s="453">
        <v>100.21775</v>
      </c>
      <c r="I26" s="107" t="str">
        <v>15M</v>
      </c>
      <c r="J26" s="441" t="str">
        <f t="shared" si="0"/>
        <v>15M</v>
      </c>
      <c r="K26" s="448">
        <f>_xll.qlCalendarAdvance("TARGET",SettlementDate,J26)</f>
        <v>43153</v>
      </c>
      <c r="M26" s="99" t="str">
        <v>15M</v>
      </c>
      <c r="N26" s="465">
        <v>-2671.7318730101892</v>
      </c>
      <c r="P26" s="106" t="b">
        <f t="shared" si="1"/>
        <v>1</v>
      </c>
      <c r="Q26" s="460">
        <f t="array" ref="Q26:CC26">C26*ForwardToZero(OisBuckets,E26,F26,G26)</f>
        <v>0</v>
      </c>
      <c r="R26" s="460">
        <v>0</v>
      </c>
      <c r="S26" s="460">
        <v>0</v>
      </c>
      <c r="T26" s="460">
        <v>0</v>
      </c>
      <c r="U26" s="460">
        <v>0</v>
      </c>
      <c r="V26" s="460">
        <v>0</v>
      </c>
      <c r="W26" s="460">
        <v>0</v>
      </c>
      <c r="X26" s="460">
        <v>0</v>
      </c>
      <c r="Y26" s="460">
        <v>0</v>
      </c>
      <c r="Z26" s="460">
        <v>0</v>
      </c>
      <c r="AA26" s="460">
        <v>0</v>
      </c>
      <c r="AB26" s="460">
        <v>0</v>
      </c>
      <c r="AC26" s="460">
        <v>0</v>
      </c>
      <c r="AD26" s="460">
        <v>0</v>
      </c>
      <c r="AE26" s="460">
        <v>0</v>
      </c>
      <c r="AF26" s="460">
        <v>0</v>
      </c>
      <c r="AG26" s="460">
        <v>0</v>
      </c>
      <c r="AH26" s="460">
        <v>0</v>
      </c>
      <c r="AI26" s="460">
        <v>0</v>
      </c>
      <c r="AJ26" s="460">
        <v>0</v>
      </c>
      <c r="AK26" s="460">
        <v>0</v>
      </c>
      <c r="AL26" s="460">
        <v>0</v>
      </c>
      <c r="AM26" s="460">
        <v>0</v>
      </c>
      <c r="AN26" s="460">
        <v>0</v>
      </c>
      <c r="AO26" s="460">
        <v>0</v>
      </c>
      <c r="AP26" s="460">
        <v>0</v>
      </c>
      <c r="AQ26" s="460">
        <v>0</v>
      </c>
      <c r="AR26" s="460">
        <v>0</v>
      </c>
      <c r="AS26" s="460">
        <v>0</v>
      </c>
      <c r="AT26" s="460">
        <v>0</v>
      </c>
      <c r="AU26" s="460">
        <v>0</v>
      </c>
      <c r="AV26" s="460">
        <v>0</v>
      </c>
      <c r="AW26" s="460">
        <v>0</v>
      </c>
      <c r="AX26" s="460">
        <v>0</v>
      </c>
      <c r="AY26" s="460">
        <v>0</v>
      </c>
      <c r="AZ26" s="460">
        <v>0</v>
      </c>
      <c r="BA26" s="460">
        <v>0</v>
      </c>
      <c r="BB26" s="460">
        <v>0</v>
      </c>
      <c r="BC26" s="460">
        <v>0</v>
      </c>
      <c r="BD26" s="460">
        <v>0</v>
      </c>
      <c r="BE26" s="460">
        <v>0</v>
      </c>
      <c r="BF26" s="460">
        <v>0</v>
      </c>
      <c r="BG26" s="460">
        <v>0</v>
      </c>
      <c r="BH26" s="460">
        <v>0</v>
      </c>
      <c r="BI26" s="460">
        <v>0</v>
      </c>
      <c r="BJ26" s="460">
        <v>0</v>
      </c>
      <c r="BK26" s="460">
        <v>0</v>
      </c>
      <c r="BL26" s="460">
        <v>0</v>
      </c>
      <c r="BM26" s="460">
        <v>0</v>
      </c>
      <c r="BN26" s="460">
        <v>0</v>
      </c>
      <c r="BO26" s="460">
        <v>0</v>
      </c>
      <c r="BP26" s="460">
        <v>0</v>
      </c>
      <c r="BQ26" s="460">
        <v>0</v>
      </c>
      <c r="BR26" s="460">
        <v>0</v>
      </c>
      <c r="BS26" s="460">
        <v>0</v>
      </c>
      <c r="BT26" s="460">
        <v>0</v>
      </c>
      <c r="BU26" s="460">
        <v>0</v>
      </c>
      <c r="BV26" s="460">
        <v>0</v>
      </c>
      <c r="BW26" s="460">
        <v>0</v>
      </c>
      <c r="BX26" s="460">
        <v>0</v>
      </c>
      <c r="BY26" s="460">
        <v>0</v>
      </c>
      <c r="BZ26" s="460">
        <v>0</v>
      </c>
      <c r="CA26" s="460" t="e">
        <v>#N/A</v>
      </c>
      <c r="CB26" s="460" t="e">
        <v>#N/A</v>
      </c>
      <c r="CC26" s="460" t="e">
        <v>#N/A</v>
      </c>
      <c r="CD26"/>
      <c r="CE26"/>
      <c r="CF26"/>
      <c r="CG26"/>
      <c r="CH26"/>
    </row>
    <row r="27" spans="1:86" ht="13.5" customHeight="1">
      <c r="A27" s="447">
        <v>22</v>
      </c>
      <c r="B27" s="458" t="str">
        <v>JUN 18</v>
      </c>
      <c r="C27" s="465">
        <f>'eur disaggregated'!AF38</f>
        <v>9.4506409234919721E-5</v>
      </c>
      <c r="D27" s="111" t="str">
        <f t="shared" si="2"/>
        <v>3M</v>
      </c>
      <c r="E27" s="441">
        <f>IF(LEN(B27)&lt;4,$C$1,IF(OR(LEFT(B27,3)="DEC",LEFT(B27,3)="MAR",LEFT(B27,3)="JUN",LEFT(B27,3)="SEP"),INDEX(EurMkt!$F$15:$F$34,MATCH(B27,EurMkt!$H$15:$H$34,0)),F24))</f>
        <v>43271</v>
      </c>
      <c r="F27" s="441">
        <f>IF(AND(NOT(ISNA(MATCH(RIGHT(B27,2),$I$6:$I$67,0))),LEN(B27)&lt;6,RIGHT(B27,1)="M"), INDEX($K$6:$K$67, MATCH(RIGHT(B27,2),$I$6:$I$67,0)), IF(AND(NOT(ISNA(MATCH(RIGHT(B27,3),$I$6:$I$67,0))), LEN(B27)&gt;=6, RIGHT(B27,1)="M"), INDEX($K$6:$K$67, MATCH(RIGHT(B27,3),$I$6:$I$67,0)), _xll.qlCalendarAdvance(Calendar,E27,D27)))</f>
        <v>43363</v>
      </c>
      <c r="G27" s="462">
        <f t="shared" si="3"/>
        <v>-1.8800000000000238E-3</v>
      </c>
      <c r="H27" s="453">
        <v>100.188</v>
      </c>
      <c r="I27" s="107" t="str">
        <v>16M</v>
      </c>
      <c r="J27" s="441" t="str">
        <f t="shared" si="0"/>
        <v>16M</v>
      </c>
      <c r="K27" s="448">
        <f>_xll.qlCalendarAdvance("TARGET",SettlementDate,J27)</f>
        <v>43181</v>
      </c>
      <c r="M27" s="99" t="str">
        <v>16M</v>
      </c>
      <c r="N27" s="465">
        <v>0</v>
      </c>
      <c r="P27" s="106" t="b">
        <f t="shared" si="1"/>
        <v>1</v>
      </c>
      <c r="Q27" s="460">
        <f t="array" ref="Q27:CC27">C27*ForwardToZero(OisBuckets,E27,F27,G27)</f>
        <v>0</v>
      </c>
      <c r="R27" s="460">
        <v>0</v>
      </c>
      <c r="S27" s="460">
        <v>0</v>
      </c>
      <c r="T27" s="460">
        <v>0</v>
      </c>
      <c r="U27" s="460">
        <v>0</v>
      </c>
      <c r="V27" s="460">
        <v>0</v>
      </c>
      <c r="W27" s="460">
        <v>0</v>
      </c>
      <c r="X27" s="460">
        <v>0</v>
      </c>
      <c r="Y27" s="460">
        <v>0</v>
      </c>
      <c r="Z27" s="460">
        <v>0</v>
      </c>
      <c r="AA27" s="460">
        <v>0</v>
      </c>
      <c r="AB27" s="460">
        <v>0</v>
      </c>
      <c r="AC27" s="460">
        <v>0</v>
      </c>
      <c r="AD27" s="460">
        <v>0</v>
      </c>
      <c r="AE27" s="460">
        <v>0</v>
      </c>
      <c r="AF27" s="460">
        <v>0</v>
      </c>
      <c r="AG27" s="460">
        <v>0</v>
      </c>
      <c r="AH27" s="460">
        <v>0</v>
      </c>
      <c r="AI27" s="460">
        <v>0</v>
      </c>
      <c r="AJ27" s="460">
        <v>0</v>
      </c>
      <c r="AK27" s="460">
        <v>0</v>
      </c>
      <c r="AL27" s="460">
        <v>0</v>
      </c>
      <c r="AM27" s="460">
        <v>0</v>
      </c>
      <c r="AN27" s="460">
        <v>-3.8372518195664951E-5</v>
      </c>
      <c r="AO27" s="460">
        <v>-5.5640151383714405E-4</v>
      </c>
      <c r="AP27" s="460">
        <v>0</v>
      </c>
      <c r="AQ27" s="460">
        <v>8.3549144396088018E-5</v>
      </c>
      <c r="AR27" s="460">
        <v>6.0573129687164064E-4</v>
      </c>
      <c r="AS27" s="460">
        <v>0</v>
      </c>
      <c r="AT27" s="460">
        <v>0</v>
      </c>
      <c r="AU27" s="460">
        <v>0</v>
      </c>
      <c r="AV27" s="460">
        <v>0</v>
      </c>
      <c r="AW27" s="460">
        <v>0</v>
      </c>
      <c r="AX27" s="460">
        <v>0</v>
      </c>
      <c r="AY27" s="460">
        <v>0</v>
      </c>
      <c r="AZ27" s="460">
        <v>0</v>
      </c>
      <c r="BA27" s="460">
        <v>0</v>
      </c>
      <c r="BB27" s="460">
        <v>0</v>
      </c>
      <c r="BC27" s="460">
        <v>0</v>
      </c>
      <c r="BD27" s="460">
        <v>0</v>
      </c>
      <c r="BE27" s="460">
        <v>0</v>
      </c>
      <c r="BF27" s="460">
        <v>0</v>
      </c>
      <c r="BG27" s="460">
        <v>0</v>
      </c>
      <c r="BH27" s="460">
        <v>0</v>
      </c>
      <c r="BI27" s="460">
        <v>0</v>
      </c>
      <c r="BJ27" s="460">
        <v>0</v>
      </c>
      <c r="BK27" s="460">
        <v>0</v>
      </c>
      <c r="BL27" s="460">
        <v>0</v>
      </c>
      <c r="BM27" s="460">
        <v>0</v>
      </c>
      <c r="BN27" s="460">
        <v>0</v>
      </c>
      <c r="BO27" s="460">
        <v>0</v>
      </c>
      <c r="BP27" s="460">
        <v>0</v>
      </c>
      <c r="BQ27" s="460">
        <v>0</v>
      </c>
      <c r="BR27" s="460">
        <v>0</v>
      </c>
      <c r="BS27" s="460">
        <v>0</v>
      </c>
      <c r="BT27" s="460">
        <v>0</v>
      </c>
      <c r="BU27" s="460">
        <v>0</v>
      </c>
      <c r="BV27" s="460">
        <v>0</v>
      </c>
      <c r="BW27" s="460">
        <v>0</v>
      </c>
      <c r="BX27" s="460">
        <v>0</v>
      </c>
      <c r="BY27" s="460">
        <v>0</v>
      </c>
      <c r="BZ27" s="460">
        <v>0</v>
      </c>
      <c r="CA27" s="460" t="e">
        <v>#N/A</v>
      </c>
      <c r="CB27" s="460" t="e">
        <v>#N/A</v>
      </c>
      <c r="CC27" s="460" t="e">
        <v>#N/A</v>
      </c>
      <c r="CD27"/>
      <c r="CE27"/>
      <c r="CF27"/>
      <c r="CG27"/>
      <c r="CH27"/>
    </row>
    <row r="28" spans="1:86" ht="12.75" customHeight="1">
      <c r="A28" s="447">
        <v>23</v>
      </c>
      <c r="B28" s="458" t="str">
        <v>SEP 18</v>
      </c>
      <c r="C28" s="465">
        <f>'eur disaggregated'!AF39</f>
        <v>0</v>
      </c>
      <c r="D28" s="111" t="str">
        <f t="shared" si="2"/>
        <v>3M</v>
      </c>
      <c r="E28" s="441">
        <f>IF(LEN(B28)&lt;4,$C$1,IF(OR(LEFT(B28,3)="DEC",LEFT(B28,3)="MAR",LEFT(B28,3)="JUN",LEFT(B28,3)="SEP"),INDEX(EurMkt!$F$15:$F$34,MATCH(B28,EurMkt!$H$15:$H$34,0)),F25))</f>
        <v>43362</v>
      </c>
      <c r="F28" s="441">
        <f>IF(AND(NOT(ISNA(MATCH(RIGHT(B28,2),$I$6:$I$67,0))),LEN(B28)&lt;6,RIGHT(B28,1)="M"), INDEX($K$6:$K$67, MATCH(RIGHT(B28,2),$I$6:$I$67,0)), IF(AND(NOT(ISNA(MATCH(RIGHT(B28,3),$I$6:$I$67,0))), LEN(B28)&gt;=6, RIGHT(B28,1)="M"), INDEX($K$6:$K$67, MATCH(RIGHT(B28,3),$I$6:$I$67,0)), _xll.qlCalendarAdvance(Calendar,E28,D28)))</f>
        <v>43453</v>
      </c>
      <c r="G28" s="462">
        <f t="shared" si="3"/>
        <v>-1.530000000000058E-3</v>
      </c>
      <c r="H28" s="453">
        <v>100.15300000000001</v>
      </c>
      <c r="I28" s="107" t="str">
        <v>17M</v>
      </c>
      <c r="J28" s="441" t="str">
        <f t="shared" si="0"/>
        <v>17M</v>
      </c>
      <c r="K28" s="448">
        <f>_xll.qlCalendarAdvance("TARGET",SettlementDate,J28)</f>
        <v>43213</v>
      </c>
      <c r="M28" s="99" t="str">
        <v>17M</v>
      </c>
      <c r="N28" s="465">
        <v>0</v>
      </c>
      <c r="P28" s="106" t="b">
        <f t="shared" si="1"/>
        <v>1</v>
      </c>
      <c r="Q28" s="460">
        <f t="array" ref="Q28:CC28">C28*ForwardToZero(OisBuckets,E28,F28,G28)</f>
        <v>0</v>
      </c>
      <c r="R28" s="460">
        <v>0</v>
      </c>
      <c r="S28" s="460">
        <v>0</v>
      </c>
      <c r="T28" s="460">
        <v>0</v>
      </c>
      <c r="U28" s="460">
        <v>0</v>
      </c>
      <c r="V28" s="460">
        <v>0</v>
      </c>
      <c r="W28" s="460">
        <v>0</v>
      </c>
      <c r="X28" s="460">
        <v>0</v>
      </c>
      <c r="Y28" s="460">
        <v>0</v>
      </c>
      <c r="Z28" s="460">
        <v>0</v>
      </c>
      <c r="AA28" s="460">
        <v>0</v>
      </c>
      <c r="AB28" s="460">
        <v>0</v>
      </c>
      <c r="AC28" s="460">
        <v>0</v>
      </c>
      <c r="AD28" s="460">
        <v>0</v>
      </c>
      <c r="AE28" s="460">
        <v>0</v>
      </c>
      <c r="AF28" s="460">
        <v>0</v>
      </c>
      <c r="AG28" s="460">
        <v>0</v>
      </c>
      <c r="AH28" s="460">
        <v>0</v>
      </c>
      <c r="AI28" s="460">
        <v>0</v>
      </c>
      <c r="AJ28" s="460">
        <v>0</v>
      </c>
      <c r="AK28" s="460">
        <v>0</v>
      </c>
      <c r="AL28" s="460">
        <v>0</v>
      </c>
      <c r="AM28" s="460">
        <v>0</v>
      </c>
      <c r="AN28" s="460">
        <v>0</v>
      </c>
      <c r="AO28" s="460">
        <v>0</v>
      </c>
      <c r="AP28" s="460">
        <v>0</v>
      </c>
      <c r="AQ28" s="460">
        <v>0</v>
      </c>
      <c r="AR28" s="460">
        <v>0</v>
      </c>
      <c r="AS28" s="460">
        <v>0</v>
      </c>
      <c r="AT28" s="460">
        <v>0</v>
      </c>
      <c r="AU28" s="460">
        <v>0</v>
      </c>
      <c r="AV28" s="460">
        <v>0</v>
      </c>
      <c r="AW28" s="460">
        <v>0</v>
      </c>
      <c r="AX28" s="460">
        <v>0</v>
      </c>
      <c r="AY28" s="460">
        <v>0</v>
      </c>
      <c r="AZ28" s="460">
        <v>0</v>
      </c>
      <c r="BA28" s="460">
        <v>0</v>
      </c>
      <c r="BB28" s="460">
        <v>0</v>
      </c>
      <c r="BC28" s="460">
        <v>0</v>
      </c>
      <c r="BD28" s="460">
        <v>0</v>
      </c>
      <c r="BE28" s="460">
        <v>0</v>
      </c>
      <c r="BF28" s="460">
        <v>0</v>
      </c>
      <c r="BG28" s="460">
        <v>0</v>
      </c>
      <c r="BH28" s="460">
        <v>0</v>
      </c>
      <c r="BI28" s="460">
        <v>0</v>
      </c>
      <c r="BJ28" s="460">
        <v>0</v>
      </c>
      <c r="BK28" s="460">
        <v>0</v>
      </c>
      <c r="BL28" s="460">
        <v>0</v>
      </c>
      <c r="BM28" s="460">
        <v>0</v>
      </c>
      <c r="BN28" s="460">
        <v>0</v>
      </c>
      <c r="BO28" s="460">
        <v>0</v>
      </c>
      <c r="BP28" s="460">
        <v>0</v>
      </c>
      <c r="BQ28" s="460">
        <v>0</v>
      </c>
      <c r="BR28" s="460">
        <v>0</v>
      </c>
      <c r="BS28" s="460">
        <v>0</v>
      </c>
      <c r="BT28" s="460">
        <v>0</v>
      </c>
      <c r="BU28" s="460">
        <v>0</v>
      </c>
      <c r="BV28" s="460">
        <v>0</v>
      </c>
      <c r="BW28" s="460">
        <v>0</v>
      </c>
      <c r="BX28" s="460">
        <v>0</v>
      </c>
      <c r="BY28" s="460">
        <v>0</v>
      </c>
      <c r="BZ28" s="460">
        <v>0</v>
      </c>
      <c r="CA28" s="460" t="e">
        <v>#N/A</v>
      </c>
      <c r="CB28" s="460" t="e">
        <v>#N/A</v>
      </c>
      <c r="CC28" s="460" t="e">
        <v>#N/A</v>
      </c>
      <c r="CD28"/>
      <c r="CE28"/>
      <c r="CF28"/>
      <c r="CG28"/>
      <c r="CH28"/>
    </row>
    <row r="29" spans="1:86" ht="12.75" customHeight="1">
      <c r="A29" s="447">
        <v>24</v>
      </c>
      <c r="B29" s="458" t="str">
        <v>DEC 18</v>
      </c>
      <c r="C29" s="465">
        <f>'eur disaggregated'!AF40</f>
        <v>-2569.0915916853037</v>
      </c>
      <c r="D29" s="111" t="str">
        <f t="shared" si="2"/>
        <v>3M</v>
      </c>
      <c r="E29" s="441">
        <f>IF(LEN(B29)&lt;4,$C$1,IF(OR(LEFT(B29,3)="DEC",LEFT(B29,3)="MAR",LEFT(B29,3)="JUN",LEFT(B29,3)="SEP"),INDEX(EurMkt!$F$15:$F$34,MATCH(B29,EurMkt!$H$15:$H$34,0)),F26))</f>
        <v>43453</v>
      </c>
      <c r="F29" s="441">
        <f>IF(AND(NOT(ISNA(MATCH(RIGHT(B29,2),$I$6:$I$67,0))),LEN(B29)&lt;6,RIGHT(B29,1)="M"), INDEX($K$6:$K$67, MATCH(RIGHT(B29,2),$I$6:$I$67,0)), IF(AND(NOT(ISNA(MATCH(RIGHT(B29,3),$I$6:$I$67,0))), LEN(B29)&gt;=6, RIGHT(B29,1)="M"), INDEX($K$6:$K$67, MATCH(RIGHT(B29,3),$I$6:$I$67,0)), _xll.qlCalendarAdvance(Calendar,E29,D29)))</f>
        <v>43543</v>
      </c>
      <c r="G29" s="462">
        <f t="shared" si="3"/>
        <v>-1.1324999999999363E-3</v>
      </c>
      <c r="H29" s="453">
        <v>100.11324999999999</v>
      </c>
      <c r="I29" s="107" t="str">
        <v>18M</v>
      </c>
      <c r="J29" s="441" t="str">
        <f t="shared" si="0"/>
        <v>18M</v>
      </c>
      <c r="K29" s="448">
        <f>_xll.qlCalendarAdvance("TARGET",SettlementDate,J29)</f>
        <v>43242</v>
      </c>
      <c r="M29" s="99" t="str">
        <v>18M</v>
      </c>
      <c r="N29" s="465">
        <v>-3.8372518195664951E-5</v>
      </c>
      <c r="P29" s="106" t="b">
        <f t="shared" si="1"/>
        <v>1</v>
      </c>
      <c r="Q29" s="460">
        <f t="array" ref="Q29:CC29">C29*ForwardToZero(OisBuckets,E29,F29,G29)</f>
        <v>0</v>
      </c>
      <c r="R29" s="460">
        <v>0</v>
      </c>
      <c r="S29" s="460">
        <v>0</v>
      </c>
      <c r="T29" s="460">
        <v>0</v>
      </c>
      <c r="U29" s="460">
        <v>0</v>
      </c>
      <c r="V29" s="460">
        <v>0</v>
      </c>
      <c r="W29" s="460">
        <v>0</v>
      </c>
      <c r="X29" s="460">
        <v>0</v>
      </c>
      <c r="Y29" s="460">
        <v>0</v>
      </c>
      <c r="Z29" s="460">
        <v>0</v>
      </c>
      <c r="AA29" s="460">
        <v>0</v>
      </c>
      <c r="AB29" s="460">
        <v>0</v>
      </c>
      <c r="AC29" s="460">
        <v>0</v>
      </c>
      <c r="AD29" s="460">
        <v>0</v>
      </c>
      <c r="AE29" s="460">
        <v>0</v>
      </c>
      <c r="AF29" s="460">
        <v>0</v>
      </c>
      <c r="AG29" s="460">
        <v>0</v>
      </c>
      <c r="AH29" s="460">
        <v>0</v>
      </c>
      <c r="AI29" s="460">
        <v>0</v>
      </c>
      <c r="AJ29" s="460">
        <v>0</v>
      </c>
      <c r="AK29" s="460">
        <v>0</v>
      </c>
      <c r="AL29" s="460">
        <v>0</v>
      </c>
      <c r="AM29" s="460">
        <v>0</v>
      </c>
      <c r="AN29" s="460">
        <v>0</v>
      </c>
      <c r="AO29" s="460">
        <v>0</v>
      </c>
      <c r="AP29" s="460">
        <v>0</v>
      </c>
      <c r="AQ29" s="460">
        <v>0</v>
      </c>
      <c r="AR29" s="460">
        <v>0</v>
      </c>
      <c r="AS29" s="460">
        <v>0</v>
      </c>
      <c r="AT29" s="460">
        <v>3610.8054425604414</v>
      </c>
      <c r="AU29" s="460">
        <v>-6179.8970342457442</v>
      </c>
      <c r="AV29" s="460">
        <v>0</v>
      </c>
      <c r="AW29" s="460">
        <v>0</v>
      </c>
      <c r="AX29" s="460">
        <v>0</v>
      </c>
      <c r="AY29" s="460">
        <v>0</v>
      </c>
      <c r="AZ29" s="460">
        <v>0</v>
      </c>
      <c r="BA29" s="460">
        <v>0</v>
      </c>
      <c r="BB29" s="460">
        <v>0</v>
      </c>
      <c r="BC29" s="460">
        <v>0</v>
      </c>
      <c r="BD29" s="460">
        <v>0</v>
      </c>
      <c r="BE29" s="460">
        <v>0</v>
      </c>
      <c r="BF29" s="460">
        <v>0</v>
      </c>
      <c r="BG29" s="460">
        <v>0</v>
      </c>
      <c r="BH29" s="460">
        <v>0</v>
      </c>
      <c r="BI29" s="460">
        <v>0</v>
      </c>
      <c r="BJ29" s="460">
        <v>0</v>
      </c>
      <c r="BK29" s="460">
        <v>0</v>
      </c>
      <c r="BL29" s="460">
        <v>0</v>
      </c>
      <c r="BM29" s="460">
        <v>0</v>
      </c>
      <c r="BN29" s="460">
        <v>0</v>
      </c>
      <c r="BO29" s="460">
        <v>0</v>
      </c>
      <c r="BP29" s="460">
        <v>0</v>
      </c>
      <c r="BQ29" s="460">
        <v>0</v>
      </c>
      <c r="BR29" s="460">
        <v>0</v>
      </c>
      <c r="BS29" s="460">
        <v>0</v>
      </c>
      <c r="BT29" s="460">
        <v>0</v>
      </c>
      <c r="BU29" s="460">
        <v>0</v>
      </c>
      <c r="BV29" s="460">
        <v>0</v>
      </c>
      <c r="BW29" s="460">
        <v>0</v>
      </c>
      <c r="BX29" s="460">
        <v>0</v>
      </c>
      <c r="BY29" s="460">
        <v>0</v>
      </c>
      <c r="BZ29" s="460">
        <v>0</v>
      </c>
      <c r="CA29" s="460" t="e">
        <v>#N/A</v>
      </c>
      <c r="CB29" s="460" t="e">
        <v>#N/A</v>
      </c>
      <c r="CC29" s="460" t="e">
        <v>#N/A</v>
      </c>
      <c r="CD29"/>
      <c r="CE29"/>
      <c r="CF29"/>
      <c r="CG29"/>
      <c r="CH29"/>
    </row>
    <row r="30" spans="1:86" ht="12.75" customHeight="1">
      <c r="A30" s="449">
        <v>25</v>
      </c>
      <c r="B30" s="459" t="str">
        <v>MAR 19</v>
      </c>
      <c r="C30" s="467">
        <f>'eur disaggregated'!AF41</f>
        <v>2056.6313019232698</v>
      </c>
      <c r="D30" s="376" t="str">
        <f t="shared" si="2"/>
        <v>3M</v>
      </c>
      <c r="E30" s="450">
        <f>IF(LEN(B30)&lt;4,$C$1,IF(OR(LEFT(B30,3)="DEC",LEFT(B30,3)="MAR",LEFT(B30,3)="JUN",LEFT(B30,3)="SEP"),INDEX(EurMkt!$F$15:$F$34,MATCH(B30,EurMkt!$H$15:$H$34,0)),F27))</f>
        <v>43544</v>
      </c>
      <c r="F30" s="450">
        <f>IF(AND(NOT(ISNA(MATCH(RIGHT(B30,2),$I$6:$I$67,0))),LEN(B30)&lt;6,RIGHT(B30,1)="M"), INDEX($K$6:$K$67, MATCH(RIGHT(B30,2),$I$6:$I$67,0)), IF(AND(NOT(ISNA(MATCH(RIGHT(B30,3),$I$6:$I$67,0))), LEN(B30)&gt;=6, RIGHT(B30,1)="M"), INDEX($K$6:$K$67, MATCH(RIGHT(B30,3),$I$6:$I$67,0)), _xll.qlCalendarAdvance(Calendar,E30,D30)))</f>
        <v>43636</v>
      </c>
      <c r="G30" s="464">
        <f t="shared" si="3"/>
        <v>-6.7999999999997836E-4</v>
      </c>
      <c r="H30" s="455">
        <v>100.068</v>
      </c>
      <c r="I30" s="451" t="str">
        <v>19M</v>
      </c>
      <c r="J30" s="450" t="str">
        <f t="shared" si="0"/>
        <v>19M</v>
      </c>
      <c r="K30" s="452">
        <f>_xll.qlCalendarAdvance("TARGET",SettlementDate,J30)</f>
        <v>43273</v>
      </c>
      <c r="M30" s="99" t="str">
        <v>19M</v>
      </c>
      <c r="N30" s="467">
        <v>-5.5640151383714405E-4</v>
      </c>
      <c r="P30" s="106" t="b">
        <f t="shared" si="1"/>
        <v>1</v>
      </c>
      <c r="Q30" s="460">
        <f t="array" ref="Q30:CC30">C30*ForwardToZero(OisBuckets,E30,F30,G30)</f>
        <v>0</v>
      </c>
      <c r="R30" s="460">
        <v>0</v>
      </c>
      <c r="S30" s="460">
        <v>0</v>
      </c>
      <c r="T30" s="460">
        <v>0</v>
      </c>
      <c r="U30" s="460">
        <v>0</v>
      </c>
      <c r="V30" s="460">
        <v>0</v>
      </c>
      <c r="W30" s="460">
        <v>0</v>
      </c>
      <c r="X30" s="460">
        <v>0</v>
      </c>
      <c r="Y30" s="460">
        <v>0</v>
      </c>
      <c r="Z30" s="460">
        <v>0</v>
      </c>
      <c r="AA30" s="460">
        <v>0</v>
      </c>
      <c r="AB30" s="460">
        <v>0</v>
      </c>
      <c r="AC30" s="460">
        <v>0</v>
      </c>
      <c r="AD30" s="460">
        <v>0</v>
      </c>
      <c r="AE30" s="460">
        <v>0</v>
      </c>
      <c r="AF30" s="460">
        <v>0</v>
      </c>
      <c r="AG30" s="460">
        <v>0</v>
      </c>
      <c r="AH30" s="460">
        <v>0</v>
      </c>
      <c r="AI30" s="460">
        <v>0</v>
      </c>
      <c r="AJ30" s="460">
        <v>0</v>
      </c>
      <c r="AK30" s="460">
        <v>0</v>
      </c>
      <c r="AL30" s="460">
        <v>0</v>
      </c>
      <c r="AM30" s="460">
        <v>0</v>
      </c>
      <c r="AN30" s="460">
        <v>0</v>
      </c>
      <c r="AO30" s="460">
        <v>0</v>
      </c>
      <c r="AP30" s="460">
        <v>0</v>
      </c>
      <c r="AQ30" s="460">
        <v>0</v>
      </c>
      <c r="AR30" s="460">
        <v>0</v>
      </c>
      <c r="AS30" s="460">
        <v>0</v>
      </c>
      <c r="AT30" s="460">
        <v>-3927.3205957274486</v>
      </c>
      <c r="AU30" s="460">
        <v>5983.9518976507188</v>
      </c>
      <c r="AV30" s="460">
        <v>0</v>
      </c>
      <c r="AW30" s="460">
        <v>0</v>
      </c>
      <c r="AX30" s="460">
        <v>0</v>
      </c>
      <c r="AY30" s="460">
        <v>0</v>
      </c>
      <c r="AZ30" s="460">
        <v>0</v>
      </c>
      <c r="BA30" s="460">
        <v>0</v>
      </c>
      <c r="BB30" s="460">
        <v>0</v>
      </c>
      <c r="BC30" s="460">
        <v>0</v>
      </c>
      <c r="BD30" s="460">
        <v>0</v>
      </c>
      <c r="BE30" s="460">
        <v>0</v>
      </c>
      <c r="BF30" s="460">
        <v>0</v>
      </c>
      <c r="BG30" s="460">
        <v>0</v>
      </c>
      <c r="BH30" s="460">
        <v>0</v>
      </c>
      <c r="BI30" s="460">
        <v>0</v>
      </c>
      <c r="BJ30" s="460">
        <v>0</v>
      </c>
      <c r="BK30" s="460">
        <v>0</v>
      </c>
      <c r="BL30" s="460">
        <v>0</v>
      </c>
      <c r="BM30" s="460">
        <v>0</v>
      </c>
      <c r="BN30" s="460">
        <v>0</v>
      </c>
      <c r="BO30" s="460">
        <v>0</v>
      </c>
      <c r="BP30" s="460">
        <v>0</v>
      </c>
      <c r="BQ30" s="460">
        <v>0</v>
      </c>
      <c r="BR30" s="460">
        <v>0</v>
      </c>
      <c r="BS30" s="460">
        <v>0</v>
      </c>
      <c r="BT30" s="460">
        <v>0</v>
      </c>
      <c r="BU30" s="460">
        <v>0</v>
      </c>
      <c r="BV30" s="460">
        <v>0</v>
      </c>
      <c r="BW30" s="460">
        <v>0</v>
      </c>
      <c r="BX30" s="460">
        <v>0</v>
      </c>
      <c r="BY30" s="460">
        <v>0</v>
      </c>
      <c r="BZ30" s="460">
        <v>0</v>
      </c>
      <c r="CA30" s="460" t="e">
        <v>#N/A</v>
      </c>
      <c r="CB30" s="460" t="e">
        <v>#N/A</v>
      </c>
      <c r="CC30" s="460" t="e">
        <v>#N/A</v>
      </c>
      <c r="CD30"/>
      <c r="CE30"/>
      <c r="CF30"/>
      <c r="CG30"/>
      <c r="CH30"/>
    </row>
    <row r="31" spans="1:86" ht="12.75" customHeight="1">
      <c r="A31" s="105">
        <v>26</v>
      </c>
      <c r="B31" s="112" t="str">
        <v>3Y</v>
      </c>
      <c r="C31" s="465">
        <f>'eur disaggregated'!AF42</f>
        <v>-1234.5030341185611</v>
      </c>
      <c r="D31" s="111" t="str">
        <f t="shared" ref="D31:D37" si="4">IF(LEN(B31)&gt;0,SimplifyTenor(B31),"")</f>
        <v>36M</v>
      </c>
      <c r="E31" s="441">
        <f>IF(LEN(B31)&lt;4,$C$1,IF(OR(LEFT(B31,3)="DEC",LEFT(B31,3)="MAR",LEFT(B31,3)="JUN",LEFT(B31,3)="SEP"),INDEX(EurMkt!$F$15:$F$34,MATCH(B31,EurMkt!$H$15:$H$34,0)),F28))</f>
        <v>42696</v>
      </c>
      <c r="F31" s="441">
        <f>IF(AND(NOT(ISNA(MATCH(RIGHT(B31,2),$I$6:$I$67,0))),LEN(B31)&lt;6,RIGHT(B31,1)="M"), INDEX($K$6:$K$67, MATCH(RIGHT(B31,2),$I$6:$I$67,0)), IF(AND(NOT(ISNA(MATCH(RIGHT(B31,3),$I$6:$I$67,0))), LEN(B31)&gt;=6, RIGHT(B31,1)="M"), INDEX($K$6:$K$67, MATCH(RIGHT(B31,3),$I$6:$I$67,0)), _xll.qlCalendarAdvance(Calendar,E31,D31)))</f>
        <v>43791</v>
      </c>
      <c r="G31" s="462">
        <f t="shared" si="3"/>
        <v>-1.8599999999999999E-3</v>
      </c>
      <c r="H31" s="453">
        <v>-0.186</v>
      </c>
      <c r="I31" s="107" t="str">
        <v>20M</v>
      </c>
      <c r="J31" s="106" t="str">
        <f t="shared" si="0"/>
        <v>20M</v>
      </c>
      <c r="K31" s="448">
        <f>_xll.qlCalendarAdvance("TARGET",SettlementDate,J31)</f>
        <v>43304</v>
      </c>
      <c r="M31" s="99" t="str">
        <v>20M</v>
      </c>
      <c r="N31" s="465">
        <v>0</v>
      </c>
      <c r="P31" s="106" t="b">
        <f t="shared" si="1"/>
        <v>0</v>
      </c>
      <c r="Q31" s="460">
        <f t="array" ref="Q31:CC31">C31*ForwardToZero(OisBuckets,E31,F31,G31)</f>
        <v>0</v>
      </c>
      <c r="R31" s="460">
        <v>0</v>
      </c>
      <c r="S31" s="460">
        <v>0</v>
      </c>
      <c r="T31" s="460">
        <v>0</v>
      </c>
      <c r="U31" s="460">
        <v>0</v>
      </c>
      <c r="V31" s="460">
        <v>0</v>
      </c>
      <c r="W31" s="460">
        <v>0</v>
      </c>
      <c r="X31" s="460">
        <v>0</v>
      </c>
      <c r="Y31" s="460">
        <v>0</v>
      </c>
      <c r="Z31" s="460">
        <v>0</v>
      </c>
      <c r="AA31" s="460">
        <v>0</v>
      </c>
      <c r="AB31" s="460">
        <v>0</v>
      </c>
      <c r="AC31" s="460">
        <v>0</v>
      </c>
      <c r="AD31" s="460">
        <v>0</v>
      </c>
      <c r="AE31" s="460">
        <v>0</v>
      </c>
      <c r="AF31" s="460">
        <v>0</v>
      </c>
      <c r="AG31" s="460">
        <v>0</v>
      </c>
      <c r="AH31" s="460">
        <v>0</v>
      </c>
      <c r="AI31" s="460">
        <v>0</v>
      </c>
      <c r="AJ31" s="460">
        <v>0</v>
      </c>
      <c r="AK31" s="460">
        <v>0</v>
      </c>
      <c r="AL31" s="460">
        <v>0</v>
      </c>
      <c r="AM31" s="460">
        <v>0</v>
      </c>
      <c r="AN31" s="460">
        <v>0</v>
      </c>
      <c r="AO31" s="460">
        <v>0</v>
      </c>
      <c r="AP31" s="460">
        <v>0</v>
      </c>
      <c r="AQ31" s="460">
        <v>0</v>
      </c>
      <c r="AR31" s="460">
        <v>0</v>
      </c>
      <c r="AS31" s="460">
        <v>0</v>
      </c>
      <c r="AT31" s="460">
        <v>0</v>
      </c>
      <c r="AU31" s="460">
        <v>-1234.5030341185611</v>
      </c>
      <c r="AV31" s="460">
        <v>0</v>
      </c>
      <c r="AW31" s="460">
        <v>0</v>
      </c>
      <c r="AX31" s="460">
        <v>0</v>
      </c>
      <c r="AY31" s="460">
        <v>0</v>
      </c>
      <c r="AZ31" s="460">
        <v>0</v>
      </c>
      <c r="BA31" s="460">
        <v>0</v>
      </c>
      <c r="BB31" s="460">
        <v>0</v>
      </c>
      <c r="BC31" s="460">
        <v>0</v>
      </c>
      <c r="BD31" s="460">
        <v>0</v>
      </c>
      <c r="BE31" s="460">
        <v>0</v>
      </c>
      <c r="BF31" s="460">
        <v>0</v>
      </c>
      <c r="BG31" s="460">
        <v>0</v>
      </c>
      <c r="BH31" s="460">
        <v>0</v>
      </c>
      <c r="BI31" s="460">
        <v>0</v>
      </c>
      <c r="BJ31" s="460">
        <v>0</v>
      </c>
      <c r="BK31" s="460">
        <v>0</v>
      </c>
      <c r="BL31" s="460">
        <v>0</v>
      </c>
      <c r="BM31" s="460">
        <v>0</v>
      </c>
      <c r="BN31" s="460">
        <v>0</v>
      </c>
      <c r="BO31" s="460">
        <v>0</v>
      </c>
      <c r="BP31" s="460">
        <v>0</v>
      </c>
      <c r="BQ31" s="460">
        <v>0</v>
      </c>
      <c r="BR31" s="460">
        <v>0</v>
      </c>
      <c r="BS31" s="460">
        <v>0</v>
      </c>
      <c r="BT31" s="460">
        <v>0</v>
      </c>
      <c r="BU31" s="460">
        <v>0</v>
      </c>
      <c r="BV31" s="460">
        <v>0</v>
      </c>
      <c r="BW31" s="460">
        <v>0</v>
      </c>
      <c r="BX31" s="460">
        <v>0</v>
      </c>
      <c r="BY31" s="460">
        <v>0</v>
      </c>
      <c r="BZ31" s="460">
        <v>0</v>
      </c>
      <c r="CA31" s="460" t="e">
        <v>#N/A</v>
      </c>
      <c r="CB31" s="460" t="e">
        <v>#N/A</v>
      </c>
      <c r="CC31" s="460" t="e">
        <v>#N/A</v>
      </c>
      <c r="CD31"/>
      <c r="CE31"/>
      <c r="CF31"/>
      <c r="CG31"/>
      <c r="CH31"/>
    </row>
    <row r="32" spans="1:86" ht="12.75" customHeight="1">
      <c r="A32" s="105">
        <v>27</v>
      </c>
      <c r="B32" s="112" t="str">
        <v>4Y</v>
      </c>
      <c r="C32" s="465">
        <f>'eur disaggregated'!AF43</f>
        <v>-7486.8054488111811</v>
      </c>
      <c r="D32" s="111" t="str">
        <f t="shared" si="4"/>
        <v>48M</v>
      </c>
      <c r="E32" s="441">
        <f>IF(LEN(B32)&lt;4,$C$1,IF(OR(LEFT(B32,3)="DEC",LEFT(B32,3)="MAR",LEFT(B32,3)="JUN",LEFT(B32,3)="SEP"),INDEX(EurMkt!$F$15:$F$34,MATCH(B32,EurMkt!$H$15:$H$34,0)),F29))</f>
        <v>42696</v>
      </c>
      <c r="F32" s="441">
        <f>IF(AND(NOT(ISNA(MATCH(RIGHT(B32,2),$I$6:$I$67,0))),LEN(B32)&lt;6,RIGHT(B32,1)="M"), INDEX($K$6:$K$67, MATCH(RIGHT(B32,2),$I$6:$I$67,0)), IF(AND(NOT(ISNA(MATCH(RIGHT(B32,3),$I$6:$I$67,0))), LEN(B32)&gt;=6, RIGHT(B32,1)="M"), INDEX($K$6:$K$67, MATCH(RIGHT(B32,3),$I$6:$I$67,0)), _xll.qlCalendarAdvance(Calendar,E32,D32)))</f>
        <v>44158</v>
      </c>
      <c r="G32" s="462">
        <f t="shared" si="3"/>
        <v>-1.0499999999999999E-3</v>
      </c>
      <c r="H32" s="453">
        <v>-0.105</v>
      </c>
      <c r="I32" s="107" t="str">
        <v>21M</v>
      </c>
      <c r="J32" s="106" t="str">
        <f t="shared" si="0"/>
        <v>21M</v>
      </c>
      <c r="K32" s="448">
        <f>_xll.qlCalendarAdvance("TARGET",SettlementDate,J32)</f>
        <v>43334</v>
      </c>
      <c r="M32" s="99" t="str">
        <v>21M</v>
      </c>
      <c r="N32" s="465">
        <v>8.3549144396088018E-5</v>
      </c>
      <c r="P32" s="106" t="b">
        <f t="shared" si="1"/>
        <v>0</v>
      </c>
      <c r="Q32" s="460">
        <f t="array" ref="Q32:CC32">C32*ForwardToZero(OisBuckets,E32,F32,G32)</f>
        <v>0</v>
      </c>
      <c r="R32" s="460">
        <v>0</v>
      </c>
      <c r="S32" s="460">
        <v>0</v>
      </c>
      <c r="T32" s="460">
        <v>0</v>
      </c>
      <c r="U32" s="460">
        <v>0</v>
      </c>
      <c r="V32" s="460">
        <v>0</v>
      </c>
      <c r="W32" s="460">
        <v>0</v>
      </c>
      <c r="X32" s="460">
        <v>0</v>
      </c>
      <c r="Y32" s="460">
        <v>0</v>
      </c>
      <c r="Z32" s="460">
        <v>0</v>
      </c>
      <c r="AA32" s="460">
        <v>0</v>
      </c>
      <c r="AB32" s="460">
        <v>0</v>
      </c>
      <c r="AC32" s="460">
        <v>0</v>
      </c>
      <c r="AD32" s="460">
        <v>0</v>
      </c>
      <c r="AE32" s="460">
        <v>0</v>
      </c>
      <c r="AF32" s="460">
        <v>0</v>
      </c>
      <c r="AG32" s="460">
        <v>0</v>
      </c>
      <c r="AH32" s="460">
        <v>0</v>
      </c>
      <c r="AI32" s="460">
        <v>0</v>
      </c>
      <c r="AJ32" s="460">
        <v>0</v>
      </c>
      <c r="AK32" s="460">
        <v>0</v>
      </c>
      <c r="AL32" s="460">
        <v>0</v>
      </c>
      <c r="AM32" s="460">
        <v>0</v>
      </c>
      <c r="AN32" s="460">
        <v>0</v>
      </c>
      <c r="AO32" s="460">
        <v>0</v>
      </c>
      <c r="AP32" s="460">
        <v>0</v>
      </c>
      <c r="AQ32" s="460">
        <v>0</v>
      </c>
      <c r="AR32" s="460">
        <v>0</v>
      </c>
      <c r="AS32" s="460">
        <v>0</v>
      </c>
      <c r="AT32" s="460">
        <v>0</v>
      </c>
      <c r="AU32" s="460">
        <v>0</v>
      </c>
      <c r="AV32" s="460">
        <v>-7486.8054488111811</v>
      </c>
      <c r="AW32" s="460">
        <v>0</v>
      </c>
      <c r="AX32" s="460">
        <v>0</v>
      </c>
      <c r="AY32" s="460">
        <v>0</v>
      </c>
      <c r="AZ32" s="460">
        <v>0</v>
      </c>
      <c r="BA32" s="460">
        <v>0</v>
      </c>
      <c r="BB32" s="460">
        <v>0</v>
      </c>
      <c r="BC32" s="460">
        <v>0</v>
      </c>
      <c r="BD32" s="460">
        <v>0</v>
      </c>
      <c r="BE32" s="460">
        <v>0</v>
      </c>
      <c r="BF32" s="460">
        <v>0</v>
      </c>
      <c r="BG32" s="460">
        <v>0</v>
      </c>
      <c r="BH32" s="460">
        <v>0</v>
      </c>
      <c r="BI32" s="460">
        <v>0</v>
      </c>
      <c r="BJ32" s="460">
        <v>0</v>
      </c>
      <c r="BK32" s="460">
        <v>0</v>
      </c>
      <c r="BL32" s="460">
        <v>0</v>
      </c>
      <c r="BM32" s="460">
        <v>0</v>
      </c>
      <c r="BN32" s="460">
        <v>0</v>
      </c>
      <c r="BO32" s="460">
        <v>0</v>
      </c>
      <c r="BP32" s="460">
        <v>0</v>
      </c>
      <c r="BQ32" s="460">
        <v>0</v>
      </c>
      <c r="BR32" s="460">
        <v>0</v>
      </c>
      <c r="BS32" s="460">
        <v>0</v>
      </c>
      <c r="BT32" s="460">
        <v>0</v>
      </c>
      <c r="BU32" s="460">
        <v>0</v>
      </c>
      <c r="BV32" s="460">
        <v>0</v>
      </c>
      <c r="BW32" s="460">
        <v>0</v>
      </c>
      <c r="BX32" s="460">
        <v>0</v>
      </c>
      <c r="BY32" s="460">
        <v>0</v>
      </c>
      <c r="BZ32" s="460">
        <v>0</v>
      </c>
      <c r="CA32" s="460" t="e">
        <v>#N/A</v>
      </c>
      <c r="CB32" s="460" t="e">
        <v>#N/A</v>
      </c>
      <c r="CC32" s="460" t="e">
        <v>#N/A</v>
      </c>
      <c r="CD32"/>
      <c r="CE32"/>
      <c r="CF32"/>
      <c r="CG32"/>
      <c r="CH32"/>
    </row>
    <row r="33" spans="1:86" ht="12.75" customHeight="1">
      <c r="A33" s="105">
        <v>28</v>
      </c>
      <c r="B33" s="112" t="str">
        <v>5Y</v>
      </c>
      <c r="C33" s="465">
        <f>'eur disaggregated'!AF44</f>
        <v>9395.4637030066206</v>
      </c>
      <c r="D33" s="111" t="str">
        <f t="shared" si="4"/>
        <v>60M</v>
      </c>
      <c r="E33" s="441">
        <f>IF(LEN(B33)&lt;4,$C$1,IF(OR(LEFT(B33,3)="DEC",LEFT(B33,3)="MAR",LEFT(B33,3)="JUN",LEFT(B33,3)="SEP"),INDEX(EurMkt!$F$15:$F$34,MATCH(B33,EurMkt!$H$15:$H$34,0)),F30))</f>
        <v>42696</v>
      </c>
      <c r="F33" s="441">
        <f>IF(AND(NOT(ISNA(MATCH(RIGHT(B33,2),$I$6:$I$67,0))),LEN(B33)&lt;6,RIGHT(B33,1)="M"), INDEX($K$6:$K$67, MATCH(RIGHT(B33,2),$I$6:$I$67,0)), IF(AND(NOT(ISNA(MATCH(RIGHT(B33,3),$I$6:$I$67,0))), LEN(B33)&gt;=6, RIGHT(B33,1)="M"), INDEX($K$6:$K$67, MATCH(RIGHT(B33,3),$I$6:$I$67,0)), _xll.qlCalendarAdvance(Calendar,E33,D33)))</f>
        <v>44522</v>
      </c>
      <c r="G33" s="462">
        <f t="shared" si="3"/>
        <v>-6.0000000000000002E-5</v>
      </c>
      <c r="H33" s="453">
        <v>-6.0000000000000001E-3</v>
      </c>
      <c r="I33" s="107" t="str">
        <v>22M</v>
      </c>
      <c r="J33" s="106" t="str">
        <f t="shared" si="0"/>
        <v>22M</v>
      </c>
      <c r="K33" s="448">
        <f>_xll.qlCalendarAdvance("TARGET",SettlementDate,J33)</f>
        <v>43367</v>
      </c>
      <c r="M33" s="99" t="str">
        <v>22M</v>
      </c>
      <c r="N33" s="465">
        <v>6.0573129687164064E-4</v>
      </c>
      <c r="P33" s="106" t="b">
        <f t="shared" si="1"/>
        <v>0</v>
      </c>
      <c r="Q33" s="460">
        <f t="array" ref="Q33:CC33">C33*ForwardToZero(OisBuckets,E33,F33,G33)</f>
        <v>0</v>
      </c>
      <c r="R33" s="460">
        <v>0</v>
      </c>
      <c r="S33" s="460">
        <v>0</v>
      </c>
      <c r="T33" s="460">
        <v>0</v>
      </c>
      <c r="U33" s="460">
        <v>0</v>
      </c>
      <c r="V33" s="460">
        <v>0</v>
      </c>
      <c r="W33" s="460">
        <v>0</v>
      </c>
      <c r="X33" s="460">
        <v>0</v>
      </c>
      <c r="Y33" s="460">
        <v>0</v>
      </c>
      <c r="Z33" s="460">
        <v>0</v>
      </c>
      <c r="AA33" s="460">
        <v>0</v>
      </c>
      <c r="AB33" s="460">
        <v>0</v>
      </c>
      <c r="AC33" s="460">
        <v>0</v>
      </c>
      <c r="AD33" s="460">
        <v>0</v>
      </c>
      <c r="AE33" s="460">
        <v>0</v>
      </c>
      <c r="AF33" s="460">
        <v>0</v>
      </c>
      <c r="AG33" s="460">
        <v>0</v>
      </c>
      <c r="AH33" s="460">
        <v>0</v>
      </c>
      <c r="AI33" s="460">
        <v>0</v>
      </c>
      <c r="AJ33" s="460">
        <v>0</v>
      </c>
      <c r="AK33" s="460">
        <v>0</v>
      </c>
      <c r="AL33" s="460">
        <v>0</v>
      </c>
      <c r="AM33" s="460">
        <v>0</v>
      </c>
      <c r="AN33" s="460">
        <v>0</v>
      </c>
      <c r="AO33" s="460">
        <v>0</v>
      </c>
      <c r="AP33" s="460">
        <v>0</v>
      </c>
      <c r="AQ33" s="460">
        <v>0</v>
      </c>
      <c r="AR33" s="460">
        <v>0</v>
      </c>
      <c r="AS33" s="460">
        <v>0</v>
      </c>
      <c r="AT33" s="460">
        <v>0</v>
      </c>
      <c r="AU33" s="460">
        <v>0</v>
      </c>
      <c r="AV33" s="460">
        <v>0</v>
      </c>
      <c r="AW33" s="460">
        <v>9395.4637030066206</v>
      </c>
      <c r="AX33" s="460">
        <v>0</v>
      </c>
      <c r="AY33" s="460">
        <v>0</v>
      </c>
      <c r="AZ33" s="460">
        <v>0</v>
      </c>
      <c r="BA33" s="460">
        <v>0</v>
      </c>
      <c r="BB33" s="460">
        <v>0</v>
      </c>
      <c r="BC33" s="460">
        <v>0</v>
      </c>
      <c r="BD33" s="460">
        <v>0</v>
      </c>
      <c r="BE33" s="460">
        <v>0</v>
      </c>
      <c r="BF33" s="460">
        <v>0</v>
      </c>
      <c r="BG33" s="460">
        <v>0</v>
      </c>
      <c r="BH33" s="460">
        <v>0</v>
      </c>
      <c r="BI33" s="460">
        <v>0</v>
      </c>
      <c r="BJ33" s="460">
        <v>0</v>
      </c>
      <c r="BK33" s="460">
        <v>0</v>
      </c>
      <c r="BL33" s="460">
        <v>0</v>
      </c>
      <c r="BM33" s="460">
        <v>0</v>
      </c>
      <c r="BN33" s="460">
        <v>0</v>
      </c>
      <c r="BO33" s="460">
        <v>0</v>
      </c>
      <c r="BP33" s="460">
        <v>0</v>
      </c>
      <c r="BQ33" s="460">
        <v>0</v>
      </c>
      <c r="BR33" s="460">
        <v>0</v>
      </c>
      <c r="BS33" s="460">
        <v>0</v>
      </c>
      <c r="BT33" s="460">
        <v>0</v>
      </c>
      <c r="BU33" s="460">
        <v>0</v>
      </c>
      <c r="BV33" s="460">
        <v>0</v>
      </c>
      <c r="BW33" s="460">
        <v>0</v>
      </c>
      <c r="BX33" s="460">
        <v>0</v>
      </c>
      <c r="BY33" s="460">
        <v>0</v>
      </c>
      <c r="BZ33" s="460">
        <v>0</v>
      </c>
      <c r="CA33" s="460" t="e">
        <v>#N/A</v>
      </c>
      <c r="CB33" s="460" t="e">
        <v>#N/A</v>
      </c>
      <c r="CC33" s="460" t="e">
        <v>#N/A</v>
      </c>
      <c r="CD33"/>
      <c r="CE33"/>
      <c r="CF33"/>
      <c r="CG33"/>
      <c r="CH33"/>
    </row>
    <row r="34" spans="1:86" ht="12.75" customHeight="1">
      <c r="A34" s="105">
        <v>29</v>
      </c>
      <c r="B34" s="112" t="str">
        <v>6Y</v>
      </c>
      <c r="C34" s="465">
        <f>'eur disaggregated'!AF45</f>
        <v>-13039.355903720232</v>
      </c>
      <c r="D34" s="111" t="str">
        <f t="shared" si="4"/>
        <v>72M</v>
      </c>
      <c r="E34" s="441">
        <f>IF(LEN(B34)&lt;4,$C$1,IF(OR(LEFT(B34,3)="DEC",LEFT(B34,3)="MAR",LEFT(B34,3)="JUN",LEFT(B34,3)="SEP"),INDEX(EurMkt!$F$15:$F$34,MATCH(B34,EurMkt!$H$15:$H$34,0)),F31))</f>
        <v>42696</v>
      </c>
      <c r="F34" s="441">
        <f>IF(AND(NOT(ISNA(MATCH(RIGHT(B34,2),$I$6:$I$67,0))),LEN(B34)&lt;6,RIGHT(B34,1)="M"), INDEX($K$6:$K$67, MATCH(RIGHT(B34,2),$I$6:$I$67,0)), IF(AND(NOT(ISNA(MATCH(RIGHT(B34,3),$I$6:$I$67,0))), LEN(B34)&gt;=6, RIGHT(B34,1)="M"), INDEX($K$6:$K$67, MATCH(RIGHT(B34,3),$I$6:$I$67,0)), _xll.qlCalendarAdvance(Calendar,E34,D34)))</f>
        <v>44887</v>
      </c>
      <c r="G34" s="462">
        <f t="shared" si="3"/>
        <v>1.0299999999999999E-3</v>
      </c>
      <c r="H34" s="453">
        <v>0.10299999999999999</v>
      </c>
      <c r="I34" s="107" t="str">
        <v>23M</v>
      </c>
      <c r="J34" s="106" t="str">
        <f t="shared" si="0"/>
        <v>23M</v>
      </c>
      <c r="K34" s="448">
        <f>_xll.qlCalendarAdvance("TARGET",SettlementDate,J34)</f>
        <v>43395</v>
      </c>
      <c r="M34" s="99" t="str">
        <v>23M</v>
      </c>
      <c r="N34" s="465">
        <v>0</v>
      </c>
      <c r="P34" s="106" t="b">
        <f t="shared" si="1"/>
        <v>0</v>
      </c>
      <c r="Q34" s="460">
        <f t="array" ref="Q34:CC34">C34*ForwardToZero(OisBuckets,E34,F34,G34)</f>
        <v>0</v>
      </c>
      <c r="R34" s="460">
        <v>0</v>
      </c>
      <c r="S34" s="460">
        <v>0</v>
      </c>
      <c r="T34" s="460">
        <v>0</v>
      </c>
      <c r="U34" s="460">
        <v>0</v>
      </c>
      <c r="V34" s="460">
        <v>0</v>
      </c>
      <c r="W34" s="460">
        <v>0</v>
      </c>
      <c r="X34" s="460">
        <v>0</v>
      </c>
      <c r="Y34" s="460">
        <v>0</v>
      </c>
      <c r="Z34" s="460">
        <v>0</v>
      </c>
      <c r="AA34" s="460">
        <v>0</v>
      </c>
      <c r="AB34" s="460">
        <v>0</v>
      </c>
      <c r="AC34" s="460">
        <v>0</v>
      </c>
      <c r="AD34" s="460">
        <v>0</v>
      </c>
      <c r="AE34" s="460">
        <v>0</v>
      </c>
      <c r="AF34" s="460">
        <v>0</v>
      </c>
      <c r="AG34" s="460">
        <v>0</v>
      </c>
      <c r="AH34" s="460">
        <v>0</v>
      </c>
      <c r="AI34" s="460">
        <v>0</v>
      </c>
      <c r="AJ34" s="460">
        <v>0</v>
      </c>
      <c r="AK34" s="460">
        <v>0</v>
      </c>
      <c r="AL34" s="460">
        <v>0</v>
      </c>
      <c r="AM34" s="460">
        <v>0</v>
      </c>
      <c r="AN34" s="460">
        <v>0</v>
      </c>
      <c r="AO34" s="460">
        <v>0</v>
      </c>
      <c r="AP34" s="460">
        <v>0</v>
      </c>
      <c r="AQ34" s="460">
        <v>0</v>
      </c>
      <c r="AR34" s="460">
        <v>0</v>
      </c>
      <c r="AS34" s="460">
        <v>0</v>
      </c>
      <c r="AT34" s="460">
        <v>0</v>
      </c>
      <c r="AU34" s="460">
        <v>0</v>
      </c>
      <c r="AV34" s="460">
        <v>0</v>
      </c>
      <c r="AW34" s="460">
        <v>0</v>
      </c>
      <c r="AX34" s="460">
        <v>-13039.355903720232</v>
      </c>
      <c r="AY34" s="460">
        <v>0</v>
      </c>
      <c r="AZ34" s="460">
        <v>0</v>
      </c>
      <c r="BA34" s="460">
        <v>0</v>
      </c>
      <c r="BB34" s="460">
        <v>0</v>
      </c>
      <c r="BC34" s="460">
        <v>0</v>
      </c>
      <c r="BD34" s="460">
        <v>0</v>
      </c>
      <c r="BE34" s="460">
        <v>0</v>
      </c>
      <c r="BF34" s="460">
        <v>0</v>
      </c>
      <c r="BG34" s="460">
        <v>0</v>
      </c>
      <c r="BH34" s="460">
        <v>0</v>
      </c>
      <c r="BI34" s="460">
        <v>0</v>
      </c>
      <c r="BJ34" s="460">
        <v>0</v>
      </c>
      <c r="BK34" s="460">
        <v>0</v>
      </c>
      <c r="BL34" s="460">
        <v>0</v>
      </c>
      <c r="BM34" s="460">
        <v>0</v>
      </c>
      <c r="BN34" s="460">
        <v>0</v>
      </c>
      <c r="BO34" s="460">
        <v>0</v>
      </c>
      <c r="BP34" s="460">
        <v>0</v>
      </c>
      <c r="BQ34" s="460">
        <v>0</v>
      </c>
      <c r="BR34" s="460">
        <v>0</v>
      </c>
      <c r="BS34" s="460">
        <v>0</v>
      </c>
      <c r="BT34" s="460">
        <v>0</v>
      </c>
      <c r="BU34" s="460">
        <v>0</v>
      </c>
      <c r="BV34" s="460">
        <v>0</v>
      </c>
      <c r="BW34" s="460">
        <v>0</v>
      </c>
      <c r="BX34" s="460">
        <v>0</v>
      </c>
      <c r="BY34" s="460">
        <v>0</v>
      </c>
      <c r="BZ34" s="460">
        <v>0</v>
      </c>
      <c r="CA34" s="460" t="e">
        <v>#N/A</v>
      </c>
      <c r="CB34" s="460" t="e">
        <v>#N/A</v>
      </c>
      <c r="CC34" s="460" t="e">
        <v>#N/A</v>
      </c>
      <c r="CD34"/>
      <c r="CE34"/>
      <c r="CF34"/>
      <c r="CG34"/>
      <c r="CH34"/>
    </row>
    <row r="35" spans="1:86" ht="12.75" customHeight="1">
      <c r="A35" s="105">
        <v>30</v>
      </c>
      <c r="B35" s="112" t="str">
        <v>7Y</v>
      </c>
      <c r="C35" s="465">
        <f>'eur disaggregated'!AF46</f>
        <v>43502.008095943733</v>
      </c>
      <c r="D35" s="111" t="str">
        <f t="shared" si="4"/>
        <v>84M</v>
      </c>
      <c r="E35" s="441">
        <f>IF(LEN(B35)&lt;4,$C$1,IF(OR(LEFT(B35,3)="DEC",LEFT(B35,3)="MAR",LEFT(B35,3)="JUN",LEFT(B35,3)="SEP"),INDEX(EurMkt!$F$15:$F$34,MATCH(B35,EurMkt!$H$15:$H$34,0)),F32))</f>
        <v>42696</v>
      </c>
      <c r="F35" s="441">
        <f>IF(AND(NOT(ISNA(MATCH(RIGHT(B35,2),$I$6:$I$67,0))),LEN(B35)&lt;6,RIGHT(B35,1)="M"), INDEX($K$6:$K$67, MATCH(RIGHT(B35,2),$I$6:$I$67,0)), IF(AND(NOT(ISNA(MATCH(RIGHT(B35,3),$I$6:$I$67,0))), LEN(B35)&gt;=6, RIGHT(B35,1)="M"), INDEX($K$6:$K$67, MATCH(RIGHT(B35,3),$I$6:$I$67,0)), _xll.qlCalendarAdvance(Calendar,E35,D35)))</f>
        <v>45252</v>
      </c>
      <c r="G35" s="462">
        <f t="shared" si="3"/>
        <v>2.1800000000000001E-3</v>
      </c>
      <c r="H35" s="453">
        <v>0.218</v>
      </c>
      <c r="I35" s="107" t="str">
        <v>2Y</v>
      </c>
      <c r="J35" s="106" t="str">
        <f t="shared" si="0"/>
        <v>24M</v>
      </c>
      <c r="K35" s="448">
        <f>_xll.qlCalendarAdvance("TARGET",SettlementDate,J35)</f>
        <v>43426</v>
      </c>
      <c r="M35" s="99" t="str">
        <v>2Y</v>
      </c>
      <c r="N35" s="465">
        <v>-316.51515316700716</v>
      </c>
      <c r="P35" s="106" t="b">
        <f t="shared" si="1"/>
        <v>0</v>
      </c>
      <c r="Q35" s="460">
        <f t="array" ref="Q35:CC35">C35*ForwardToZero(OisBuckets,E35,F35,G35)</f>
        <v>0</v>
      </c>
      <c r="R35" s="460">
        <v>0</v>
      </c>
      <c r="S35" s="460">
        <v>0</v>
      </c>
      <c r="T35" s="460">
        <v>0</v>
      </c>
      <c r="U35" s="460">
        <v>0</v>
      </c>
      <c r="V35" s="460">
        <v>0</v>
      </c>
      <c r="W35" s="460">
        <v>0</v>
      </c>
      <c r="X35" s="460">
        <v>0</v>
      </c>
      <c r="Y35" s="460">
        <v>0</v>
      </c>
      <c r="Z35" s="460">
        <v>0</v>
      </c>
      <c r="AA35" s="460">
        <v>0</v>
      </c>
      <c r="AB35" s="460">
        <v>0</v>
      </c>
      <c r="AC35" s="460">
        <v>0</v>
      </c>
      <c r="AD35" s="460">
        <v>0</v>
      </c>
      <c r="AE35" s="460">
        <v>0</v>
      </c>
      <c r="AF35" s="460">
        <v>0</v>
      </c>
      <c r="AG35" s="460">
        <v>0</v>
      </c>
      <c r="AH35" s="460">
        <v>0</v>
      </c>
      <c r="AI35" s="460">
        <v>0</v>
      </c>
      <c r="AJ35" s="460">
        <v>0</v>
      </c>
      <c r="AK35" s="460">
        <v>0</v>
      </c>
      <c r="AL35" s="460">
        <v>0</v>
      </c>
      <c r="AM35" s="460">
        <v>0</v>
      </c>
      <c r="AN35" s="460">
        <v>0</v>
      </c>
      <c r="AO35" s="460">
        <v>0</v>
      </c>
      <c r="AP35" s="460">
        <v>0</v>
      </c>
      <c r="AQ35" s="460">
        <v>0</v>
      </c>
      <c r="AR35" s="460">
        <v>0</v>
      </c>
      <c r="AS35" s="460">
        <v>0</v>
      </c>
      <c r="AT35" s="460">
        <v>0</v>
      </c>
      <c r="AU35" s="460">
        <v>0</v>
      </c>
      <c r="AV35" s="460">
        <v>0</v>
      </c>
      <c r="AW35" s="460">
        <v>0</v>
      </c>
      <c r="AX35" s="460">
        <v>0</v>
      </c>
      <c r="AY35" s="460">
        <v>43502.008095943733</v>
      </c>
      <c r="AZ35" s="460">
        <v>0</v>
      </c>
      <c r="BA35" s="460">
        <v>0</v>
      </c>
      <c r="BB35" s="460">
        <v>0</v>
      </c>
      <c r="BC35" s="460">
        <v>0</v>
      </c>
      <c r="BD35" s="460">
        <v>0</v>
      </c>
      <c r="BE35" s="460">
        <v>0</v>
      </c>
      <c r="BF35" s="460">
        <v>0</v>
      </c>
      <c r="BG35" s="460">
        <v>0</v>
      </c>
      <c r="BH35" s="460">
        <v>0</v>
      </c>
      <c r="BI35" s="460">
        <v>0</v>
      </c>
      <c r="BJ35" s="460">
        <v>0</v>
      </c>
      <c r="BK35" s="460">
        <v>0</v>
      </c>
      <c r="BL35" s="460">
        <v>0</v>
      </c>
      <c r="BM35" s="460">
        <v>0</v>
      </c>
      <c r="BN35" s="460">
        <v>0</v>
      </c>
      <c r="BO35" s="460">
        <v>0</v>
      </c>
      <c r="BP35" s="460">
        <v>0</v>
      </c>
      <c r="BQ35" s="460">
        <v>0</v>
      </c>
      <c r="BR35" s="460">
        <v>0</v>
      </c>
      <c r="BS35" s="460">
        <v>0</v>
      </c>
      <c r="BT35" s="460">
        <v>0</v>
      </c>
      <c r="BU35" s="460">
        <v>0</v>
      </c>
      <c r="BV35" s="460">
        <v>0</v>
      </c>
      <c r="BW35" s="460">
        <v>0</v>
      </c>
      <c r="BX35" s="460">
        <v>0</v>
      </c>
      <c r="BY35" s="460">
        <v>0</v>
      </c>
      <c r="BZ35" s="460">
        <v>0</v>
      </c>
      <c r="CA35" s="460" t="e">
        <v>#N/A</v>
      </c>
      <c r="CB35" s="460" t="e">
        <v>#N/A</v>
      </c>
      <c r="CC35" s="460" t="e">
        <v>#N/A</v>
      </c>
      <c r="CD35"/>
      <c r="CE35"/>
      <c r="CF35"/>
      <c r="CG35"/>
      <c r="CH35"/>
    </row>
    <row r="36" spans="1:86" ht="12.75" customHeight="1">
      <c r="A36" s="105">
        <v>31</v>
      </c>
      <c r="B36" s="112" t="str">
        <v>8Y</v>
      </c>
      <c r="C36" s="465">
        <f>'eur disaggregated'!AF47</f>
        <v>-5622.0789885126442</v>
      </c>
      <c r="D36" s="111" t="str">
        <f t="shared" si="4"/>
        <v>96M</v>
      </c>
      <c r="E36" s="441">
        <f>IF(LEN(B36)&lt;4,$C$1,IF(OR(LEFT(B36,3)="DEC",LEFT(B36,3)="MAR",LEFT(B36,3)="JUN",LEFT(B36,3)="SEP"),INDEX(EurMkt!$F$15:$F$34,MATCH(B36,EurMkt!$H$15:$H$34,0)),F33))</f>
        <v>42696</v>
      </c>
      <c r="F36" s="441">
        <f>IF(AND(NOT(ISNA(MATCH(RIGHT(B36,2),$I$6:$I$67,0))),LEN(B36)&lt;6,RIGHT(B36,1)="M"), INDEX($K$6:$K$67, MATCH(RIGHT(B36,2),$I$6:$I$67,0)), IF(AND(NOT(ISNA(MATCH(RIGHT(B36,3),$I$6:$I$67,0))), LEN(B36)&gt;=6, RIGHT(B36,1)="M"), INDEX($K$6:$K$67, MATCH(RIGHT(B36,3),$I$6:$I$67,0)), _xll.qlCalendarAdvance(Calendar,E36,D36)))</f>
        <v>45618</v>
      </c>
      <c r="G36" s="462">
        <f t="shared" si="3"/>
        <v>3.3400000000000001E-3</v>
      </c>
      <c r="H36" s="453">
        <v>0.33400000000000002</v>
      </c>
      <c r="I36" s="107" t="str">
        <v>3Y</v>
      </c>
      <c r="J36" s="106" t="str">
        <f t="shared" si="0"/>
        <v>36M</v>
      </c>
      <c r="K36" s="448">
        <f>_xll.qlCalendarAdvance("TARGET",SettlementDate,J36)</f>
        <v>43791</v>
      </c>
      <c r="M36" s="99" t="str">
        <v>3Y</v>
      </c>
      <c r="N36" s="465">
        <v>-1430.4481707135865</v>
      </c>
      <c r="P36" s="106" t="b">
        <f t="shared" si="1"/>
        <v>0</v>
      </c>
      <c r="Q36" s="460">
        <f t="array" ref="Q36:CC36">C36*ForwardToZero(OisBuckets,E36,F36,G36)</f>
        <v>0</v>
      </c>
      <c r="R36" s="460">
        <v>0</v>
      </c>
      <c r="S36" s="460">
        <v>0</v>
      </c>
      <c r="T36" s="460">
        <v>0</v>
      </c>
      <c r="U36" s="460">
        <v>0</v>
      </c>
      <c r="V36" s="460">
        <v>0</v>
      </c>
      <c r="W36" s="460">
        <v>0</v>
      </c>
      <c r="X36" s="460">
        <v>0</v>
      </c>
      <c r="Y36" s="460">
        <v>0</v>
      </c>
      <c r="Z36" s="460">
        <v>0</v>
      </c>
      <c r="AA36" s="460">
        <v>0</v>
      </c>
      <c r="AB36" s="460">
        <v>0</v>
      </c>
      <c r="AC36" s="460">
        <v>0</v>
      </c>
      <c r="AD36" s="460">
        <v>0</v>
      </c>
      <c r="AE36" s="460">
        <v>0</v>
      </c>
      <c r="AF36" s="460">
        <v>0</v>
      </c>
      <c r="AG36" s="460">
        <v>0</v>
      </c>
      <c r="AH36" s="460">
        <v>0</v>
      </c>
      <c r="AI36" s="460">
        <v>0</v>
      </c>
      <c r="AJ36" s="460">
        <v>0</v>
      </c>
      <c r="AK36" s="460">
        <v>0</v>
      </c>
      <c r="AL36" s="460">
        <v>0</v>
      </c>
      <c r="AM36" s="460">
        <v>0</v>
      </c>
      <c r="AN36" s="460">
        <v>0</v>
      </c>
      <c r="AO36" s="460">
        <v>0</v>
      </c>
      <c r="AP36" s="460">
        <v>0</v>
      </c>
      <c r="AQ36" s="460">
        <v>0</v>
      </c>
      <c r="AR36" s="460">
        <v>0</v>
      </c>
      <c r="AS36" s="460">
        <v>0</v>
      </c>
      <c r="AT36" s="460">
        <v>0</v>
      </c>
      <c r="AU36" s="460">
        <v>0</v>
      </c>
      <c r="AV36" s="460">
        <v>0</v>
      </c>
      <c r="AW36" s="460">
        <v>0</v>
      </c>
      <c r="AX36" s="460">
        <v>0</v>
      </c>
      <c r="AY36" s="460">
        <v>0</v>
      </c>
      <c r="AZ36" s="460">
        <v>-5622.0789885126442</v>
      </c>
      <c r="BA36" s="460">
        <v>0</v>
      </c>
      <c r="BB36" s="460">
        <v>0</v>
      </c>
      <c r="BC36" s="460">
        <v>0</v>
      </c>
      <c r="BD36" s="460">
        <v>0</v>
      </c>
      <c r="BE36" s="460">
        <v>0</v>
      </c>
      <c r="BF36" s="460">
        <v>0</v>
      </c>
      <c r="BG36" s="460">
        <v>0</v>
      </c>
      <c r="BH36" s="460">
        <v>0</v>
      </c>
      <c r="BI36" s="460">
        <v>0</v>
      </c>
      <c r="BJ36" s="460">
        <v>0</v>
      </c>
      <c r="BK36" s="460">
        <v>0</v>
      </c>
      <c r="BL36" s="460">
        <v>0</v>
      </c>
      <c r="BM36" s="460">
        <v>0</v>
      </c>
      <c r="BN36" s="460">
        <v>0</v>
      </c>
      <c r="BO36" s="460">
        <v>0</v>
      </c>
      <c r="BP36" s="460">
        <v>0</v>
      </c>
      <c r="BQ36" s="460">
        <v>0</v>
      </c>
      <c r="BR36" s="460">
        <v>0</v>
      </c>
      <c r="BS36" s="460">
        <v>0</v>
      </c>
      <c r="BT36" s="460">
        <v>0</v>
      </c>
      <c r="BU36" s="460">
        <v>0</v>
      </c>
      <c r="BV36" s="460">
        <v>0</v>
      </c>
      <c r="BW36" s="460">
        <v>0</v>
      </c>
      <c r="BX36" s="460">
        <v>0</v>
      </c>
      <c r="BY36" s="460">
        <v>0</v>
      </c>
      <c r="BZ36" s="460">
        <v>0</v>
      </c>
      <c r="CA36" s="460" t="e">
        <v>#N/A</v>
      </c>
      <c r="CB36" s="460" t="e">
        <v>#N/A</v>
      </c>
      <c r="CC36" s="460" t="e">
        <v>#N/A</v>
      </c>
      <c r="CD36"/>
      <c r="CE36"/>
      <c r="CF36"/>
      <c r="CG36"/>
      <c r="CH36"/>
    </row>
    <row r="37" spans="1:86" ht="12.75" customHeight="1">
      <c r="A37" s="105">
        <v>32</v>
      </c>
      <c r="B37" s="112" t="str">
        <v>9Y</v>
      </c>
      <c r="C37" s="465">
        <f>'eur disaggregated'!AF48</f>
        <v>16174.181851809135</v>
      </c>
      <c r="D37" s="111" t="str">
        <f t="shared" si="4"/>
        <v>108M</v>
      </c>
      <c r="E37" s="441">
        <f>IF(LEN(B37)&lt;4,$C$1,IF(OR(LEFT(B37,3)="DEC",LEFT(B37,3)="MAR",LEFT(B37,3)="JUN",LEFT(B37,3)="SEP"),INDEX(EurMkt!$F$15:$F$34,MATCH(B37,EurMkt!$H$15:$H$34,0)),F34))</f>
        <v>42696</v>
      </c>
      <c r="F37" s="441">
        <f>IF(AND(NOT(ISNA(MATCH(RIGHT(B37,2),$I$6:$I$67,0))),LEN(B37)&lt;6,RIGHT(B37,1)="M"), INDEX($K$6:$K$67, MATCH(RIGHT(B37,2),$I$6:$I$67,0)), IF(AND(NOT(ISNA(MATCH(RIGHT(B37,3),$I$6:$I$67,0))), LEN(B37)&gt;=6, RIGHT(B37,1)="M"), INDEX($K$6:$K$67, MATCH(RIGHT(B37,3),$I$6:$I$67,0)), _xll.qlCalendarAdvance(Calendar,E37,D37)))</f>
        <v>45985</v>
      </c>
      <c r="G37" s="462">
        <f t="shared" si="3"/>
        <v>4.4600000000000004E-3</v>
      </c>
      <c r="H37" s="453">
        <v>0.44600000000000001</v>
      </c>
      <c r="I37" s="107" t="str">
        <v>4Y</v>
      </c>
      <c r="J37" s="106" t="str">
        <f t="shared" si="0"/>
        <v>48M</v>
      </c>
      <c r="K37" s="448">
        <f>_xll.qlCalendarAdvance("TARGET",SettlementDate,J37)</f>
        <v>44158</v>
      </c>
      <c r="M37" s="99" t="str">
        <v>4Y</v>
      </c>
      <c r="N37" s="465">
        <v>-7486.8054488111811</v>
      </c>
      <c r="P37" s="106" t="b">
        <f t="shared" si="1"/>
        <v>0</v>
      </c>
      <c r="Q37" s="460">
        <f t="array" ref="Q37:CC37">C37*ForwardToZero(OisBuckets,E37,F37,G37)</f>
        <v>0</v>
      </c>
      <c r="R37" s="460">
        <v>0</v>
      </c>
      <c r="S37" s="460">
        <v>0</v>
      </c>
      <c r="T37" s="460">
        <v>0</v>
      </c>
      <c r="U37" s="460">
        <v>0</v>
      </c>
      <c r="V37" s="460">
        <v>0</v>
      </c>
      <c r="W37" s="460">
        <v>0</v>
      </c>
      <c r="X37" s="460">
        <v>0</v>
      </c>
      <c r="Y37" s="460">
        <v>0</v>
      </c>
      <c r="Z37" s="460">
        <v>0</v>
      </c>
      <c r="AA37" s="460">
        <v>0</v>
      </c>
      <c r="AB37" s="460">
        <v>0</v>
      </c>
      <c r="AC37" s="460">
        <v>0</v>
      </c>
      <c r="AD37" s="460">
        <v>0</v>
      </c>
      <c r="AE37" s="460">
        <v>0</v>
      </c>
      <c r="AF37" s="460">
        <v>0</v>
      </c>
      <c r="AG37" s="460">
        <v>0</v>
      </c>
      <c r="AH37" s="460">
        <v>0</v>
      </c>
      <c r="AI37" s="460">
        <v>0</v>
      </c>
      <c r="AJ37" s="460">
        <v>0</v>
      </c>
      <c r="AK37" s="460">
        <v>0</v>
      </c>
      <c r="AL37" s="460">
        <v>0</v>
      </c>
      <c r="AM37" s="460">
        <v>0</v>
      </c>
      <c r="AN37" s="460">
        <v>0</v>
      </c>
      <c r="AO37" s="460">
        <v>0</v>
      </c>
      <c r="AP37" s="460">
        <v>0</v>
      </c>
      <c r="AQ37" s="460">
        <v>0</v>
      </c>
      <c r="AR37" s="460">
        <v>0</v>
      </c>
      <c r="AS37" s="460">
        <v>0</v>
      </c>
      <c r="AT37" s="460">
        <v>0</v>
      </c>
      <c r="AU37" s="460">
        <v>0</v>
      </c>
      <c r="AV37" s="460">
        <v>0</v>
      </c>
      <c r="AW37" s="460">
        <v>0</v>
      </c>
      <c r="AX37" s="460">
        <v>0</v>
      </c>
      <c r="AY37" s="460">
        <v>0</v>
      </c>
      <c r="AZ37" s="460">
        <v>0</v>
      </c>
      <c r="BA37" s="460">
        <v>16174.181851809135</v>
      </c>
      <c r="BB37" s="460">
        <v>0</v>
      </c>
      <c r="BC37" s="460">
        <v>0</v>
      </c>
      <c r="BD37" s="460">
        <v>0</v>
      </c>
      <c r="BE37" s="460">
        <v>0</v>
      </c>
      <c r="BF37" s="460">
        <v>0</v>
      </c>
      <c r="BG37" s="460">
        <v>0</v>
      </c>
      <c r="BH37" s="460">
        <v>0</v>
      </c>
      <c r="BI37" s="460">
        <v>0</v>
      </c>
      <c r="BJ37" s="460">
        <v>0</v>
      </c>
      <c r="BK37" s="460">
        <v>0</v>
      </c>
      <c r="BL37" s="460">
        <v>0</v>
      </c>
      <c r="BM37" s="460">
        <v>0</v>
      </c>
      <c r="BN37" s="460">
        <v>0</v>
      </c>
      <c r="BO37" s="460">
        <v>0</v>
      </c>
      <c r="BP37" s="460">
        <v>0</v>
      </c>
      <c r="BQ37" s="460">
        <v>0</v>
      </c>
      <c r="BR37" s="460">
        <v>0</v>
      </c>
      <c r="BS37" s="460">
        <v>0</v>
      </c>
      <c r="BT37" s="460">
        <v>0</v>
      </c>
      <c r="BU37" s="460">
        <v>0</v>
      </c>
      <c r="BV37" s="460">
        <v>0</v>
      </c>
      <c r="BW37" s="460">
        <v>0</v>
      </c>
      <c r="BX37" s="460">
        <v>0</v>
      </c>
      <c r="BY37" s="460">
        <v>0</v>
      </c>
      <c r="BZ37" s="460">
        <v>0</v>
      </c>
      <c r="CA37" s="460" t="e">
        <v>#N/A</v>
      </c>
      <c r="CB37" s="460" t="e">
        <v>#N/A</v>
      </c>
      <c r="CC37" s="460" t="e">
        <v>#N/A</v>
      </c>
      <c r="CD37"/>
      <c r="CE37"/>
      <c r="CF37"/>
      <c r="CG37"/>
      <c r="CH37"/>
    </row>
    <row r="38" spans="1:86" ht="12.75" customHeight="1">
      <c r="A38" s="105">
        <v>33</v>
      </c>
      <c r="B38" s="112" t="str">
        <v>10Y</v>
      </c>
      <c r="C38" s="465">
        <f>'eur disaggregated'!AF49</f>
        <v>-106806.44328098278</v>
      </c>
      <c r="D38" s="111" t="str">
        <f t="shared" ref="D38:D69" si="5">IF(LEN(B38)&gt;0,SimplifyTenor(B38),"")</f>
        <v>120M</v>
      </c>
      <c r="E38" s="441">
        <f>IF(LEN(B38)&lt;4,$C$1,IF(OR(LEFT(B38,3)="DEC",LEFT(B38,3)="MAR",LEFT(B38,3)="JUN",LEFT(B38,3)="SEP"),INDEX(EurMkt!$F$15:$F$34,MATCH(B38,EurMkt!$H$15:$H$34,0)),F35))</f>
        <v>42696</v>
      </c>
      <c r="F38" s="441">
        <f>IF(AND(NOT(ISNA(MATCH(RIGHT(B38,2),$I$6:$I$67,0))),LEN(B38)&lt;6,RIGHT(B38,1)="M"), INDEX($K$6:$K$67, MATCH(RIGHT(B38,2),$I$6:$I$67,0)), IF(AND(NOT(ISNA(MATCH(RIGHT(B38,3),$I$6:$I$67,0))), LEN(B38)&gt;=6, RIGHT(B38,1)="M"), INDEX($K$6:$K$67, MATCH(RIGHT(B38,3),$I$6:$I$67,0)), _xll.qlCalendarAdvance(Calendar,E38,D38)))</f>
        <v>46349</v>
      </c>
      <c r="G38" s="462">
        <f t="shared" si="3"/>
        <v>5.5000000000000005E-3</v>
      </c>
      <c r="H38" s="453">
        <v>0.55000000000000004</v>
      </c>
      <c r="I38" s="107" t="str">
        <v>5Y</v>
      </c>
      <c r="J38" s="106" t="str">
        <f t="shared" si="0"/>
        <v>60M</v>
      </c>
      <c r="K38" s="448">
        <f>_xll.qlCalendarAdvance("TARGET",SettlementDate,J38)</f>
        <v>44522</v>
      </c>
      <c r="M38" s="99" t="str">
        <v>5Y</v>
      </c>
      <c r="N38" s="465">
        <v>9395.4637030066206</v>
      </c>
      <c r="P38" s="106" t="b">
        <f t="shared" ref="P38:P70" si="6">MID(B38,4,1)=" "</f>
        <v>0</v>
      </c>
      <c r="Q38" s="460">
        <f t="array" ref="Q38:CC38">C38*ForwardToZero(OisBuckets,E38,F38,G38)</f>
        <v>0</v>
      </c>
      <c r="R38" s="460">
        <v>0</v>
      </c>
      <c r="S38" s="460">
        <v>0</v>
      </c>
      <c r="T38" s="460">
        <v>0</v>
      </c>
      <c r="U38" s="460">
        <v>0</v>
      </c>
      <c r="V38" s="460">
        <v>0</v>
      </c>
      <c r="W38" s="460">
        <v>0</v>
      </c>
      <c r="X38" s="460">
        <v>0</v>
      </c>
      <c r="Y38" s="460">
        <v>0</v>
      </c>
      <c r="Z38" s="460">
        <v>0</v>
      </c>
      <c r="AA38" s="460">
        <v>0</v>
      </c>
      <c r="AB38" s="460">
        <v>0</v>
      </c>
      <c r="AC38" s="460">
        <v>0</v>
      </c>
      <c r="AD38" s="460">
        <v>0</v>
      </c>
      <c r="AE38" s="460">
        <v>0</v>
      </c>
      <c r="AF38" s="460">
        <v>0</v>
      </c>
      <c r="AG38" s="460">
        <v>0</v>
      </c>
      <c r="AH38" s="460">
        <v>0</v>
      </c>
      <c r="AI38" s="460">
        <v>0</v>
      </c>
      <c r="AJ38" s="460">
        <v>0</v>
      </c>
      <c r="AK38" s="460">
        <v>0</v>
      </c>
      <c r="AL38" s="460">
        <v>0</v>
      </c>
      <c r="AM38" s="460">
        <v>0</v>
      </c>
      <c r="AN38" s="460">
        <v>0</v>
      </c>
      <c r="AO38" s="460">
        <v>0</v>
      </c>
      <c r="AP38" s="460">
        <v>0</v>
      </c>
      <c r="AQ38" s="460">
        <v>0</v>
      </c>
      <c r="AR38" s="460">
        <v>0</v>
      </c>
      <c r="AS38" s="460">
        <v>0</v>
      </c>
      <c r="AT38" s="460">
        <v>0</v>
      </c>
      <c r="AU38" s="460">
        <v>0</v>
      </c>
      <c r="AV38" s="460">
        <v>0</v>
      </c>
      <c r="AW38" s="460">
        <v>0</v>
      </c>
      <c r="AX38" s="460">
        <v>0</v>
      </c>
      <c r="AY38" s="460">
        <v>0</v>
      </c>
      <c r="AZ38" s="460">
        <v>0</v>
      </c>
      <c r="BA38" s="460">
        <v>0</v>
      </c>
      <c r="BB38" s="460">
        <v>-106806.44328098278</v>
      </c>
      <c r="BC38" s="460">
        <v>0</v>
      </c>
      <c r="BD38" s="460">
        <v>0</v>
      </c>
      <c r="BE38" s="460">
        <v>0</v>
      </c>
      <c r="BF38" s="460">
        <v>0</v>
      </c>
      <c r="BG38" s="460">
        <v>0</v>
      </c>
      <c r="BH38" s="460">
        <v>0</v>
      </c>
      <c r="BI38" s="460">
        <v>0</v>
      </c>
      <c r="BJ38" s="460">
        <v>0</v>
      </c>
      <c r="BK38" s="460">
        <v>0</v>
      </c>
      <c r="BL38" s="460">
        <v>0</v>
      </c>
      <c r="BM38" s="460">
        <v>0</v>
      </c>
      <c r="BN38" s="460">
        <v>0</v>
      </c>
      <c r="BO38" s="460">
        <v>0</v>
      </c>
      <c r="BP38" s="460">
        <v>0</v>
      </c>
      <c r="BQ38" s="460">
        <v>0</v>
      </c>
      <c r="BR38" s="460">
        <v>0</v>
      </c>
      <c r="BS38" s="460">
        <v>0</v>
      </c>
      <c r="BT38" s="460">
        <v>0</v>
      </c>
      <c r="BU38" s="460">
        <v>0</v>
      </c>
      <c r="BV38" s="460">
        <v>0</v>
      </c>
      <c r="BW38" s="460">
        <v>0</v>
      </c>
      <c r="BX38" s="460">
        <v>0</v>
      </c>
      <c r="BY38" s="460">
        <v>0</v>
      </c>
      <c r="BZ38" s="460">
        <v>0</v>
      </c>
      <c r="CA38" s="460" t="e">
        <v>#N/A</v>
      </c>
      <c r="CB38" s="460" t="e">
        <v>#N/A</v>
      </c>
      <c r="CC38" s="460" t="e">
        <v>#N/A</v>
      </c>
      <c r="CD38"/>
      <c r="CE38"/>
      <c r="CF38"/>
      <c r="CG38"/>
      <c r="CH38"/>
    </row>
    <row r="39" spans="1:86" ht="12.75" customHeight="1">
      <c r="A39" s="105">
        <v>34</v>
      </c>
      <c r="B39" s="112" t="str">
        <v>11Y</v>
      </c>
      <c r="C39" s="465">
        <f>'eur disaggregated'!AF50</f>
        <v>-73078.716066506764</v>
      </c>
      <c r="D39" s="111" t="str">
        <f t="shared" si="5"/>
        <v>132M</v>
      </c>
      <c r="E39" s="441">
        <f>IF(LEN(B39)&lt;4,$C$1,IF(OR(LEFT(B39,3)="DEC",LEFT(B39,3)="MAR",LEFT(B39,3)="JUN",LEFT(B39,3)="SEP"),INDEX(EurMkt!$F$15:$F$34,MATCH(B39,EurMkt!$H$15:$H$34,0)),F36))</f>
        <v>42696</v>
      </c>
      <c r="F39" s="441">
        <f>IF(AND(NOT(ISNA(MATCH(RIGHT(B39,2),$I$6:$I$67,0))),LEN(B39)&lt;6,RIGHT(B39,1)="M"), INDEX($K$6:$K$67, MATCH(RIGHT(B39,2),$I$6:$I$67,0)), IF(AND(NOT(ISNA(MATCH(RIGHT(B39,3),$I$6:$I$67,0))), LEN(B39)&gt;=6, RIGHT(B39,1)="M"), INDEX($K$6:$K$67, MATCH(RIGHT(B39,3),$I$6:$I$67,0)), _xll.qlCalendarAdvance(Calendar,E39,D39)))</f>
        <v>46713</v>
      </c>
      <c r="G39" s="462">
        <f t="shared" si="3"/>
        <v>6.4348159999999995E-3</v>
      </c>
      <c r="H39" s="453">
        <v>0.64348159999999999</v>
      </c>
      <c r="I39" s="107" t="str">
        <v>6Y</v>
      </c>
      <c r="J39" s="106" t="str">
        <f t="shared" si="0"/>
        <v>72M</v>
      </c>
      <c r="K39" s="448">
        <f>_xll.qlCalendarAdvance("TARGET",SettlementDate,J39)</f>
        <v>44887</v>
      </c>
      <c r="M39" s="99" t="str">
        <v>6Y</v>
      </c>
      <c r="N39" s="465">
        <v>-13039.355903720232</v>
      </c>
      <c r="P39" s="106" t="b">
        <f t="shared" si="6"/>
        <v>0</v>
      </c>
      <c r="Q39" s="460">
        <f t="array" ref="Q39:CC39">C39*ForwardToZero(OisBuckets,E39,F39,G39)</f>
        <v>0</v>
      </c>
      <c r="R39" s="460">
        <v>0</v>
      </c>
      <c r="S39" s="460">
        <v>0</v>
      </c>
      <c r="T39" s="460">
        <v>0</v>
      </c>
      <c r="U39" s="460">
        <v>0</v>
      </c>
      <c r="V39" s="460">
        <v>0</v>
      </c>
      <c r="W39" s="460">
        <v>0</v>
      </c>
      <c r="X39" s="460">
        <v>0</v>
      </c>
      <c r="Y39" s="460">
        <v>0</v>
      </c>
      <c r="Z39" s="460">
        <v>0</v>
      </c>
      <c r="AA39" s="460">
        <v>0</v>
      </c>
      <c r="AB39" s="460">
        <v>0</v>
      </c>
      <c r="AC39" s="460">
        <v>0</v>
      </c>
      <c r="AD39" s="460">
        <v>0</v>
      </c>
      <c r="AE39" s="460">
        <v>0</v>
      </c>
      <c r="AF39" s="460">
        <v>0</v>
      </c>
      <c r="AG39" s="460">
        <v>0</v>
      </c>
      <c r="AH39" s="460">
        <v>0</v>
      </c>
      <c r="AI39" s="460">
        <v>0</v>
      </c>
      <c r="AJ39" s="460">
        <v>0</v>
      </c>
      <c r="AK39" s="460">
        <v>0</v>
      </c>
      <c r="AL39" s="460">
        <v>0</v>
      </c>
      <c r="AM39" s="460">
        <v>0</v>
      </c>
      <c r="AN39" s="460">
        <v>0</v>
      </c>
      <c r="AO39" s="460">
        <v>0</v>
      </c>
      <c r="AP39" s="460">
        <v>0</v>
      </c>
      <c r="AQ39" s="460">
        <v>0</v>
      </c>
      <c r="AR39" s="460">
        <v>0</v>
      </c>
      <c r="AS39" s="460">
        <v>0</v>
      </c>
      <c r="AT39" s="460">
        <v>0</v>
      </c>
      <c r="AU39" s="460">
        <v>0</v>
      </c>
      <c r="AV39" s="460">
        <v>0</v>
      </c>
      <c r="AW39" s="460">
        <v>0</v>
      </c>
      <c r="AX39" s="460">
        <v>0</v>
      </c>
      <c r="AY39" s="460">
        <v>0</v>
      </c>
      <c r="AZ39" s="460">
        <v>0</v>
      </c>
      <c r="BA39" s="460">
        <v>0</v>
      </c>
      <c r="BB39" s="460">
        <v>0</v>
      </c>
      <c r="BC39" s="460">
        <v>-73078.716066506764</v>
      </c>
      <c r="BD39" s="460">
        <v>0</v>
      </c>
      <c r="BE39" s="460">
        <v>0</v>
      </c>
      <c r="BF39" s="460">
        <v>0</v>
      </c>
      <c r="BG39" s="460">
        <v>0</v>
      </c>
      <c r="BH39" s="460">
        <v>0</v>
      </c>
      <c r="BI39" s="460">
        <v>0</v>
      </c>
      <c r="BJ39" s="460">
        <v>0</v>
      </c>
      <c r="BK39" s="460">
        <v>0</v>
      </c>
      <c r="BL39" s="460">
        <v>0</v>
      </c>
      <c r="BM39" s="460">
        <v>0</v>
      </c>
      <c r="BN39" s="460">
        <v>0</v>
      </c>
      <c r="BO39" s="460">
        <v>0</v>
      </c>
      <c r="BP39" s="460">
        <v>0</v>
      </c>
      <c r="BQ39" s="460">
        <v>0</v>
      </c>
      <c r="BR39" s="460">
        <v>0</v>
      </c>
      <c r="BS39" s="460">
        <v>0</v>
      </c>
      <c r="BT39" s="460">
        <v>0</v>
      </c>
      <c r="BU39" s="460">
        <v>0</v>
      </c>
      <c r="BV39" s="460">
        <v>0</v>
      </c>
      <c r="BW39" s="460">
        <v>0</v>
      </c>
      <c r="BX39" s="460">
        <v>0</v>
      </c>
      <c r="BY39" s="460">
        <v>0</v>
      </c>
      <c r="BZ39" s="460">
        <v>0</v>
      </c>
      <c r="CA39" s="460" t="e">
        <v>#N/A</v>
      </c>
      <c r="CB39" s="460" t="e">
        <v>#N/A</v>
      </c>
      <c r="CC39" s="460" t="e">
        <v>#N/A</v>
      </c>
      <c r="CD39"/>
      <c r="CE39"/>
      <c r="CF39"/>
      <c r="CG39"/>
      <c r="CH39"/>
    </row>
    <row r="40" spans="1:86" ht="12.75" customHeight="1">
      <c r="A40" s="105">
        <v>35</v>
      </c>
      <c r="B40" s="112" t="str">
        <v>12Y</v>
      </c>
      <c r="C40" s="465">
        <f>'eur disaggregated'!AF51</f>
        <v>75920.844615973387</v>
      </c>
      <c r="D40" s="111" t="str">
        <f t="shared" si="5"/>
        <v>144M</v>
      </c>
      <c r="E40" s="441">
        <f>IF(LEN(B40)&lt;4,$C$1,IF(OR(LEFT(B40,3)="DEC",LEFT(B40,3)="MAR",LEFT(B40,3)="JUN",LEFT(B40,3)="SEP"),INDEX(EurMkt!$F$15:$F$34,MATCH(B40,EurMkt!$H$15:$H$34,0)),F37))</f>
        <v>42696</v>
      </c>
      <c r="F40" s="441">
        <f>IF(AND(NOT(ISNA(MATCH(RIGHT(B40,2),$I$6:$I$67,0))),LEN(B40)&lt;6,RIGHT(B40,1)="M"), INDEX($K$6:$K$67, MATCH(RIGHT(B40,2),$I$6:$I$67,0)), IF(AND(NOT(ISNA(MATCH(RIGHT(B40,3),$I$6:$I$67,0))), LEN(B40)&gt;=6, RIGHT(B40,1)="M"), INDEX($K$6:$K$67, MATCH(RIGHT(B40,3),$I$6:$I$67,0)), _xll.qlCalendarAdvance(Calendar,E40,D40)))</f>
        <v>47079</v>
      </c>
      <c r="G40" s="462">
        <f t="shared" si="3"/>
        <v>7.2699999999999996E-3</v>
      </c>
      <c r="H40" s="453">
        <v>0.72699999999999998</v>
      </c>
      <c r="I40" s="107" t="str">
        <v>7Y</v>
      </c>
      <c r="J40" s="106" t="str">
        <f t="shared" si="0"/>
        <v>84M</v>
      </c>
      <c r="K40" s="448">
        <f>_xll.qlCalendarAdvance("TARGET",SettlementDate,J40)</f>
        <v>45252</v>
      </c>
      <c r="M40" s="99" t="str">
        <v>7Y</v>
      </c>
      <c r="N40" s="465">
        <v>43502.008095943733</v>
      </c>
      <c r="P40" s="106" t="b">
        <f t="shared" si="6"/>
        <v>0</v>
      </c>
      <c r="Q40" s="460">
        <f t="array" ref="Q40:CC40">C40*ForwardToZero(OisBuckets,E40,F40,G40)</f>
        <v>0</v>
      </c>
      <c r="R40" s="460">
        <v>0</v>
      </c>
      <c r="S40" s="460">
        <v>0</v>
      </c>
      <c r="T40" s="460">
        <v>0</v>
      </c>
      <c r="U40" s="460">
        <v>0</v>
      </c>
      <c r="V40" s="460">
        <v>0</v>
      </c>
      <c r="W40" s="460">
        <v>0</v>
      </c>
      <c r="X40" s="460">
        <v>0</v>
      </c>
      <c r="Y40" s="460">
        <v>0</v>
      </c>
      <c r="Z40" s="460">
        <v>0</v>
      </c>
      <c r="AA40" s="460">
        <v>0</v>
      </c>
      <c r="AB40" s="460">
        <v>0</v>
      </c>
      <c r="AC40" s="460">
        <v>0</v>
      </c>
      <c r="AD40" s="460">
        <v>0</v>
      </c>
      <c r="AE40" s="460">
        <v>0</v>
      </c>
      <c r="AF40" s="460">
        <v>0</v>
      </c>
      <c r="AG40" s="460">
        <v>0</v>
      </c>
      <c r="AH40" s="460">
        <v>0</v>
      </c>
      <c r="AI40" s="460">
        <v>0</v>
      </c>
      <c r="AJ40" s="460">
        <v>0</v>
      </c>
      <c r="AK40" s="460">
        <v>0</v>
      </c>
      <c r="AL40" s="460">
        <v>0</v>
      </c>
      <c r="AM40" s="460">
        <v>0</v>
      </c>
      <c r="AN40" s="460">
        <v>0</v>
      </c>
      <c r="AO40" s="460">
        <v>0</v>
      </c>
      <c r="AP40" s="460">
        <v>0</v>
      </c>
      <c r="AQ40" s="460">
        <v>0</v>
      </c>
      <c r="AR40" s="460">
        <v>0</v>
      </c>
      <c r="AS40" s="460">
        <v>0</v>
      </c>
      <c r="AT40" s="460">
        <v>0</v>
      </c>
      <c r="AU40" s="460">
        <v>0</v>
      </c>
      <c r="AV40" s="460">
        <v>0</v>
      </c>
      <c r="AW40" s="460">
        <v>0</v>
      </c>
      <c r="AX40" s="460">
        <v>0</v>
      </c>
      <c r="AY40" s="460">
        <v>0</v>
      </c>
      <c r="AZ40" s="460">
        <v>0</v>
      </c>
      <c r="BA40" s="460">
        <v>0</v>
      </c>
      <c r="BB40" s="460">
        <v>0</v>
      </c>
      <c r="BC40" s="460">
        <v>0</v>
      </c>
      <c r="BD40" s="460">
        <v>75920.844615973387</v>
      </c>
      <c r="BE40" s="460">
        <v>0</v>
      </c>
      <c r="BF40" s="460">
        <v>0</v>
      </c>
      <c r="BG40" s="460">
        <v>0</v>
      </c>
      <c r="BH40" s="460">
        <v>0</v>
      </c>
      <c r="BI40" s="460">
        <v>0</v>
      </c>
      <c r="BJ40" s="460">
        <v>0</v>
      </c>
      <c r="BK40" s="460">
        <v>0</v>
      </c>
      <c r="BL40" s="460">
        <v>0</v>
      </c>
      <c r="BM40" s="460">
        <v>0</v>
      </c>
      <c r="BN40" s="460">
        <v>0</v>
      </c>
      <c r="BO40" s="460">
        <v>0</v>
      </c>
      <c r="BP40" s="460">
        <v>0</v>
      </c>
      <c r="BQ40" s="460">
        <v>0</v>
      </c>
      <c r="BR40" s="460">
        <v>0</v>
      </c>
      <c r="BS40" s="460">
        <v>0</v>
      </c>
      <c r="BT40" s="460">
        <v>0</v>
      </c>
      <c r="BU40" s="460">
        <v>0</v>
      </c>
      <c r="BV40" s="460">
        <v>0</v>
      </c>
      <c r="BW40" s="460">
        <v>0</v>
      </c>
      <c r="BX40" s="460">
        <v>0</v>
      </c>
      <c r="BY40" s="460">
        <v>0</v>
      </c>
      <c r="BZ40" s="460">
        <v>0</v>
      </c>
      <c r="CA40" s="460" t="e">
        <v>#N/A</v>
      </c>
      <c r="CB40" s="460" t="e">
        <v>#N/A</v>
      </c>
      <c r="CC40" s="460" t="e">
        <v>#N/A</v>
      </c>
      <c r="CD40"/>
      <c r="CE40"/>
      <c r="CF40"/>
      <c r="CG40"/>
      <c r="CH40"/>
    </row>
    <row r="41" spans="1:86" ht="12.75" customHeight="1">
      <c r="A41" s="105">
        <v>36</v>
      </c>
      <c r="B41" s="112" t="str">
        <v>13Y</v>
      </c>
      <c r="C41" s="465">
        <f>'eur disaggregated'!AF52</f>
        <v>11758.04663208656</v>
      </c>
      <c r="D41" s="111" t="str">
        <f t="shared" si="5"/>
        <v>156M</v>
      </c>
      <c r="E41" s="441">
        <f>IF(LEN(B41)&lt;4,$C$1,IF(OR(LEFT(B41,3)="DEC",LEFT(B41,3)="MAR",LEFT(B41,3)="JUN",LEFT(B41,3)="SEP"),INDEX(EurMkt!$F$15:$F$34,MATCH(B41,EurMkt!$H$15:$H$34,0)),F38))</f>
        <v>42696</v>
      </c>
      <c r="F41" s="441">
        <f>IF(AND(NOT(ISNA(MATCH(RIGHT(B41,2),$I$6:$I$67,0))),LEN(B41)&lt;6,RIGHT(B41,1)="M"), INDEX($K$6:$K$67, MATCH(RIGHT(B41,2),$I$6:$I$67,0)), IF(AND(NOT(ISNA(MATCH(RIGHT(B41,3),$I$6:$I$67,0))), LEN(B41)&gt;=6, RIGHT(B41,1)="M"), INDEX($K$6:$K$67, MATCH(RIGHT(B41,3),$I$6:$I$67,0)), _xll.qlCalendarAdvance(Calendar,E41,D41)))</f>
        <v>47444</v>
      </c>
      <c r="G41" s="462">
        <f t="shared" si="3"/>
        <v>7.9907134900000006E-3</v>
      </c>
      <c r="H41" s="453">
        <v>0.79907134899999999</v>
      </c>
      <c r="I41" s="107" t="str">
        <v>8Y</v>
      </c>
      <c r="J41" s="106" t="str">
        <f t="shared" si="0"/>
        <v>96M</v>
      </c>
      <c r="K41" s="448">
        <f>_xll.qlCalendarAdvance("TARGET",SettlementDate,J41)</f>
        <v>45618</v>
      </c>
      <c r="M41" s="99" t="str">
        <v>8Y</v>
      </c>
      <c r="N41" s="465">
        <v>-5622.0789885126442</v>
      </c>
      <c r="P41" s="106" t="b">
        <f t="shared" si="6"/>
        <v>0</v>
      </c>
      <c r="Q41" s="460">
        <f t="array" ref="Q41:CC41">C41*ForwardToZero(OisBuckets,E41,F41,G41)</f>
        <v>0</v>
      </c>
      <c r="R41" s="460">
        <v>0</v>
      </c>
      <c r="S41" s="460">
        <v>0</v>
      </c>
      <c r="T41" s="460">
        <v>0</v>
      </c>
      <c r="U41" s="460">
        <v>0</v>
      </c>
      <c r="V41" s="460">
        <v>0</v>
      </c>
      <c r="W41" s="460">
        <v>0</v>
      </c>
      <c r="X41" s="460">
        <v>0</v>
      </c>
      <c r="Y41" s="460">
        <v>0</v>
      </c>
      <c r="Z41" s="460">
        <v>0</v>
      </c>
      <c r="AA41" s="460">
        <v>0</v>
      </c>
      <c r="AB41" s="460">
        <v>0</v>
      </c>
      <c r="AC41" s="460">
        <v>0</v>
      </c>
      <c r="AD41" s="460">
        <v>0</v>
      </c>
      <c r="AE41" s="460">
        <v>0</v>
      </c>
      <c r="AF41" s="460">
        <v>0</v>
      </c>
      <c r="AG41" s="460">
        <v>0</v>
      </c>
      <c r="AH41" s="460">
        <v>0</v>
      </c>
      <c r="AI41" s="460">
        <v>0</v>
      </c>
      <c r="AJ41" s="460">
        <v>0</v>
      </c>
      <c r="AK41" s="460">
        <v>0</v>
      </c>
      <c r="AL41" s="460">
        <v>0</v>
      </c>
      <c r="AM41" s="460">
        <v>0</v>
      </c>
      <c r="AN41" s="460">
        <v>0</v>
      </c>
      <c r="AO41" s="460">
        <v>0</v>
      </c>
      <c r="AP41" s="460">
        <v>0</v>
      </c>
      <c r="AQ41" s="460">
        <v>0</v>
      </c>
      <c r="AR41" s="460">
        <v>0</v>
      </c>
      <c r="AS41" s="460">
        <v>0</v>
      </c>
      <c r="AT41" s="460">
        <v>0</v>
      </c>
      <c r="AU41" s="460">
        <v>0</v>
      </c>
      <c r="AV41" s="460">
        <v>0</v>
      </c>
      <c r="AW41" s="460">
        <v>0</v>
      </c>
      <c r="AX41" s="460">
        <v>0</v>
      </c>
      <c r="AY41" s="460">
        <v>0</v>
      </c>
      <c r="AZ41" s="460">
        <v>0</v>
      </c>
      <c r="BA41" s="460">
        <v>0</v>
      </c>
      <c r="BB41" s="460">
        <v>0</v>
      </c>
      <c r="BC41" s="460">
        <v>0</v>
      </c>
      <c r="BD41" s="460">
        <v>0</v>
      </c>
      <c r="BE41" s="460">
        <v>11758.04663208656</v>
      </c>
      <c r="BF41" s="460">
        <v>0</v>
      </c>
      <c r="BG41" s="460">
        <v>0</v>
      </c>
      <c r="BH41" s="460">
        <v>0</v>
      </c>
      <c r="BI41" s="460">
        <v>0</v>
      </c>
      <c r="BJ41" s="460">
        <v>0</v>
      </c>
      <c r="BK41" s="460">
        <v>0</v>
      </c>
      <c r="BL41" s="460">
        <v>0</v>
      </c>
      <c r="BM41" s="460">
        <v>0</v>
      </c>
      <c r="BN41" s="460">
        <v>0</v>
      </c>
      <c r="BO41" s="460">
        <v>0</v>
      </c>
      <c r="BP41" s="460">
        <v>0</v>
      </c>
      <c r="BQ41" s="460">
        <v>0</v>
      </c>
      <c r="BR41" s="460">
        <v>0</v>
      </c>
      <c r="BS41" s="460">
        <v>0</v>
      </c>
      <c r="BT41" s="460">
        <v>0</v>
      </c>
      <c r="BU41" s="460">
        <v>0</v>
      </c>
      <c r="BV41" s="460">
        <v>0</v>
      </c>
      <c r="BW41" s="460">
        <v>0</v>
      </c>
      <c r="BX41" s="460">
        <v>0</v>
      </c>
      <c r="BY41" s="460">
        <v>0</v>
      </c>
      <c r="BZ41" s="460">
        <v>0</v>
      </c>
      <c r="CA41" s="460" t="e">
        <v>#N/A</v>
      </c>
      <c r="CB41" s="460" t="e">
        <v>#N/A</v>
      </c>
      <c r="CC41" s="460" t="e">
        <v>#N/A</v>
      </c>
      <c r="CD41"/>
      <c r="CE41"/>
      <c r="CF41"/>
      <c r="CG41"/>
      <c r="CH41"/>
    </row>
    <row r="42" spans="1:86" ht="12.75" customHeight="1">
      <c r="A42" s="105">
        <v>37</v>
      </c>
      <c r="B42" s="112" t="str">
        <v>14Y</v>
      </c>
      <c r="C42" s="465">
        <f>'eur disaggregated'!AF53</f>
        <v>112963.52475813151</v>
      </c>
      <c r="D42" s="111" t="str">
        <f t="shared" si="5"/>
        <v>168M</v>
      </c>
      <c r="E42" s="441">
        <f>IF(LEN(B42)&lt;4,$C$1,IF(OR(LEFT(B42,3)="DEC",LEFT(B42,3)="MAR",LEFT(B42,3)="JUN",LEFT(B42,3)="SEP"),INDEX(EurMkt!$F$15:$F$34,MATCH(B42,EurMkt!$H$15:$H$34,0)),F39))</f>
        <v>42696</v>
      </c>
      <c r="F42" s="441">
        <f>IF(AND(NOT(ISNA(MATCH(RIGHT(B42,2),$I$6:$I$67,0))),LEN(B42)&lt;6,RIGHT(B42,1)="M"), INDEX($K$6:$K$67, MATCH(RIGHT(B42,2),$I$6:$I$67,0)), IF(AND(NOT(ISNA(MATCH(RIGHT(B42,3),$I$6:$I$67,0))), LEN(B42)&gt;=6, RIGHT(B42,1)="M"), INDEX($K$6:$K$67, MATCH(RIGHT(B42,3),$I$6:$I$67,0)), _xll.qlCalendarAdvance(Calendar,E42,D42)))</f>
        <v>47809</v>
      </c>
      <c r="G42" s="462">
        <f t="shared" si="3"/>
        <v>8.6122129699999998E-3</v>
      </c>
      <c r="H42" s="453">
        <v>0.86122129700000005</v>
      </c>
      <c r="I42" s="107" t="str">
        <v>9Y</v>
      </c>
      <c r="J42" s="106" t="str">
        <f t="shared" si="0"/>
        <v>108M</v>
      </c>
      <c r="K42" s="448">
        <f>_xll.qlCalendarAdvance("TARGET",SettlementDate,J42)</f>
        <v>45985</v>
      </c>
      <c r="M42" s="99" t="str">
        <v>9Y</v>
      </c>
      <c r="N42" s="465">
        <v>16174.181851809135</v>
      </c>
      <c r="P42" s="106" t="b">
        <f t="shared" si="6"/>
        <v>0</v>
      </c>
      <c r="Q42" s="460">
        <f t="array" ref="Q42:CC42">C42*ForwardToZero(OisBuckets,E42,F42,G42)</f>
        <v>0</v>
      </c>
      <c r="R42" s="460">
        <v>0</v>
      </c>
      <c r="S42" s="460">
        <v>0</v>
      </c>
      <c r="T42" s="460">
        <v>0</v>
      </c>
      <c r="U42" s="460">
        <v>0</v>
      </c>
      <c r="V42" s="460">
        <v>0</v>
      </c>
      <c r="W42" s="460">
        <v>0</v>
      </c>
      <c r="X42" s="460">
        <v>0</v>
      </c>
      <c r="Y42" s="460">
        <v>0</v>
      </c>
      <c r="Z42" s="460">
        <v>0</v>
      </c>
      <c r="AA42" s="460">
        <v>0</v>
      </c>
      <c r="AB42" s="460">
        <v>0</v>
      </c>
      <c r="AC42" s="460">
        <v>0</v>
      </c>
      <c r="AD42" s="460">
        <v>0</v>
      </c>
      <c r="AE42" s="460">
        <v>0</v>
      </c>
      <c r="AF42" s="460">
        <v>0</v>
      </c>
      <c r="AG42" s="460">
        <v>0</v>
      </c>
      <c r="AH42" s="460">
        <v>0</v>
      </c>
      <c r="AI42" s="460">
        <v>0</v>
      </c>
      <c r="AJ42" s="460">
        <v>0</v>
      </c>
      <c r="AK42" s="460">
        <v>0</v>
      </c>
      <c r="AL42" s="460">
        <v>0</v>
      </c>
      <c r="AM42" s="460">
        <v>0</v>
      </c>
      <c r="AN42" s="460">
        <v>0</v>
      </c>
      <c r="AO42" s="460">
        <v>0</v>
      </c>
      <c r="AP42" s="460">
        <v>0</v>
      </c>
      <c r="AQ42" s="460">
        <v>0</v>
      </c>
      <c r="AR42" s="460">
        <v>0</v>
      </c>
      <c r="AS42" s="460">
        <v>0</v>
      </c>
      <c r="AT42" s="460">
        <v>0</v>
      </c>
      <c r="AU42" s="460">
        <v>0</v>
      </c>
      <c r="AV42" s="460">
        <v>0</v>
      </c>
      <c r="AW42" s="460">
        <v>0</v>
      </c>
      <c r="AX42" s="460">
        <v>0</v>
      </c>
      <c r="AY42" s="460">
        <v>0</v>
      </c>
      <c r="AZ42" s="460">
        <v>0</v>
      </c>
      <c r="BA42" s="460">
        <v>0</v>
      </c>
      <c r="BB42" s="460">
        <v>0</v>
      </c>
      <c r="BC42" s="460">
        <v>0</v>
      </c>
      <c r="BD42" s="460">
        <v>0</v>
      </c>
      <c r="BE42" s="460">
        <v>0</v>
      </c>
      <c r="BF42" s="460">
        <v>112963.52475813151</v>
      </c>
      <c r="BG42" s="460">
        <v>0</v>
      </c>
      <c r="BH42" s="460">
        <v>0</v>
      </c>
      <c r="BI42" s="460">
        <v>0</v>
      </c>
      <c r="BJ42" s="460">
        <v>0</v>
      </c>
      <c r="BK42" s="460">
        <v>0</v>
      </c>
      <c r="BL42" s="460">
        <v>0</v>
      </c>
      <c r="BM42" s="460">
        <v>0</v>
      </c>
      <c r="BN42" s="460">
        <v>0</v>
      </c>
      <c r="BO42" s="460">
        <v>0</v>
      </c>
      <c r="BP42" s="460">
        <v>0</v>
      </c>
      <c r="BQ42" s="460">
        <v>0</v>
      </c>
      <c r="BR42" s="460">
        <v>0</v>
      </c>
      <c r="BS42" s="460">
        <v>0</v>
      </c>
      <c r="BT42" s="460">
        <v>0</v>
      </c>
      <c r="BU42" s="460">
        <v>0</v>
      </c>
      <c r="BV42" s="460">
        <v>0</v>
      </c>
      <c r="BW42" s="460">
        <v>0</v>
      </c>
      <c r="BX42" s="460">
        <v>0</v>
      </c>
      <c r="BY42" s="460">
        <v>0</v>
      </c>
      <c r="BZ42" s="460">
        <v>0</v>
      </c>
      <c r="CA42" s="460" t="e">
        <v>#N/A</v>
      </c>
      <c r="CB42" s="460" t="e">
        <v>#N/A</v>
      </c>
      <c r="CC42" s="460" t="e">
        <v>#N/A</v>
      </c>
      <c r="CD42"/>
      <c r="CE42"/>
      <c r="CF42"/>
      <c r="CG42"/>
      <c r="CH42"/>
    </row>
    <row r="43" spans="1:86" ht="12.75" customHeight="1">
      <c r="A43" s="105">
        <v>38</v>
      </c>
      <c r="B43" s="112" t="str">
        <v>15Y</v>
      </c>
      <c r="C43" s="465">
        <f>'eur disaggregated'!AF54</f>
        <v>21232.37227698823</v>
      </c>
      <c r="D43" s="111" t="str">
        <f t="shared" si="5"/>
        <v>180M</v>
      </c>
      <c r="E43" s="441">
        <f>IF(LEN(B43)&lt;4,$C$1,IF(OR(LEFT(B43,3)="DEC",LEFT(B43,3)="MAR",LEFT(B43,3)="JUN",LEFT(B43,3)="SEP"),INDEX(EurMkt!$F$15:$F$34,MATCH(B43,EurMkt!$H$15:$H$34,0)),F40))</f>
        <v>42696</v>
      </c>
      <c r="F43" s="441">
        <f>IF(AND(NOT(ISNA(MATCH(RIGHT(B43,2),$I$6:$I$67,0))),LEN(B43)&lt;6,RIGHT(B43,1)="M"), INDEX($K$6:$K$67, MATCH(RIGHT(B43,2),$I$6:$I$67,0)), IF(AND(NOT(ISNA(MATCH(RIGHT(B43,3),$I$6:$I$67,0))), LEN(B43)&gt;=6, RIGHT(B43,1)="M"), INDEX($K$6:$K$67, MATCH(RIGHT(B43,3),$I$6:$I$67,0)), _xll.qlCalendarAdvance(Calendar,E43,D43)))</f>
        <v>48176</v>
      </c>
      <c r="G43" s="462">
        <f t="shared" si="3"/>
        <v>9.1400000000000006E-3</v>
      </c>
      <c r="H43" s="453">
        <v>0.91400000000000003</v>
      </c>
      <c r="I43" s="107" t="str">
        <v>10Y</v>
      </c>
      <c r="J43" s="106" t="str">
        <f t="shared" si="0"/>
        <v>120M</v>
      </c>
      <c r="K43" s="448">
        <f>_xll.qlCalendarAdvance("TARGET",SettlementDate,J43)</f>
        <v>46349</v>
      </c>
      <c r="M43" s="99" t="str">
        <v>10Y</v>
      </c>
      <c r="N43" s="465">
        <v>-106806.44328098278</v>
      </c>
      <c r="P43" s="106" t="b">
        <f t="shared" si="6"/>
        <v>0</v>
      </c>
      <c r="Q43" s="460">
        <f t="array" ref="Q43:CC43">C43*ForwardToZero(OisBuckets,E43,F43,G43)</f>
        <v>0</v>
      </c>
      <c r="R43" s="460">
        <v>0</v>
      </c>
      <c r="S43" s="460">
        <v>0</v>
      </c>
      <c r="T43" s="460">
        <v>0</v>
      </c>
      <c r="U43" s="460">
        <v>0</v>
      </c>
      <c r="V43" s="460">
        <v>0</v>
      </c>
      <c r="W43" s="460">
        <v>0</v>
      </c>
      <c r="X43" s="460">
        <v>0</v>
      </c>
      <c r="Y43" s="460">
        <v>0</v>
      </c>
      <c r="Z43" s="460">
        <v>0</v>
      </c>
      <c r="AA43" s="460">
        <v>0</v>
      </c>
      <c r="AB43" s="460">
        <v>0</v>
      </c>
      <c r="AC43" s="460">
        <v>0</v>
      </c>
      <c r="AD43" s="460">
        <v>0</v>
      </c>
      <c r="AE43" s="460">
        <v>0</v>
      </c>
      <c r="AF43" s="460">
        <v>0</v>
      </c>
      <c r="AG43" s="460">
        <v>0</v>
      </c>
      <c r="AH43" s="460">
        <v>0</v>
      </c>
      <c r="AI43" s="460">
        <v>0</v>
      </c>
      <c r="AJ43" s="460">
        <v>0</v>
      </c>
      <c r="AK43" s="460">
        <v>0</v>
      </c>
      <c r="AL43" s="460">
        <v>0</v>
      </c>
      <c r="AM43" s="460">
        <v>0</v>
      </c>
      <c r="AN43" s="460">
        <v>0</v>
      </c>
      <c r="AO43" s="460">
        <v>0</v>
      </c>
      <c r="AP43" s="460">
        <v>0</v>
      </c>
      <c r="AQ43" s="460">
        <v>0</v>
      </c>
      <c r="AR43" s="460">
        <v>0</v>
      </c>
      <c r="AS43" s="460">
        <v>0</v>
      </c>
      <c r="AT43" s="460">
        <v>0</v>
      </c>
      <c r="AU43" s="460">
        <v>0</v>
      </c>
      <c r="AV43" s="460">
        <v>0</v>
      </c>
      <c r="AW43" s="460">
        <v>0</v>
      </c>
      <c r="AX43" s="460">
        <v>0</v>
      </c>
      <c r="AY43" s="460">
        <v>0</v>
      </c>
      <c r="AZ43" s="460">
        <v>0</v>
      </c>
      <c r="BA43" s="460">
        <v>0</v>
      </c>
      <c r="BB43" s="460">
        <v>0</v>
      </c>
      <c r="BC43" s="460">
        <v>0</v>
      </c>
      <c r="BD43" s="460">
        <v>0</v>
      </c>
      <c r="BE43" s="460">
        <v>0</v>
      </c>
      <c r="BF43" s="460">
        <v>0</v>
      </c>
      <c r="BG43" s="460">
        <v>21232.37227698823</v>
      </c>
      <c r="BH43" s="460">
        <v>0</v>
      </c>
      <c r="BI43" s="460">
        <v>0</v>
      </c>
      <c r="BJ43" s="460">
        <v>0</v>
      </c>
      <c r="BK43" s="460">
        <v>0</v>
      </c>
      <c r="BL43" s="460">
        <v>0</v>
      </c>
      <c r="BM43" s="460">
        <v>0</v>
      </c>
      <c r="BN43" s="460">
        <v>0</v>
      </c>
      <c r="BO43" s="460">
        <v>0</v>
      </c>
      <c r="BP43" s="460">
        <v>0</v>
      </c>
      <c r="BQ43" s="460">
        <v>0</v>
      </c>
      <c r="BR43" s="460">
        <v>0</v>
      </c>
      <c r="BS43" s="460">
        <v>0</v>
      </c>
      <c r="BT43" s="460">
        <v>0</v>
      </c>
      <c r="BU43" s="460">
        <v>0</v>
      </c>
      <c r="BV43" s="460">
        <v>0</v>
      </c>
      <c r="BW43" s="460">
        <v>0</v>
      </c>
      <c r="BX43" s="460">
        <v>0</v>
      </c>
      <c r="BY43" s="460">
        <v>0</v>
      </c>
      <c r="BZ43" s="460">
        <v>0</v>
      </c>
      <c r="CA43" s="460" t="e">
        <v>#N/A</v>
      </c>
      <c r="CB43" s="460" t="e">
        <v>#N/A</v>
      </c>
      <c r="CC43" s="460" t="e">
        <v>#N/A</v>
      </c>
      <c r="CD43"/>
      <c r="CE43"/>
      <c r="CF43"/>
      <c r="CG43"/>
      <c r="CH43"/>
    </row>
    <row r="44" spans="1:86" ht="12.75" customHeight="1">
      <c r="A44" s="105">
        <v>39</v>
      </c>
      <c r="B44" s="112" t="str">
        <v>16Y</v>
      </c>
      <c r="C44" s="465">
        <f>'eur disaggregated'!AF55</f>
        <v>-94228.207470641617</v>
      </c>
      <c r="D44" s="111" t="str">
        <f t="shared" si="5"/>
        <v>192M</v>
      </c>
      <c r="E44" s="441">
        <f>IF(LEN(B44)&lt;4,$C$1,IF(OR(LEFT(B44,3)="DEC",LEFT(B44,3)="MAR",LEFT(B44,3)="JUN",LEFT(B44,3)="SEP"),INDEX(EurMkt!$F$15:$F$34,MATCH(B44,EurMkt!$H$15:$H$34,0)),F41))</f>
        <v>42696</v>
      </c>
      <c r="F44" s="441">
        <f>IF(AND(NOT(ISNA(MATCH(RIGHT(B44,2),$I$6:$I$67,0))),LEN(B44)&lt;6,RIGHT(B44,1)="M"), INDEX($K$6:$K$67, MATCH(RIGHT(B44,2),$I$6:$I$67,0)), IF(AND(NOT(ISNA(MATCH(RIGHT(B44,3),$I$6:$I$67,0))), LEN(B44)&gt;=6, RIGHT(B44,1)="M"), INDEX($K$6:$K$67, MATCH(RIGHT(B44,3),$I$6:$I$67,0)), _xll.qlCalendarAdvance(Calendar,E44,D44)))</f>
        <v>48540</v>
      </c>
      <c r="G44" s="462">
        <f t="shared" si="3"/>
        <v>9.5701836800000002E-3</v>
      </c>
      <c r="H44" s="453">
        <v>0.95701836799999995</v>
      </c>
      <c r="I44" s="107" t="str">
        <v>11Y</v>
      </c>
      <c r="J44" s="106" t="str">
        <f t="shared" si="0"/>
        <v>132M</v>
      </c>
      <c r="K44" s="448">
        <f>_xll.qlCalendarAdvance("TARGET",SettlementDate,J44)</f>
        <v>46713</v>
      </c>
      <c r="M44" s="99" t="str">
        <v>11Y</v>
      </c>
      <c r="N44" s="465">
        <v>-73078.716066506764</v>
      </c>
      <c r="P44" s="106" t="b">
        <f t="shared" si="6"/>
        <v>0</v>
      </c>
      <c r="Q44" s="460">
        <f t="array" ref="Q44:CC44">C44*ForwardToZero(OisBuckets,E44,F44,G44)</f>
        <v>0</v>
      </c>
      <c r="R44" s="460">
        <v>0</v>
      </c>
      <c r="S44" s="460">
        <v>0</v>
      </c>
      <c r="T44" s="460">
        <v>0</v>
      </c>
      <c r="U44" s="460">
        <v>0</v>
      </c>
      <c r="V44" s="460">
        <v>0</v>
      </c>
      <c r="W44" s="460">
        <v>0</v>
      </c>
      <c r="X44" s="460">
        <v>0</v>
      </c>
      <c r="Y44" s="460">
        <v>0</v>
      </c>
      <c r="Z44" s="460">
        <v>0</v>
      </c>
      <c r="AA44" s="460">
        <v>0</v>
      </c>
      <c r="AB44" s="460">
        <v>0</v>
      </c>
      <c r="AC44" s="460">
        <v>0</v>
      </c>
      <c r="AD44" s="460">
        <v>0</v>
      </c>
      <c r="AE44" s="460">
        <v>0</v>
      </c>
      <c r="AF44" s="460">
        <v>0</v>
      </c>
      <c r="AG44" s="460">
        <v>0</v>
      </c>
      <c r="AH44" s="460">
        <v>0</v>
      </c>
      <c r="AI44" s="460">
        <v>0</v>
      </c>
      <c r="AJ44" s="460">
        <v>0</v>
      </c>
      <c r="AK44" s="460">
        <v>0</v>
      </c>
      <c r="AL44" s="460">
        <v>0</v>
      </c>
      <c r="AM44" s="460">
        <v>0</v>
      </c>
      <c r="AN44" s="460">
        <v>0</v>
      </c>
      <c r="AO44" s="460">
        <v>0</v>
      </c>
      <c r="AP44" s="460">
        <v>0</v>
      </c>
      <c r="AQ44" s="460">
        <v>0</v>
      </c>
      <c r="AR44" s="460">
        <v>0</v>
      </c>
      <c r="AS44" s="460">
        <v>0</v>
      </c>
      <c r="AT44" s="460">
        <v>0</v>
      </c>
      <c r="AU44" s="460">
        <v>0</v>
      </c>
      <c r="AV44" s="460">
        <v>0</v>
      </c>
      <c r="AW44" s="460">
        <v>0</v>
      </c>
      <c r="AX44" s="460">
        <v>0</v>
      </c>
      <c r="AY44" s="460">
        <v>0</v>
      </c>
      <c r="AZ44" s="460">
        <v>0</v>
      </c>
      <c r="BA44" s="460">
        <v>0</v>
      </c>
      <c r="BB44" s="460">
        <v>0</v>
      </c>
      <c r="BC44" s="460">
        <v>0</v>
      </c>
      <c r="BD44" s="460">
        <v>0</v>
      </c>
      <c r="BE44" s="460">
        <v>0</v>
      </c>
      <c r="BF44" s="460">
        <v>0</v>
      </c>
      <c r="BG44" s="460">
        <v>0</v>
      </c>
      <c r="BH44" s="460">
        <v>-94228.207470641617</v>
      </c>
      <c r="BI44" s="460">
        <v>0</v>
      </c>
      <c r="BJ44" s="460">
        <v>0</v>
      </c>
      <c r="BK44" s="460">
        <v>0</v>
      </c>
      <c r="BL44" s="460">
        <v>0</v>
      </c>
      <c r="BM44" s="460">
        <v>0</v>
      </c>
      <c r="BN44" s="460">
        <v>0</v>
      </c>
      <c r="BO44" s="460">
        <v>0</v>
      </c>
      <c r="BP44" s="460">
        <v>0</v>
      </c>
      <c r="BQ44" s="460">
        <v>0</v>
      </c>
      <c r="BR44" s="460">
        <v>0</v>
      </c>
      <c r="BS44" s="460">
        <v>0</v>
      </c>
      <c r="BT44" s="460">
        <v>0</v>
      </c>
      <c r="BU44" s="460">
        <v>0</v>
      </c>
      <c r="BV44" s="460">
        <v>0</v>
      </c>
      <c r="BW44" s="460">
        <v>0</v>
      </c>
      <c r="BX44" s="460">
        <v>0</v>
      </c>
      <c r="BY44" s="460">
        <v>0</v>
      </c>
      <c r="BZ44" s="460">
        <v>0</v>
      </c>
      <c r="CA44" s="460" t="e">
        <v>#N/A</v>
      </c>
      <c r="CB44" s="460" t="e">
        <v>#N/A</v>
      </c>
      <c r="CC44" s="460" t="e">
        <v>#N/A</v>
      </c>
      <c r="CD44"/>
      <c r="CE44"/>
      <c r="CF44"/>
      <c r="CG44"/>
      <c r="CH44"/>
    </row>
    <row r="45" spans="1:86" ht="12.75" customHeight="1">
      <c r="A45" s="105">
        <v>40</v>
      </c>
      <c r="B45" s="112" t="str">
        <v>17Y</v>
      </c>
      <c r="C45" s="465">
        <f>'eur disaggregated'!AF56</f>
        <v>6137.8514244770167</v>
      </c>
      <c r="D45" s="111" t="str">
        <f t="shared" si="5"/>
        <v>204M</v>
      </c>
      <c r="E45" s="441">
        <f>IF(LEN(B45)&lt;4,$C$1,IF(OR(LEFT(B45,3)="DEC",LEFT(B45,3)="MAR",LEFT(B45,3)="JUN",LEFT(B45,3)="SEP"),INDEX(EurMkt!$F$15:$F$34,MATCH(B45,EurMkt!$H$15:$H$34,0)),F42))</f>
        <v>42696</v>
      </c>
      <c r="F45" s="441">
        <f>IF(AND(NOT(ISNA(MATCH(RIGHT(B45,2),$I$6:$I$67,0))),LEN(B45)&lt;6,RIGHT(B45,1)="M"), INDEX($K$6:$K$67, MATCH(RIGHT(B45,2),$I$6:$I$67,0)), IF(AND(NOT(ISNA(MATCH(RIGHT(B45,3),$I$6:$I$67,0))), LEN(B45)&gt;=6, RIGHT(B45,1)="M"), INDEX($K$6:$K$67, MATCH(RIGHT(B45,3),$I$6:$I$67,0)), _xll.qlCalendarAdvance(Calendar,E45,D45)))</f>
        <v>48905</v>
      </c>
      <c r="G45" s="462">
        <f t="shared" si="3"/>
        <v>9.937512229999999E-3</v>
      </c>
      <c r="H45" s="453">
        <v>0.99375122299999996</v>
      </c>
      <c r="I45" s="107" t="str">
        <v>12Y</v>
      </c>
      <c r="J45" s="106" t="str">
        <f t="shared" si="0"/>
        <v>144M</v>
      </c>
      <c r="K45" s="448">
        <f>_xll.qlCalendarAdvance("TARGET",SettlementDate,J45)</f>
        <v>47079</v>
      </c>
      <c r="M45" s="99" t="str">
        <v>12Y</v>
      </c>
      <c r="N45" s="465">
        <v>75920.844615973387</v>
      </c>
      <c r="P45" s="106" t="b">
        <f t="shared" si="6"/>
        <v>0</v>
      </c>
      <c r="Q45" s="460">
        <f t="array" ref="Q45:CC45">C45*ForwardToZero(OisBuckets,E45,F45,G45)</f>
        <v>0</v>
      </c>
      <c r="R45" s="460">
        <v>0</v>
      </c>
      <c r="S45" s="460">
        <v>0</v>
      </c>
      <c r="T45" s="460">
        <v>0</v>
      </c>
      <c r="U45" s="460">
        <v>0</v>
      </c>
      <c r="V45" s="460">
        <v>0</v>
      </c>
      <c r="W45" s="460">
        <v>0</v>
      </c>
      <c r="X45" s="460">
        <v>0</v>
      </c>
      <c r="Y45" s="460">
        <v>0</v>
      </c>
      <c r="Z45" s="460">
        <v>0</v>
      </c>
      <c r="AA45" s="460">
        <v>0</v>
      </c>
      <c r="AB45" s="460">
        <v>0</v>
      </c>
      <c r="AC45" s="460">
        <v>0</v>
      </c>
      <c r="AD45" s="460">
        <v>0</v>
      </c>
      <c r="AE45" s="460">
        <v>0</v>
      </c>
      <c r="AF45" s="460">
        <v>0</v>
      </c>
      <c r="AG45" s="460">
        <v>0</v>
      </c>
      <c r="AH45" s="460">
        <v>0</v>
      </c>
      <c r="AI45" s="460">
        <v>0</v>
      </c>
      <c r="AJ45" s="460">
        <v>0</v>
      </c>
      <c r="AK45" s="460">
        <v>0</v>
      </c>
      <c r="AL45" s="460">
        <v>0</v>
      </c>
      <c r="AM45" s="460">
        <v>0</v>
      </c>
      <c r="AN45" s="460">
        <v>0</v>
      </c>
      <c r="AO45" s="460">
        <v>0</v>
      </c>
      <c r="AP45" s="460">
        <v>0</v>
      </c>
      <c r="AQ45" s="460">
        <v>0</v>
      </c>
      <c r="AR45" s="460">
        <v>0</v>
      </c>
      <c r="AS45" s="460">
        <v>0</v>
      </c>
      <c r="AT45" s="460">
        <v>0</v>
      </c>
      <c r="AU45" s="460">
        <v>0</v>
      </c>
      <c r="AV45" s="460">
        <v>0</v>
      </c>
      <c r="AW45" s="460">
        <v>0</v>
      </c>
      <c r="AX45" s="460">
        <v>0</v>
      </c>
      <c r="AY45" s="460">
        <v>0</v>
      </c>
      <c r="AZ45" s="460">
        <v>0</v>
      </c>
      <c r="BA45" s="460">
        <v>0</v>
      </c>
      <c r="BB45" s="460">
        <v>0</v>
      </c>
      <c r="BC45" s="460">
        <v>0</v>
      </c>
      <c r="BD45" s="460">
        <v>0</v>
      </c>
      <c r="BE45" s="460">
        <v>0</v>
      </c>
      <c r="BF45" s="460">
        <v>0</v>
      </c>
      <c r="BG45" s="460">
        <v>0</v>
      </c>
      <c r="BH45" s="460">
        <v>0</v>
      </c>
      <c r="BI45" s="460">
        <v>6137.8514244770167</v>
      </c>
      <c r="BJ45" s="460">
        <v>0</v>
      </c>
      <c r="BK45" s="460">
        <v>0</v>
      </c>
      <c r="BL45" s="460">
        <v>0</v>
      </c>
      <c r="BM45" s="460">
        <v>0</v>
      </c>
      <c r="BN45" s="460">
        <v>0</v>
      </c>
      <c r="BO45" s="460">
        <v>0</v>
      </c>
      <c r="BP45" s="460">
        <v>0</v>
      </c>
      <c r="BQ45" s="460">
        <v>0</v>
      </c>
      <c r="BR45" s="460">
        <v>0</v>
      </c>
      <c r="BS45" s="460">
        <v>0</v>
      </c>
      <c r="BT45" s="460">
        <v>0</v>
      </c>
      <c r="BU45" s="460">
        <v>0</v>
      </c>
      <c r="BV45" s="460">
        <v>0</v>
      </c>
      <c r="BW45" s="460">
        <v>0</v>
      </c>
      <c r="BX45" s="460">
        <v>0</v>
      </c>
      <c r="BY45" s="460">
        <v>0</v>
      </c>
      <c r="BZ45" s="460">
        <v>0</v>
      </c>
      <c r="CA45" s="460" t="e">
        <v>#N/A</v>
      </c>
      <c r="CB45" s="460" t="e">
        <v>#N/A</v>
      </c>
      <c r="CC45" s="460" t="e">
        <v>#N/A</v>
      </c>
      <c r="CD45"/>
      <c r="CE45"/>
      <c r="CF45"/>
      <c r="CG45"/>
      <c r="CH45"/>
    </row>
    <row r="46" spans="1:86" ht="12.75" customHeight="1">
      <c r="A46" s="105">
        <v>41</v>
      </c>
      <c r="B46" s="112" t="str">
        <v>18Y</v>
      </c>
      <c r="C46" s="465">
        <f>'eur disaggregated'!AF57</f>
        <v>6998.5151630048294</v>
      </c>
      <c r="D46" s="111" t="str">
        <f t="shared" si="5"/>
        <v>216M</v>
      </c>
      <c r="E46" s="441">
        <f>IF(LEN(B46)&lt;4,$C$1,IF(OR(LEFT(B46,3)="DEC",LEFT(B46,3)="MAR",LEFT(B46,3)="JUN",LEFT(B46,3)="SEP"),INDEX(EurMkt!$F$15:$F$34,MATCH(B46,EurMkt!$H$15:$H$34,0)),F43))</f>
        <v>42696</v>
      </c>
      <c r="F46" s="441">
        <f>IF(AND(NOT(ISNA(MATCH(RIGHT(B46,2),$I$6:$I$67,0))),LEN(B46)&lt;6,RIGHT(B46,1)="M"), INDEX($K$6:$K$67, MATCH(RIGHT(B46,2),$I$6:$I$67,0)), IF(AND(NOT(ISNA(MATCH(RIGHT(B46,3),$I$6:$I$67,0))), LEN(B46)&gt;=6, RIGHT(B46,1)="M"), INDEX($K$6:$K$67, MATCH(RIGHT(B46,3),$I$6:$I$67,0)), _xll.qlCalendarAdvance(Calendar,E46,D46)))</f>
        <v>49270</v>
      </c>
      <c r="G46" s="462">
        <f t="shared" si="3"/>
        <v>1.0227258139999999E-2</v>
      </c>
      <c r="H46" s="453">
        <v>1.022725814</v>
      </c>
      <c r="I46" s="107" t="str">
        <v>13Y</v>
      </c>
      <c r="J46" s="106" t="str">
        <f t="shared" si="0"/>
        <v>156M</v>
      </c>
      <c r="K46" s="448">
        <f>_xll.qlCalendarAdvance("TARGET",SettlementDate,J46)</f>
        <v>47444</v>
      </c>
      <c r="M46" s="99" t="str">
        <v>13Y</v>
      </c>
      <c r="N46" s="465">
        <v>11758.04663208656</v>
      </c>
      <c r="P46" s="106" t="b">
        <f t="shared" si="6"/>
        <v>0</v>
      </c>
      <c r="Q46" s="460">
        <f t="array" ref="Q46:CC46">C46*ForwardToZero(OisBuckets,E46,F46,G46)</f>
        <v>0</v>
      </c>
      <c r="R46" s="460">
        <v>0</v>
      </c>
      <c r="S46" s="460">
        <v>0</v>
      </c>
      <c r="T46" s="460">
        <v>0</v>
      </c>
      <c r="U46" s="460">
        <v>0</v>
      </c>
      <c r="V46" s="460">
        <v>0</v>
      </c>
      <c r="W46" s="460">
        <v>0</v>
      </c>
      <c r="X46" s="460">
        <v>0</v>
      </c>
      <c r="Y46" s="460">
        <v>0</v>
      </c>
      <c r="Z46" s="460">
        <v>0</v>
      </c>
      <c r="AA46" s="460">
        <v>0</v>
      </c>
      <c r="AB46" s="460">
        <v>0</v>
      </c>
      <c r="AC46" s="460">
        <v>0</v>
      </c>
      <c r="AD46" s="460">
        <v>0</v>
      </c>
      <c r="AE46" s="460">
        <v>0</v>
      </c>
      <c r="AF46" s="460">
        <v>0</v>
      </c>
      <c r="AG46" s="460">
        <v>0</v>
      </c>
      <c r="AH46" s="460">
        <v>0</v>
      </c>
      <c r="AI46" s="460">
        <v>0</v>
      </c>
      <c r="AJ46" s="460">
        <v>0</v>
      </c>
      <c r="AK46" s="460">
        <v>0</v>
      </c>
      <c r="AL46" s="460">
        <v>0</v>
      </c>
      <c r="AM46" s="460">
        <v>0</v>
      </c>
      <c r="AN46" s="460">
        <v>0</v>
      </c>
      <c r="AO46" s="460">
        <v>0</v>
      </c>
      <c r="AP46" s="460">
        <v>0</v>
      </c>
      <c r="AQ46" s="460">
        <v>0</v>
      </c>
      <c r="AR46" s="460">
        <v>0</v>
      </c>
      <c r="AS46" s="460">
        <v>0</v>
      </c>
      <c r="AT46" s="460">
        <v>0</v>
      </c>
      <c r="AU46" s="460">
        <v>0</v>
      </c>
      <c r="AV46" s="460">
        <v>0</v>
      </c>
      <c r="AW46" s="460">
        <v>0</v>
      </c>
      <c r="AX46" s="460">
        <v>0</v>
      </c>
      <c r="AY46" s="460">
        <v>0</v>
      </c>
      <c r="AZ46" s="460">
        <v>0</v>
      </c>
      <c r="BA46" s="460">
        <v>0</v>
      </c>
      <c r="BB46" s="460">
        <v>0</v>
      </c>
      <c r="BC46" s="460">
        <v>0</v>
      </c>
      <c r="BD46" s="460">
        <v>0</v>
      </c>
      <c r="BE46" s="460">
        <v>0</v>
      </c>
      <c r="BF46" s="460">
        <v>0</v>
      </c>
      <c r="BG46" s="460">
        <v>0</v>
      </c>
      <c r="BH46" s="460">
        <v>0</v>
      </c>
      <c r="BI46" s="460">
        <v>0</v>
      </c>
      <c r="BJ46" s="460">
        <v>6998.5151630048294</v>
      </c>
      <c r="BK46" s="460">
        <v>0</v>
      </c>
      <c r="BL46" s="460">
        <v>0</v>
      </c>
      <c r="BM46" s="460">
        <v>0</v>
      </c>
      <c r="BN46" s="460">
        <v>0</v>
      </c>
      <c r="BO46" s="460">
        <v>0</v>
      </c>
      <c r="BP46" s="460">
        <v>0</v>
      </c>
      <c r="BQ46" s="460">
        <v>0</v>
      </c>
      <c r="BR46" s="460">
        <v>0</v>
      </c>
      <c r="BS46" s="460">
        <v>0</v>
      </c>
      <c r="BT46" s="460">
        <v>0</v>
      </c>
      <c r="BU46" s="460">
        <v>0</v>
      </c>
      <c r="BV46" s="460">
        <v>0</v>
      </c>
      <c r="BW46" s="460">
        <v>0</v>
      </c>
      <c r="BX46" s="460">
        <v>0</v>
      </c>
      <c r="BY46" s="460">
        <v>0</v>
      </c>
      <c r="BZ46" s="460">
        <v>0</v>
      </c>
      <c r="CA46" s="460" t="e">
        <v>#N/A</v>
      </c>
      <c r="CB46" s="460" t="e">
        <v>#N/A</v>
      </c>
      <c r="CC46" s="460" t="e">
        <v>#N/A</v>
      </c>
      <c r="CD46"/>
      <c r="CE46"/>
      <c r="CF46"/>
      <c r="CG46"/>
      <c r="CH46"/>
    </row>
    <row r="47" spans="1:86" ht="12.75" customHeight="1">
      <c r="A47" s="105">
        <v>42</v>
      </c>
      <c r="B47" s="112" t="str">
        <v>19Y</v>
      </c>
      <c r="C47" s="465">
        <f>'eur disaggregated'!AF58</f>
        <v>-25741.810586540814</v>
      </c>
      <c r="D47" s="111" t="str">
        <f t="shared" si="5"/>
        <v>228M</v>
      </c>
      <c r="E47" s="441">
        <f>IF(LEN(B47)&lt;4,$C$1,IF(OR(LEFT(B47,3)="DEC",LEFT(B47,3)="MAR",LEFT(B47,3)="JUN",LEFT(B47,3)="SEP"),INDEX(EurMkt!$F$15:$F$34,MATCH(B47,EurMkt!$H$15:$H$34,0)),F44))</f>
        <v>42696</v>
      </c>
      <c r="F47" s="441">
        <f>IF(AND(NOT(ISNA(MATCH(RIGHT(B47,2),$I$6:$I$67,0))),LEN(B47)&lt;6,RIGHT(B47,1)="M"), INDEX($K$6:$K$67, MATCH(RIGHT(B47,2),$I$6:$I$67,0)), IF(AND(NOT(ISNA(MATCH(RIGHT(B47,3),$I$6:$I$67,0))), LEN(B47)&gt;=6, RIGHT(B47,1)="M"), INDEX($K$6:$K$67, MATCH(RIGHT(B47,3),$I$6:$I$67,0)), _xll.qlCalendarAdvance(Calendar,E47,D47)))</f>
        <v>49635</v>
      </c>
      <c r="G47" s="462">
        <f t="shared" si="3"/>
        <v>1.0456524549999999E-2</v>
      </c>
      <c r="H47" s="453">
        <v>1.0456524549999999</v>
      </c>
      <c r="I47" s="107" t="str">
        <v>14Y</v>
      </c>
      <c r="J47" s="106" t="str">
        <f t="shared" si="0"/>
        <v>168M</v>
      </c>
      <c r="K47" s="448">
        <f>_xll.qlCalendarAdvance("TARGET",SettlementDate,J47)</f>
        <v>47809</v>
      </c>
      <c r="M47" s="99" t="str">
        <v>14Y</v>
      </c>
      <c r="N47" s="465">
        <v>112963.52475813151</v>
      </c>
      <c r="P47" s="106" t="b">
        <f t="shared" si="6"/>
        <v>0</v>
      </c>
      <c r="Q47" s="460">
        <f t="array" ref="Q47:CC47">C47*ForwardToZero(OisBuckets,E47,F47,G47)</f>
        <v>0</v>
      </c>
      <c r="R47" s="460">
        <v>0</v>
      </c>
      <c r="S47" s="460">
        <v>0</v>
      </c>
      <c r="T47" s="460">
        <v>0</v>
      </c>
      <c r="U47" s="460">
        <v>0</v>
      </c>
      <c r="V47" s="460">
        <v>0</v>
      </c>
      <c r="W47" s="460">
        <v>0</v>
      </c>
      <c r="X47" s="460">
        <v>0</v>
      </c>
      <c r="Y47" s="460">
        <v>0</v>
      </c>
      <c r="Z47" s="460">
        <v>0</v>
      </c>
      <c r="AA47" s="460">
        <v>0</v>
      </c>
      <c r="AB47" s="460">
        <v>0</v>
      </c>
      <c r="AC47" s="460">
        <v>0</v>
      </c>
      <c r="AD47" s="460">
        <v>0</v>
      </c>
      <c r="AE47" s="460">
        <v>0</v>
      </c>
      <c r="AF47" s="460">
        <v>0</v>
      </c>
      <c r="AG47" s="460">
        <v>0</v>
      </c>
      <c r="AH47" s="460">
        <v>0</v>
      </c>
      <c r="AI47" s="460">
        <v>0</v>
      </c>
      <c r="AJ47" s="460">
        <v>0</v>
      </c>
      <c r="AK47" s="460">
        <v>0</v>
      </c>
      <c r="AL47" s="460">
        <v>0</v>
      </c>
      <c r="AM47" s="460">
        <v>0</v>
      </c>
      <c r="AN47" s="460">
        <v>0</v>
      </c>
      <c r="AO47" s="460">
        <v>0</v>
      </c>
      <c r="AP47" s="460">
        <v>0</v>
      </c>
      <c r="AQ47" s="460">
        <v>0</v>
      </c>
      <c r="AR47" s="460">
        <v>0</v>
      </c>
      <c r="AS47" s="460">
        <v>0</v>
      </c>
      <c r="AT47" s="460">
        <v>0</v>
      </c>
      <c r="AU47" s="460">
        <v>0</v>
      </c>
      <c r="AV47" s="460">
        <v>0</v>
      </c>
      <c r="AW47" s="460">
        <v>0</v>
      </c>
      <c r="AX47" s="460">
        <v>0</v>
      </c>
      <c r="AY47" s="460">
        <v>0</v>
      </c>
      <c r="AZ47" s="460">
        <v>0</v>
      </c>
      <c r="BA47" s="460">
        <v>0</v>
      </c>
      <c r="BB47" s="460">
        <v>0</v>
      </c>
      <c r="BC47" s="460">
        <v>0</v>
      </c>
      <c r="BD47" s="460">
        <v>0</v>
      </c>
      <c r="BE47" s="460">
        <v>0</v>
      </c>
      <c r="BF47" s="460">
        <v>0</v>
      </c>
      <c r="BG47" s="460">
        <v>0</v>
      </c>
      <c r="BH47" s="460">
        <v>0</v>
      </c>
      <c r="BI47" s="460">
        <v>0</v>
      </c>
      <c r="BJ47" s="460">
        <v>0</v>
      </c>
      <c r="BK47" s="460">
        <v>-25741.810586540814</v>
      </c>
      <c r="BL47" s="460">
        <v>0</v>
      </c>
      <c r="BM47" s="460">
        <v>0</v>
      </c>
      <c r="BN47" s="460">
        <v>0</v>
      </c>
      <c r="BO47" s="460">
        <v>0</v>
      </c>
      <c r="BP47" s="460">
        <v>0</v>
      </c>
      <c r="BQ47" s="460">
        <v>0</v>
      </c>
      <c r="BR47" s="460">
        <v>0</v>
      </c>
      <c r="BS47" s="460">
        <v>0</v>
      </c>
      <c r="BT47" s="460">
        <v>0</v>
      </c>
      <c r="BU47" s="460">
        <v>0</v>
      </c>
      <c r="BV47" s="460">
        <v>0</v>
      </c>
      <c r="BW47" s="460">
        <v>0</v>
      </c>
      <c r="BX47" s="460">
        <v>0</v>
      </c>
      <c r="BY47" s="460">
        <v>0</v>
      </c>
      <c r="BZ47" s="460">
        <v>0</v>
      </c>
      <c r="CA47" s="460" t="e">
        <v>#N/A</v>
      </c>
      <c r="CB47" s="460" t="e">
        <v>#N/A</v>
      </c>
      <c r="CC47" s="460" t="e">
        <v>#N/A</v>
      </c>
      <c r="CD47"/>
      <c r="CE47"/>
      <c r="CF47"/>
      <c r="CG47"/>
      <c r="CH47"/>
    </row>
    <row r="48" spans="1:86" ht="12.75" customHeight="1">
      <c r="A48" s="105">
        <v>43</v>
      </c>
      <c r="B48" s="112" t="str">
        <v>20Y</v>
      </c>
      <c r="C48" s="465">
        <f>'eur disaggregated'!AF59</f>
        <v>-38805.89251101252</v>
      </c>
      <c r="D48" s="111" t="str">
        <f t="shared" si="5"/>
        <v>240M</v>
      </c>
      <c r="E48" s="441">
        <f>IF(LEN(B48)&lt;4,$C$1,IF(OR(LEFT(B48,3)="DEC",LEFT(B48,3)="MAR",LEFT(B48,3)="JUN",LEFT(B48,3)="SEP"),INDEX(EurMkt!$F$15:$F$34,MATCH(B48,EurMkt!$H$15:$H$34,0)),F45))</f>
        <v>42696</v>
      </c>
      <c r="F48" s="441">
        <f>IF(AND(NOT(ISNA(MATCH(RIGHT(B48,2),$I$6:$I$67,0))),LEN(B48)&lt;6,RIGHT(B48,1)="M"), INDEX($K$6:$K$67, MATCH(RIGHT(B48,2),$I$6:$I$67,0)), IF(AND(NOT(ISNA(MATCH(RIGHT(B48,3),$I$6:$I$67,0))), LEN(B48)&gt;=6, RIGHT(B48,1)="M"), INDEX($K$6:$K$67, MATCH(RIGHT(B48,3),$I$6:$I$67,0)), _xll.qlCalendarAdvance(Calendar,E48,D48)))</f>
        <v>50003</v>
      </c>
      <c r="G48" s="462">
        <f t="shared" si="3"/>
        <v>1.064E-2</v>
      </c>
      <c r="H48" s="453">
        <v>1.0640000000000001</v>
      </c>
      <c r="I48" s="107" t="str">
        <v>15Y</v>
      </c>
      <c r="J48" s="106" t="str">
        <f t="shared" si="0"/>
        <v>180M</v>
      </c>
      <c r="K48" s="448">
        <f>_xll.qlCalendarAdvance("TARGET",SettlementDate,J48)</f>
        <v>48176</v>
      </c>
      <c r="M48" s="99" t="str">
        <v>15Y</v>
      </c>
      <c r="N48" s="465">
        <v>21232.37227698823</v>
      </c>
      <c r="P48" s="106" t="b">
        <f t="shared" si="6"/>
        <v>0</v>
      </c>
      <c r="Q48" s="460">
        <f t="array" ref="Q48:CC48">C48*ForwardToZero(OisBuckets,E48,F48,G48)</f>
        <v>0</v>
      </c>
      <c r="R48" s="460">
        <v>0</v>
      </c>
      <c r="S48" s="460">
        <v>0</v>
      </c>
      <c r="T48" s="460">
        <v>0</v>
      </c>
      <c r="U48" s="460">
        <v>0</v>
      </c>
      <c r="V48" s="460">
        <v>0</v>
      </c>
      <c r="W48" s="460">
        <v>0</v>
      </c>
      <c r="X48" s="460">
        <v>0</v>
      </c>
      <c r="Y48" s="460">
        <v>0</v>
      </c>
      <c r="Z48" s="460">
        <v>0</v>
      </c>
      <c r="AA48" s="460">
        <v>0</v>
      </c>
      <c r="AB48" s="460">
        <v>0</v>
      </c>
      <c r="AC48" s="460">
        <v>0</v>
      </c>
      <c r="AD48" s="460">
        <v>0</v>
      </c>
      <c r="AE48" s="460">
        <v>0</v>
      </c>
      <c r="AF48" s="460">
        <v>0</v>
      </c>
      <c r="AG48" s="460">
        <v>0</v>
      </c>
      <c r="AH48" s="460">
        <v>0</v>
      </c>
      <c r="AI48" s="460">
        <v>0</v>
      </c>
      <c r="AJ48" s="460">
        <v>0</v>
      </c>
      <c r="AK48" s="460">
        <v>0</v>
      </c>
      <c r="AL48" s="460">
        <v>0</v>
      </c>
      <c r="AM48" s="460">
        <v>0</v>
      </c>
      <c r="AN48" s="460">
        <v>0</v>
      </c>
      <c r="AO48" s="460">
        <v>0</v>
      </c>
      <c r="AP48" s="460">
        <v>0</v>
      </c>
      <c r="AQ48" s="460">
        <v>0</v>
      </c>
      <c r="AR48" s="460">
        <v>0</v>
      </c>
      <c r="AS48" s="460">
        <v>0</v>
      </c>
      <c r="AT48" s="460">
        <v>0</v>
      </c>
      <c r="AU48" s="460">
        <v>0</v>
      </c>
      <c r="AV48" s="460">
        <v>0</v>
      </c>
      <c r="AW48" s="460">
        <v>0</v>
      </c>
      <c r="AX48" s="460">
        <v>0</v>
      </c>
      <c r="AY48" s="460">
        <v>0</v>
      </c>
      <c r="AZ48" s="460">
        <v>0</v>
      </c>
      <c r="BA48" s="460">
        <v>0</v>
      </c>
      <c r="BB48" s="460">
        <v>0</v>
      </c>
      <c r="BC48" s="460">
        <v>0</v>
      </c>
      <c r="BD48" s="460">
        <v>0</v>
      </c>
      <c r="BE48" s="460">
        <v>0</v>
      </c>
      <c r="BF48" s="460">
        <v>0</v>
      </c>
      <c r="BG48" s="460">
        <v>0</v>
      </c>
      <c r="BH48" s="460">
        <v>0</v>
      </c>
      <c r="BI48" s="460">
        <v>0</v>
      </c>
      <c r="BJ48" s="460">
        <v>0</v>
      </c>
      <c r="BK48" s="460">
        <v>0</v>
      </c>
      <c r="BL48" s="460">
        <v>-38805.89251101252</v>
      </c>
      <c r="BM48" s="460">
        <v>0</v>
      </c>
      <c r="BN48" s="460">
        <v>0</v>
      </c>
      <c r="BO48" s="460">
        <v>0</v>
      </c>
      <c r="BP48" s="460">
        <v>0</v>
      </c>
      <c r="BQ48" s="460">
        <v>0</v>
      </c>
      <c r="BR48" s="460">
        <v>0</v>
      </c>
      <c r="BS48" s="460">
        <v>0</v>
      </c>
      <c r="BT48" s="460">
        <v>0</v>
      </c>
      <c r="BU48" s="460">
        <v>0</v>
      </c>
      <c r="BV48" s="460">
        <v>0</v>
      </c>
      <c r="BW48" s="460">
        <v>0</v>
      </c>
      <c r="BX48" s="460">
        <v>0</v>
      </c>
      <c r="BY48" s="460">
        <v>0</v>
      </c>
      <c r="BZ48" s="460">
        <v>0</v>
      </c>
      <c r="CA48" s="460" t="e">
        <v>#N/A</v>
      </c>
      <c r="CB48" s="460" t="e">
        <v>#N/A</v>
      </c>
      <c r="CC48" s="460" t="e">
        <v>#N/A</v>
      </c>
      <c r="CD48"/>
      <c r="CE48"/>
      <c r="CF48"/>
      <c r="CG48"/>
      <c r="CH48"/>
    </row>
    <row r="49" spans="1:86" ht="12.75" customHeight="1">
      <c r="A49" s="105">
        <v>44</v>
      </c>
      <c r="B49" s="112" t="str">
        <v>21Y</v>
      </c>
      <c r="C49" s="465">
        <f>'eur disaggregated'!AF60</f>
        <v>162661.97488842628</v>
      </c>
      <c r="D49" s="111" t="str">
        <f t="shared" si="5"/>
        <v>252M</v>
      </c>
      <c r="E49" s="441">
        <f>IF(LEN(B49)&lt;4,$C$1,IF(OR(LEFT(B49,3)="DEC",LEFT(B49,3)="MAR",LEFT(B49,3)="JUN",LEFT(B49,3)="SEP"),INDEX(EurMkt!$F$15:$F$34,MATCH(B49,EurMkt!$H$15:$H$34,0)),F46))</f>
        <v>42696</v>
      </c>
      <c r="F49" s="441">
        <f>IF(AND(NOT(ISNA(MATCH(RIGHT(B49,2),$I$6:$I$67,0))),LEN(B49)&lt;6,RIGHT(B49,1)="M"), INDEX($K$6:$K$67, MATCH(RIGHT(B49,2),$I$6:$I$67,0)), IF(AND(NOT(ISNA(MATCH(RIGHT(B49,3),$I$6:$I$67,0))), LEN(B49)&gt;=6, RIGHT(B49,1)="M"), INDEX($K$6:$K$67, MATCH(RIGHT(B49,3),$I$6:$I$67,0)), _xll.qlCalendarAdvance(Calendar,E49,D49)))</f>
        <v>50367</v>
      </c>
      <c r="G49" s="462">
        <f t="shared" si="3"/>
        <v>1.078394989E-2</v>
      </c>
      <c r="H49" s="453">
        <v>1.078394989</v>
      </c>
      <c r="I49" s="107" t="str">
        <v>16Y</v>
      </c>
      <c r="J49" s="106" t="str">
        <f t="shared" si="0"/>
        <v>192M</v>
      </c>
      <c r="K49" s="448">
        <f>_xll.qlCalendarAdvance("TARGET",SettlementDate,J49)</f>
        <v>48540</v>
      </c>
      <c r="M49" s="99" t="str">
        <v>16Y</v>
      </c>
      <c r="N49" s="465">
        <v>-94228.207470641617</v>
      </c>
      <c r="P49" s="106" t="b">
        <f t="shared" si="6"/>
        <v>0</v>
      </c>
      <c r="Q49" s="460">
        <f t="array" ref="Q49:CC49">C49*ForwardToZero(OisBuckets,E49,F49,G49)</f>
        <v>0</v>
      </c>
      <c r="R49" s="460">
        <v>0</v>
      </c>
      <c r="S49" s="460">
        <v>0</v>
      </c>
      <c r="T49" s="460">
        <v>0</v>
      </c>
      <c r="U49" s="460">
        <v>0</v>
      </c>
      <c r="V49" s="460">
        <v>0</v>
      </c>
      <c r="W49" s="460">
        <v>0</v>
      </c>
      <c r="X49" s="460">
        <v>0</v>
      </c>
      <c r="Y49" s="460">
        <v>0</v>
      </c>
      <c r="Z49" s="460">
        <v>0</v>
      </c>
      <c r="AA49" s="460">
        <v>0</v>
      </c>
      <c r="AB49" s="460">
        <v>0</v>
      </c>
      <c r="AC49" s="460">
        <v>0</v>
      </c>
      <c r="AD49" s="460">
        <v>0</v>
      </c>
      <c r="AE49" s="460">
        <v>0</v>
      </c>
      <c r="AF49" s="460">
        <v>0</v>
      </c>
      <c r="AG49" s="460">
        <v>0</v>
      </c>
      <c r="AH49" s="460">
        <v>0</v>
      </c>
      <c r="AI49" s="460">
        <v>0</v>
      </c>
      <c r="AJ49" s="460">
        <v>0</v>
      </c>
      <c r="AK49" s="460">
        <v>0</v>
      </c>
      <c r="AL49" s="460">
        <v>0</v>
      </c>
      <c r="AM49" s="460">
        <v>0</v>
      </c>
      <c r="AN49" s="460">
        <v>0</v>
      </c>
      <c r="AO49" s="460">
        <v>0</v>
      </c>
      <c r="AP49" s="460">
        <v>0</v>
      </c>
      <c r="AQ49" s="460">
        <v>0</v>
      </c>
      <c r="AR49" s="460">
        <v>0</v>
      </c>
      <c r="AS49" s="460">
        <v>0</v>
      </c>
      <c r="AT49" s="460">
        <v>0</v>
      </c>
      <c r="AU49" s="460">
        <v>0</v>
      </c>
      <c r="AV49" s="460">
        <v>0</v>
      </c>
      <c r="AW49" s="460">
        <v>0</v>
      </c>
      <c r="AX49" s="460">
        <v>0</v>
      </c>
      <c r="AY49" s="460">
        <v>0</v>
      </c>
      <c r="AZ49" s="460">
        <v>0</v>
      </c>
      <c r="BA49" s="460">
        <v>0</v>
      </c>
      <c r="BB49" s="460">
        <v>0</v>
      </c>
      <c r="BC49" s="460">
        <v>0</v>
      </c>
      <c r="BD49" s="460">
        <v>0</v>
      </c>
      <c r="BE49" s="460">
        <v>0</v>
      </c>
      <c r="BF49" s="460">
        <v>0</v>
      </c>
      <c r="BG49" s="460">
        <v>0</v>
      </c>
      <c r="BH49" s="460">
        <v>0</v>
      </c>
      <c r="BI49" s="460">
        <v>0</v>
      </c>
      <c r="BJ49" s="460">
        <v>0</v>
      </c>
      <c r="BK49" s="460">
        <v>0</v>
      </c>
      <c r="BL49" s="460">
        <v>0</v>
      </c>
      <c r="BM49" s="460">
        <v>162661.97488842628</v>
      </c>
      <c r="BN49" s="460">
        <v>0</v>
      </c>
      <c r="BO49" s="460">
        <v>0</v>
      </c>
      <c r="BP49" s="460">
        <v>0</v>
      </c>
      <c r="BQ49" s="460">
        <v>0</v>
      </c>
      <c r="BR49" s="460">
        <v>0</v>
      </c>
      <c r="BS49" s="460">
        <v>0</v>
      </c>
      <c r="BT49" s="460">
        <v>0</v>
      </c>
      <c r="BU49" s="460">
        <v>0</v>
      </c>
      <c r="BV49" s="460">
        <v>0</v>
      </c>
      <c r="BW49" s="460">
        <v>0</v>
      </c>
      <c r="BX49" s="460">
        <v>0</v>
      </c>
      <c r="BY49" s="460">
        <v>0</v>
      </c>
      <c r="BZ49" s="460">
        <v>0</v>
      </c>
      <c r="CA49" s="460" t="e">
        <v>#N/A</v>
      </c>
      <c r="CB49" s="460" t="e">
        <v>#N/A</v>
      </c>
      <c r="CC49" s="460" t="e">
        <v>#N/A</v>
      </c>
      <c r="CD49"/>
      <c r="CE49"/>
      <c r="CF49"/>
      <c r="CG49"/>
      <c r="CH49"/>
    </row>
    <row r="50" spans="1:86" ht="12.75" customHeight="1">
      <c r="A50" s="105">
        <v>45</v>
      </c>
      <c r="B50" s="112" t="str">
        <v>22Y</v>
      </c>
      <c r="C50" s="465">
        <f>'eur disaggregated'!AF61</f>
        <v>-63254.678319152554</v>
      </c>
      <c r="D50" s="111" t="str">
        <f t="shared" si="5"/>
        <v>264M</v>
      </c>
      <c r="E50" s="441">
        <f>IF(LEN(B50)&lt;4,$C$1,IF(OR(LEFT(B50,3)="DEC",LEFT(B50,3)="MAR",LEFT(B50,3)="JUN",LEFT(B50,3)="SEP"),INDEX(EurMkt!$F$15:$F$34,MATCH(B50,EurMkt!$H$15:$H$34,0)),F47))</f>
        <v>42696</v>
      </c>
      <c r="F50" s="441">
        <f>IF(AND(NOT(ISNA(MATCH(RIGHT(B50,2),$I$6:$I$67,0))),LEN(B50)&lt;6,RIGHT(B50,1)="M"), INDEX($K$6:$K$67, MATCH(RIGHT(B50,2),$I$6:$I$67,0)), IF(AND(NOT(ISNA(MATCH(RIGHT(B50,3),$I$6:$I$67,0))), LEN(B50)&gt;=6, RIGHT(B50,1)="M"), INDEX($K$6:$K$67, MATCH(RIGHT(B50,3),$I$6:$I$67,0)), _xll.qlCalendarAdvance(Calendar,E50,D50)))</f>
        <v>50731</v>
      </c>
      <c r="G50" s="462">
        <f t="shared" si="3"/>
        <v>1.0896655030000001E-2</v>
      </c>
      <c r="H50" s="453">
        <v>1.089665503</v>
      </c>
      <c r="I50" s="107" t="str">
        <v>17Y</v>
      </c>
      <c r="J50" s="106" t="str">
        <f t="shared" si="0"/>
        <v>204M</v>
      </c>
      <c r="K50" s="448">
        <f>_xll.qlCalendarAdvance("TARGET",SettlementDate,J50)</f>
        <v>48905</v>
      </c>
      <c r="M50" s="99" t="str">
        <v>17Y</v>
      </c>
      <c r="N50" s="465">
        <v>6137.8514244770167</v>
      </c>
      <c r="P50" s="106" t="b">
        <f t="shared" si="6"/>
        <v>0</v>
      </c>
      <c r="Q50" s="460">
        <f t="array" ref="Q50:CC50">C50*ForwardToZero(OisBuckets,E50,F50,G50)</f>
        <v>0</v>
      </c>
      <c r="R50" s="460">
        <v>0</v>
      </c>
      <c r="S50" s="460">
        <v>0</v>
      </c>
      <c r="T50" s="460">
        <v>0</v>
      </c>
      <c r="U50" s="460">
        <v>0</v>
      </c>
      <c r="V50" s="460">
        <v>0</v>
      </c>
      <c r="W50" s="460">
        <v>0</v>
      </c>
      <c r="X50" s="460">
        <v>0</v>
      </c>
      <c r="Y50" s="460">
        <v>0</v>
      </c>
      <c r="Z50" s="460">
        <v>0</v>
      </c>
      <c r="AA50" s="460">
        <v>0</v>
      </c>
      <c r="AB50" s="460">
        <v>0</v>
      </c>
      <c r="AC50" s="460">
        <v>0</v>
      </c>
      <c r="AD50" s="460">
        <v>0</v>
      </c>
      <c r="AE50" s="460">
        <v>0</v>
      </c>
      <c r="AF50" s="460">
        <v>0</v>
      </c>
      <c r="AG50" s="460">
        <v>0</v>
      </c>
      <c r="AH50" s="460">
        <v>0</v>
      </c>
      <c r="AI50" s="460">
        <v>0</v>
      </c>
      <c r="AJ50" s="460">
        <v>0</v>
      </c>
      <c r="AK50" s="460">
        <v>0</v>
      </c>
      <c r="AL50" s="460">
        <v>0</v>
      </c>
      <c r="AM50" s="460">
        <v>0</v>
      </c>
      <c r="AN50" s="460">
        <v>0</v>
      </c>
      <c r="AO50" s="460">
        <v>0</v>
      </c>
      <c r="AP50" s="460">
        <v>0</v>
      </c>
      <c r="AQ50" s="460">
        <v>0</v>
      </c>
      <c r="AR50" s="460">
        <v>0</v>
      </c>
      <c r="AS50" s="460">
        <v>0</v>
      </c>
      <c r="AT50" s="460">
        <v>0</v>
      </c>
      <c r="AU50" s="460">
        <v>0</v>
      </c>
      <c r="AV50" s="460">
        <v>0</v>
      </c>
      <c r="AW50" s="460">
        <v>0</v>
      </c>
      <c r="AX50" s="460">
        <v>0</v>
      </c>
      <c r="AY50" s="460">
        <v>0</v>
      </c>
      <c r="AZ50" s="460">
        <v>0</v>
      </c>
      <c r="BA50" s="460">
        <v>0</v>
      </c>
      <c r="BB50" s="460">
        <v>0</v>
      </c>
      <c r="BC50" s="460">
        <v>0</v>
      </c>
      <c r="BD50" s="460">
        <v>0</v>
      </c>
      <c r="BE50" s="460">
        <v>0</v>
      </c>
      <c r="BF50" s="460">
        <v>0</v>
      </c>
      <c r="BG50" s="460">
        <v>0</v>
      </c>
      <c r="BH50" s="460">
        <v>0</v>
      </c>
      <c r="BI50" s="460">
        <v>0</v>
      </c>
      <c r="BJ50" s="460">
        <v>0</v>
      </c>
      <c r="BK50" s="460">
        <v>0</v>
      </c>
      <c r="BL50" s="460">
        <v>0</v>
      </c>
      <c r="BM50" s="460">
        <v>0</v>
      </c>
      <c r="BN50" s="460">
        <v>-63254.678319152554</v>
      </c>
      <c r="BO50" s="460">
        <v>0</v>
      </c>
      <c r="BP50" s="460">
        <v>0</v>
      </c>
      <c r="BQ50" s="460">
        <v>0</v>
      </c>
      <c r="BR50" s="460">
        <v>0</v>
      </c>
      <c r="BS50" s="460">
        <v>0</v>
      </c>
      <c r="BT50" s="460">
        <v>0</v>
      </c>
      <c r="BU50" s="460">
        <v>0</v>
      </c>
      <c r="BV50" s="460">
        <v>0</v>
      </c>
      <c r="BW50" s="460">
        <v>0</v>
      </c>
      <c r="BX50" s="460">
        <v>0</v>
      </c>
      <c r="BY50" s="460">
        <v>0</v>
      </c>
      <c r="BZ50" s="460">
        <v>0</v>
      </c>
      <c r="CA50" s="460" t="e">
        <v>#N/A</v>
      </c>
      <c r="CB50" s="460" t="e">
        <v>#N/A</v>
      </c>
      <c r="CC50" s="460" t="e">
        <v>#N/A</v>
      </c>
      <c r="CD50"/>
      <c r="CE50"/>
      <c r="CF50"/>
      <c r="CG50"/>
      <c r="CH50"/>
    </row>
    <row r="51" spans="1:86" ht="12.75" customHeight="1">
      <c r="A51" s="105">
        <v>46</v>
      </c>
      <c r="B51" s="112" t="str">
        <v>23Y</v>
      </c>
      <c r="C51" s="465">
        <f>'eur disaggregated'!AF62</f>
        <v>-33379.295047568361</v>
      </c>
      <c r="D51" s="111" t="str">
        <f t="shared" si="5"/>
        <v>276M</v>
      </c>
      <c r="E51" s="441">
        <f>IF(LEN(B51)&lt;4,$C$1,IF(OR(LEFT(B51,3)="DEC",LEFT(B51,3)="MAR",LEFT(B51,3)="JUN",LEFT(B51,3)="SEP"),INDEX(EurMkt!$F$15:$F$34,MATCH(B51,EurMkt!$H$15:$H$34,0)),F48))</f>
        <v>42696</v>
      </c>
      <c r="F51" s="441">
        <f>IF(AND(NOT(ISNA(MATCH(RIGHT(B51,2),$I$6:$I$67,0))),LEN(B51)&lt;6,RIGHT(B51,1)="M"), INDEX($K$6:$K$67, MATCH(RIGHT(B51,2),$I$6:$I$67,0)), IF(AND(NOT(ISNA(MATCH(RIGHT(B51,3),$I$6:$I$67,0))), LEN(B51)&gt;=6, RIGHT(B51,1)="M"), INDEX($K$6:$K$67, MATCH(RIGHT(B51,3),$I$6:$I$67,0)), _xll.qlCalendarAdvance(Calendar,E51,D51)))</f>
        <v>51096</v>
      </c>
      <c r="G51" s="462">
        <f t="shared" si="3"/>
        <v>1.0984324050000001E-2</v>
      </c>
      <c r="H51" s="453">
        <v>1.0984324050000001</v>
      </c>
      <c r="I51" s="107" t="str">
        <v>18Y</v>
      </c>
      <c r="J51" s="106" t="str">
        <f t="shared" si="0"/>
        <v>216M</v>
      </c>
      <c r="K51" s="448">
        <f>_xll.qlCalendarAdvance("TARGET",SettlementDate,J51)</f>
        <v>49270</v>
      </c>
      <c r="M51" s="99" t="str">
        <v>18Y</v>
      </c>
      <c r="N51" s="465">
        <v>6998.5151630048294</v>
      </c>
      <c r="P51" s="106" t="b">
        <f t="shared" si="6"/>
        <v>0</v>
      </c>
      <c r="Q51" s="460">
        <f t="array" ref="Q51:CC51">C51*ForwardToZero(OisBuckets,E51,F51,G51)</f>
        <v>0</v>
      </c>
      <c r="R51" s="460">
        <v>0</v>
      </c>
      <c r="S51" s="460">
        <v>0</v>
      </c>
      <c r="T51" s="460">
        <v>0</v>
      </c>
      <c r="U51" s="460">
        <v>0</v>
      </c>
      <c r="V51" s="460">
        <v>0</v>
      </c>
      <c r="W51" s="460">
        <v>0</v>
      </c>
      <c r="X51" s="460">
        <v>0</v>
      </c>
      <c r="Y51" s="460">
        <v>0</v>
      </c>
      <c r="Z51" s="460">
        <v>0</v>
      </c>
      <c r="AA51" s="460">
        <v>0</v>
      </c>
      <c r="AB51" s="460">
        <v>0</v>
      </c>
      <c r="AC51" s="460">
        <v>0</v>
      </c>
      <c r="AD51" s="460">
        <v>0</v>
      </c>
      <c r="AE51" s="460">
        <v>0</v>
      </c>
      <c r="AF51" s="460">
        <v>0</v>
      </c>
      <c r="AG51" s="460">
        <v>0</v>
      </c>
      <c r="AH51" s="460">
        <v>0</v>
      </c>
      <c r="AI51" s="460">
        <v>0</v>
      </c>
      <c r="AJ51" s="460">
        <v>0</v>
      </c>
      <c r="AK51" s="460">
        <v>0</v>
      </c>
      <c r="AL51" s="460">
        <v>0</v>
      </c>
      <c r="AM51" s="460">
        <v>0</v>
      </c>
      <c r="AN51" s="460">
        <v>0</v>
      </c>
      <c r="AO51" s="460">
        <v>0</v>
      </c>
      <c r="AP51" s="460">
        <v>0</v>
      </c>
      <c r="AQ51" s="460">
        <v>0</v>
      </c>
      <c r="AR51" s="460">
        <v>0</v>
      </c>
      <c r="AS51" s="460">
        <v>0</v>
      </c>
      <c r="AT51" s="460">
        <v>0</v>
      </c>
      <c r="AU51" s="460">
        <v>0</v>
      </c>
      <c r="AV51" s="460">
        <v>0</v>
      </c>
      <c r="AW51" s="460">
        <v>0</v>
      </c>
      <c r="AX51" s="460">
        <v>0</v>
      </c>
      <c r="AY51" s="460">
        <v>0</v>
      </c>
      <c r="AZ51" s="460">
        <v>0</v>
      </c>
      <c r="BA51" s="460">
        <v>0</v>
      </c>
      <c r="BB51" s="460">
        <v>0</v>
      </c>
      <c r="BC51" s="460">
        <v>0</v>
      </c>
      <c r="BD51" s="460">
        <v>0</v>
      </c>
      <c r="BE51" s="460">
        <v>0</v>
      </c>
      <c r="BF51" s="460">
        <v>0</v>
      </c>
      <c r="BG51" s="460">
        <v>0</v>
      </c>
      <c r="BH51" s="460">
        <v>0</v>
      </c>
      <c r="BI51" s="460">
        <v>0</v>
      </c>
      <c r="BJ51" s="460">
        <v>0</v>
      </c>
      <c r="BK51" s="460">
        <v>0</v>
      </c>
      <c r="BL51" s="460">
        <v>0</v>
      </c>
      <c r="BM51" s="460">
        <v>0</v>
      </c>
      <c r="BN51" s="460">
        <v>0</v>
      </c>
      <c r="BO51" s="460">
        <v>-33379.295047568361</v>
      </c>
      <c r="BP51" s="460">
        <v>0</v>
      </c>
      <c r="BQ51" s="460">
        <v>0</v>
      </c>
      <c r="BR51" s="460">
        <v>0</v>
      </c>
      <c r="BS51" s="460">
        <v>0</v>
      </c>
      <c r="BT51" s="460">
        <v>0</v>
      </c>
      <c r="BU51" s="460">
        <v>0</v>
      </c>
      <c r="BV51" s="460">
        <v>0</v>
      </c>
      <c r="BW51" s="460">
        <v>0</v>
      </c>
      <c r="BX51" s="460">
        <v>0</v>
      </c>
      <c r="BY51" s="460">
        <v>0</v>
      </c>
      <c r="BZ51" s="460">
        <v>0</v>
      </c>
      <c r="CA51" s="460" t="e">
        <v>#N/A</v>
      </c>
      <c r="CB51" s="460" t="e">
        <v>#N/A</v>
      </c>
      <c r="CC51" s="460" t="e">
        <v>#N/A</v>
      </c>
      <c r="CD51"/>
      <c r="CE51"/>
      <c r="CF51"/>
      <c r="CG51"/>
      <c r="CH51"/>
    </row>
    <row r="52" spans="1:86" ht="12.75" customHeight="1">
      <c r="A52" s="105">
        <v>47</v>
      </c>
      <c r="B52" s="112" t="str">
        <v>24Y</v>
      </c>
      <c r="C52" s="465">
        <f>'eur disaggregated'!AF63</f>
        <v>-324.65922462980041</v>
      </c>
      <c r="D52" s="111" t="str">
        <f t="shared" si="5"/>
        <v>288M</v>
      </c>
      <c r="E52" s="441">
        <f>IF(LEN(B52)&lt;4,$C$1,IF(OR(LEFT(B52,3)="DEC",LEFT(B52,3)="MAR",LEFT(B52,3)="JUN",LEFT(B52,3)="SEP"),INDEX(EurMkt!$F$15:$F$34,MATCH(B52,EurMkt!$H$15:$H$34,0)),F49))</f>
        <v>42696</v>
      </c>
      <c r="F52" s="441">
        <f>IF(AND(NOT(ISNA(MATCH(RIGHT(B52,2),$I$6:$I$67,0))),LEN(B52)&lt;6,RIGHT(B52,1)="M"), INDEX($K$6:$K$67, MATCH(RIGHT(B52,2),$I$6:$I$67,0)), IF(AND(NOT(ISNA(MATCH(RIGHT(B52,3),$I$6:$I$67,0))), LEN(B52)&gt;=6, RIGHT(B52,1)="M"), INDEX($K$6:$K$67, MATCH(RIGHT(B52,3),$I$6:$I$67,0)), _xll.qlCalendarAdvance(Calendar,E52,D52)))</f>
        <v>51462</v>
      </c>
      <c r="G52" s="462">
        <f t="shared" si="3"/>
        <v>1.1054453959999998E-2</v>
      </c>
      <c r="H52" s="453">
        <v>1.1054453959999999</v>
      </c>
      <c r="I52" s="107" t="str">
        <v>19Y</v>
      </c>
      <c r="J52" s="106" t="str">
        <f t="shared" si="0"/>
        <v>228M</v>
      </c>
      <c r="K52" s="448">
        <f>_xll.qlCalendarAdvance("TARGET",SettlementDate,J52)</f>
        <v>49635</v>
      </c>
      <c r="M52" s="99" t="str">
        <v>19Y</v>
      </c>
      <c r="N52" s="465">
        <v>-25741.810586540814</v>
      </c>
      <c r="P52" s="106" t="b">
        <f t="shared" si="6"/>
        <v>0</v>
      </c>
      <c r="Q52" s="460">
        <f t="array" ref="Q52:CC52">C52*ForwardToZero(OisBuckets,E52,F52,G52)</f>
        <v>0</v>
      </c>
      <c r="R52" s="460">
        <v>0</v>
      </c>
      <c r="S52" s="460">
        <v>0</v>
      </c>
      <c r="T52" s="460">
        <v>0</v>
      </c>
      <c r="U52" s="460">
        <v>0</v>
      </c>
      <c r="V52" s="460">
        <v>0</v>
      </c>
      <c r="W52" s="460">
        <v>0</v>
      </c>
      <c r="X52" s="460">
        <v>0</v>
      </c>
      <c r="Y52" s="460">
        <v>0</v>
      </c>
      <c r="Z52" s="460">
        <v>0</v>
      </c>
      <c r="AA52" s="460">
        <v>0</v>
      </c>
      <c r="AB52" s="460">
        <v>0</v>
      </c>
      <c r="AC52" s="460">
        <v>0</v>
      </c>
      <c r="AD52" s="460">
        <v>0</v>
      </c>
      <c r="AE52" s="460">
        <v>0</v>
      </c>
      <c r="AF52" s="460">
        <v>0</v>
      </c>
      <c r="AG52" s="460">
        <v>0</v>
      </c>
      <c r="AH52" s="460">
        <v>0</v>
      </c>
      <c r="AI52" s="460">
        <v>0</v>
      </c>
      <c r="AJ52" s="460">
        <v>0</v>
      </c>
      <c r="AK52" s="460">
        <v>0</v>
      </c>
      <c r="AL52" s="460">
        <v>0</v>
      </c>
      <c r="AM52" s="460">
        <v>0</v>
      </c>
      <c r="AN52" s="460">
        <v>0</v>
      </c>
      <c r="AO52" s="460">
        <v>0</v>
      </c>
      <c r="AP52" s="460">
        <v>0</v>
      </c>
      <c r="AQ52" s="460">
        <v>0</v>
      </c>
      <c r="AR52" s="460">
        <v>0</v>
      </c>
      <c r="AS52" s="460">
        <v>0</v>
      </c>
      <c r="AT52" s="460">
        <v>0</v>
      </c>
      <c r="AU52" s="460">
        <v>0</v>
      </c>
      <c r="AV52" s="460">
        <v>0</v>
      </c>
      <c r="AW52" s="460">
        <v>0</v>
      </c>
      <c r="AX52" s="460">
        <v>0</v>
      </c>
      <c r="AY52" s="460">
        <v>0</v>
      </c>
      <c r="AZ52" s="460">
        <v>0</v>
      </c>
      <c r="BA52" s="460">
        <v>0</v>
      </c>
      <c r="BB52" s="460">
        <v>0</v>
      </c>
      <c r="BC52" s="460">
        <v>0</v>
      </c>
      <c r="BD52" s="460">
        <v>0</v>
      </c>
      <c r="BE52" s="460">
        <v>0</v>
      </c>
      <c r="BF52" s="460">
        <v>0</v>
      </c>
      <c r="BG52" s="460">
        <v>0</v>
      </c>
      <c r="BH52" s="460">
        <v>0</v>
      </c>
      <c r="BI52" s="460">
        <v>0</v>
      </c>
      <c r="BJ52" s="460">
        <v>0</v>
      </c>
      <c r="BK52" s="460">
        <v>0</v>
      </c>
      <c r="BL52" s="460">
        <v>0</v>
      </c>
      <c r="BM52" s="460">
        <v>0</v>
      </c>
      <c r="BN52" s="460">
        <v>0</v>
      </c>
      <c r="BO52" s="460">
        <v>0</v>
      </c>
      <c r="BP52" s="460">
        <v>-324.65922462980041</v>
      </c>
      <c r="BQ52" s="460">
        <v>0</v>
      </c>
      <c r="BR52" s="460">
        <v>0</v>
      </c>
      <c r="BS52" s="460">
        <v>0</v>
      </c>
      <c r="BT52" s="460">
        <v>0</v>
      </c>
      <c r="BU52" s="460">
        <v>0</v>
      </c>
      <c r="BV52" s="460">
        <v>0</v>
      </c>
      <c r="BW52" s="460">
        <v>0</v>
      </c>
      <c r="BX52" s="460">
        <v>0</v>
      </c>
      <c r="BY52" s="460">
        <v>0</v>
      </c>
      <c r="BZ52" s="460">
        <v>0</v>
      </c>
      <c r="CA52" s="460" t="e">
        <v>#N/A</v>
      </c>
      <c r="CB52" s="460" t="e">
        <v>#N/A</v>
      </c>
      <c r="CC52" s="460" t="e">
        <v>#N/A</v>
      </c>
      <c r="CD52"/>
      <c r="CE52"/>
      <c r="CF52"/>
      <c r="CG52"/>
      <c r="CH52"/>
    </row>
    <row r="53" spans="1:86" ht="12.75" customHeight="1">
      <c r="A53" s="105">
        <v>48</v>
      </c>
      <c r="B53" s="112" t="str">
        <v>25Y</v>
      </c>
      <c r="C53" s="465">
        <f>'eur disaggregated'!AF64</f>
        <v>6452.3829000079277</v>
      </c>
      <c r="D53" s="111" t="str">
        <f t="shared" si="5"/>
        <v>300M</v>
      </c>
      <c r="E53" s="441">
        <f>IF(LEN(B53)&lt;4,$C$1,IF(OR(LEFT(B53,3)="DEC",LEFT(B53,3)="MAR",LEFT(B53,3)="JUN",LEFT(B53,3)="SEP"),INDEX(EurMkt!$F$15:$F$34,MATCH(B53,EurMkt!$H$15:$H$34,0)),F50))</f>
        <v>42696</v>
      </c>
      <c r="F53" s="441">
        <f>IF(AND(NOT(ISNA(MATCH(RIGHT(B53,2),$I$6:$I$67,0))),LEN(B53)&lt;6,RIGHT(B53,1)="M"), INDEX($K$6:$K$67, MATCH(RIGHT(B53,2),$I$6:$I$67,0)), IF(AND(NOT(ISNA(MATCH(RIGHT(B53,3),$I$6:$I$67,0))), LEN(B53)&gt;=6, RIGHT(B53,1)="M"), INDEX($K$6:$K$67, MATCH(RIGHT(B53,3),$I$6:$I$67,0)), _xll.qlCalendarAdvance(Calendar,E53,D53)))</f>
        <v>51827</v>
      </c>
      <c r="G53" s="462">
        <f t="shared" si="3"/>
        <v>1.111E-2</v>
      </c>
      <c r="H53" s="453">
        <v>1.111</v>
      </c>
      <c r="I53" s="107" t="str">
        <v>20Y</v>
      </c>
      <c r="J53" s="106" t="str">
        <f t="shared" si="0"/>
        <v>240M</v>
      </c>
      <c r="K53" s="448">
        <f>_xll.qlCalendarAdvance("TARGET",SettlementDate,J53)</f>
        <v>50003</v>
      </c>
      <c r="M53" s="99" t="str">
        <v>20Y</v>
      </c>
      <c r="N53" s="465">
        <v>-38805.89251101252</v>
      </c>
      <c r="P53" s="106" t="b">
        <f t="shared" si="6"/>
        <v>0</v>
      </c>
      <c r="Q53" s="460">
        <f t="array" ref="Q53:CC53">C53*ForwardToZero(OisBuckets,E53,F53,G53)</f>
        <v>0</v>
      </c>
      <c r="R53" s="460">
        <v>0</v>
      </c>
      <c r="S53" s="460">
        <v>0</v>
      </c>
      <c r="T53" s="460">
        <v>0</v>
      </c>
      <c r="U53" s="460">
        <v>0</v>
      </c>
      <c r="V53" s="460">
        <v>0</v>
      </c>
      <c r="W53" s="460">
        <v>0</v>
      </c>
      <c r="X53" s="460">
        <v>0</v>
      </c>
      <c r="Y53" s="460">
        <v>0</v>
      </c>
      <c r="Z53" s="460">
        <v>0</v>
      </c>
      <c r="AA53" s="460">
        <v>0</v>
      </c>
      <c r="AB53" s="460">
        <v>0</v>
      </c>
      <c r="AC53" s="460">
        <v>0</v>
      </c>
      <c r="AD53" s="460">
        <v>0</v>
      </c>
      <c r="AE53" s="460">
        <v>0</v>
      </c>
      <c r="AF53" s="460">
        <v>0</v>
      </c>
      <c r="AG53" s="460">
        <v>0</v>
      </c>
      <c r="AH53" s="460">
        <v>0</v>
      </c>
      <c r="AI53" s="460">
        <v>0</v>
      </c>
      <c r="AJ53" s="460">
        <v>0</v>
      </c>
      <c r="AK53" s="460">
        <v>0</v>
      </c>
      <c r="AL53" s="460">
        <v>0</v>
      </c>
      <c r="AM53" s="460">
        <v>0</v>
      </c>
      <c r="AN53" s="460">
        <v>0</v>
      </c>
      <c r="AO53" s="460">
        <v>0</v>
      </c>
      <c r="AP53" s="460">
        <v>0</v>
      </c>
      <c r="AQ53" s="460">
        <v>0</v>
      </c>
      <c r="AR53" s="460">
        <v>0</v>
      </c>
      <c r="AS53" s="460">
        <v>0</v>
      </c>
      <c r="AT53" s="460">
        <v>0</v>
      </c>
      <c r="AU53" s="460">
        <v>0</v>
      </c>
      <c r="AV53" s="460">
        <v>0</v>
      </c>
      <c r="AW53" s="460">
        <v>0</v>
      </c>
      <c r="AX53" s="460">
        <v>0</v>
      </c>
      <c r="AY53" s="460">
        <v>0</v>
      </c>
      <c r="AZ53" s="460">
        <v>0</v>
      </c>
      <c r="BA53" s="460">
        <v>0</v>
      </c>
      <c r="BB53" s="460">
        <v>0</v>
      </c>
      <c r="BC53" s="460">
        <v>0</v>
      </c>
      <c r="BD53" s="460">
        <v>0</v>
      </c>
      <c r="BE53" s="460">
        <v>0</v>
      </c>
      <c r="BF53" s="460">
        <v>0</v>
      </c>
      <c r="BG53" s="460">
        <v>0</v>
      </c>
      <c r="BH53" s="460">
        <v>0</v>
      </c>
      <c r="BI53" s="460">
        <v>0</v>
      </c>
      <c r="BJ53" s="460">
        <v>0</v>
      </c>
      <c r="BK53" s="460">
        <v>0</v>
      </c>
      <c r="BL53" s="460">
        <v>0</v>
      </c>
      <c r="BM53" s="460">
        <v>0</v>
      </c>
      <c r="BN53" s="460">
        <v>0</v>
      </c>
      <c r="BO53" s="460">
        <v>0</v>
      </c>
      <c r="BP53" s="460">
        <v>0</v>
      </c>
      <c r="BQ53" s="460">
        <v>6452.3829000079277</v>
      </c>
      <c r="BR53" s="460">
        <v>0</v>
      </c>
      <c r="BS53" s="460">
        <v>0</v>
      </c>
      <c r="BT53" s="460">
        <v>0</v>
      </c>
      <c r="BU53" s="460">
        <v>0</v>
      </c>
      <c r="BV53" s="460">
        <v>0</v>
      </c>
      <c r="BW53" s="460">
        <v>0</v>
      </c>
      <c r="BX53" s="460">
        <v>0</v>
      </c>
      <c r="BY53" s="460">
        <v>0</v>
      </c>
      <c r="BZ53" s="460">
        <v>0</v>
      </c>
      <c r="CA53" s="460" t="e">
        <v>#N/A</v>
      </c>
      <c r="CB53" s="460" t="e">
        <v>#N/A</v>
      </c>
      <c r="CC53" s="460" t="e">
        <v>#N/A</v>
      </c>
      <c r="CD53"/>
      <c r="CE53"/>
      <c r="CF53"/>
      <c r="CG53"/>
      <c r="CH53"/>
    </row>
    <row r="54" spans="1:86" ht="12.75" customHeight="1">
      <c r="A54" s="105">
        <v>49</v>
      </c>
      <c r="B54" s="112" t="str">
        <v>26Y</v>
      </c>
      <c r="C54" s="465">
        <f>'eur disaggregated'!AF65</f>
        <v>85.687592579847305</v>
      </c>
      <c r="D54" s="111" t="str">
        <f t="shared" si="5"/>
        <v>312M</v>
      </c>
      <c r="E54" s="441">
        <f>IF(LEN(B54)&lt;4,$C$1,IF(OR(LEFT(B54,3)="DEC",LEFT(B54,3)="MAR",LEFT(B54,3)="JUN",LEFT(B54,3)="SEP"),INDEX(EurMkt!$F$15:$F$34,MATCH(B54,EurMkt!$H$15:$H$34,0)),F51))</f>
        <v>42696</v>
      </c>
      <c r="F54" s="441">
        <f>IF(AND(NOT(ISNA(MATCH(RIGHT(B54,2),$I$6:$I$67,0))),LEN(B54)&lt;6,RIGHT(B54,1)="M"), INDEX($K$6:$K$67, MATCH(RIGHT(B54,2),$I$6:$I$67,0)), IF(AND(NOT(ISNA(MATCH(RIGHT(B54,3),$I$6:$I$67,0))), LEN(B54)&gt;=6, RIGHT(B54,1)="M"), INDEX($K$6:$K$67, MATCH(RIGHT(B54,3),$I$6:$I$67,0)), _xll.qlCalendarAdvance(Calendar,E54,D54)))</f>
        <v>52194</v>
      </c>
      <c r="G54" s="462">
        <f t="shared" si="3"/>
        <v>1.115777598E-2</v>
      </c>
      <c r="H54" s="453">
        <v>1.115777598</v>
      </c>
      <c r="I54" s="107" t="str">
        <v>21Y</v>
      </c>
      <c r="J54" s="106" t="str">
        <f t="shared" si="0"/>
        <v>252M</v>
      </c>
      <c r="K54" s="448">
        <f>_xll.qlCalendarAdvance("TARGET",SettlementDate,J54)</f>
        <v>50367</v>
      </c>
      <c r="M54" s="99" t="str">
        <v>21Y</v>
      </c>
      <c r="N54" s="465">
        <v>162661.97488842628</v>
      </c>
      <c r="P54" s="106" t="b">
        <f t="shared" si="6"/>
        <v>0</v>
      </c>
      <c r="Q54" s="460">
        <f t="array" ref="Q54:CC54">C54*ForwardToZero(OisBuckets,E54,F54,G54)</f>
        <v>0</v>
      </c>
      <c r="R54" s="460">
        <v>0</v>
      </c>
      <c r="S54" s="460">
        <v>0</v>
      </c>
      <c r="T54" s="460">
        <v>0</v>
      </c>
      <c r="U54" s="460">
        <v>0</v>
      </c>
      <c r="V54" s="460">
        <v>0</v>
      </c>
      <c r="W54" s="460">
        <v>0</v>
      </c>
      <c r="X54" s="460">
        <v>0</v>
      </c>
      <c r="Y54" s="460">
        <v>0</v>
      </c>
      <c r="Z54" s="460">
        <v>0</v>
      </c>
      <c r="AA54" s="460">
        <v>0</v>
      </c>
      <c r="AB54" s="460">
        <v>0</v>
      </c>
      <c r="AC54" s="460">
        <v>0</v>
      </c>
      <c r="AD54" s="460">
        <v>0</v>
      </c>
      <c r="AE54" s="460">
        <v>0</v>
      </c>
      <c r="AF54" s="460">
        <v>0</v>
      </c>
      <c r="AG54" s="460">
        <v>0</v>
      </c>
      <c r="AH54" s="460">
        <v>0</v>
      </c>
      <c r="AI54" s="460">
        <v>0</v>
      </c>
      <c r="AJ54" s="460">
        <v>0</v>
      </c>
      <c r="AK54" s="460">
        <v>0</v>
      </c>
      <c r="AL54" s="460">
        <v>0</v>
      </c>
      <c r="AM54" s="460">
        <v>0</v>
      </c>
      <c r="AN54" s="460">
        <v>0</v>
      </c>
      <c r="AO54" s="460">
        <v>0</v>
      </c>
      <c r="AP54" s="460">
        <v>0</v>
      </c>
      <c r="AQ54" s="460">
        <v>0</v>
      </c>
      <c r="AR54" s="460">
        <v>0</v>
      </c>
      <c r="AS54" s="460">
        <v>0</v>
      </c>
      <c r="AT54" s="460">
        <v>0</v>
      </c>
      <c r="AU54" s="460">
        <v>0</v>
      </c>
      <c r="AV54" s="460">
        <v>0</v>
      </c>
      <c r="AW54" s="460">
        <v>0</v>
      </c>
      <c r="AX54" s="460">
        <v>0</v>
      </c>
      <c r="AY54" s="460">
        <v>0</v>
      </c>
      <c r="AZ54" s="460">
        <v>0</v>
      </c>
      <c r="BA54" s="460">
        <v>0</v>
      </c>
      <c r="BB54" s="460">
        <v>0</v>
      </c>
      <c r="BC54" s="460">
        <v>0</v>
      </c>
      <c r="BD54" s="460">
        <v>0</v>
      </c>
      <c r="BE54" s="460">
        <v>0</v>
      </c>
      <c r="BF54" s="460">
        <v>0</v>
      </c>
      <c r="BG54" s="460">
        <v>0</v>
      </c>
      <c r="BH54" s="460">
        <v>0</v>
      </c>
      <c r="BI54" s="460">
        <v>0</v>
      </c>
      <c r="BJ54" s="460">
        <v>0</v>
      </c>
      <c r="BK54" s="460">
        <v>0</v>
      </c>
      <c r="BL54" s="460">
        <v>0</v>
      </c>
      <c r="BM54" s="460">
        <v>0</v>
      </c>
      <c r="BN54" s="460">
        <v>0</v>
      </c>
      <c r="BO54" s="460">
        <v>0</v>
      </c>
      <c r="BP54" s="460">
        <v>0</v>
      </c>
      <c r="BQ54" s="460">
        <v>0</v>
      </c>
      <c r="BR54" s="460">
        <v>85.687592579847305</v>
      </c>
      <c r="BS54" s="460">
        <v>0</v>
      </c>
      <c r="BT54" s="460">
        <v>0</v>
      </c>
      <c r="BU54" s="460">
        <v>0</v>
      </c>
      <c r="BV54" s="460">
        <v>0</v>
      </c>
      <c r="BW54" s="460">
        <v>0</v>
      </c>
      <c r="BX54" s="460">
        <v>0</v>
      </c>
      <c r="BY54" s="460">
        <v>0</v>
      </c>
      <c r="BZ54" s="460">
        <v>0</v>
      </c>
      <c r="CA54" s="460" t="e">
        <v>#N/A</v>
      </c>
      <c r="CB54" s="460" t="e">
        <v>#N/A</v>
      </c>
      <c r="CC54" s="460" t="e">
        <v>#N/A</v>
      </c>
      <c r="CD54"/>
      <c r="CE54"/>
      <c r="CF54"/>
      <c r="CG54"/>
      <c r="CH54"/>
    </row>
    <row r="55" spans="1:86" ht="12.75" customHeight="1">
      <c r="A55" s="105">
        <v>50</v>
      </c>
      <c r="B55" s="112" t="str">
        <v>27Y</v>
      </c>
      <c r="C55" s="465">
        <f>'eur disaggregated'!AF66</f>
        <v>-0.31841252070297726</v>
      </c>
      <c r="D55" s="111" t="str">
        <f t="shared" si="5"/>
        <v>324M</v>
      </c>
      <c r="E55" s="441">
        <f>IF(LEN(B55)&lt;4,$C$1,IF(OR(LEFT(B55,3)="DEC",LEFT(B55,3)="MAR",LEFT(B55,3)="JUN",LEFT(B55,3)="SEP"),INDEX(EurMkt!$F$15:$F$34,MATCH(B55,EurMkt!$H$15:$H$34,0)),F52))</f>
        <v>42696</v>
      </c>
      <c r="F55" s="441">
        <f>IF(AND(NOT(ISNA(MATCH(RIGHT(B55,2),$I$6:$I$67,0))),LEN(B55)&lt;6,RIGHT(B55,1)="M"), INDEX($K$6:$K$67, MATCH(RIGHT(B55,2),$I$6:$I$67,0)), IF(AND(NOT(ISNA(MATCH(RIGHT(B55,3),$I$6:$I$67,0))), LEN(B55)&gt;=6, RIGHT(B55,1)="M"), INDEX($K$6:$K$67, MATCH(RIGHT(B55,3),$I$6:$I$67,0)), _xll.qlCalendarAdvance(Calendar,E55,D55)))</f>
        <v>52558</v>
      </c>
      <c r="G55" s="462">
        <f t="shared" si="3"/>
        <v>1.1199046450000001E-2</v>
      </c>
      <c r="H55" s="453">
        <v>1.1199046450000001</v>
      </c>
      <c r="I55" s="107" t="str">
        <v>22Y</v>
      </c>
      <c r="J55" s="106" t="str">
        <f t="shared" si="0"/>
        <v>264M</v>
      </c>
      <c r="K55" s="448">
        <f>_xll.qlCalendarAdvance("TARGET",SettlementDate,J55)</f>
        <v>50731</v>
      </c>
      <c r="M55" s="99" t="str">
        <v>22Y</v>
      </c>
      <c r="N55" s="465">
        <v>-63254.678319152554</v>
      </c>
      <c r="P55" s="106" t="b">
        <f t="shared" si="6"/>
        <v>0</v>
      </c>
      <c r="Q55" s="460">
        <f t="array" ref="Q55:CC55">C55*ForwardToZero(OisBuckets,E55,F55,G55)</f>
        <v>0</v>
      </c>
      <c r="R55" s="460">
        <v>0</v>
      </c>
      <c r="S55" s="460">
        <v>0</v>
      </c>
      <c r="T55" s="460">
        <v>0</v>
      </c>
      <c r="U55" s="460">
        <v>0</v>
      </c>
      <c r="V55" s="460">
        <v>0</v>
      </c>
      <c r="W55" s="460">
        <v>0</v>
      </c>
      <c r="X55" s="460">
        <v>0</v>
      </c>
      <c r="Y55" s="460">
        <v>0</v>
      </c>
      <c r="Z55" s="460">
        <v>0</v>
      </c>
      <c r="AA55" s="460">
        <v>0</v>
      </c>
      <c r="AB55" s="460">
        <v>0</v>
      </c>
      <c r="AC55" s="460">
        <v>0</v>
      </c>
      <c r="AD55" s="460">
        <v>0</v>
      </c>
      <c r="AE55" s="460">
        <v>0</v>
      </c>
      <c r="AF55" s="460">
        <v>0</v>
      </c>
      <c r="AG55" s="460">
        <v>0</v>
      </c>
      <c r="AH55" s="460">
        <v>0</v>
      </c>
      <c r="AI55" s="460">
        <v>0</v>
      </c>
      <c r="AJ55" s="460">
        <v>0</v>
      </c>
      <c r="AK55" s="460">
        <v>0</v>
      </c>
      <c r="AL55" s="460">
        <v>0</v>
      </c>
      <c r="AM55" s="460">
        <v>0</v>
      </c>
      <c r="AN55" s="460">
        <v>0</v>
      </c>
      <c r="AO55" s="460">
        <v>0</v>
      </c>
      <c r="AP55" s="460">
        <v>0</v>
      </c>
      <c r="AQ55" s="460">
        <v>0</v>
      </c>
      <c r="AR55" s="460">
        <v>0</v>
      </c>
      <c r="AS55" s="460">
        <v>0</v>
      </c>
      <c r="AT55" s="460">
        <v>0</v>
      </c>
      <c r="AU55" s="460">
        <v>0</v>
      </c>
      <c r="AV55" s="460">
        <v>0</v>
      </c>
      <c r="AW55" s="460">
        <v>0</v>
      </c>
      <c r="AX55" s="460">
        <v>0</v>
      </c>
      <c r="AY55" s="460">
        <v>0</v>
      </c>
      <c r="AZ55" s="460">
        <v>0</v>
      </c>
      <c r="BA55" s="460">
        <v>0</v>
      </c>
      <c r="BB55" s="460">
        <v>0</v>
      </c>
      <c r="BC55" s="460">
        <v>0</v>
      </c>
      <c r="BD55" s="460">
        <v>0</v>
      </c>
      <c r="BE55" s="460">
        <v>0</v>
      </c>
      <c r="BF55" s="460">
        <v>0</v>
      </c>
      <c r="BG55" s="460">
        <v>0</v>
      </c>
      <c r="BH55" s="460">
        <v>0</v>
      </c>
      <c r="BI55" s="460">
        <v>0</v>
      </c>
      <c r="BJ55" s="460">
        <v>0</v>
      </c>
      <c r="BK55" s="460">
        <v>0</v>
      </c>
      <c r="BL55" s="460">
        <v>0</v>
      </c>
      <c r="BM55" s="460">
        <v>0</v>
      </c>
      <c r="BN55" s="460">
        <v>0</v>
      </c>
      <c r="BO55" s="460">
        <v>0</v>
      </c>
      <c r="BP55" s="460">
        <v>0</v>
      </c>
      <c r="BQ55" s="460">
        <v>0</v>
      </c>
      <c r="BR55" s="460">
        <v>0</v>
      </c>
      <c r="BS55" s="460">
        <v>-0.31841252070297726</v>
      </c>
      <c r="BT55" s="460">
        <v>0</v>
      </c>
      <c r="BU55" s="460">
        <v>0</v>
      </c>
      <c r="BV55" s="460">
        <v>0</v>
      </c>
      <c r="BW55" s="460">
        <v>0</v>
      </c>
      <c r="BX55" s="460">
        <v>0</v>
      </c>
      <c r="BY55" s="460">
        <v>0</v>
      </c>
      <c r="BZ55" s="460">
        <v>0</v>
      </c>
      <c r="CA55" s="460" t="e">
        <v>#N/A</v>
      </c>
      <c r="CB55" s="460" t="e">
        <v>#N/A</v>
      </c>
      <c r="CC55" s="460" t="e">
        <v>#N/A</v>
      </c>
      <c r="CD55"/>
      <c r="CE55"/>
      <c r="CF55"/>
      <c r="CG55"/>
      <c r="CH55"/>
    </row>
    <row r="56" spans="1:86" ht="12.75" customHeight="1">
      <c r="A56" s="105">
        <v>51</v>
      </c>
      <c r="B56" s="112" t="str">
        <v>28Y</v>
      </c>
      <c r="C56" s="465">
        <f>'eur disaggregated'!AF67</f>
        <v>7.4274044571802928E-5</v>
      </c>
      <c r="D56" s="111" t="str">
        <f t="shared" si="5"/>
        <v>336M</v>
      </c>
      <c r="E56" s="441">
        <f>IF(LEN(B56)&lt;4,$C$1,IF(OR(LEFT(B56,3)="DEC",LEFT(B56,3)="MAR",LEFT(B56,3)="JUN",LEFT(B56,3)="SEP"),INDEX(EurMkt!$F$15:$F$34,MATCH(B56,EurMkt!$H$15:$H$34,0)),F53))</f>
        <v>42696</v>
      </c>
      <c r="F56" s="441">
        <f>IF(AND(NOT(ISNA(MATCH(RIGHT(B56,2),$I$6:$I$67,0))),LEN(B56)&lt;6,RIGHT(B56,1)="M"), INDEX($K$6:$K$67, MATCH(RIGHT(B56,2),$I$6:$I$67,0)), IF(AND(NOT(ISNA(MATCH(RIGHT(B56,3),$I$6:$I$67,0))), LEN(B56)&gt;=6, RIGHT(B56,1)="M"), INDEX($K$6:$K$67, MATCH(RIGHT(B56,3),$I$6:$I$67,0)), _xll.qlCalendarAdvance(Calendar,E56,D56)))</f>
        <v>52923</v>
      </c>
      <c r="G56" s="462">
        <f t="shared" si="3"/>
        <v>1.1235343600000001E-2</v>
      </c>
      <c r="H56" s="453">
        <v>1.1235343600000001</v>
      </c>
      <c r="I56" s="107" t="str">
        <v>23Y</v>
      </c>
      <c r="J56" s="106" t="str">
        <f t="shared" si="0"/>
        <v>276M</v>
      </c>
      <c r="K56" s="448">
        <f>_xll.qlCalendarAdvance("TARGET",SettlementDate,J56)</f>
        <v>51096</v>
      </c>
      <c r="M56" s="99" t="str">
        <v>23Y</v>
      </c>
      <c r="N56" s="465">
        <v>-33379.295047568361</v>
      </c>
      <c r="P56" s="106" t="b">
        <f t="shared" si="6"/>
        <v>0</v>
      </c>
      <c r="Q56" s="460">
        <f t="array" ref="Q56:CC56">C56*ForwardToZero(OisBuckets,E56,F56,G56)</f>
        <v>0</v>
      </c>
      <c r="R56" s="460">
        <v>0</v>
      </c>
      <c r="S56" s="460">
        <v>0</v>
      </c>
      <c r="T56" s="460">
        <v>0</v>
      </c>
      <c r="U56" s="460">
        <v>0</v>
      </c>
      <c r="V56" s="460">
        <v>0</v>
      </c>
      <c r="W56" s="460">
        <v>0</v>
      </c>
      <c r="X56" s="460">
        <v>0</v>
      </c>
      <c r="Y56" s="460">
        <v>0</v>
      </c>
      <c r="Z56" s="460">
        <v>0</v>
      </c>
      <c r="AA56" s="460">
        <v>0</v>
      </c>
      <c r="AB56" s="460">
        <v>0</v>
      </c>
      <c r="AC56" s="460">
        <v>0</v>
      </c>
      <c r="AD56" s="460">
        <v>0</v>
      </c>
      <c r="AE56" s="460">
        <v>0</v>
      </c>
      <c r="AF56" s="460">
        <v>0</v>
      </c>
      <c r="AG56" s="460">
        <v>0</v>
      </c>
      <c r="AH56" s="460">
        <v>0</v>
      </c>
      <c r="AI56" s="460">
        <v>0</v>
      </c>
      <c r="AJ56" s="460">
        <v>0</v>
      </c>
      <c r="AK56" s="460">
        <v>0</v>
      </c>
      <c r="AL56" s="460">
        <v>0</v>
      </c>
      <c r="AM56" s="460">
        <v>0</v>
      </c>
      <c r="AN56" s="460">
        <v>0</v>
      </c>
      <c r="AO56" s="460">
        <v>0</v>
      </c>
      <c r="AP56" s="460">
        <v>0</v>
      </c>
      <c r="AQ56" s="460">
        <v>0</v>
      </c>
      <c r="AR56" s="460">
        <v>0</v>
      </c>
      <c r="AS56" s="460">
        <v>0</v>
      </c>
      <c r="AT56" s="460">
        <v>0</v>
      </c>
      <c r="AU56" s="460">
        <v>0</v>
      </c>
      <c r="AV56" s="460">
        <v>0</v>
      </c>
      <c r="AW56" s="460">
        <v>0</v>
      </c>
      <c r="AX56" s="460">
        <v>0</v>
      </c>
      <c r="AY56" s="460">
        <v>0</v>
      </c>
      <c r="AZ56" s="460">
        <v>0</v>
      </c>
      <c r="BA56" s="460">
        <v>0</v>
      </c>
      <c r="BB56" s="460">
        <v>0</v>
      </c>
      <c r="BC56" s="460">
        <v>0</v>
      </c>
      <c r="BD56" s="460">
        <v>0</v>
      </c>
      <c r="BE56" s="460">
        <v>0</v>
      </c>
      <c r="BF56" s="460">
        <v>0</v>
      </c>
      <c r="BG56" s="460">
        <v>0</v>
      </c>
      <c r="BH56" s="460">
        <v>0</v>
      </c>
      <c r="BI56" s="460">
        <v>0</v>
      </c>
      <c r="BJ56" s="460">
        <v>0</v>
      </c>
      <c r="BK56" s="460">
        <v>0</v>
      </c>
      <c r="BL56" s="460">
        <v>0</v>
      </c>
      <c r="BM56" s="460">
        <v>0</v>
      </c>
      <c r="BN56" s="460">
        <v>0</v>
      </c>
      <c r="BO56" s="460">
        <v>0</v>
      </c>
      <c r="BP56" s="460">
        <v>0</v>
      </c>
      <c r="BQ56" s="460">
        <v>0</v>
      </c>
      <c r="BR56" s="460">
        <v>0</v>
      </c>
      <c r="BS56" s="460">
        <v>0</v>
      </c>
      <c r="BT56" s="460">
        <v>7.4274044571802928E-5</v>
      </c>
      <c r="BU56" s="460">
        <v>0</v>
      </c>
      <c r="BV56" s="460">
        <v>0</v>
      </c>
      <c r="BW56" s="460">
        <v>0</v>
      </c>
      <c r="BX56" s="460">
        <v>0</v>
      </c>
      <c r="BY56" s="460">
        <v>0</v>
      </c>
      <c r="BZ56" s="460">
        <v>0</v>
      </c>
      <c r="CA56" s="460" t="e">
        <v>#N/A</v>
      </c>
      <c r="CB56" s="460" t="e">
        <v>#N/A</v>
      </c>
      <c r="CC56" s="460" t="e">
        <v>#N/A</v>
      </c>
      <c r="CD56"/>
      <c r="CE56"/>
      <c r="CF56"/>
      <c r="CG56"/>
      <c r="CH56"/>
    </row>
    <row r="57" spans="1:86" ht="12.75" customHeight="1">
      <c r="A57" s="105">
        <v>52</v>
      </c>
      <c r="B57" s="112" t="str">
        <v>29Y</v>
      </c>
      <c r="C57" s="465">
        <f>'eur disaggregated'!AF68</f>
        <v>-1.5078873095778529E-6</v>
      </c>
      <c r="D57" s="111" t="str">
        <f t="shared" si="5"/>
        <v>348M</v>
      </c>
      <c r="E57" s="441">
        <f>IF(LEN(B57)&lt;4,$C$1,IF(OR(LEFT(B57,3)="DEC",LEFT(B57,3)="MAR",LEFT(B57,3)="JUN",LEFT(B57,3)="SEP"),INDEX(EurMkt!$F$15:$F$34,MATCH(B57,EurMkt!$H$15:$H$34,0)),F54))</f>
        <v>42696</v>
      </c>
      <c r="F57" s="441">
        <f>IF(AND(NOT(ISNA(MATCH(RIGHT(B57,2),$I$6:$I$67,0))),LEN(B57)&lt;6,RIGHT(B57,1)="M"), INDEX($K$6:$K$67, MATCH(RIGHT(B57,2),$I$6:$I$67,0)), IF(AND(NOT(ISNA(MATCH(RIGHT(B57,3),$I$6:$I$67,0))), LEN(B57)&gt;=6, RIGHT(B57,1)="M"), INDEX($K$6:$K$67, MATCH(RIGHT(B57,3),$I$6:$I$67,0)), _xll.qlCalendarAdvance(Calendar,E57,D57)))</f>
        <v>53288</v>
      </c>
      <c r="G57" s="462">
        <f t="shared" si="3"/>
        <v>1.1265262549999999E-2</v>
      </c>
      <c r="H57" s="453">
        <v>1.1265262549999999</v>
      </c>
      <c r="I57" s="107" t="str">
        <v>24Y</v>
      </c>
      <c r="J57" s="106" t="str">
        <f t="shared" si="0"/>
        <v>288M</v>
      </c>
      <c r="K57" s="448">
        <f>_xll.qlCalendarAdvance("TARGET",SettlementDate,J57)</f>
        <v>51462</v>
      </c>
      <c r="M57" s="99" t="str">
        <v>24Y</v>
      </c>
      <c r="N57" s="465">
        <v>-324.65922462980041</v>
      </c>
      <c r="P57" s="106" t="b">
        <f t="shared" si="6"/>
        <v>0</v>
      </c>
      <c r="Q57" s="460">
        <f t="array" ref="Q57:CC57">C57*ForwardToZero(OisBuckets,E57,F57,G57)</f>
        <v>0</v>
      </c>
      <c r="R57" s="460">
        <v>0</v>
      </c>
      <c r="S57" s="460">
        <v>0</v>
      </c>
      <c r="T57" s="460">
        <v>0</v>
      </c>
      <c r="U57" s="460">
        <v>0</v>
      </c>
      <c r="V57" s="460">
        <v>0</v>
      </c>
      <c r="W57" s="460">
        <v>0</v>
      </c>
      <c r="X57" s="460">
        <v>0</v>
      </c>
      <c r="Y57" s="460">
        <v>0</v>
      </c>
      <c r="Z57" s="460">
        <v>0</v>
      </c>
      <c r="AA57" s="460">
        <v>0</v>
      </c>
      <c r="AB57" s="460">
        <v>0</v>
      </c>
      <c r="AC57" s="460">
        <v>0</v>
      </c>
      <c r="AD57" s="460">
        <v>0</v>
      </c>
      <c r="AE57" s="460">
        <v>0</v>
      </c>
      <c r="AF57" s="460">
        <v>0</v>
      </c>
      <c r="AG57" s="460">
        <v>0</v>
      </c>
      <c r="AH57" s="460">
        <v>0</v>
      </c>
      <c r="AI57" s="460">
        <v>0</v>
      </c>
      <c r="AJ57" s="460">
        <v>0</v>
      </c>
      <c r="AK57" s="460">
        <v>0</v>
      </c>
      <c r="AL57" s="460">
        <v>0</v>
      </c>
      <c r="AM57" s="460">
        <v>0</v>
      </c>
      <c r="AN57" s="460">
        <v>0</v>
      </c>
      <c r="AO57" s="460">
        <v>0</v>
      </c>
      <c r="AP57" s="460">
        <v>0</v>
      </c>
      <c r="AQ57" s="460">
        <v>0</v>
      </c>
      <c r="AR57" s="460">
        <v>0</v>
      </c>
      <c r="AS57" s="460">
        <v>0</v>
      </c>
      <c r="AT57" s="460">
        <v>0</v>
      </c>
      <c r="AU57" s="460">
        <v>0</v>
      </c>
      <c r="AV57" s="460">
        <v>0</v>
      </c>
      <c r="AW57" s="460">
        <v>0</v>
      </c>
      <c r="AX57" s="460">
        <v>0</v>
      </c>
      <c r="AY57" s="460">
        <v>0</v>
      </c>
      <c r="AZ57" s="460">
        <v>0</v>
      </c>
      <c r="BA57" s="460">
        <v>0</v>
      </c>
      <c r="BB57" s="460">
        <v>0</v>
      </c>
      <c r="BC57" s="460">
        <v>0</v>
      </c>
      <c r="BD57" s="460">
        <v>0</v>
      </c>
      <c r="BE57" s="460">
        <v>0</v>
      </c>
      <c r="BF57" s="460">
        <v>0</v>
      </c>
      <c r="BG57" s="460">
        <v>0</v>
      </c>
      <c r="BH57" s="460">
        <v>0</v>
      </c>
      <c r="BI57" s="460">
        <v>0</v>
      </c>
      <c r="BJ57" s="460">
        <v>0</v>
      </c>
      <c r="BK57" s="460">
        <v>0</v>
      </c>
      <c r="BL57" s="460">
        <v>0</v>
      </c>
      <c r="BM57" s="460">
        <v>0</v>
      </c>
      <c r="BN57" s="460">
        <v>0</v>
      </c>
      <c r="BO57" s="460">
        <v>0</v>
      </c>
      <c r="BP57" s="460">
        <v>0</v>
      </c>
      <c r="BQ57" s="460">
        <v>0</v>
      </c>
      <c r="BR57" s="460">
        <v>0</v>
      </c>
      <c r="BS57" s="460">
        <v>0</v>
      </c>
      <c r="BT57" s="460">
        <v>0</v>
      </c>
      <c r="BU57" s="460">
        <v>-1.5078873095778529E-6</v>
      </c>
      <c r="BV57" s="460">
        <v>0</v>
      </c>
      <c r="BW57" s="460">
        <v>0</v>
      </c>
      <c r="BX57" s="460">
        <v>0</v>
      </c>
      <c r="BY57" s="460">
        <v>0</v>
      </c>
      <c r="BZ57" s="460">
        <v>0</v>
      </c>
      <c r="CA57" s="460" t="e">
        <v>#N/A</v>
      </c>
      <c r="CB57" s="460" t="e">
        <v>#N/A</v>
      </c>
      <c r="CC57" s="460" t="e">
        <v>#N/A</v>
      </c>
      <c r="CD57"/>
      <c r="CE57"/>
      <c r="CF57"/>
      <c r="CG57"/>
      <c r="CH57"/>
    </row>
    <row r="58" spans="1:86">
      <c r="A58" s="105">
        <v>53</v>
      </c>
      <c r="B58" s="112" t="str">
        <v>30Y</v>
      </c>
      <c r="C58" s="465">
        <f>'eur disaggregated'!AF69</f>
        <v>-9.4919990941354425E-10</v>
      </c>
      <c r="D58" s="111" t="str">
        <f t="shared" si="5"/>
        <v>360M</v>
      </c>
      <c r="E58" s="441">
        <f>IF(LEN(B58)&lt;4,$C$1,IF(OR(LEFT(B58,3)="DEC",LEFT(B58,3)="MAR",LEFT(B58,3)="JUN",LEFT(B58,3)="SEP"),INDEX(EurMkt!$F$15:$F$34,MATCH(B58,EurMkt!$H$15:$H$34,0)),F55))</f>
        <v>42696</v>
      </c>
      <c r="F58" s="441">
        <f>IF(AND(NOT(ISNA(MATCH(RIGHT(B58,2),$I$6:$I$67,0))),LEN(B58)&lt;6,RIGHT(B58,1)="M"), INDEX($K$6:$K$67, MATCH(RIGHT(B58,2),$I$6:$I$67,0)), IF(AND(NOT(ISNA(MATCH(RIGHT(B58,3),$I$6:$I$67,0))), LEN(B58)&gt;=6, RIGHT(B58,1)="M"), INDEX($K$6:$K$67, MATCH(RIGHT(B58,3),$I$6:$I$67,0)), _xll.qlCalendarAdvance(Calendar,E58,D58)))</f>
        <v>53653</v>
      </c>
      <c r="G58" s="462">
        <f t="shared" si="3"/>
        <v>1.129E-2</v>
      </c>
      <c r="H58" s="453">
        <v>1.129</v>
      </c>
      <c r="I58" s="107" t="str">
        <v>25Y</v>
      </c>
      <c r="J58" s="106" t="str">
        <f t="shared" si="0"/>
        <v>300M</v>
      </c>
      <c r="K58" s="448">
        <f>_xll.qlCalendarAdvance("TARGET",SettlementDate,J58)</f>
        <v>51827</v>
      </c>
      <c r="M58" s="99" t="str">
        <v>25Y</v>
      </c>
      <c r="N58" s="465">
        <v>6452.3829000079277</v>
      </c>
      <c r="P58" s="106" t="b">
        <f t="shared" si="6"/>
        <v>0</v>
      </c>
      <c r="Q58" s="460">
        <f t="array" ref="Q58:CC58">C58*ForwardToZero(OisBuckets,E58,F58,G58)</f>
        <v>0</v>
      </c>
      <c r="R58" s="460">
        <v>0</v>
      </c>
      <c r="S58" s="460">
        <v>0</v>
      </c>
      <c r="T58" s="460">
        <v>0</v>
      </c>
      <c r="U58" s="460">
        <v>0</v>
      </c>
      <c r="V58" s="460">
        <v>0</v>
      </c>
      <c r="W58" s="460">
        <v>0</v>
      </c>
      <c r="X58" s="460">
        <v>0</v>
      </c>
      <c r="Y58" s="460">
        <v>0</v>
      </c>
      <c r="Z58" s="460">
        <v>0</v>
      </c>
      <c r="AA58" s="460">
        <v>0</v>
      </c>
      <c r="AB58" s="460">
        <v>0</v>
      </c>
      <c r="AC58" s="460">
        <v>0</v>
      </c>
      <c r="AD58" s="460">
        <v>0</v>
      </c>
      <c r="AE58" s="460">
        <v>0</v>
      </c>
      <c r="AF58" s="460">
        <v>0</v>
      </c>
      <c r="AG58" s="460">
        <v>0</v>
      </c>
      <c r="AH58" s="460">
        <v>0</v>
      </c>
      <c r="AI58" s="460">
        <v>0</v>
      </c>
      <c r="AJ58" s="460">
        <v>0</v>
      </c>
      <c r="AK58" s="460">
        <v>0</v>
      </c>
      <c r="AL58" s="460">
        <v>0</v>
      </c>
      <c r="AM58" s="460">
        <v>0</v>
      </c>
      <c r="AN58" s="460">
        <v>0</v>
      </c>
      <c r="AO58" s="460">
        <v>0</v>
      </c>
      <c r="AP58" s="460">
        <v>0</v>
      </c>
      <c r="AQ58" s="460">
        <v>0</v>
      </c>
      <c r="AR58" s="460">
        <v>0</v>
      </c>
      <c r="AS58" s="460">
        <v>0</v>
      </c>
      <c r="AT58" s="460">
        <v>0</v>
      </c>
      <c r="AU58" s="460">
        <v>0</v>
      </c>
      <c r="AV58" s="460">
        <v>0</v>
      </c>
      <c r="AW58" s="460">
        <v>0</v>
      </c>
      <c r="AX58" s="460">
        <v>0</v>
      </c>
      <c r="AY58" s="460">
        <v>0</v>
      </c>
      <c r="AZ58" s="460">
        <v>0</v>
      </c>
      <c r="BA58" s="460">
        <v>0</v>
      </c>
      <c r="BB58" s="460">
        <v>0</v>
      </c>
      <c r="BC58" s="460">
        <v>0</v>
      </c>
      <c r="BD58" s="460">
        <v>0</v>
      </c>
      <c r="BE58" s="460">
        <v>0</v>
      </c>
      <c r="BF58" s="460">
        <v>0</v>
      </c>
      <c r="BG58" s="460">
        <v>0</v>
      </c>
      <c r="BH58" s="460">
        <v>0</v>
      </c>
      <c r="BI58" s="460">
        <v>0</v>
      </c>
      <c r="BJ58" s="460">
        <v>0</v>
      </c>
      <c r="BK58" s="460">
        <v>0</v>
      </c>
      <c r="BL58" s="460">
        <v>0</v>
      </c>
      <c r="BM58" s="460">
        <v>0</v>
      </c>
      <c r="BN58" s="460">
        <v>0</v>
      </c>
      <c r="BO58" s="460">
        <v>0</v>
      </c>
      <c r="BP58" s="460">
        <v>0</v>
      </c>
      <c r="BQ58" s="460">
        <v>0</v>
      </c>
      <c r="BR58" s="460">
        <v>0</v>
      </c>
      <c r="BS58" s="460">
        <v>0</v>
      </c>
      <c r="BT58" s="460">
        <v>0</v>
      </c>
      <c r="BU58" s="460">
        <v>0</v>
      </c>
      <c r="BV58" s="460">
        <v>-9.4919990941354425E-10</v>
      </c>
      <c r="BW58" s="460">
        <v>0</v>
      </c>
      <c r="BX58" s="460">
        <v>0</v>
      </c>
      <c r="BY58" s="460">
        <v>0</v>
      </c>
      <c r="BZ58" s="460">
        <v>0</v>
      </c>
      <c r="CA58" s="460" t="e">
        <v>#N/A</v>
      </c>
      <c r="CB58" s="460" t="e">
        <v>#N/A</v>
      </c>
      <c r="CC58" s="460" t="e">
        <v>#N/A</v>
      </c>
      <c r="CD58"/>
      <c r="CE58"/>
      <c r="CF58"/>
      <c r="CG58"/>
      <c r="CH58"/>
    </row>
    <row r="59" spans="1:86" ht="12.75" customHeight="1">
      <c r="A59" s="105">
        <v>54</v>
      </c>
      <c r="B59" s="112" t="str">
        <v>31Y</v>
      </c>
      <c r="C59" s="465">
        <f>'eur disaggregated'!AF70</f>
        <v>0</v>
      </c>
      <c r="D59" s="111" t="str">
        <f t="shared" si="5"/>
        <v>372M</v>
      </c>
      <c r="E59" s="441">
        <f>IF(LEN(B59)&lt;4,$C$1,IF(OR(LEFT(B59,3)="DEC",LEFT(B59,3)="MAR",LEFT(B59,3)="JUN",LEFT(B59,3)="SEP"),INDEX(EurMkt!$F$15:$F$34,MATCH(B59,EurMkt!$H$15:$H$34,0)),F56))</f>
        <v>42696</v>
      </c>
      <c r="F59" s="441">
        <f>IF(AND(NOT(ISNA(MATCH(RIGHT(B59,2),$I$6:$I$67,0))),LEN(B59)&lt;6,RIGHT(B59,1)="M"), INDEX($K$6:$K$67, MATCH(RIGHT(B59,2),$I$6:$I$67,0)), IF(AND(NOT(ISNA(MATCH(RIGHT(B59,3),$I$6:$I$67,0))), LEN(B59)&gt;=6, RIGHT(B59,1)="M"), INDEX($K$6:$K$67, MATCH(RIGHT(B59,3),$I$6:$I$67,0)), _xll.qlCalendarAdvance(Calendar,E59,D59)))</f>
        <v>54018</v>
      </c>
      <c r="G59" s="462">
        <f t="shared" si="3"/>
        <v>1.1310174369999999E-2</v>
      </c>
      <c r="H59" s="453">
        <v>1.1310174369999999</v>
      </c>
      <c r="I59" s="107" t="str">
        <v>26Y</v>
      </c>
      <c r="J59" s="106" t="str">
        <f t="shared" si="0"/>
        <v>312M</v>
      </c>
      <c r="K59" s="448">
        <f>_xll.qlCalendarAdvance("TARGET",SettlementDate,J59)</f>
        <v>52194</v>
      </c>
      <c r="M59" s="99" t="str">
        <v>26Y</v>
      </c>
      <c r="N59" s="465">
        <v>85.687592579847305</v>
      </c>
      <c r="P59" s="106" t="b">
        <f t="shared" si="6"/>
        <v>0</v>
      </c>
      <c r="Q59" s="460">
        <f t="array" ref="Q59:CC59">C59*ForwardToZero(OisBuckets,E59,F59,G59)</f>
        <v>0</v>
      </c>
      <c r="R59" s="460">
        <v>0</v>
      </c>
      <c r="S59" s="460">
        <v>0</v>
      </c>
      <c r="T59" s="460">
        <v>0</v>
      </c>
      <c r="U59" s="460">
        <v>0</v>
      </c>
      <c r="V59" s="460">
        <v>0</v>
      </c>
      <c r="W59" s="460">
        <v>0</v>
      </c>
      <c r="X59" s="460">
        <v>0</v>
      </c>
      <c r="Y59" s="460">
        <v>0</v>
      </c>
      <c r="Z59" s="460">
        <v>0</v>
      </c>
      <c r="AA59" s="460">
        <v>0</v>
      </c>
      <c r="AB59" s="460">
        <v>0</v>
      </c>
      <c r="AC59" s="460">
        <v>0</v>
      </c>
      <c r="AD59" s="460">
        <v>0</v>
      </c>
      <c r="AE59" s="460">
        <v>0</v>
      </c>
      <c r="AF59" s="460">
        <v>0</v>
      </c>
      <c r="AG59" s="460">
        <v>0</v>
      </c>
      <c r="AH59" s="460">
        <v>0</v>
      </c>
      <c r="AI59" s="460">
        <v>0</v>
      </c>
      <c r="AJ59" s="460">
        <v>0</v>
      </c>
      <c r="AK59" s="460">
        <v>0</v>
      </c>
      <c r="AL59" s="460">
        <v>0</v>
      </c>
      <c r="AM59" s="460">
        <v>0</v>
      </c>
      <c r="AN59" s="460">
        <v>0</v>
      </c>
      <c r="AO59" s="460">
        <v>0</v>
      </c>
      <c r="AP59" s="460">
        <v>0</v>
      </c>
      <c r="AQ59" s="460">
        <v>0</v>
      </c>
      <c r="AR59" s="460">
        <v>0</v>
      </c>
      <c r="AS59" s="460">
        <v>0</v>
      </c>
      <c r="AT59" s="460">
        <v>0</v>
      </c>
      <c r="AU59" s="460">
        <v>0</v>
      </c>
      <c r="AV59" s="460">
        <v>0</v>
      </c>
      <c r="AW59" s="460">
        <v>0</v>
      </c>
      <c r="AX59" s="460">
        <v>0</v>
      </c>
      <c r="AY59" s="460">
        <v>0</v>
      </c>
      <c r="AZ59" s="460">
        <v>0</v>
      </c>
      <c r="BA59" s="460">
        <v>0</v>
      </c>
      <c r="BB59" s="460">
        <v>0</v>
      </c>
      <c r="BC59" s="460">
        <v>0</v>
      </c>
      <c r="BD59" s="460">
        <v>0</v>
      </c>
      <c r="BE59" s="460">
        <v>0</v>
      </c>
      <c r="BF59" s="460">
        <v>0</v>
      </c>
      <c r="BG59" s="460">
        <v>0</v>
      </c>
      <c r="BH59" s="460">
        <v>0</v>
      </c>
      <c r="BI59" s="460">
        <v>0</v>
      </c>
      <c r="BJ59" s="460">
        <v>0</v>
      </c>
      <c r="BK59" s="460">
        <v>0</v>
      </c>
      <c r="BL59" s="460">
        <v>0</v>
      </c>
      <c r="BM59" s="460">
        <v>0</v>
      </c>
      <c r="BN59" s="460">
        <v>0</v>
      </c>
      <c r="BO59" s="460">
        <v>0</v>
      </c>
      <c r="BP59" s="460">
        <v>0</v>
      </c>
      <c r="BQ59" s="460">
        <v>0</v>
      </c>
      <c r="BR59" s="460">
        <v>0</v>
      </c>
      <c r="BS59" s="460">
        <v>0</v>
      </c>
      <c r="BT59" s="460">
        <v>0</v>
      </c>
      <c r="BU59" s="460">
        <v>0</v>
      </c>
      <c r="BV59" s="460">
        <v>0</v>
      </c>
      <c r="BW59" s="460">
        <v>0</v>
      </c>
      <c r="BX59" s="460">
        <v>0</v>
      </c>
      <c r="BY59" s="460">
        <v>0</v>
      </c>
      <c r="BZ59" s="460">
        <v>0</v>
      </c>
      <c r="CA59" s="460" t="e">
        <v>#N/A</v>
      </c>
      <c r="CB59" s="460" t="e">
        <v>#N/A</v>
      </c>
      <c r="CC59" s="460" t="e">
        <v>#N/A</v>
      </c>
      <c r="CD59"/>
      <c r="CE59"/>
      <c r="CF59"/>
      <c r="CG59"/>
      <c r="CH59"/>
    </row>
    <row r="60" spans="1:86" ht="12.75" customHeight="1">
      <c r="A60" s="105">
        <v>55</v>
      </c>
      <c r="B60" s="112" t="str">
        <v>32Y</v>
      </c>
      <c r="C60" s="465">
        <f>'eur disaggregated'!AF71</f>
        <v>0</v>
      </c>
      <c r="D60" s="111" t="str">
        <f t="shared" si="5"/>
        <v>384M</v>
      </c>
      <c r="E60" s="441">
        <f>IF(LEN(B60)&lt;4,$C$1,IF(OR(LEFT(B60,3)="DEC",LEFT(B60,3)="MAR",LEFT(B60,3)="JUN",LEFT(B60,3)="SEP"),INDEX(EurMkt!$F$15:$F$34,MATCH(B60,EurMkt!$H$15:$H$34,0)),F57))</f>
        <v>42696</v>
      </c>
      <c r="F60" s="441">
        <f>IF(AND(NOT(ISNA(MATCH(RIGHT(B60,2),$I$6:$I$67,0))),LEN(B60)&lt;6,RIGHT(B60,1)="M"), INDEX($K$6:$K$67, MATCH(RIGHT(B60,2),$I$6:$I$67,0)), IF(AND(NOT(ISNA(MATCH(RIGHT(B60,3),$I$6:$I$67,0))), LEN(B60)&gt;=6, RIGHT(B60,1)="M"), INDEX($K$6:$K$67, MATCH(RIGHT(B60,3),$I$6:$I$67,0)), _xll.qlCalendarAdvance(Calendar,E60,D60)))</f>
        <v>54385</v>
      </c>
      <c r="G60" s="462">
        <f t="shared" si="3"/>
        <v>1.1326563569999998E-2</v>
      </c>
      <c r="H60" s="453">
        <v>1.1326563569999999</v>
      </c>
      <c r="I60" s="107" t="str">
        <v>27Y</v>
      </c>
      <c r="J60" s="106" t="str">
        <f t="shared" si="0"/>
        <v>324M</v>
      </c>
      <c r="K60" s="448">
        <f>_xll.qlCalendarAdvance("TARGET",SettlementDate,J60)</f>
        <v>52558</v>
      </c>
      <c r="M60" s="99" t="str">
        <v>27Y</v>
      </c>
      <c r="N60" s="465">
        <v>-0.31841252070297726</v>
      </c>
      <c r="P60" s="106" t="b">
        <f t="shared" si="6"/>
        <v>0</v>
      </c>
      <c r="Q60" s="460">
        <f t="array" ref="Q60:CC60">C60*ForwardToZero(OisBuckets,E60,F60,G60)</f>
        <v>0</v>
      </c>
      <c r="R60" s="460">
        <v>0</v>
      </c>
      <c r="S60" s="460">
        <v>0</v>
      </c>
      <c r="T60" s="460">
        <v>0</v>
      </c>
      <c r="U60" s="460">
        <v>0</v>
      </c>
      <c r="V60" s="460">
        <v>0</v>
      </c>
      <c r="W60" s="460">
        <v>0</v>
      </c>
      <c r="X60" s="460">
        <v>0</v>
      </c>
      <c r="Y60" s="460">
        <v>0</v>
      </c>
      <c r="Z60" s="460">
        <v>0</v>
      </c>
      <c r="AA60" s="460">
        <v>0</v>
      </c>
      <c r="AB60" s="460">
        <v>0</v>
      </c>
      <c r="AC60" s="460">
        <v>0</v>
      </c>
      <c r="AD60" s="460">
        <v>0</v>
      </c>
      <c r="AE60" s="460">
        <v>0</v>
      </c>
      <c r="AF60" s="460">
        <v>0</v>
      </c>
      <c r="AG60" s="460">
        <v>0</v>
      </c>
      <c r="AH60" s="460">
        <v>0</v>
      </c>
      <c r="AI60" s="460">
        <v>0</v>
      </c>
      <c r="AJ60" s="460">
        <v>0</v>
      </c>
      <c r="AK60" s="460">
        <v>0</v>
      </c>
      <c r="AL60" s="460">
        <v>0</v>
      </c>
      <c r="AM60" s="460">
        <v>0</v>
      </c>
      <c r="AN60" s="460">
        <v>0</v>
      </c>
      <c r="AO60" s="460">
        <v>0</v>
      </c>
      <c r="AP60" s="460">
        <v>0</v>
      </c>
      <c r="AQ60" s="460">
        <v>0</v>
      </c>
      <c r="AR60" s="460">
        <v>0</v>
      </c>
      <c r="AS60" s="460">
        <v>0</v>
      </c>
      <c r="AT60" s="460">
        <v>0</v>
      </c>
      <c r="AU60" s="460">
        <v>0</v>
      </c>
      <c r="AV60" s="460">
        <v>0</v>
      </c>
      <c r="AW60" s="460">
        <v>0</v>
      </c>
      <c r="AX60" s="460">
        <v>0</v>
      </c>
      <c r="AY60" s="460">
        <v>0</v>
      </c>
      <c r="AZ60" s="460">
        <v>0</v>
      </c>
      <c r="BA60" s="460">
        <v>0</v>
      </c>
      <c r="BB60" s="460">
        <v>0</v>
      </c>
      <c r="BC60" s="460">
        <v>0</v>
      </c>
      <c r="BD60" s="460">
        <v>0</v>
      </c>
      <c r="BE60" s="460">
        <v>0</v>
      </c>
      <c r="BF60" s="460">
        <v>0</v>
      </c>
      <c r="BG60" s="460">
        <v>0</v>
      </c>
      <c r="BH60" s="460">
        <v>0</v>
      </c>
      <c r="BI60" s="460">
        <v>0</v>
      </c>
      <c r="BJ60" s="460">
        <v>0</v>
      </c>
      <c r="BK60" s="460">
        <v>0</v>
      </c>
      <c r="BL60" s="460">
        <v>0</v>
      </c>
      <c r="BM60" s="460">
        <v>0</v>
      </c>
      <c r="BN60" s="460">
        <v>0</v>
      </c>
      <c r="BO60" s="460">
        <v>0</v>
      </c>
      <c r="BP60" s="460">
        <v>0</v>
      </c>
      <c r="BQ60" s="460">
        <v>0</v>
      </c>
      <c r="BR60" s="460">
        <v>0</v>
      </c>
      <c r="BS60" s="460">
        <v>0</v>
      </c>
      <c r="BT60" s="460">
        <v>0</v>
      </c>
      <c r="BU60" s="460">
        <v>0</v>
      </c>
      <c r="BV60" s="460">
        <v>0</v>
      </c>
      <c r="BW60" s="460">
        <v>0</v>
      </c>
      <c r="BX60" s="460">
        <v>0</v>
      </c>
      <c r="BY60" s="460">
        <v>0</v>
      </c>
      <c r="BZ60" s="460">
        <v>0</v>
      </c>
      <c r="CA60" s="460" t="e">
        <v>#N/A</v>
      </c>
      <c r="CB60" s="460" t="e">
        <v>#N/A</v>
      </c>
      <c r="CC60" s="460" t="e">
        <v>#N/A</v>
      </c>
      <c r="CD60"/>
      <c r="CE60"/>
      <c r="CF60"/>
      <c r="CG60"/>
      <c r="CH60"/>
    </row>
    <row r="61" spans="1:86" ht="12.75" customHeight="1">
      <c r="A61" s="105">
        <v>56</v>
      </c>
      <c r="B61" s="112" t="str">
        <v>33Y</v>
      </c>
      <c r="C61" s="465">
        <f>'eur disaggregated'!AF72</f>
        <v>0</v>
      </c>
      <c r="D61" s="111" t="str">
        <f t="shared" si="5"/>
        <v>396M</v>
      </c>
      <c r="E61" s="441">
        <f>IF(LEN(B61)&lt;4,$C$1,IF(OR(LEFT(B61,3)="DEC",LEFT(B61,3)="MAR",LEFT(B61,3)="JUN",LEFT(B61,3)="SEP"),INDEX(EurMkt!$F$15:$F$34,MATCH(B61,EurMkt!$H$15:$H$34,0)),F58))</f>
        <v>42696</v>
      </c>
      <c r="F61" s="441">
        <f>IF(AND(NOT(ISNA(MATCH(RIGHT(B61,2),$I$6:$I$67,0))),LEN(B61)&lt;6,RIGHT(B61,1)="M"), INDEX($K$6:$K$67, MATCH(RIGHT(B61,2),$I$6:$I$67,0)), IF(AND(NOT(ISNA(MATCH(RIGHT(B61,3),$I$6:$I$67,0))), LEN(B61)&gt;=6, RIGHT(B61,1)="M"), INDEX($K$6:$K$67, MATCH(RIGHT(B61,3),$I$6:$I$67,0)), _xll.qlCalendarAdvance(Calendar,E61,D61)))</f>
        <v>54749</v>
      </c>
      <c r="G61" s="462">
        <f t="shared" si="3"/>
        <v>1.133723188E-2</v>
      </c>
      <c r="H61" s="453">
        <v>1.133723188</v>
      </c>
      <c r="I61" s="107" t="str">
        <v>28Y</v>
      </c>
      <c r="J61" s="106" t="str">
        <f t="shared" si="0"/>
        <v>336M</v>
      </c>
      <c r="K61" s="448">
        <f>_xll.qlCalendarAdvance("TARGET",SettlementDate,J61)</f>
        <v>52923</v>
      </c>
      <c r="M61" s="99" t="str">
        <v>28Y</v>
      </c>
      <c r="N61" s="465">
        <v>7.4274044571802928E-5</v>
      </c>
      <c r="P61" s="106" t="b">
        <f t="shared" si="6"/>
        <v>0</v>
      </c>
      <c r="Q61" s="460">
        <f t="array" ref="Q61:CC61">C61*ForwardToZero(OisBuckets,E61,F61,G61)</f>
        <v>0</v>
      </c>
      <c r="R61" s="460">
        <v>0</v>
      </c>
      <c r="S61" s="460">
        <v>0</v>
      </c>
      <c r="T61" s="460">
        <v>0</v>
      </c>
      <c r="U61" s="460">
        <v>0</v>
      </c>
      <c r="V61" s="460">
        <v>0</v>
      </c>
      <c r="W61" s="460">
        <v>0</v>
      </c>
      <c r="X61" s="460">
        <v>0</v>
      </c>
      <c r="Y61" s="460">
        <v>0</v>
      </c>
      <c r="Z61" s="460">
        <v>0</v>
      </c>
      <c r="AA61" s="460">
        <v>0</v>
      </c>
      <c r="AB61" s="460">
        <v>0</v>
      </c>
      <c r="AC61" s="460">
        <v>0</v>
      </c>
      <c r="AD61" s="460">
        <v>0</v>
      </c>
      <c r="AE61" s="460">
        <v>0</v>
      </c>
      <c r="AF61" s="460">
        <v>0</v>
      </c>
      <c r="AG61" s="460">
        <v>0</v>
      </c>
      <c r="AH61" s="460">
        <v>0</v>
      </c>
      <c r="AI61" s="460">
        <v>0</v>
      </c>
      <c r="AJ61" s="460">
        <v>0</v>
      </c>
      <c r="AK61" s="460">
        <v>0</v>
      </c>
      <c r="AL61" s="460">
        <v>0</v>
      </c>
      <c r="AM61" s="460">
        <v>0</v>
      </c>
      <c r="AN61" s="460">
        <v>0</v>
      </c>
      <c r="AO61" s="460">
        <v>0</v>
      </c>
      <c r="AP61" s="460">
        <v>0</v>
      </c>
      <c r="AQ61" s="460">
        <v>0</v>
      </c>
      <c r="AR61" s="460">
        <v>0</v>
      </c>
      <c r="AS61" s="460">
        <v>0</v>
      </c>
      <c r="AT61" s="460">
        <v>0</v>
      </c>
      <c r="AU61" s="460">
        <v>0</v>
      </c>
      <c r="AV61" s="460">
        <v>0</v>
      </c>
      <c r="AW61" s="460">
        <v>0</v>
      </c>
      <c r="AX61" s="460">
        <v>0</v>
      </c>
      <c r="AY61" s="460">
        <v>0</v>
      </c>
      <c r="AZ61" s="460">
        <v>0</v>
      </c>
      <c r="BA61" s="460">
        <v>0</v>
      </c>
      <c r="BB61" s="460">
        <v>0</v>
      </c>
      <c r="BC61" s="460">
        <v>0</v>
      </c>
      <c r="BD61" s="460">
        <v>0</v>
      </c>
      <c r="BE61" s="460">
        <v>0</v>
      </c>
      <c r="BF61" s="460">
        <v>0</v>
      </c>
      <c r="BG61" s="460">
        <v>0</v>
      </c>
      <c r="BH61" s="460">
        <v>0</v>
      </c>
      <c r="BI61" s="460">
        <v>0</v>
      </c>
      <c r="BJ61" s="460">
        <v>0</v>
      </c>
      <c r="BK61" s="460">
        <v>0</v>
      </c>
      <c r="BL61" s="460">
        <v>0</v>
      </c>
      <c r="BM61" s="460">
        <v>0</v>
      </c>
      <c r="BN61" s="460">
        <v>0</v>
      </c>
      <c r="BO61" s="460">
        <v>0</v>
      </c>
      <c r="BP61" s="460">
        <v>0</v>
      </c>
      <c r="BQ61" s="460">
        <v>0</v>
      </c>
      <c r="BR61" s="460">
        <v>0</v>
      </c>
      <c r="BS61" s="460">
        <v>0</v>
      </c>
      <c r="BT61" s="460">
        <v>0</v>
      </c>
      <c r="BU61" s="460">
        <v>0</v>
      </c>
      <c r="BV61" s="460">
        <v>0</v>
      </c>
      <c r="BW61" s="460">
        <v>0</v>
      </c>
      <c r="BX61" s="460">
        <v>0</v>
      </c>
      <c r="BY61" s="460">
        <v>0</v>
      </c>
      <c r="BZ61" s="460">
        <v>0</v>
      </c>
      <c r="CA61" s="460" t="e">
        <v>#N/A</v>
      </c>
      <c r="CB61" s="460" t="e">
        <v>#N/A</v>
      </c>
      <c r="CC61" s="460" t="e">
        <v>#N/A</v>
      </c>
      <c r="CD61"/>
      <c r="CE61"/>
      <c r="CF61"/>
      <c r="CG61"/>
      <c r="CH61"/>
    </row>
    <row r="62" spans="1:86" ht="12.75" customHeight="1">
      <c r="A62" s="105">
        <v>57</v>
      </c>
      <c r="B62" s="112" t="str">
        <v>34Y</v>
      </c>
      <c r="C62" s="465">
        <f>'eur disaggregated'!AF73</f>
        <v>0</v>
      </c>
      <c r="D62" s="111" t="str">
        <f t="shared" si="5"/>
        <v>408M</v>
      </c>
      <c r="E62" s="441">
        <f>IF(LEN(B62)&lt;4,$C$1,IF(OR(LEFT(B62,3)="DEC",LEFT(B62,3)="MAR",LEFT(B62,3)="JUN",LEFT(B62,3)="SEP"),INDEX(EurMkt!$F$15:$F$34,MATCH(B62,EurMkt!$H$15:$H$34,0)),F59))</f>
        <v>42696</v>
      </c>
      <c r="F62" s="441">
        <f>IF(AND(NOT(ISNA(MATCH(RIGHT(B62,2),$I$6:$I$67,0))),LEN(B62)&lt;6,RIGHT(B62,1)="M"), INDEX($K$6:$K$67, MATCH(RIGHT(B62,2),$I$6:$I$67,0)), IF(AND(NOT(ISNA(MATCH(RIGHT(B62,3),$I$6:$I$67,0))), LEN(B62)&gt;=6, RIGHT(B62,1)="M"), INDEX($K$6:$K$67, MATCH(RIGHT(B62,3),$I$6:$I$67,0)), _xll.qlCalendarAdvance(Calendar,E62,D62)))</f>
        <v>55114</v>
      </c>
      <c r="G62" s="462">
        <f t="shared" si="3"/>
        <v>1.134284367E-2</v>
      </c>
      <c r="H62" s="453">
        <v>1.134284367</v>
      </c>
      <c r="I62" s="107" t="str">
        <v>29Y</v>
      </c>
      <c r="J62" s="106" t="str">
        <f t="shared" si="0"/>
        <v>348M</v>
      </c>
      <c r="K62" s="448">
        <f>_xll.qlCalendarAdvance("TARGET",SettlementDate,J62)</f>
        <v>53288</v>
      </c>
      <c r="M62" s="99" t="str">
        <v>29Y</v>
      </c>
      <c r="N62" s="465">
        <v>-1.5078873095778529E-6</v>
      </c>
      <c r="P62" s="106" t="b">
        <f t="shared" si="6"/>
        <v>0</v>
      </c>
      <c r="Q62" s="460">
        <f t="array" ref="Q62:CC62">C62*ForwardToZero(OisBuckets,E62,F62,G62)</f>
        <v>0</v>
      </c>
      <c r="R62" s="460">
        <v>0</v>
      </c>
      <c r="S62" s="460">
        <v>0</v>
      </c>
      <c r="T62" s="460">
        <v>0</v>
      </c>
      <c r="U62" s="460">
        <v>0</v>
      </c>
      <c r="V62" s="460">
        <v>0</v>
      </c>
      <c r="W62" s="460">
        <v>0</v>
      </c>
      <c r="X62" s="460">
        <v>0</v>
      </c>
      <c r="Y62" s="460">
        <v>0</v>
      </c>
      <c r="Z62" s="460">
        <v>0</v>
      </c>
      <c r="AA62" s="460">
        <v>0</v>
      </c>
      <c r="AB62" s="460">
        <v>0</v>
      </c>
      <c r="AC62" s="460">
        <v>0</v>
      </c>
      <c r="AD62" s="460">
        <v>0</v>
      </c>
      <c r="AE62" s="460">
        <v>0</v>
      </c>
      <c r="AF62" s="460">
        <v>0</v>
      </c>
      <c r="AG62" s="460">
        <v>0</v>
      </c>
      <c r="AH62" s="460">
        <v>0</v>
      </c>
      <c r="AI62" s="460">
        <v>0</v>
      </c>
      <c r="AJ62" s="460">
        <v>0</v>
      </c>
      <c r="AK62" s="460">
        <v>0</v>
      </c>
      <c r="AL62" s="460">
        <v>0</v>
      </c>
      <c r="AM62" s="460">
        <v>0</v>
      </c>
      <c r="AN62" s="460">
        <v>0</v>
      </c>
      <c r="AO62" s="460">
        <v>0</v>
      </c>
      <c r="AP62" s="460">
        <v>0</v>
      </c>
      <c r="AQ62" s="460">
        <v>0</v>
      </c>
      <c r="AR62" s="460">
        <v>0</v>
      </c>
      <c r="AS62" s="460">
        <v>0</v>
      </c>
      <c r="AT62" s="460">
        <v>0</v>
      </c>
      <c r="AU62" s="460">
        <v>0</v>
      </c>
      <c r="AV62" s="460">
        <v>0</v>
      </c>
      <c r="AW62" s="460">
        <v>0</v>
      </c>
      <c r="AX62" s="460">
        <v>0</v>
      </c>
      <c r="AY62" s="460">
        <v>0</v>
      </c>
      <c r="AZ62" s="460">
        <v>0</v>
      </c>
      <c r="BA62" s="460">
        <v>0</v>
      </c>
      <c r="BB62" s="460">
        <v>0</v>
      </c>
      <c r="BC62" s="460">
        <v>0</v>
      </c>
      <c r="BD62" s="460">
        <v>0</v>
      </c>
      <c r="BE62" s="460">
        <v>0</v>
      </c>
      <c r="BF62" s="460">
        <v>0</v>
      </c>
      <c r="BG62" s="460">
        <v>0</v>
      </c>
      <c r="BH62" s="460">
        <v>0</v>
      </c>
      <c r="BI62" s="460">
        <v>0</v>
      </c>
      <c r="BJ62" s="460">
        <v>0</v>
      </c>
      <c r="BK62" s="460">
        <v>0</v>
      </c>
      <c r="BL62" s="460">
        <v>0</v>
      </c>
      <c r="BM62" s="460">
        <v>0</v>
      </c>
      <c r="BN62" s="460">
        <v>0</v>
      </c>
      <c r="BO62" s="460">
        <v>0</v>
      </c>
      <c r="BP62" s="460">
        <v>0</v>
      </c>
      <c r="BQ62" s="460">
        <v>0</v>
      </c>
      <c r="BR62" s="460">
        <v>0</v>
      </c>
      <c r="BS62" s="460">
        <v>0</v>
      </c>
      <c r="BT62" s="460">
        <v>0</v>
      </c>
      <c r="BU62" s="460">
        <v>0</v>
      </c>
      <c r="BV62" s="460">
        <v>0</v>
      </c>
      <c r="BW62" s="460">
        <v>0</v>
      </c>
      <c r="BX62" s="460">
        <v>0</v>
      </c>
      <c r="BY62" s="460">
        <v>0</v>
      </c>
      <c r="BZ62" s="460">
        <v>0</v>
      </c>
      <c r="CA62" s="460" t="e">
        <v>#N/A</v>
      </c>
      <c r="CB62" s="460" t="e">
        <v>#N/A</v>
      </c>
      <c r="CC62" s="460" t="e">
        <v>#N/A</v>
      </c>
      <c r="CD62"/>
      <c r="CE62"/>
      <c r="CF62"/>
      <c r="CG62"/>
      <c r="CH62"/>
    </row>
    <row r="63" spans="1:86" ht="12.75" customHeight="1">
      <c r="A63" s="105">
        <v>58</v>
      </c>
      <c r="B63" s="112" t="str">
        <v>35Y</v>
      </c>
      <c r="C63" s="465">
        <f>'eur disaggregated'!AF74</f>
        <v>0</v>
      </c>
      <c r="D63" s="111" t="str">
        <f t="shared" si="5"/>
        <v>420M</v>
      </c>
      <c r="E63" s="441">
        <f>IF(LEN(B63)&lt;4,$C$1,IF(OR(LEFT(B63,3)="DEC",LEFT(B63,3)="MAR",LEFT(B63,3)="JUN",LEFT(B63,3)="SEP"),INDEX(EurMkt!$F$15:$F$34,MATCH(B63,EurMkt!$H$15:$H$34,0)),F60))</f>
        <v>42696</v>
      </c>
      <c r="F63" s="441">
        <f>IF(AND(NOT(ISNA(MATCH(RIGHT(B63,2),$I$6:$I$67,0))),LEN(B63)&lt;6,RIGHT(B63,1)="M"), INDEX($K$6:$K$67, MATCH(RIGHT(B63,2),$I$6:$I$67,0)), IF(AND(NOT(ISNA(MATCH(RIGHT(B63,3),$I$6:$I$67,0))), LEN(B63)&gt;=6, RIGHT(B63,1)="M"), INDEX($K$6:$K$67, MATCH(RIGHT(B63,3),$I$6:$I$67,0)), _xll.qlCalendarAdvance(Calendar,E63,D63)))</f>
        <v>55479</v>
      </c>
      <c r="G63" s="462">
        <f t="shared" si="3"/>
        <v>1.1343177269999999E-2</v>
      </c>
      <c r="H63" s="453">
        <v>1.134317727</v>
      </c>
      <c r="I63" s="107" t="str">
        <v>30Y</v>
      </c>
      <c r="J63" s="106" t="str">
        <f t="shared" si="0"/>
        <v>360M</v>
      </c>
      <c r="K63" s="448">
        <f>_xll.qlCalendarAdvance("TARGET",SettlementDate,J63)</f>
        <v>53653</v>
      </c>
      <c r="M63" s="99" t="str">
        <v>30Y</v>
      </c>
      <c r="N63" s="465">
        <v>-9.4919990941354425E-10</v>
      </c>
      <c r="P63" s="106" t="b">
        <f t="shared" si="6"/>
        <v>0</v>
      </c>
      <c r="Q63" s="460">
        <f t="array" ref="Q63:CC63">C63*ForwardToZero(OisBuckets,E63,F63,G63)</f>
        <v>0</v>
      </c>
      <c r="R63" s="460">
        <v>0</v>
      </c>
      <c r="S63" s="460">
        <v>0</v>
      </c>
      <c r="T63" s="460">
        <v>0</v>
      </c>
      <c r="U63" s="460">
        <v>0</v>
      </c>
      <c r="V63" s="460">
        <v>0</v>
      </c>
      <c r="W63" s="460">
        <v>0</v>
      </c>
      <c r="X63" s="460">
        <v>0</v>
      </c>
      <c r="Y63" s="460">
        <v>0</v>
      </c>
      <c r="Z63" s="460">
        <v>0</v>
      </c>
      <c r="AA63" s="460">
        <v>0</v>
      </c>
      <c r="AB63" s="460">
        <v>0</v>
      </c>
      <c r="AC63" s="460">
        <v>0</v>
      </c>
      <c r="AD63" s="460">
        <v>0</v>
      </c>
      <c r="AE63" s="460">
        <v>0</v>
      </c>
      <c r="AF63" s="460">
        <v>0</v>
      </c>
      <c r="AG63" s="460">
        <v>0</v>
      </c>
      <c r="AH63" s="460">
        <v>0</v>
      </c>
      <c r="AI63" s="460">
        <v>0</v>
      </c>
      <c r="AJ63" s="460">
        <v>0</v>
      </c>
      <c r="AK63" s="460">
        <v>0</v>
      </c>
      <c r="AL63" s="460">
        <v>0</v>
      </c>
      <c r="AM63" s="460">
        <v>0</v>
      </c>
      <c r="AN63" s="460">
        <v>0</v>
      </c>
      <c r="AO63" s="460">
        <v>0</v>
      </c>
      <c r="AP63" s="460">
        <v>0</v>
      </c>
      <c r="AQ63" s="460">
        <v>0</v>
      </c>
      <c r="AR63" s="460">
        <v>0</v>
      </c>
      <c r="AS63" s="460">
        <v>0</v>
      </c>
      <c r="AT63" s="460">
        <v>0</v>
      </c>
      <c r="AU63" s="460">
        <v>0</v>
      </c>
      <c r="AV63" s="460">
        <v>0</v>
      </c>
      <c r="AW63" s="460">
        <v>0</v>
      </c>
      <c r="AX63" s="460">
        <v>0</v>
      </c>
      <c r="AY63" s="460">
        <v>0</v>
      </c>
      <c r="AZ63" s="460">
        <v>0</v>
      </c>
      <c r="BA63" s="460">
        <v>0</v>
      </c>
      <c r="BB63" s="460">
        <v>0</v>
      </c>
      <c r="BC63" s="460">
        <v>0</v>
      </c>
      <c r="BD63" s="460">
        <v>0</v>
      </c>
      <c r="BE63" s="460">
        <v>0</v>
      </c>
      <c r="BF63" s="460">
        <v>0</v>
      </c>
      <c r="BG63" s="460">
        <v>0</v>
      </c>
      <c r="BH63" s="460">
        <v>0</v>
      </c>
      <c r="BI63" s="460">
        <v>0</v>
      </c>
      <c r="BJ63" s="460">
        <v>0</v>
      </c>
      <c r="BK63" s="460">
        <v>0</v>
      </c>
      <c r="BL63" s="460">
        <v>0</v>
      </c>
      <c r="BM63" s="460">
        <v>0</v>
      </c>
      <c r="BN63" s="460">
        <v>0</v>
      </c>
      <c r="BO63" s="460">
        <v>0</v>
      </c>
      <c r="BP63" s="460">
        <v>0</v>
      </c>
      <c r="BQ63" s="460">
        <v>0</v>
      </c>
      <c r="BR63" s="460">
        <v>0</v>
      </c>
      <c r="BS63" s="460">
        <v>0</v>
      </c>
      <c r="BT63" s="460">
        <v>0</v>
      </c>
      <c r="BU63" s="460">
        <v>0</v>
      </c>
      <c r="BV63" s="460">
        <v>0</v>
      </c>
      <c r="BW63" s="460">
        <v>0</v>
      </c>
      <c r="BX63" s="460">
        <v>0</v>
      </c>
      <c r="BY63" s="460">
        <v>0</v>
      </c>
      <c r="BZ63" s="460">
        <v>0</v>
      </c>
      <c r="CA63" s="460" t="e">
        <v>#N/A</v>
      </c>
      <c r="CB63" s="460" t="e">
        <v>#N/A</v>
      </c>
      <c r="CC63" s="460" t="e">
        <v>#N/A</v>
      </c>
      <c r="CD63"/>
      <c r="CE63"/>
      <c r="CF63"/>
      <c r="CG63"/>
      <c r="CH63"/>
    </row>
    <row r="64" spans="1:86" ht="12.75" customHeight="1">
      <c r="A64" s="105">
        <v>59</v>
      </c>
      <c r="B64" s="112" t="str">
        <v>36Y</v>
      </c>
      <c r="C64" s="465">
        <f>'eur disaggregated'!AF75</f>
        <v>0</v>
      </c>
      <c r="D64" s="111" t="str">
        <f t="shared" si="5"/>
        <v>432M</v>
      </c>
      <c r="E64" s="441">
        <f>IF(LEN(B64)&lt;4,$C$1,IF(OR(LEFT(B64,3)="DEC",LEFT(B64,3)="MAR",LEFT(B64,3)="JUN",LEFT(B64,3)="SEP"),INDEX(EurMkt!$F$15:$F$34,MATCH(B64,EurMkt!$H$15:$H$34,0)),F61))</f>
        <v>42696</v>
      </c>
      <c r="F64" s="441">
        <f>IF(AND(NOT(ISNA(MATCH(RIGHT(B64,2),$I$6:$I$67,0))),LEN(B64)&lt;6,RIGHT(B64,1)="M"), INDEX($K$6:$K$67, MATCH(RIGHT(B64,2),$I$6:$I$67,0)), IF(AND(NOT(ISNA(MATCH(RIGHT(B64,3),$I$6:$I$67,0))), LEN(B64)&gt;=6, RIGHT(B64,1)="M"), INDEX($K$6:$K$67, MATCH(RIGHT(B64,3),$I$6:$I$67,0)), _xll.qlCalendarAdvance(Calendar,E64,D64)))</f>
        <v>55845</v>
      </c>
      <c r="G64" s="462">
        <f t="shared" si="3"/>
        <v>1.133877474E-2</v>
      </c>
      <c r="H64" s="453">
        <v>1.1338774739999999</v>
      </c>
      <c r="I64" s="107" t="str">
        <v>35Y</v>
      </c>
      <c r="J64" s="106" t="str">
        <f t="shared" si="0"/>
        <v>420M</v>
      </c>
      <c r="K64" s="448">
        <f>_xll.qlCalendarAdvance("TARGET",SettlementDate,J64)</f>
        <v>55479</v>
      </c>
      <c r="M64" s="99" t="str">
        <v>35Y</v>
      </c>
      <c r="N64" s="465">
        <v>0</v>
      </c>
      <c r="P64" s="106" t="b">
        <f t="shared" si="6"/>
        <v>0</v>
      </c>
      <c r="Q64" s="460">
        <f t="array" ref="Q64:CC64">C64*ForwardToZero(OisBuckets,E64,F64,G64)</f>
        <v>0</v>
      </c>
      <c r="R64" s="460">
        <v>0</v>
      </c>
      <c r="S64" s="460">
        <v>0</v>
      </c>
      <c r="T64" s="460">
        <v>0</v>
      </c>
      <c r="U64" s="460">
        <v>0</v>
      </c>
      <c r="V64" s="460">
        <v>0</v>
      </c>
      <c r="W64" s="460">
        <v>0</v>
      </c>
      <c r="X64" s="460">
        <v>0</v>
      </c>
      <c r="Y64" s="460">
        <v>0</v>
      </c>
      <c r="Z64" s="460">
        <v>0</v>
      </c>
      <c r="AA64" s="460">
        <v>0</v>
      </c>
      <c r="AB64" s="460">
        <v>0</v>
      </c>
      <c r="AC64" s="460">
        <v>0</v>
      </c>
      <c r="AD64" s="460">
        <v>0</v>
      </c>
      <c r="AE64" s="460">
        <v>0</v>
      </c>
      <c r="AF64" s="460">
        <v>0</v>
      </c>
      <c r="AG64" s="460">
        <v>0</v>
      </c>
      <c r="AH64" s="460">
        <v>0</v>
      </c>
      <c r="AI64" s="460">
        <v>0</v>
      </c>
      <c r="AJ64" s="460">
        <v>0</v>
      </c>
      <c r="AK64" s="460">
        <v>0</v>
      </c>
      <c r="AL64" s="460">
        <v>0</v>
      </c>
      <c r="AM64" s="460">
        <v>0</v>
      </c>
      <c r="AN64" s="460">
        <v>0</v>
      </c>
      <c r="AO64" s="460">
        <v>0</v>
      </c>
      <c r="AP64" s="460">
        <v>0</v>
      </c>
      <c r="AQ64" s="460">
        <v>0</v>
      </c>
      <c r="AR64" s="460">
        <v>0</v>
      </c>
      <c r="AS64" s="460">
        <v>0</v>
      </c>
      <c r="AT64" s="460">
        <v>0</v>
      </c>
      <c r="AU64" s="460">
        <v>0</v>
      </c>
      <c r="AV64" s="460">
        <v>0</v>
      </c>
      <c r="AW64" s="460">
        <v>0</v>
      </c>
      <c r="AX64" s="460">
        <v>0</v>
      </c>
      <c r="AY64" s="460">
        <v>0</v>
      </c>
      <c r="AZ64" s="460">
        <v>0</v>
      </c>
      <c r="BA64" s="460">
        <v>0</v>
      </c>
      <c r="BB64" s="460">
        <v>0</v>
      </c>
      <c r="BC64" s="460">
        <v>0</v>
      </c>
      <c r="BD64" s="460">
        <v>0</v>
      </c>
      <c r="BE64" s="460">
        <v>0</v>
      </c>
      <c r="BF64" s="460">
        <v>0</v>
      </c>
      <c r="BG64" s="460">
        <v>0</v>
      </c>
      <c r="BH64" s="460">
        <v>0</v>
      </c>
      <c r="BI64" s="460">
        <v>0</v>
      </c>
      <c r="BJ64" s="460">
        <v>0</v>
      </c>
      <c r="BK64" s="460">
        <v>0</v>
      </c>
      <c r="BL64" s="460">
        <v>0</v>
      </c>
      <c r="BM64" s="460">
        <v>0</v>
      </c>
      <c r="BN64" s="460">
        <v>0</v>
      </c>
      <c r="BO64" s="460">
        <v>0</v>
      </c>
      <c r="BP64" s="460">
        <v>0</v>
      </c>
      <c r="BQ64" s="460">
        <v>0</v>
      </c>
      <c r="BR64" s="460">
        <v>0</v>
      </c>
      <c r="BS64" s="460">
        <v>0</v>
      </c>
      <c r="BT64" s="460">
        <v>0</v>
      </c>
      <c r="BU64" s="460">
        <v>0</v>
      </c>
      <c r="BV64" s="460">
        <v>0</v>
      </c>
      <c r="BW64" s="460">
        <v>0</v>
      </c>
      <c r="BX64" s="460">
        <v>0</v>
      </c>
      <c r="BY64" s="460">
        <v>0</v>
      </c>
      <c r="BZ64" s="460">
        <v>0</v>
      </c>
      <c r="CA64" s="460" t="e">
        <v>#N/A</v>
      </c>
      <c r="CB64" s="460" t="e">
        <v>#N/A</v>
      </c>
      <c r="CC64" s="460" t="e">
        <v>#N/A</v>
      </c>
      <c r="CD64"/>
      <c r="CE64"/>
      <c r="CF64"/>
      <c r="CG64"/>
      <c r="CH64"/>
    </row>
    <row r="65" spans="1:86" ht="12.75" customHeight="1">
      <c r="A65" s="105">
        <v>60</v>
      </c>
      <c r="B65" s="112" t="str">
        <v>37Y</v>
      </c>
      <c r="C65" s="465">
        <f>'eur disaggregated'!AF76</f>
        <v>0</v>
      </c>
      <c r="D65" s="111" t="str">
        <f t="shared" si="5"/>
        <v>444M</v>
      </c>
      <c r="E65" s="441">
        <f>IF(LEN(B65)&lt;4,$C$1,IF(OR(LEFT(B65,3)="DEC",LEFT(B65,3)="MAR",LEFT(B65,3)="JUN",LEFT(B65,3)="SEP"),INDEX(EurMkt!$F$15:$F$34,MATCH(B65,EurMkt!$H$15:$H$34,0)),F62))</f>
        <v>42696</v>
      </c>
      <c r="F65" s="441">
        <f>IF(AND(NOT(ISNA(MATCH(RIGHT(B65,2),$I$6:$I$67,0))),LEN(B65)&lt;6,RIGHT(B65,1)="M"), INDEX($K$6:$K$67, MATCH(RIGHT(B65,2),$I$6:$I$67,0)), IF(AND(NOT(ISNA(MATCH(RIGHT(B65,3),$I$6:$I$67,0))), LEN(B65)&gt;=6, RIGHT(B65,1)="M"), INDEX($K$6:$K$67, MATCH(RIGHT(B65,3),$I$6:$I$67,0)), _xll.qlCalendarAdvance(Calendar,E65,D65)))</f>
        <v>56212</v>
      </c>
      <c r="G65" s="462">
        <f t="shared" si="3"/>
        <v>1.1327995289999998E-2</v>
      </c>
      <c r="H65" s="453">
        <v>1.1327995289999999</v>
      </c>
      <c r="I65" s="107" t="str">
        <v>40Y</v>
      </c>
      <c r="J65" s="106" t="str">
        <f t="shared" si="0"/>
        <v>480M</v>
      </c>
      <c r="K65" s="448">
        <f>_xll.qlCalendarAdvance("TARGET",SettlementDate,J65)</f>
        <v>57306</v>
      </c>
      <c r="M65" s="99" t="str">
        <v>40Y</v>
      </c>
      <c r="N65" s="465">
        <v>0</v>
      </c>
      <c r="P65" s="106" t="b">
        <f t="shared" si="6"/>
        <v>0</v>
      </c>
      <c r="Q65" s="460">
        <f t="array" ref="Q65:CC65">C65*ForwardToZero(OisBuckets,E65,F65,G65)</f>
        <v>0</v>
      </c>
      <c r="R65" s="460">
        <v>0</v>
      </c>
      <c r="S65" s="460">
        <v>0</v>
      </c>
      <c r="T65" s="460">
        <v>0</v>
      </c>
      <c r="U65" s="460">
        <v>0</v>
      </c>
      <c r="V65" s="460">
        <v>0</v>
      </c>
      <c r="W65" s="460">
        <v>0</v>
      </c>
      <c r="X65" s="460">
        <v>0</v>
      </c>
      <c r="Y65" s="460">
        <v>0</v>
      </c>
      <c r="Z65" s="460">
        <v>0</v>
      </c>
      <c r="AA65" s="460">
        <v>0</v>
      </c>
      <c r="AB65" s="460">
        <v>0</v>
      </c>
      <c r="AC65" s="460">
        <v>0</v>
      </c>
      <c r="AD65" s="460">
        <v>0</v>
      </c>
      <c r="AE65" s="460">
        <v>0</v>
      </c>
      <c r="AF65" s="460">
        <v>0</v>
      </c>
      <c r="AG65" s="460">
        <v>0</v>
      </c>
      <c r="AH65" s="460">
        <v>0</v>
      </c>
      <c r="AI65" s="460">
        <v>0</v>
      </c>
      <c r="AJ65" s="460">
        <v>0</v>
      </c>
      <c r="AK65" s="460">
        <v>0</v>
      </c>
      <c r="AL65" s="460">
        <v>0</v>
      </c>
      <c r="AM65" s="460">
        <v>0</v>
      </c>
      <c r="AN65" s="460">
        <v>0</v>
      </c>
      <c r="AO65" s="460">
        <v>0</v>
      </c>
      <c r="AP65" s="460">
        <v>0</v>
      </c>
      <c r="AQ65" s="460">
        <v>0</v>
      </c>
      <c r="AR65" s="460">
        <v>0</v>
      </c>
      <c r="AS65" s="460">
        <v>0</v>
      </c>
      <c r="AT65" s="460">
        <v>0</v>
      </c>
      <c r="AU65" s="460">
        <v>0</v>
      </c>
      <c r="AV65" s="460">
        <v>0</v>
      </c>
      <c r="AW65" s="460">
        <v>0</v>
      </c>
      <c r="AX65" s="460">
        <v>0</v>
      </c>
      <c r="AY65" s="460">
        <v>0</v>
      </c>
      <c r="AZ65" s="460">
        <v>0</v>
      </c>
      <c r="BA65" s="460">
        <v>0</v>
      </c>
      <c r="BB65" s="460">
        <v>0</v>
      </c>
      <c r="BC65" s="460">
        <v>0</v>
      </c>
      <c r="BD65" s="460">
        <v>0</v>
      </c>
      <c r="BE65" s="460">
        <v>0</v>
      </c>
      <c r="BF65" s="460">
        <v>0</v>
      </c>
      <c r="BG65" s="460">
        <v>0</v>
      </c>
      <c r="BH65" s="460">
        <v>0</v>
      </c>
      <c r="BI65" s="460">
        <v>0</v>
      </c>
      <c r="BJ65" s="460">
        <v>0</v>
      </c>
      <c r="BK65" s="460">
        <v>0</v>
      </c>
      <c r="BL65" s="460">
        <v>0</v>
      </c>
      <c r="BM65" s="460">
        <v>0</v>
      </c>
      <c r="BN65" s="460">
        <v>0</v>
      </c>
      <c r="BO65" s="460">
        <v>0</v>
      </c>
      <c r="BP65" s="460">
        <v>0</v>
      </c>
      <c r="BQ65" s="460">
        <v>0</v>
      </c>
      <c r="BR65" s="460">
        <v>0</v>
      </c>
      <c r="BS65" s="460">
        <v>0</v>
      </c>
      <c r="BT65" s="460">
        <v>0</v>
      </c>
      <c r="BU65" s="460">
        <v>0</v>
      </c>
      <c r="BV65" s="460">
        <v>0</v>
      </c>
      <c r="BW65" s="460">
        <v>0</v>
      </c>
      <c r="BX65" s="460">
        <v>0</v>
      </c>
      <c r="BY65" s="460">
        <v>0</v>
      </c>
      <c r="BZ65" s="460">
        <v>0</v>
      </c>
      <c r="CA65" s="460" t="e">
        <v>#N/A</v>
      </c>
      <c r="CB65" s="460" t="e">
        <v>#N/A</v>
      </c>
      <c r="CC65" s="460" t="e">
        <v>#N/A</v>
      </c>
      <c r="CD65"/>
      <c r="CE65"/>
      <c r="CF65"/>
      <c r="CG65"/>
      <c r="CH65"/>
    </row>
    <row r="66" spans="1:86" ht="12.75" customHeight="1">
      <c r="A66" s="105">
        <v>61</v>
      </c>
      <c r="B66" s="112" t="str">
        <v>38Y</v>
      </c>
      <c r="C66" s="465">
        <f>'eur disaggregated'!AF77</f>
        <v>0</v>
      </c>
      <c r="D66" s="111" t="str">
        <f t="shared" si="5"/>
        <v>456M</v>
      </c>
      <c r="E66" s="441">
        <f>IF(LEN(B66)&lt;4,$C$1,IF(OR(LEFT(B66,3)="DEC",LEFT(B66,3)="MAR",LEFT(B66,3)="JUN",LEFT(B66,3)="SEP"),INDEX(EurMkt!$F$15:$F$34,MATCH(B66,EurMkt!$H$15:$H$34,0)),F63))</f>
        <v>42696</v>
      </c>
      <c r="F66" s="441">
        <f>IF(AND(NOT(ISNA(MATCH(RIGHT(B66,2),$I$6:$I$67,0))),LEN(B66)&lt;6,RIGHT(B66,1)="M"), INDEX($K$6:$K$67, MATCH(RIGHT(B66,2),$I$6:$I$67,0)), IF(AND(NOT(ISNA(MATCH(RIGHT(B66,3),$I$6:$I$67,0))), LEN(B66)&gt;=6, RIGHT(B66,1)="M"), INDEX($K$6:$K$67, MATCH(RIGHT(B66,3),$I$6:$I$67,0)), _xll.qlCalendarAdvance(Calendar,E66,D66)))</f>
        <v>56576</v>
      </c>
      <c r="G66" s="462">
        <f t="shared" si="3"/>
        <v>1.1311357609999999E-2</v>
      </c>
      <c r="H66" s="453">
        <v>1.1311357609999999</v>
      </c>
      <c r="I66" s="107" t="str">
        <v>50Y</v>
      </c>
      <c r="J66" s="106" t="str">
        <f t="shared" si="0"/>
        <v>600M</v>
      </c>
      <c r="K66" s="448">
        <f>_xll.qlCalendarAdvance("TARGET",SettlementDate,J66)</f>
        <v>60958</v>
      </c>
      <c r="M66" s="99" t="str">
        <v>50Y</v>
      </c>
      <c r="N66" s="465">
        <v>0</v>
      </c>
      <c r="P66" s="106" t="b">
        <f t="shared" si="6"/>
        <v>0</v>
      </c>
      <c r="Q66" s="460">
        <f t="array" ref="Q66:CC66">C66*ForwardToZero(OisBuckets,E66,F66,G66)</f>
        <v>0</v>
      </c>
      <c r="R66" s="460">
        <v>0</v>
      </c>
      <c r="S66" s="460">
        <v>0</v>
      </c>
      <c r="T66" s="460">
        <v>0</v>
      </c>
      <c r="U66" s="460">
        <v>0</v>
      </c>
      <c r="V66" s="460">
        <v>0</v>
      </c>
      <c r="W66" s="460">
        <v>0</v>
      </c>
      <c r="X66" s="460">
        <v>0</v>
      </c>
      <c r="Y66" s="460">
        <v>0</v>
      </c>
      <c r="Z66" s="460">
        <v>0</v>
      </c>
      <c r="AA66" s="460">
        <v>0</v>
      </c>
      <c r="AB66" s="460">
        <v>0</v>
      </c>
      <c r="AC66" s="460">
        <v>0</v>
      </c>
      <c r="AD66" s="460">
        <v>0</v>
      </c>
      <c r="AE66" s="460">
        <v>0</v>
      </c>
      <c r="AF66" s="460">
        <v>0</v>
      </c>
      <c r="AG66" s="460">
        <v>0</v>
      </c>
      <c r="AH66" s="460">
        <v>0</v>
      </c>
      <c r="AI66" s="460">
        <v>0</v>
      </c>
      <c r="AJ66" s="460">
        <v>0</v>
      </c>
      <c r="AK66" s="460">
        <v>0</v>
      </c>
      <c r="AL66" s="460">
        <v>0</v>
      </c>
      <c r="AM66" s="460">
        <v>0</v>
      </c>
      <c r="AN66" s="460">
        <v>0</v>
      </c>
      <c r="AO66" s="460">
        <v>0</v>
      </c>
      <c r="AP66" s="460">
        <v>0</v>
      </c>
      <c r="AQ66" s="460">
        <v>0</v>
      </c>
      <c r="AR66" s="460">
        <v>0</v>
      </c>
      <c r="AS66" s="460">
        <v>0</v>
      </c>
      <c r="AT66" s="460">
        <v>0</v>
      </c>
      <c r="AU66" s="460">
        <v>0</v>
      </c>
      <c r="AV66" s="460">
        <v>0</v>
      </c>
      <c r="AW66" s="460">
        <v>0</v>
      </c>
      <c r="AX66" s="460">
        <v>0</v>
      </c>
      <c r="AY66" s="460">
        <v>0</v>
      </c>
      <c r="AZ66" s="460">
        <v>0</v>
      </c>
      <c r="BA66" s="460">
        <v>0</v>
      </c>
      <c r="BB66" s="460">
        <v>0</v>
      </c>
      <c r="BC66" s="460">
        <v>0</v>
      </c>
      <c r="BD66" s="460">
        <v>0</v>
      </c>
      <c r="BE66" s="460">
        <v>0</v>
      </c>
      <c r="BF66" s="460">
        <v>0</v>
      </c>
      <c r="BG66" s="460">
        <v>0</v>
      </c>
      <c r="BH66" s="460">
        <v>0</v>
      </c>
      <c r="BI66" s="460">
        <v>0</v>
      </c>
      <c r="BJ66" s="460">
        <v>0</v>
      </c>
      <c r="BK66" s="460">
        <v>0</v>
      </c>
      <c r="BL66" s="460">
        <v>0</v>
      </c>
      <c r="BM66" s="460">
        <v>0</v>
      </c>
      <c r="BN66" s="460">
        <v>0</v>
      </c>
      <c r="BO66" s="460">
        <v>0</v>
      </c>
      <c r="BP66" s="460">
        <v>0</v>
      </c>
      <c r="BQ66" s="460">
        <v>0</v>
      </c>
      <c r="BR66" s="460">
        <v>0</v>
      </c>
      <c r="BS66" s="460">
        <v>0</v>
      </c>
      <c r="BT66" s="460">
        <v>0</v>
      </c>
      <c r="BU66" s="460">
        <v>0</v>
      </c>
      <c r="BV66" s="460">
        <v>0</v>
      </c>
      <c r="BW66" s="460">
        <v>0</v>
      </c>
      <c r="BX66" s="460">
        <v>0</v>
      </c>
      <c r="BY66" s="460">
        <v>0</v>
      </c>
      <c r="BZ66" s="460">
        <v>0</v>
      </c>
      <c r="CA66" s="460" t="e">
        <v>#N/A</v>
      </c>
      <c r="CB66" s="460" t="e">
        <v>#N/A</v>
      </c>
      <c r="CC66" s="460" t="e">
        <v>#N/A</v>
      </c>
      <c r="CD66"/>
      <c r="CE66"/>
      <c r="CF66"/>
      <c r="CG66"/>
      <c r="CH66"/>
    </row>
    <row r="67" spans="1:86" ht="12.75" customHeight="1">
      <c r="A67" s="105">
        <v>62</v>
      </c>
      <c r="B67" s="112" t="str">
        <v>39Y</v>
      </c>
      <c r="C67" s="465">
        <f>'eur disaggregated'!AF78</f>
        <v>0</v>
      </c>
      <c r="D67" s="111" t="str">
        <f t="shared" si="5"/>
        <v>468M</v>
      </c>
      <c r="E67" s="441">
        <f>IF(LEN(B67)&lt;4,$C$1,IF(OR(LEFT(B67,3)="DEC",LEFT(B67,3)="MAR",LEFT(B67,3)="JUN",LEFT(B67,3)="SEP"),INDEX(EurMkt!$F$15:$F$34,MATCH(B67,EurMkt!$H$15:$H$34,0)),F64))</f>
        <v>42696</v>
      </c>
      <c r="F67" s="441">
        <f>IF(AND(NOT(ISNA(MATCH(RIGHT(B67,2),$I$6:$I$67,0))),LEN(B67)&lt;6,RIGHT(B67,1)="M"), INDEX($K$6:$K$67, MATCH(RIGHT(B67,2),$I$6:$I$67,0)), IF(AND(NOT(ISNA(MATCH(RIGHT(B67,3),$I$6:$I$67,0))), LEN(B67)&gt;=6, RIGHT(B67,1)="M"), INDEX($K$6:$K$67, MATCH(RIGHT(B67,3),$I$6:$I$67,0)), _xll.qlCalendarAdvance(Calendar,E67,D67)))</f>
        <v>56940</v>
      </c>
      <c r="G67" s="462">
        <f t="shared" si="3"/>
        <v>1.1288653820000001E-2</v>
      </c>
      <c r="H67" s="453">
        <v>1.1288653820000001</v>
      </c>
      <c r="I67" s="107" t="str">
        <v>60Y</v>
      </c>
      <c r="J67" s="106" t="str">
        <f t="shared" si="0"/>
        <v>720M</v>
      </c>
      <c r="K67" s="448">
        <f>_xll.qlCalendarAdvance("TARGET",SettlementDate,J67)</f>
        <v>64612</v>
      </c>
      <c r="M67" s="99" t="str">
        <v>60Y</v>
      </c>
      <c r="N67" s="465">
        <v>0</v>
      </c>
      <c r="P67" s="106" t="b">
        <f t="shared" si="6"/>
        <v>0</v>
      </c>
      <c r="Q67" s="460">
        <f t="array" ref="Q67:CC67">C67*ForwardToZero(OisBuckets,E67,F67,G67)</f>
        <v>0</v>
      </c>
      <c r="R67" s="460">
        <v>0</v>
      </c>
      <c r="S67" s="460">
        <v>0</v>
      </c>
      <c r="T67" s="460">
        <v>0</v>
      </c>
      <c r="U67" s="460">
        <v>0</v>
      </c>
      <c r="V67" s="460">
        <v>0</v>
      </c>
      <c r="W67" s="460">
        <v>0</v>
      </c>
      <c r="X67" s="460">
        <v>0</v>
      </c>
      <c r="Y67" s="460">
        <v>0</v>
      </c>
      <c r="Z67" s="460">
        <v>0</v>
      </c>
      <c r="AA67" s="460">
        <v>0</v>
      </c>
      <c r="AB67" s="460">
        <v>0</v>
      </c>
      <c r="AC67" s="460">
        <v>0</v>
      </c>
      <c r="AD67" s="460">
        <v>0</v>
      </c>
      <c r="AE67" s="460">
        <v>0</v>
      </c>
      <c r="AF67" s="460">
        <v>0</v>
      </c>
      <c r="AG67" s="460">
        <v>0</v>
      </c>
      <c r="AH67" s="460">
        <v>0</v>
      </c>
      <c r="AI67" s="460">
        <v>0</v>
      </c>
      <c r="AJ67" s="460">
        <v>0</v>
      </c>
      <c r="AK67" s="460">
        <v>0</v>
      </c>
      <c r="AL67" s="460">
        <v>0</v>
      </c>
      <c r="AM67" s="460">
        <v>0</v>
      </c>
      <c r="AN67" s="460">
        <v>0</v>
      </c>
      <c r="AO67" s="460">
        <v>0</v>
      </c>
      <c r="AP67" s="460">
        <v>0</v>
      </c>
      <c r="AQ67" s="460">
        <v>0</v>
      </c>
      <c r="AR67" s="460">
        <v>0</v>
      </c>
      <c r="AS67" s="460">
        <v>0</v>
      </c>
      <c r="AT67" s="460">
        <v>0</v>
      </c>
      <c r="AU67" s="460">
        <v>0</v>
      </c>
      <c r="AV67" s="460">
        <v>0</v>
      </c>
      <c r="AW67" s="460">
        <v>0</v>
      </c>
      <c r="AX67" s="460">
        <v>0</v>
      </c>
      <c r="AY67" s="460">
        <v>0</v>
      </c>
      <c r="AZ67" s="460">
        <v>0</v>
      </c>
      <c r="BA67" s="460">
        <v>0</v>
      </c>
      <c r="BB67" s="460">
        <v>0</v>
      </c>
      <c r="BC67" s="460">
        <v>0</v>
      </c>
      <c r="BD67" s="460">
        <v>0</v>
      </c>
      <c r="BE67" s="460">
        <v>0</v>
      </c>
      <c r="BF67" s="460">
        <v>0</v>
      </c>
      <c r="BG67" s="460">
        <v>0</v>
      </c>
      <c r="BH67" s="460">
        <v>0</v>
      </c>
      <c r="BI67" s="460">
        <v>0</v>
      </c>
      <c r="BJ67" s="460">
        <v>0</v>
      </c>
      <c r="BK67" s="460">
        <v>0</v>
      </c>
      <c r="BL67" s="460">
        <v>0</v>
      </c>
      <c r="BM67" s="460">
        <v>0</v>
      </c>
      <c r="BN67" s="460">
        <v>0</v>
      </c>
      <c r="BO67" s="460">
        <v>0</v>
      </c>
      <c r="BP67" s="460">
        <v>0</v>
      </c>
      <c r="BQ67" s="460">
        <v>0</v>
      </c>
      <c r="BR67" s="460">
        <v>0</v>
      </c>
      <c r="BS67" s="460">
        <v>0</v>
      </c>
      <c r="BT67" s="460">
        <v>0</v>
      </c>
      <c r="BU67" s="460">
        <v>0</v>
      </c>
      <c r="BV67" s="460">
        <v>0</v>
      </c>
      <c r="BW67" s="460">
        <v>0</v>
      </c>
      <c r="BX67" s="460">
        <v>0</v>
      </c>
      <c r="BY67" s="460">
        <v>0</v>
      </c>
      <c r="BZ67" s="460">
        <v>0</v>
      </c>
      <c r="CA67" s="460" t="e">
        <v>#N/A</v>
      </c>
      <c r="CB67" s="460" t="e">
        <v>#N/A</v>
      </c>
      <c r="CC67" s="460" t="e">
        <v>#N/A</v>
      </c>
      <c r="CD67"/>
      <c r="CE67"/>
      <c r="CF67"/>
      <c r="CG67"/>
      <c r="CH67"/>
    </row>
    <row r="68" spans="1:86" ht="12.75" customHeight="1">
      <c r="A68" s="105">
        <v>63</v>
      </c>
      <c r="B68" s="112" t="str">
        <v>40Y</v>
      </c>
      <c r="C68" s="465">
        <f>'eur disaggregated'!AF79</f>
        <v>0</v>
      </c>
      <c r="D68" s="111" t="str">
        <f t="shared" si="5"/>
        <v>480M</v>
      </c>
      <c r="E68" s="441">
        <f>IF(LEN(B68)&lt;4,$C$1,IF(OR(LEFT(B68,3)="DEC",LEFT(B68,3)="MAR",LEFT(B68,3)="JUN",LEFT(B68,3)="SEP"),INDEX(EurMkt!$F$15:$F$34,MATCH(B68,EurMkt!$H$15:$H$34,0)),F65))</f>
        <v>42696</v>
      </c>
      <c r="F68" s="441">
        <f>IF(AND(NOT(ISNA(MATCH(RIGHT(B68,2),$I$6:$I$67,0))),LEN(B68)&lt;6,RIGHT(B68,1)="M"), INDEX($K$6:$K$67, MATCH(RIGHT(B68,2),$I$6:$I$67,0)), IF(AND(NOT(ISNA(MATCH(RIGHT(B68,3),$I$6:$I$67,0))), LEN(B68)&gt;=6, RIGHT(B68,1)="M"), INDEX($K$6:$K$67, MATCH(RIGHT(B68,3),$I$6:$I$67,0)), _xll.qlCalendarAdvance(Calendar,E68,D68)))</f>
        <v>57306</v>
      </c>
      <c r="G68" s="462">
        <f t="shared" si="3"/>
        <v>1.1259999999999999E-2</v>
      </c>
      <c r="H68" s="453">
        <v>1.1259999999999999</v>
      </c>
      <c r="I68" s="107" t="e">
        <v>#N/A</v>
      </c>
      <c r="J68" s="106" t="e">
        <f t="shared" si="0"/>
        <v>#N/A</v>
      </c>
      <c r="K68" s="448" t="e">
        <f>_xll.qlCalendarAdvance("TARGET",SettlementDate,J68)</f>
        <v>#NUM!</v>
      </c>
      <c r="M68" s="99" t="e">
        <v>#N/A</v>
      </c>
      <c r="N68" s="465" t="e">
        <v>#N/A</v>
      </c>
      <c r="P68" s="106" t="b">
        <f t="shared" si="6"/>
        <v>0</v>
      </c>
      <c r="Q68" s="460">
        <f t="array" ref="Q68:CC68">C68*ForwardToZero(OisBuckets,E68,F68,G68)</f>
        <v>0</v>
      </c>
      <c r="R68" s="460">
        <v>0</v>
      </c>
      <c r="S68" s="460">
        <v>0</v>
      </c>
      <c r="T68" s="460">
        <v>0</v>
      </c>
      <c r="U68" s="460">
        <v>0</v>
      </c>
      <c r="V68" s="460">
        <v>0</v>
      </c>
      <c r="W68" s="460">
        <v>0</v>
      </c>
      <c r="X68" s="460">
        <v>0</v>
      </c>
      <c r="Y68" s="460">
        <v>0</v>
      </c>
      <c r="Z68" s="460">
        <v>0</v>
      </c>
      <c r="AA68" s="460">
        <v>0</v>
      </c>
      <c r="AB68" s="460">
        <v>0</v>
      </c>
      <c r="AC68" s="460">
        <v>0</v>
      </c>
      <c r="AD68" s="460">
        <v>0</v>
      </c>
      <c r="AE68" s="460">
        <v>0</v>
      </c>
      <c r="AF68" s="460">
        <v>0</v>
      </c>
      <c r="AG68" s="460">
        <v>0</v>
      </c>
      <c r="AH68" s="460">
        <v>0</v>
      </c>
      <c r="AI68" s="460">
        <v>0</v>
      </c>
      <c r="AJ68" s="460">
        <v>0</v>
      </c>
      <c r="AK68" s="460">
        <v>0</v>
      </c>
      <c r="AL68" s="460">
        <v>0</v>
      </c>
      <c r="AM68" s="460">
        <v>0</v>
      </c>
      <c r="AN68" s="460">
        <v>0</v>
      </c>
      <c r="AO68" s="460">
        <v>0</v>
      </c>
      <c r="AP68" s="460">
        <v>0</v>
      </c>
      <c r="AQ68" s="460">
        <v>0</v>
      </c>
      <c r="AR68" s="460">
        <v>0</v>
      </c>
      <c r="AS68" s="460">
        <v>0</v>
      </c>
      <c r="AT68" s="460">
        <v>0</v>
      </c>
      <c r="AU68" s="460">
        <v>0</v>
      </c>
      <c r="AV68" s="460">
        <v>0</v>
      </c>
      <c r="AW68" s="460">
        <v>0</v>
      </c>
      <c r="AX68" s="460">
        <v>0</v>
      </c>
      <c r="AY68" s="460">
        <v>0</v>
      </c>
      <c r="AZ68" s="460">
        <v>0</v>
      </c>
      <c r="BA68" s="460">
        <v>0</v>
      </c>
      <c r="BB68" s="460">
        <v>0</v>
      </c>
      <c r="BC68" s="460">
        <v>0</v>
      </c>
      <c r="BD68" s="460">
        <v>0</v>
      </c>
      <c r="BE68" s="460">
        <v>0</v>
      </c>
      <c r="BF68" s="460">
        <v>0</v>
      </c>
      <c r="BG68" s="460">
        <v>0</v>
      </c>
      <c r="BH68" s="460">
        <v>0</v>
      </c>
      <c r="BI68" s="460">
        <v>0</v>
      </c>
      <c r="BJ68" s="460">
        <v>0</v>
      </c>
      <c r="BK68" s="460">
        <v>0</v>
      </c>
      <c r="BL68" s="460">
        <v>0</v>
      </c>
      <c r="BM68" s="460">
        <v>0</v>
      </c>
      <c r="BN68" s="460">
        <v>0</v>
      </c>
      <c r="BO68" s="460">
        <v>0</v>
      </c>
      <c r="BP68" s="460">
        <v>0</v>
      </c>
      <c r="BQ68" s="460">
        <v>0</v>
      </c>
      <c r="BR68" s="460">
        <v>0</v>
      </c>
      <c r="BS68" s="460">
        <v>0</v>
      </c>
      <c r="BT68" s="460">
        <v>0</v>
      </c>
      <c r="BU68" s="460">
        <v>0</v>
      </c>
      <c r="BV68" s="460">
        <v>0</v>
      </c>
      <c r="BW68" s="460">
        <v>0</v>
      </c>
      <c r="BX68" s="460">
        <v>0</v>
      </c>
      <c r="BY68" s="460">
        <v>0</v>
      </c>
      <c r="BZ68" s="460">
        <v>0</v>
      </c>
      <c r="CA68" s="460" t="e">
        <v>#N/A</v>
      </c>
      <c r="CB68" s="460" t="e">
        <v>#N/A</v>
      </c>
      <c r="CC68" s="460" t="e">
        <v>#N/A</v>
      </c>
      <c r="CD68"/>
      <c r="CE68"/>
      <c r="CF68"/>
      <c r="CG68"/>
      <c r="CH68"/>
    </row>
    <row r="69" spans="1:86" ht="12.75" customHeight="1">
      <c r="A69" s="105">
        <v>64</v>
      </c>
      <c r="B69" s="112" t="str">
        <v>50Y</v>
      </c>
      <c r="C69" s="465">
        <f>'eur disaggregated'!AF80</f>
        <v>0</v>
      </c>
      <c r="D69" s="111" t="str">
        <f t="shared" si="5"/>
        <v>600M</v>
      </c>
      <c r="E69" s="441">
        <f>IF(LEN(B69)&lt;4,$C$1,IF(OR(LEFT(B69,3)="DEC",LEFT(B69,3)="MAR",LEFT(B69,3)="JUN",LEFT(B69,3)="SEP"),INDEX(EurMkt!$F$15:$F$34,MATCH(B69,EurMkt!$H$15:$H$34,0)),F66))</f>
        <v>42696</v>
      </c>
      <c r="F69" s="441">
        <f>IF(AND(NOT(ISNA(MATCH(RIGHT(B69,2),$I$6:$I$67,0))),LEN(B69)&lt;6,RIGHT(B69,1)="M"), INDEX($K$6:$K$67, MATCH(RIGHT(B69,2),$I$6:$I$67,0)), IF(AND(NOT(ISNA(MATCH(RIGHT(B69,3),$I$6:$I$67,0))), LEN(B69)&gt;=6, RIGHT(B69,1)="M"), INDEX($K$6:$K$67, MATCH(RIGHT(B69,3),$I$6:$I$67,0)), _xll.qlCalendarAdvance(Calendar,E69,D69)))</f>
        <v>60958</v>
      </c>
      <c r="G69" s="462">
        <f t="shared" si="3"/>
        <v>1.0789999999999999E-2</v>
      </c>
      <c r="H69" s="453">
        <v>1.079</v>
      </c>
      <c r="I69" s="107" t="e">
        <v>#N/A</v>
      </c>
      <c r="J69" s="106" t="e">
        <f t="shared" si="0"/>
        <v>#N/A</v>
      </c>
      <c r="K69" s="448" t="e">
        <f>_xll.qlCalendarAdvance("TARGET",SettlementDate,J69)</f>
        <v>#NUM!</v>
      </c>
      <c r="M69" s="99" t="e">
        <v>#N/A</v>
      </c>
      <c r="N69" s="465" t="e">
        <v>#N/A</v>
      </c>
      <c r="P69" s="106" t="b">
        <f t="shared" si="6"/>
        <v>0</v>
      </c>
      <c r="Q69" s="460">
        <f t="array" ref="Q69:CC69">C69*ForwardToZero(OisBuckets,E69,F69,G69)</f>
        <v>0</v>
      </c>
      <c r="R69" s="460">
        <v>0</v>
      </c>
      <c r="S69" s="460">
        <v>0</v>
      </c>
      <c r="T69" s="460">
        <v>0</v>
      </c>
      <c r="U69" s="460">
        <v>0</v>
      </c>
      <c r="V69" s="460">
        <v>0</v>
      </c>
      <c r="W69" s="460">
        <v>0</v>
      </c>
      <c r="X69" s="460">
        <v>0</v>
      </c>
      <c r="Y69" s="460">
        <v>0</v>
      </c>
      <c r="Z69" s="460">
        <v>0</v>
      </c>
      <c r="AA69" s="460">
        <v>0</v>
      </c>
      <c r="AB69" s="460">
        <v>0</v>
      </c>
      <c r="AC69" s="460">
        <v>0</v>
      </c>
      <c r="AD69" s="460">
        <v>0</v>
      </c>
      <c r="AE69" s="460">
        <v>0</v>
      </c>
      <c r="AF69" s="460">
        <v>0</v>
      </c>
      <c r="AG69" s="460">
        <v>0</v>
      </c>
      <c r="AH69" s="460">
        <v>0</v>
      </c>
      <c r="AI69" s="460">
        <v>0</v>
      </c>
      <c r="AJ69" s="460">
        <v>0</v>
      </c>
      <c r="AK69" s="460">
        <v>0</v>
      </c>
      <c r="AL69" s="460">
        <v>0</v>
      </c>
      <c r="AM69" s="460">
        <v>0</v>
      </c>
      <c r="AN69" s="460">
        <v>0</v>
      </c>
      <c r="AO69" s="460">
        <v>0</v>
      </c>
      <c r="AP69" s="460">
        <v>0</v>
      </c>
      <c r="AQ69" s="460">
        <v>0</v>
      </c>
      <c r="AR69" s="460">
        <v>0</v>
      </c>
      <c r="AS69" s="460">
        <v>0</v>
      </c>
      <c r="AT69" s="460">
        <v>0</v>
      </c>
      <c r="AU69" s="460">
        <v>0</v>
      </c>
      <c r="AV69" s="460">
        <v>0</v>
      </c>
      <c r="AW69" s="460">
        <v>0</v>
      </c>
      <c r="AX69" s="460">
        <v>0</v>
      </c>
      <c r="AY69" s="460">
        <v>0</v>
      </c>
      <c r="AZ69" s="460">
        <v>0</v>
      </c>
      <c r="BA69" s="460">
        <v>0</v>
      </c>
      <c r="BB69" s="460">
        <v>0</v>
      </c>
      <c r="BC69" s="460">
        <v>0</v>
      </c>
      <c r="BD69" s="460">
        <v>0</v>
      </c>
      <c r="BE69" s="460">
        <v>0</v>
      </c>
      <c r="BF69" s="460">
        <v>0</v>
      </c>
      <c r="BG69" s="460">
        <v>0</v>
      </c>
      <c r="BH69" s="460">
        <v>0</v>
      </c>
      <c r="BI69" s="460">
        <v>0</v>
      </c>
      <c r="BJ69" s="460">
        <v>0</v>
      </c>
      <c r="BK69" s="460">
        <v>0</v>
      </c>
      <c r="BL69" s="460">
        <v>0</v>
      </c>
      <c r="BM69" s="460">
        <v>0</v>
      </c>
      <c r="BN69" s="460">
        <v>0</v>
      </c>
      <c r="BO69" s="460">
        <v>0</v>
      </c>
      <c r="BP69" s="460">
        <v>0</v>
      </c>
      <c r="BQ69" s="460">
        <v>0</v>
      </c>
      <c r="BR69" s="460">
        <v>0</v>
      </c>
      <c r="BS69" s="460">
        <v>0</v>
      </c>
      <c r="BT69" s="460">
        <v>0</v>
      </c>
      <c r="BU69" s="460">
        <v>0</v>
      </c>
      <c r="BV69" s="460">
        <v>0</v>
      </c>
      <c r="BW69" s="460">
        <v>0</v>
      </c>
      <c r="BX69" s="460">
        <v>0</v>
      </c>
      <c r="BY69" s="460">
        <v>0</v>
      </c>
      <c r="BZ69" s="460">
        <v>0</v>
      </c>
      <c r="CA69" s="460" t="e">
        <v>#N/A</v>
      </c>
      <c r="CB69" s="460" t="e">
        <v>#N/A</v>
      </c>
      <c r="CC69" s="460" t="e">
        <v>#N/A</v>
      </c>
      <c r="CD69"/>
      <c r="CE69"/>
      <c r="CF69"/>
      <c r="CG69"/>
      <c r="CH69"/>
    </row>
    <row r="70" spans="1:86" ht="12.75" customHeight="1">
      <c r="A70" s="105">
        <v>65</v>
      </c>
      <c r="B70" s="112" t="str">
        <v>60Y</v>
      </c>
      <c r="C70" s="465">
        <f>'eur disaggregated'!AF81</f>
        <v>0</v>
      </c>
      <c r="D70" s="111" t="str">
        <f t="shared" ref="D70" si="7">IF(LEN(B70)&gt;0,SimplifyTenor(B70),"")</f>
        <v>720M</v>
      </c>
      <c r="E70" s="441">
        <f>IF(LEN(B70)&lt;4,$C$1,IF(OR(LEFT(B70,3)="DEC",LEFT(B70,3)="MAR",LEFT(B70,3)="JUN",LEFT(B70,3)="SEP"),INDEX(EurMkt!$F$15:$F$34,MATCH(B70,EurMkt!$H$15:$H$34,0)),F67))</f>
        <v>42696</v>
      </c>
      <c r="F70" s="441">
        <f>IF(AND(NOT(ISNA(MATCH(RIGHT(B70,2),$I$6:$I$67,0))),LEN(B70)&lt;6,RIGHT(B70,1)="M"), INDEX($K$6:$K$67, MATCH(RIGHT(B70,2),$I$6:$I$67,0)), IF(AND(NOT(ISNA(MATCH(RIGHT(B70,3),$I$6:$I$67,0))), LEN(B70)&gt;=6, RIGHT(B70,1)="M"), INDEX($K$6:$K$67, MATCH(RIGHT(B70,3),$I$6:$I$67,0)), _xll.qlCalendarAdvance(Calendar,E70,D70)))</f>
        <v>64612</v>
      </c>
      <c r="G70" s="462">
        <f t="shared" si="3"/>
        <v>1.048E-2</v>
      </c>
      <c r="H70" s="453">
        <v>1.048</v>
      </c>
      <c r="I70" s="107" t="e">
        <v>#N/A</v>
      </c>
      <c r="J70" s="106" t="e">
        <f t="shared" ref="J70" si="8">IF(LEN(I70)&gt;0,IF((MID(I70,4,1)=" "),I70,IF((LEN(I70)=8),DATE("20" &amp; RIGHT(I70,2),MID(I70,4,2),LEFT(I70,2)),SimplifyTenor(I70))),"")</f>
        <v>#N/A</v>
      </c>
      <c r="K70" s="448" t="e">
        <f>_xll.qlCalendarAdvance("TARGET",SettlementDate,J70)</f>
        <v>#NUM!</v>
      </c>
      <c r="M70" s="99" t="e">
        <v>#N/A</v>
      </c>
      <c r="N70" s="465" t="e">
        <v>#N/A</v>
      </c>
      <c r="P70" s="106" t="b">
        <f t="shared" si="6"/>
        <v>0</v>
      </c>
      <c r="Q70" s="460"/>
      <c r="R70" s="460"/>
      <c r="S70" s="460"/>
      <c r="T70" s="460"/>
      <c r="U70" s="460"/>
      <c r="V70" s="460"/>
      <c r="W70" s="460"/>
      <c r="X70" s="460"/>
      <c r="Y70" s="460"/>
      <c r="Z70" s="460"/>
      <c r="AA70" s="460"/>
      <c r="AB70" s="460"/>
      <c r="AC70" s="460"/>
      <c r="AD70" s="460"/>
      <c r="AE70" s="460"/>
      <c r="AF70" s="460"/>
      <c r="AG70" s="460"/>
      <c r="AH70" s="460"/>
      <c r="AI70" s="460"/>
      <c r="AJ70" s="460"/>
      <c r="AK70" s="460"/>
      <c r="AL70" s="460"/>
      <c r="AM70" s="460"/>
      <c r="AN70" s="460"/>
      <c r="AO70" s="460"/>
      <c r="AP70" s="460"/>
      <c r="AQ70" s="460"/>
      <c r="AR70" s="460"/>
      <c r="AS70" s="460"/>
      <c r="AT70" s="460"/>
      <c r="AU70" s="460"/>
      <c r="AV70" s="460"/>
      <c r="AW70" s="460"/>
      <c r="AX70" s="460"/>
      <c r="AY70" s="460"/>
      <c r="AZ70" s="460"/>
      <c r="BA70" s="460"/>
      <c r="BB70" s="460"/>
      <c r="BC70" s="460"/>
      <c r="BD70" s="460"/>
      <c r="BE70" s="460"/>
      <c r="BF70" s="460"/>
      <c r="BG70" s="460"/>
      <c r="BH70" s="460"/>
      <c r="BI70" s="460"/>
      <c r="BJ70" s="460"/>
      <c r="BK70" s="460"/>
      <c r="BL70" s="460"/>
      <c r="BM70" s="460"/>
      <c r="BN70" s="460"/>
      <c r="BO70" s="460"/>
      <c r="BP70" s="460"/>
      <c r="BQ70" s="460"/>
      <c r="BR70" s="460"/>
      <c r="BS70" s="460"/>
      <c r="BT70" s="460"/>
      <c r="BU70" s="460"/>
      <c r="BV70" s="460"/>
      <c r="BW70" s="460"/>
      <c r="BX70" s="460"/>
      <c r="BY70" s="460"/>
      <c r="BZ70" s="460"/>
      <c r="CA70" s="460"/>
      <c r="CB70" s="460"/>
      <c r="CC70" s="460"/>
      <c r="CD70"/>
      <c r="CE70"/>
      <c r="CF70"/>
      <c r="CG70"/>
      <c r="CH70"/>
    </row>
    <row r="71" spans="1:86" ht="12.75" customHeight="1">
      <c r="A71" s="251"/>
      <c r="B71" s="251"/>
      <c r="C71" s="251"/>
      <c r="D71" s="251"/>
      <c r="E71" s="335"/>
      <c r="F71" s="335"/>
      <c r="G71" s="335"/>
      <c r="H71" s="335"/>
      <c r="I71" s="251"/>
      <c r="J71" s="295"/>
      <c r="K71" s="251"/>
      <c r="L71"/>
      <c r="M71" s="468"/>
      <c r="N71" s="468"/>
      <c r="P71" s="251"/>
      <c r="Q71" s="251"/>
      <c r="R71" s="251"/>
      <c r="S71" s="251"/>
      <c r="T71" s="251"/>
      <c r="U71" s="251"/>
      <c r="V71" s="251"/>
      <c r="W71" s="251"/>
      <c r="X71" s="251"/>
      <c r="Y71" s="251"/>
      <c r="Z71" s="251"/>
      <c r="AA71" s="251"/>
      <c r="AB71" s="251"/>
      <c r="AC71" s="251"/>
      <c r="AD71" s="251"/>
      <c r="AE71" s="251"/>
      <c r="AF71" s="251"/>
      <c r="AG71" s="251"/>
      <c r="AH71" s="251"/>
      <c r="AI71" s="251"/>
      <c r="AJ71" s="251"/>
      <c r="AK71" s="251"/>
      <c r="AL71" s="251"/>
      <c r="AM71" s="251"/>
      <c r="AN71" s="251"/>
      <c r="AO71" s="251"/>
      <c r="AP71" s="251"/>
      <c r="AQ71" s="251"/>
      <c r="AR71" s="251"/>
      <c r="AS71" s="251"/>
      <c r="AT71" s="251"/>
      <c r="AU71" s="251"/>
      <c r="AV71" s="251"/>
      <c r="AW71" s="251"/>
      <c r="AX71" s="251"/>
      <c r="AY71" s="251"/>
      <c r="AZ71" s="251"/>
      <c r="BA71" s="251"/>
      <c r="BB71" s="251"/>
      <c r="BC71" s="251"/>
      <c r="BD71" s="251"/>
      <c r="BE71" s="251"/>
      <c r="BF71" s="251"/>
      <c r="BG71" s="251"/>
      <c r="BH71" s="251"/>
      <c r="BI71" s="251"/>
      <c r="BJ71" s="251"/>
      <c r="BK71" s="251"/>
      <c r="BL71" s="251"/>
      <c r="BM71" s="251"/>
      <c r="BN71" s="251"/>
      <c r="BO71" s="251"/>
      <c r="BP71" s="251"/>
      <c r="BQ71" s="251"/>
      <c r="BR71" s="251"/>
      <c r="BS71" s="251"/>
      <c r="BT71" s="251"/>
      <c r="BU71" s="251"/>
      <c r="BV71" s="251"/>
      <c r="BW71" s="251"/>
      <c r="BX71" s="251"/>
      <c r="BY71" s="251"/>
      <c r="BZ71" s="251"/>
      <c r="CA71" s="251"/>
      <c r="CB71" s="251"/>
      <c r="CC71" s="251"/>
      <c r="CD71"/>
      <c r="CE71"/>
      <c r="CF71"/>
      <c r="CG71"/>
      <c r="CH71"/>
    </row>
    <row r="72" spans="1:86" ht="12.75" customHeight="1" thickBot="1">
      <c r="A72"/>
      <c r="B72"/>
      <c r="C72"/>
      <c r="D72"/>
      <c r="H72"/>
      <c r="I72"/>
      <c r="J72"/>
      <c r="K72"/>
      <c r="L72"/>
      <c r="P72" s="99" t="s">
        <v>5155</v>
      </c>
      <c r="Q72" s="465">
        <f>SUM(Q6:Q70)</f>
        <v>0</v>
      </c>
      <c r="R72" s="465">
        <f t="shared" ref="R72:CC72" si="9">SUM(R6:R70)</f>
        <v>0</v>
      </c>
      <c r="S72" s="465">
        <f t="shared" si="9"/>
        <v>34.0790860673482</v>
      </c>
      <c r="T72" s="465">
        <f t="shared" si="9"/>
        <v>41.695673239333409</v>
      </c>
      <c r="U72" s="465">
        <f t="shared" si="9"/>
        <v>49.888466595010136</v>
      </c>
      <c r="V72" s="465">
        <f t="shared" si="9"/>
        <v>-285.12146685071059</v>
      </c>
      <c r="W72" s="465">
        <f t="shared" si="9"/>
        <v>197.66457617695283</v>
      </c>
      <c r="X72" s="465">
        <f t="shared" si="9"/>
        <v>-281.53928405038965</v>
      </c>
      <c r="Y72" s="465">
        <f t="shared" si="9"/>
        <v>-72.854023296558296</v>
      </c>
      <c r="Z72" s="465">
        <f t="shared" si="9"/>
        <v>1074.2616078711567</v>
      </c>
      <c r="AA72" s="465">
        <f t="shared" si="9"/>
        <v>527.06726138466809</v>
      </c>
      <c r="AB72" s="465">
        <f t="shared" si="9"/>
        <v>-327.78540764427117</v>
      </c>
      <c r="AC72" s="465">
        <f t="shared" si="9"/>
        <v>-24.298703744930663</v>
      </c>
      <c r="AD72" s="465">
        <f t="shared" si="9"/>
        <v>106.2474044707409</v>
      </c>
      <c r="AE72" s="465">
        <f t="shared" si="9"/>
        <v>-181.86827973833309</v>
      </c>
      <c r="AF72" s="465">
        <f t="shared" si="9"/>
        <v>255.99072072124568</v>
      </c>
      <c r="AG72" s="465">
        <f t="shared" si="9"/>
        <v>-236.01237973797714</v>
      </c>
      <c r="AH72" s="465">
        <f t="shared" si="9"/>
        <v>2138.5446011730146</v>
      </c>
      <c r="AI72" s="465">
        <f t="shared" si="9"/>
        <v>1532.1794306456097</v>
      </c>
      <c r="AJ72" s="465">
        <f t="shared" si="9"/>
        <v>183.5249845300566</v>
      </c>
      <c r="AK72" s="465">
        <f t="shared" si="9"/>
        <v>-2671.7318730101892</v>
      </c>
      <c r="AL72" s="465">
        <f t="shared" si="9"/>
        <v>0</v>
      </c>
      <c r="AM72" s="465">
        <f t="shared" si="9"/>
        <v>0</v>
      </c>
      <c r="AN72" s="465">
        <f t="shared" si="9"/>
        <v>-3.8372518195664951E-5</v>
      </c>
      <c r="AO72" s="465">
        <f t="shared" si="9"/>
        <v>-5.5640151383714405E-4</v>
      </c>
      <c r="AP72" s="465">
        <f t="shared" si="9"/>
        <v>0</v>
      </c>
      <c r="AQ72" s="465">
        <f t="shared" si="9"/>
        <v>8.3549144396088018E-5</v>
      </c>
      <c r="AR72" s="465">
        <f t="shared" si="9"/>
        <v>6.0573129687164064E-4</v>
      </c>
      <c r="AS72" s="465">
        <f t="shared" si="9"/>
        <v>0</v>
      </c>
      <c r="AT72" s="465">
        <f t="shared" si="9"/>
        <v>-316.51515316700716</v>
      </c>
      <c r="AU72" s="465">
        <f t="shared" si="9"/>
        <v>-1430.4481707135865</v>
      </c>
      <c r="AV72" s="465">
        <f t="shared" si="9"/>
        <v>-7486.8054488111811</v>
      </c>
      <c r="AW72" s="465">
        <f t="shared" si="9"/>
        <v>9395.4637030066206</v>
      </c>
      <c r="AX72" s="465">
        <f t="shared" si="9"/>
        <v>-13039.355903720232</v>
      </c>
      <c r="AY72" s="465">
        <f t="shared" si="9"/>
        <v>43502.008095943733</v>
      </c>
      <c r="AZ72" s="465">
        <f t="shared" si="9"/>
        <v>-5622.0789885126442</v>
      </c>
      <c r="BA72" s="465">
        <f t="shared" si="9"/>
        <v>16174.181851809135</v>
      </c>
      <c r="BB72" s="465">
        <f t="shared" si="9"/>
        <v>-106806.44328098278</v>
      </c>
      <c r="BC72" s="465">
        <f t="shared" si="9"/>
        <v>-73078.716066506764</v>
      </c>
      <c r="BD72" s="465">
        <f t="shared" si="9"/>
        <v>75920.844615973387</v>
      </c>
      <c r="BE72" s="465">
        <f t="shared" si="9"/>
        <v>11758.04663208656</v>
      </c>
      <c r="BF72" s="465">
        <f t="shared" si="9"/>
        <v>112963.52475813151</v>
      </c>
      <c r="BG72" s="465">
        <f t="shared" si="9"/>
        <v>21232.37227698823</v>
      </c>
      <c r="BH72" s="465">
        <f t="shared" si="9"/>
        <v>-94228.207470641617</v>
      </c>
      <c r="BI72" s="465">
        <f t="shared" si="9"/>
        <v>6137.8514244770167</v>
      </c>
      <c r="BJ72" s="465">
        <f t="shared" si="9"/>
        <v>6998.5151630048294</v>
      </c>
      <c r="BK72" s="465">
        <f t="shared" si="9"/>
        <v>-25741.810586540814</v>
      </c>
      <c r="BL72" s="465">
        <f t="shared" si="9"/>
        <v>-38805.89251101252</v>
      </c>
      <c r="BM72" s="465">
        <f t="shared" si="9"/>
        <v>162661.97488842628</v>
      </c>
      <c r="BN72" s="465">
        <f t="shared" si="9"/>
        <v>-63254.678319152554</v>
      </c>
      <c r="BO72" s="465">
        <f t="shared" si="9"/>
        <v>-33379.295047568361</v>
      </c>
      <c r="BP72" s="465">
        <f t="shared" si="9"/>
        <v>-324.65922462980041</v>
      </c>
      <c r="BQ72" s="465">
        <f t="shared" si="9"/>
        <v>6452.3829000079277</v>
      </c>
      <c r="BR72" s="465">
        <f t="shared" si="9"/>
        <v>85.687592579847305</v>
      </c>
      <c r="BS72" s="465">
        <f t="shared" si="9"/>
        <v>-0.31841252070297726</v>
      </c>
      <c r="BT72" s="465">
        <f t="shared" si="9"/>
        <v>7.4274044571802928E-5</v>
      </c>
      <c r="BU72" s="465">
        <f t="shared" si="9"/>
        <v>-1.5078873095778529E-6</v>
      </c>
      <c r="BV72" s="465">
        <f t="shared" si="9"/>
        <v>-9.4919990941354425E-10</v>
      </c>
      <c r="BW72" s="465">
        <f t="shared" si="9"/>
        <v>0</v>
      </c>
      <c r="BX72" s="465">
        <f t="shared" si="9"/>
        <v>0</v>
      </c>
      <c r="BY72" s="465">
        <f t="shared" si="9"/>
        <v>0</v>
      </c>
      <c r="BZ72" s="465">
        <f t="shared" si="9"/>
        <v>0</v>
      </c>
      <c r="CA72" s="465" t="e">
        <f t="shared" si="9"/>
        <v>#N/A</v>
      </c>
      <c r="CB72" s="465" t="e">
        <f t="shared" si="9"/>
        <v>#N/A</v>
      </c>
      <c r="CC72" s="465" t="e">
        <f t="shared" si="9"/>
        <v>#N/A</v>
      </c>
      <c r="CD72"/>
      <c r="CE72"/>
      <c r="CF72"/>
      <c r="CG72"/>
      <c r="CH72"/>
    </row>
    <row r="73" spans="1:86" ht="45" customHeight="1" thickBot="1">
      <c r="A73"/>
      <c r="B73" s="478" t="s">
        <v>5146</v>
      </c>
      <c r="C73" s="477">
        <f>SUM(C6:INDEX(C6:C70,COUNT(C6:C70)))</f>
        <v>11827.561880027903</v>
      </c>
      <c r="D73"/>
      <c r="H73"/>
      <c r="I73"/>
      <c r="J73"/>
      <c r="K73" s="414"/>
      <c r="L73"/>
      <c r="N73" s="477">
        <f>SUM(N6:INDEX(N6:N70,COUNT(N6:N70)))</f>
        <v>11827.561880027903</v>
      </c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</row>
    <row r="74" spans="1:86" ht="12.75" customHeight="1">
      <c r="A74"/>
      <c r="B74"/>
      <c r="C74"/>
      <c r="D74" s="414"/>
      <c r="H74" s="414"/>
      <c r="I74" s="414"/>
      <c r="J74"/>
      <c r="K74"/>
      <c r="L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</row>
    <row r="75" spans="1:86" ht="12.75" customHeight="1">
      <c r="A75"/>
      <c r="B75"/>
      <c r="C75"/>
      <c r="D75" s="414"/>
      <c r="H75" s="414"/>
      <c r="I75" s="414"/>
      <c r="J75"/>
      <c r="K75"/>
      <c r="L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</row>
    <row r="76" spans="1:86" ht="12.75" customHeight="1">
      <c r="D76" s="414"/>
      <c r="H76" s="52"/>
      <c r="I76" s="414"/>
    </row>
    <row r="77" spans="1:86" ht="12.75" customHeight="1">
      <c r="D77" s="414"/>
      <c r="H77" s="414"/>
      <c r="I77" s="414"/>
      <c r="Q77" s="414"/>
      <c r="R77" s="414"/>
      <c r="S77" s="414"/>
      <c r="T77" s="414"/>
      <c r="U77" s="414"/>
      <c r="V77" s="414"/>
      <c r="W77" s="414"/>
      <c r="X77" s="414"/>
      <c r="Y77" s="414"/>
      <c r="Z77" s="414"/>
      <c r="AA77" s="414"/>
      <c r="AB77" s="414"/>
      <c r="AC77" s="414"/>
      <c r="AD77" s="414"/>
      <c r="AE77" s="414"/>
      <c r="AF77" s="414"/>
      <c r="AG77" s="414"/>
      <c r="AH77" s="414"/>
      <c r="AI77" s="414"/>
      <c r="AJ77" s="414"/>
      <c r="AK77" s="414"/>
      <c r="AL77" s="414"/>
      <c r="AM77" s="414"/>
      <c r="AN77" s="414"/>
      <c r="AO77" s="414"/>
      <c r="AP77" s="414"/>
      <c r="AQ77" s="414"/>
      <c r="AR77" s="414"/>
      <c r="AS77" s="414"/>
      <c r="AT77" s="414"/>
      <c r="AU77" s="414"/>
      <c r="AV77" s="414"/>
      <c r="AW77" s="414"/>
      <c r="AX77" s="414"/>
      <c r="AY77" s="414"/>
      <c r="AZ77" s="414"/>
      <c r="BA77" s="414"/>
      <c r="BB77" s="414"/>
      <c r="BC77" s="414"/>
      <c r="BD77" s="414"/>
      <c r="BE77" s="414"/>
      <c r="BF77" s="414"/>
      <c r="BG77" s="414"/>
      <c r="BH77" s="414"/>
      <c r="BI77" s="414"/>
      <c r="BJ77" s="414"/>
      <c r="BK77" s="414"/>
      <c r="BL77" s="414"/>
      <c r="BM77" s="414"/>
      <c r="BN77" s="414"/>
      <c r="BO77" s="414"/>
      <c r="BP77" s="414"/>
      <c r="BQ77" s="414"/>
      <c r="BR77" s="414"/>
      <c r="BS77" s="414"/>
      <c r="BT77" s="414"/>
      <c r="BU77" s="414"/>
      <c r="BV77" s="414"/>
      <c r="BW77" s="414"/>
      <c r="BX77" s="414"/>
      <c r="BY77" s="414"/>
      <c r="BZ77" s="414"/>
      <c r="CA77" s="414"/>
      <c r="CB77" s="414"/>
      <c r="CC77" s="414"/>
    </row>
    <row r="78" spans="1:86" ht="12.75" customHeight="1">
      <c r="D78" s="414"/>
      <c r="H78" s="414"/>
      <c r="I78" s="414"/>
      <c r="Q78" s="414"/>
      <c r="R78" s="414"/>
      <c r="S78" s="414"/>
      <c r="T78" s="414"/>
      <c r="U78" s="414"/>
      <c r="V78" s="414"/>
      <c r="W78" s="414"/>
      <c r="X78" s="414"/>
      <c r="Y78" s="414"/>
      <c r="Z78" s="414"/>
      <c r="AA78" s="414"/>
      <c r="AB78" s="414"/>
      <c r="AC78" s="414"/>
      <c r="AD78" s="414"/>
      <c r="AE78" s="414"/>
      <c r="AF78" s="414"/>
      <c r="AG78" s="414"/>
      <c r="AH78" s="414"/>
      <c r="AI78" s="414"/>
      <c r="AJ78" s="414"/>
      <c r="AK78" s="414"/>
      <c r="AL78" s="414"/>
      <c r="AM78" s="414"/>
      <c r="AN78" s="414"/>
      <c r="AO78" s="414"/>
      <c r="AP78" s="414"/>
      <c r="AQ78" s="414"/>
      <c r="AR78" s="414"/>
      <c r="AS78" s="414"/>
      <c r="AT78" s="414"/>
      <c r="AU78" s="414"/>
      <c r="AV78" s="414"/>
      <c r="AW78" s="414"/>
      <c r="AX78" s="414"/>
      <c r="AY78" s="414"/>
      <c r="AZ78" s="414"/>
      <c r="BA78" s="414"/>
      <c r="BB78" s="414"/>
      <c r="BC78" s="414"/>
      <c r="BD78" s="414"/>
      <c r="BE78" s="414"/>
      <c r="BF78" s="414"/>
      <c r="BG78" s="414"/>
      <c r="BH78" s="414"/>
      <c r="BI78" s="414"/>
      <c r="BJ78" s="414"/>
      <c r="BK78" s="414"/>
      <c r="BL78" s="414"/>
      <c r="BM78" s="414"/>
      <c r="BN78" s="414"/>
      <c r="BO78" s="414"/>
      <c r="BP78" s="414"/>
      <c r="BQ78" s="414"/>
      <c r="BR78" s="414"/>
      <c r="BS78" s="414"/>
      <c r="BT78" s="414"/>
      <c r="BU78" s="414"/>
      <c r="BV78" s="414"/>
      <c r="BW78" s="414"/>
      <c r="BX78" s="414"/>
      <c r="BY78" s="414"/>
      <c r="BZ78" s="414"/>
      <c r="CA78" s="414"/>
      <c r="CB78" s="414"/>
      <c r="CC78" s="414"/>
    </row>
    <row r="79" spans="1:86" ht="12.75" customHeight="1">
      <c r="D79" s="414"/>
      <c r="H79" s="414"/>
      <c r="I79" s="414"/>
      <c r="Q79" s="414"/>
      <c r="R79" s="414"/>
      <c r="S79" s="414"/>
      <c r="T79" s="414"/>
      <c r="U79" s="414"/>
      <c r="V79" s="414"/>
      <c r="W79" s="414"/>
      <c r="X79" s="414"/>
      <c r="Y79" s="414"/>
      <c r="Z79" s="414"/>
      <c r="AA79" s="414"/>
      <c r="AB79" s="414"/>
      <c r="AC79" s="414"/>
      <c r="AD79" s="414"/>
      <c r="AE79" s="414"/>
      <c r="AF79" s="414"/>
      <c r="AG79" s="414"/>
      <c r="AH79" s="414"/>
      <c r="AI79" s="414"/>
      <c r="AJ79" s="414"/>
      <c r="AK79" s="414"/>
      <c r="AL79" s="414"/>
      <c r="AM79" s="414"/>
      <c r="AN79" s="414"/>
      <c r="AO79" s="414"/>
      <c r="AP79" s="414"/>
      <c r="AQ79" s="414"/>
      <c r="AR79" s="414"/>
      <c r="AS79" s="414"/>
      <c r="AT79" s="414"/>
      <c r="AU79" s="414"/>
      <c r="AV79" s="414"/>
      <c r="AW79" s="414"/>
      <c r="AX79" s="414"/>
      <c r="AY79" s="414"/>
      <c r="AZ79" s="414"/>
      <c r="BA79" s="414"/>
      <c r="BB79" s="414"/>
      <c r="BC79" s="414"/>
      <c r="BD79" s="414"/>
      <c r="BE79" s="414"/>
      <c r="BF79" s="414"/>
      <c r="BG79" s="414"/>
      <c r="BH79" s="414"/>
      <c r="BI79" s="414"/>
      <c r="BJ79" s="414"/>
      <c r="BK79" s="414"/>
      <c r="BL79" s="414"/>
      <c r="BM79" s="414"/>
      <c r="BN79" s="414"/>
      <c r="BO79" s="414"/>
      <c r="BP79" s="414"/>
      <c r="BQ79" s="414"/>
      <c r="BR79" s="414"/>
      <c r="BS79" s="414"/>
      <c r="BT79" s="414"/>
      <c r="BU79" s="414"/>
      <c r="BV79" s="414"/>
      <c r="BW79" s="414"/>
      <c r="BX79" s="414"/>
      <c r="BY79" s="414"/>
      <c r="BZ79" s="414"/>
      <c r="CA79" s="414"/>
      <c r="CB79" s="414"/>
      <c r="CC79" s="414"/>
    </row>
    <row r="80" spans="1:86" ht="12.75" customHeight="1">
      <c r="D80" s="414"/>
      <c r="H80" s="414"/>
      <c r="I80" s="414"/>
      <c r="Q80" s="414"/>
      <c r="R80" s="414"/>
      <c r="S80" s="414"/>
      <c r="T80" s="414"/>
      <c r="U80" s="414"/>
      <c r="V80" s="414"/>
      <c r="W80" s="414"/>
      <c r="X80" s="414"/>
      <c r="Y80" s="414"/>
      <c r="Z80" s="414"/>
      <c r="AA80" s="414"/>
      <c r="AB80" s="414"/>
      <c r="AC80" s="414"/>
      <c r="AD80" s="414"/>
      <c r="AE80" s="414"/>
      <c r="AF80" s="414"/>
      <c r="AG80" s="414"/>
      <c r="AH80" s="414"/>
      <c r="AI80" s="414"/>
      <c r="AJ80" s="414"/>
      <c r="AK80" s="414"/>
      <c r="AL80" s="414"/>
      <c r="AM80" s="414"/>
      <c r="AN80" s="414"/>
      <c r="AO80" s="414"/>
      <c r="AP80" s="414"/>
      <c r="AQ80" s="414"/>
      <c r="AR80" s="414"/>
      <c r="AS80" s="414"/>
      <c r="AT80" s="414"/>
      <c r="AU80" s="414"/>
      <c r="AV80" s="414"/>
      <c r="AW80" s="414"/>
      <c r="AX80" s="414"/>
      <c r="AY80" s="414"/>
      <c r="AZ80" s="414"/>
      <c r="BA80" s="414"/>
      <c r="BB80" s="414"/>
      <c r="BC80" s="414"/>
      <c r="BD80" s="414"/>
      <c r="BE80" s="414"/>
      <c r="BF80" s="414"/>
      <c r="BG80" s="414"/>
      <c r="BH80" s="414"/>
      <c r="BI80" s="414"/>
      <c r="BJ80" s="414"/>
      <c r="BK80" s="414"/>
      <c r="BL80" s="414"/>
      <c r="BM80" s="414"/>
      <c r="BN80" s="414"/>
      <c r="BO80" s="414"/>
      <c r="BP80" s="414"/>
      <c r="BQ80" s="414"/>
      <c r="BR80" s="414"/>
      <c r="BS80" s="414"/>
      <c r="BT80" s="414"/>
      <c r="BU80" s="414"/>
      <c r="BV80" s="414"/>
      <c r="BW80" s="414"/>
      <c r="BX80" s="414"/>
      <c r="BY80" s="414"/>
      <c r="BZ80" s="414"/>
      <c r="CA80" s="414"/>
      <c r="CB80" s="414"/>
      <c r="CC80" s="414"/>
    </row>
    <row r="81" spans="4:81" ht="12.75" customHeight="1">
      <c r="D81" s="414"/>
      <c r="H81" s="414"/>
      <c r="I81" s="414"/>
      <c r="Q81" s="414"/>
      <c r="R81" s="414"/>
      <c r="S81" s="414"/>
      <c r="T81" s="414"/>
      <c r="U81" s="414"/>
      <c r="V81" s="414"/>
      <c r="W81" s="414"/>
      <c r="X81" s="414"/>
      <c r="Y81" s="414"/>
      <c r="Z81" s="414"/>
      <c r="AA81" s="414"/>
      <c r="AB81" s="414"/>
      <c r="AC81" s="414"/>
      <c r="AD81" s="414"/>
      <c r="AE81" s="414"/>
      <c r="AF81" s="414"/>
      <c r="AG81" s="414"/>
      <c r="AH81" s="414"/>
      <c r="AI81" s="414"/>
      <c r="AJ81" s="414"/>
      <c r="AK81" s="414"/>
      <c r="AL81" s="414"/>
      <c r="AM81" s="414"/>
      <c r="AN81" s="414"/>
      <c r="AO81" s="414"/>
      <c r="AP81" s="414"/>
      <c r="AQ81" s="414"/>
      <c r="AR81" s="414"/>
      <c r="AS81" s="414"/>
      <c r="AT81" s="414"/>
      <c r="AU81" s="414"/>
      <c r="AV81" s="414"/>
      <c r="AW81" s="414"/>
      <c r="AX81" s="414"/>
      <c r="AY81" s="414"/>
      <c r="AZ81" s="414"/>
      <c r="BA81" s="414"/>
      <c r="BB81" s="414"/>
      <c r="BC81" s="414"/>
      <c r="BD81" s="414"/>
      <c r="BE81" s="414"/>
      <c r="BF81" s="414"/>
      <c r="BG81" s="414"/>
      <c r="BH81" s="414"/>
      <c r="BI81" s="414"/>
      <c r="BJ81" s="414"/>
      <c r="BK81" s="414"/>
      <c r="BL81" s="414"/>
      <c r="BM81" s="414"/>
      <c r="BN81" s="414"/>
      <c r="BO81" s="414"/>
      <c r="BP81" s="414"/>
      <c r="BQ81" s="414"/>
      <c r="BR81" s="414"/>
      <c r="BS81" s="414"/>
      <c r="BT81" s="414"/>
      <c r="BU81" s="414"/>
      <c r="BV81" s="414"/>
      <c r="BW81" s="414"/>
      <c r="BX81" s="414"/>
      <c r="BY81" s="414"/>
      <c r="BZ81" s="414"/>
      <c r="CA81" s="414"/>
      <c r="CB81" s="414"/>
      <c r="CC81" s="414"/>
    </row>
    <row r="82" spans="4:81" ht="12.75" customHeight="1">
      <c r="D82" s="414"/>
      <c r="H82" s="414"/>
      <c r="I82" s="414"/>
      <c r="Q82" s="414"/>
      <c r="R82" s="414"/>
      <c r="S82" s="414"/>
      <c r="T82" s="414"/>
      <c r="U82" s="414"/>
      <c r="V82" s="414"/>
      <c r="W82" s="414"/>
      <c r="X82" s="414"/>
      <c r="Y82" s="414"/>
      <c r="Z82" s="414"/>
      <c r="AA82" s="414"/>
      <c r="AB82" s="414"/>
      <c r="AC82" s="414"/>
      <c r="AD82" s="414"/>
      <c r="AE82" s="414"/>
      <c r="AF82" s="414"/>
      <c r="AG82" s="414"/>
      <c r="AH82" s="414"/>
      <c r="AI82" s="414"/>
      <c r="AJ82" s="414"/>
      <c r="AK82" s="414"/>
      <c r="AL82" s="414"/>
      <c r="AM82" s="414"/>
      <c r="AN82" s="414"/>
      <c r="AO82" s="414"/>
      <c r="AP82" s="414"/>
      <c r="AQ82" s="414"/>
      <c r="AR82" s="414"/>
      <c r="AS82" s="414"/>
      <c r="AT82" s="414"/>
      <c r="AU82" s="414"/>
      <c r="AV82" s="414"/>
      <c r="AW82" s="414"/>
      <c r="AX82" s="414"/>
      <c r="AY82" s="414"/>
      <c r="AZ82" s="414"/>
      <c r="BA82" s="414"/>
      <c r="BB82" s="414"/>
      <c r="BC82" s="414"/>
      <c r="BD82" s="414"/>
      <c r="BE82" s="414"/>
      <c r="BF82" s="414"/>
      <c r="BG82" s="414"/>
      <c r="BH82" s="414"/>
      <c r="BI82" s="414"/>
      <c r="BJ82" s="414"/>
      <c r="BK82" s="414"/>
      <c r="BL82" s="414"/>
      <c r="BM82" s="414"/>
      <c r="BN82" s="414"/>
      <c r="BO82" s="414"/>
      <c r="BP82" s="414"/>
      <c r="BQ82" s="414"/>
      <c r="BR82" s="414"/>
      <c r="BS82" s="414"/>
      <c r="BT82" s="414"/>
      <c r="BU82" s="414"/>
      <c r="BV82" s="414"/>
      <c r="BW82" s="414"/>
      <c r="BX82" s="414"/>
      <c r="BY82" s="414"/>
      <c r="BZ82" s="414"/>
      <c r="CA82" s="414"/>
      <c r="CB82" s="414"/>
      <c r="CC82" s="414"/>
    </row>
    <row r="83" spans="4:81" ht="12.75" customHeight="1">
      <c r="D83" s="414"/>
      <c r="H83" s="414"/>
      <c r="I83" s="414"/>
      <c r="Q83" s="414"/>
      <c r="R83" s="414"/>
      <c r="S83" s="414"/>
      <c r="T83" s="414"/>
      <c r="U83" s="414"/>
      <c r="V83" s="414"/>
      <c r="W83" s="414"/>
      <c r="X83" s="414"/>
      <c r="Y83" s="414"/>
      <c r="Z83" s="414"/>
      <c r="AA83" s="414"/>
      <c r="AB83" s="414"/>
      <c r="AC83" s="414"/>
      <c r="AD83" s="414"/>
      <c r="AE83" s="414"/>
      <c r="AF83" s="414"/>
      <c r="AG83" s="414"/>
      <c r="AH83" s="414"/>
      <c r="AI83" s="414"/>
      <c r="AJ83" s="414"/>
      <c r="AK83" s="414"/>
      <c r="AL83" s="414"/>
      <c r="AM83" s="414"/>
      <c r="AN83" s="414"/>
      <c r="AO83" s="414"/>
      <c r="AP83" s="414"/>
      <c r="AQ83" s="414"/>
      <c r="AR83" s="414"/>
      <c r="AS83" s="414"/>
      <c r="AT83" s="414"/>
      <c r="AU83" s="414"/>
      <c r="AV83" s="414"/>
      <c r="AW83" s="414"/>
      <c r="AX83" s="414"/>
      <c r="AY83" s="414"/>
      <c r="AZ83" s="414"/>
      <c r="BA83" s="414"/>
      <c r="BB83" s="414"/>
      <c r="BC83" s="414"/>
      <c r="BD83" s="414"/>
      <c r="BE83" s="414"/>
      <c r="BF83" s="414"/>
      <c r="BG83" s="414"/>
      <c r="BH83" s="414"/>
      <c r="BI83" s="414"/>
      <c r="BJ83" s="414"/>
      <c r="BK83" s="414"/>
      <c r="BL83" s="414"/>
      <c r="BM83" s="414"/>
      <c r="BN83" s="414"/>
      <c r="BO83" s="414"/>
      <c r="BP83" s="414"/>
      <c r="BQ83" s="414"/>
      <c r="BR83" s="414"/>
      <c r="BS83" s="414"/>
      <c r="BT83" s="414"/>
      <c r="BU83" s="414"/>
      <c r="BV83" s="414"/>
      <c r="BW83" s="414"/>
      <c r="BX83" s="414"/>
      <c r="BY83" s="414"/>
      <c r="BZ83" s="414"/>
      <c r="CA83" s="414"/>
      <c r="CB83" s="414"/>
      <c r="CC83" s="414"/>
    </row>
    <row r="84" spans="4:81" ht="12.75" customHeight="1">
      <c r="D84" s="414"/>
      <c r="H84" s="414"/>
      <c r="I84" s="414"/>
      <c r="Q84" s="414"/>
      <c r="R84" s="414"/>
      <c r="S84" s="414"/>
      <c r="T84" s="414"/>
      <c r="U84" s="414"/>
      <c r="V84" s="414"/>
      <c r="W84" s="414"/>
      <c r="X84" s="414"/>
      <c r="Y84" s="414"/>
      <c r="Z84" s="414"/>
      <c r="AA84" s="414"/>
      <c r="AB84" s="414"/>
      <c r="AC84" s="414"/>
      <c r="AD84" s="414"/>
      <c r="AE84" s="414"/>
      <c r="AF84" s="414"/>
      <c r="AG84" s="414"/>
      <c r="AH84" s="414"/>
      <c r="AI84" s="414"/>
      <c r="AJ84" s="414"/>
      <c r="AK84" s="414"/>
      <c r="AL84" s="414"/>
      <c r="AM84" s="414"/>
      <c r="AN84" s="414"/>
      <c r="AO84" s="414"/>
      <c r="AP84" s="414"/>
      <c r="AQ84" s="414"/>
      <c r="AR84" s="414"/>
      <c r="AS84" s="414"/>
      <c r="AT84" s="414"/>
      <c r="AU84" s="414"/>
      <c r="AV84" s="414"/>
      <c r="AW84" s="414"/>
      <c r="AX84" s="414"/>
      <c r="AY84" s="414"/>
      <c r="AZ84" s="414"/>
      <c r="BA84" s="414"/>
      <c r="BB84" s="414"/>
      <c r="BC84" s="414"/>
      <c r="BD84" s="414"/>
      <c r="BE84" s="414"/>
      <c r="BF84" s="414"/>
      <c r="BG84" s="414"/>
      <c r="BH84" s="414"/>
      <c r="BI84" s="414"/>
      <c r="BJ84" s="414"/>
      <c r="BK84" s="414"/>
      <c r="BL84" s="414"/>
      <c r="BM84" s="414"/>
      <c r="BN84" s="414"/>
      <c r="BO84" s="414"/>
      <c r="BP84" s="414"/>
      <c r="BQ84" s="414"/>
      <c r="BR84" s="414"/>
      <c r="BS84" s="414"/>
      <c r="BT84" s="414"/>
      <c r="BU84" s="414"/>
      <c r="BV84" s="414"/>
      <c r="BW84" s="414"/>
      <c r="BX84" s="414"/>
      <c r="BY84" s="414"/>
      <c r="BZ84" s="414"/>
      <c r="CA84" s="414"/>
      <c r="CB84" s="414"/>
      <c r="CC84" s="414"/>
    </row>
    <row r="85" spans="4:81" ht="12.75" customHeight="1">
      <c r="D85" s="414"/>
      <c r="H85" s="414"/>
      <c r="I85" s="414"/>
      <c r="Q85" s="414"/>
      <c r="R85" s="414"/>
      <c r="S85" s="414"/>
      <c r="T85" s="414"/>
      <c r="U85" s="414"/>
      <c r="V85" s="414"/>
      <c r="W85" s="414"/>
      <c r="X85" s="414"/>
      <c r="Y85" s="414"/>
      <c r="Z85" s="414"/>
      <c r="AA85" s="414"/>
      <c r="AB85" s="414"/>
      <c r="AC85" s="414"/>
      <c r="AD85" s="414"/>
      <c r="AE85" s="414"/>
      <c r="AF85" s="414"/>
      <c r="AG85" s="414"/>
      <c r="AH85" s="414"/>
      <c r="AI85" s="414"/>
      <c r="AJ85" s="414"/>
      <c r="AK85" s="414"/>
      <c r="AL85" s="414"/>
      <c r="AM85" s="414"/>
      <c r="AN85" s="414"/>
      <c r="AO85" s="414"/>
      <c r="AP85" s="414"/>
      <c r="AQ85" s="414"/>
      <c r="AR85" s="414"/>
      <c r="AS85" s="414"/>
      <c r="AT85" s="414"/>
      <c r="AU85" s="414"/>
      <c r="AV85" s="414"/>
      <c r="AW85" s="414"/>
      <c r="AX85" s="414"/>
      <c r="AY85" s="414"/>
      <c r="AZ85" s="414"/>
      <c r="BA85" s="414"/>
      <c r="BB85" s="414"/>
      <c r="BC85" s="414"/>
      <c r="BD85" s="414"/>
      <c r="BE85" s="414"/>
      <c r="BF85" s="414"/>
      <c r="BG85" s="414"/>
      <c r="BH85" s="414"/>
      <c r="BI85" s="414"/>
      <c r="BJ85" s="414"/>
      <c r="BK85" s="414"/>
      <c r="BL85" s="414"/>
      <c r="BM85" s="414"/>
      <c r="BN85" s="414"/>
      <c r="BO85" s="414"/>
      <c r="BP85" s="414"/>
      <c r="BQ85" s="414"/>
      <c r="BR85" s="414"/>
      <c r="BS85" s="414"/>
      <c r="BT85" s="414"/>
      <c r="BU85" s="414"/>
      <c r="BV85" s="414"/>
      <c r="BW85" s="414"/>
      <c r="BX85" s="414"/>
      <c r="BY85" s="414"/>
      <c r="BZ85" s="414"/>
      <c r="CA85" s="414"/>
      <c r="CB85" s="414"/>
      <c r="CC85" s="414"/>
    </row>
    <row r="86" spans="4:81" ht="12.75" customHeight="1">
      <c r="D86" s="414"/>
      <c r="H86" s="414"/>
      <c r="I86" s="414"/>
      <c r="Q86" s="414"/>
      <c r="R86" s="414"/>
      <c r="S86" s="414"/>
      <c r="T86" s="414"/>
      <c r="U86" s="414"/>
      <c r="V86" s="414"/>
      <c r="W86" s="414"/>
      <c r="X86" s="414"/>
      <c r="Y86" s="414"/>
      <c r="Z86" s="414"/>
      <c r="AA86" s="414"/>
      <c r="AB86" s="414"/>
      <c r="AC86" s="414"/>
      <c r="AD86" s="414"/>
      <c r="AE86" s="414"/>
      <c r="AF86" s="414"/>
      <c r="AG86" s="414"/>
      <c r="AH86" s="414"/>
      <c r="AI86" s="414"/>
      <c r="AJ86" s="414"/>
      <c r="AK86" s="414"/>
      <c r="AL86" s="414"/>
      <c r="AM86" s="414"/>
      <c r="AN86" s="414"/>
      <c r="AO86" s="414"/>
      <c r="AP86" s="414"/>
      <c r="AQ86" s="414"/>
      <c r="AR86" s="414"/>
      <c r="AS86" s="414"/>
      <c r="AT86" s="414"/>
      <c r="AU86" s="414"/>
      <c r="AV86" s="414"/>
      <c r="AW86" s="414"/>
      <c r="AX86" s="414"/>
      <c r="AY86" s="414"/>
      <c r="AZ86" s="414"/>
      <c r="BA86" s="414"/>
      <c r="BB86" s="414"/>
      <c r="BC86" s="414"/>
      <c r="BD86" s="414"/>
      <c r="BE86" s="414"/>
      <c r="BF86" s="414"/>
      <c r="BG86" s="414"/>
      <c r="BH86" s="414"/>
      <c r="BI86" s="414"/>
      <c r="BJ86" s="414"/>
      <c r="BK86" s="414"/>
      <c r="BL86" s="414"/>
      <c r="BM86" s="414"/>
      <c r="BN86" s="414"/>
      <c r="BO86" s="414"/>
      <c r="BP86" s="414"/>
      <c r="BQ86" s="414"/>
      <c r="BR86" s="414"/>
      <c r="BS86" s="414"/>
      <c r="BT86" s="414"/>
      <c r="BU86" s="414"/>
      <c r="BV86" s="414"/>
      <c r="BW86" s="414"/>
      <c r="BX86" s="414"/>
      <c r="BY86" s="414"/>
      <c r="BZ86" s="414"/>
      <c r="CA86" s="414"/>
      <c r="CB86" s="414"/>
      <c r="CC86" s="414"/>
    </row>
    <row r="87" spans="4:81" ht="12.75" customHeight="1">
      <c r="D87" s="414"/>
      <c r="H87" s="414"/>
      <c r="I87" s="414"/>
      <c r="Q87" s="414"/>
      <c r="R87" s="414"/>
      <c r="S87" s="414"/>
      <c r="T87" s="414"/>
      <c r="U87" s="414"/>
      <c r="V87" s="414"/>
      <c r="W87" s="414"/>
      <c r="X87" s="414"/>
      <c r="Y87" s="414"/>
      <c r="Z87" s="414"/>
      <c r="AA87" s="414"/>
      <c r="AB87" s="414"/>
      <c r="AC87" s="414"/>
      <c r="AD87" s="414"/>
      <c r="AE87" s="414"/>
      <c r="AF87" s="414"/>
      <c r="AG87" s="414"/>
      <c r="AH87" s="414"/>
      <c r="AI87" s="414"/>
      <c r="AJ87" s="414"/>
      <c r="AK87" s="414"/>
      <c r="AL87" s="414"/>
      <c r="AM87" s="414"/>
      <c r="AN87" s="414"/>
      <c r="AO87" s="414"/>
      <c r="AP87" s="414"/>
      <c r="AQ87" s="414"/>
      <c r="AR87" s="414"/>
      <c r="AS87" s="414"/>
      <c r="AT87" s="414"/>
      <c r="AU87" s="414"/>
      <c r="AV87" s="414"/>
      <c r="AW87" s="414"/>
      <c r="AX87" s="414"/>
      <c r="AY87" s="414"/>
      <c r="AZ87" s="414"/>
      <c r="BA87" s="414"/>
      <c r="BB87" s="414"/>
      <c r="BC87" s="414"/>
      <c r="BD87" s="414"/>
      <c r="BE87" s="414"/>
      <c r="BF87" s="414"/>
      <c r="BG87" s="414"/>
      <c r="BH87" s="414"/>
      <c r="BI87" s="414"/>
      <c r="BJ87" s="414"/>
      <c r="BK87" s="414"/>
      <c r="BL87" s="414"/>
      <c r="BM87" s="414"/>
      <c r="BN87" s="414"/>
      <c r="BO87" s="414"/>
      <c r="BP87" s="414"/>
      <c r="BQ87" s="414"/>
      <c r="BR87" s="414"/>
      <c r="BS87" s="414"/>
      <c r="BT87" s="414"/>
      <c r="BU87" s="414"/>
      <c r="BV87" s="414"/>
      <c r="BW87" s="414"/>
      <c r="BX87" s="414"/>
      <c r="BY87" s="414"/>
      <c r="BZ87" s="414"/>
      <c r="CA87" s="414"/>
      <c r="CB87" s="414"/>
      <c r="CC87" s="414"/>
    </row>
    <row r="88" spans="4:81" ht="12.75" customHeight="1">
      <c r="D88" s="414"/>
      <c r="H88" s="414"/>
      <c r="I88" s="414"/>
      <c r="Q88" s="414"/>
      <c r="R88" s="414"/>
      <c r="S88" s="414"/>
      <c r="T88" s="414"/>
      <c r="U88" s="414"/>
      <c r="V88" s="414"/>
      <c r="W88" s="414"/>
      <c r="X88" s="414"/>
      <c r="Y88" s="414"/>
      <c r="Z88" s="414"/>
      <c r="AA88" s="414"/>
      <c r="AB88" s="414"/>
      <c r="AC88" s="414"/>
      <c r="AD88" s="414"/>
      <c r="AE88" s="414"/>
      <c r="AF88" s="414"/>
      <c r="AG88" s="414"/>
      <c r="AH88" s="414"/>
      <c r="AI88" s="414"/>
      <c r="AJ88" s="414"/>
      <c r="AK88" s="414"/>
      <c r="AL88" s="414"/>
      <c r="AM88" s="414"/>
      <c r="AN88" s="414"/>
      <c r="AO88" s="414"/>
      <c r="AP88" s="414"/>
      <c r="AQ88" s="414"/>
      <c r="AR88" s="414"/>
      <c r="AS88" s="414"/>
      <c r="AT88" s="414"/>
      <c r="AU88" s="414"/>
      <c r="AV88" s="414"/>
      <c r="AW88" s="414"/>
      <c r="AX88" s="414"/>
      <c r="AY88" s="414"/>
      <c r="AZ88" s="414"/>
      <c r="BA88" s="414"/>
      <c r="BB88" s="414"/>
      <c r="BC88" s="414"/>
      <c r="BD88" s="414"/>
      <c r="BE88" s="414"/>
      <c r="BF88" s="414"/>
      <c r="BG88" s="414"/>
      <c r="BH88" s="414"/>
      <c r="BI88" s="414"/>
      <c r="BJ88" s="414"/>
      <c r="BK88" s="414"/>
      <c r="BL88" s="414"/>
      <c r="BM88" s="414"/>
      <c r="BN88" s="414"/>
      <c r="BO88" s="414"/>
      <c r="BP88" s="414"/>
      <c r="BQ88" s="414"/>
      <c r="BR88" s="414"/>
      <c r="BS88" s="414"/>
      <c r="BT88" s="414"/>
      <c r="BU88" s="414"/>
      <c r="BV88" s="414"/>
      <c r="BW88" s="414"/>
      <c r="BX88" s="414"/>
      <c r="BY88" s="414"/>
      <c r="BZ88" s="414"/>
      <c r="CA88" s="414"/>
      <c r="CB88" s="414"/>
      <c r="CC88" s="414"/>
    </row>
    <row r="89" spans="4:81" ht="12.75" customHeight="1">
      <c r="D89" s="414"/>
      <c r="H89" s="414"/>
      <c r="I89" s="414"/>
      <c r="Q89" s="414"/>
      <c r="R89" s="414"/>
      <c r="S89" s="414"/>
      <c r="T89" s="414"/>
      <c r="U89" s="414"/>
      <c r="V89" s="414"/>
      <c r="W89" s="414"/>
      <c r="X89" s="414"/>
      <c r="Y89" s="414"/>
      <c r="Z89" s="414"/>
      <c r="AA89" s="414"/>
      <c r="AB89" s="414"/>
      <c r="AC89" s="414"/>
      <c r="AD89" s="414"/>
      <c r="AE89" s="414"/>
      <c r="AF89" s="414"/>
      <c r="AG89" s="414"/>
      <c r="AH89" s="414"/>
      <c r="AI89" s="414"/>
      <c r="AJ89" s="414"/>
      <c r="AK89" s="414"/>
      <c r="AL89" s="414"/>
      <c r="AM89" s="414"/>
      <c r="AN89" s="414"/>
      <c r="AO89" s="414"/>
      <c r="AP89" s="414"/>
      <c r="AQ89" s="414"/>
      <c r="AR89" s="414"/>
      <c r="AS89" s="414"/>
      <c r="AT89" s="414"/>
      <c r="AU89" s="414"/>
      <c r="AV89" s="414"/>
      <c r="AW89" s="414"/>
      <c r="AX89" s="414"/>
      <c r="AY89" s="414"/>
      <c r="AZ89" s="414"/>
      <c r="BA89" s="414"/>
      <c r="BB89" s="414"/>
      <c r="BC89" s="414"/>
      <c r="BD89" s="414"/>
      <c r="BE89" s="414"/>
      <c r="BF89" s="414"/>
      <c r="BG89" s="414"/>
      <c r="BH89" s="414"/>
      <c r="BI89" s="414"/>
      <c r="BJ89" s="414"/>
      <c r="BK89" s="414"/>
      <c r="BL89" s="414"/>
      <c r="BM89" s="414"/>
      <c r="BN89" s="414"/>
      <c r="BO89" s="414"/>
      <c r="BP89" s="414"/>
      <c r="BQ89" s="414"/>
      <c r="BR89" s="414"/>
      <c r="BS89" s="414"/>
      <c r="BT89" s="414"/>
      <c r="BU89" s="414"/>
      <c r="BV89" s="414"/>
      <c r="BW89" s="414"/>
      <c r="BX89" s="414"/>
      <c r="BY89" s="414"/>
      <c r="BZ89" s="414"/>
      <c r="CA89" s="414"/>
      <c r="CB89" s="414"/>
      <c r="CC89" s="414"/>
    </row>
    <row r="90" spans="4:81" ht="12.75" customHeight="1">
      <c r="D90" s="414"/>
      <c r="H90" s="414"/>
      <c r="I90" s="414"/>
      <c r="Q90" s="414"/>
      <c r="R90" s="414"/>
      <c r="S90" s="414"/>
      <c r="T90" s="414"/>
      <c r="U90" s="414"/>
      <c r="V90" s="414"/>
      <c r="W90" s="414"/>
      <c r="X90" s="414"/>
      <c r="Y90" s="414"/>
      <c r="Z90" s="414"/>
      <c r="AA90" s="414"/>
      <c r="AB90" s="414"/>
      <c r="AC90" s="414"/>
      <c r="AD90" s="414"/>
      <c r="AE90" s="414"/>
      <c r="AF90" s="414"/>
      <c r="AG90" s="414"/>
      <c r="AH90" s="414"/>
      <c r="AI90" s="414"/>
      <c r="AJ90" s="414"/>
      <c r="AK90" s="414"/>
      <c r="AL90" s="414"/>
      <c r="AM90" s="414"/>
      <c r="AN90" s="414"/>
      <c r="AO90" s="414"/>
      <c r="AP90" s="414"/>
      <c r="AQ90" s="414"/>
      <c r="AR90" s="414"/>
      <c r="AS90" s="414"/>
      <c r="AT90" s="414"/>
      <c r="AU90" s="414"/>
      <c r="AV90" s="414"/>
      <c r="AW90" s="414"/>
      <c r="AX90" s="414"/>
      <c r="AY90" s="414"/>
      <c r="AZ90" s="414"/>
      <c r="BA90" s="414"/>
      <c r="BB90" s="414"/>
      <c r="BC90" s="414"/>
      <c r="BD90" s="414"/>
      <c r="BE90" s="414"/>
      <c r="BF90" s="414"/>
      <c r="BG90" s="414"/>
      <c r="BH90" s="414"/>
      <c r="BI90" s="414"/>
      <c r="BJ90" s="414"/>
      <c r="BK90" s="414"/>
      <c r="BL90" s="414"/>
      <c r="BM90" s="414"/>
      <c r="BN90" s="414"/>
      <c r="BO90" s="414"/>
      <c r="BP90" s="414"/>
      <c r="BQ90" s="414"/>
      <c r="BR90" s="414"/>
      <c r="BS90" s="414"/>
      <c r="BT90" s="414"/>
      <c r="BU90" s="414"/>
      <c r="BV90" s="414"/>
      <c r="BW90" s="414"/>
      <c r="BX90" s="414"/>
      <c r="BY90" s="414"/>
      <c r="BZ90" s="414"/>
      <c r="CA90" s="414"/>
      <c r="CB90" s="414"/>
      <c r="CC90" s="414"/>
    </row>
    <row r="91" spans="4:81" ht="12.75" customHeight="1">
      <c r="D91" s="414"/>
      <c r="H91" s="414"/>
      <c r="I91" s="414"/>
      <c r="Q91" s="414"/>
      <c r="R91" s="414"/>
      <c r="S91" s="414"/>
      <c r="T91" s="414"/>
      <c r="U91" s="414"/>
      <c r="V91" s="414"/>
      <c r="W91" s="414"/>
      <c r="X91" s="414"/>
      <c r="Y91" s="414"/>
      <c r="Z91" s="414"/>
      <c r="AA91" s="414"/>
      <c r="AB91" s="414"/>
      <c r="AC91" s="414"/>
      <c r="AD91" s="414"/>
      <c r="AE91" s="414"/>
      <c r="AF91" s="414"/>
      <c r="AG91" s="414"/>
      <c r="AH91" s="414"/>
      <c r="AI91" s="414"/>
      <c r="AJ91" s="414"/>
      <c r="AK91" s="414"/>
      <c r="AL91" s="414"/>
      <c r="AM91" s="414"/>
      <c r="AN91" s="414"/>
      <c r="AO91" s="414"/>
      <c r="AP91" s="414"/>
      <c r="AQ91" s="414"/>
      <c r="AR91" s="414"/>
      <c r="AS91" s="414"/>
      <c r="AT91" s="414"/>
      <c r="AU91" s="414"/>
      <c r="AV91" s="414"/>
      <c r="AW91" s="414"/>
      <c r="AX91" s="414"/>
      <c r="AY91" s="414"/>
      <c r="AZ91" s="414"/>
      <c r="BA91" s="414"/>
      <c r="BB91" s="414"/>
      <c r="BC91" s="414"/>
      <c r="BD91" s="414"/>
      <c r="BE91" s="414"/>
      <c r="BF91" s="414"/>
      <c r="BG91" s="414"/>
      <c r="BH91" s="414"/>
      <c r="BI91" s="414"/>
      <c r="BJ91" s="414"/>
      <c r="BK91" s="414"/>
      <c r="BL91" s="414"/>
      <c r="BM91" s="414"/>
      <c r="BN91" s="414"/>
      <c r="BO91" s="414"/>
      <c r="BP91" s="414"/>
      <c r="BQ91" s="414"/>
      <c r="BR91" s="414"/>
      <c r="BS91" s="414"/>
      <c r="BT91" s="414"/>
      <c r="BU91" s="414"/>
      <c r="BV91" s="414"/>
      <c r="BW91" s="414"/>
      <c r="BX91" s="414"/>
      <c r="BY91" s="414"/>
      <c r="BZ91" s="414"/>
      <c r="CA91" s="414"/>
      <c r="CB91" s="414"/>
      <c r="CC91" s="414"/>
    </row>
    <row r="92" spans="4:81" ht="12.75" customHeight="1">
      <c r="D92" s="414"/>
      <c r="H92" s="414"/>
      <c r="I92" s="414"/>
      <c r="Q92" s="414"/>
      <c r="R92" s="414"/>
      <c r="S92" s="414"/>
      <c r="T92" s="414"/>
      <c r="U92" s="414"/>
      <c r="V92" s="414"/>
      <c r="W92" s="414"/>
      <c r="X92" s="414"/>
      <c r="Y92" s="414"/>
      <c r="Z92" s="414"/>
      <c r="AA92" s="414"/>
      <c r="AB92" s="414"/>
      <c r="AC92" s="414"/>
      <c r="AD92" s="414"/>
      <c r="AE92" s="414"/>
      <c r="AF92" s="414"/>
      <c r="AG92" s="414"/>
      <c r="AH92" s="414"/>
      <c r="AI92" s="414"/>
      <c r="AJ92" s="414"/>
      <c r="AK92" s="414"/>
      <c r="AL92" s="414"/>
      <c r="AM92" s="414"/>
      <c r="AN92" s="414"/>
      <c r="AO92" s="414"/>
      <c r="AP92" s="414"/>
      <c r="AQ92" s="414"/>
      <c r="AR92" s="414"/>
      <c r="AS92" s="414"/>
      <c r="AT92" s="414"/>
      <c r="AU92" s="414"/>
      <c r="AV92" s="414"/>
      <c r="AW92" s="414"/>
      <c r="AX92" s="414"/>
      <c r="AY92" s="414"/>
      <c r="AZ92" s="414"/>
      <c r="BA92" s="414"/>
      <c r="BB92" s="414"/>
      <c r="BC92" s="414"/>
      <c r="BD92" s="414"/>
      <c r="BE92" s="414"/>
      <c r="BF92" s="414"/>
      <c r="BG92" s="414"/>
      <c r="BH92" s="414"/>
      <c r="BI92" s="414"/>
      <c r="BJ92" s="414"/>
      <c r="BK92" s="414"/>
      <c r="BL92" s="414"/>
      <c r="BM92" s="414"/>
      <c r="BN92" s="414"/>
      <c r="BO92" s="414"/>
      <c r="BP92" s="414"/>
      <c r="BQ92" s="414"/>
      <c r="BR92" s="414"/>
      <c r="BS92" s="414"/>
      <c r="BT92" s="414"/>
      <c r="BU92" s="414"/>
      <c r="BV92" s="414"/>
      <c r="BW92" s="414"/>
      <c r="BX92" s="414"/>
      <c r="BY92" s="414"/>
      <c r="BZ92" s="414"/>
      <c r="CA92" s="414"/>
      <c r="CB92" s="414"/>
      <c r="CC92" s="414"/>
    </row>
    <row r="93" spans="4:81" ht="12.75" customHeight="1">
      <c r="D93" s="414"/>
      <c r="H93" s="414"/>
      <c r="I93" s="414"/>
      <c r="Q93" s="414"/>
      <c r="R93" s="414"/>
      <c r="S93" s="414"/>
      <c r="T93" s="414"/>
      <c r="U93" s="414"/>
      <c r="V93" s="414"/>
      <c r="W93" s="414"/>
      <c r="X93" s="414"/>
      <c r="Y93" s="414"/>
      <c r="Z93" s="414"/>
      <c r="AA93" s="414"/>
      <c r="AB93" s="414"/>
      <c r="AC93" s="414"/>
      <c r="AD93" s="414"/>
      <c r="AE93" s="414"/>
      <c r="AF93" s="414"/>
      <c r="AG93" s="414"/>
      <c r="AH93" s="414"/>
      <c r="AI93" s="414"/>
      <c r="AJ93" s="414"/>
      <c r="AK93" s="414"/>
      <c r="AL93" s="414"/>
      <c r="AM93" s="414"/>
      <c r="AN93" s="414"/>
      <c r="AO93" s="414"/>
      <c r="AP93" s="414"/>
      <c r="AQ93" s="414"/>
      <c r="AR93" s="414"/>
      <c r="AS93" s="414"/>
      <c r="AT93" s="414"/>
      <c r="AU93" s="414"/>
      <c r="AV93" s="414"/>
      <c r="AW93" s="414"/>
      <c r="AX93" s="414"/>
      <c r="AY93" s="414"/>
      <c r="AZ93" s="414"/>
      <c r="BA93" s="414"/>
      <c r="BB93" s="414"/>
      <c r="BC93" s="414"/>
      <c r="BD93" s="414"/>
      <c r="BE93" s="414"/>
      <c r="BF93" s="414"/>
      <c r="BG93" s="414"/>
      <c r="BH93" s="414"/>
      <c r="BI93" s="414"/>
      <c r="BJ93" s="414"/>
      <c r="BK93" s="414"/>
      <c r="BL93" s="414"/>
      <c r="BM93" s="414"/>
      <c r="BN93" s="414"/>
      <c r="BO93" s="414"/>
      <c r="BP93" s="414"/>
      <c r="BQ93" s="414"/>
      <c r="BR93" s="414"/>
      <c r="BS93" s="414"/>
      <c r="BT93" s="414"/>
      <c r="BU93" s="414"/>
      <c r="BV93" s="414"/>
      <c r="BW93" s="414"/>
      <c r="BX93" s="414"/>
      <c r="BY93" s="414"/>
      <c r="BZ93" s="414"/>
      <c r="CA93" s="414"/>
      <c r="CB93" s="414"/>
      <c r="CC93" s="414"/>
    </row>
    <row r="94" spans="4:81" ht="12.75" customHeight="1">
      <c r="D94" s="414"/>
      <c r="H94" s="414"/>
      <c r="I94" s="414"/>
      <c r="Q94" s="414"/>
      <c r="R94" s="414"/>
      <c r="S94" s="414"/>
      <c r="T94" s="414"/>
      <c r="U94" s="414"/>
      <c r="V94" s="414"/>
      <c r="W94" s="414"/>
      <c r="X94" s="414"/>
      <c r="Y94" s="414"/>
      <c r="Z94" s="414"/>
      <c r="AA94" s="414"/>
      <c r="AB94" s="414"/>
      <c r="AC94" s="414"/>
      <c r="AD94" s="414"/>
      <c r="AE94" s="414"/>
      <c r="AF94" s="414"/>
      <c r="AG94" s="414"/>
      <c r="AH94" s="414"/>
      <c r="AI94" s="414"/>
      <c r="AJ94" s="414"/>
      <c r="AK94" s="414"/>
      <c r="AL94" s="414"/>
      <c r="AM94" s="414"/>
      <c r="AN94" s="414"/>
      <c r="AO94" s="414"/>
      <c r="AP94" s="414"/>
      <c r="AQ94" s="414"/>
      <c r="AR94" s="414"/>
      <c r="AS94" s="414"/>
      <c r="AT94" s="414"/>
      <c r="AU94" s="414"/>
      <c r="AV94" s="414"/>
      <c r="AW94" s="414"/>
      <c r="AX94" s="414"/>
      <c r="AY94" s="414"/>
      <c r="AZ94" s="414"/>
      <c r="BA94" s="414"/>
      <c r="BB94" s="414"/>
      <c r="BC94" s="414"/>
      <c r="BD94" s="414"/>
      <c r="BE94" s="414"/>
      <c r="BF94" s="414"/>
      <c r="BG94" s="414"/>
      <c r="BH94" s="414"/>
      <c r="BI94" s="414"/>
      <c r="BJ94" s="414"/>
      <c r="BK94" s="414"/>
      <c r="BL94" s="414"/>
      <c r="BM94" s="414"/>
      <c r="BN94" s="414"/>
      <c r="BO94" s="414"/>
      <c r="BP94" s="414"/>
      <c r="BQ94" s="414"/>
      <c r="BR94" s="414"/>
      <c r="BS94" s="414"/>
      <c r="BT94" s="414"/>
      <c r="BU94" s="414"/>
      <c r="BV94" s="414"/>
      <c r="BW94" s="414"/>
      <c r="BX94" s="414"/>
      <c r="BY94" s="414"/>
      <c r="BZ94" s="414"/>
      <c r="CA94" s="414"/>
      <c r="CB94" s="414"/>
      <c r="CC94" s="414"/>
    </row>
    <row r="95" spans="4:81" ht="12.75" customHeight="1">
      <c r="D95" s="414"/>
      <c r="H95" s="414"/>
      <c r="I95" s="414"/>
      <c r="Q95" s="414"/>
      <c r="R95" s="414"/>
      <c r="S95" s="414"/>
      <c r="T95" s="414"/>
      <c r="U95" s="414"/>
      <c r="V95" s="414"/>
      <c r="W95" s="414"/>
      <c r="X95" s="414"/>
      <c r="Y95" s="414"/>
      <c r="Z95" s="414"/>
      <c r="AA95" s="414"/>
      <c r="AB95" s="414"/>
      <c r="AC95" s="414"/>
      <c r="AD95" s="414"/>
      <c r="AE95" s="414"/>
      <c r="AF95" s="414"/>
      <c r="AG95" s="414"/>
      <c r="AH95" s="414"/>
      <c r="AI95" s="414"/>
      <c r="AJ95" s="414"/>
      <c r="AK95" s="414"/>
      <c r="AL95" s="414"/>
      <c r="AM95" s="414"/>
      <c r="AN95" s="414"/>
      <c r="AO95" s="414"/>
      <c r="AP95" s="414"/>
      <c r="AQ95" s="414"/>
      <c r="AR95" s="414"/>
      <c r="AS95" s="414"/>
      <c r="AT95" s="414"/>
      <c r="AU95" s="414"/>
      <c r="AV95" s="414"/>
      <c r="AW95" s="414"/>
      <c r="AX95" s="414"/>
      <c r="AY95" s="414"/>
      <c r="AZ95" s="414"/>
      <c r="BA95" s="414"/>
      <c r="BB95" s="414"/>
      <c r="BC95" s="414"/>
      <c r="BD95" s="414"/>
      <c r="BE95" s="414"/>
      <c r="BF95" s="414"/>
      <c r="BG95" s="414"/>
      <c r="BH95" s="414"/>
      <c r="BI95" s="414"/>
      <c r="BJ95" s="414"/>
      <c r="BK95" s="414"/>
      <c r="BL95" s="414"/>
      <c r="BM95" s="414"/>
      <c r="BN95" s="414"/>
      <c r="BO95" s="414"/>
      <c r="BP95" s="414"/>
      <c r="BQ95" s="414"/>
      <c r="BR95" s="414"/>
      <c r="BS95" s="414"/>
      <c r="BT95" s="414"/>
      <c r="BU95" s="414"/>
      <c r="BV95" s="414"/>
      <c r="BW95" s="414"/>
      <c r="BX95" s="414"/>
      <c r="BY95" s="414"/>
      <c r="BZ95" s="414"/>
      <c r="CA95" s="414"/>
      <c r="CB95" s="414"/>
      <c r="CC95" s="414"/>
    </row>
    <row r="96" spans="4:81" ht="12.75" customHeight="1">
      <c r="D96" s="414"/>
      <c r="H96" s="414"/>
      <c r="I96" s="414"/>
      <c r="Q96" s="414"/>
      <c r="R96" s="414"/>
      <c r="S96" s="414"/>
      <c r="T96" s="414"/>
      <c r="U96" s="414"/>
      <c r="V96" s="414"/>
      <c r="W96" s="414"/>
      <c r="X96" s="414"/>
      <c r="Y96" s="414"/>
      <c r="Z96" s="414"/>
      <c r="AA96" s="414"/>
      <c r="AB96" s="414"/>
      <c r="AC96" s="414"/>
      <c r="AD96" s="414"/>
      <c r="AE96" s="414"/>
      <c r="AF96" s="414"/>
      <c r="AG96" s="414"/>
      <c r="AH96" s="414"/>
      <c r="AI96" s="414"/>
      <c r="AJ96" s="414"/>
      <c r="AK96" s="414"/>
      <c r="AL96" s="414"/>
      <c r="AM96" s="414"/>
      <c r="AN96" s="414"/>
      <c r="AO96" s="414"/>
      <c r="AP96" s="414"/>
      <c r="AQ96" s="414"/>
      <c r="AR96" s="414"/>
      <c r="AS96" s="414"/>
      <c r="AT96" s="414"/>
      <c r="AU96" s="414"/>
      <c r="AV96" s="414"/>
      <c r="AW96" s="414"/>
      <c r="AX96" s="414"/>
      <c r="AY96" s="414"/>
      <c r="AZ96" s="414"/>
      <c r="BA96" s="414"/>
      <c r="BB96" s="414"/>
      <c r="BC96" s="414"/>
      <c r="BD96" s="414"/>
      <c r="BE96" s="414"/>
      <c r="BF96" s="414"/>
      <c r="BG96" s="414"/>
      <c r="BH96" s="414"/>
      <c r="BI96" s="414"/>
      <c r="BJ96" s="414"/>
      <c r="BK96" s="414"/>
      <c r="BL96" s="414"/>
      <c r="BM96" s="414"/>
      <c r="BN96" s="414"/>
      <c r="BO96" s="414"/>
      <c r="BP96" s="414"/>
      <c r="BQ96" s="414"/>
      <c r="BR96" s="414"/>
      <c r="BS96" s="414"/>
      <c r="BT96" s="414"/>
      <c r="BU96" s="414"/>
      <c r="BV96" s="414"/>
      <c r="BW96" s="414"/>
      <c r="BX96" s="414"/>
      <c r="BY96" s="414"/>
      <c r="BZ96" s="414"/>
      <c r="CA96" s="414"/>
      <c r="CB96" s="414"/>
      <c r="CC96" s="414"/>
    </row>
    <row r="97" spans="4:81" ht="12.75" customHeight="1">
      <c r="D97" s="414"/>
      <c r="H97" s="414"/>
      <c r="I97" s="414"/>
      <c r="Q97" s="414"/>
      <c r="R97" s="414"/>
      <c r="S97" s="414"/>
      <c r="T97" s="414"/>
      <c r="U97" s="414"/>
      <c r="V97" s="414"/>
      <c r="W97" s="414"/>
      <c r="X97" s="414"/>
      <c r="Y97" s="414"/>
      <c r="Z97" s="414"/>
      <c r="AA97" s="414"/>
      <c r="AB97" s="414"/>
      <c r="AC97" s="414"/>
      <c r="AD97" s="414"/>
      <c r="AE97" s="414"/>
      <c r="AF97" s="414"/>
      <c r="AG97" s="414"/>
      <c r="AH97" s="414"/>
      <c r="AI97" s="414"/>
      <c r="AJ97" s="414"/>
      <c r="AK97" s="414"/>
      <c r="AL97" s="414"/>
      <c r="AM97" s="414"/>
      <c r="AN97" s="414"/>
      <c r="AO97" s="414"/>
      <c r="AP97" s="414"/>
      <c r="AQ97" s="414"/>
      <c r="AR97" s="414"/>
      <c r="AS97" s="414"/>
      <c r="AT97" s="414"/>
      <c r="AU97" s="414"/>
      <c r="AV97" s="414"/>
      <c r="AW97" s="414"/>
      <c r="AX97" s="414"/>
      <c r="AY97" s="414"/>
      <c r="AZ97" s="414"/>
      <c r="BA97" s="414"/>
      <c r="BB97" s="414"/>
      <c r="BC97" s="414"/>
      <c r="BD97" s="414"/>
      <c r="BE97" s="414"/>
      <c r="BF97" s="414"/>
      <c r="BG97" s="414"/>
      <c r="BH97" s="414"/>
      <c r="BI97" s="414"/>
      <c r="BJ97" s="414"/>
      <c r="BK97" s="414"/>
      <c r="BL97" s="414"/>
      <c r="BM97" s="414"/>
      <c r="BN97" s="414"/>
      <c r="BO97" s="414"/>
      <c r="BP97" s="414"/>
      <c r="BQ97" s="414"/>
      <c r="BR97" s="414"/>
      <c r="BS97" s="414"/>
      <c r="BT97" s="414"/>
      <c r="BU97" s="414"/>
      <c r="BV97" s="414"/>
      <c r="BW97" s="414"/>
      <c r="BX97" s="414"/>
      <c r="BY97" s="414"/>
      <c r="BZ97" s="414"/>
      <c r="CA97" s="414"/>
      <c r="CB97" s="414"/>
      <c r="CC97" s="414"/>
    </row>
    <row r="98" spans="4:81" ht="12.75" customHeight="1">
      <c r="D98" s="414"/>
      <c r="H98" s="414"/>
      <c r="I98" s="414"/>
      <c r="Q98" s="414"/>
      <c r="R98" s="414"/>
      <c r="S98" s="414"/>
      <c r="T98" s="414"/>
      <c r="U98" s="414"/>
      <c r="V98" s="414"/>
      <c r="W98" s="414"/>
      <c r="X98" s="414"/>
      <c r="Y98" s="414"/>
      <c r="Z98" s="414"/>
      <c r="AA98" s="414"/>
      <c r="AB98" s="414"/>
      <c r="AC98" s="414"/>
      <c r="AD98" s="414"/>
      <c r="AE98" s="414"/>
      <c r="AF98" s="414"/>
      <c r="AG98" s="414"/>
      <c r="AH98" s="414"/>
      <c r="AI98" s="414"/>
      <c r="AJ98" s="414"/>
      <c r="AK98" s="414"/>
      <c r="AL98" s="414"/>
      <c r="AM98" s="414"/>
      <c r="AN98" s="414"/>
      <c r="AO98" s="414"/>
      <c r="AP98" s="414"/>
      <c r="AQ98" s="414"/>
      <c r="AR98" s="414"/>
      <c r="AS98" s="414"/>
      <c r="AT98" s="414"/>
      <c r="AU98" s="414"/>
      <c r="AV98" s="414"/>
      <c r="AW98" s="414"/>
      <c r="AX98" s="414"/>
      <c r="AY98" s="414"/>
      <c r="AZ98" s="414"/>
      <c r="BA98" s="414"/>
      <c r="BB98" s="414"/>
      <c r="BC98" s="414"/>
      <c r="BD98" s="414"/>
      <c r="BE98" s="414"/>
      <c r="BF98" s="414"/>
      <c r="BG98" s="414"/>
      <c r="BH98" s="414"/>
      <c r="BI98" s="414"/>
      <c r="BJ98" s="414"/>
      <c r="BK98" s="414"/>
      <c r="BL98" s="414"/>
      <c r="BM98" s="414"/>
      <c r="BN98" s="414"/>
      <c r="BO98" s="414"/>
      <c r="BP98" s="414"/>
      <c r="BQ98" s="414"/>
      <c r="BR98" s="414"/>
      <c r="BS98" s="414"/>
      <c r="BT98" s="414"/>
      <c r="BU98" s="414"/>
      <c r="BV98" s="414"/>
      <c r="BW98" s="414"/>
      <c r="BX98" s="414"/>
      <c r="BY98" s="414"/>
      <c r="BZ98" s="414"/>
      <c r="CA98" s="414"/>
      <c r="CB98" s="414"/>
      <c r="CC98" s="414"/>
    </row>
    <row r="99" spans="4:81" ht="12.75" customHeight="1">
      <c r="D99" s="414"/>
      <c r="H99" s="414"/>
      <c r="I99" s="414"/>
      <c r="Q99" s="414"/>
      <c r="R99" s="414"/>
      <c r="S99" s="414"/>
      <c r="T99" s="414"/>
      <c r="U99" s="414"/>
      <c r="V99" s="414"/>
      <c r="W99" s="414"/>
      <c r="X99" s="414"/>
      <c r="Y99" s="414"/>
      <c r="Z99" s="414"/>
      <c r="AA99" s="414"/>
      <c r="AB99" s="414"/>
      <c r="AC99" s="414"/>
      <c r="AD99" s="414"/>
      <c r="AE99" s="414"/>
      <c r="AF99" s="414"/>
      <c r="AG99" s="414"/>
      <c r="AH99" s="414"/>
      <c r="AI99" s="414"/>
      <c r="AJ99" s="414"/>
      <c r="AK99" s="414"/>
      <c r="AL99" s="414"/>
      <c r="AM99" s="414"/>
      <c r="AN99" s="414"/>
      <c r="AO99" s="414"/>
      <c r="AP99" s="414"/>
      <c r="AQ99" s="414"/>
      <c r="AR99" s="414"/>
      <c r="AS99" s="414"/>
      <c r="AT99" s="414"/>
      <c r="AU99" s="414"/>
      <c r="AV99" s="414"/>
      <c r="AW99" s="414"/>
      <c r="AX99" s="414"/>
      <c r="AY99" s="414"/>
      <c r="AZ99" s="414"/>
      <c r="BA99" s="414"/>
      <c r="BB99" s="414"/>
      <c r="BC99" s="414"/>
      <c r="BD99" s="414"/>
      <c r="BE99" s="414"/>
      <c r="BF99" s="414"/>
      <c r="BG99" s="414"/>
      <c r="BH99" s="414"/>
      <c r="BI99" s="414"/>
      <c r="BJ99" s="414"/>
      <c r="BK99" s="414"/>
      <c r="BL99" s="414"/>
      <c r="BM99" s="414"/>
      <c r="BN99" s="414"/>
      <c r="BO99" s="414"/>
      <c r="BP99" s="414"/>
      <c r="BQ99" s="414"/>
      <c r="BR99" s="414"/>
      <c r="BS99" s="414"/>
      <c r="BT99" s="414"/>
      <c r="BU99" s="414"/>
      <c r="BV99" s="414"/>
      <c r="BW99" s="414"/>
      <c r="BX99" s="414"/>
      <c r="BY99" s="414"/>
      <c r="BZ99" s="414"/>
      <c r="CA99" s="414"/>
      <c r="CB99" s="414"/>
      <c r="CC99" s="414"/>
    </row>
    <row r="100" spans="4:81" ht="12.75" customHeight="1">
      <c r="D100" s="414"/>
      <c r="H100" s="414"/>
      <c r="I100" s="414"/>
      <c r="Q100" s="414"/>
      <c r="R100" s="414"/>
      <c r="S100" s="414"/>
      <c r="T100" s="414"/>
      <c r="U100" s="414"/>
      <c r="V100" s="414"/>
      <c r="W100" s="414"/>
      <c r="X100" s="414"/>
      <c r="Y100" s="414"/>
      <c r="Z100" s="414"/>
      <c r="AA100" s="414"/>
      <c r="AB100" s="414"/>
      <c r="AC100" s="414"/>
      <c r="AD100" s="414"/>
      <c r="AE100" s="414"/>
      <c r="AF100" s="414"/>
      <c r="AG100" s="414"/>
      <c r="AH100" s="414"/>
      <c r="AI100" s="414"/>
      <c r="AJ100" s="414"/>
      <c r="AK100" s="414"/>
      <c r="AL100" s="414"/>
      <c r="AM100" s="414"/>
      <c r="AN100" s="414"/>
      <c r="AO100" s="414"/>
      <c r="AP100" s="414"/>
      <c r="AQ100" s="414"/>
      <c r="AR100" s="414"/>
      <c r="AS100" s="414"/>
      <c r="AT100" s="414"/>
      <c r="AU100" s="414"/>
      <c r="AV100" s="414"/>
      <c r="AW100" s="414"/>
      <c r="AX100" s="414"/>
      <c r="AY100" s="414"/>
      <c r="AZ100" s="414"/>
      <c r="BA100" s="414"/>
      <c r="BB100" s="414"/>
      <c r="BC100" s="414"/>
      <c r="BD100" s="414"/>
      <c r="BE100" s="414"/>
      <c r="BF100" s="414"/>
      <c r="BG100" s="414"/>
      <c r="BH100" s="414"/>
      <c r="BI100" s="414"/>
      <c r="BJ100" s="414"/>
      <c r="BK100" s="414"/>
      <c r="BL100" s="414"/>
      <c r="BM100" s="414"/>
      <c r="BN100" s="414"/>
      <c r="BO100" s="414"/>
      <c r="BP100" s="414"/>
      <c r="BQ100" s="414"/>
      <c r="BR100" s="414"/>
      <c r="BS100" s="414"/>
      <c r="BT100" s="414"/>
      <c r="BU100" s="414"/>
      <c r="BV100" s="414"/>
      <c r="BW100" s="414"/>
      <c r="BX100" s="414"/>
      <c r="BY100" s="414"/>
      <c r="BZ100" s="414"/>
      <c r="CA100" s="414"/>
      <c r="CB100" s="414"/>
      <c r="CC100" s="414"/>
    </row>
    <row r="101" spans="4:81" ht="12.75" customHeight="1">
      <c r="D101" s="414"/>
      <c r="H101" s="414"/>
      <c r="I101" s="414"/>
      <c r="Q101" s="414"/>
      <c r="R101" s="414"/>
      <c r="S101" s="414"/>
      <c r="T101" s="414"/>
      <c r="U101" s="414"/>
      <c r="V101" s="414"/>
      <c r="W101" s="414"/>
      <c r="X101" s="414"/>
      <c r="Y101" s="414"/>
      <c r="Z101" s="414"/>
      <c r="AA101" s="414"/>
      <c r="AB101" s="414"/>
      <c r="AC101" s="414"/>
      <c r="AD101" s="414"/>
      <c r="AE101" s="414"/>
      <c r="AF101" s="414"/>
      <c r="AG101" s="414"/>
      <c r="AH101" s="414"/>
      <c r="AI101" s="414"/>
      <c r="AJ101" s="414"/>
      <c r="AK101" s="414"/>
      <c r="AL101" s="414"/>
      <c r="AM101" s="414"/>
      <c r="AN101" s="414"/>
      <c r="AO101" s="414"/>
      <c r="AP101" s="414"/>
      <c r="AQ101" s="414"/>
      <c r="AR101" s="414"/>
      <c r="AS101" s="414"/>
      <c r="AT101" s="414"/>
      <c r="AU101" s="414"/>
      <c r="AV101" s="414"/>
      <c r="AW101" s="414"/>
      <c r="AX101" s="414"/>
      <c r="AY101" s="414"/>
      <c r="AZ101" s="414"/>
      <c r="BA101" s="414"/>
      <c r="BB101" s="414"/>
      <c r="BC101" s="414"/>
      <c r="BD101" s="414"/>
      <c r="BE101" s="414"/>
      <c r="BF101" s="414"/>
      <c r="BG101" s="414"/>
      <c r="BH101" s="414"/>
      <c r="BI101" s="414"/>
      <c r="BJ101" s="414"/>
      <c r="BK101" s="414"/>
      <c r="BL101" s="414"/>
      <c r="BM101" s="414"/>
      <c r="BN101" s="414"/>
      <c r="BO101" s="414"/>
      <c r="BP101" s="414"/>
      <c r="BQ101" s="414"/>
      <c r="BR101" s="414"/>
      <c r="BS101" s="414"/>
      <c r="BT101" s="414"/>
      <c r="BU101" s="414"/>
      <c r="BV101" s="414"/>
      <c r="BW101" s="414"/>
      <c r="BX101" s="414"/>
      <c r="BY101" s="414"/>
      <c r="BZ101" s="414"/>
      <c r="CA101" s="414"/>
      <c r="CB101" s="414"/>
      <c r="CC101" s="414"/>
    </row>
    <row r="102" spans="4:81" ht="12.75" customHeight="1">
      <c r="D102" s="414"/>
      <c r="H102" s="414"/>
      <c r="I102" s="414"/>
      <c r="Q102" s="414"/>
      <c r="R102" s="414"/>
      <c r="S102" s="414"/>
      <c r="T102" s="414"/>
      <c r="U102" s="414"/>
      <c r="V102" s="414"/>
      <c r="W102" s="414"/>
      <c r="X102" s="414"/>
      <c r="Y102" s="414"/>
      <c r="Z102" s="414"/>
      <c r="AA102" s="414"/>
      <c r="AB102" s="414"/>
      <c r="AC102" s="414"/>
      <c r="AD102" s="414"/>
      <c r="AE102" s="414"/>
      <c r="AF102" s="414"/>
      <c r="AG102" s="414"/>
      <c r="AH102" s="414"/>
      <c r="AI102" s="414"/>
      <c r="AJ102" s="414"/>
      <c r="AK102" s="414"/>
      <c r="AL102" s="414"/>
      <c r="AM102" s="414"/>
      <c r="AN102" s="414"/>
      <c r="AO102" s="414"/>
      <c r="AP102" s="414"/>
      <c r="AQ102" s="414"/>
      <c r="AR102" s="414"/>
      <c r="AS102" s="414"/>
      <c r="AT102" s="414"/>
      <c r="AU102" s="414"/>
      <c r="AV102" s="414"/>
      <c r="AW102" s="414"/>
      <c r="AX102" s="414"/>
      <c r="AY102" s="414"/>
      <c r="AZ102" s="414"/>
      <c r="BA102" s="414"/>
      <c r="BB102" s="414"/>
      <c r="BC102" s="414"/>
      <c r="BD102" s="414"/>
      <c r="BE102" s="414"/>
      <c r="BF102" s="414"/>
      <c r="BG102" s="414"/>
      <c r="BH102" s="414"/>
      <c r="BI102" s="414"/>
      <c r="BJ102" s="414"/>
      <c r="BK102" s="414"/>
      <c r="BL102" s="414"/>
      <c r="BM102" s="414"/>
      <c r="BN102" s="414"/>
      <c r="BO102" s="414"/>
      <c r="BP102" s="414"/>
      <c r="BQ102" s="414"/>
      <c r="BR102" s="414"/>
      <c r="BS102" s="414"/>
      <c r="BT102" s="414"/>
      <c r="BU102" s="414"/>
      <c r="BV102" s="414"/>
      <c r="BW102" s="414"/>
      <c r="BX102" s="414"/>
      <c r="BY102" s="414"/>
      <c r="BZ102" s="414"/>
      <c r="CA102" s="414"/>
      <c r="CB102" s="414"/>
      <c r="CC102" s="414"/>
    </row>
    <row r="103" spans="4:81" ht="12.75" customHeight="1">
      <c r="D103" s="414"/>
      <c r="H103" s="414"/>
      <c r="I103" s="414"/>
      <c r="Q103" s="414"/>
      <c r="R103" s="414"/>
      <c r="S103" s="414"/>
      <c r="T103" s="414"/>
      <c r="U103" s="414"/>
      <c r="V103" s="414"/>
      <c r="W103" s="414"/>
      <c r="X103" s="414"/>
      <c r="Y103" s="414"/>
      <c r="Z103" s="414"/>
      <c r="AA103" s="414"/>
      <c r="AB103" s="414"/>
      <c r="AC103" s="414"/>
      <c r="AD103" s="414"/>
      <c r="AE103" s="414"/>
      <c r="AF103" s="414"/>
      <c r="AG103" s="414"/>
      <c r="AH103" s="414"/>
      <c r="AI103" s="414"/>
      <c r="AJ103" s="414"/>
      <c r="AK103" s="414"/>
      <c r="AL103" s="414"/>
      <c r="AM103" s="414"/>
      <c r="AN103" s="414"/>
      <c r="AO103" s="414"/>
      <c r="AP103" s="414"/>
      <c r="AQ103" s="414"/>
      <c r="AR103" s="414"/>
      <c r="AS103" s="414"/>
      <c r="AT103" s="414"/>
      <c r="AU103" s="414"/>
      <c r="AV103" s="414"/>
      <c r="AW103" s="414"/>
      <c r="AX103" s="414"/>
      <c r="AY103" s="414"/>
      <c r="AZ103" s="414"/>
      <c r="BA103" s="414"/>
      <c r="BB103" s="414"/>
      <c r="BC103" s="414"/>
      <c r="BD103" s="414"/>
      <c r="BE103" s="414"/>
      <c r="BF103" s="414"/>
      <c r="BG103" s="414"/>
      <c r="BH103" s="414"/>
      <c r="BI103" s="414"/>
      <c r="BJ103" s="414"/>
      <c r="BK103" s="414"/>
      <c r="BL103" s="414"/>
      <c r="BM103" s="414"/>
      <c r="BN103" s="414"/>
      <c r="BO103" s="414"/>
      <c r="BP103" s="414"/>
      <c r="BQ103" s="414"/>
      <c r="BR103" s="414"/>
      <c r="BS103" s="414"/>
      <c r="BT103" s="414"/>
      <c r="BU103" s="414"/>
      <c r="BV103" s="414"/>
      <c r="BW103" s="414"/>
      <c r="BX103" s="414"/>
      <c r="BY103" s="414"/>
      <c r="BZ103" s="414"/>
      <c r="CA103" s="414"/>
      <c r="CB103" s="414"/>
      <c r="CC103" s="414"/>
    </row>
    <row r="104" spans="4:81" ht="12.75" customHeight="1">
      <c r="D104" s="414"/>
      <c r="H104" s="414"/>
      <c r="I104" s="414"/>
      <c r="Q104" s="414"/>
      <c r="R104" s="414"/>
      <c r="S104" s="414"/>
      <c r="T104" s="414"/>
      <c r="U104" s="414"/>
      <c r="V104" s="414"/>
      <c r="W104" s="414"/>
      <c r="X104" s="414"/>
      <c r="Y104" s="414"/>
      <c r="Z104" s="414"/>
      <c r="AA104" s="414"/>
      <c r="AB104" s="414"/>
      <c r="AC104" s="414"/>
      <c r="AD104" s="414"/>
      <c r="AE104" s="414"/>
      <c r="AF104" s="414"/>
      <c r="AG104" s="414"/>
      <c r="AH104" s="414"/>
      <c r="AI104" s="414"/>
      <c r="AJ104" s="414"/>
      <c r="AK104" s="414"/>
      <c r="AL104" s="414"/>
      <c r="AM104" s="414"/>
      <c r="AN104" s="414"/>
      <c r="AO104" s="414"/>
      <c r="AP104" s="414"/>
      <c r="AQ104" s="414"/>
      <c r="AR104" s="414"/>
      <c r="AS104" s="414"/>
      <c r="AT104" s="414"/>
      <c r="AU104" s="414"/>
      <c r="AV104" s="414"/>
      <c r="AW104" s="414"/>
      <c r="AX104" s="414"/>
      <c r="AY104" s="414"/>
      <c r="AZ104" s="414"/>
      <c r="BA104" s="414"/>
      <c r="BB104" s="414"/>
      <c r="BC104" s="414"/>
      <c r="BD104" s="414"/>
      <c r="BE104" s="414"/>
      <c r="BF104" s="414"/>
      <c r="BG104" s="414"/>
      <c r="BH104" s="414"/>
      <c r="BI104" s="414"/>
      <c r="BJ104" s="414"/>
      <c r="BK104" s="414"/>
      <c r="BL104" s="414"/>
      <c r="BM104" s="414"/>
      <c r="BN104" s="414"/>
      <c r="BO104" s="414"/>
      <c r="BP104" s="414"/>
      <c r="BQ104" s="414"/>
      <c r="BR104" s="414"/>
      <c r="BS104" s="414"/>
      <c r="BT104" s="414"/>
      <c r="BU104" s="414"/>
      <c r="BV104" s="414"/>
      <c r="BW104" s="414"/>
      <c r="BX104" s="414"/>
      <c r="BY104" s="414"/>
      <c r="BZ104" s="414"/>
      <c r="CA104" s="414"/>
      <c r="CB104" s="414"/>
      <c r="CC104" s="414"/>
    </row>
    <row r="105" spans="4:81" ht="12.75" customHeight="1">
      <c r="D105" s="414"/>
      <c r="H105" s="414"/>
      <c r="I105" s="414"/>
      <c r="Q105" s="414"/>
      <c r="R105" s="414"/>
      <c r="S105" s="414"/>
      <c r="T105" s="414"/>
      <c r="U105" s="414"/>
      <c r="V105" s="414"/>
      <c r="W105" s="414"/>
      <c r="X105" s="414"/>
      <c r="Y105" s="414"/>
      <c r="Z105" s="414"/>
      <c r="AA105" s="414"/>
      <c r="AB105" s="414"/>
      <c r="AC105" s="414"/>
      <c r="AD105" s="414"/>
      <c r="AE105" s="414"/>
      <c r="AF105" s="414"/>
      <c r="AG105" s="414"/>
      <c r="AH105" s="414"/>
      <c r="AI105" s="414"/>
      <c r="AJ105" s="414"/>
      <c r="AK105" s="414"/>
      <c r="AL105" s="414"/>
      <c r="AM105" s="414"/>
      <c r="AN105" s="414"/>
      <c r="AO105" s="414"/>
      <c r="AP105" s="414"/>
      <c r="AQ105" s="414"/>
      <c r="AR105" s="414"/>
      <c r="AS105" s="414"/>
      <c r="AT105" s="414"/>
      <c r="AU105" s="414"/>
      <c r="AV105" s="414"/>
      <c r="AW105" s="414"/>
      <c r="AX105" s="414"/>
      <c r="AY105" s="414"/>
      <c r="AZ105" s="414"/>
      <c r="BA105" s="414"/>
      <c r="BB105" s="414"/>
      <c r="BC105" s="414"/>
      <c r="BD105" s="414"/>
      <c r="BE105" s="414"/>
      <c r="BF105" s="414"/>
      <c r="BG105" s="414"/>
      <c r="BH105" s="414"/>
      <c r="BI105" s="414"/>
      <c r="BJ105" s="414"/>
      <c r="BK105" s="414"/>
      <c r="BL105" s="414"/>
      <c r="BM105" s="414"/>
      <c r="BN105" s="414"/>
      <c r="BO105" s="414"/>
      <c r="BP105" s="414"/>
      <c r="BQ105" s="414"/>
      <c r="BR105" s="414"/>
      <c r="BS105" s="414"/>
      <c r="BT105" s="414"/>
      <c r="BU105" s="414"/>
      <c r="BV105" s="414"/>
      <c r="BW105" s="414"/>
      <c r="BX105" s="414"/>
      <c r="BY105" s="414"/>
      <c r="BZ105" s="414"/>
      <c r="CA105" s="414"/>
      <c r="CB105" s="414"/>
      <c r="CC105" s="414"/>
    </row>
    <row r="106" spans="4:81" ht="12.75" customHeight="1">
      <c r="D106" s="414"/>
      <c r="H106" s="414"/>
      <c r="I106" s="414"/>
      <c r="Q106" s="414"/>
      <c r="R106" s="414"/>
      <c r="S106" s="414"/>
      <c r="T106" s="414"/>
      <c r="U106" s="414"/>
      <c r="V106" s="414"/>
      <c r="W106" s="414"/>
      <c r="X106" s="414"/>
      <c r="Y106" s="414"/>
      <c r="Z106" s="414"/>
      <c r="AA106" s="414"/>
      <c r="AB106" s="414"/>
      <c r="AC106" s="414"/>
      <c r="AD106" s="414"/>
      <c r="AE106" s="414"/>
      <c r="AF106" s="414"/>
      <c r="AG106" s="414"/>
      <c r="AH106" s="414"/>
      <c r="AI106" s="414"/>
      <c r="AJ106" s="414"/>
      <c r="AK106" s="414"/>
      <c r="AL106" s="414"/>
      <c r="AM106" s="414"/>
      <c r="AN106" s="414"/>
      <c r="AO106" s="414"/>
      <c r="AP106" s="414"/>
      <c r="AQ106" s="414"/>
      <c r="AR106" s="414"/>
      <c r="AS106" s="414"/>
      <c r="AT106" s="414"/>
      <c r="AU106" s="414"/>
      <c r="AV106" s="414"/>
      <c r="AW106" s="414"/>
      <c r="AX106" s="414"/>
      <c r="AY106" s="414"/>
      <c r="AZ106" s="414"/>
      <c r="BA106" s="414"/>
      <c r="BB106" s="414"/>
      <c r="BC106" s="414"/>
      <c r="BD106" s="414"/>
      <c r="BE106" s="414"/>
      <c r="BF106" s="414"/>
      <c r="BG106" s="414"/>
      <c r="BH106" s="414"/>
      <c r="BI106" s="414"/>
      <c r="BJ106" s="414"/>
      <c r="BK106" s="414"/>
      <c r="BL106" s="414"/>
      <c r="BM106" s="414"/>
      <c r="BN106" s="414"/>
      <c r="BO106" s="414"/>
      <c r="BP106" s="414"/>
      <c r="BQ106" s="414"/>
      <c r="BR106" s="414"/>
      <c r="BS106" s="414"/>
      <c r="BT106" s="414"/>
      <c r="BU106" s="414"/>
      <c r="BV106" s="414"/>
      <c r="BW106" s="414"/>
      <c r="BX106" s="414"/>
      <c r="BY106" s="414"/>
      <c r="BZ106" s="414"/>
      <c r="CA106" s="414"/>
      <c r="CB106" s="414"/>
      <c r="CC106" s="414"/>
    </row>
    <row r="107" spans="4:81" ht="12.75" customHeight="1">
      <c r="D107" s="414"/>
      <c r="H107" s="414"/>
      <c r="I107" s="414"/>
      <c r="Q107" s="414"/>
      <c r="R107" s="414"/>
      <c r="S107" s="414"/>
      <c r="T107" s="414"/>
      <c r="U107" s="414"/>
      <c r="V107" s="414"/>
      <c r="W107" s="414"/>
      <c r="X107" s="414"/>
      <c r="Y107" s="414"/>
      <c r="Z107" s="414"/>
      <c r="AA107" s="414"/>
      <c r="AB107" s="414"/>
      <c r="AC107" s="414"/>
      <c r="AD107" s="414"/>
      <c r="AE107" s="414"/>
      <c r="AF107" s="414"/>
      <c r="AG107" s="414"/>
      <c r="AH107" s="414"/>
      <c r="AI107" s="414"/>
      <c r="AJ107" s="414"/>
      <c r="AK107" s="414"/>
      <c r="AL107" s="414"/>
      <c r="AM107" s="414"/>
      <c r="AN107" s="414"/>
      <c r="AO107" s="414"/>
      <c r="AP107" s="414"/>
      <c r="AQ107" s="414"/>
      <c r="AR107" s="414"/>
      <c r="AS107" s="414"/>
      <c r="AT107" s="414"/>
      <c r="AU107" s="414"/>
      <c r="AV107" s="414"/>
      <c r="AW107" s="414"/>
      <c r="AX107" s="414"/>
      <c r="AY107" s="414"/>
      <c r="AZ107" s="414"/>
      <c r="BA107" s="414"/>
      <c r="BB107" s="414"/>
      <c r="BC107" s="414"/>
      <c r="BD107" s="414"/>
      <c r="BE107" s="414"/>
      <c r="BF107" s="414"/>
      <c r="BG107" s="414"/>
      <c r="BH107" s="414"/>
      <c r="BI107" s="414"/>
      <c r="BJ107" s="414"/>
      <c r="BK107" s="414"/>
      <c r="BL107" s="414"/>
      <c r="BM107" s="414"/>
      <c r="BN107" s="414"/>
      <c r="BO107" s="414"/>
      <c r="BP107" s="414"/>
      <c r="BQ107" s="414"/>
      <c r="BR107" s="414"/>
      <c r="BS107" s="414"/>
      <c r="BT107" s="414"/>
      <c r="BU107" s="414"/>
      <c r="BV107" s="414"/>
      <c r="BW107" s="414"/>
      <c r="BX107" s="414"/>
      <c r="BY107" s="414"/>
      <c r="BZ107" s="414"/>
      <c r="CA107" s="414"/>
      <c r="CB107" s="414"/>
      <c r="CC107" s="414"/>
    </row>
    <row r="108" spans="4:81" ht="12.75" customHeight="1">
      <c r="D108" s="414"/>
      <c r="H108" s="414"/>
      <c r="I108" s="414"/>
      <c r="Q108" s="414"/>
      <c r="R108" s="414"/>
      <c r="S108" s="414"/>
      <c r="T108" s="414"/>
      <c r="U108" s="414"/>
      <c r="V108" s="414"/>
      <c r="W108" s="414"/>
      <c r="X108" s="414"/>
      <c r="Y108" s="414"/>
      <c r="Z108" s="414"/>
      <c r="AA108" s="414"/>
      <c r="AB108" s="414"/>
      <c r="AC108" s="414"/>
      <c r="AD108" s="414"/>
      <c r="AE108" s="414"/>
      <c r="AF108" s="414"/>
      <c r="AG108" s="414"/>
      <c r="AH108" s="414"/>
      <c r="AI108" s="414"/>
      <c r="AJ108" s="414"/>
      <c r="AK108" s="414"/>
      <c r="AL108" s="414"/>
      <c r="AM108" s="414"/>
      <c r="AN108" s="414"/>
      <c r="AO108" s="414"/>
      <c r="AP108" s="414"/>
      <c r="AQ108" s="414"/>
      <c r="AR108" s="414"/>
      <c r="AS108" s="414"/>
      <c r="AT108" s="414"/>
      <c r="AU108" s="414"/>
      <c r="AV108" s="414"/>
      <c r="AW108" s="414"/>
      <c r="AX108" s="414"/>
      <c r="AY108" s="414"/>
      <c r="AZ108" s="414"/>
      <c r="BA108" s="414"/>
      <c r="BB108" s="414"/>
      <c r="BC108" s="414"/>
      <c r="BD108" s="414"/>
      <c r="BE108" s="414"/>
      <c r="BF108" s="414"/>
      <c r="BG108" s="414"/>
      <c r="BH108" s="414"/>
      <c r="BI108" s="414"/>
      <c r="BJ108" s="414"/>
      <c r="BK108" s="414"/>
      <c r="BL108" s="414"/>
      <c r="BM108" s="414"/>
      <c r="BN108" s="414"/>
      <c r="BO108" s="414"/>
      <c r="BP108" s="414"/>
      <c r="BQ108" s="414"/>
      <c r="BR108" s="414"/>
      <c r="BS108" s="414"/>
      <c r="BT108" s="414"/>
      <c r="BU108" s="414"/>
      <c r="BV108" s="414"/>
      <c r="BW108" s="414"/>
      <c r="BX108" s="414"/>
      <c r="BY108" s="414"/>
      <c r="BZ108" s="414"/>
      <c r="CA108" s="414"/>
      <c r="CB108" s="414"/>
      <c r="CC108" s="414"/>
    </row>
    <row r="109" spans="4:81" ht="12.75" customHeight="1">
      <c r="D109" s="414"/>
      <c r="H109" s="414"/>
      <c r="I109" s="414"/>
      <c r="Q109" s="414"/>
      <c r="R109" s="414"/>
      <c r="S109" s="414"/>
      <c r="T109" s="414"/>
      <c r="U109" s="414"/>
      <c r="V109" s="414"/>
      <c r="W109" s="414"/>
      <c r="X109" s="414"/>
      <c r="Y109" s="414"/>
      <c r="Z109" s="414"/>
      <c r="AA109" s="414"/>
      <c r="AB109" s="414"/>
      <c r="AC109" s="414"/>
      <c r="AD109" s="414"/>
      <c r="AE109" s="414"/>
      <c r="AF109" s="414"/>
      <c r="AG109" s="414"/>
      <c r="AH109" s="414"/>
      <c r="AI109" s="414"/>
      <c r="AJ109" s="414"/>
      <c r="AK109" s="414"/>
      <c r="AL109" s="414"/>
      <c r="AM109" s="414"/>
      <c r="AN109" s="414"/>
      <c r="AO109" s="414"/>
      <c r="AP109" s="414"/>
      <c r="AQ109" s="414"/>
      <c r="AR109" s="414"/>
      <c r="AS109" s="414"/>
      <c r="AT109" s="414"/>
      <c r="AU109" s="414"/>
      <c r="AV109" s="414"/>
      <c r="AW109" s="414"/>
      <c r="AX109" s="414"/>
      <c r="AY109" s="414"/>
      <c r="AZ109" s="414"/>
      <c r="BA109" s="414"/>
      <c r="BB109" s="414"/>
      <c r="BC109" s="414"/>
      <c r="BD109" s="414"/>
      <c r="BE109" s="414"/>
      <c r="BF109" s="414"/>
      <c r="BG109" s="414"/>
      <c r="BH109" s="414"/>
      <c r="BI109" s="414"/>
      <c r="BJ109" s="414"/>
      <c r="BK109" s="414"/>
      <c r="BL109" s="414"/>
      <c r="BM109" s="414"/>
      <c r="BN109" s="414"/>
      <c r="BO109" s="414"/>
      <c r="BP109" s="414"/>
      <c r="BQ109" s="414"/>
      <c r="BR109" s="414"/>
      <c r="BS109" s="414"/>
      <c r="BT109" s="414"/>
      <c r="BU109" s="414"/>
      <c r="BV109" s="414"/>
      <c r="BW109" s="414"/>
      <c r="BX109" s="414"/>
      <c r="BY109" s="414"/>
      <c r="BZ109" s="414"/>
      <c r="CA109" s="414"/>
      <c r="CB109" s="414"/>
      <c r="CC109" s="414"/>
    </row>
    <row r="110" spans="4:81" ht="12.75" customHeight="1">
      <c r="D110" s="414"/>
      <c r="H110" s="414"/>
      <c r="I110" s="414"/>
      <c r="Q110" s="414"/>
      <c r="R110" s="414"/>
      <c r="S110" s="414"/>
      <c r="T110" s="414"/>
      <c r="U110" s="414"/>
      <c r="V110" s="414"/>
      <c r="W110" s="414"/>
      <c r="X110" s="414"/>
      <c r="Y110" s="414"/>
      <c r="Z110" s="414"/>
      <c r="AA110" s="414"/>
      <c r="AB110" s="414"/>
      <c r="AC110" s="414"/>
      <c r="AD110" s="414"/>
      <c r="AE110" s="414"/>
      <c r="AF110" s="414"/>
      <c r="AG110" s="414"/>
      <c r="AH110" s="414"/>
      <c r="AI110" s="414"/>
      <c r="AJ110" s="414"/>
      <c r="AK110" s="414"/>
      <c r="AL110" s="414"/>
      <c r="AM110" s="414"/>
      <c r="AN110" s="414"/>
      <c r="AO110" s="414"/>
      <c r="AP110" s="414"/>
      <c r="AQ110" s="414"/>
      <c r="AR110" s="414"/>
      <c r="AS110" s="414"/>
      <c r="AT110" s="414"/>
      <c r="AU110" s="414"/>
      <c r="AV110" s="414"/>
      <c r="AW110" s="414"/>
      <c r="AX110" s="414"/>
      <c r="AY110" s="414"/>
      <c r="AZ110" s="414"/>
      <c r="BA110" s="414"/>
      <c r="BB110" s="414"/>
      <c r="BC110" s="414"/>
      <c r="BD110" s="414"/>
      <c r="BE110" s="414"/>
      <c r="BF110" s="414"/>
      <c r="BG110" s="414"/>
      <c r="BH110" s="414"/>
      <c r="BI110" s="414"/>
      <c r="BJ110" s="414"/>
      <c r="BK110" s="414"/>
      <c r="BL110" s="414"/>
      <c r="BM110" s="414"/>
      <c r="BN110" s="414"/>
      <c r="BO110" s="414"/>
      <c r="BP110" s="414"/>
      <c r="BQ110" s="414"/>
      <c r="BR110" s="414"/>
      <c r="BS110" s="414"/>
      <c r="BT110" s="414"/>
      <c r="BU110" s="414"/>
      <c r="BV110" s="414"/>
      <c r="BW110" s="414"/>
      <c r="BX110" s="414"/>
      <c r="BY110" s="414"/>
      <c r="BZ110" s="414"/>
      <c r="CA110" s="414"/>
      <c r="CB110" s="414"/>
      <c r="CC110" s="414"/>
    </row>
    <row r="111" spans="4:81" ht="12.75" customHeight="1">
      <c r="D111" s="414"/>
      <c r="H111" s="414"/>
      <c r="I111" s="414"/>
      <c r="Q111" s="414"/>
      <c r="R111" s="414"/>
      <c r="S111" s="414"/>
      <c r="T111" s="414"/>
      <c r="U111" s="414"/>
      <c r="V111" s="414"/>
      <c r="W111" s="414"/>
      <c r="X111" s="414"/>
      <c r="Y111" s="414"/>
      <c r="Z111" s="414"/>
      <c r="AA111" s="414"/>
      <c r="AB111" s="414"/>
      <c r="AC111" s="414"/>
      <c r="AD111" s="414"/>
      <c r="AE111" s="414"/>
      <c r="AF111" s="414"/>
      <c r="AG111" s="414"/>
      <c r="AH111" s="414"/>
      <c r="AI111" s="414"/>
      <c r="AJ111" s="414"/>
      <c r="AK111" s="414"/>
      <c r="AL111" s="414"/>
      <c r="AM111" s="414"/>
      <c r="AN111" s="414"/>
      <c r="AO111" s="414"/>
      <c r="AP111" s="414"/>
      <c r="AQ111" s="414"/>
      <c r="AR111" s="414"/>
      <c r="AS111" s="414"/>
      <c r="AT111" s="414"/>
      <c r="AU111" s="414"/>
      <c r="AV111" s="414"/>
      <c r="AW111" s="414"/>
      <c r="AX111" s="414"/>
      <c r="AY111" s="414"/>
      <c r="AZ111" s="414"/>
      <c r="BA111" s="414"/>
      <c r="BB111" s="414"/>
      <c r="BC111" s="414"/>
      <c r="BD111" s="414"/>
      <c r="BE111" s="414"/>
      <c r="BF111" s="414"/>
      <c r="BG111" s="414"/>
      <c r="BH111" s="414"/>
      <c r="BI111" s="414"/>
      <c r="BJ111" s="414"/>
      <c r="BK111" s="414"/>
      <c r="BL111" s="414"/>
      <c r="BM111" s="414"/>
      <c r="BN111" s="414"/>
      <c r="BO111" s="414"/>
      <c r="BP111" s="414"/>
      <c r="BQ111" s="414"/>
      <c r="BR111" s="414"/>
      <c r="BS111" s="414"/>
      <c r="BT111" s="414"/>
      <c r="BU111" s="414"/>
      <c r="BV111" s="414"/>
      <c r="BW111" s="414"/>
      <c r="BX111" s="414"/>
      <c r="BY111" s="414"/>
      <c r="BZ111" s="414"/>
      <c r="CA111" s="414"/>
      <c r="CB111" s="414"/>
      <c r="CC111" s="414"/>
    </row>
    <row r="112" spans="4:81" ht="12.75" customHeight="1">
      <c r="D112" s="414"/>
      <c r="H112" s="414"/>
      <c r="I112" s="414"/>
      <c r="Q112" s="414"/>
      <c r="R112" s="414"/>
      <c r="S112" s="414"/>
      <c r="T112" s="414"/>
      <c r="U112" s="414"/>
      <c r="V112" s="414"/>
      <c r="W112" s="414"/>
      <c r="X112" s="414"/>
      <c r="Y112" s="414"/>
      <c r="Z112" s="414"/>
      <c r="AA112" s="414"/>
      <c r="AB112" s="414"/>
      <c r="AC112" s="414"/>
      <c r="AD112" s="414"/>
      <c r="AE112" s="414"/>
      <c r="AF112" s="414"/>
      <c r="AG112" s="414"/>
      <c r="AH112" s="414"/>
      <c r="AI112" s="414"/>
      <c r="AJ112" s="414"/>
      <c r="AK112" s="414"/>
      <c r="AL112" s="414"/>
      <c r="AM112" s="414"/>
      <c r="AN112" s="414"/>
      <c r="AO112" s="414"/>
      <c r="AP112" s="414"/>
      <c r="AQ112" s="414"/>
      <c r="AR112" s="414"/>
      <c r="AS112" s="414"/>
      <c r="AT112" s="414"/>
      <c r="AU112" s="414"/>
      <c r="AV112" s="414"/>
      <c r="AW112" s="414"/>
      <c r="AX112" s="414"/>
      <c r="AY112" s="414"/>
      <c r="AZ112" s="414"/>
      <c r="BA112" s="414"/>
      <c r="BB112" s="414"/>
      <c r="BC112" s="414"/>
      <c r="BD112" s="414"/>
      <c r="BE112" s="414"/>
      <c r="BF112" s="414"/>
      <c r="BG112" s="414"/>
      <c r="BH112" s="414"/>
      <c r="BI112" s="414"/>
      <c r="BJ112" s="414"/>
      <c r="BK112" s="414"/>
      <c r="BL112" s="414"/>
      <c r="BM112" s="414"/>
      <c r="BN112" s="414"/>
      <c r="BO112" s="414"/>
      <c r="BP112" s="414"/>
      <c r="BQ112" s="414"/>
      <c r="BR112" s="414"/>
      <c r="BS112" s="414"/>
      <c r="BT112" s="414"/>
      <c r="BU112" s="414"/>
      <c r="BV112" s="414"/>
      <c r="BW112" s="414"/>
      <c r="BX112" s="414"/>
      <c r="BY112" s="414"/>
      <c r="BZ112" s="414"/>
      <c r="CA112" s="414"/>
      <c r="CB112" s="414"/>
      <c r="CC112" s="414"/>
    </row>
    <row r="113" spans="4:81" ht="12.75" customHeight="1">
      <c r="D113" s="414"/>
      <c r="H113" s="414"/>
      <c r="I113" s="414"/>
      <c r="Q113" s="414"/>
      <c r="R113" s="414"/>
      <c r="S113" s="414"/>
      <c r="T113" s="414"/>
      <c r="U113" s="414"/>
      <c r="V113" s="414"/>
      <c r="W113" s="414"/>
      <c r="X113" s="414"/>
      <c r="Y113" s="414"/>
      <c r="Z113" s="414"/>
      <c r="AA113" s="414"/>
      <c r="AB113" s="414"/>
      <c r="AC113" s="414"/>
      <c r="AD113" s="414"/>
      <c r="AE113" s="414"/>
      <c r="AF113" s="414"/>
      <c r="AG113" s="414"/>
      <c r="AH113" s="414"/>
      <c r="AI113" s="414"/>
      <c r="AJ113" s="414"/>
      <c r="AK113" s="414"/>
      <c r="AL113" s="414"/>
      <c r="AM113" s="414"/>
      <c r="AN113" s="414"/>
      <c r="AO113" s="414"/>
      <c r="AP113" s="414"/>
      <c r="AQ113" s="414"/>
      <c r="AR113" s="414"/>
      <c r="AS113" s="414"/>
      <c r="AT113" s="414"/>
      <c r="AU113" s="414"/>
      <c r="AV113" s="414"/>
      <c r="AW113" s="414"/>
      <c r="AX113" s="414"/>
      <c r="AY113" s="414"/>
      <c r="AZ113" s="414"/>
      <c r="BA113" s="414"/>
      <c r="BB113" s="414"/>
      <c r="BC113" s="414"/>
      <c r="BD113" s="414"/>
      <c r="BE113" s="414"/>
      <c r="BF113" s="414"/>
      <c r="BG113" s="414"/>
      <c r="BH113" s="414"/>
      <c r="BI113" s="414"/>
      <c r="BJ113" s="414"/>
      <c r="BK113" s="414"/>
      <c r="BL113" s="414"/>
      <c r="BM113" s="414"/>
      <c r="BN113" s="414"/>
      <c r="BO113" s="414"/>
      <c r="BP113" s="414"/>
      <c r="BQ113" s="414"/>
      <c r="BR113" s="414"/>
      <c r="BS113" s="414"/>
      <c r="BT113" s="414"/>
      <c r="BU113" s="414"/>
      <c r="BV113" s="414"/>
      <c r="BW113" s="414"/>
      <c r="BX113" s="414"/>
      <c r="BY113" s="414"/>
      <c r="BZ113" s="414"/>
      <c r="CA113" s="414"/>
      <c r="CB113" s="414"/>
      <c r="CC113" s="414"/>
    </row>
    <row r="114" spans="4:81" ht="12.75" customHeight="1">
      <c r="D114" s="414"/>
      <c r="H114" s="414"/>
      <c r="I114" s="414"/>
      <c r="Q114" s="414"/>
      <c r="R114" s="414"/>
      <c r="S114" s="414"/>
      <c r="T114" s="414"/>
      <c r="U114" s="414"/>
      <c r="V114" s="414"/>
      <c r="W114" s="414"/>
      <c r="X114" s="414"/>
      <c r="Y114" s="414"/>
      <c r="Z114" s="414"/>
      <c r="AA114" s="414"/>
      <c r="AB114" s="414"/>
      <c r="AC114" s="414"/>
      <c r="AD114" s="414"/>
      <c r="AE114" s="414"/>
      <c r="AF114" s="414"/>
      <c r="AG114" s="414"/>
      <c r="AH114" s="414"/>
      <c r="AI114" s="414"/>
      <c r="AJ114" s="414"/>
      <c r="AK114" s="414"/>
      <c r="AL114" s="414"/>
      <c r="AM114" s="414"/>
      <c r="AN114" s="414"/>
      <c r="AO114" s="414"/>
      <c r="AP114" s="414"/>
      <c r="AQ114" s="414"/>
      <c r="AR114" s="414"/>
      <c r="AS114" s="414"/>
      <c r="AT114" s="414"/>
      <c r="AU114" s="414"/>
      <c r="AV114" s="414"/>
      <c r="AW114" s="414"/>
      <c r="AX114" s="414"/>
      <c r="AY114" s="414"/>
      <c r="AZ114" s="414"/>
      <c r="BA114" s="414"/>
      <c r="BB114" s="414"/>
      <c r="BC114" s="414"/>
      <c r="BD114" s="414"/>
      <c r="BE114" s="414"/>
      <c r="BF114" s="414"/>
      <c r="BG114" s="414"/>
      <c r="BH114" s="414"/>
      <c r="BI114" s="414"/>
      <c r="BJ114" s="414"/>
      <c r="BK114" s="414"/>
      <c r="BL114" s="414"/>
      <c r="BM114" s="414"/>
      <c r="BN114" s="414"/>
      <c r="BO114" s="414"/>
      <c r="BP114" s="414"/>
      <c r="BQ114" s="414"/>
      <c r="BR114" s="414"/>
      <c r="BS114" s="414"/>
      <c r="BT114" s="414"/>
      <c r="BU114" s="414"/>
      <c r="BV114" s="414"/>
      <c r="BW114" s="414"/>
      <c r="BX114" s="414"/>
      <c r="BY114" s="414"/>
      <c r="BZ114" s="414"/>
      <c r="CA114" s="414"/>
      <c r="CB114" s="414"/>
      <c r="CC114" s="414"/>
    </row>
    <row r="115" spans="4:81" ht="12.75" customHeight="1">
      <c r="D115" s="414"/>
      <c r="H115" s="414"/>
      <c r="I115" s="414"/>
      <c r="Q115" s="414"/>
      <c r="R115" s="414"/>
      <c r="S115" s="414"/>
      <c r="T115" s="414"/>
      <c r="U115" s="414"/>
      <c r="V115" s="414"/>
      <c r="W115" s="414"/>
      <c r="X115" s="414"/>
      <c r="Y115" s="414"/>
      <c r="Z115" s="414"/>
      <c r="AA115" s="414"/>
      <c r="AB115" s="414"/>
      <c r="AC115" s="414"/>
      <c r="AD115" s="414"/>
      <c r="AE115" s="414"/>
      <c r="AF115" s="414"/>
      <c r="AG115" s="414"/>
      <c r="AH115" s="414"/>
      <c r="AI115" s="414"/>
      <c r="AJ115" s="414"/>
      <c r="AK115" s="414"/>
      <c r="AL115" s="414"/>
      <c r="AM115" s="414"/>
      <c r="AN115" s="414"/>
      <c r="AO115" s="414"/>
      <c r="AP115" s="414"/>
      <c r="AQ115" s="414"/>
      <c r="AR115" s="414"/>
      <c r="AS115" s="414"/>
      <c r="AT115" s="414"/>
      <c r="AU115" s="414"/>
      <c r="AV115" s="414"/>
      <c r="AW115" s="414"/>
      <c r="AX115" s="414"/>
      <c r="AY115" s="414"/>
      <c r="AZ115" s="414"/>
      <c r="BA115" s="414"/>
      <c r="BB115" s="414"/>
      <c r="BC115" s="414"/>
      <c r="BD115" s="414"/>
      <c r="BE115" s="414"/>
      <c r="BF115" s="414"/>
      <c r="BG115" s="414"/>
      <c r="BH115" s="414"/>
      <c r="BI115" s="414"/>
      <c r="BJ115" s="414"/>
      <c r="BK115" s="414"/>
      <c r="BL115" s="414"/>
      <c r="BM115" s="414"/>
      <c r="BN115" s="414"/>
      <c r="BO115" s="414"/>
      <c r="BP115" s="414"/>
      <c r="BQ115" s="414"/>
      <c r="BR115" s="414"/>
      <c r="BS115" s="414"/>
      <c r="BT115" s="414"/>
      <c r="BU115" s="414"/>
      <c r="BV115" s="414"/>
      <c r="BW115" s="414"/>
      <c r="BX115" s="414"/>
      <c r="BY115" s="414"/>
      <c r="BZ115" s="414"/>
      <c r="CA115" s="414"/>
      <c r="CB115" s="414"/>
      <c r="CC115" s="414"/>
    </row>
    <row r="116" spans="4:81" ht="12.75" customHeight="1">
      <c r="D116" s="414"/>
      <c r="H116" s="414"/>
      <c r="I116" s="414"/>
      <c r="Q116" s="414"/>
      <c r="R116" s="414"/>
      <c r="S116" s="414"/>
      <c r="T116" s="414"/>
      <c r="U116" s="414"/>
      <c r="V116" s="414"/>
      <c r="W116" s="414"/>
      <c r="X116" s="414"/>
      <c r="Y116" s="414"/>
      <c r="Z116" s="414"/>
      <c r="AA116" s="414"/>
      <c r="AB116" s="414"/>
      <c r="AC116" s="414"/>
      <c r="AD116" s="414"/>
      <c r="AE116" s="414"/>
      <c r="AF116" s="414"/>
      <c r="AG116" s="414"/>
      <c r="AH116" s="414"/>
      <c r="AI116" s="414"/>
      <c r="AJ116" s="414"/>
      <c r="AK116" s="414"/>
      <c r="AL116" s="414"/>
      <c r="AM116" s="414"/>
      <c r="AN116" s="414"/>
      <c r="AO116" s="414"/>
      <c r="AP116" s="414"/>
      <c r="AQ116" s="414"/>
      <c r="AR116" s="414"/>
      <c r="AS116" s="414"/>
      <c r="AT116" s="414"/>
      <c r="AU116" s="414"/>
      <c r="AV116" s="414"/>
      <c r="AW116" s="414"/>
      <c r="AX116" s="414"/>
      <c r="AY116" s="414"/>
      <c r="AZ116" s="414"/>
      <c r="BA116" s="414"/>
      <c r="BB116" s="414"/>
      <c r="BC116" s="414"/>
      <c r="BD116" s="414"/>
      <c r="BE116" s="414"/>
      <c r="BF116" s="414"/>
      <c r="BG116" s="414"/>
      <c r="BH116" s="414"/>
      <c r="BI116" s="414"/>
      <c r="BJ116" s="414"/>
      <c r="BK116" s="414"/>
      <c r="BL116" s="414"/>
      <c r="BM116" s="414"/>
      <c r="BN116" s="414"/>
      <c r="BO116" s="414"/>
      <c r="BP116" s="414"/>
      <c r="BQ116" s="414"/>
      <c r="BR116" s="414"/>
      <c r="BS116" s="414"/>
      <c r="BT116" s="414"/>
      <c r="BU116" s="414"/>
      <c r="BV116" s="414"/>
      <c r="BW116" s="414"/>
      <c r="BX116" s="414"/>
      <c r="BY116" s="414"/>
      <c r="BZ116" s="414"/>
      <c r="CA116" s="414"/>
      <c r="CB116" s="414"/>
      <c r="CC116" s="414"/>
    </row>
    <row r="117" spans="4:81" ht="12.75" customHeight="1">
      <c r="D117" s="414"/>
      <c r="H117" s="414"/>
      <c r="I117" s="414"/>
      <c r="Q117" s="414"/>
      <c r="R117" s="414"/>
      <c r="S117" s="414"/>
      <c r="T117" s="414"/>
      <c r="U117" s="414"/>
      <c r="V117" s="414"/>
      <c r="W117" s="414"/>
      <c r="X117" s="414"/>
      <c r="Y117" s="414"/>
      <c r="Z117" s="414"/>
      <c r="AA117" s="414"/>
      <c r="AB117" s="414"/>
      <c r="AC117" s="414"/>
      <c r="AD117" s="414"/>
      <c r="AE117" s="414"/>
      <c r="AF117" s="414"/>
      <c r="AG117" s="414"/>
      <c r="AH117" s="414"/>
      <c r="AI117" s="414"/>
      <c r="AJ117" s="414"/>
      <c r="AK117" s="414"/>
      <c r="AL117" s="414"/>
      <c r="AM117" s="414"/>
      <c r="AN117" s="414"/>
      <c r="AO117" s="414"/>
      <c r="AP117" s="414"/>
      <c r="AQ117" s="414"/>
      <c r="AR117" s="414"/>
      <c r="AS117" s="414"/>
      <c r="AT117" s="414"/>
      <c r="AU117" s="414"/>
      <c r="AV117" s="414"/>
      <c r="AW117" s="414"/>
      <c r="AX117" s="414"/>
      <c r="AY117" s="414"/>
      <c r="AZ117" s="414"/>
      <c r="BA117" s="414"/>
      <c r="BB117" s="414"/>
      <c r="BC117" s="414"/>
      <c r="BD117" s="414"/>
      <c r="BE117" s="414"/>
      <c r="BF117" s="414"/>
      <c r="BG117" s="414"/>
      <c r="BH117" s="414"/>
      <c r="BI117" s="414"/>
      <c r="BJ117" s="414"/>
      <c r="BK117" s="414"/>
      <c r="BL117" s="414"/>
      <c r="BM117" s="414"/>
      <c r="BN117" s="414"/>
      <c r="BO117" s="414"/>
      <c r="BP117" s="414"/>
      <c r="BQ117" s="414"/>
      <c r="BR117" s="414"/>
      <c r="BS117" s="414"/>
      <c r="BT117" s="414"/>
      <c r="BU117" s="414"/>
      <c r="BV117" s="414"/>
      <c r="BW117" s="414"/>
      <c r="BX117" s="414"/>
      <c r="BY117" s="414"/>
      <c r="BZ117" s="414"/>
      <c r="CA117" s="414"/>
      <c r="CB117" s="414"/>
      <c r="CC117" s="414"/>
    </row>
    <row r="118" spans="4:81" ht="12.75" customHeight="1">
      <c r="D118" s="414"/>
      <c r="H118" s="414"/>
      <c r="I118" s="414"/>
      <c r="Q118" s="414"/>
      <c r="R118" s="414"/>
      <c r="S118" s="414"/>
      <c r="T118" s="414"/>
      <c r="U118" s="414"/>
      <c r="V118" s="414"/>
      <c r="W118" s="414"/>
      <c r="X118" s="414"/>
      <c r="Y118" s="414"/>
      <c r="Z118" s="414"/>
      <c r="AA118" s="414"/>
      <c r="AB118" s="414"/>
      <c r="AC118" s="414"/>
      <c r="AD118" s="414"/>
      <c r="AE118" s="414"/>
      <c r="AF118" s="414"/>
      <c r="AG118" s="414"/>
      <c r="AH118" s="414"/>
      <c r="AI118" s="414"/>
      <c r="AJ118" s="414"/>
      <c r="AK118" s="414"/>
      <c r="AL118" s="414"/>
      <c r="AM118" s="414"/>
      <c r="AN118" s="414"/>
      <c r="AO118" s="414"/>
      <c r="AP118" s="414"/>
      <c r="AQ118" s="414"/>
      <c r="AR118" s="414"/>
      <c r="AS118" s="414"/>
      <c r="AT118" s="414"/>
      <c r="AU118" s="414"/>
      <c r="AV118" s="414"/>
      <c r="AW118" s="414"/>
      <c r="AX118" s="414"/>
      <c r="AY118" s="414"/>
      <c r="AZ118" s="414"/>
      <c r="BA118" s="414"/>
      <c r="BB118" s="414"/>
      <c r="BC118" s="414"/>
      <c r="BD118" s="414"/>
      <c r="BE118" s="414"/>
      <c r="BF118" s="414"/>
      <c r="BG118" s="414"/>
      <c r="BH118" s="414"/>
      <c r="BI118" s="414"/>
      <c r="BJ118" s="414"/>
      <c r="BK118" s="414"/>
      <c r="BL118" s="414"/>
      <c r="BM118" s="414"/>
      <c r="BN118" s="414"/>
      <c r="BO118" s="414"/>
      <c r="BP118" s="414"/>
      <c r="BQ118" s="414"/>
      <c r="BR118" s="414"/>
      <c r="BS118" s="414"/>
      <c r="BT118" s="414"/>
      <c r="BU118" s="414"/>
      <c r="BV118" s="414"/>
      <c r="BW118" s="414"/>
      <c r="BX118" s="414"/>
      <c r="BY118" s="414"/>
      <c r="BZ118" s="414"/>
      <c r="CA118" s="414"/>
      <c r="CB118" s="414"/>
      <c r="CC118" s="414"/>
    </row>
    <row r="119" spans="4:81" ht="12.75" customHeight="1">
      <c r="D119" s="414"/>
      <c r="H119" s="414"/>
      <c r="I119" s="414"/>
      <c r="Q119" s="414"/>
      <c r="R119" s="414"/>
      <c r="S119" s="414"/>
      <c r="T119" s="414"/>
      <c r="U119" s="414"/>
      <c r="V119" s="414"/>
      <c r="W119" s="414"/>
      <c r="X119" s="414"/>
      <c r="Y119" s="414"/>
      <c r="Z119" s="414"/>
      <c r="AA119" s="414"/>
      <c r="AB119" s="414"/>
      <c r="AC119" s="414"/>
      <c r="AD119" s="414"/>
      <c r="AE119" s="414"/>
      <c r="AF119" s="414"/>
      <c r="AG119" s="414"/>
      <c r="AH119" s="414"/>
      <c r="AI119" s="414"/>
      <c r="AJ119" s="414"/>
      <c r="AK119" s="414"/>
      <c r="AL119" s="414"/>
      <c r="AM119" s="414"/>
      <c r="AN119" s="414"/>
      <c r="AO119" s="414"/>
      <c r="AP119" s="414"/>
      <c r="AQ119" s="414"/>
      <c r="AR119" s="414"/>
      <c r="AS119" s="414"/>
      <c r="AT119" s="414"/>
      <c r="AU119" s="414"/>
      <c r="AV119" s="414"/>
      <c r="AW119" s="414"/>
      <c r="AX119" s="414"/>
      <c r="AY119" s="414"/>
      <c r="AZ119" s="414"/>
      <c r="BA119" s="414"/>
      <c r="BB119" s="414"/>
      <c r="BC119" s="414"/>
      <c r="BD119" s="414"/>
      <c r="BE119" s="414"/>
      <c r="BF119" s="414"/>
      <c r="BG119" s="414"/>
      <c r="BH119" s="414"/>
      <c r="BI119" s="414"/>
      <c r="BJ119" s="414"/>
      <c r="BK119" s="414"/>
      <c r="BL119" s="414"/>
      <c r="BM119" s="414"/>
      <c r="BN119" s="414"/>
      <c r="BO119" s="414"/>
      <c r="BP119" s="414"/>
      <c r="BQ119" s="414"/>
      <c r="BR119" s="414"/>
      <c r="BS119" s="414"/>
      <c r="BT119" s="414"/>
      <c r="BU119" s="414"/>
      <c r="BV119" s="414"/>
      <c r="BW119" s="414"/>
      <c r="BX119" s="414"/>
      <c r="BY119" s="414"/>
      <c r="BZ119" s="414"/>
      <c r="CA119" s="414"/>
      <c r="CB119" s="414"/>
      <c r="CC119" s="414"/>
    </row>
    <row r="120" spans="4:81" ht="12.75" customHeight="1">
      <c r="D120" s="414"/>
      <c r="H120" s="414"/>
      <c r="I120" s="414"/>
      <c r="Q120" s="414"/>
      <c r="R120" s="414"/>
      <c r="S120" s="414"/>
      <c r="T120" s="414"/>
      <c r="U120" s="414"/>
      <c r="V120" s="414"/>
      <c r="W120" s="414"/>
      <c r="X120" s="414"/>
      <c r="Y120" s="414"/>
      <c r="Z120" s="414"/>
      <c r="AA120" s="414"/>
      <c r="AB120" s="414"/>
      <c r="AC120" s="414"/>
      <c r="AD120" s="414"/>
      <c r="AE120" s="414"/>
      <c r="AF120" s="414"/>
      <c r="AG120" s="414"/>
      <c r="AH120" s="414"/>
      <c r="AI120" s="414"/>
      <c r="AJ120" s="414"/>
      <c r="AK120" s="414"/>
      <c r="AL120" s="414"/>
      <c r="AM120" s="414"/>
      <c r="AN120" s="414"/>
      <c r="AO120" s="414"/>
      <c r="AP120" s="414"/>
      <c r="AQ120" s="414"/>
      <c r="AR120" s="414"/>
      <c r="AS120" s="414"/>
      <c r="AT120" s="414"/>
      <c r="AU120" s="414"/>
      <c r="AV120" s="414"/>
      <c r="AW120" s="414"/>
      <c r="AX120" s="414"/>
      <c r="AY120" s="414"/>
      <c r="AZ120" s="414"/>
      <c r="BA120" s="414"/>
      <c r="BB120" s="414"/>
      <c r="BC120" s="414"/>
      <c r="BD120" s="414"/>
      <c r="BE120" s="414"/>
      <c r="BF120" s="414"/>
      <c r="BG120" s="414"/>
      <c r="BH120" s="414"/>
      <c r="BI120" s="414"/>
      <c r="BJ120" s="414"/>
      <c r="BK120" s="414"/>
      <c r="BL120" s="414"/>
      <c r="BM120" s="414"/>
      <c r="BN120" s="414"/>
      <c r="BO120" s="414"/>
      <c r="BP120" s="414"/>
      <c r="BQ120" s="414"/>
      <c r="BR120" s="414"/>
      <c r="BS120" s="414"/>
      <c r="BT120" s="414"/>
      <c r="BU120" s="414"/>
      <c r="BV120" s="414"/>
      <c r="BW120" s="414"/>
      <c r="BX120" s="414"/>
      <c r="BY120" s="414"/>
      <c r="BZ120" s="414"/>
      <c r="CA120" s="414"/>
      <c r="CB120" s="414"/>
      <c r="CC120" s="414"/>
    </row>
    <row r="121" spans="4:81" ht="12.75" customHeight="1">
      <c r="D121" s="414"/>
      <c r="H121" s="414"/>
      <c r="I121" s="414"/>
      <c r="Q121" s="414"/>
      <c r="R121" s="414"/>
      <c r="S121" s="414"/>
      <c r="T121" s="414"/>
      <c r="U121" s="414"/>
      <c r="V121" s="414"/>
      <c r="W121" s="414"/>
      <c r="X121" s="414"/>
      <c r="Y121" s="414"/>
      <c r="Z121" s="414"/>
      <c r="AA121" s="414"/>
      <c r="AB121" s="414"/>
      <c r="AC121" s="414"/>
      <c r="AD121" s="414"/>
      <c r="AE121" s="414"/>
      <c r="AF121" s="414"/>
      <c r="AG121" s="414"/>
      <c r="AH121" s="414"/>
      <c r="AI121" s="414"/>
      <c r="AJ121" s="414"/>
      <c r="AK121" s="414"/>
      <c r="AL121" s="414"/>
      <c r="AM121" s="414"/>
      <c r="AN121" s="414"/>
      <c r="AO121" s="414"/>
      <c r="AP121" s="414"/>
      <c r="AQ121" s="414"/>
      <c r="AR121" s="414"/>
      <c r="AS121" s="414"/>
      <c r="AT121" s="414"/>
      <c r="AU121" s="414"/>
      <c r="AV121" s="414"/>
      <c r="AW121" s="414"/>
      <c r="AX121" s="414"/>
      <c r="AY121" s="414"/>
      <c r="AZ121" s="414"/>
      <c r="BA121" s="414"/>
      <c r="BB121" s="414"/>
      <c r="BC121" s="414"/>
      <c r="BD121" s="414"/>
      <c r="BE121" s="414"/>
      <c r="BF121" s="414"/>
      <c r="BG121" s="414"/>
      <c r="BH121" s="414"/>
      <c r="BI121" s="414"/>
      <c r="BJ121" s="414"/>
      <c r="BK121" s="414"/>
      <c r="BL121" s="414"/>
      <c r="BM121" s="414"/>
      <c r="BN121" s="414"/>
      <c r="BO121" s="414"/>
      <c r="BP121" s="414"/>
      <c r="BQ121" s="414"/>
      <c r="BR121" s="414"/>
      <c r="BS121" s="414"/>
      <c r="BT121" s="414"/>
      <c r="BU121" s="414"/>
      <c r="BV121" s="414"/>
      <c r="BW121" s="414"/>
      <c r="BX121" s="414"/>
      <c r="BY121" s="414"/>
      <c r="BZ121" s="414"/>
      <c r="CA121" s="414"/>
      <c r="CB121" s="414"/>
      <c r="CC121" s="414"/>
    </row>
    <row r="122" spans="4:81" ht="12.75" customHeight="1">
      <c r="D122" s="414"/>
      <c r="H122" s="414"/>
      <c r="I122" s="414"/>
      <c r="Q122" s="414"/>
      <c r="R122" s="414"/>
      <c r="S122" s="414"/>
      <c r="T122" s="414"/>
      <c r="U122" s="414"/>
      <c r="V122" s="414"/>
      <c r="W122" s="414"/>
      <c r="X122" s="414"/>
      <c r="Y122" s="414"/>
      <c r="Z122" s="414"/>
      <c r="AA122" s="414"/>
      <c r="AB122" s="414"/>
      <c r="AC122" s="414"/>
      <c r="AD122" s="414"/>
      <c r="AE122" s="414"/>
      <c r="AF122" s="414"/>
      <c r="AG122" s="414"/>
      <c r="AH122" s="414"/>
      <c r="AI122" s="414"/>
      <c r="AJ122" s="414"/>
      <c r="AK122" s="414"/>
      <c r="AL122" s="414"/>
      <c r="AM122" s="414"/>
      <c r="AN122" s="414"/>
      <c r="AO122" s="414"/>
      <c r="AP122" s="414"/>
      <c r="AQ122" s="414"/>
      <c r="AR122" s="414"/>
      <c r="AS122" s="414"/>
      <c r="AT122" s="414"/>
      <c r="AU122" s="414"/>
      <c r="AV122" s="414"/>
      <c r="AW122" s="414"/>
      <c r="AX122" s="414"/>
      <c r="AY122" s="414"/>
      <c r="AZ122" s="414"/>
      <c r="BA122" s="414"/>
      <c r="BB122" s="414"/>
      <c r="BC122" s="414"/>
      <c r="BD122" s="414"/>
      <c r="BE122" s="414"/>
      <c r="BF122" s="414"/>
      <c r="BG122" s="414"/>
      <c r="BH122" s="414"/>
      <c r="BI122" s="414"/>
      <c r="BJ122" s="414"/>
      <c r="BK122" s="414"/>
      <c r="BL122" s="414"/>
      <c r="BM122" s="414"/>
      <c r="BN122" s="414"/>
      <c r="BO122" s="414"/>
      <c r="BP122" s="414"/>
      <c r="BQ122" s="414"/>
      <c r="BR122" s="414"/>
      <c r="BS122" s="414"/>
      <c r="BT122" s="414"/>
      <c r="BU122" s="414"/>
      <c r="BV122" s="414"/>
      <c r="BW122" s="414"/>
      <c r="BX122" s="414"/>
      <c r="BY122" s="414"/>
      <c r="BZ122" s="414"/>
      <c r="CA122" s="414"/>
      <c r="CB122" s="414"/>
      <c r="CC122" s="414"/>
    </row>
    <row r="123" spans="4:81" ht="12.75" customHeight="1">
      <c r="D123" s="414"/>
      <c r="H123" s="414"/>
      <c r="I123" s="414"/>
      <c r="Q123" s="414"/>
      <c r="R123" s="414"/>
      <c r="S123" s="414"/>
      <c r="T123" s="414"/>
      <c r="U123" s="414"/>
      <c r="V123" s="414"/>
      <c r="W123" s="414"/>
      <c r="X123" s="414"/>
      <c r="Y123" s="414"/>
      <c r="Z123" s="414"/>
      <c r="AA123" s="414"/>
      <c r="AB123" s="414"/>
      <c r="AC123" s="414"/>
      <c r="AD123" s="414"/>
      <c r="AE123" s="414"/>
      <c r="AF123" s="414"/>
      <c r="AG123" s="414"/>
      <c r="AH123" s="414"/>
      <c r="AI123" s="414"/>
      <c r="AJ123" s="414"/>
      <c r="AK123" s="414"/>
      <c r="AL123" s="414"/>
      <c r="AM123" s="414"/>
      <c r="AN123" s="414"/>
      <c r="AO123" s="414"/>
      <c r="AP123" s="414"/>
      <c r="AQ123" s="414"/>
      <c r="AR123" s="414"/>
      <c r="AS123" s="414"/>
      <c r="AT123" s="414"/>
      <c r="AU123" s="414"/>
      <c r="AV123" s="414"/>
      <c r="AW123" s="414"/>
      <c r="AX123" s="414"/>
      <c r="AY123" s="414"/>
      <c r="AZ123" s="414"/>
      <c r="BA123" s="414"/>
      <c r="BB123" s="414"/>
      <c r="BC123" s="414"/>
      <c r="BD123" s="414"/>
      <c r="BE123" s="414"/>
      <c r="BF123" s="414"/>
      <c r="BG123" s="414"/>
      <c r="BH123" s="414"/>
      <c r="BI123" s="414"/>
      <c r="BJ123" s="414"/>
      <c r="BK123" s="414"/>
      <c r="BL123" s="414"/>
      <c r="BM123" s="414"/>
      <c r="BN123" s="414"/>
      <c r="BO123" s="414"/>
      <c r="BP123" s="414"/>
      <c r="BQ123" s="414"/>
      <c r="BR123" s="414"/>
      <c r="BS123" s="414"/>
      <c r="BT123" s="414"/>
      <c r="BU123" s="414"/>
      <c r="BV123" s="414"/>
      <c r="BW123" s="414"/>
      <c r="BX123" s="414"/>
      <c r="BY123" s="414"/>
      <c r="BZ123" s="414"/>
      <c r="CA123" s="414"/>
      <c r="CB123" s="414"/>
      <c r="CC123" s="414"/>
    </row>
    <row r="124" spans="4:81" ht="12.75" customHeight="1">
      <c r="D124" s="414"/>
      <c r="H124" s="414"/>
      <c r="I124" s="414"/>
      <c r="Q124" s="414"/>
      <c r="R124" s="414"/>
      <c r="S124" s="414"/>
      <c r="T124" s="414"/>
      <c r="U124" s="414"/>
      <c r="V124" s="414"/>
      <c r="W124" s="414"/>
      <c r="X124" s="414"/>
      <c r="Y124" s="414"/>
      <c r="Z124" s="414"/>
      <c r="AA124" s="414"/>
      <c r="AB124" s="414"/>
      <c r="AC124" s="414"/>
      <c r="AD124" s="414"/>
      <c r="AE124" s="414"/>
      <c r="AF124" s="414"/>
      <c r="AG124" s="414"/>
      <c r="AH124" s="414"/>
      <c r="AI124" s="414"/>
      <c r="AJ124" s="414"/>
      <c r="AK124" s="414"/>
      <c r="AL124" s="414"/>
      <c r="AM124" s="414"/>
      <c r="AN124" s="414"/>
      <c r="AO124" s="414"/>
      <c r="AP124" s="414"/>
      <c r="AQ124" s="414"/>
      <c r="AR124" s="414"/>
      <c r="AS124" s="414"/>
      <c r="AT124" s="414"/>
      <c r="AU124" s="414"/>
      <c r="AV124" s="414"/>
      <c r="AW124" s="414"/>
      <c r="AX124" s="414"/>
      <c r="AY124" s="414"/>
      <c r="AZ124" s="414"/>
      <c r="BA124" s="414"/>
      <c r="BB124" s="414"/>
      <c r="BC124" s="414"/>
      <c r="BD124" s="414"/>
      <c r="BE124" s="414"/>
      <c r="BF124" s="414"/>
      <c r="BG124" s="414"/>
      <c r="BH124" s="414"/>
      <c r="BI124" s="414"/>
      <c r="BJ124" s="414"/>
      <c r="BK124" s="414"/>
      <c r="BL124" s="414"/>
      <c r="BM124" s="414"/>
      <c r="BN124" s="414"/>
      <c r="BO124" s="414"/>
      <c r="BP124" s="414"/>
      <c r="BQ124" s="414"/>
      <c r="BR124" s="414"/>
      <c r="BS124" s="414"/>
      <c r="BT124" s="414"/>
      <c r="BU124" s="414"/>
      <c r="BV124" s="414"/>
      <c r="BW124" s="414"/>
      <c r="BX124" s="414"/>
      <c r="BY124" s="414"/>
      <c r="BZ124" s="414"/>
      <c r="CA124" s="414"/>
      <c r="CB124" s="414"/>
      <c r="CC124" s="414"/>
    </row>
    <row r="125" spans="4:81" ht="12.75" customHeight="1">
      <c r="D125" s="414"/>
      <c r="H125" s="414"/>
      <c r="I125" s="414"/>
      <c r="Q125" s="414"/>
      <c r="R125" s="414"/>
      <c r="S125" s="414"/>
      <c r="T125" s="414"/>
      <c r="U125" s="414"/>
      <c r="V125" s="414"/>
      <c r="W125" s="414"/>
      <c r="X125" s="414"/>
      <c r="Y125" s="414"/>
      <c r="Z125" s="414"/>
      <c r="AA125" s="414"/>
      <c r="AB125" s="414"/>
      <c r="AC125" s="414"/>
      <c r="AD125" s="414"/>
      <c r="AE125" s="414"/>
      <c r="AF125" s="414"/>
      <c r="AG125" s="414"/>
      <c r="AH125" s="414"/>
      <c r="AI125" s="414"/>
      <c r="AJ125" s="414"/>
      <c r="AK125" s="414"/>
      <c r="AL125" s="414"/>
      <c r="AM125" s="414"/>
      <c r="AN125" s="414"/>
      <c r="AO125" s="414"/>
      <c r="AP125" s="414"/>
      <c r="AQ125" s="414"/>
      <c r="AR125" s="414"/>
      <c r="AS125" s="414"/>
      <c r="AT125" s="414"/>
      <c r="AU125" s="414"/>
      <c r="AV125" s="414"/>
      <c r="AW125" s="414"/>
      <c r="AX125" s="414"/>
      <c r="AY125" s="414"/>
      <c r="AZ125" s="414"/>
      <c r="BA125" s="414"/>
      <c r="BB125" s="414"/>
      <c r="BC125" s="414"/>
      <c r="BD125" s="414"/>
      <c r="BE125" s="414"/>
      <c r="BF125" s="414"/>
      <c r="BG125" s="414"/>
      <c r="BH125" s="414"/>
      <c r="BI125" s="414"/>
      <c r="BJ125" s="414"/>
      <c r="BK125" s="414"/>
      <c r="BL125" s="414"/>
      <c r="BM125" s="414"/>
      <c r="BN125" s="414"/>
      <c r="BO125" s="414"/>
      <c r="BP125" s="414"/>
      <c r="BQ125" s="414"/>
      <c r="BR125" s="414"/>
      <c r="BS125" s="414"/>
      <c r="BT125" s="414"/>
      <c r="BU125" s="414"/>
      <c r="BV125" s="414"/>
      <c r="BW125" s="414"/>
      <c r="BX125" s="414"/>
      <c r="BY125" s="414"/>
      <c r="BZ125" s="414"/>
      <c r="CA125" s="414"/>
      <c r="CB125" s="414"/>
      <c r="CC125" s="414"/>
    </row>
    <row r="126" spans="4:81" ht="12.75" customHeight="1">
      <c r="D126" s="414"/>
      <c r="H126" s="414"/>
      <c r="I126" s="414"/>
      <c r="Q126" s="414"/>
      <c r="R126" s="414"/>
      <c r="S126" s="414"/>
      <c r="T126" s="414"/>
      <c r="U126" s="414"/>
      <c r="V126" s="414"/>
      <c r="W126" s="414"/>
      <c r="X126" s="414"/>
      <c r="Y126" s="414"/>
      <c r="Z126" s="414"/>
      <c r="AA126" s="414"/>
      <c r="AB126" s="414"/>
      <c r="AC126" s="414"/>
      <c r="AD126" s="414"/>
      <c r="AE126" s="414"/>
      <c r="AF126" s="414"/>
      <c r="AG126" s="414"/>
      <c r="AH126" s="414"/>
      <c r="AI126" s="414"/>
      <c r="AJ126" s="414"/>
      <c r="AK126" s="414"/>
      <c r="AL126" s="414"/>
      <c r="AM126" s="414"/>
      <c r="AN126" s="414"/>
      <c r="AO126" s="414"/>
      <c r="AP126" s="414"/>
      <c r="AQ126" s="414"/>
      <c r="AR126" s="414"/>
      <c r="AS126" s="414"/>
      <c r="AT126" s="414"/>
      <c r="AU126" s="414"/>
      <c r="AV126" s="414"/>
      <c r="AW126" s="414"/>
      <c r="AX126" s="414"/>
      <c r="AY126" s="414"/>
      <c r="AZ126" s="414"/>
      <c r="BA126" s="414"/>
      <c r="BB126" s="414"/>
      <c r="BC126" s="414"/>
      <c r="BD126" s="414"/>
      <c r="BE126" s="414"/>
      <c r="BF126" s="414"/>
      <c r="BG126" s="414"/>
      <c r="BH126" s="414"/>
      <c r="BI126" s="414"/>
      <c r="BJ126" s="414"/>
      <c r="BK126" s="414"/>
      <c r="BL126" s="414"/>
      <c r="BM126" s="414"/>
      <c r="BN126" s="414"/>
      <c r="BO126" s="414"/>
      <c r="BP126" s="414"/>
      <c r="BQ126" s="414"/>
      <c r="BR126" s="414"/>
      <c r="BS126" s="414"/>
      <c r="BT126" s="414"/>
      <c r="BU126" s="414"/>
      <c r="BV126" s="414"/>
      <c r="BW126" s="414"/>
      <c r="BX126" s="414"/>
      <c r="BY126" s="414"/>
      <c r="BZ126" s="414"/>
      <c r="CA126" s="414"/>
      <c r="CB126" s="414"/>
      <c r="CC126" s="414"/>
    </row>
    <row r="127" spans="4:81" ht="12.75" customHeight="1">
      <c r="D127" s="414"/>
      <c r="H127" s="414"/>
      <c r="I127" s="414"/>
      <c r="Q127" s="414"/>
      <c r="R127" s="414"/>
      <c r="S127" s="414"/>
      <c r="T127" s="414"/>
      <c r="U127" s="414"/>
      <c r="V127" s="414"/>
      <c r="W127" s="414"/>
      <c r="X127" s="414"/>
      <c r="Y127" s="414"/>
      <c r="Z127" s="414"/>
      <c r="AA127" s="414"/>
      <c r="AB127" s="414"/>
      <c r="AC127" s="414"/>
      <c r="AD127" s="414"/>
      <c r="AE127" s="414"/>
      <c r="AF127" s="414"/>
      <c r="AG127" s="414"/>
      <c r="AH127" s="414"/>
      <c r="AI127" s="414"/>
      <c r="AJ127" s="414"/>
      <c r="AK127" s="414"/>
      <c r="AL127" s="414"/>
      <c r="AM127" s="414"/>
      <c r="AN127" s="414"/>
      <c r="AO127" s="414"/>
      <c r="AP127" s="414"/>
      <c r="AQ127" s="414"/>
      <c r="AR127" s="414"/>
      <c r="AS127" s="414"/>
      <c r="AT127" s="414"/>
      <c r="AU127" s="414"/>
      <c r="AV127" s="414"/>
      <c r="AW127" s="414"/>
      <c r="AX127" s="414"/>
      <c r="AY127" s="414"/>
      <c r="AZ127" s="414"/>
      <c r="BA127" s="414"/>
      <c r="BB127" s="414"/>
      <c r="BC127" s="414"/>
      <c r="BD127" s="414"/>
      <c r="BE127" s="414"/>
      <c r="BF127" s="414"/>
      <c r="BG127" s="414"/>
      <c r="BH127" s="414"/>
      <c r="BI127" s="414"/>
      <c r="BJ127" s="414"/>
      <c r="BK127" s="414"/>
      <c r="BL127" s="414"/>
      <c r="BM127" s="414"/>
      <c r="BN127" s="414"/>
      <c r="BO127" s="414"/>
      <c r="BP127" s="414"/>
      <c r="BQ127" s="414"/>
      <c r="BR127" s="414"/>
      <c r="BS127" s="414"/>
      <c r="BT127" s="414"/>
      <c r="BU127" s="414"/>
      <c r="BV127" s="414"/>
      <c r="BW127" s="414"/>
      <c r="BX127" s="414"/>
      <c r="BY127" s="414"/>
      <c r="BZ127" s="414"/>
      <c r="CA127" s="414"/>
      <c r="CB127" s="414"/>
      <c r="CC127" s="414"/>
    </row>
    <row r="128" spans="4:81" ht="12.75" customHeight="1">
      <c r="D128" s="414"/>
      <c r="H128" s="414"/>
      <c r="I128" s="414"/>
      <c r="Q128" s="414"/>
      <c r="R128" s="414"/>
      <c r="S128" s="414"/>
      <c r="T128" s="414"/>
      <c r="U128" s="414"/>
      <c r="V128" s="414"/>
      <c r="W128" s="414"/>
      <c r="X128" s="414"/>
      <c r="Y128" s="414"/>
      <c r="Z128" s="414"/>
      <c r="AA128" s="414"/>
      <c r="AB128" s="414"/>
      <c r="AC128" s="414"/>
      <c r="AD128" s="414"/>
      <c r="AE128" s="414"/>
      <c r="AF128" s="414"/>
      <c r="AG128" s="414"/>
      <c r="AH128" s="414"/>
      <c r="AI128" s="414"/>
      <c r="AJ128" s="414"/>
      <c r="AK128" s="414"/>
      <c r="AL128" s="414"/>
      <c r="AM128" s="414"/>
      <c r="AN128" s="414"/>
      <c r="AO128" s="414"/>
      <c r="AP128" s="414"/>
      <c r="AQ128" s="414"/>
      <c r="AR128" s="414"/>
      <c r="AS128" s="414"/>
      <c r="AT128" s="414"/>
      <c r="AU128" s="414"/>
      <c r="AV128" s="414"/>
      <c r="AW128" s="414"/>
      <c r="AX128" s="414"/>
      <c r="AY128" s="414"/>
      <c r="AZ128" s="414"/>
      <c r="BA128" s="414"/>
      <c r="BB128" s="414"/>
      <c r="BC128" s="414"/>
      <c r="BD128" s="414"/>
      <c r="BE128" s="414"/>
      <c r="BF128" s="414"/>
      <c r="BG128" s="414"/>
      <c r="BH128" s="414"/>
      <c r="BI128" s="414"/>
      <c r="BJ128" s="414"/>
      <c r="BK128" s="414"/>
      <c r="BL128" s="414"/>
      <c r="BM128" s="414"/>
      <c r="BN128" s="414"/>
      <c r="BO128" s="414"/>
      <c r="BP128" s="414"/>
      <c r="BQ128" s="414"/>
      <c r="BR128" s="414"/>
      <c r="BS128" s="414"/>
      <c r="BT128" s="414"/>
      <c r="BU128" s="414"/>
      <c r="BV128" s="414"/>
      <c r="BW128" s="414"/>
      <c r="BX128" s="414"/>
      <c r="BY128" s="414"/>
      <c r="BZ128" s="414"/>
      <c r="CA128" s="414"/>
      <c r="CB128" s="414"/>
      <c r="CC128" s="414"/>
    </row>
    <row r="129" spans="4:81" ht="12.75" customHeight="1">
      <c r="D129" s="414"/>
      <c r="H129" s="414"/>
      <c r="I129" s="414"/>
      <c r="Q129" s="414"/>
      <c r="R129" s="414"/>
      <c r="S129" s="414"/>
      <c r="T129" s="414"/>
      <c r="U129" s="414"/>
      <c r="V129" s="414"/>
      <c r="W129" s="414"/>
      <c r="X129" s="414"/>
      <c r="Y129" s="414"/>
      <c r="Z129" s="414"/>
      <c r="AA129" s="414"/>
      <c r="AB129" s="414"/>
      <c r="AC129" s="414"/>
      <c r="AD129" s="414"/>
      <c r="AE129" s="414"/>
      <c r="AF129" s="414"/>
      <c r="AG129" s="414"/>
      <c r="AH129" s="414"/>
      <c r="AI129" s="414"/>
      <c r="AJ129" s="414"/>
      <c r="AK129" s="414"/>
      <c r="AL129" s="414"/>
      <c r="AM129" s="414"/>
      <c r="AN129" s="414"/>
      <c r="AO129" s="414"/>
      <c r="AP129" s="414"/>
      <c r="AQ129" s="414"/>
      <c r="AR129" s="414"/>
      <c r="AS129" s="414"/>
      <c r="AT129" s="414"/>
      <c r="AU129" s="414"/>
      <c r="AV129" s="414"/>
      <c r="AW129" s="414"/>
      <c r="AX129" s="414"/>
      <c r="AY129" s="414"/>
      <c r="AZ129" s="414"/>
      <c r="BA129" s="414"/>
      <c r="BB129" s="414"/>
      <c r="BC129" s="414"/>
      <c r="BD129" s="414"/>
      <c r="BE129" s="414"/>
      <c r="BF129" s="414"/>
      <c r="BG129" s="414"/>
      <c r="BH129" s="414"/>
      <c r="BI129" s="414"/>
      <c r="BJ129" s="414"/>
      <c r="BK129" s="414"/>
      <c r="BL129" s="414"/>
      <c r="BM129" s="414"/>
      <c r="BN129" s="414"/>
      <c r="BO129" s="414"/>
      <c r="BP129" s="414"/>
      <c r="BQ129" s="414"/>
      <c r="BR129" s="414"/>
      <c r="BS129" s="414"/>
      <c r="BT129" s="414"/>
      <c r="BU129" s="414"/>
      <c r="BV129" s="414"/>
      <c r="BW129" s="414"/>
      <c r="BX129" s="414"/>
      <c r="BY129" s="414"/>
      <c r="BZ129" s="414"/>
      <c r="CA129" s="414"/>
      <c r="CB129" s="414"/>
      <c r="CC129" s="414"/>
    </row>
    <row r="130" spans="4:81" ht="12.75" customHeight="1">
      <c r="D130" s="414"/>
      <c r="H130" s="414"/>
      <c r="I130" s="414"/>
      <c r="Q130" s="414"/>
      <c r="R130" s="414"/>
      <c r="S130" s="414"/>
      <c r="T130" s="414"/>
      <c r="U130" s="414"/>
      <c r="V130" s="414"/>
      <c r="W130" s="414"/>
      <c r="X130" s="414"/>
      <c r="Y130" s="414"/>
      <c r="Z130" s="414"/>
      <c r="AA130" s="414"/>
      <c r="AB130" s="414"/>
      <c r="AC130" s="414"/>
      <c r="AD130" s="414"/>
      <c r="AE130" s="414"/>
      <c r="AF130" s="414"/>
      <c r="AG130" s="414"/>
      <c r="AH130" s="414"/>
      <c r="AI130" s="414"/>
      <c r="AJ130" s="414"/>
      <c r="AK130" s="414"/>
      <c r="AL130" s="414"/>
      <c r="AM130" s="414"/>
      <c r="AN130" s="414"/>
      <c r="AO130" s="414"/>
      <c r="AP130" s="414"/>
      <c r="AQ130" s="414"/>
      <c r="AR130" s="414"/>
      <c r="AS130" s="414"/>
      <c r="AT130" s="414"/>
      <c r="AU130" s="414"/>
      <c r="AV130" s="414"/>
      <c r="AW130" s="414"/>
      <c r="AX130" s="414"/>
      <c r="AY130" s="414"/>
      <c r="AZ130" s="414"/>
      <c r="BA130" s="414"/>
      <c r="BB130" s="414"/>
      <c r="BC130" s="414"/>
      <c r="BD130" s="414"/>
      <c r="BE130" s="414"/>
      <c r="BF130" s="414"/>
      <c r="BG130" s="414"/>
      <c r="BH130" s="414"/>
      <c r="BI130" s="414"/>
      <c r="BJ130" s="414"/>
      <c r="BK130" s="414"/>
      <c r="BL130" s="414"/>
      <c r="BM130" s="414"/>
      <c r="BN130" s="414"/>
      <c r="BO130" s="414"/>
      <c r="BP130" s="414"/>
      <c r="BQ130" s="414"/>
      <c r="BR130" s="414"/>
      <c r="BS130" s="414"/>
      <c r="BT130" s="414"/>
      <c r="BU130" s="414"/>
      <c r="BV130" s="414"/>
      <c r="BW130" s="414"/>
      <c r="BX130" s="414"/>
      <c r="BY130" s="414"/>
      <c r="BZ130" s="414"/>
      <c r="CA130" s="414"/>
      <c r="CB130" s="414"/>
      <c r="CC130" s="414"/>
    </row>
    <row r="131" spans="4:81" ht="12.75" customHeight="1">
      <c r="D131" s="414"/>
      <c r="H131" s="414"/>
      <c r="I131" s="414"/>
      <c r="Q131" s="414"/>
      <c r="R131" s="414"/>
      <c r="S131" s="414"/>
      <c r="T131" s="414"/>
      <c r="U131" s="414"/>
      <c r="V131" s="414"/>
      <c r="W131" s="414"/>
      <c r="X131" s="414"/>
      <c r="Y131" s="414"/>
      <c r="Z131" s="414"/>
      <c r="AA131" s="414"/>
      <c r="AB131" s="414"/>
      <c r="AC131" s="414"/>
      <c r="AD131" s="414"/>
      <c r="AE131" s="414"/>
      <c r="AF131" s="414"/>
      <c r="AG131" s="414"/>
      <c r="AH131" s="414"/>
      <c r="AI131" s="414"/>
      <c r="AJ131" s="414"/>
      <c r="AK131" s="414"/>
      <c r="AL131" s="414"/>
      <c r="AM131" s="414"/>
      <c r="AN131" s="414"/>
      <c r="AO131" s="414"/>
      <c r="AP131" s="414"/>
      <c r="AQ131" s="414"/>
      <c r="AR131" s="414"/>
      <c r="AS131" s="414"/>
      <c r="AT131" s="414"/>
      <c r="AU131" s="414"/>
      <c r="AV131" s="414"/>
      <c r="AW131" s="414"/>
      <c r="AX131" s="414"/>
      <c r="AY131" s="414"/>
      <c r="AZ131" s="414"/>
      <c r="BA131" s="414"/>
      <c r="BB131" s="414"/>
      <c r="BC131" s="414"/>
      <c r="BD131" s="414"/>
      <c r="BE131" s="414"/>
      <c r="BF131" s="414"/>
      <c r="BG131" s="414"/>
      <c r="BH131" s="414"/>
      <c r="BI131" s="414"/>
      <c r="BJ131" s="414"/>
      <c r="BK131" s="414"/>
      <c r="BL131" s="414"/>
      <c r="BM131" s="414"/>
      <c r="BN131" s="414"/>
      <c r="BO131" s="414"/>
      <c r="BP131" s="414"/>
      <c r="BQ131" s="414"/>
      <c r="BR131" s="414"/>
      <c r="BS131" s="414"/>
      <c r="BT131" s="414"/>
      <c r="BU131" s="414"/>
      <c r="BV131" s="414"/>
      <c r="BW131" s="414"/>
      <c r="BX131" s="414"/>
      <c r="BY131" s="414"/>
      <c r="BZ131" s="414"/>
      <c r="CA131" s="414"/>
      <c r="CB131" s="414"/>
      <c r="CC131" s="414"/>
    </row>
    <row r="132" spans="4:81" ht="12.75" customHeight="1">
      <c r="D132" s="414"/>
      <c r="H132" s="414"/>
      <c r="I132" s="414"/>
      <c r="Q132" s="414"/>
      <c r="R132" s="414"/>
      <c r="S132" s="414"/>
      <c r="T132" s="414"/>
      <c r="U132" s="414"/>
      <c r="V132" s="414"/>
      <c r="W132" s="414"/>
      <c r="X132" s="414"/>
      <c r="Y132" s="414"/>
      <c r="Z132" s="414"/>
      <c r="AA132" s="414"/>
      <c r="AB132" s="414"/>
      <c r="AC132" s="414"/>
      <c r="AD132" s="414"/>
      <c r="AE132" s="414"/>
      <c r="AF132" s="414"/>
      <c r="AG132" s="414"/>
      <c r="AH132" s="414"/>
      <c r="AI132" s="414"/>
      <c r="AJ132" s="414"/>
      <c r="AK132" s="414"/>
      <c r="AL132" s="414"/>
      <c r="AM132" s="414"/>
      <c r="AN132" s="414"/>
      <c r="AO132" s="414"/>
      <c r="AP132" s="414"/>
      <c r="AQ132" s="414"/>
      <c r="AR132" s="414"/>
      <c r="AS132" s="414"/>
      <c r="AT132" s="414"/>
      <c r="AU132" s="414"/>
      <c r="AV132" s="414"/>
      <c r="AW132" s="414"/>
      <c r="AX132" s="414"/>
      <c r="AY132" s="414"/>
      <c r="AZ132" s="414"/>
      <c r="BA132" s="414"/>
      <c r="BB132" s="414"/>
      <c r="BC132" s="414"/>
      <c r="BD132" s="414"/>
      <c r="BE132" s="414"/>
      <c r="BF132" s="414"/>
      <c r="BG132" s="414"/>
      <c r="BH132" s="414"/>
      <c r="BI132" s="414"/>
      <c r="BJ132" s="414"/>
      <c r="BK132" s="414"/>
      <c r="BL132" s="414"/>
      <c r="BM132" s="414"/>
      <c r="BN132" s="414"/>
      <c r="BO132" s="414"/>
      <c r="BP132" s="414"/>
      <c r="BQ132" s="414"/>
      <c r="BR132" s="414"/>
      <c r="BS132" s="414"/>
      <c r="BT132" s="414"/>
      <c r="BU132" s="414"/>
      <c r="BV132" s="414"/>
      <c r="BW132" s="414"/>
      <c r="BX132" s="414"/>
      <c r="BY132" s="414"/>
      <c r="BZ132" s="414"/>
      <c r="CA132" s="414"/>
      <c r="CB132" s="414"/>
      <c r="CC132" s="414"/>
    </row>
    <row r="133" spans="4:81" ht="12.75" customHeight="1">
      <c r="D133" s="414"/>
      <c r="H133" s="414"/>
      <c r="I133" s="414"/>
      <c r="Q133" s="414"/>
      <c r="R133" s="414"/>
      <c r="S133" s="414"/>
      <c r="T133" s="414"/>
      <c r="U133" s="414"/>
      <c r="V133" s="414"/>
      <c r="W133" s="414"/>
      <c r="X133" s="414"/>
      <c r="Y133" s="414"/>
      <c r="Z133" s="414"/>
      <c r="AA133" s="414"/>
      <c r="AB133" s="414"/>
      <c r="AC133" s="414"/>
      <c r="AD133" s="414"/>
      <c r="AE133" s="414"/>
      <c r="AF133" s="414"/>
      <c r="AG133" s="414"/>
      <c r="AH133" s="414"/>
      <c r="AI133" s="414"/>
      <c r="AJ133" s="414"/>
      <c r="AK133" s="414"/>
      <c r="AL133" s="414"/>
      <c r="AM133" s="414"/>
      <c r="AN133" s="414"/>
      <c r="AO133" s="414"/>
      <c r="AP133" s="414"/>
      <c r="AQ133" s="414"/>
      <c r="AR133" s="414"/>
      <c r="AS133" s="414"/>
      <c r="AT133" s="414"/>
      <c r="AU133" s="414"/>
      <c r="AV133" s="414"/>
      <c r="AW133" s="414"/>
      <c r="AX133" s="414"/>
      <c r="AY133" s="414"/>
      <c r="AZ133" s="414"/>
      <c r="BA133" s="414"/>
      <c r="BB133" s="414"/>
      <c r="BC133" s="414"/>
      <c r="BD133" s="414"/>
      <c r="BE133" s="414"/>
      <c r="BF133" s="414"/>
      <c r="BG133" s="414"/>
      <c r="BH133" s="414"/>
      <c r="BI133" s="414"/>
      <c r="BJ133" s="414"/>
      <c r="BK133" s="414"/>
      <c r="BL133" s="414"/>
      <c r="BM133" s="414"/>
      <c r="BN133" s="414"/>
      <c r="BO133" s="414"/>
      <c r="BP133" s="414"/>
      <c r="BQ133" s="414"/>
      <c r="BR133" s="414"/>
      <c r="BS133" s="414"/>
      <c r="BT133" s="414"/>
      <c r="BU133" s="414"/>
      <c r="BV133" s="414"/>
      <c r="BW133" s="414"/>
      <c r="BX133" s="414"/>
      <c r="BY133" s="414"/>
      <c r="BZ133" s="414"/>
      <c r="CA133" s="414"/>
      <c r="CB133" s="414"/>
      <c r="CC133" s="414"/>
    </row>
    <row r="134" spans="4:81" ht="12.75" customHeight="1">
      <c r="D134" s="414"/>
      <c r="H134" s="414"/>
      <c r="I134" s="414"/>
      <c r="Q134" s="414"/>
      <c r="R134" s="414"/>
      <c r="S134" s="414"/>
      <c r="T134" s="414"/>
      <c r="U134" s="414"/>
      <c r="V134" s="414"/>
      <c r="W134" s="414"/>
      <c r="X134" s="414"/>
      <c r="Y134" s="414"/>
      <c r="Z134" s="414"/>
      <c r="AA134" s="414"/>
      <c r="AB134" s="414"/>
      <c r="AC134" s="414"/>
      <c r="AD134" s="414"/>
      <c r="AE134" s="414"/>
      <c r="AF134" s="414"/>
      <c r="AG134" s="414"/>
      <c r="AH134" s="414"/>
      <c r="AI134" s="414"/>
      <c r="AJ134" s="414"/>
      <c r="AK134" s="414"/>
      <c r="AL134" s="414"/>
      <c r="AM134" s="414"/>
      <c r="AN134" s="414"/>
      <c r="AO134" s="414"/>
      <c r="AP134" s="414"/>
      <c r="AQ134" s="414"/>
      <c r="AR134" s="414"/>
      <c r="AS134" s="414"/>
      <c r="AT134" s="414"/>
      <c r="AU134" s="414"/>
      <c r="AV134" s="414"/>
      <c r="AW134" s="414"/>
      <c r="AX134" s="414"/>
      <c r="AY134" s="414"/>
      <c r="AZ134" s="414"/>
      <c r="BA134" s="414"/>
      <c r="BB134" s="414"/>
      <c r="BC134" s="414"/>
      <c r="BD134" s="414"/>
      <c r="BE134" s="414"/>
      <c r="BF134" s="414"/>
      <c r="BG134" s="414"/>
      <c r="BH134" s="414"/>
      <c r="BI134" s="414"/>
      <c r="BJ134" s="414"/>
      <c r="BK134" s="414"/>
      <c r="BL134" s="414"/>
      <c r="BM134" s="414"/>
      <c r="BN134" s="414"/>
      <c r="BO134" s="414"/>
      <c r="BP134" s="414"/>
      <c r="BQ134" s="414"/>
      <c r="BR134" s="414"/>
      <c r="BS134" s="414"/>
      <c r="BT134" s="414"/>
      <c r="BU134" s="414"/>
      <c r="BV134" s="414"/>
      <c r="BW134" s="414"/>
      <c r="BX134" s="414"/>
      <c r="BY134" s="414"/>
      <c r="BZ134" s="414"/>
      <c r="CA134" s="414"/>
      <c r="CB134" s="414"/>
      <c r="CC134" s="414"/>
    </row>
    <row r="135" spans="4:81" ht="12.75" customHeight="1">
      <c r="D135" s="414"/>
      <c r="H135" s="414"/>
      <c r="I135" s="414"/>
      <c r="Q135" s="414"/>
      <c r="R135" s="414"/>
      <c r="S135" s="414"/>
      <c r="T135" s="414"/>
      <c r="U135" s="414"/>
      <c r="V135" s="414"/>
      <c r="W135" s="414"/>
      <c r="X135" s="414"/>
      <c r="Y135" s="414"/>
      <c r="Z135" s="414"/>
      <c r="AA135" s="414"/>
      <c r="AB135" s="414"/>
      <c r="AC135" s="414"/>
      <c r="AD135" s="414"/>
      <c r="AE135" s="414"/>
      <c r="AF135" s="414"/>
      <c r="AG135" s="414"/>
      <c r="AH135" s="414"/>
      <c r="AI135" s="414"/>
      <c r="AJ135" s="414"/>
      <c r="AK135" s="414"/>
      <c r="AL135" s="414"/>
      <c r="AM135" s="414"/>
      <c r="AN135" s="414"/>
      <c r="AO135" s="414"/>
      <c r="AP135" s="414"/>
      <c r="AQ135" s="414"/>
      <c r="AR135" s="414"/>
      <c r="AS135" s="414"/>
      <c r="AT135" s="414"/>
      <c r="AU135" s="414"/>
      <c r="AV135" s="414"/>
      <c r="AW135" s="414"/>
      <c r="AX135" s="414"/>
      <c r="AY135" s="414"/>
      <c r="AZ135" s="414"/>
      <c r="BA135" s="414"/>
      <c r="BB135" s="414"/>
      <c r="BC135" s="414"/>
      <c r="BD135" s="414"/>
      <c r="BE135" s="414"/>
      <c r="BF135" s="414"/>
      <c r="BG135" s="414"/>
      <c r="BH135" s="414"/>
      <c r="BI135" s="414"/>
      <c r="BJ135" s="414"/>
      <c r="BK135" s="414"/>
      <c r="BL135" s="414"/>
      <c r="BM135" s="414"/>
      <c r="BN135" s="414"/>
      <c r="BO135" s="414"/>
      <c r="BP135" s="414"/>
      <c r="BQ135" s="414"/>
      <c r="BR135" s="414"/>
      <c r="BS135" s="414"/>
      <c r="BT135" s="414"/>
      <c r="BU135" s="414"/>
      <c r="BV135" s="414"/>
      <c r="BW135" s="414"/>
      <c r="BX135" s="414"/>
      <c r="BY135" s="414"/>
      <c r="BZ135" s="414"/>
      <c r="CA135" s="414"/>
      <c r="CB135" s="414"/>
      <c r="CC135" s="414"/>
    </row>
    <row r="136" spans="4:81" ht="12.75" customHeight="1">
      <c r="D136" s="414"/>
      <c r="H136" s="414"/>
      <c r="I136" s="414"/>
      <c r="Q136" s="414"/>
      <c r="R136" s="414"/>
      <c r="S136" s="414"/>
      <c r="T136" s="414"/>
      <c r="U136" s="414"/>
      <c r="V136" s="414"/>
      <c r="W136" s="414"/>
      <c r="X136" s="414"/>
      <c r="Y136" s="414"/>
      <c r="Z136" s="414"/>
      <c r="AA136" s="414"/>
      <c r="AB136" s="414"/>
      <c r="AC136" s="414"/>
      <c r="AD136" s="414"/>
      <c r="AE136" s="414"/>
      <c r="AF136" s="414"/>
      <c r="AG136" s="414"/>
      <c r="AH136" s="414"/>
      <c r="AI136" s="414"/>
      <c r="AJ136" s="414"/>
      <c r="AK136" s="414"/>
      <c r="AL136" s="414"/>
      <c r="AM136" s="414"/>
      <c r="AN136" s="414"/>
      <c r="AO136" s="414"/>
      <c r="AP136" s="414"/>
      <c r="AQ136" s="414"/>
      <c r="AR136" s="414"/>
      <c r="AS136" s="414"/>
      <c r="AT136" s="414"/>
      <c r="AU136" s="414"/>
      <c r="AV136" s="414"/>
      <c r="AW136" s="414"/>
      <c r="AX136" s="414"/>
      <c r="AY136" s="414"/>
      <c r="AZ136" s="414"/>
      <c r="BA136" s="414"/>
      <c r="BB136" s="414"/>
      <c r="BC136" s="414"/>
      <c r="BD136" s="414"/>
      <c r="BE136" s="414"/>
      <c r="BF136" s="414"/>
      <c r="BG136" s="414"/>
      <c r="BH136" s="414"/>
      <c r="BI136" s="414"/>
      <c r="BJ136" s="414"/>
      <c r="BK136" s="414"/>
      <c r="BL136" s="414"/>
      <c r="BM136" s="414"/>
      <c r="BN136" s="414"/>
      <c r="BO136" s="414"/>
      <c r="BP136" s="414"/>
      <c r="BQ136" s="414"/>
      <c r="BR136" s="414"/>
      <c r="BS136" s="414"/>
      <c r="BT136" s="414"/>
      <c r="BU136" s="414"/>
      <c r="BV136" s="414"/>
      <c r="BW136" s="414"/>
      <c r="BX136" s="414"/>
      <c r="BY136" s="414"/>
      <c r="BZ136" s="414"/>
      <c r="CA136" s="414"/>
      <c r="CB136" s="414"/>
      <c r="CC136" s="414"/>
    </row>
    <row r="137" spans="4:81" ht="12.75" customHeight="1">
      <c r="D137" s="414"/>
      <c r="H137" s="414"/>
      <c r="I137" s="414"/>
      <c r="Q137" s="414"/>
      <c r="R137" s="414"/>
      <c r="S137" s="414"/>
      <c r="T137" s="414"/>
      <c r="U137" s="414"/>
      <c r="V137" s="414"/>
      <c r="W137" s="414"/>
      <c r="X137" s="414"/>
      <c r="Y137" s="414"/>
      <c r="Z137" s="414"/>
      <c r="AA137" s="414"/>
      <c r="AB137" s="414"/>
      <c r="AC137" s="414"/>
      <c r="AD137" s="414"/>
      <c r="AE137" s="414"/>
      <c r="AF137" s="414"/>
      <c r="AG137" s="414"/>
      <c r="AH137" s="414"/>
      <c r="AI137" s="414"/>
      <c r="AJ137" s="414"/>
      <c r="AK137" s="414"/>
      <c r="AL137" s="414"/>
      <c r="AM137" s="414"/>
      <c r="AN137" s="414"/>
      <c r="AO137" s="414"/>
      <c r="AP137" s="414"/>
      <c r="AQ137" s="414"/>
      <c r="AR137" s="414"/>
      <c r="AS137" s="414"/>
      <c r="AT137" s="414"/>
      <c r="AU137" s="414"/>
      <c r="AV137" s="414"/>
      <c r="AW137" s="414"/>
      <c r="AX137" s="414"/>
      <c r="AY137" s="414"/>
      <c r="AZ137" s="414"/>
      <c r="BA137" s="414"/>
      <c r="BB137" s="414"/>
      <c r="BC137" s="414"/>
      <c r="BD137" s="414"/>
      <c r="BE137" s="414"/>
      <c r="BF137" s="414"/>
      <c r="BG137" s="414"/>
      <c r="BH137" s="414"/>
      <c r="BI137" s="414"/>
      <c r="BJ137" s="414"/>
      <c r="BK137" s="414"/>
      <c r="BL137" s="414"/>
      <c r="BM137" s="414"/>
      <c r="BN137" s="414"/>
      <c r="BO137" s="414"/>
      <c r="BP137" s="414"/>
      <c r="BQ137" s="414"/>
      <c r="BR137" s="414"/>
      <c r="BS137" s="414"/>
      <c r="BT137" s="414"/>
      <c r="BU137" s="414"/>
      <c r="BV137" s="414"/>
      <c r="BW137" s="414"/>
      <c r="BX137" s="414"/>
      <c r="BY137" s="414"/>
      <c r="BZ137" s="414"/>
      <c r="CA137" s="414"/>
      <c r="CB137" s="414"/>
      <c r="CC137" s="414"/>
    </row>
    <row r="138" spans="4:81" ht="12.75" customHeight="1">
      <c r="D138" s="414"/>
      <c r="H138" s="414"/>
      <c r="I138" s="414"/>
      <c r="Q138" s="414"/>
      <c r="R138" s="414"/>
      <c r="S138" s="414"/>
      <c r="T138" s="414"/>
      <c r="U138" s="414"/>
      <c r="V138" s="414"/>
      <c r="W138" s="414"/>
      <c r="X138" s="414"/>
      <c r="Y138" s="414"/>
      <c r="Z138" s="414"/>
      <c r="AA138" s="414"/>
      <c r="AB138" s="414"/>
      <c r="AC138" s="414"/>
      <c r="AD138" s="414"/>
      <c r="AE138" s="414"/>
      <c r="AF138" s="414"/>
      <c r="AG138" s="414"/>
      <c r="AH138" s="414"/>
      <c r="AI138" s="414"/>
      <c r="AJ138" s="414"/>
      <c r="AK138" s="414"/>
      <c r="AL138" s="414"/>
      <c r="AM138" s="414"/>
      <c r="AN138" s="414"/>
      <c r="AO138" s="414"/>
      <c r="AP138" s="414"/>
      <c r="AQ138" s="414"/>
      <c r="AR138" s="414"/>
      <c r="AS138" s="414"/>
      <c r="AT138" s="414"/>
      <c r="AU138" s="414"/>
      <c r="AV138" s="414"/>
      <c r="AW138" s="414"/>
      <c r="AX138" s="414"/>
      <c r="AY138" s="414"/>
      <c r="AZ138" s="414"/>
      <c r="BA138" s="414"/>
      <c r="BB138" s="414"/>
      <c r="BC138" s="414"/>
      <c r="BD138" s="414"/>
      <c r="BE138" s="414"/>
      <c r="BF138" s="414"/>
      <c r="BG138" s="414"/>
      <c r="BH138" s="414"/>
      <c r="BI138" s="414"/>
      <c r="BJ138" s="414"/>
      <c r="BK138" s="414"/>
      <c r="BL138" s="414"/>
      <c r="BM138" s="414"/>
      <c r="BN138" s="414"/>
      <c r="BO138" s="414"/>
      <c r="BP138" s="414"/>
      <c r="BQ138" s="414"/>
      <c r="BR138" s="414"/>
      <c r="BS138" s="414"/>
      <c r="BT138" s="414"/>
      <c r="BU138" s="414"/>
      <c r="BV138" s="414"/>
      <c r="BW138" s="414"/>
      <c r="BX138" s="414"/>
      <c r="BY138" s="414"/>
      <c r="BZ138" s="414"/>
      <c r="CA138" s="414"/>
      <c r="CB138" s="414"/>
      <c r="CC138" s="414"/>
    </row>
    <row r="139" spans="4:81" ht="12.75" customHeight="1">
      <c r="Q139" s="414"/>
      <c r="R139" s="414"/>
      <c r="S139" s="414"/>
      <c r="T139" s="414"/>
      <c r="U139" s="414"/>
      <c r="V139" s="414"/>
      <c r="W139" s="414"/>
      <c r="X139" s="414"/>
      <c r="Y139" s="414"/>
      <c r="Z139" s="414"/>
      <c r="AA139" s="414"/>
      <c r="AB139" s="414"/>
      <c r="AC139" s="414"/>
      <c r="AD139" s="414"/>
      <c r="AE139" s="414"/>
      <c r="AF139" s="414"/>
      <c r="AG139" s="414"/>
      <c r="AH139" s="414"/>
      <c r="AI139" s="414"/>
      <c r="AJ139" s="414"/>
      <c r="AK139" s="414"/>
      <c r="AL139" s="414"/>
      <c r="AM139" s="414"/>
      <c r="AN139" s="414"/>
      <c r="AO139" s="414"/>
      <c r="AP139" s="414"/>
      <c r="AQ139" s="414"/>
      <c r="AR139" s="414"/>
      <c r="AS139" s="414"/>
      <c r="AT139" s="414"/>
      <c r="AU139" s="414"/>
      <c r="AV139" s="414"/>
      <c r="AW139" s="414"/>
      <c r="AX139" s="414"/>
      <c r="AY139" s="414"/>
      <c r="AZ139" s="414"/>
      <c r="BA139" s="414"/>
      <c r="BB139" s="414"/>
      <c r="BC139" s="414"/>
      <c r="BD139" s="414"/>
      <c r="BE139" s="414"/>
      <c r="BF139" s="414"/>
      <c r="BG139" s="414"/>
      <c r="BH139" s="414"/>
      <c r="BI139" s="414"/>
      <c r="BJ139" s="414"/>
      <c r="BK139" s="414"/>
      <c r="BL139" s="414"/>
      <c r="BM139" s="414"/>
      <c r="BN139" s="414"/>
      <c r="BO139" s="414"/>
      <c r="BP139" s="414"/>
      <c r="BQ139" s="414"/>
      <c r="BR139" s="414"/>
      <c r="BS139" s="414"/>
      <c r="BT139" s="414"/>
      <c r="BU139" s="414"/>
      <c r="BV139" s="414"/>
      <c r="BW139" s="414"/>
      <c r="BX139" s="414"/>
      <c r="BY139" s="414"/>
      <c r="BZ139" s="414"/>
      <c r="CA139" s="414"/>
      <c r="CB139" s="414"/>
      <c r="CC139" s="414"/>
    </row>
    <row r="140" spans="4:81" ht="12.75" customHeight="1">
      <c r="Q140" s="414"/>
      <c r="R140" s="414"/>
      <c r="S140" s="414"/>
      <c r="T140" s="414"/>
      <c r="U140" s="414"/>
      <c r="V140" s="414"/>
      <c r="W140" s="414"/>
      <c r="X140" s="414"/>
      <c r="Y140" s="414"/>
      <c r="Z140" s="414"/>
      <c r="AA140" s="414"/>
      <c r="AB140" s="414"/>
      <c r="AC140" s="414"/>
      <c r="AD140" s="414"/>
      <c r="AE140" s="414"/>
      <c r="AF140" s="414"/>
      <c r="AG140" s="414"/>
      <c r="AH140" s="414"/>
      <c r="AI140" s="414"/>
      <c r="AJ140" s="414"/>
      <c r="AK140" s="414"/>
      <c r="AL140" s="414"/>
      <c r="AM140" s="414"/>
      <c r="AN140" s="414"/>
      <c r="AO140" s="414"/>
      <c r="AP140" s="414"/>
      <c r="AQ140" s="414"/>
      <c r="AR140" s="414"/>
      <c r="AS140" s="414"/>
      <c r="AT140" s="414"/>
      <c r="AU140" s="414"/>
      <c r="AV140" s="414"/>
      <c r="AW140" s="414"/>
      <c r="AX140" s="414"/>
      <c r="AY140" s="414"/>
      <c r="AZ140" s="414"/>
      <c r="BA140" s="414"/>
      <c r="BB140" s="414"/>
      <c r="BC140" s="414"/>
      <c r="BD140" s="414"/>
      <c r="BE140" s="414"/>
      <c r="BF140" s="414"/>
      <c r="BG140" s="414"/>
      <c r="BH140" s="414"/>
      <c r="BI140" s="414"/>
      <c r="BJ140" s="414"/>
      <c r="BK140" s="414"/>
      <c r="BL140" s="414"/>
      <c r="BM140" s="414"/>
      <c r="BN140" s="414"/>
      <c r="BO140" s="414"/>
      <c r="BP140" s="414"/>
      <c r="BQ140" s="414"/>
      <c r="BR140" s="414"/>
      <c r="BS140" s="414"/>
      <c r="BT140" s="414"/>
      <c r="BU140" s="414"/>
      <c r="BV140" s="414"/>
      <c r="BW140" s="414"/>
      <c r="BX140" s="414"/>
      <c r="BY140" s="414"/>
      <c r="BZ140" s="414"/>
      <c r="CA140" s="414"/>
      <c r="CB140" s="414"/>
      <c r="CC140" s="414"/>
    </row>
    <row r="141" spans="4:81" ht="12.75" customHeight="1">
      <c r="Q141" s="414"/>
      <c r="R141" s="414"/>
      <c r="S141" s="414"/>
      <c r="T141" s="414"/>
      <c r="U141" s="414"/>
      <c r="V141" s="414"/>
      <c r="W141" s="414"/>
      <c r="X141" s="414"/>
      <c r="Y141" s="414"/>
      <c r="Z141" s="414"/>
      <c r="AA141" s="414"/>
      <c r="AB141" s="414"/>
      <c r="AC141" s="414"/>
      <c r="AD141" s="414"/>
      <c r="AE141" s="414"/>
      <c r="AF141" s="414"/>
      <c r="AG141" s="414"/>
      <c r="AH141" s="414"/>
      <c r="AI141" s="414"/>
      <c r="AJ141" s="414"/>
      <c r="AK141" s="414"/>
      <c r="AL141" s="414"/>
      <c r="AM141" s="414"/>
      <c r="AN141" s="414"/>
      <c r="AO141" s="414"/>
      <c r="AP141" s="414"/>
      <c r="AQ141" s="414"/>
      <c r="AR141" s="414"/>
      <c r="AS141" s="414"/>
      <c r="AT141" s="414"/>
      <c r="AU141" s="414"/>
      <c r="AV141" s="414"/>
      <c r="AW141" s="414"/>
      <c r="AX141" s="414"/>
      <c r="AY141" s="414"/>
      <c r="AZ141" s="414"/>
      <c r="BA141" s="414"/>
      <c r="BB141" s="414"/>
      <c r="BC141" s="414"/>
      <c r="BD141" s="414"/>
      <c r="BE141" s="414"/>
      <c r="BF141" s="414"/>
      <c r="BG141" s="414"/>
      <c r="BH141" s="414"/>
      <c r="BI141" s="414"/>
      <c r="BJ141" s="414"/>
      <c r="BK141" s="414"/>
      <c r="BL141" s="414"/>
      <c r="BM141" s="414"/>
      <c r="BN141" s="414"/>
      <c r="BO141" s="414"/>
      <c r="BP141" s="414"/>
      <c r="BQ141" s="414"/>
      <c r="BR141" s="414"/>
      <c r="BS141" s="414"/>
      <c r="BT141" s="414"/>
      <c r="BU141" s="414"/>
      <c r="BV141" s="414"/>
      <c r="BW141" s="414"/>
      <c r="BX141" s="414"/>
      <c r="BY141" s="414"/>
      <c r="BZ141" s="414"/>
      <c r="CA141" s="414"/>
      <c r="CB141" s="414"/>
      <c r="CC141" s="414"/>
    </row>
  </sheetData>
  <mergeCells count="4">
    <mergeCell ref="B3:K3"/>
    <mergeCell ref="B4:H4"/>
    <mergeCell ref="I4:K4"/>
    <mergeCell ref="N4:N5"/>
  </mergeCells>
  <conditionalFormatting sqref="P6:CC70">
    <cfRule type="expression" dxfId="17" priority="17">
      <formula>OR(LEN($I6)=0,LEN(P$4)=0)</formula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>
    <tabColor theme="3" tint="0.59999389629810485"/>
  </sheetPr>
  <dimension ref="A1:CC76"/>
  <sheetViews>
    <sheetView showGridLines="0" workbookViewId="0">
      <selection activeCell="P18" sqref="P18"/>
    </sheetView>
  </sheetViews>
  <sheetFormatPr defaultRowHeight="12.75" customHeight="1" outlineLevelCol="1"/>
  <cols>
    <col min="1" max="1" width="2.7109375" style="414" customWidth="1"/>
    <col min="2" max="2" width="11.5703125" style="414" customWidth="1"/>
    <col min="3" max="3" width="13.5703125" style="414" customWidth="1"/>
    <col min="4" max="4" width="10.85546875" style="414" hidden="1" customWidth="1" outlineLevel="1"/>
    <col min="5" max="5" width="12.28515625" style="414" hidden="1" customWidth="1" outlineLevel="1"/>
    <col min="6" max="6" width="9.42578125" style="414" hidden="1" customWidth="1" outlineLevel="1"/>
    <col min="7" max="7" width="13.28515625" style="414" hidden="1" customWidth="1" outlineLevel="1"/>
    <col min="8" max="8" width="9.85546875" style="414" hidden="1" customWidth="1" outlineLevel="1"/>
    <col min="9" max="9" width="10.140625" style="414" hidden="1" customWidth="1" outlineLevel="1"/>
    <col min="10" max="10" width="9.140625" style="414" hidden="1" customWidth="1" outlineLevel="1"/>
    <col min="11" max="11" width="11.28515625" style="414" hidden="1" customWidth="1" outlineLevel="1"/>
    <col min="12" max="12" width="2.7109375" style="414" customWidth="1" collapsed="1"/>
    <col min="13" max="13" width="5.28515625" style="414" customWidth="1"/>
    <col min="14" max="14" width="14.28515625" style="414" customWidth="1"/>
    <col min="15" max="15" width="2.7109375" style="414" customWidth="1"/>
    <col min="16" max="16" width="8.42578125" style="414" bestFit="1" customWidth="1"/>
    <col min="17" max="24" width="8.7109375" style="414" customWidth="1"/>
    <col min="25" max="25" width="9.140625" style="414" bestFit="1" customWidth="1"/>
    <col min="26" max="30" width="8.7109375" style="414" customWidth="1"/>
    <col min="31" max="31" width="9.28515625" style="414" bestFit="1" customWidth="1"/>
    <col min="32" max="32" width="8.7109375" style="414" customWidth="1"/>
    <col min="33" max="34" width="9.28515625" style="414" bestFit="1" customWidth="1"/>
    <col min="35" max="35" width="9.140625" style="414" bestFit="1" customWidth="1"/>
    <col min="36" max="37" width="9.28515625" style="414" bestFit="1" customWidth="1"/>
    <col min="38" max="38" width="8.7109375" style="414" customWidth="1"/>
    <col min="39" max="40" width="9.28515625" style="414" bestFit="1" customWidth="1"/>
    <col min="41" max="41" width="8.7109375" style="414" customWidth="1"/>
    <col min="42" max="42" width="9.5703125" style="414" bestFit="1" customWidth="1"/>
    <col min="43" max="44" width="8.7109375" style="414" customWidth="1"/>
    <col min="45" max="45" width="9.7109375" style="414" bestFit="1" customWidth="1"/>
    <col min="46" max="46" width="10.140625" style="414" bestFit="1" customWidth="1"/>
    <col min="47" max="47" width="10" style="414" bestFit="1" customWidth="1"/>
    <col min="48" max="48" width="10.140625" style="414" bestFit="1" customWidth="1"/>
    <col min="49" max="49" width="9.7109375" style="414" bestFit="1" customWidth="1"/>
    <col min="50" max="50" width="10" style="414" bestFit="1" customWidth="1"/>
    <col min="51" max="51" width="9.7109375" style="414" bestFit="1" customWidth="1"/>
    <col min="52" max="52" width="9.5703125" style="414" bestFit="1" customWidth="1"/>
    <col min="53" max="53" width="9.28515625" style="414" bestFit="1" customWidth="1"/>
    <col min="54" max="55" width="11.28515625" style="414" bestFit="1" customWidth="1"/>
    <col min="56" max="56" width="9.7109375" style="414" bestFit="1" customWidth="1"/>
    <col min="57" max="57" width="9.28515625" style="414" bestFit="1" customWidth="1"/>
    <col min="58" max="58" width="10.85546875" style="414" bestFit="1" customWidth="1"/>
    <col min="59" max="59" width="9.7109375" style="414" bestFit="1" customWidth="1"/>
    <col min="60" max="60" width="11.28515625" style="414" bestFit="1" customWidth="1"/>
    <col min="61" max="61" width="8.7109375" style="414" customWidth="1"/>
    <col min="62" max="62" width="9.5703125" style="414" bestFit="1" customWidth="1"/>
    <col min="63" max="63" width="10" style="414" bestFit="1" customWidth="1"/>
    <col min="64" max="64" width="10.140625" style="414" bestFit="1" customWidth="1"/>
    <col min="65" max="65" width="10.85546875" style="414" bestFit="1" customWidth="1"/>
    <col min="66" max="66" width="9.7109375" style="414" bestFit="1" customWidth="1"/>
    <col min="67" max="67" width="11.28515625" style="414" bestFit="1" customWidth="1"/>
    <col min="68" max="68" width="9.5703125" style="414" bestFit="1" customWidth="1"/>
    <col min="69" max="86" width="8.7109375" style="414" customWidth="1"/>
    <col min="87" max="257" width="9.140625" style="414"/>
    <col min="258" max="258" width="2.7109375" style="414" customWidth="1"/>
    <col min="259" max="260" width="11.5703125" style="414" customWidth="1"/>
    <col min="261" max="261" width="7.28515625" style="414" customWidth="1"/>
    <col min="262" max="262" width="9.85546875" style="414" customWidth="1"/>
    <col min="263" max="263" width="10.140625" style="414" customWidth="1"/>
    <col min="264" max="264" width="11.28515625" style="414" customWidth="1"/>
    <col min="265" max="265" width="2.7109375" style="414" customWidth="1"/>
    <col min="266" max="266" width="9.42578125" style="414" customWidth="1"/>
    <col min="267" max="267" width="2.7109375" style="414" customWidth="1"/>
    <col min="268" max="271" width="0" style="414" hidden="1" customWidth="1"/>
    <col min="272" max="272" width="10" style="414" customWidth="1"/>
    <col min="273" max="342" width="6.7109375" style="414" customWidth="1"/>
    <col min="343" max="513" width="9.140625" style="414"/>
    <col min="514" max="514" width="2.7109375" style="414" customWidth="1"/>
    <col min="515" max="516" width="11.5703125" style="414" customWidth="1"/>
    <col min="517" max="517" width="7.28515625" style="414" customWidth="1"/>
    <col min="518" max="518" width="9.85546875" style="414" customWidth="1"/>
    <col min="519" max="519" width="10.140625" style="414" customWidth="1"/>
    <col min="520" max="520" width="11.28515625" style="414" customWidth="1"/>
    <col min="521" max="521" width="2.7109375" style="414" customWidth="1"/>
    <col min="522" max="522" width="9.42578125" style="414" customWidth="1"/>
    <col min="523" max="523" width="2.7109375" style="414" customWidth="1"/>
    <col min="524" max="527" width="0" style="414" hidden="1" customWidth="1"/>
    <col min="528" max="528" width="10" style="414" customWidth="1"/>
    <col min="529" max="598" width="6.7109375" style="414" customWidth="1"/>
    <col min="599" max="769" width="9.140625" style="414"/>
    <col min="770" max="770" width="2.7109375" style="414" customWidth="1"/>
    <col min="771" max="772" width="11.5703125" style="414" customWidth="1"/>
    <col min="773" max="773" width="7.28515625" style="414" customWidth="1"/>
    <col min="774" max="774" width="9.85546875" style="414" customWidth="1"/>
    <col min="775" max="775" width="10.140625" style="414" customWidth="1"/>
    <col min="776" max="776" width="11.28515625" style="414" customWidth="1"/>
    <col min="777" max="777" width="2.7109375" style="414" customWidth="1"/>
    <col min="778" max="778" width="9.42578125" style="414" customWidth="1"/>
    <col min="779" max="779" width="2.7109375" style="414" customWidth="1"/>
    <col min="780" max="783" width="0" style="414" hidden="1" customWidth="1"/>
    <col min="784" max="784" width="10" style="414" customWidth="1"/>
    <col min="785" max="854" width="6.7109375" style="414" customWidth="1"/>
    <col min="855" max="1025" width="9.140625" style="414"/>
    <col min="1026" max="1026" width="2.7109375" style="414" customWidth="1"/>
    <col min="1027" max="1028" width="11.5703125" style="414" customWidth="1"/>
    <col min="1029" max="1029" width="7.28515625" style="414" customWidth="1"/>
    <col min="1030" max="1030" width="9.85546875" style="414" customWidth="1"/>
    <col min="1031" max="1031" width="10.140625" style="414" customWidth="1"/>
    <col min="1032" max="1032" width="11.28515625" style="414" customWidth="1"/>
    <col min="1033" max="1033" width="2.7109375" style="414" customWidth="1"/>
    <col min="1034" max="1034" width="9.42578125" style="414" customWidth="1"/>
    <col min="1035" max="1035" width="2.7109375" style="414" customWidth="1"/>
    <col min="1036" max="1039" width="0" style="414" hidden="1" customWidth="1"/>
    <col min="1040" max="1040" width="10" style="414" customWidth="1"/>
    <col min="1041" max="1110" width="6.7109375" style="414" customWidth="1"/>
    <col min="1111" max="1281" width="9.140625" style="414"/>
    <col min="1282" max="1282" width="2.7109375" style="414" customWidth="1"/>
    <col min="1283" max="1284" width="11.5703125" style="414" customWidth="1"/>
    <col min="1285" max="1285" width="7.28515625" style="414" customWidth="1"/>
    <col min="1286" max="1286" width="9.85546875" style="414" customWidth="1"/>
    <col min="1287" max="1287" width="10.140625" style="414" customWidth="1"/>
    <col min="1288" max="1288" width="11.28515625" style="414" customWidth="1"/>
    <col min="1289" max="1289" width="2.7109375" style="414" customWidth="1"/>
    <col min="1290" max="1290" width="9.42578125" style="414" customWidth="1"/>
    <col min="1291" max="1291" width="2.7109375" style="414" customWidth="1"/>
    <col min="1292" max="1295" width="0" style="414" hidden="1" customWidth="1"/>
    <col min="1296" max="1296" width="10" style="414" customWidth="1"/>
    <col min="1297" max="1366" width="6.7109375" style="414" customWidth="1"/>
    <col min="1367" max="1537" width="9.140625" style="414"/>
    <col min="1538" max="1538" width="2.7109375" style="414" customWidth="1"/>
    <col min="1539" max="1540" width="11.5703125" style="414" customWidth="1"/>
    <col min="1541" max="1541" width="7.28515625" style="414" customWidth="1"/>
    <col min="1542" max="1542" width="9.85546875" style="414" customWidth="1"/>
    <col min="1543" max="1543" width="10.140625" style="414" customWidth="1"/>
    <col min="1544" max="1544" width="11.28515625" style="414" customWidth="1"/>
    <col min="1545" max="1545" width="2.7109375" style="414" customWidth="1"/>
    <col min="1546" max="1546" width="9.42578125" style="414" customWidth="1"/>
    <col min="1547" max="1547" width="2.7109375" style="414" customWidth="1"/>
    <col min="1548" max="1551" width="0" style="414" hidden="1" customWidth="1"/>
    <col min="1552" max="1552" width="10" style="414" customWidth="1"/>
    <col min="1553" max="1622" width="6.7109375" style="414" customWidth="1"/>
    <col min="1623" max="1793" width="9.140625" style="414"/>
    <col min="1794" max="1794" width="2.7109375" style="414" customWidth="1"/>
    <col min="1795" max="1796" width="11.5703125" style="414" customWidth="1"/>
    <col min="1797" max="1797" width="7.28515625" style="414" customWidth="1"/>
    <col min="1798" max="1798" width="9.85546875" style="414" customWidth="1"/>
    <col min="1799" max="1799" width="10.140625" style="414" customWidth="1"/>
    <col min="1800" max="1800" width="11.28515625" style="414" customWidth="1"/>
    <col min="1801" max="1801" width="2.7109375" style="414" customWidth="1"/>
    <col min="1802" max="1802" width="9.42578125" style="414" customWidth="1"/>
    <col min="1803" max="1803" width="2.7109375" style="414" customWidth="1"/>
    <col min="1804" max="1807" width="0" style="414" hidden="1" customWidth="1"/>
    <col min="1808" max="1808" width="10" style="414" customWidth="1"/>
    <col min="1809" max="1878" width="6.7109375" style="414" customWidth="1"/>
    <col min="1879" max="2049" width="9.140625" style="414"/>
    <col min="2050" max="2050" width="2.7109375" style="414" customWidth="1"/>
    <col min="2051" max="2052" width="11.5703125" style="414" customWidth="1"/>
    <col min="2053" max="2053" width="7.28515625" style="414" customWidth="1"/>
    <col min="2054" max="2054" width="9.85546875" style="414" customWidth="1"/>
    <col min="2055" max="2055" width="10.140625" style="414" customWidth="1"/>
    <col min="2056" max="2056" width="11.28515625" style="414" customWidth="1"/>
    <col min="2057" max="2057" width="2.7109375" style="414" customWidth="1"/>
    <col min="2058" max="2058" width="9.42578125" style="414" customWidth="1"/>
    <col min="2059" max="2059" width="2.7109375" style="414" customWidth="1"/>
    <col min="2060" max="2063" width="0" style="414" hidden="1" customWidth="1"/>
    <col min="2064" max="2064" width="10" style="414" customWidth="1"/>
    <col min="2065" max="2134" width="6.7109375" style="414" customWidth="1"/>
    <col min="2135" max="2305" width="9.140625" style="414"/>
    <col min="2306" max="2306" width="2.7109375" style="414" customWidth="1"/>
    <col min="2307" max="2308" width="11.5703125" style="414" customWidth="1"/>
    <col min="2309" max="2309" width="7.28515625" style="414" customWidth="1"/>
    <col min="2310" max="2310" width="9.85546875" style="414" customWidth="1"/>
    <col min="2311" max="2311" width="10.140625" style="414" customWidth="1"/>
    <col min="2312" max="2312" width="11.28515625" style="414" customWidth="1"/>
    <col min="2313" max="2313" width="2.7109375" style="414" customWidth="1"/>
    <col min="2314" max="2314" width="9.42578125" style="414" customWidth="1"/>
    <col min="2315" max="2315" width="2.7109375" style="414" customWidth="1"/>
    <col min="2316" max="2319" width="0" style="414" hidden="1" customWidth="1"/>
    <col min="2320" max="2320" width="10" style="414" customWidth="1"/>
    <col min="2321" max="2390" width="6.7109375" style="414" customWidth="1"/>
    <col min="2391" max="2561" width="9.140625" style="414"/>
    <col min="2562" max="2562" width="2.7109375" style="414" customWidth="1"/>
    <col min="2563" max="2564" width="11.5703125" style="414" customWidth="1"/>
    <col min="2565" max="2565" width="7.28515625" style="414" customWidth="1"/>
    <col min="2566" max="2566" width="9.85546875" style="414" customWidth="1"/>
    <col min="2567" max="2567" width="10.140625" style="414" customWidth="1"/>
    <col min="2568" max="2568" width="11.28515625" style="414" customWidth="1"/>
    <col min="2569" max="2569" width="2.7109375" style="414" customWidth="1"/>
    <col min="2570" max="2570" width="9.42578125" style="414" customWidth="1"/>
    <col min="2571" max="2571" width="2.7109375" style="414" customWidth="1"/>
    <col min="2572" max="2575" width="0" style="414" hidden="1" customWidth="1"/>
    <col min="2576" max="2576" width="10" style="414" customWidth="1"/>
    <col min="2577" max="2646" width="6.7109375" style="414" customWidth="1"/>
    <col min="2647" max="2817" width="9.140625" style="414"/>
    <col min="2818" max="2818" width="2.7109375" style="414" customWidth="1"/>
    <col min="2819" max="2820" width="11.5703125" style="414" customWidth="1"/>
    <col min="2821" max="2821" width="7.28515625" style="414" customWidth="1"/>
    <col min="2822" max="2822" width="9.85546875" style="414" customWidth="1"/>
    <col min="2823" max="2823" width="10.140625" style="414" customWidth="1"/>
    <col min="2824" max="2824" width="11.28515625" style="414" customWidth="1"/>
    <col min="2825" max="2825" width="2.7109375" style="414" customWidth="1"/>
    <col min="2826" max="2826" width="9.42578125" style="414" customWidth="1"/>
    <col min="2827" max="2827" width="2.7109375" style="414" customWidth="1"/>
    <col min="2828" max="2831" width="0" style="414" hidden="1" customWidth="1"/>
    <col min="2832" max="2832" width="10" style="414" customWidth="1"/>
    <col min="2833" max="2902" width="6.7109375" style="414" customWidth="1"/>
    <col min="2903" max="3073" width="9.140625" style="414"/>
    <col min="3074" max="3074" width="2.7109375" style="414" customWidth="1"/>
    <col min="3075" max="3076" width="11.5703125" style="414" customWidth="1"/>
    <col min="3077" max="3077" width="7.28515625" style="414" customWidth="1"/>
    <col min="3078" max="3078" width="9.85546875" style="414" customWidth="1"/>
    <col min="3079" max="3079" width="10.140625" style="414" customWidth="1"/>
    <col min="3080" max="3080" width="11.28515625" style="414" customWidth="1"/>
    <col min="3081" max="3081" width="2.7109375" style="414" customWidth="1"/>
    <col min="3082" max="3082" width="9.42578125" style="414" customWidth="1"/>
    <col min="3083" max="3083" width="2.7109375" style="414" customWidth="1"/>
    <col min="3084" max="3087" width="0" style="414" hidden="1" customWidth="1"/>
    <col min="3088" max="3088" width="10" style="414" customWidth="1"/>
    <col min="3089" max="3158" width="6.7109375" style="414" customWidth="1"/>
    <col min="3159" max="3329" width="9.140625" style="414"/>
    <col min="3330" max="3330" width="2.7109375" style="414" customWidth="1"/>
    <col min="3331" max="3332" width="11.5703125" style="414" customWidth="1"/>
    <col min="3333" max="3333" width="7.28515625" style="414" customWidth="1"/>
    <col min="3334" max="3334" width="9.85546875" style="414" customWidth="1"/>
    <col min="3335" max="3335" width="10.140625" style="414" customWidth="1"/>
    <col min="3336" max="3336" width="11.28515625" style="414" customWidth="1"/>
    <col min="3337" max="3337" width="2.7109375" style="414" customWidth="1"/>
    <col min="3338" max="3338" width="9.42578125" style="414" customWidth="1"/>
    <col min="3339" max="3339" width="2.7109375" style="414" customWidth="1"/>
    <col min="3340" max="3343" width="0" style="414" hidden="1" customWidth="1"/>
    <col min="3344" max="3344" width="10" style="414" customWidth="1"/>
    <col min="3345" max="3414" width="6.7109375" style="414" customWidth="1"/>
    <col min="3415" max="3585" width="9.140625" style="414"/>
    <col min="3586" max="3586" width="2.7109375" style="414" customWidth="1"/>
    <col min="3587" max="3588" width="11.5703125" style="414" customWidth="1"/>
    <col min="3589" max="3589" width="7.28515625" style="414" customWidth="1"/>
    <col min="3590" max="3590" width="9.85546875" style="414" customWidth="1"/>
    <col min="3591" max="3591" width="10.140625" style="414" customWidth="1"/>
    <col min="3592" max="3592" width="11.28515625" style="414" customWidth="1"/>
    <col min="3593" max="3593" width="2.7109375" style="414" customWidth="1"/>
    <col min="3594" max="3594" width="9.42578125" style="414" customWidth="1"/>
    <col min="3595" max="3595" width="2.7109375" style="414" customWidth="1"/>
    <col min="3596" max="3599" width="0" style="414" hidden="1" customWidth="1"/>
    <col min="3600" max="3600" width="10" style="414" customWidth="1"/>
    <col min="3601" max="3670" width="6.7109375" style="414" customWidth="1"/>
    <col min="3671" max="3841" width="9.140625" style="414"/>
    <col min="3842" max="3842" width="2.7109375" style="414" customWidth="1"/>
    <col min="3843" max="3844" width="11.5703125" style="414" customWidth="1"/>
    <col min="3845" max="3845" width="7.28515625" style="414" customWidth="1"/>
    <col min="3846" max="3846" width="9.85546875" style="414" customWidth="1"/>
    <col min="3847" max="3847" width="10.140625" style="414" customWidth="1"/>
    <col min="3848" max="3848" width="11.28515625" style="414" customWidth="1"/>
    <col min="3849" max="3849" width="2.7109375" style="414" customWidth="1"/>
    <col min="3850" max="3850" width="9.42578125" style="414" customWidth="1"/>
    <col min="3851" max="3851" width="2.7109375" style="414" customWidth="1"/>
    <col min="3852" max="3855" width="0" style="414" hidden="1" customWidth="1"/>
    <col min="3856" max="3856" width="10" style="414" customWidth="1"/>
    <col min="3857" max="3926" width="6.7109375" style="414" customWidth="1"/>
    <col min="3927" max="4097" width="9.140625" style="414"/>
    <col min="4098" max="4098" width="2.7109375" style="414" customWidth="1"/>
    <col min="4099" max="4100" width="11.5703125" style="414" customWidth="1"/>
    <col min="4101" max="4101" width="7.28515625" style="414" customWidth="1"/>
    <col min="4102" max="4102" width="9.85546875" style="414" customWidth="1"/>
    <col min="4103" max="4103" width="10.140625" style="414" customWidth="1"/>
    <col min="4104" max="4104" width="11.28515625" style="414" customWidth="1"/>
    <col min="4105" max="4105" width="2.7109375" style="414" customWidth="1"/>
    <col min="4106" max="4106" width="9.42578125" style="414" customWidth="1"/>
    <col min="4107" max="4107" width="2.7109375" style="414" customWidth="1"/>
    <col min="4108" max="4111" width="0" style="414" hidden="1" customWidth="1"/>
    <col min="4112" max="4112" width="10" style="414" customWidth="1"/>
    <col min="4113" max="4182" width="6.7109375" style="414" customWidth="1"/>
    <col min="4183" max="4353" width="9.140625" style="414"/>
    <col min="4354" max="4354" width="2.7109375" style="414" customWidth="1"/>
    <col min="4355" max="4356" width="11.5703125" style="414" customWidth="1"/>
    <col min="4357" max="4357" width="7.28515625" style="414" customWidth="1"/>
    <col min="4358" max="4358" width="9.85546875" style="414" customWidth="1"/>
    <col min="4359" max="4359" width="10.140625" style="414" customWidth="1"/>
    <col min="4360" max="4360" width="11.28515625" style="414" customWidth="1"/>
    <col min="4361" max="4361" width="2.7109375" style="414" customWidth="1"/>
    <col min="4362" max="4362" width="9.42578125" style="414" customWidth="1"/>
    <col min="4363" max="4363" width="2.7109375" style="414" customWidth="1"/>
    <col min="4364" max="4367" width="0" style="414" hidden="1" customWidth="1"/>
    <col min="4368" max="4368" width="10" style="414" customWidth="1"/>
    <col min="4369" max="4438" width="6.7109375" style="414" customWidth="1"/>
    <col min="4439" max="4609" width="9.140625" style="414"/>
    <col min="4610" max="4610" width="2.7109375" style="414" customWidth="1"/>
    <col min="4611" max="4612" width="11.5703125" style="414" customWidth="1"/>
    <col min="4613" max="4613" width="7.28515625" style="414" customWidth="1"/>
    <col min="4614" max="4614" width="9.85546875" style="414" customWidth="1"/>
    <col min="4615" max="4615" width="10.140625" style="414" customWidth="1"/>
    <col min="4616" max="4616" width="11.28515625" style="414" customWidth="1"/>
    <col min="4617" max="4617" width="2.7109375" style="414" customWidth="1"/>
    <col min="4618" max="4618" width="9.42578125" style="414" customWidth="1"/>
    <col min="4619" max="4619" width="2.7109375" style="414" customWidth="1"/>
    <col min="4620" max="4623" width="0" style="414" hidden="1" customWidth="1"/>
    <col min="4624" max="4624" width="10" style="414" customWidth="1"/>
    <col min="4625" max="4694" width="6.7109375" style="414" customWidth="1"/>
    <col min="4695" max="4865" width="9.140625" style="414"/>
    <col min="4866" max="4866" width="2.7109375" style="414" customWidth="1"/>
    <col min="4867" max="4868" width="11.5703125" style="414" customWidth="1"/>
    <col min="4869" max="4869" width="7.28515625" style="414" customWidth="1"/>
    <col min="4870" max="4870" width="9.85546875" style="414" customWidth="1"/>
    <col min="4871" max="4871" width="10.140625" style="414" customWidth="1"/>
    <col min="4872" max="4872" width="11.28515625" style="414" customWidth="1"/>
    <col min="4873" max="4873" width="2.7109375" style="414" customWidth="1"/>
    <col min="4874" max="4874" width="9.42578125" style="414" customWidth="1"/>
    <col min="4875" max="4875" width="2.7109375" style="414" customWidth="1"/>
    <col min="4876" max="4879" width="0" style="414" hidden="1" customWidth="1"/>
    <col min="4880" max="4880" width="10" style="414" customWidth="1"/>
    <col min="4881" max="4950" width="6.7109375" style="414" customWidth="1"/>
    <col min="4951" max="5121" width="9.140625" style="414"/>
    <col min="5122" max="5122" width="2.7109375" style="414" customWidth="1"/>
    <col min="5123" max="5124" width="11.5703125" style="414" customWidth="1"/>
    <col min="5125" max="5125" width="7.28515625" style="414" customWidth="1"/>
    <col min="5126" max="5126" width="9.85546875" style="414" customWidth="1"/>
    <col min="5127" max="5127" width="10.140625" style="414" customWidth="1"/>
    <col min="5128" max="5128" width="11.28515625" style="414" customWidth="1"/>
    <col min="5129" max="5129" width="2.7109375" style="414" customWidth="1"/>
    <col min="5130" max="5130" width="9.42578125" style="414" customWidth="1"/>
    <col min="5131" max="5131" width="2.7109375" style="414" customWidth="1"/>
    <col min="5132" max="5135" width="0" style="414" hidden="1" customWidth="1"/>
    <col min="5136" max="5136" width="10" style="414" customWidth="1"/>
    <col min="5137" max="5206" width="6.7109375" style="414" customWidth="1"/>
    <col min="5207" max="5377" width="9.140625" style="414"/>
    <col min="5378" max="5378" width="2.7109375" style="414" customWidth="1"/>
    <col min="5379" max="5380" width="11.5703125" style="414" customWidth="1"/>
    <col min="5381" max="5381" width="7.28515625" style="414" customWidth="1"/>
    <col min="5382" max="5382" width="9.85546875" style="414" customWidth="1"/>
    <col min="5383" max="5383" width="10.140625" style="414" customWidth="1"/>
    <col min="5384" max="5384" width="11.28515625" style="414" customWidth="1"/>
    <col min="5385" max="5385" width="2.7109375" style="414" customWidth="1"/>
    <col min="5386" max="5386" width="9.42578125" style="414" customWidth="1"/>
    <col min="5387" max="5387" width="2.7109375" style="414" customWidth="1"/>
    <col min="5388" max="5391" width="0" style="414" hidden="1" customWidth="1"/>
    <col min="5392" max="5392" width="10" style="414" customWidth="1"/>
    <col min="5393" max="5462" width="6.7109375" style="414" customWidth="1"/>
    <col min="5463" max="5633" width="9.140625" style="414"/>
    <col min="5634" max="5634" width="2.7109375" style="414" customWidth="1"/>
    <col min="5635" max="5636" width="11.5703125" style="414" customWidth="1"/>
    <col min="5637" max="5637" width="7.28515625" style="414" customWidth="1"/>
    <col min="5638" max="5638" width="9.85546875" style="414" customWidth="1"/>
    <col min="5639" max="5639" width="10.140625" style="414" customWidth="1"/>
    <col min="5640" max="5640" width="11.28515625" style="414" customWidth="1"/>
    <col min="5641" max="5641" width="2.7109375" style="414" customWidth="1"/>
    <col min="5642" max="5642" width="9.42578125" style="414" customWidth="1"/>
    <col min="5643" max="5643" width="2.7109375" style="414" customWidth="1"/>
    <col min="5644" max="5647" width="0" style="414" hidden="1" customWidth="1"/>
    <col min="5648" max="5648" width="10" style="414" customWidth="1"/>
    <col min="5649" max="5718" width="6.7109375" style="414" customWidth="1"/>
    <col min="5719" max="5889" width="9.140625" style="414"/>
    <col min="5890" max="5890" width="2.7109375" style="414" customWidth="1"/>
    <col min="5891" max="5892" width="11.5703125" style="414" customWidth="1"/>
    <col min="5893" max="5893" width="7.28515625" style="414" customWidth="1"/>
    <col min="5894" max="5894" width="9.85546875" style="414" customWidth="1"/>
    <col min="5895" max="5895" width="10.140625" style="414" customWidth="1"/>
    <col min="5896" max="5896" width="11.28515625" style="414" customWidth="1"/>
    <col min="5897" max="5897" width="2.7109375" style="414" customWidth="1"/>
    <col min="5898" max="5898" width="9.42578125" style="414" customWidth="1"/>
    <col min="5899" max="5899" width="2.7109375" style="414" customWidth="1"/>
    <col min="5900" max="5903" width="0" style="414" hidden="1" customWidth="1"/>
    <col min="5904" max="5904" width="10" style="414" customWidth="1"/>
    <col min="5905" max="5974" width="6.7109375" style="414" customWidth="1"/>
    <col min="5975" max="6145" width="9.140625" style="414"/>
    <col min="6146" max="6146" width="2.7109375" style="414" customWidth="1"/>
    <col min="6147" max="6148" width="11.5703125" style="414" customWidth="1"/>
    <col min="6149" max="6149" width="7.28515625" style="414" customWidth="1"/>
    <col min="6150" max="6150" width="9.85546875" style="414" customWidth="1"/>
    <col min="6151" max="6151" width="10.140625" style="414" customWidth="1"/>
    <col min="6152" max="6152" width="11.28515625" style="414" customWidth="1"/>
    <col min="6153" max="6153" width="2.7109375" style="414" customWidth="1"/>
    <col min="6154" max="6154" width="9.42578125" style="414" customWidth="1"/>
    <col min="6155" max="6155" width="2.7109375" style="414" customWidth="1"/>
    <col min="6156" max="6159" width="0" style="414" hidden="1" customWidth="1"/>
    <col min="6160" max="6160" width="10" style="414" customWidth="1"/>
    <col min="6161" max="6230" width="6.7109375" style="414" customWidth="1"/>
    <col min="6231" max="6401" width="9.140625" style="414"/>
    <col min="6402" max="6402" width="2.7109375" style="414" customWidth="1"/>
    <col min="6403" max="6404" width="11.5703125" style="414" customWidth="1"/>
    <col min="6405" max="6405" width="7.28515625" style="414" customWidth="1"/>
    <col min="6406" max="6406" width="9.85546875" style="414" customWidth="1"/>
    <col min="6407" max="6407" width="10.140625" style="414" customWidth="1"/>
    <col min="6408" max="6408" width="11.28515625" style="414" customWidth="1"/>
    <col min="6409" max="6409" width="2.7109375" style="414" customWidth="1"/>
    <col min="6410" max="6410" width="9.42578125" style="414" customWidth="1"/>
    <col min="6411" max="6411" width="2.7109375" style="414" customWidth="1"/>
    <col min="6412" max="6415" width="0" style="414" hidden="1" customWidth="1"/>
    <col min="6416" max="6416" width="10" style="414" customWidth="1"/>
    <col min="6417" max="6486" width="6.7109375" style="414" customWidth="1"/>
    <col min="6487" max="6657" width="9.140625" style="414"/>
    <col min="6658" max="6658" width="2.7109375" style="414" customWidth="1"/>
    <col min="6659" max="6660" width="11.5703125" style="414" customWidth="1"/>
    <col min="6661" max="6661" width="7.28515625" style="414" customWidth="1"/>
    <col min="6662" max="6662" width="9.85546875" style="414" customWidth="1"/>
    <col min="6663" max="6663" width="10.140625" style="414" customWidth="1"/>
    <col min="6664" max="6664" width="11.28515625" style="414" customWidth="1"/>
    <col min="6665" max="6665" width="2.7109375" style="414" customWidth="1"/>
    <col min="6666" max="6666" width="9.42578125" style="414" customWidth="1"/>
    <col min="6667" max="6667" width="2.7109375" style="414" customWidth="1"/>
    <col min="6668" max="6671" width="0" style="414" hidden="1" customWidth="1"/>
    <col min="6672" max="6672" width="10" style="414" customWidth="1"/>
    <col min="6673" max="6742" width="6.7109375" style="414" customWidth="1"/>
    <col min="6743" max="6913" width="9.140625" style="414"/>
    <col min="6914" max="6914" width="2.7109375" style="414" customWidth="1"/>
    <col min="6915" max="6916" width="11.5703125" style="414" customWidth="1"/>
    <col min="6917" max="6917" width="7.28515625" style="414" customWidth="1"/>
    <col min="6918" max="6918" width="9.85546875" style="414" customWidth="1"/>
    <col min="6919" max="6919" width="10.140625" style="414" customWidth="1"/>
    <col min="6920" max="6920" width="11.28515625" style="414" customWidth="1"/>
    <col min="6921" max="6921" width="2.7109375" style="414" customWidth="1"/>
    <col min="6922" max="6922" width="9.42578125" style="414" customWidth="1"/>
    <col min="6923" max="6923" width="2.7109375" style="414" customWidth="1"/>
    <col min="6924" max="6927" width="0" style="414" hidden="1" customWidth="1"/>
    <col min="6928" max="6928" width="10" style="414" customWidth="1"/>
    <col min="6929" max="6998" width="6.7109375" style="414" customWidth="1"/>
    <col min="6999" max="7169" width="9.140625" style="414"/>
    <col min="7170" max="7170" width="2.7109375" style="414" customWidth="1"/>
    <col min="7171" max="7172" width="11.5703125" style="414" customWidth="1"/>
    <col min="7173" max="7173" width="7.28515625" style="414" customWidth="1"/>
    <col min="7174" max="7174" width="9.85546875" style="414" customWidth="1"/>
    <col min="7175" max="7175" width="10.140625" style="414" customWidth="1"/>
    <col min="7176" max="7176" width="11.28515625" style="414" customWidth="1"/>
    <col min="7177" max="7177" width="2.7109375" style="414" customWidth="1"/>
    <col min="7178" max="7178" width="9.42578125" style="414" customWidth="1"/>
    <col min="7179" max="7179" width="2.7109375" style="414" customWidth="1"/>
    <col min="7180" max="7183" width="0" style="414" hidden="1" customWidth="1"/>
    <col min="7184" max="7184" width="10" style="414" customWidth="1"/>
    <col min="7185" max="7254" width="6.7109375" style="414" customWidth="1"/>
    <col min="7255" max="7425" width="9.140625" style="414"/>
    <col min="7426" max="7426" width="2.7109375" style="414" customWidth="1"/>
    <col min="7427" max="7428" width="11.5703125" style="414" customWidth="1"/>
    <col min="7429" max="7429" width="7.28515625" style="414" customWidth="1"/>
    <col min="7430" max="7430" width="9.85546875" style="414" customWidth="1"/>
    <col min="7431" max="7431" width="10.140625" style="414" customWidth="1"/>
    <col min="7432" max="7432" width="11.28515625" style="414" customWidth="1"/>
    <col min="7433" max="7433" width="2.7109375" style="414" customWidth="1"/>
    <col min="7434" max="7434" width="9.42578125" style="414" customWidth="1"/>
    <col min="7435" max="7435" width="2.7109375" style="414" customWidth="1"/>
    <col min="7436" max="7439" width="0" style="414" hidden="1" customWidth="1"/>
    <col min="7440" max="7440" width="10" style="414" customWidth="1"/>
    <col min="7441" max="7510" width="6.7109375" style="414" customWidth="1"/>
    <col min="7511" max="7681" width="9.140625" style="414"/>
    <col min="7682" max="7682" width="2.7109375" style="414" customWidth="1"/>
    <col min="7683" max="7684" width="11.5703125" style="414" customWidth="1"/>
    <col min="7685" max="7685" width="7.28515625" style="414" customWidth="1"/>
    <col min="7686" max="7686" width="9.85546875" style="414" customWidth="1"/>
    <col min="7687" max="7687" width="10.140625" style="414" customWidth="1"/>
    <col min="7688" max="7688" width="11.28515625" style="414" customWidth="1"/>
    <col min="7689" max="7689" width="2.7109375" style="414" customWidth="1"/>
    <col min="7690" max="7690" width="9.42578125" style="414" customWidth="1"/>
    <col min="7691" max="7691" width="2.7109375" style="414" customWidth="1"/>
    <col min="7692" max="7695" width="0" style="414" hidden="1" customWidth="1"/>
    <col min="7696" max="7696" width="10" style="414" customWidth="1"/>
    <col min="7697" max="7766" width="6.7109375" style="414" customWidth="1"/>
    <col min="7767" max="7937" width="9.140625" style="414"/>
    <col min="7938" max="7938" width="2.7109375" style="414" customWidth="1"/>
    <col min="7939" max="7940" width="11.5703125" style="414" customWidth="1"/>
    <col min="7941" max="7941" width="7.28515625" style="414" customWidth="1"/>
    <col min="7942" max="7942" width="9.85546875" style="414" customWidth="1"/>
    <col min="7943" max="7943" width="10.140625" style="414" customWidth="1"/>
    <col min="7944" max="7944" width="11.28515625" style="414" customWidth="1"/>
    <col min="7945" max="7945" width="2.7109375" style="414" customWidth="1"/>
    <col min="7946" max="7946" width="9.42578125" style="414" customWidth="1"/>
    <col min="7947" max="7947" width="2.7109375" style="414" customWidth="1"/>
    <col min="7948" max="7951" width="0" style="414" hidden="1" customWidth="1"/>
    <col min="7952" max="7952" width="10" style="414" customWidth="1"/>
    <col min="7953" max="8022" width="6.7109375" style="414" customWidth="1"/>
    <col min="8023" max="8193" width="9.140625" style="414"/>
    <col min="8194" max="8194" width="2.7109375" style="414" customWidth="1"/>
    <col min="8195" max="8196" width="11.5703125" style="414" customWidth="1"/>
    <col min="8197" max="8197" width="7.28515625" style="414" customWidth="1"/>
    <col min="8198" max="8198" width="9.85546875" style="414" customWidth="1"/>
    <col min="8199" max="8199" width="10.140625" style="414" customWidth="1"/>
    <col min="8200" max="8200" width="11.28515625" style="414" customWidth="1"/>
    <col min="8201" max="8201" width="2.7109375" style="414" customWidth="1"/>
    <col min="8202" max="8202" width="9.42578125" style="414" customWidth="1"/>
    <col min="8203" max="8203" width="2.7109375" style="414" customWidth="1"/>
    <col min="8204" max="8207" width="0" style="414" hidden="1" customWidth="1"/>
    <col min="8208" max="8208" width="10" style="414" customWidth="1"/>
    <col min="8209" max="8278" width="6.7109375" style="414" customWidth="1"/>
    <col min="8279" max="8449" width="9.140625" style="414"/>
    <col min="8450" max="8450" width="2.7109375" style="414" customWidth="1"/>
    <col min="8451" max="8452" width="11.5703125" style="414" customWidth="1"/>
    <col min="8453" max="8453" width="7.28515625" style="414" customWidth="1"/>
    <col min="8454" max="8454" width="9.85546875" style="414" customWidth="1"/>
    <col min="8455" max="8455" width="10.140625" style="414" customWidth="1"/>
    <col min="8456" max="8456" width="11.28515625" style="414" customWidth="1"/>
    <col min="8457" max="8457" width="2.7109375" style="414" customWidth="1"/>
    <col min="8458" max="8458" width="9.42578125" style="414" customWidth="1"/>
    <col min="8459" max="8459" width="2.7109375" style="414" customWidth="1"/>
    <col min="8460" max="8463" width="0" style="414" hidden="1" customWidth="1"/>
    <col min="8464" max="8464" width="10" style="414" customWidth="1"/>
    <col min="8465" max="8534" width="6.7109375" style="414" customWidth="1"/>
    <col min="8535" max="8705" width="9.140625" style="414"/>
    <col min="8706" max="8706" width="2.7109375" style="414" customWidth="1"/>
    <col min="8707" max="8708" width="11.5703125" style="414" customWidth="1"/>
    <col min="8709" max="8709" width="7.28515625" style="414" customWidth="1"/>
    <col min="8710" max="8710" width="9.85546875" style="414" customWidth="1"/>
    <col min="8711" max="8711" width="10.140625" style="414" customWidth="1"/>
    <col min="8712" max="8712" width="11.28515625" style="414" customWidth="1"/>
    <col min="8713" max="8713" width="2.7109375" style="414" customWidth="1"/>
    <col min="8714" max="8714" width="9.42578125" style="414" customWidth="1"/>
    <col min="8715" max="8715" width="2.7109375" style="414" customWidth="1"/>
    <col min="8716" max="8719" width="0" style="414" hidden="1" customWidth="1"/>
    <col min="8720" max="8720" width="10" style="414" customWidth="1"/>
    <col min="8721" max="8790" width="6.7109375" style="414" customWidth="1"/>
    <col min="8791" max="8961" width="9.140625" style="414"/>
    <col min="8962" max="8962" width="2.7109375" style="414" customWidth="1"/>
    <col min="8963" max="8964" width="11.5703125" style="414" customWidth="1"/>
    <col min="8965" max="8965" width="7.28515625" style="414" customWidth="1"/>
    <col min="8966" max="8966" width="9.85546875" style="414" customWidth="1"/>
    <col min="8967" max="8967" width="10.140625" style="414" customWidth="1"/>
    <col min="8968" max="8968" width="11.28515625" style="414" customWidth="1"/>
    <col min="8969" max="8969" width="2.7109375" style="414" customWidth="1"/>
    <col min="8970" max="8970" width="9.42578125" style="414" customWidth="1"/>
    <col min="8971" max="8971" width="2.7109375" style="414" customWidth="1"/>
    <col min="8972" max="8975" width="0" style="414" hidden="1" customWidth="1"/>
    <col min="8976" max="8976" width="10" style="414" customWidth="1"/>
    <col min="8977" max="9046" width="6.7109375" style="414" customWidth="1"/>
    <col min="9047" max="9217" width="9.140625" style="414"/>
    <col min="9218" max="9218" width="2.7109375" style="414" customWidth="1"/>
    <col min="9219" max="9220" width="11.5703125" style="414" customWidth="1"/>
    <col min="9221" max="9221" width="7.28515625" style="414" customWidth="1"/>
    <col min="9222" max="9222" width="9.85546875" style="414" customWidth="1"/>
    <col min="9223" max="9223" width="10.140625" style="414" customWidth="1"/>
    <col min="9224" max="9224" width="11.28515625" style="414" customWidth="1"/>
    <col min="9225" max="9225" width="2.7109375" style="414" customWidth="1"/>
    <col min="9226" max="9226" width="9.42578125" style="414" customWidth="1"/>
    <col min="9227" max="9227" width="2.7109375" style="414" customWidth="1"/>
    <col min="9228" max="9231" width="0" style="414" hidden="1" customWidth="1"/>
    <col min="9232" max="9232" width="10" style="414" customWidth="1"/>
    <col min="9233" max="9302" width="6.7109375" style="414" customWidth="1"/>
    <col min="9303" max="9473" width="9.140625" style="414"/>
    <col min="9474" max="9474" width="2.7109375" style="414" customWidth="1"/>
    <col min="9475" max="9476" width="11.5703125" style="414" customWidth="1"/>
    <col min="9477" max="9477" width="7.28515625" style="414" customWidth="1"/>
    <col min="9478" max="9478" width="9.85546875" style="414" customWidth="1"/>
    <col min="9479" max="9479" width="10.140625" style="414" customWidth="1"/>
    <col min="9480" max="9480" width="11.28515625" style="414" customWidth="1"/>
    <col min="9481" max="9481" width="2.7109375" style="414" customWidth="1"/>
    <col min="9482" max="9482" width="9.42578125" style="414" customWidth="1"/>
    <col min="9483" max="9483" width="2.7109375" style="414" customWidth="1"/>
    <col min="9484" max="9487" width="0" style="414" hidden="1" customWidth="1"/>
    <col min="9488" max="9488" width="10" style="414" customWidth="1"/>
    <col min="9489" max="9558" width="6.7109375" style="414" customWidth="1"/>
    <col min="9559" max="9729" width="9.140625" style="414"/>
    <col min="9730" max="9730" width="2.7109375" style="414" customWidth="1"/>
    <col min="9731" max="9732" width="11.5703125" style="414" customWidth="1"/>
    <col min="9733" max="9733" width="7.28515625" style="414" customWidth="1"/>
    <col min="9734" max="9734" width="9.85546875" style="414" customWidth="1"/>
    <col min="9735" max="9735" width="10.140625" style="414" customWidth="1"/>
    <col min="9736" max="9736" width="11.28515625" style="414" customWidth="1"/>
    <col min="9737" max="9737" width="2.7109375" style="414" customWidth="1"/>
    <col min="9738" max="9738" width="9.42578125" style="414" customWidth="1"/>
    <col min="9739" max="9739" width="2.7109375" style="414" customWidth="1"/>
    <col min="9740" max="9743" width="0" style="414" hidden="1" customWidth="1"/>
    <col min="9744" max="9744" width="10" style="414" customWidth="1"/>
    <col min="9745" max="9814" width="6.7109375" style="414" customWidth="1"/>
    <col min="9815" max="9985" width="9.140625" style="414"/>
    <col min="9986" max="9986" width="2.7109375" style="414" customWidth="1"/>
    <col min="9987" max="9988" width="11.5703125" style="414" customWidth="1"/>
    <col min="9989" max="9989" width="7.28515625" style="414" customWidth="1"/>
    <col min="9990" max="9990" width="9.85546875" style="414" customWidth="1"/>
    <col min="9991" max="9991" width="10.140625" style="414" customWidth="1"/>
    <col min="9992" max="9992" width="11.28515625" style="414" customWidth="1"/>
    <col min="9993" max="9993" width="2.7109375" style="414" customWidth="1"/>
    <col min="9994" max="9994" width="9.42578125" style="414" customWidth="1"/>
    <col min="9995" max="9995" width="2.7109375" style="414" customWidth="1"/>
    <col min="9996" max="9999" width="0" style="414" hidden="1" customWidth="1"/>
    <col min="10000" max="10000" width="10" style="414" customWidth="1"/>
    <col min="10001" max="10070" width="6.7109375" style="414" customWidth="1"/>
    <col min="10071" max="10241" width="9.140625" style="414"/>
    <col min="10242" max="10242" width="2.7109375" style="414" customWidth="1"/>
    <col min="10243" max="10244" width="11.5703125" style="414" customWidth="1"/>
    <col min="10245" max="10245" width="7.28515625" style="414" customWidth="1"/>
    <col min="10246" max="10246" width="9.85546875" style="414" customWidth="1"/>
    <col min="10247" max="10247" width="10.140625" style="414" customWidth="1"/>
    <col min="10248" max="10248" width="11.28515625" style="414" customWidth="1"/>
    <col min="10249" max="10249" width="2.7109375" style="414" customWidth="1"/>
    <col min="10250" max="10250" width="9.42578125" style="414" customWidth="1"/>
    <col min="10251" max="10251" width="2.7109375" style="414" customWidth="1"/>
    <col min="10252" max="10255" width="0" style="414" hidden="1" customWidth="1"/>
    <col min="10256" max="10256" width="10" style="414" customWidth="1"/>
    <col min="10257" max="10326" width="6.7109375" style="414" customWidth="1"/>
    <col min="10327" max="10497" width="9.140625" style="414"/>
    <col min="10498" max="10498" width="2.7109375" style="414" customWidth="1"/>
    <col min="10499" max="10500" width="11.5703125" style="414" customWidth="1"/>
    <col min="10501" max="10501" width="7.28515625" style="414" customWidth="1"/>
    <col min="10502" max="10502" width="9.85546875" style="414" customWidth="1"/>
    <col min="10503" max="10503" width="10.140625" style="414" customWidth="1"/>
    <col min="10504" max="10504" width="11.28515625" style="414" customWidth="1"/>
    <col min="10505" max="10505" width="2.7109375" style="414" customWidth="1"/>
    <col min="10506" max="10506" width="9.42578125" style="414" customWidth="1"/>
    <col min="10507" max="10507" width="2.7109375" style="414" customWidth="1"/>
    <col min="10508" max="10511" width="0" style="414" hidden="1" customWidth="1"/>
    <col min="10512" max="10512" width="10" style="414" customWidth="1"/>
    <col min="10513" max="10582" width="6.7109375" style="414" customWidth="1"/>
    <col min="10583" max="10753" width="9.140625" style="414"/>
    <col min="10754" max="10754" width="2.7109375" style="414" customWidth="1"/>
    <col min="10755" max="10756" width="11.5703125" style="414" customWidth="1"/>
    <col min="10757" max="10757" width="7.28515625" style="414" customWidth="1"/>
    <col min="10758" max="10758" width="9.85546875" style="414" customWidth="1"/>
    <col min="10759" max="10759" width="10.140625" style="414" customWidth="1"/>
    <col min="10760" max="10760" width="11.28515625" style="414" customWidth="1"/>
    <col min="10761" max="10761" width="2.7109375" style="414" customWidth="1"/>
    <col min="10762" max="10762" width="9.42578125" style="414" customWidth="1"/>
    <col min="10763" max="10763" width="2.7109375" style="414" customWidth="1"/>
    <col min="10764" max="10767" width="0" style="414" hidden="1" customWidth="1"/>
    <col min="10768" max="10768" width="10" style="414" customWidth="1"/>
    <col min="10769" max="10838" width="6.7109375" style="414" customWidth="1"/>
    <col min="10839" max="11009" width="9.140625" style="414"/>
    <col min="11010" max="11010" width="2.7109375" style="414" customWidth="1"/>
    <col min="11011" max="11012" width="11.5703125" style="414" customWidth="1"/>
    <col min="11013" max="11013" width="7.28515625" style="414" customWidth="1"/>
    <col min="11014" max="11014" width="9.85546875" style="414" customWidth="1"/>
    <col min="11015" max="11015" width="10.140625" style="414" customWidth="1"/>
    <col min="11016" max="11016" width="11.28515625" style="414" customWidth="1"/>
    <col min="11017" max="11017" width="2.7109375" style="414" customWidth="1"/>
    <col min="11018" max="11018" width="9.42578125" style="414" customWidth="1"/>
    <col min="11019" max="11019" width="2.7109375" style="414" customWidth="1"/>
    <col min="11020" max="11023" width="0" style="414" hidden="1" customWidth="1"/>
    <col min="11024" max="11024" width="10" style="414" customWidth="1"/>
    <col min="11025" max="11094" width="6.7109375" style="414" customWidth="1"/>
    <col min="11095" max="11265" width="9.140625" style="414"/>
    <col min="11266" max="11266" width="2.7109375" style="414" customWidth="1"/>
    <col min="11267" max="11268" width="11.5703125" style="414" customWidth="1"/>
    <col min="11269" max="11269" width="7.28515625" style="414" customWidth="1"/>
    <col min="11270" max="11270" width="9.85546875" style="414" customWidth="1"/>
    <col min="11271" max="11271" width="10.140625" style="414" customWidth="1"/>
    <col min="11272" max="11272" width="11.28515625" style="414" customWidth="1"/>
    <col min="11273" max="11273" width="2.7109375" style="414" customWidth="1"/>
    <col min="11274" max="11274" width="9.42578125" style="414" customWidth="1"/>
    <col min="11275" max="11275" width="2.7109375" style="414" customWidth="1"/>
    <col min="11276" max="11279" width="0" style="414" hidden="1" customWidth="1"/>
    <col min="11280" max="11280" width="10" style="414" customWidth="1"/>
    <col min="11281" max="11350" width="6.7109375" style="414" customWidth="1"/>
    <col min="11351" max="11521" width="9.140625" style="414"/>
    <col min="11522" max="11522" width="2.7109375" style="414" customWidth="1"/>
    <col min="11523" max="11524" width="11.5703125" style="414" customWidth="1"/>
    <col min="11525" max="11525" width="7.28515625" style="414" customWidth="1"/>
    <col min="11526" max="11526" width="9.85546875" style="414" customWidth="1"/>
    <col min="11527" max="11527" width="10.140625" style="414" customWidth="1"/>
    <col min="11528" max="11528" width="11.28515625" style="414" customWidth="1"/>
    <col min="11529" max="11529" width="2.7109375" style="414" customWidth="1"/>
    <col min="11530" max="11530" width="9.42578125" style="414" customWidth="1"/>
    <col min="11531" max="11531" width="2.7109375" style="414" customWidth="1"/>
    <col min="11532" max="11535" width="0" style="414" hidden="1" customWidth="1"/>
    <col min="11536" max="11536" width="10" style="414" customWidth="1"/>
    <col min="11537" max="11606" width="6.7109375" style="414" customWidth="1"/>
    <col min="11607" max="11777" width="9.140625" style="414"/>
    <col min="11778" max="11778" width="2.7109375" style="414" customWidth="1"/>
    <col min="11779" max="11780" width="11.5703125" style="414" customWidth="1"/>
    <col min="11781" max="11781" width="7.28515625" style="414" customWidth="1"/>
    <col min="11782" max="11782" width="9.85546875" style="414" customWidth="1"/>
    <col min="11783" max="11783" width="10.140625" style="414" customWidth="1"/>
    <col min="11784" max="11784" width="11.28515625" style="414" customWidth="1"/>
    <col min="11785" max="11785" width="2.7109375" style="414" customWidth="1"/>
    <col min="11786" max="11786" width="9.42578125" style="414" customWidth="1"/>
    <col min="11787" max="11787" width="2.7109375" style="414" customWidth="1"/>
    <col min="11788" max="11791" width="0" style="414" hidden="1" customWidth="1"/>
    <col min="11792" max="11792" width="10" style="414" customWidth="1"/>
    <col min="11793" max="11862" width="6.7109375" style="414" customWidth="1"/>
    <col min="11863" max="12033" width="9.140625" style="414"/>
    <col min="12034" max="12034" width="2.7109375" style="414" customWidth="1"/>
    <col min="12035" max="12036" width="11.5703125" style="414" customWidth="1"/>
    <col min="12037" max="12037" width="7.28515625" style="414" customWidth="1"/>
    <col min="12038" max="12038" width="9.85546875" style="414" customWidth="1"/>
    <col min="12039" max="12039" width="10.140625" style="414" customWidth="1"/>
    <col min="12040" max="12040" width="11.28515625" style="414" customWidth="1"/>
    <col min="12041" max="12041" width="2.7109375" style="414" customWidth="1"/>
    <col min="12042" max="12042" width="9.42578125" style="414" customWidth="1"/>
    <col min="12043" max="12043" width="2.7109375" style="414" customWidth="1"/>
    <col min="12044" max="12047" width="0" style="414" hidden="1" customWidth="1"/>
    <col min="12048" max="12048" width="10" style="414" customWidth="1"/>
    <col min="12049" max="12118" width="6.7109375" style="414" customWidth="1"/>
    <col min="12119" max="12289" width="9.140625" style="414"/>
    <col min="12290" max="12290" width="2.7109375" style="414" customWidth="1"/>
    <col min="12291" max="12292" width="11.5703125" style="414" customWidth="1"/>
    <col min="12293" max="12293" width="7.28515625" style="414" customWidth="1"/>
    <col min="12294" max="12294" width="9.85546875" style="414" customWidth="1"/>
    <col min="12295" max="12295" width="10.140625" style="414" customWidth="1"/>
    <col min="12296" max="12296" width="11.28515625" style="414" customWidth="1"/>
    <col min="12297" max="12297" width="2.7109375" style="414" customWidth="1"/>
    <col min="12298" max="12298" width="9.42578125" style="414" customWidth="1"/>
    <col min="12299" max="12299" width="2.7109375" style="414" customWidth="1"/>
    <col min="12300" max="12303" width="0" style="414" hidden="1" customWidth="1"/>
    <col min="12304" max="12304" width="10" style="414" customWidth="1"/>
    <col min="12305" max="12374" width="6.7109375" style="414" customWidth="1"/>
    <col min="12375" max="12545" width="9.140625" style="414"/>
    <col min="12546" max="12546" width="2.7109375" style="414" customWidth="1"/>
    <col min="12547" max="12548" width="11.5703125" style="414" customWidth="1"/>
    <col min="12549" max="12549" width="7.28515625" style="414" customWidth="1"/>
    <col min="12550" max="12550" width="9.85546875" style="414" customWidth="1"/>
    <col min="12551" max="12551" width="10.140625" style="414" customWidth="1"/>
    <col min="12552" max="12552" width="11.28515625" style="414" customWidth="1"/>
    <col min="12553" max="12553" width="2.7109375" style="414" customWidth="1"/>
    <col min="12554" max="12554" width="9.42578125" style="414" customWidth="1"/>
    <col min="12555" max="12555" width="2.7109375" style="414" customWidth="1"/>
    <col min="12556" max="12559" width="0" style="414" hidden="1" customWidth="1"/>
    <col min="12560" max="12560" width="10" style="414" customWidth="1"/>
    <col min="12561" max="12630" width="6.7109375" style="414" customWidth="1"/>
    <col min="12631" max="12801" width="9.140625" style="414"/>
    <col min="12802" max="12802" width="2.7109375" style="414" customWidth="1"/>
    <col min="12803" max="12804" width="11.5703125" style="414" customWidth="1"/>
    <col min="12805" max="12805" width="7.28515625" style="414" customWidth="1"/>
    <col min="12806" max="12806" width="9.85546875" style="414" customWidth="1"/>
    <col min="12807" max="12807" width="10.140625" style="414" customWidth="1"/>
    <col min="12808" max="12808" width="11.28515625" style="414" customWidth="1"/>
    <col min="12809" max="12809" width="2.7109375" style="414" customWidth="1"/>
    <col min="12810" max="12810" width="9.42578125" style="414" customWidth="1"/>
    <col min="12811" max="12811" width="2.7109375" style="414" customWidth="1"/>
    <col min="12812" max="12815" width="0" style="414" hidden="1" customWidth="1"/>
    <col min="12816" max="12816" width="10" style="414" customWidth="1"/>
    <col min="12817" max="12886" width="6.7109375" style="414" customWidth="1"/>
    <col min="12887" max="13057" width="9.140625" style="414"/>
    <col min="13058" max="13058" width="2.7109375" style="414" customWidth="1"/>
    <col min="13059" max="13060" width="11.5703125" style="414" customWidth="1"/>
    <col min="13061" max="13061" width="7.28515625" style="414" customWidth="1"/>
    <col min="13062" max="13062" width="9.85546875" style="414" customWidth="1"/>
    <col min="13063" max="13063" width="10.140625" style="414" customWidth="1"/>
    <col min="13064" max="13064" width="11.28515625" style="414" customWidth="1"/>
    <col min="13065" max="13065" width="2.7109375" style="414" customWidth="1"/>
    <col min="13066" max="13066" width="9.42578125" style="414" customWidth="1"/>
    <col min="13067" max="13067" width="2.7109375" style="414" customWidth="1"/>
    <col min="13068" max="13071" width="0" style="414" hidden="1" customWidth="1"/>
    <col min="13072" max="13072" width="10" style="414" customWidth="1"/>
    <col min="13073" max="13142" width="6.7109375" style="414" customWidth="1"/>
    <col min="13143" max="13313" width="9.140625" style="414"/>
    <col min="13314" max="13314" width="2.7109375" style="414" customWidth="1"/>
    <col min="13315" max="13316" width="11.5703125" style="414" customWidth="1"/>
    <col min="13317" max="13317" width="7.28515625" style="414" customWidth="1"/>
    <col min="13318" max="13318" width="9.85546875" style="414" customWidth="1"/>
    <col min="13319" max="13319" width="10.140625" style="414" customWidth="1"/>
    <col min="13320" max="13320" width="11.28515625" style="414" customWidth="1"/>
    <col min="13321" max="13321" width="2.7109375" style="414" customWidth="1"/>
    <col min="13322" max="13322" width="9.42578125" style="414" customWidth="1"/>
    <col min="13323" max="13323" width="2.7109375" style="414" customWidth="1"/>
    <col min="13324" max="13327" width="0" style="414" hidden="1" customWidth="1"/>
    <col min="13328" max="13328" width="10" style="414" customWidth="1"/>
    <col min="13329" max="13398" width="6.7109375" style="414" customWidth="1"/>
    <col min="13399" max="13569" width="9.140625" style="414"/>
    <col min="13570" max="13570" width="2.7109375" style="414" customWidth="1"/>
    <col min="13571" max="13572" width="11.5703125" style="414" customWidth="1"/>
    <col min="13573" max="13573" width="7.28515625" style="414" customWidth="1"/>
    <col min="13574" max="13574" width="9.85546875" style="414" customWidth="1"/>
    <col min="13575" max="13575" width="10.140625" style="414" customWidth="1"/>
    <col min="13576" max="13576" width="11.28515625" style="414" customWidth="1"/>
    <col min="13577" max="13577" width="2.7109375" style="414" customWidth="1"/>
    <col min="13578" max="13578" width="9.42578125" style="414" customWidth="1"/>
    <col min="13579" max="13579" width="2.7109375" style="414" customWidth="1"/>
    <col min="13580" max="13583" width="0" style="414" hidden="1" customWidth="1"/>
    <col min="13584" max="13584" width="10" style="414" customWidth="1"/>
    <col min="13585" max="13654" width="6.7109375" style="414" customWidth="1"/>
    <col min="13655" max="13825" width="9.140625" style="414"/>
    <col min="13826" max="13826" width="2.7109375" style="414" customWidth="1"/>
    <col min="13827" max="13828" width="11.5703125" style="414" customWidth="1"/>
    <col min="13829" max="13829" width="7.28515625" style="414" customWidth="1"/>
    <col min="13830" max="13830" width="9.85546875" style="414" customWidth="1"/>
    <col min="13831" max="13831" width="10.140625" style="414" customWidth="1"/>
    <col min="13832" max="13832" width="11.28515625" style="414" customWidth="1"/>
    <col min="13833" max="13833" width="2.7109375" style="414" customWidth="1"/>
    <col min="13834" max="13834" width="9.42578125" style="414" customWidth="1"/>
    <col min="13835" max="13835" width="2.7109375" style="414" customWidth="1"/>
    <col min="13836" max="13839" width="0" style="414" hidden="1" customWidth="1"/>
    <col min="13840" max="13840" width="10" style="414" customWidth="1"/>
    <col min="13841" max="13910" width="6.7109375" style="414" customWidth="1"/>
    <col min="13911" max="14081" width="9.140625" style="414"/>
    <col min="14082" max="14082" width="2.7109375" style="414" customWidth="1"/>
    <col min="14083" max="14084" width="11.5703125" style="414" customWidth="1"/>
    <col min="14085" max="14085" width="7.28515625" style="414" customWidth="1"/>
    <col min="14086" max="14086" width="9.85546875" style="414" customWidth="1"/>
    <col min="14087" max="14087" width="10.140625" style="414" customWidth="1"/>
    <col min="14088" max="14088" width="11.28515625" style="414" customWidth="1"/>
    <col min="14089" max="14089" width="2.7109375" style="414" customWidth="1"/>
    <col min="14090" max="14090" width="9.42578125" style="414" customWidth="1"/>
    <col min="14091" max="14091" width="2.7109375" style="414" customWidth="1"/>
    <col min="14092" max="14095" width="0" style="414" hidden="1" customWidth="1"/>
    <col min="14096" max="14096" width="10" style="414" customWidth="1"/>
    <col min="14097" max="14166" width="6.7109375" style="414" customWidth="1"/>
    <col min="14167" max="14337" width="9.140625" style="414"/>
    <col min="14338" max="14338" width="2.7109375" style="414" customWidth="1"/>
    <col min="14339" max="14340" width="11.5703125" style="414" customWidth="1"/>
    <col min="14341" max="14341" width="7.28515625" style="414" customWidth="1"/>
    <col min="14342" max="14342" width="9.85546875" style="414" customWidth="1"/>
    <col min="14343" max="14343" width="10.140625" style="414" customWidth="1"/>
    <col min="14344" max="14344" width="11.28515625" style="414" customWidth="1"/>
    <col min="14345" max="14345" width="2.7109375" style="414" customWidth="1"/>
    <col min="14346" max="14346" width="9.42578125" style="414" customWidth="1"/>
    <col min="14347" max="14347" width="2.7109375" style="414" customWidth="1"/>
    <col min="14348" max="14351" width="0" style="414" hidden="1" customWidth="1"/>
    <col min="14352" max="14352" width="10" style="414" customWidth="1"/>
    <col min="14353" max="14422" width="6.7109375" style="414" customWidth="1"/>
    <col min="14423" max="14593" width="9.140625" style="414"/>
    <col min="14594" max="14594" width="2.7109375" style="414" customWidth="1"/>
    <col min="14595" max="14596" width="11.5703125" style="414" customWidth="1"/>
    <col min="14597" max="14597" width="7.28515625" style="414" customWidth="1"/>
    <col min="14598" max="14598" width="9.85546875" style="414" customWidth="1"/>
    <col min="14599" max="14599" width="10.140625" style="414" customWidth="1"/>
    <col min="14600" max="14600" width="11.28515625" style="414" customWidth="1"/>
    <col min="14601" max="14601" width="2.7109375" style="414" customWidth="1"/>
    <col min="14602" max="14602" width="9.42578125" style="414" customWidth="1"/>
    <col min="14603" max="14603" width="2.7109375" style="414" customWidth="1"/>
    <col min="14604" max="14607" width="0" style="414" hidden="1" customWidth="1"/>
    <col min="14608" max="14608" width="10" style="414" customWidth="1"/>
    <col min="14609" max="14678" width="6.7109375" style="414" customWidth="1"/>
    <col min="14679" max="14849" width="9.140625" style="414"/>
    <col min="14850" max="14850" width="2.7109375" style="414" customWidth="1"/>
    <col min="14851" max="14852" width="11.5703125" style="414" customWidth="1"/>
    <col min="14853" max="14853" width="7.28515625" style="414" customWidth="1"/>
    <col min="14854" max="14854" width="9.85546875" style="414" customWidth="1"/>
    <col min="14855" max="14855" width="10.140625" style="414" customWidth="1"/>
    <col min="14856" max="14856" width="11.28515625" style="414" customWidth="1"/>
    <col min="14857" max="14857" width="2.7109375" style="414" customWidth="1"/>
    <col min="14858" max="14858" width="9.42578125" style="414" customWidth="1"/>
    <col min="14859" max="14859" width="2.7109375" style="414" customWidth="1"/>
    <col min="14860" max="14863" width="0" style="414" hidden="1" customWidth="1"/>
    <col min="14864" max="14864" width="10" style="414" customWidth="1"/>
    <col min="14865" max="14934" width="6.7109375" style="414" customWidth="1"/>
    <col min="14935" max="15105" width="9.140625" style="414"/>
    <col min="15106" max="15106" width="2.7109375" style="414" customWidth="1"/>
    <col min="15107" max="15108" width="11.5703125" style="414" customWidth="1"/>
    <col min="15109" max="15109" width="7.28515625" style="414" customWidth="1"/>
    <col min="15110" max="15110" width="9.85546875" style="414" customWidth="1"/>
    <col min="15111" max="15111" width="10.140625" style="414" customWidth="1"/>
    <col min="15112" max="15112" width="11.28515625" style="414" customWidth="1"/>
    <col min="15113" max="15113" width="2.7109375" style="414" customWidth="1"/>
    <col min="15114" max="15114" width="9.42578125" style="414" customWidth="1"/>
    <col min="15115" max="15115" width="2.7109375" style="414" customWidth="1"/>
    <col min="15116" max="15119" width="0" style="414" hidden="1" customWidth="1"/>
    <col min="15120" max="15120" width="10" style="414" customWidth="1"/>
    <col min="15121" max="15190" width="6.7109375" style="414" customWidth="1"/>
    <col min="15191" max="15361" width="9.140625" style="414"/>
    <col min="15362" max="15362" width="2.7109375" style="414" customWidth="1"/>
    <col min="15363" max="15364" width="11.5703125" style="414" customWidth="1"/>
    <col min="15365" max="15365" width="7.28515625" style="414" customWidth="1"/>
    <col min="15366" max="15366" width="9.85546875" style="414" customWidth="1"/>
    <col min="15367" max="15367" width="10.140625" style="414" customWidth="1"/>
    <col min="15368" max="15368" width="11.28515625" style="414" customWidth="1"/>
    <col min="15369" max="15369" width="2.7109375" style="414" customWidth="1"/>
    <col min="15370" max="15370" width="9.42578125" style="414" customWidth="1"/>
    <col min="15371" max="15371" width="2.7109375" style="414" customWidth="1"/>
    <col min="15372" max="15375" width="0" style="414" hidden="1" customWidth="1"/>
    <col min="15376" max="15376" width="10" style="414" customWidth="1"/>
    <col min="15377" max="15446" width="6.7109375" style="414" customWidth="1"/>
    <col min="15447" max="15617" width="9.140625" style="414"/>
    <col min="15618" max="15618" width="2.7109375" style="414" customWidth="1"/>
    <col min="15619" max="15620" width="11.5703125" style="414" customWidth="1"/>
    <col min="15621" max="15621" width="7.28515625" style="414" customWidth="1"/>
    <col min="15622" max="15622" width="9.85546875" style="414" customWidth="1"/>
    <col min="15623" max="15623" width="10.140625" style="414" customWidth="1"/>
    <col min="15624" max="15624" width="11.28515625" style="414" customWidth="1"/>
    <col min="15625" max="15625" width="2.7109375" style="414" customWidth="1"/>
    <col min="15626" max="15626" width="9.42578125" style="414" customWidth="1"/>
    <col min="15627" max="15627" width="2.7109375" style="414" customWidth="1"/>
    <col min="15628" max="15631" width="0" style="414" hidden="1" customWidth="1"/>
    <col min="15632" max="15632" width="10" style="414" customWidth="1"/>
    <col min="15633" max="15702" width="6.7109375" style="414" customWidth="1"/>
    <col min="15703" max="15873" width="9.140625" style="414"/>
    <col min="15874" max="15874" width="2.7109375" style="414" customWidth="1"/>
    <col min="15875" max="15876" width="11.5703125" style="414" customWidth="1"/>
    <col min="15877" max="15877" width="7.28515625" style="414" customWidth="1"/>
    <col min="15878" max="15878" width="9.85546875" style="414" customWidth="1"/>
    <col min="15879" max="15879" width="10.140625" style="414" customWidth="1"/>
    <col min="15880" max="15880" width="11.28515625" style="414" customWidth="1"/>
    <col min="15881" max="15881" width="2.7109375" style="414" customWidth="1"/>
    <col min="15882" max="15882" width="9.42578125" style="414" customWidth="1"/>
    <col min="15883" max="15883" width="2.7109375" style="414" customWidth="1"/>
    <col min="15884" max="15887" width="0" style="414" hidden="1" customWidth="1"/>
    <col min="15888" max="15888" width="10" style="414" customWidth="1"/>
    <col min="15889" max="15958" width="6.7109375" style="414" customWidth="1"/>
    <col min="15959" max="16129" width="9.140625" style="414"/>
    <col min="16130" max="16130" width="2.7109375" style="414" customWidth="1"/>
    <col min="16131" max="16132" width="11.5703125" style="414" customWidth="1"/>
    <col min="16133" max="16133" width="7.28515625" style="414" customWidth="1"/>
    <col min="16134" max="16134" width="9.85546875" style="414" customWidth="1"/>
    <col min="16135" max="16135" width="10.140625" style="414" customWidth="1"/>
    <col min="16136" max="16136" width="11.28515625" style="414" customWidth="1"/>
    <col min="16137" max="16137" width="2.7109375" style="414" customWidth="1"/>
    <col min="16138" max="16138" width="9.42578125" style="414" customWidth="1"/>
    <col min="16139" max="16139" width="2.7109375" style="414" customWidth="1"/>
    <col min="16140" max="16143" width="0" style="414" hidden="1" customWidth="1"/>
    <col min="16144" max="16144" width="10" style="414" customWidth="1"/>
    <col min="16145" max="16214" width="6.7109375" style="414" customWidth="1"/>
    <col min="16215" max="16384" width="9.140625" style="414"/>
  </cols>
  <sheetData>
    <row r="1" spans="1:81" ht="12.75" customHeight="1">
      <c r="B1" s="95" t="s">
        <v>748</v>
      </c>
      <c r="C1" s="441">
        <f>ROUND(ValueDate,0)</f>
        <v>42696</v>
      </c>
      <c r="D1" s="95" t="s">
        <v>623</v>
      </c>
      <c r="E1" s="441">
        <f>ROUND(today,0)</f>
        <v>42692</v>
      </c>
      <c r="F1" s="95" t="s">
        <v>5149</v>
      </c>
      <c r="G1" s="473" t="s">
        <v>5150</v>
      </c>
      <c r="I1" s="94"/>
      <c r="S1" s="294"/>
      <c r="T1" s="456"/>
      <c r="AO1" s="53"/>
    </row>
    <row r="3" spans="1:81" ht="18">
      <c r="A3" s="108"/>
      <c r="B3" s="587" t="s">
        <v>232</v>
      </c>
      <c r="C3" s="587"/>
      <c r="D3" s="587"/>
      <c r="E3" s="587"/>
      <c r="F3" s="587"/>
      <c r="G3" s="587"/>
      <c r="H3" s="587"/>
      <c r="I3" s="587"/>
      <c r="J3" s="587"/>
      <c r="K3" s="587"/>
      <c r="M3" s="474"/>
      <c r="N3" s="470" t="s">
        <v>239</v>
      </c>
    </row>
    <row r="4" spans="1:81" ht="12.75" customHeight="1">
      <c r="A4" s="108"/>
      <c r="B4" s="588" t="s">
        <v>233</v>
      </c>
      <c r="C4" s="589"/>
      <c r="D4" s="589"/>
      <c r="E4" s="589"/>
      <c r="F4" s="589"/>
      <c r="G4" s="589"/>
      <c r="H4" s="590"/>
      <c r="I4" s="589" t="s">
        <v>234</v>
      </c>
      <c r="J4" s="589"/>
      <c r="K4" s="589"/>
      <c r="M4" s="475"/>
      <c r="N4" s="591" t="s">
        <v>5154</v>
      </c>
      <c r="P4" s="98" t="s">
        <v>235</v>
      </c>
      <c r="Q4" s="99" t="str">
        <f t="array" ref="Q4:CC4">TRANSPOSE(I6:I70&amp;"")</f>
        <v>O/N</v>
      </c>
      <c r="R4" s="99" t="str">
        <v>T/N</v>
      </c>
      <c r="S4" s="99" t="str">
        <v>S/N</v>
      </c>
      <c r="T4" s="99" t="str">
        <v>1W</v>
      </c>
      <c r="U4" s="99" t="str">
        <v>2W</v>
      </c>
      <c r="V4" s="99" t="str">
        <v>3W</v>
      </c>
      <c r="W4" s="99" t="str">
        <v>1M</v>
      </c>
      <c r="X4" s="99" t="str">
        <v>2M</v>
      </c>
      <c r="Y4" s="99" t="str">
        <v>3M</v>
      </c>
      <c r="Z4" s="99" t="str">
        <v>4M</v>
      </c>
      <c r="AA4" s="99" t="str">
        <v>5M</v>
      </c>
      <c r="AB4" s="99" t="str">
        <v>6M</v>
      </c>
      <c r="AC4" s="99" t="str">
        <v>7M</v>
      </c>
      <c r="AD4" s="99" t="str">
        <v>8M</v>
      </c>
      <c r="AE4" s="99" t="str">
        <v>9M</v>
      </c>
      <c r="AF4" s="99" t="str">
        <v>10M</v>
      </c>
      <c r="AG4" s="99" t="str">
        <v>11M</v>
      </c>
      <c r="AH4" s="99" t="str">
        <v>1Y</v>
      </c>
      <c r="AI4" s="99" t="str">
        <v>13M</v>
      </c>
      <c r="AJ4" s="99" t="str">
        <v>14M</v>
      </c>
      <c r="AK4" s="99" t="str">
        <v>15M</v>
      </c>
      <c r="AL4" s="99" t="str">
        <v>16M</v>
      </c>
      <c r="AM4" s="99" t="str">
        <v>17M</v>
      </c>
      <c r="AN4" s="99" t="str">
        <v>18M</v>
      </c>
      <c r="AO4" s="99" t="str">
        <v>19M</v>
      </c>
      <c r="AP4" s="99" t="str">
        <v>20M</v>
      </c>
      <c r="AQ4" s="99" t="str">
        <v>21M</v>
      </c>
      <c r="AR4" s="99" t="str">
        <v>22M</v>
      </c>
      <c r="AS4" s="99" t="str">
        <v>23M</v>
      </c>
      <c r="AT4" s="99" t="str">
        <v>2Y</v>
      </c>
      <c r="AU4" s="99" t="str">
        <v>3Y</v>
      </c>
      <c r="AV4" s="99" t="str">
        <v>4Y</v>
      </c>
      <c r="AW4" s="99" t="str">
        <v>5Y</v>
      </c>
      <c r="AX4" s="99" t="str">
        <v>6Y</v>
      </c>
      <c r="AY4" s="99" t="str">
        <v>7Y</v>
      </c>
      <c r="AZ4" s="99" t="str">
        <v>8Y</v>
      </c>
      <c r="BA4" s="99" t="str">
        <v>9Y</v>
      </c>
      <c r="BB4" s="99" t="str">
        <v>10Y</v>
      </c>
      <c r="BC4" s="99" t="str">
        <v>11Y</v>
      </c>
      <c r="BD4" s="99" t="str">
        <v>12Y</v>
      </c>
      <c r="BE4" s="99" t="str">
        <v>13Y</v>
      </c>
      <c r="BF4" s="99" t="str">
        <v>14Y</v>
      </c>
      <c r="BG4" s="99" t="str">
        <v>15Y</v>
      </c>
      <c r="BH4" s="99" t="str">
        <v>16Y</v>
      </c>
      <c r="BI4" s="99" t="str">
        <v>17Y</v>
      </c>
      <c r="BJ4" s="99" t="str">
        <v>18Y</v>
      </c>
      <c r="BK4" s="99" t="str">
        <v>19Y</v>
      </c>
      <c r="BL4" s="99" t="str">
        <v>20Y</v>
      </c>
      <c r="BM4" s="99" t="str">
        <v>21Y</v>
      </c>
      <c r="BN4" s="99" t="str">
        <v>22Y</v>
      </c>
      <c r="BO4" s="99" t="str">
        <v>23Y</v>
      </c>
      <c r="BP4" s="99" t="str">
        <v>24Y</v>
      </c>
      <c r="BQ4" s="99" t="str">
        <v>25Y</v>
      </c>
      <c r="BR4" s="99" t="str">
        <v>26Y</v>
      </c>
      <c r="BS4" s="99" t="str">
        <v>27Y</v>
      </c>
      <c r="BT4" s="99" t="str">
        <v>28Y</v>
      </c>
      <c r="BU4" s="99" t="str">
        <v>29Y</v>
      </c>
      <c r="BV4" s="99" t="str">
        <v>30Y</v>
      </c>
      <c r="BW4" s="99" t="str">
        <v>35Y</v>
      </c>
      <c r="BX4" s="99" t="str">
        <v>40Y</v>
      </c>
      <c r="BY4" s="99" t="str">
        <v>50Y</v>
      </c>
      <c r="BZ4" s="99" t="str">
        <v>60Y</v>
      </c>
      <c r="CA4" s="99" t="e">
        <v>#N/A</v>
      </c>
      <c r="CB4" s="99" t="e">
        <v>#N/A</v>
      </c>
      <c r="CC4" s="99" t="e">
        <v>#N/A</v>
      </c>
    </row>
    <row r="5" spans="1:81" ht="44.25">
      <c r="A5" s="108" t="s">
        <v>236</v>
      </c>
      <c r="B5" s="263" t="s">
        <v>88</v>
      </c>
      <c r="C5" s="471" t="s">
        <v>237</v>
      </c>
      <c r="D5" s="101" t="s">
        <v>240</v>
      </c>
      <c r="E5" s="101" t="s">
        <v>5144</v>
      </c>
      <c r="F5" s="101" t="s">
        <v>5143</v>
      </c>
      <c r="G5" s="101" t="s">
        <v>5151</v>
      </c>
      <c r="H5" s="101" t="s">
        <v>5145</v>
      </c>
      <c r="I5" s="472" t="s">
        <v>5142</v>
      </c>
      <c r="J5" s="109" t="s">
        <v>240</v>
      </c>
      <c r="K5" s="101" t="s">
        <v>231</v>
      </c>
      <c r="M5" s="476"/>
      <c r="N5" s="591"/>
      <c r="P5" s="469" t="b">
        <v>0</v>
      </c>
      <c r="Q5" s="104">
        <f t="array" ref="Q5:CC5">TRANSPOSE(K6:K70)</f>
        <v>42695</v>
      </c>
      <c r="R5" s="104">
        <v>42696</v>
      </c>
      <c r="S5" s="104">
        <v>42697</v>
      </c>
      <c r="T5" s="104">
        <v>42703</v>
      </c>
      <c r="U5" s="104">
        <v>42710</v>
      </c>
      <c r="V5" s="104">
        <v>42717</v>
      </c>
      <c r="W5" s="104">
        <v>42726</v>
      </c>
      <c r="X5" s="104">
        <v>42758</v>
      </c>
      <c r="Y5" s="104">
        <v>42788</v>
      </c>
      <c r="Z5" s="104">
        <v>42816</v>
      </c>
      <c r="AA5" s="104">
        <v>42849</v>
      </c>
      <c r="AB5" s="104">
        <v>42877</v>
      </c>
      <c r="AC5" s="104">
        <v>42908</v>
      </c>
      <c r="AD5" s="104">
        <v>42940</v>
      </c>
      <c r="AE5" s="104">
        <v>42969</v>
      </c>
      <c r="AF5" s="104">
        <v>43000</v>
      </c>
      <c r="AG5" s="104">
        <v>43031</v>
      </c>
      <c r="AH5" s="104">
        <v>43061</v>
      </c>
      <c r="AI5" s="104">
        <v>43091</v>
      </c>
      <c r="AJ5" s="104">
        <v>43122</v>
      </c>
      <c r="AK5" s="104">
        <v>43153</v>
      </c>
      <c r="AL5" s="104">
        <v>43181</v>
      </c>
      <c r="AM5" s="104">
        <v>43213</v>
      </c>
      <c r="AN5" s="104">
        <v>43242</v>
      </c>
      <c r="AO5" s="104">
        <v>43273</v>
      </c>
      <c r="AP5" s="104">
        <v>43304</v>
      </c>
      <c r="AQ5" s="104">
        <v>43334</v>
      </c>
      <c r="AR5" s="104">
        <v>43367</v>
      </c>
      <c r="AS5" s="104">
        <v>43395</v>
      </c>
      <c r="AT5" s="104">
        <v>43426</v>
      </c>
      <c r="AU5" s="104">
        <v>43791</v>
      </c>
      <c r="AV5" s="104">
        <v>44158</v>
      </c>
      <c r="AW5" s="104">
        <v>44522</v>
      </c>
      <c r="AX5" s="104">
        <v>44887</v>
      </c>
      <c r="AY5" s="104">
        <v>45252</v>
      </c>
      <c r="AZ5" s="104">
        <v>45618</v>
      </c>
      <c r="BA5" s="104">
        <v>45985</v>
      </c>
      <c r="BB5" s="104">
        <v>46349</v>
      </c>
      <c r="BC5" s="104">
        <v>46713</v>
      </c>
      <c r="BD5" s="104">
        <v>47079</v>
      </c>
      <c r="BE5" s="104">
        <v>47444</v>
      </c>
      <c r="BF5" s="104">
        <v>47809</v>
      </c>
      <c r="BG5" s="104">
        <v>48176</v>
      </c>
      <c r="BH5" s="104">
        <v>48540</v>
      </c>
      <c r="BI5" s="104">
        <v>48905</v>
      </c>
      <c r="BJ5" s="104">
        <v>49270</v>
      </c>
      <c r="BK5" s="104">
        <v>49635</v>
      </c>
      <c r="BL5" s="104">
        <v>50003</v>
      </c>
      <c r="BM5" s="104">
        <v>50367</v>
      </c>
      <c r="BN5" s="104">
        <v>50731</v>
      </c>
      <c r="BO5" s="104">
        <v>51096</v>
      </c>
      <c r="BP5" s="104">
        <v>51462</v>
      </c>
      <c r="BQ5" s="104">
        <v>51827</v>
      </c>
      <c r="BR5" s="104">
        <v>52194</v>
      </c>
      <c r="BS5" s="104">
        <v>52558</v>
      </c>
      <c r="BT5" s="104">
        <v>52923</v>
      </c>
      <c r="BU5" s="104">
        <v>53288</v>
      </c>
      <c r="BV5" s="104">
        <v>53653</v>
      </c>
      <c r="BW5" s="104">
        <v>55479</v>
      </c>
      <c r="BX5" s="104">
        <v>57306</v>
      </c>
      <c r="BY5" s="104">
        <v>60958</v>
      </c>
      <c r="BZ5" s="104">
        <v>64612</v>
      </c>
      <c r="CA5" s="104" t="e">
        <v>#NUM!</v>
      </c>
      <c r="CB5" s="104" t="e">
        <v>#NUM!</v>
      </c>
      <c r="CC5" s="104" t="e">
        <v>#NUM!</v>
      </c>
    </row>
    <row r="6" spans="1:81" ht="12.75" customHeight="1">
      <c r="A6" s="105">
        <v>1</v>
      </c>
      <c r="B6" s="112" t="str">
        <f t="array" ref="B6:B70">[0]!Bucket3M</f>
        <v>S/N</v>
      </c>
      <c r="C6" s="262">
        <f>'eur disaggregated'!AD17+'eur disaggregated'!AC17</f>
        <v>185.41702314420101</v>
      </c>
      <c r="D6" s="111" t="s">
        <v>484</v>
      </c>
      <c r="E6" s="441">
        <f>BktEur3mPL!E6</f>
        <v>42696</v>
      </c>
      <c r="F6" s="441">
        <f>BktEur3mPL!F6</f>
        <v>42697</v>
      </c>
      <c r="G6" s="462">
        <f>IF(AND(70&lt;H6, H6&lt;130),(100-H6)/100,H6/100)</f>
        <v>-3.2428576300000001E-3</v>
      </c>
      <c r="H6" s="453">
        <f>BktEur3mPL!H6</f>
        <v>-0.324285763</v>
      </c>
      <c r="I6" s="107" t="str">
        <f t="array" ref="I6:I70">[0]!BucketOIS</f>
        <v>O/N</v>
      </c>
      <c r="J6" s="441" t="str">
        <f>IF(
      LEN(I6)&gt;0,
      IF(
          (MID(I6,4,1)=" "),#REF!+
          0*TYPE("FUTURE Terzo mercoledì del mese calcolato sulla maturity"),
          IF(
               (LEN(I6)=8),
               DATE("20" &amp; RIGHT(I6,2),MID(I6,4,2),LEFT(I6,2))+0*TYPE("STUB"),
               SimplifyTenor(I6)
          )
      ),
      ""
   )</f>
        <v>1D</v>
      </c>
      <c r="K6" s="441">
        <f>_xll.qlCalendarAdvance("TARGET",EvaluationDate,J6)</f>
        <v>42695</v>
      </c>
      <c r="M6" s="99" t="str">
        <f t="array" ref="M6:M70">I6:I70</f>
        <v>O/N</v>
      </c>
      <c r="N6" s="465">
        <f t="array" ref="N6:N70">TRANSPOSE(Q72:CC72)</f>
        <v>0</v>
      </c>
      <c r="P6" s="106" t="b">
        <f t="shared" ref="P6:P37" si="0">MID(B6,4,1)=" "</f>
        <v>0</v>
      </c>
      <c r="Q6" s="460">
        <f t="array" ref="Q6:CC6">C6*ForwardToZero(OisBuckets,E6,F6,G6)</f>
        <v>0</v>
      </c>
      <c r="R6" s="460">
        <v>0</v>
      </c>
      <c r="S6" s="460">
        <v>185.41702314420101</v>
      </c>
      <c r="T6" s="460">
        <v>0</v>
      </c>
      <c r="U6" s="460">
        <v>0</v>
      </c>
      <c r="V6" s="460">
        <v>0</v>
      </c>
      <c r="W6" s="460">
        <v>0</v>
      </c>
      <c r="X6" s="460">
        <v>0</v>
      </c>
      <c r="Y6" s="460">
        <v>0</v>
      </c>
      <c r="Z6" s="460">
        <v>0</v>
      </c>
      <c r="AA6" s="460">
        <v>0</v>
      </c>
      <c r="AB6" s="460">
        <v>0</v>
      </c>
      <c r="AC6" s="460">
        <v>0</v>
      </c>
      <c r="AD6" s="460">
        <v>0</v>
      </c>
      <c r="AE6" s="460">
        <v>0</v>
      </c>
      <c r="AF6" s="460">
        <v>0</v>
      </c>
      <c r="AG6" s="460">
        <v>0</v>
      </c>
      <c r="AH6" s="460">
        <v>0</v>
      </c>
      <c r="AI6" s="460">
        <v>0</v>
      </c>
      <c r="AJ6" s="460">
        <v>0</v>
      </c>
      <c r="AK6" s="460">
        <v>0</v>
      </c>
      <c r="AL6" s="460">
        <v>0</v>
      </c>
      <c r="AM6" s="460">
        <v>0</v>
      </c>
      <c r="AN6" s="460">
        <v>0</v>
      </c>
      <c r="AO6" s="460">
        <v>0</v>
      </c>
      <c r="AP6" s="460">
        <v>0</v>
      </c>
      <c r="AQ6" s="460">
        <v>0</v>
      </c>
      <c r="AR6" s="460">
        <v>0</v>
      </c>
      <c r="AS6" s="460">
        <v>0</v>
      </c>
      <c r="AT6" s="460">
        <v>0</v>
      </c>
      <c r="AU6" s="460">
        <v>0</v>
      </c>
      <c r="AV6" s="460">
        <v>0</v>
      </c>
      <c r="AW6" s="460">
        <v>0</v>
      </c>
      <c r="AX6" s="460">
        <v>0</v>
      </c>
      <c r="AY6" s="460">
        <v>0</v>
      </c>
      <c r="AZ6" s="460">
        <v>0</v>
      </c>
      <c r="BA6" s="460">
        <v>0</v>
      </c>
      <c r="BB6" s="460">
        <v>0</v>
      </c>
      <c r="BC6" s="460">
        <v>0</v>
      </c>
      <c r="BD6" s="460">
        <v>0</v>
      </c>
      <c r="BE6" s="460">
        <v>0</v>
      </c>
      <c r="BF6" s="460">
        <v>0</v>
      </c>
      <c r="BG6" s="460">
        <v>0</v>
      </c>
      <c r="BH6" s="460">
        <v>0</v>
      </c>
      <c r="BI6" s="460">
        <v>0</v>
      </c>
      <c r="BJ6" s="460">
        <v>0</v>
      </c>
      <c r="BK6" s="460">
        <v>0</v>
      </c>
      <c r="BL6" s="460">
        <v>0</v>
      </c>
      <c r="BM6" s="460">
        <v>0</v>
      </c>
      <c r="BN6" s="460">
        <v>0</v>
      </c>
      <c r="BO6" s="460">
        <v>0</v>
      </c>
      <c r="BP6" s="460">
        <v>0</v>
      </c>
      <c r="BQ6" s="460">
        <v>0</v>
      </c>
      <c r="BR6" s="460">
        <v>0</v>
      </c>
      <c r="BS6" s="460">
        <v>0</v>
      </c>
      <c r="BT6" s="460">
        <v>0</v>
      </c>
      <c r="BU6" s="460">
        <v>0</v>
      </c>
      <c r="BV6" s="460">
        <v>0</v>
      </c>
      <c r="BW6" s="460">
        <v>0</v>
      </c>
      <c r="BX6" s="460">
        <v>0</v>
      </c>
      <c r="BY6" s="460">
        <v>0</v>
      </c>
      <c r="BZ6" s="460">
        <v>0</v>
      </c>
      <c r="CA6" s="460" t="e">
        <v>#N/A</v>
      </c>
      <c r="CB6" s="460" t="e">
        <v>#N/A</v>
      </c>
      <c r="CC6" s="460" t="e">
        <v>#N/A</v>
      </c>
    </row>
    <row r="7" spans="1:81" ht="12.75" customHeight="1">
      <c r="A7" s="105">
        <v>2</v>
      </c>
      <c r="B7" s="112" t="str">
        <v>1W</v>
      </c>
      <c r="C7" s="262">
        <f>'eur disaggregated'!AD18+'eur disaggregated'!AC18</f>
        <v>223.329199650417</v>
      </c>
      <c r="D7" s="111" t="str">
        <f t="shared" ref="D7:D30" si="1">IF(LEN(B7)&gt;3, "3M",IF(LEN(B7)&gt;0,SimplifyTenor(B7),""))</f>
        <v>1W</v>
      </c>
      <c r="E7" s="441">
        <f>BktEur3mPL!E7</f>
        <v>42696</v>
      </c>
      <c r="F7" s="441">
        <f>BktEur3mPL!F7</f>
        <v>42703</v>
      </c>
      <c r="G7" s="462">
        <f t="shared" ref="G7:G70" si="2">IF(AND(70&lt;H7, H7&lt;130),(100-H7)/100,H7/100)</f>
        <v>-3.2427992100000002E-3</v>
      </c>
      <c r="H7" s="453">
        <f>BktEur3mPL!H7</f>
        <v>-0.32427992100000003</v>
      </c>
      <c r="I7" s="107" t="str">
        <v>T/N</v>
      </c>
      <c r="J7" s="106" t="str">
        <f>IF(LEN(I7)&gt;0,IF((MID(I7,4,1)=" "),#REF!,IF((LEN(I7)=8),DATE("20" &amp; RIGHT(I7,2),MID(I7,4,2),LEFT(I7,2)),SimplifyTenor(I7))),"")</f>
        <v>2D</v>
      </c>
      <c r="K7" s="441">
        <f>_xll.qlCalendarAdvance("TARGET",EvaluationDate,J7)</f>
        <v>42696</v>
      </c>
      <c r="M7" s="99" t="str">
        <v>T/N</v>
      </c>
      <c r="N7" s="465">
        <v>0</v>
      </c>
      <c r="P7" s="106" t="b">
        <f t="shared" si="0"/>
        <v>0</v>
      </c>
      <c r="Q7" s="460">
        <f t="array" ref="Q7:CC7">C7*ForwardToZero(OisBuckets,E7,F7,G7)</f>
        <v>0</v>
      </c>
      <c r="R7" s="460">
        <v>0</v>
      </c>
      <c r="S7" s="460">
        <v>0</v>
      </c>
      <c r="T7" s="460">
        <v>223.329199650417</v>
      </c>
      <c r="U7" s="460">
        <v>0</v>
      </c>
      <c r="V7" s="460">
        <v>0</v>
      </c>
      <c r="W7" s="460">
        <v>0</v>
      </c>
      <c r="X7" s="460">
        <v>0</v>
      </c>
      <c r="Y7" s="460">
        <v>0</v>
      </c>
      <c r="Z7" s="460">
        <v>0</v>
      </c>
      <c r="AA7" s="460">
        <v>0</v>
      </c>
      <c r="AB7" s="460">
        <v>0</v>
      </c>
      <c r="AC7" s="460">
        <v>0</v>
      </c>
      <c r="AD7" s="460">
        <v>0</v>
      </c>
      <c r="AE7" s="460">
        <v>0</v>
      </c>
      <c r="AF7" s="460">
        <v>0</v>
      </c>
      <c r="AG7" s="460">
        <v>0</v>
      </c>
      <c r="AH7" s="460">
        <v>0</v>
      </c>
      <c r="AI7" s="460">
        <v>0</v>
      </c>
      <c r="AJ7" s="460">
        <v>0</v>
      </c>
      <c r="AK7" s="460">
        <v>0</v>
      </c>
      <c r="AL7" s="460">
        <v>0</v>
      </c>
      <c r="AM7" s="460">
        <v>0</v>
      </c>
      <c r="AN7" s="460">
        <v>0</v>
      </c>
      <c r="AO7" s="460">
        <v>0</v>
      </c>
      <c r="AP7" s="460">
        <v>0</v>
      </c>
      <c r="AQ7" s="460">
        <v>0</v>
      </c>
      <c r="AR7" s="460">
        <v>0</v>
      </c>
      <c r="AS7" s="460">
        <v>0</v>
      </c>
      <c r="AT7" s="460">
        <v>0</v>
      </c>
      <c r="AU7" s="460">
        <v>0</v>
      </c>
      <c r="AV7" s="460">
        <v>0</v>
      </c>
      <c r="AW7" s="460">
        <v>0</v>
      </c>
      <c r="AX7" s="460">
        <v>0</v>
      </c>
      <c r="AY7" s="460">
        <v>0</v>
      </c>
      <c r="AZ7" s="460">
        <v>0</v>
      </c>
      <c r="BA7" s="460">
        <v>0</v>
      </c>
      <c r="BB7" s="460">
        <v>0</v>
      </c>
      <c r="BC7" s="460">
        <v>0</v>
      </c>
      <c r="BD7" s="460">
        <v>0</v>
      </c>
      <c r="BE7" s="460">
        <v>0</v>
      </c>
      <c r="BF7" s="460">
        <v>0</v>
      </c>
      <c r="BG7" s="460">
        <v>0</v>
      </c>
      <c r="BH7" s="460">
        <v>0</v>
      </c>
      <c r="BI7" s="460">
        <v>0</v>
      </c>
      <c r="BJ7" s="460">
        <v>0</v>
      </c>
      <c r="BK7" s="460">
        <v>0</v>
      </c>
      <c r="BL7" s="460">
        <v>0</v>
      </c>
      <c r="BM7" s="460">
        <v>0</v>
      </c>
      <c r="BN7" s="460">
        <v>0</v>
      </c>
      <c r="BO7" s="460">
        <v>0</v>
      </c>
      <c r="BP7" s="460">
        <v>0</v>
      </c>
      <c r="BQ7" s="460">
        <v>0</v>
      </c>
      <c r="BR7" s="460">
        <v>0</v>
      </c>
      <c r="BS7" s="460">
        <v>0</v>
      </c>
      <c r="BT7" s="460">
        <v>0</v>
      </c>
      <c r="BU7" s="460">
        <v>0</v>
      </c>
      <c r="BV7" s="460">
        <v>0</v>
      </c>
      <c r="BW7" s="460">
        <v>0</v>
      </c>
      <c r="BX7" s="460">
        <v>0</v>
      </c>
      <c r="BY7" s="460">
        <v>0</v>
      </c>
      <c r="BZ7" s="460">
        <v>0</v>
      </c>
      <c r="CA7" s="460" t="e">
        <v>#N/A</v>
      </c>
      <c r="CB7" s="460" t="e">
        <v>#N/A</v>
      </c>
      <c r="CC7" s="460" t="e">
        <v>#N/A</v>
      </c>
    </row>
    <row r="8" spans="1:81" ht="12.75" customHeight="1">
      <c r="A8" s="105">
        <v>3</v>
      </c>
      <c r="B8" s="112" t="str">
        <v>2W</v>
      </c>
      <c r="C8" s="262">
        <f>'eur disaggregated'!AD19+'eur disaggregated'!AC19</f>
        <v>269.63681250909201</v>
      </c>
      <c r="D8" s="111" t="str">
        <f t="shared" si="1"/>
        <v>2W</v>
      </c>
      <c r="E8" s="441">
        <f>BktEur3mPL!E8</f>
        <v>42696</v>
      </c>
      <c r="F8" s="441">
        <f>BktEur3mPL!F8</f>
        <v>42710</v>
      </c>
      <c r="G8" s="462">
        <f t="shared" si="2"/>
        <v>-3.21955702E-3</v>
      </c>
      <c r="H8" s="453">
        <f>BktEur3mPL!H8</f>
        <v>-0.32195570200000001</v>
      </c>
      <c r="I8" s="107" t="str">
        <v>S/N</v>
      </c>
      <c r="J8" s="106" t="str">
        <f>IF(LEN(I8)&gt;0,IF((MID(I8,4,1)=" "),#REF!,IF((LEN(I8)=8),DATE("20" &amp; RIGHT(I8,2),MID(I8,4,2),LEFT(I8,2)),SimplifyTenor(I8))),"")</f>
        <v>3D</v>
      </c>
      <c r="K8" s="441">
        <f>_xll.qlCalendarAdvance("TARGET",EvaluationDate,J8)</f>
        <v>42697</v>
      </c>
      <c r="M8" s="99" t="str">
        <v>S/N</v>
      </c>
      <c r="N8" s="465">
        <v>185.41702314420101</v>
      </c>
      <c r="P8" s="106" t="b">
        <f t="shared" si="0"/>
        <v>0</v>
      </c>
      <c r="Q8" s="460">
        <f t="array" ref="Q8:CC8">C8*ForwardToZero(OisBuckets,E8,F8,G8)</f>
        <v>0</v>
      </c>
      <c r="R8" s="460">
        <v>0</v>
      </c>
      <c r="S8" s="460">
        <v>0</v>
      </c>
      <c r="T8" s="460">
        <v>0</v>
      </c>
      <c r="U8" s="460">
        <v>269.63681250909201</v>
      </c>
      <c r="V8" s="460">
        <v>0</v>
      </c>
      <c r="W8" s="460">
        <v>0</v>
      </c>
      <c r="X8" s="460">
        <v>0</v>
      </c>
      <c r="Y8" s="460">
        <v>0</v>
      </c>
      <c r="Z8" s="460">
        <v>0</v>
      </c>
      <c r="AA8" s="460">
        <v>0</v>
      </c>
      <c r="AB8" s="460">
        <v>0</v>
      </c>
      <c r="AC8" s="460">
        <v>0</v>
      </c>
      <c r="AD8" s="460">
        <v>0</v>
      </c>
      <c r="AE8" s="460">
        <v>0</v>
      </c>
      <c r="AF8" s="460">
        <v>0</v>
      </c>
      <c r="AG8" s="460">
        <v>0</v>
      </c>
      <c r="AH8" s="460">
        <v>0</v>
      </c>
      <c r="AI8" s="460">
        <v>0</v>
      </c>
      <c r="AJ8" s="460">
        <v>0</v>
      </c>
      <c r="AK8" s="460">
        <v>0</v>
      </c>
      <c r="AL8" s="460">
        <v>0</v>
      </c>
      <c r="AM8" s="460">
        <v>0</v>
      </c>
      <c r="AN8" s="460">
        <v>0</v>
      </c>
      <c r="AO8" s="460">
        <v>0</v>
      </c>
      <c r="AP8" s="460">
        <v>0</v>
      </c>
      <c r="AQ8" s="460">
        <v>0</v>
      </c>
      <c r="AR8" s="460">
        <v>0</v>
      </c>
      <c r="AS8" s="460">
        <v>0</v>
      </c>
      <c r="AT8" s="460">
        <v>0</v>
      </c>
      <c r="AU8" s="460">
        <v>0</v>
      </c>
      <c r="AV8" s="460">
        <v>0</v>
      </c>
      <c r="AW8" s="460">
        <v>0</v>
      </c>
      <c r="AX8" s="460">
        <v>0</v>
      </c>
      <c r="AY8" s="460">
        <v>0</v>
      </c>
      <c r="AZ8" s="460">
        <v>0</v>
      </c>
      <c r="BA8" s="460">
        <v>0</v>
      </c>
      <c r="BB8" s="460">
        <v>0</v>
      </c>
      <c r="BC8" s="460">
        <v>0</v>
      </c>
      <c r="BD8" s="460">
        <v>0</v>
      </c>
      <c r="BE8" s="460">
        <v>0</v>
      </c>
      <c r="BF8" s="460">
        <v>0</v>
      </c>
      <c r="BG8" s="460">
        <v>0</v>
      </c>
      <c r="BH8" s="460">
        <v>0</v>
      </c>
      <c r="BI8" s="460">
        <v>0</v>
      </c>
      <c r="BJ8" s="460">
        <v>0</v>
      </c>
      <c r="BK8" s="460">
        <v>0</v>
      </c>
      <c r="BL8" s="460">
        <v>0</v>
      </c>
      <c r="BM8" s="460">
        <v>0</v>
      </c>
      <c r="BN8" s="460">
        <v>0</v>
      </c>
      <c r="BO8" s="460">
        <v>0</v>
      </c>
      <c r="BP8" s="460">
        <v>0</v>
      </c>
      <c r="BQ8" s="460">
        <v>0</v>
      </c>
      <c r="BR8" s="460">
        <v>0</v>
      </c>
      <c r="BS8" s="460">
        <v>0</v>
      </c>
      <c r="BT8" s="460">
        <v>0</v>
      </c>
      <c r="BU8" s="460">
        <v>0</v>
      </c>
      <c r="BV8" s="460">
        <v>0</v>
      </c>
      <c r="BW8" s="460">
        <v>0</v>
      </c>
      <c r="BX8" s="460">
        <v>0</v>
      </c>
      <c r="BY8" s="460">
        <v>0</v>
      </c>
      <c r="BZ8" s="460">
        <v>0</v>
      </c>
      <c r="CA8" s="460" t="e">
        <v>#N/A</v>
      </c>
      <c r="CB8" s="460" t="e">
        <v>#N/A</v>
      </c>
      <c r="CC8" s="460" t="e">
        <v>#N/A</v>
      </c>
    </row>
    <row r="9" spans="1:81" ht="12.75" customHeight="1">
      <c r="A9" s="105">
        <v>4</v>
      </c>
      <c r="B9" s="112" t="str">
        <v>3W</v>
      </c>
      <c r="C9" s="262">
        <f>'eur disaggregated'!AD20+'eur disaggregated'!AC20</f>
        <v>-1549.1214287625701</v>
      </c>
      <c r="D9" s="111" t="str">
        <f t="shared" si="1"/>
        <v>3W</v>
      </c>
      <c r="E9" s="441">
        <f>BktEur3mPL!E9</f>
        <v>42696</v>
      </c>
      <c r="F9" s="441">
        <f>BktEur3mPL!F9</f>
        <v>42717</v>
      </c>
      <c r="G9" s="462">
        <f t="shared" si="2"/>
        <v>-3.2271690800000003E-3</v>
      </c>
      <c r="H9" s="453">
        <f>BktEur3mPL!H9</f>
        <v>-0.32271690800000002</v>
      </c>
      <c r="I9" s="107" t="str">
        <v>1W</v>
      </c>
      <c r="J9" s="106" t="str">
        <f>IF(LEN(I9)&gt;0,IF((MID(I9,4,1)=" "),#REF!,IF((LEN(I9)=8),DATE("20" &amp; RIGHT(I9,2),MID(I9,4,2),LEFT(I9,2)),SimplifyTenor(I9))),"")</f>
        <v>1W</v>
      </c>
      <c r="K9" s="106">
        <f>_xll.qlCalendarAdvance("TARGET",SettlementDate,J9)</f>
        <v>42703</v>
      </c>
      <c r="M9" s="99" t="str">
        <v>1W</v>
      </c>
      <c r="N9" s="465">
        <v>223.329199650417</v>
      </c>
      <c r="P9" s="106" t="b">
        <f t="shared" si="0"/>
        <v>0</v>
      </c>
      <c r="Q9" s="460">
        <f t="array" ref="Q9:CC9">C9*ForwardToZero(OisBuckets,E9,F9,G9)</f>
        <v>0</v>
      </c>
      <c r="R9" s="460">
        <v>0</v>
      </c>
      <c r="S9" s="460">
        <v>0</v>
      </c>
      <c r="T9" s="460">
        <v>0</v>
      </c>
      <c r="U9" s="460">
        <v>0</v>
      </c>
      <c r="V9" s="460">
        <v>-1549.1214287625701</v>
      </c>
      <c r="W9" s="460">
        <v>0</v>
      </c>
      <c r="X9" s="460">
        <v>0</v>
      </c>
      <c r="Y9" s="460">
        <v>0</v>
      </c>
      <c r="Z9" s="460">
        <v>0</v>
      </c>
      <c r="AA9" s="460">
        <v>0</v>
      </c>
      <c r="AB9" s="460">
        <v>0</v>
      </c>
      <c r="AC9" s="460">
        <v>0</v>
      </c>
      <c r="AD9" s="460">
        <v>0</v>
      </c>
      <c r="AE9" s="460">
        <v>0</v>
      </c>
      <c r="AF9" s="460">
        <v>0</v>
      </c>
      <c r="AG9" s="460">
        <v>0</v>
      </c>
      <c r="AH9" s="460">
        <v>0</v>
      </c>
      <c r="AI9" s="460">
        <v>0</v>
      </c>
      <c r="AJ9" s="460">
        <v>0</v>
      </c>
      <c r="AK9" s="460">
        <v>0</v>
      </c>
      <c r="AL9" s="460">
        <v>0</v>
      </c>
      <c r="AM9" s="460">
        <v>0</v>
      </c>
      <c r="AN9" s="460">
        <v>0</v>
      </c>
      <c r="AO9" s="460">
        <v>0</v>
      </c>
      <c r="AP9" s="460">
        <v>0</v>
      </c>
      <c r="AQ9" s="460">
        <v>0</v>
      </c>
      <c r="AR9" s="460">
        <v>0</v>
      </c>
      <c r="AS9" s="460">
        <v>0</v>
      </c>
      <c r="AT9" s="460">
        <v>0</v>
      </c>
      <c r="AU9" s="460">
        <v>0</v>
      </c>
      <c r="AV9" s="460">
        <v>0</v>
      </c>
      <c r="AW9" s="460">
        <v>0</v>
      </c>
      <c r="AX9" s="460">
        <v>0</v>
      </c>
      <c r="AY9" s="460">
        <v>0</v>
      </c>
      <c r="AZ9" s="460">
        <v>0</v>
      </c>
      <c r="BA9" s="460">
        <v>0</v>
      </c>
      <c r="BB9" s="460">
        <v>0</v>
      </c>
      <c r="BC9" s="460">
        <v>0</v>
      </c>
      <c r="BD9" s="460">
        <v>0</v>
      </c>
      <c r="BE9" s="460">
        <v>0</v>
      </c>
      <c r="BF9" s="460">
        <v>0</v>
      </c>
      <c r="BG9" s="460">
        <v>0</v>
      </c>
      <c r="BH9" s="460">
        <v>0</v>
      </c>
      <c r="BI9" s="460">
        <v>0</v>
      </c>
      <c r="BJ9" s="460">
        <v>0</v>
      </c>
      <c r="BK9" s="460">
        <v>0</v>
      </c>
      <c r="BL9" s="460">
        <v>0</v>
      </c>
      <c r="BM9" s="460">
        <v>0</v>
      </c>
      <c r="BN9" s="460">
        <v>0</v>
      </c>
      <c r="BO9" s="460">
        <v>0</v>
      </c>
      <c r="BP9" s="460">
        <v>0</v>
      </c>
      <c r="BQ9" s="460">
        <v>0</v>
      </c>
      <c r="BR9" s="460">
        <v>0</v>
      </c>
      <c r="BS9" s="460">
        <v>0</v>
      </c>
      <c r="BT9" s="460">
        <v>0</v>
      </c>
      <c r="BU9" s="460">
        <v>0</v>
      </c>
      <c r="BV9" s="460">
        <v>0</v>
      </c>
      <c r="BW9" s="460">
        <v>0</v>
      </c>
      <c r="BX9" s="460">
        <v>0</v>
      </c>
      <c r="BY9" s="460">
        <v>0</v>
      </c>
      <c r="BZ9" s="460">
        <v>0</v>
      </c>
      <c r="CA9" s="460" t="e">
        <v>#N/A</v>
      </c>
      <c r="CB9" s="460" t="e">
        <v>#N/A</v>
      </c>
      <c r="CC9" s="460" t="e">
        <v>#N/A</v>
      </c>
    </row>
    <row r="10" spans="1:81" ht="12.75" customHeight="1">
      <c r="A10" s="105">
        <v>5</v>
      </c>
      <c r="B10" s="112" t="str">
        <v>1M</v>
      </c>
      <c r="C10" s="262">
        <f>'eur disaggregated'!AD21+'eur disaggregated'!AC21</f>
        <v>3433.1263533598199</v>
      </c>
      <c r="D10" s="111" t="str">
        <f t="shared" si="1"/>
        <v>1M</v>
      </c>
      <c r="E10" s="441">
        <f>BktEur3mPL!E10</f>
        <v>42696</v>
      </c>
      <c r="F10" s="441">
        <f>BktEur3mPL!F10</f>
        <v>42726</v>
      </c>
      <c r="G10" s="462">
        <f t="shared" si="2"/>
        <v>-3.2320000000000001E-3</v>
      </c>
      <c r="H10" s="453">
        <f>BktEur3mPL!H10</f>
        <v>-0.32319999999999999</v>
      </c>
      <c r="I10" s="107" t="str">
        <v>2W</v>
      </c>
      <c r="J10" s="106" t="str">
        <f>IF(LEN(I10)&gt;0,IF((MID(I10,4,1)=" "),#REF!,IF((LEN(I10)=8),DATE("20" &amp; RIGHT(I10,2),MID(I10,4,2),LEFT(I10,2)),SimplifyTenor(I10))),"")</f>
        <v>2W</v>
      </c>
      <c r="K10" s="106">
        <f>_xll.qlCalendarAdvance("TARGET",SettlementDate,J10)</f>
        <v>42710</v>
      </c>
      <c r="M10" s="99" t="str">
        <v>2W</v>
      </c>
      <c r="N10" s="465">
        <v>269.63681250909201</v>
      </c>
      <c r="P10" s="106" t="b">
        <f t="shared" si="0"/>
        <v>0</v>
      </c>
      <c r="Q10" s="460">
        <f t="array" ref="Q10:CC10">C10*ForwardToZero(OisBuckets,E10,F10,G10)</f>
        <v>0</v>
      </c>
      <c r="R10" s="460">
        <v>0</v>
      </c>
      <c r="S10" s="460">
        <v>0</v>
      </c>
      <c r="T10" s="460">
        <v>0</v>
      </c>
      <c r="U10" s="460">
        <v>0</v>
      </c>
      <c r="V10" s="460">
        <v>0</v>
      </c>
      <c r="W10" s="460">
        <v>3433.1263533598199</v>
      </c>
      <c r="X10" s="460">
        <v>0</v>
      </c>
      <c r="Y10" s="460">
        <v>0</v>
      </c>
      <c r="Z10" s="460">
        <v>0</v>
      </c>
      <c r="AA10" s="460">
        <v>0</v>
      </c>
      <c r="AB10" s="460">
        <v>0</v>
      </c>
      <c r="AC10" s="460">
        <v>0</v>
      </c>
      <c r="AD10" s="460">
        <v>0</v>
      </c>
      <c r="AE10" s="460">
        <v>0</v>
      </c>
      <c r="AF10" s="460">
        <v>0</v>
      </c>
      <c r="AG10" s="460">
        <v>0</v>
      </c>
      <c r="AH10" s="460">
        <v>0</v>
      </c>
      <c r="AI10" s="460">
        <v>0</v>
      </c>
      <c r="AJ10" s="460">
        <v>0</v>
      </c>
      <c r="AK10" s="460">
        <v>0</v>
      </c>
      <c r="AL10" s="460">
        <v>0</v>
      </c>
      <c r="AM10" s="460">
        <v>0</v>
      </c>
      <c r="AN10" s="460">
        <v>0</v>
      </c>
      <c r="AO10" s="460">
        <v>0</v>
      </c>
      <c r="AP10" s="460">
        <v>0</v>
      </c>
      <c r="AQ10" s="460">
        <v>0</v>
      </c>
      <c r="AR10" s="460">
        <v>0</v>
      </c>
      <c r="AS10" s="460">
        <v>0</v>
      </c>
      <c r="AT10" s="460">
        <v>0</v>
      </c>
      <c r="AU10" s="460">
        <v>0</v>
      </c>
      <c r="AV10" s="460">
        <v>0</v>
      </c>
      <c r="AW10" s="460">
        <v>0</v>
      </c>
      <c r="AX10" s="460">
        <v>0</v>
      </c>
      <c r="AY10" s="460">
        <v>0</v>
      </c>
      <c r="AZ10" s="460">
        <v>0</v>
      </c>
      <c r="BA10" s="460">
        <v>0</v>
      </c>
      <c r="BB10" s="460">
        <v>0</v>
      </c>
      <c r="BC10" s="460">
        <v>0</v>
      </c>
      <c r="BD10" s="460">
        <v>0</v>
      </c>
      <c r="BE10" s="460">
        <v>0</v>
      </c>
      <c r="BF10" s="460">
        <v>0</v>
      </c>
      <c r="BG10" s="460">
        <v>0</v>
      </c>
      <c r="BH10" s="460">
        <v>0</v>
      </c>
      <c r="BI10" s="460">
        <v>0</v>
      </c>
      <c r="BJ10" s="460">
        <v>0</v>
      </c>
      <c r="BK10" s="460">
        <v>0</v>
      </c>
      <c r="BL10" s="460">
        <v>0</v>
      </c>
      <c r="BM10" s="460">
        <v>0</v>
      </c>
      <c r="BN10" s="460">
        <v>0</v>
      </c>
      <c r="BO10" s="460">
        <v>0</v>
      </c>
      <c r="BP10" s="460">
        <v>0</v>
      </c>
      <c r="BQ10" s="460">
        <v>0</v>
      </c>
      <c r="BR10" s="460">
        <v>0</v>
      </c>
      <c r="BS10" s="460">
        <v>0</v>
      </c>
      <c r="BT10" s="460">
        <v>0</v>
      </c>
      <c r="BU10" s="460">
        <v>0</v>
      </c>
      <c r="BV10" s="460">
        <v>0</v>
      </c>
      <c r="BW10" s="460">
        <v>0</v>
      </c>
      <c r="BX10" s="460">
        <v>0</v>
      </c>
      <c r="BY10" s="460">
        <v>0</v>
      </c>
      <c r="BZ10" s="460">
        <v>0</v>
      </c>
      <c r="CA10" s="460" t="e">
        <v>#N/A</v>
      </c>
      <c r="CB10" s="460" t="e">
        <v>#N/A</v>
      </c>
      <c r="CC10" s="460" t="e">
        <v>#N/A</v>
      </c>
    </row>
    <row r="11" spans="1:81" ht="12.75" customHeight="1">
      <c r="A11" s="105">
        <v>6</v>
      </c>
      <c r="B11" s="112" t="str">
        <v>2M</v>
      </c>
      <c r="C11" s="262">
        <f>'eur disaggregated'!AD22+'eur disaggregated'!AC22</f>
        <v>-1229.2832058259</v>
      </c>
      <c r="D11" s="111" t="str">
        <f t="shared" si="1"/>
        <v>2M</v>
      </c>
      <c r="E11" s="441">
        <f>BktEur3mPL!E11</f>
        <v>42696</v>
      </c>
      <c r="F11" s="441">
        <f>BktEur3mPL!F11</f>
        <v>42758</v>
      </c>
      <c r="G11" s="462">
        <f t="shared" si="2"/>
        <v>-3.1649999999999998E-3</v>
      </c>
      <c r="H11" s="453">
        <f>BktEur3mPL!H11</f>
        <v>-0.3165</v>
      </c>
      <c r="I11" s="107" t="str">
        <v>3W</v>
      </c>
      <c r="J11" s="106" t="str">
        <f>IF(LEN(I11)&gt;0,IF((MID(I11,4,1)=" "),#REF!,IF((LEN(I11)=8),DATE("20" &amp; RIGHT(I11,2),MID(I11,4,2),LEFT(I11,2)),SimplifyTenor(I11))),"")</f>
        <v>3W</v>
      </c>
      <c r="K11" s="106">
        <f>_xll.qlCalendarAdvance("TARGET",SettlementDate,J11)</f>
        <v>42717</v>
      </c>
      <c r="M11" s="99" t="str">
        <v>3W</v>
      </c>
      <c r="N11" s="465">
        <v>-1549.1214287625701</v>
      </c>
      <c r="P11" s="106" t="b">
        <f t="shared" si="0"/>
        <v>0</v>
      </c>
      <c r="Q11" s="460">
        <f t="array" ref="Q11:CC11">C11*ForwardToZero(OisBuckets,E11,F11,G11)</f>
        <v>0</v>
      </c>
      <c r="R11" s="460">
        <v>0</v>
      </c>
      <c r="S11" s="460">
        <v>0</v>
      </c>
      <c r="T11" s="460">
        <v>0</v>
      </c>
      <c r="U11" s="460">
        <v>0</v>
      </c>
      <c r="V11" s="460">
        <v>0</v>
      </c>
      <c r="W11" s="460">
        <v>0</v>
      </c>
      <c r="X11" s="460">
        <v>-1229.2832058259</v>
      </c>
      <c r="Y11" s="460">
        <v>0</v>
      </c>
      <c r="Z11" s="460">
        <v>0</v>
      </c>
      <c r="AA11" s="460">
        <v>0</v>
      </c>
      <c r="AB11" s="460">
        <v>0</v>
      </c>
      <c r="AC11" s="460">
        <v>0</v>
      </c>
      <c r="AD11" s="460">
        <v>0</v>
      </c>
      <c r="AE11" s="460">
        <v>0</v>
      </c>
      <c r="AF11" s="460">
        <v>0</v>
      </c>
      <c r="AG11" s="460">
        <v>0</v>
      </c>
      <c r="AH11" s="460">
        <v>0</v>
      </c>
      <c r="AI11" s="460">
        <v>0</v>
      </c>
      <c r="AJ11" s="460">
        <v>0</v>
      </c>
      <c r="AK11" s="460">
        <v>0</v>
      </c>
      <c r="AL11" s="460">
        <v>0</v>
      </c>
      <c r="AM11" s="460">
        <v>0</v>
      </c>
      <c r="AN11" s="460">
        <v>0</v>
      </c>
      <c r="AO11" s="460">
        <v>0</v>
      </c>
      <c r="AP11" s="460">
        <v>0</v>
      </c>
      <c r="AQ11" s="460">
        <v>0</v>
      </c>
      <c r="AR11" s="460">
        <v>0</v>
      </c>
      <c r="AS11" s="460">
        <v>0</v>
      </c>
      <c r="AT11" s="460">
        <v>0</v>
      </c>
      <c r="AU11" s="460">
        <v>0</v>
      </c>
      <c r="AV11" s="460">
        <v>0</v>
      </c>
      <c r="AW11" s="460">
        <v>0</v>
      </c>
      <c r="AX11" s="460">
        <v>0</v>
      </c>
      <c r="AY11" s="460">
        <v>0</v>
      </c>
      <c r="AZ11" s="460">
        <v>0</v>
      </c>
      <c r="BA11" s="460">
        <v>0</v>
      </c>
      <c r="BB11" s="460">
        <v>0</v>
      </c>
      <c r="BC11" s="460">
        <v>0</v>
      </c>
      <c r="BD11" s="460">
        <v>0</v>
      </c>
      <c r="BE11" s="460">
        <v>0</v>
      </c>
      <c r="BF11" s="460">
        <v>0</v>
      </c>
      <c r="BG11" s="460">
        <v>0</v>
      </c>
      <c r="BH11" s="460">
        <v>0</v>
      </c>
      <c r="BI11" s="460">
        <v>0</v>
      </c>
      <c r="BJ11" s="460">
        <v>0</v>
      </c>
      <c r="BK11" s="460">
        <v>0</v>
      </c>
      <c r="BL11" s="460">
        <v>0</v>
      </c>
      <c r="BM11" s="460">
        <v>0</v>
      </c>
      <c r="BN11" s="460">
        <v>0</v>
      </c>
      <c r="BO11" s="460">
        <v>0</v>
      </c>
      <c r="BP11" s="460">
        <v>0</v>
      </c>
      <c r="BQ11" s="460">
        <v>0</v>
      </c>
      <c r="BR11" s="460">
        <v>0</v>
      </c>
      <c r="BS11" s="460">
        <v>0</v>
      </c>
      <c r="BT11" s="460">
        <v>0</v>
      </c>
      <c r="BU11" s="460">
        <v>0</v>
      </c>
      <c r="BV11" s="460">
        <v>0</v>
      </c>
      <c r="BW11" s="460">
        <v>0</v>
      </c>
      <c r="BX11" s="460">
        <v>0</v>
      </c>
      <c r="BY11" s="460">
        <v>0</v>
      </c>
      <c r="BZ11" s="460">
        <v>0</v>
      </c>
      <c r="CA11" s="460" t="e">
        <v>#N/A</v>
      </c>
      <c r="CB11" s="460" t="e">
        <v>#N/A</v>
      </c>
      <c r="CC11" s="460" t="e">
        <v>#N/A</v>
      </c>
    </row>
    <row r="12" spans="1:81" ht="12.75" customHeight="1">
      <c r="A12" s="105">
        <v>7</v>
      </c>
      <c r="B12" s="112" t="str">
        <v>3M</v>
      </c>
      <c r="C12" s="262">
        <f>'eur disaggregated'!AD23+'eur disaggregated'!AC23</f>
        <v>-5053.2759956468099</v>
      </c>
      <c r="D12" s="111" t="str">
        <f t="shared" si="1"/>
        <v>3M</v>
      </c>
      <c r="E12" s="441">
        <f>BktEur3mPL!E12</f>
        <v>42696</v>
      </c>
      <c r="F12" s="441">
        <f>BktEur3mPL!F12</f>
        <v>42788</v>
      </c>
      <c r="G12" s="462">
        <f t="shared" si="2"/>
        <v>-3.1310000000000001E-3</v>
      </c>
      <c r="H12" s="453">
        <f>BktEur3mPL!H12</f>
        <v>-0.31309999999999999</v>
      </c>
      <c r="I12" s="107" t="str">
        <v>1M</v>
      </c>
      <c r="J12" s="106" t="str">
        <f>IF(LEN(I12)&gt;0,IF((MID(I12,4,1)=" "),#REF!,IF((LEN(I12)=8),DATE("20" &amp; RIGHT(I12,2),MID(I12,4,2),LEFT(I12,2)),SimplifyTenor(I12))),"")</f>
        <v>1M</v>
      </c>
      <c r="K12" s="106">
        <f>_xll.qlCalendarAdvance("TARGET",SettlementDate,J12)</f>
        <v>42726</v>
      </c>
      <c r="M12" s="99" t="str">
        <v>1M</v>
      </c>
      <c r="N12" s="465">
        <v>4756.744915415421</v>
      </c>
      <c r="P12" s="106" t="b">
        <f t="shared" si="0"/>
        <v>0</v>
      </c>
      <c r="Q12" s="460">
        <f t="array" ref="Q12:CC12">C12*ForwardToZero(OisBuckets,E12,F12,G12)</f>
        <v>0</v>
      </c>
      <c r="R12" s="460">
        <v>0</v>
      </c>
      <c r="S12" s="460">
        <v>0</v>
      </c>
      <c r="T12" s="460">
        <v>0</v>
      </c>
      <c r="U12" s="460">
        <v>0</v>
      </c>
      <c r="V12" s="460">
        <v>0</v>
      </c>
      <c r="W12" s="460">
        <v>0</v>
      </c>
      <c r="X12" s="460">
        <v>0</v>
      </c>
      <c r="Y12" s="460">
        <v>-5053.2759956468099</v>
      </c>
      <c r="Z12" s="460">
        <v>0</v>
      </c>
      <c r="AA12" s="460">
        <v>0</v>
      </c>
      <c r="AB12" s="460">
        <v>0</v>
      </c>
      <c r="AC12" s="460">
        <v>0</v>
      </c>
      <c r="AD12" s="460">
        <v>0</v>
      </c>
      <c r="AE12" s="460">
        <v>0</v>
      </c>
      <c r="AF12" s="460">
        <v>0</v>
      </c>
      <c r="AG12" s="460">
        <v>0</v>
      </c>
      <c r="AH12" s="460">
        <v>0</v>
      </c>
      <c r="AI12" s="460">
        <v>0</v>
      </c>
      <c r="AJ12" s="460">
        <v>0</v>
      </c>
      <c r="AK12" s="460">
        <v>0</v>
      </c>
      <c r="AL12" s="460">
        <v>0</v>
      </c>
      <c r="AM12" s="460">
        <v>0</v>
      </c>
      <c r="AN12" s="460">
        <v>0</v>
      </c>
      <c r="AO12" s="460">
        <v>0</v>
      </c>
      <c r="AP12" s="460">
        <v>0</v>
      </c>
      <c r="AQ12" s="460">
        <v>0</v>
      </c>
      <c r="AR12" s="460">
        <v>0</v>
      </c>
      <c r="AS12" s="460">
        <v>0</v>
      </c>
      <c r="AT12" s="460">
        <v>0</v>
      </c>
      <c r="AU12" s="460">
        <v>0</v>
      </c>
      <c r="AV12" s="460">
        <v>0</v>
      </c>
      <c r="AW12" s="460">
        <v>0</v>
      </c>
      <c r="AX12" s="460">
        <v>0</v>
      </c>
      <c r="AY12" s="460">
        <v>0</v>
      </c>
      <c r="AZ12" s="460">
        <v>0</v>
      </c>
      <c r="BA12" s="460">
        <v>0</v>
      </c>
      <c r="BB12" s="460">
        <v>0</v>
      </c>
      <c r="BC12" s="460">
        <v>0</v>
      </c>
      <c r="BD12" s="460">
        <v>0</v>
      </c>
      <c r="BE12" s="460">
        <v>0</v>
      </c>
      <c r="BF12" s="460">
        <v>0</v>
      </c>
      <c r="BG12" s="460">
        <v>0</v>
      </c>
      <c r="BH12" s="460">
        <v>0</v>
      </c>
      <c r="BI12" s="460">
        <v>0</v>
      </c>
      <c r="BJ12" s="460">
        <v>0</v>
      </c>
      <c r="BK12" s="460">
        <v>0</v>
      </c>
      <c r="BL12" s="460">
        <v>0</v>
      </c>
      <c r="BM12" s="460">
        <v>0</v>
      </c>
      <c r="BN12" s="460">
        <v>0</v>
      </c>
      <c r="BO12" s="460">
        <v>0</v>
      </c>
      <c r="BP12" s="460">
        <v>0</v>
      </c>
      <c r="BQ12" s="460">
        <v>0</v>
      </c>
      <c r="BR12" s="460">
        <v>0</v>
      </c>
      <c r="BS12" s="460">
        <v>0</v>
      </c>
      <c r="BT12" s="460">
        <v>0</v>
      </c>
      <c r="BU12" s="460">
        <v>0</v>
      </c>
      <c r="BV12" s="460">
        <v>0</v>
      </c>
      <c r="BW12" s="460">
        <v>0</v>
      </c>
      <c r="BX12" s="460">
        <v>0</v>
      </c>
      <c r="BY12" s="460">
        <v>0</v>
      </c>
      <c r="BZ12" s="460">
        <v>0</v>
      </c>
      <c r="CA12" s="460" t="e">
        <v>#N/A</v>
      </c>
      <c r="CB12" s="460" t="e">
        <v>#N/A</v>
      </c>
      <c r="CC12" s="460" t="e">
        <v>#N/A</v>
      </c>
    </row>
    <row r="13" spans="1:81">
      <c r="A13" s="105">
        <v>8</v>
      </c>
      <c r="B13" s="112" t="str">
        <v>1M-4M</v>
      </c>
      <c r="C13" s="262">
        <f>'eur disaggregated'!AD24+'eur disaggregated'!AC24</f>
        <v>-3503.6961936765897</v>
      </c>
      <c r="D13" s="111" t="str">
        <f t="shared" si="1"/>
        <v>3M</v>
      </c>
      <c r="E13" s="441">
        <f>BktEur3mPL!E13</f>
        <v>42726</v>
      </c>
      <c r="F13" s="441">
        <f>BktEur3mPL!F13</f>
        <v>42816</v>
      </c>
      <c r="G13" s="462">
        <f t="shared" si="2"/>
        <v>-3.0499999999999998E-3</v>
      </c>
      <c r="H13" s="453">
        <f>BktEur3mPL!H13</f>
        <v>-0.30499999999999999</v>
      </c>
      <c r="I13" s="107" t="str">
        <v>2M</v>
      </c>
      <c r="J13" s="106" t="str">
        <f>IF(LEN(I13)&gt;0,IF((MID(I13,4,1)=" "),#REF!,IF((LEN(I13)=8),DATE("20" &amp; RIGHT(I13,2),MID(I13,4,2),LEFT(I13,2)),SimplifyTenor(I13))),"")</f>
        <v>2M</v>
      </c>
      <c r="K13" s="106">
        <f>_xll.qlCalendarAdvance("TARGET",SettlementDate,J13)</f>
        <v>42758</v>
      </c>
      <c r="M13" s="99" t="str">
        <v>2M</v>
      </c>
      <c r="N13" s="465">
        <v>-33.207230677620601</v>
      </c>
      <c r="P13" s="106" t="b">
        <f t="shared" si="0"/>
        <v>0</v>
      </c>
      <c r="Q13" s="460">
        <f t="array" ref="Q13:CC13">C13*ForwardToZero(OisBuckets,E13,F13,G13)</f>
        <v>0</v>
      </c>
      <c r="R13" s="460">
        <v>0</v>
      </c>
      <c r="S13" s="460">
        <v>0</v>
      </c>
      <c r="T13" s="460">
        <v>0</v>
      </c>
      <c r="U13" s="460">
        <v>0</v>
      </c>
      <c r="V13" s="460">
        <v>0</v>
      </c>
      <c r="W13" s="460">
        <v>1323.6185620556009</v>
      </c>
      <c r="X13" s="460">
        <v>0</v>
      </c>
      <c r="Y13" s="460">
        <v>0</v>
      </c>
      <c r="Z13" s="460">
        <v>-4827.31475573219</v>
      </c>
      <c r="AA13" s="460">
        <v>0</v>
      </c>
      <c r="AB13" s="460">
        <v>0</v>
      </c>
      <c r="AC13" s="460">
        <v>0</v>
      </c>
      <c r="AD13" s="460">
        <v>0</v>
      </c>
      <c r="AE13" s="460">
        <v>0</v>
      </c>
      <c r="AF13" s="460">
        <v>0</v>
      </c>
      <c r="AG13" s="460">
        <v>0</v>
      </c>
      <c r="AH13" s="460">
        <v>0</v>
      </c>
      <c r="AI13" s="460">
        <v>0</v>
      </c>
      <c r="AJ13" s="460">
        <v>0</v>
      </c>
      <c r="AK13" s="460">
        <v>0</v>
      </c>
      <c r="AL13" s="460">
        <v>0</v>
      </c>
      <c r="AM13" s="460">
        <v>0</v>
      </c>
      <c r="AN13" s="460">
        <v>0</v>
      </c>
      <c r="AO13" s="460">
        <v>0</v>
      </c>
      <c r="AP13" s="460">
        <v>0</v>
      </c>
      <c r="AQ13" s="460">
        <v>0</v>
      </c>
      <c r="AR13" s="460">
        <v>0</v>
      </c>
      <c r="AS13" s="460">
        <v>0</v>
      </c>
      <c r="AT13" s="460">
        <v>0</v>
      </c>
      <c r="AU13" s="460">
        <v>0</v>
      </c>
      <c r="AV13" s="460">
        <v>0</v>
      </c>
      <c r="AW13" s="460">
        <v>0</v>
      </c>
      <c r="AX13" s="460">
        <v>0</v>
      </c>
      <c r="AY13" s="460">
        <v>0</v>
      </c>
      <c r="AZ13" s="460">
        <v>0</v>
      </c>
      <c r="BA13" s="460">
        <v>0</v>
      </c>
      <c r="BB13" s="460">
        <v>0</v>
      </c>
      <c r="BC13" s="460">
        <v>0</v>
      </c>
      <c r="BD13" s="460">
        <v>0</v>
      </c>
      <c r="BE13" s="460">
        <v>0</v>
      </c>
      <c r="BF13" s="460">
        <v>0</v>
      </c>
      <c r="BG13" s="460">
        <v>0</v>
      </c>
      <c r="BH13" s="460">
        <v>0</v>
      </c>
      <c r="BI13" s="460">
        <v>0</v>
      </c>
      <c r="BJ13" s="460">
        <v>0</v>
      </c>
      <c r="BK13" s="460">
        <v>0</v>
      </c>
      <c r="BL13" s="460">
        <v>0</v>
      </c>
      <c r="BM13" s="460">
        <v>0</v>
      </c>
      <c r="BN13" s="460">
        <v>0</v>
      </c>
      <c r="BO13" s="460">
        <v>0</v>
      </c>
      <c r="BP13" s="460">
        <v>0</v>
      </c>
      <c r="BQ13" s="460">
        <v>0</v>
      </c>
      <c r="BR13" s="460">
        <v>0</v>
      </c>
      <c r="BS13" s="460">
        <v>0</v>
      </c>
      <c r="BT13" s="460">
        <v>0</v>
      </c>
      <c r="BU13" s="460">
        <v>0</v>
      </c>
      <c r="BV13" s="460">
        <v>0</v>
      </c>
      <c r="BW13" s="460">
        <v>0</v>
      </c>
      <c r="BX13" s="460">
        <v>0</v>
      </c>
      <c r="BY13" s="460">
        <v>0</v>
      </c>
      <c r="BZ13" s="460">
        <v>0</v>
      </c>
      <c r="CA13" s="460" t="e">
        <v>#N/A</v>
      </c>
      <c r="CB13" s="460" t="e">
        <v>#N/A</v>
      </c>
      <c r="CC13" s="460" t="e">
        <v>#N/A</v>
      </c>
    </row>
    <row r="14" spans="1:81" ht="12.75" customHeight="1">
      <c r="A14" s="105">
        <v>9</v>
      </c>
      <c r="B14" s="112" t="str">
        <v>2M-5M</v>
      </c>
      <c r="C14" s="262">
        <f>'eur disaggregated'!AD25+'eur disaggregated'!AC25</f>
        <v>-1649.13505664384</v>
      </c>
      <c r="D14" s="111" t="str">
        <f t="shared" si="1"/>
        <v>3M</v>
      </c>
      <c r="E14" s="441">
        <f>BktEur3mPL!E14</f>
        <v>42758</v>
      </c>
      <c r="F14" s="441">
        <f>BktEur3mPL!F14</f>
        <v>42849</v>
      </c>
      <c r="G14" s="462">
        <f t="shared" si="2"/>
        <v>-3.0000000000000001E-3</v>
      </c>
      <c r="H14" s="453">
        <f>BktEur3mPL!H14</f>
        <v>-0.3</v>
      </c>
      <c r="I14" s="107" t="str">
        <v>3M</v>
      </c>
      <c r="J14" s="106" t="str">
        <f>IF(LEN(I14)&gt;0,IF((MID(I14,4,1)=" "),#REF!,IF((LEN(I14)=8),DATE("20" &amp; RIGHT(I14,2),MID(I14,4,2),LEFT(I14,2)),SimplifyTenor(I14))),"")</f>
        <v>3M</v>
      </c>
      <c r="K14" s="106">
        <f>_xll.qlCalendarAdvance("TARGET",SettlementDate,J14)</f>
        <v>42788</v>
      </c>
      <c r="M14" s="99" t="str">
        <v>3M</v>
      </c>
      <c r="N14" s="465">
        <v>-8006.2923639915753</v>
      </c>
      <c r="P14" s="106" t="b">
        <f t="shared" si="0"/>
        <v>0</v>
      </c>
      <c r="Q14" s="460">
        <f t="array" ref="Q14:CC14">C14*ForwardToZero(OisBuckets,E14,F14,G14)</f>
        <v>0</v>
      </c>
      <c r="R14" s="460">
        <v>0</v>
      </c>
      <c r="S14" s="460">
        <v>0</v>
      </c>
      <c r="T14" s="460">
        <v>0</v>
      </c>
      <c r="U14" s="460">
        <v>0</v>
      </c>
      <c r="V14" s="460">
        <v>0</v>
      </c>
      <c r="W14" s="460">
        <v>0</v>
      </c>
      <c r="X14" s="460">
        <v>1196.0759751482794</v>
      </c>
      <c r="Y14" s="460">
        <v>0</v>
      </c>
      <c r="Z14" s="460">
        <v>0</v>
      </c>
      <c r="AA14" s="460">
        <v>-2845.2110317921192</v>
      </c>
      <c r="AB14" s="460">
        <v>0</v>
      </c>
      <c r="AC14" s="460">
        <v>0</v>
      </c>
      <c r="AD14" s="460">
        <v>0</v>
      </c>
      <c r="AE14" s="460">
        <v>0</v>
      </c>
      <c r="AF14" s="460">
        <v>0</v>
      </c>
      <c r="AG14" s="460">
        <v>0</v>
      </c>
      <c r="AH14" s="460">
        <v>0</v>
      </c>
      <c r="AI14" s="460">
        <v>0</v>
      </c>
      <c r="AJ14" s="460">
        <v>0</v>
      </c>
      <c r="AK14" s="460">
        <v>0</v>
      </c>
      <c r="AL14" s="460">
        <v>0</v>
      </c>
      <c r="AM14" s="460">
        <v>0</v>
      </c>
      <c r="AN14" s="460">
        <v>0</v>
      </c>
      <c r="AO14" s="460">
        <v>0</v>
      </c>
      <c r="AP14" s="460">
        <v>0</v>
      </c>
      <c r="AQ14" s="460">
        <v>0</v>
      </c>
      <c r="AR14" s="460">
        <v>0</v>
      </c>
      <c r="AS14" s="460">
        <v>0</v>
      </c>
      <c r="AT14" s="460">
        <v>0</v>
      </c>
      <c r="AU14" s="460">
        <v>0</v>
      </c>
      <c r="AV14" s="460">
        <v>0</v>
      </c>
      <c r="AW14" s="460">
        <v>0</v>
      </c>
      <c r="AX14" s="460">
        <v>0</v>
      </c>
      <c r="AY14" s="460">
        <v>0</v>
      </c>
      <c r="AZ14" s="460">
        <v>0</v>
      </c>
      <c r="BA14" s="460">
        <v>0</v>
      </c>
      <c r="BB14" s="460">
        <v>0</v>
      </c>
      <c r="BC14" s="460">
        <v>0</v>
      </c>
      <c r="BD14" s="460">
        <v>0</v>
      </c>
      <c r="BE14" s="460">
        <v>0</v>
      </c>
      <c r="BF14" s="460">
        <v>0</v>
      </c>
      <c r="BG14" s="460">
        <v>0</v>
      </c>
      <c r="BH14" s="460">
        <v>0</v>
      </c>
      <c r="BI14" s="460">
        <v>0</v>
      </c>
      <c r="BJ14" s="460">
        <v>0</v>
      </c>
      <c r="BK14" s="460">
        <v>0</v>
      </c>
      <c r="BL14" s="460">
        <v>0</v>
      </c>
      <c r="BM14" s="460">
        <v>0</v>
      </c>
      <c r="BN14" s="460">
        <v>0</v>
      </c>
      <c r="BO14" s="460">
        <v>0</v>
      </c>
      <c r="BP14" s="460">
        <v>0</v>
      </c>
      <c r="BQ14" s="460">
        <v>0</v>
      </c>
      <c r="BR14" s="460">
        <v>0</v>
      </c>
      <c r="BS14" s="460">
        <v>0</v>
      </c>
      <c r="BT14" s="460">
        <v>0</v>
      </c>
      <c r="BU14" s="460">
        <v>0</v>
      </c>
      <c r="BV14" s="460">
        <v>0</v>
      </c>
      <c r="BW14" s="460">
        <v>0</v>
      </c>
      <c r="BX14" s="460">
        <v>0</v>
      </c>
      <c r="BY14" s="460">
        <v>0</v>
      </c>
      <c r="BZ14" s="460">
        <v>0</v>
      </c>
      <c r="CA14" s="460" t="e">
        <v>#N/A</v>
      </c>
      <c r="CB14" s="460" t="e">
        <v>#N/A</v>
      </c>
      <c r="CC14" s="460" t="e">
        <v>#N/A</v>
      </c>
    </row>
    <row r="15" spans="1:81" ht="12.75" customHeight="1">
      <c r="A15" s="105">
        <v>10</v>
      </c>
      <c r="B15" s="112" t="str">
        <v>3M-6M</v>
      </c>
      <c r="C15" s="262">
        <f>'eur disaggregated'!AD26+'eur disaggregated'!AC26</f>
        <v>2737.6922581529602</v>
      </c>
      <c r="D15" s="111" t="str">
        <f t="shared" si="1"/>
        <v>3M</v>
      </c>
      <c r="E15" s="441">
        <f>BktEur3mPL!E15</f>
        <v>42788</v>
      </c>
      <c r="F15" s="441">
        <f>BktEur3mPL!F15</f>
        <v>42877</v>
      </c>
      <c r="G15" s="462">
        <f t="shared" si="2"/>
        <v>-2.96E-3</v>
      </c>
      <c r="H15" s="453">
        <f>BktEur3mPL!H15</f>
        <v>-0.29599999999999999</v>
      </c>
      <c r="I15" s="107" t="str">
        <v>4M</v>
      </c>
      <c r="J15" s="106" t="str">
        <f>IF(LEN(I15)&gt;0,IF((MID(I15,4,1)=" "),#REF!,IF((LEN(I15)=8),DATE("20" &amp; RIGHT(I15,2),MID(I15,4,2),LEFT(I15,2)),SimplifyTenor(I15))),"")</f>
        <v>4M</v>
      </c>
      <c r="K15" s="106">
        <f>_xll.qlCalendarAdvance("TARGET",SettlementDate,J15)</f>
        <v>42816</v>
      </c>
      <c r="M15" s="99" t="str">
        <v>4M</v>
      </c>
      <c r="N15" s="465">
        <v>-1935.5868464905079</v>
      </c>
      <c r="P15" s="106" t="b">
        <f t="shared" si="0"/>
        <v>0</v>
      </c>
      <c r="Q15" s="460">
        <f t="array" ref="Q15:CC15">C15*ForwardToZero(OisBuckets,E15,F15,G15)</f>
        <v>0</v>
      </c>
      <c r="R15" s="460">
        <v>0</v>
      </c>
      <c r="S15" s="460">
        <v>0</v>
      </c>
      <c r="T15" s="460">
        <v>0</v>
      </c>
      <c r="U15" s="460">
        <v>0</v>
      </c>
      <c r="V15" s="460">
        <v>0</v>
      </c>
      <c r="W15" s="460">
        <v>0</v>
      </c>
      <c r="X15" s="460">
        <v>0</v>
      </c>
      <c r="Y15" s="460">
        <v>-2953.0163683447654</v>
      </c>
      <c r="Z15" s="460">
        <v>0</v>
      </c>
      <c r="AA15" s="460">
        <v>0</v>
      </c>
      <c r="AB15" s="460">
        <v>5690.7086264977252</v>
      </c>
      <c r="AC15" s="460">
        <v>0</v>
      </c>
      <c r="AD15" s="460">
        <v>0</v>
      </c>
      <c r="AE15" s="460">
        <v>0</v>
      </c>
      <c r="AF15" s="460">
        <v>0</v>
      </c>
      <c r="AG15" s="460">
        <v>0</v>
      </c>
      <c r="AH15" s="460">
        <v>0</v>
      </c>
      <c r="AI15" s="460">
        <v>0</v>
      </c>
      <c r="AJ15" s="460">
        <v>0</v>
      </c>
      <c r="AK15" s="460">
        <v>0</v>
      </c>
      <c r="AL15" s="460">
        <v>0</v>
      </c>
      <c r="AM15" s="460">
        <v>0</v>
      </c>
      <c r="AN15" s="460">
        <v>0</v>
      </c>
      <c r="AO15" s="460">
        <v>0</v>
      </c>
      <c r="AP15" s="460">
        <v>0</v>
      </c>
      <c r="AQ15" s="460">
        <v>0</v>
      </c>
      <c r="AR15" s="460">
        <v>0</v>
      </c>
      <c r="AS15" s="460">
        <v>0</v>
      </c>
      <c r="AT15" s="460">
        <v>0</v>
      </c>
      <c r="AU15" s="460">
        <v>0</v>
      </c>
      <c r="AV15" s="460">
        <v>0</v>
      </c>
      <c r="AW15" s="460">
        <v>0</v>
      </c>
      <c r="AX15" s="460">
        <v>0</v>
      </c>
      <c r="AY15" s="460">
        <v>0</v>
      </c>
      <c r="AZ15" s="460">
        <v>0</v>
      </c>
      <c r="BA15" s="460">
        <v>0</v>
      </c>
      <c r="BB15" s="460">
        <v>0</v>
      </c>
      <c r="BC15" s="460">
        <v>0</v>
      </c>
      <c r="BD15" s="460">
        <v>0</v>
      </c>
      <c r="BE15" s="460">
        <v>0</v>
      </c>
      <c r="BF15" s="460">
        <v>0</v>
      </c>
      <c r="BG15" s="460">
        <v>0</v>
      </c>
      <c r="BH15" s="460">
        <v>0</v>
      </c>
      <c r="BI15" s="460">
        <v>0</v>
      </c>
      <c r="BJ15" s="460">
        <v>0</v>
      </c>
      <c r="BK15" s="460">
        <v>0</v>
      </c>
      <c r="BL15" s="460">
        <v>0</v>
      </c>
      <c r="BM15" s="460">
        <v>0</v>
      </c>
      <c r="BN15" s="460">
        <v>0</v>
      </c>
      <c r="BO15" s="460">
        <v>0</v>
      </c>
      <c r="BP15" s="460">
        <v>0</v>
      </c>
      <c r="BQ15" s="460">
        <v>0</v>
      </c>
      <c r="BR15" s="460">
        <v>0</v>
      </c>
      <c r="BS15" s="460">
        <v>0</v>
      </c>
      <c r="BT15" s="460">
        <v>0</v>
      </c>
      <c r="BU15" s="460">
        <v>0</v>
      </c>
      <c r="BV15" s="460">
        <v>0</v>
      </c>
      <c r="BW15" s="460">
        <v>0</v>
      </c>
      <c r="BX15" s="460">
        <v>0</v>
      </c>
      <c r="BY15" s="460">
        <v>0</v>
      </c>
      <c r="BZ15" s="460">
        <v>0</v>
      </c>
      <c r="CA15" s="460" t="e">
        <v>#N/A</v>
      </c>
      <c r="CB15" s="460" t="e">
        <v>#N/A</v>
      </c>
      <c r="CC15" s="460" t="e">
        <v>#N/A</v>
      </c>
    </row>
    <row r="16" spans="1:81" ht="12.75" customHeight="1">
      <c r="A16" s="105">
        <v>11</v>
      </c>
      <c r="B16" s="112" t="str">
        <v>4M-7M</v>
      </c>
      <c r="C16" s="262">
        <f>'eur disaggregated'!AD27+'eur disaggregated'!AC27</f>
        <v>-2145.4755455664099</v>
      </c>
      <c r="D16" s="111" t="str">
        <f t="shared" si="1"/>
        <v>3M</v>
      </c>
      <c r="E16" s="441">
        <f>BktEur3mPL!E16</f>
        <v>42816</v>
      </c>
      <c r="F16" s="441">
        <f>BktEur3mPL!F16</f>
        <v>42908</v>
      </c>
      <c r="G16" s="462">
        <f t="shared" si="2"/>
        <v>-2.9099999999999998E-3</v>
      </c>
      <c r="H16" s="453">
        <f>BktEur3mPL!H16</f>
        <v>-0.29099999999999998</v>
      </c>
      <c r="I16" s="107" t="str">
        <v>5M</v>
      </c>
      <c r="J16" s="106" t="str">
        <f>IF(LEN(I16)&gt;0,IF((MID(I16,4,1)=" "),#REF!,IF((LEN(I16)=8),DATE("20" &amp; RIGHT(I16,2),MID(I16,4,2),LEFT(I16,2)),SimplifyTenor(I16))),"")</f>
        <v>5M</v>
      </c>
      <c r="K16" s="106">
        <f>_xll.qlCalendarAdvance("TARGET",SettlementDate,J16)</f>
        <v>42849</v>
      </c>
      <c r="M16" s="99" t="str">
        <v>5M</v>
      </c>
      <c r="N16" s="465">
        <v>-2425.4502416431801</v>
      </c>
      <c r="P16" s="106" t="b">
        <f t="shared" si="0"/>
        <v>0</v>
      </c>
      <c r="Q16" s="460">
        <f t="array" ref="Q16:CC16">C16*ForwardToZero(OisBuckets,E16,F16,G16)</f>
        <v>0</v>
      </c>
      <c r="R16" s="460">
        <v>0</v>
      </c>
      <c r="S16" s="460">
        <v>0</v>
      </c>
      <c r="T16" s="460">
        <v>0</v>
      </c>
      <c r="U16" s="460">
        <v>0</v>
      </c>
      <c r="V16" s="460">
        <v>0</v>
      </c>
      <c r="W16" s="460">
        <v>0</v>
      </c>
      <c r="X16" s="460">
        <v>0</v>
      </c>
      <c r="Y16" s="460">
        <v>0</v>
      </c>
      <c r="Z16" s="460">
        <v>2891.727909241682</v>
      </c>
      <c r="AA16" s="460">
        <v>0</v>
      </c>
      <c r="AB16" s="460">
        <v>0</v>
      </c>
      <c r="AC16" s="460">
        <v>-5037.203454808091</v>
      </c>
      <c r="AD16" s="460">
        <v>0</v>
      </c>
      <c r="AE16" s="460">
        <v>0</v>
      </c>
      <c r="AF16" s="460">
        <v>0</v>
      </c>
      <c r="AG16" s="460">
        <v>0</v>
      </c>
      <c r="AH16" s="460">
        <v>0</v>
      </c>
      <c r="AI16" s="460">
        <v>0</v>
      </c>
      <c r="AJ16" s="460">
        <v>0</v>
      </c>
      <c r="AK16" s="460">
        <v>0</v>
      </c>
      <c r="AL16" s="460">
        <v>0</v>
      </c>
      <c r="AM16" s="460">
        <v>0</v>
      </c>
      <c r="AN16" s="460">
        <v>0</v>
      </c>
      <c r="AO16" s="460">
        <v>0</v>
      </c>
      <c r="AP16" s="460">
        <v>0</v>
      </c>
      <c r="AQ16" s="460">
        <v>0</v>
      </c>
      <c r="AR16" s="460">
        <v>0</v>
      </c>
      <c r="AS16" s="460">
        <v>0</v>
      </c>
      <c r="AT16" s="460">
        <v>0</v>
      </c>
      <c r="AU16" s="460">
        <v>0</v>
      </c>
      <c r="AV16" s="460">
        <v>0</v>
      </c>
      <c r="AW16" s="460">
        <v>0</v>
      </c>
      <c r="AX16" s="460">
        <v>0</v>
      </c>
      <c r="AY16" s="460">
        <v>0</v>
      </c>
      <c r="AZ16" s="460">
        <v>0</v>
      </c>
      <c r="BA16" s="460">
        <v>0</v>
      </c>
      <c r="BB16" s="460">
        <v>0</v>
      </c>
      <c r="BC16" s="460">
        <v>0</v>
      </c>
      <c r="BD16" s="460">
        <v>0</v>
      </c>
      <c r="BE16" s="460">
        <v>0</v>
      </c>
      <c r="BF16" s="460">
        <v>0</v>
      </c>
      <c r="BG16" s="460">
        <v>0</v>
      </c>
      <c r="BH16" s="460">
        <v>0</v>
      </c>
      <c r="BI16" s="460">
        <v>0</v>
      </c>
      <c r="BJ16" s="460">
        <v>0</v>
      </c>
      <c r="BK16" s="460">
        <v>0</v>
      </c>
      <c r="BL16" s="460">
        <v>0</v>
      </c>
      <c r="BM16" s="460">
        <v>0</v>
      </c>
      <c r="BN16" s="460">
        <v>0</v>
      </c>
      <c r="BO16" s="460">
        <v>0</v>
      </c>
      <c r="BP16" s="460">
        <v>0</v>
      </c>
      <c r="BQ16" s="460">
        <v>0</v>
      </c>
      <c r="BR16" s="460">
        <v>0</v>
      </c>
      <c r="BS16" s="460">
        <v>0</v>
      </c>
      <c r="BT16" s="460">
        <v>0</v>
      </c>
      <c r="BU16" s="460">
        <v>0</v>
      </c>
      <c r="BV16" s="460">
        <v>0</v>
      </c>
      <c r="BW16" s="460">
        <v>0</v>
      </c>
      <c r="BX16" s="460">
        <v>0</v>
      </c>
      <c r="BY16" s="460">
        <v>0</v>
      </c>
      <c r="BZ16" s="460">
        <v>0</v>
      </c>
      <c r="CA16" s="460" t="e">
        <v>#N/A</v>
      </c>
      <c r="CB16" s="460" t="e">
        <v>#N/A</v>
      </c>
      <c r="CC16" s="460" t="e">
        <v>#N/A</v>
      </c>
    </row>
    <row r="17" spans="1:81" ht="12.75" customHeight="1">
      <c r="A17" s="105">
        <v>12</v>
      </c>
      <c r="B17" s="112" t="str">
        <v>5M-8M</v>
      </c>
      <c r="C17" s="262">
        <f>'eur disaggregated'!AD28+'eur disaggregated'!AC28</f>
        <v>-243.300840150022</v>
      </c>
      <c r="D17" s="111" t="str">
        <f t="shared" si="1"/>
        <v>3M</v>
      </c>
      <c r="E17" s="441">
        <f>BktEur3mPL!E17</f>
        <v>42849</v>
      </c>
      <c r="F17" s="441">
        <f>BktEur3mPL!F17</f>
        <v>42940</v>
      </c>
      <c r="G17" s="462">
        <f t="shared" si="2"/>
        <v>-2.8599999999999997E-3</v>
      </c>
      <c r="H17" s="453">
        <f>BktEur3mPL!H17</f>
        <v>-0.28599999999999998</v>
      </c>
      <c r="I17" s="107" t="str">
        <v>6M</v>
      </c>
      <c r="J17" s="106" t="str">
        <f>IF(LEN(I17)&gt;0,IF((MID(I17,4,1)=" "),#REF!,IF((LEN(I17)=8),DATE("20" &amp; RIGHT(I17,2),MID(I17,4,2),LEFT(I17,2)),SimplifyTenor(I17))),"")</f>
        <v>6M</v>
      </c>
      <c r="K17" s="106">
        <f>_xll.qlCalendarAdvance("TARGET",SettlementDate,J17)</f>
        <v>42877</v>
      </c>
      <c r="M17" s="99" t="str">
        <v>6M</v>
      </c>
      <c r="N17" s="465">
        <v>3912.1875188010217</v>
      </c>
      <c r="P17" s="106" t="b">
        <f t="shared" si="0"/>
        <v>0</v>
      </c>
      <c r="Q17" s="460">
        <f t="array" ref="Q17:CC17">C17*ForwardToZero(OisBuckets,E17,F17,G17)</f>
        <v>0</v>
      </c>
      <c r="R17" s="460">
        <v>0</v>
      </c>
      <c r="S17" s="460">
        <v>0</v>
      </c>
      <c r="T17" s="460">
        <v>0</v>
      </c>
      <c r="U17" s="460">
        <v>0</v>
      </c>
      <c r="V17" s="460">
        <v>0</v>
      </c>
      <c r="W17" s="460">
        <v>0</v>
      </c>
      <c r="X17" s="460">
        <v>0</v>
      </c>
      <c r="Y17" s="460">
        <v>0</v>
      </c>
      <c r="Z17" s="460">
        <v>0</v>
      </c>
      <c r="AA17" s="460">
        <v>419.76079014893901</v>
      </c>
      <c r="AB17" s="460">
        <v>0</v>
      </c>
      <c r="AC17" s="460">
        <v>0</v>
      </c>
      <c r="AD17" s="460">
        <v>-663.06163029896095</v>
      </c>
      <c r="AE17" s="460">
        <v>0</v>
      </c>
      <c r="AF17" s="460">
        <v>0</v>
      </c>
      <c r="AG17" s="460">
        <v>0</v>
      </c>
      <c r="AH17" s="460">
        <v>0</v>
      </c>
      <c r="AI17" s="460">
        <v>0</v>
      </c>
      <c r="AJ17" s="460">
        <v>0</v>
      </c>
      <c r="AK17" s="460">
        <v>0</v>
      </c>
      <c r="AL17" s="460">
        <v>0</v>
      </c>
      <c r="AM17" s="460">
        <v>0</v>
      </c>
      <c r="AN17" s="460">
        <v>0</v>
      </c>
      <c r="AO17" s="460">
        <v>0</v>
      </c>
      <c r="AP17" s="460">
        <v>0</v>
      </c>
      <c r="AQ17" s="460">
        <v>0</v>
      </c>
      <c r="AR17" s="460">
        <v>0</v>
      </c>
      <c r="AS17" s="460">
        <v>0</v>
      </c>
      <c r="AT17" s="460">
        <v>0</v>
      </c>
      <c r="AU17" s="460">
        <v>0</v>
      </c>
      <c r="AV17" s="460">
        <v>0</v>
      </c>
      <c r="AW17" s="460">
        <v>0</v>
      </c>
      <c r="AX17" s="460">
        <v>0</v>
      </c>
      <c r="AY17" s="460">
        <v>0</v>
      </c>
      <c r="AZ17" s="460">
        <v>0</v>
      </c>
      <c r="BA17" s="460">
        <v>0</v>
      </c>
      <c r="BB17" s="460">
        <v>0</v>
      </c>
      <c r="BC17" s="460">
        <v>0</v>
      </c>
      <c r="BD17" s="460">
        <v>0</v>
      </c>
      <c r="BE17" s="460">
        <v>0</v>
      </c>
      <c r="BF17" s="460">
        <v>0</v>
      </c>
      <c r="BG17" s="460">
        <v>0</v>
      </c>
      <c r="BH17" s="460">
        <v>0</v>
      </c>
      <c r="BI17" s="460">
        <v>0</v>
      </c>
      <c r="BJ17" s="460">
        <v>0</v>
      </c>
      <c r="BK17" s="460">
        <v>0</v>
      </c>
      <c r="BL17" s="460">
        <v>0</v>
      </c>
      <c r="BM17" s="460">
        <v>0</v>
      </c>
      <c r="BN17" s="460">
        <v>0</v>
      </c>
      <c r="BO17" s="460">
        <v>0</v>
      </c>
      <c r="BP17" s="460">
        <v>0</v>
      </c>
      <c r="BQ17" s="460">
        <v>0</v>
      </c>
      <c r="BR17" s="460">
        <v>0</v>
      </c>
      <c r="BS17" s="460">
        <v>0</v>
      </c>
      <c r="BT17" s="460">
        <v>0</v>
      </c>
      <c r="BU17" s="460">
        <v>0</v>
      </c>
      <c r="BV17" s="460">
        <v>0</v>
      </c>
      <c r="BW17" s="460">
        <v>0</v>
      </c>
      <c r="BX17" s="460">
        <v>0</v>
      </c>
      <c r="BY17" s="460">
        <v>0</v>
      </c>
      <c r="BZ17" s="460">
        <v>0</v>
      </c>
      <c r="CA17" s="460" t="e">
        <v>#N/A</v>
      </c>
      <c r="CB17" s="460" t="e">
        <v>#N/A</v>
      </c>
      <c r="CC17" s="460" t="e">
        <v>#N/A</v>
      </c>
    </row>
    <row r="18" spans="1:81" ht="12.75" customHeight="1">
      <c r="A18" s="105">
        <v>13</v>
      </c>
      <c r="B18" s="112" t="str">
        <v>6M-9M</v>
      </c>
      <c r="C18" s="262">
        <f>'eur disaggregated'!AD29+'eur disaggregated'!AC29</f>
        <v>884.45374004376595</v>
      </c>
      <c r="D18" s="111" t="str">
        <f t="shared" si="1"/>
        <v>3M</v>
      </c>
      <c r="E18" s="441">
        <f>BktEur3mPL!E18</f>
        <v>42877</v>
      </c>
      <c r="F18" s="441">
        <f>BktEur3mPL!F18</f>
        <v>42969</v>
      </c>
      <c r="G18" s="462">
        <f t="shared" si="2"/>
        <v>-2.8199999999999996E-3</v>
      </c>
      <c r="H18" s="453">
        <f>BktEur3mPL!H18</f>
        <v>-0.28199999999999997</v>
      </c>
      <c r="I18" s="107" t="str">
        <v>7M</v>
      </c>
      <c r="J18" s="106" t="str">
        <f>IF(LEN(I18)&gt;0,IF((MID(I18,4,1)=" "),#REF!,IF((LEN(I18)=8),DATE("20" &amp; RIGHT(I18,2),MID(I18,4,2),LEFT(I18,2)),SimplifyTenor(I18))),"")</f>
        <v>7M</v>
      </c>
      <c r="K18" s="106">
        <f>_xll.qlCalendarAdvance("TARGET",SettlementDate,J18)</f>
        <v>42908</v>
      </c>
      <c r="M18" s="99" t="str">
        <v>7M</v>
      </c>
      <c r="N18" s="465">
        <v>-17984.481291284876</v>
      </c>
      <c r="P18" s="106" t="b">
        <f t="shared" si="0"/>
        <v>0</v>
      </c>
      <c r="Q18" s="460">
        <f t="array" ref="Q18:CC18">C18*ForwardToZero(OisBuckets,E18,F18,G18)</f>
        <v>0</v>
      </c>
      <c r="R18" s="460">
        <v>0</v>
      </c>
      <c r="S18" s="460">
        <v>0</v>
      </c>
      <c r="T18" s="460">
        <v>0</v>
      </c>
      <c r="U18" s="460">
        <v>0</v>
      </c>
      <c r="V18" s="460">
        <v>0</v>
      </c>
      <c r="W18" s="460">
        <v>0</v>
      </c>
      <c r="X18" s="460">
        <v>0</v>
      </c>
      <c r="Y18" s="460">
        <v>0</v>
      </c>
      <c r="Z18" s="460">
        <v>0</v>
      </c>
      <c r="AA18" s="460">
        <v>0</v>
      </c>
      <c r="AB18" s="460">
        <v>-1778.5211076967034</v>
      </c>
      <c r="AC18" s="460">
        <v>0</v>
      </c>
      <c r="AD18" s="460">
        <v>0</v>
      </c>
      <c r="AE18" s="460">
        <v>2662.9748477404696</v>
      </c>
      <c r="AF18" s="460">
        <v>0</v>
      </c>
      <c r="AG18" s="460">
        <v>0</v>
      </c>
      <c r="AH18" s="460">
        <v>0</v>
      </c>
      <c r="AI18" s="460">
        <v>0</v>
      </c>
      <c r="AJ18" s="460">
        <v>0</v>
      </c>
      <c r="AK18" s="460">
        <v>0</v>
      </c>
      <c r="AL18" s="460">
        <v>0</v>
      </c>
      <c r="AM18" s="460">
        <v>0</v>
      </c>
      <c r="AN18" s="460">
        <v>0</v>
      </c>
      <c r="AO18" s="460">
        <v>0</v>
      </c>
      <c r="AP18" s="460">
        <v>0</v>
      </c>
      <c r="AQ18" s="460">
        <v>0</v>
      </c>
      <c r="AR18" s="460">
        <v>0</v>
      </c>
      <c r="AS18" s="460">
        <v>0</v>
      </c>
      <c r="AT18" s="460">
        <v>0</v>
      </c>
      <c r="AU18" s="460">
        <v>0</v>
      </c>
      <c r="AV18" s="460">
        <v>0</v>
      </c>
      <c r="AW18" s="460">
        <v>0</v>
      </c>
      <c r="AX18" s="460">
        <v>0</v>
      </c>
      <c r="AY18" s="460">
        <v>0</v>
      </c>
      <c r="AZ18" s="460">
        <v>0</v>
      </c>
      <c r="BA18" s="460">
        <v>0</v>
      </c>
      <c r="BB18" s="460">
        <v>0</v>
      </c>
      <c r="BC18" s="460">
        <v>0</v>
      </c>
      <c r="BD18" s="460">
        <v>0</v>
      </c>
      <c r="BE18" s="460">
        <v>0</v>
      </c>
      <c r="BF18" s="460">
        <v>0</v>
      </c>
      <c r="BG18" s="460">
        <v>0</v>
      </c>
      <c r="BH18" s="460">
        <v>0</v>
      </c>
      <c r="BI18" s="460">
        <v>0</v>
      </c>
      <c r="BJ18" s="460">
        <v>0</v>
      </c>
      <c r="BK18" s="460">
        <v>0</v>
      </c>
      <c r="BL18" s="460">
        <v>0</v>
      </c>
      <c r="BM18" s="460">
        <v>0</v>
      </c>
      <c r="BN18" s="460">
        <v>0</v>
      </c>
      <c r="BO18" s="460">
        <v>0</v>
      </c>
      <c r="BP18" s="460">
        <v>0</v>
      </c>
      <c r="BQ18" s="460">
        <v>0</v>
      </c>
      <c r="BR18" s="460">
        <v>0</v>
      </c>
      <c r="BS18" s="460">
        <v>0</v>
      </c>
      <c r="BT18" s="460">
        <v>0</v>
      </c>
      <c r="BU18" s="460">
        <v>0</v>
      </c>
      <c r="BV18" s="460">
        <v>0</v>
      </c>
      <c r="BW18" s="460">
        <v>0</v>
      </c>
      <c r="BX18" s="460">
        <v>0</v>
      </c>
      <c r="BY18" s="460">
        <v>0</v>
      </c>
      <c r="BZ18" s="460">
        <v>0</v>
      </c>
      <c r="CA18" s="460" t="e">
        <v>#N/A</v>
      </c>
      <c r="CB18" s="460" t="e">
        <v>#N/A</v>
      </c>
      <c r="CC18" s="460" t="e">
        <v>#N/A</v>
      </c>
    </row>
    <row r="19" spans="1:81" ht="12.75" customHeight="1">
      <c r="A19" s="105">
        <v>14</v>
      </c>
      <c r="B19" s="112" t="str">
        <v>7M-10M</v>
      </c>
      <c r="C19" s="262">
        <f>'eur disaggregated'!AD30+'eur disaggregated'!AC30</f>
        <v>5514.5813007215902</v>
      </c>
      <c r="D19" s="111" t="str">
        <f t="shared" si="1"/>
        <v>3M</v>
      </c>
      <c r="E19" s="441">
        <f>BktEur3mPL!E19</f>
        <v>42908</v>
      </c>
      <c r="F19" s="441">
        <f>BktEur3mPL!F19</f>
        <v>43000</v>
      </c>
      <c r="G19" s="462">
        <f t="shared" si="2"/>
        <v>-2.7700000000000003E-3</v>
      </c>
      <c r="H19" s="453">
        <f>BktEur3mPL!H19</f>
        <v>-0.27700000000000002</v>
      </c>
      <c r="I19" s="107" t="str">
        <v>8M</v>
      </c>
      <c r="J19" s="106" t="str">
        <f>IF(LEN(I19)&gt;0,IF((MID(I19,4,1)=" "),#REF!,IF((LEN(I19)=8),DATE("20" &amp; RIGHT(I19,2),MID(I19,4,2),LEFT(I19,2)),SimplifyTenor(I19))),"")</f>
        <v>8M</v>
      </c>
      <c r="K19" s="106">
        <f>_xll.qlCalendarAdvance("TARGET",SettlementDate,J19)</f>
        <v>42940</v>
      </c>
      <c r="M19" s="99" t="str">
        <v>8M</v>
      </c>
      <c r="N19" s="465">
        <v>-1072.0887970804999</v>
      </c>
      <c r="P19" s="106" t="b">
        <f t="shared" si="0"/>
        <v>0</v>
      </c>
      <c r="Q19" s="460">
        <f t="array" ref="Q19:CC19">C19*ForwardToZero(OisBuckets,E19,F19,G19)</f>
        <v>0</v>
      </c>
      <c r="R19" s="460">
        <v>0</v>
      </c>
      <c r="S19" s="460">
        <v>0</v>
      </c>
      <c r="T19" s="460">
        <v>0</v>
      </c>
      <c r="U19" s="460">
        <v>0</v>
      </c>
      <c r="V19" s="460">
        <v>0</v>
      </c>
      <c r="W19" s="460">
        <v>0</v>
      </c>
      <c r="X19" s="460">
        <v>0</v>
      </c>
      <c r="Y19" s="460">
        <v>0</v>
      </c>
      <c r="Z19" s="460">
        <v>0</v>
      </c>
      <c r="AA19" s="460">
        <v>0</v>
      </c>
      <c r="AB19" s="460">
        <v>0</v>
      </c>
      <c r="AC19" s="460">
        <v>-12947.277836476784</v>
      </c>
      <c r="AD19" s="460">
        <v>0</v>
      </c>
      <c r="AE19" s="460">
        <v>0</v>
      </c>
      <c r="AF19" s="460">
        <v>18461.859137198375</v>
      </c>
      <c r="AG19" s="460">
        <v>0</v>
      </c>
      <c r="AH19" s="460">
        <v>0</v>
      </c>
      <c r="AI19" s="460">
        <v>0</v>
      </c>
      <c r="AJ19" s="460">
        <v>0</v>
      </c>
      <c r="AK19" s="460">
        <v>0</v>
      </c>
      <c r="AL19" s="460">
        <v>0</v>
      </c>
      <c r="AM19" s="460">
        <v>0</v>
      </c>
      <c r="AN19" s="460">
        <v>0</v>
      </c>
      <c r="AO19" s="460">
        <v>0</v>
      </c>
      <c r="AP19" s="460">
        <v>0</v>
      </c>
      <c r="AQ19" s="460">
        <v>0</v>
      </c>
      <c r="AR19" s="460">
        <v>0</v>
      </c>
      <c r="AS19" s="460">
        <v>0</v>
      </c>
      <c r="AT19" s="460">
        <v>0</v>
      </c>
      <c r="AU19" s="460">
        <v>0</v>
      </c>
      <c r="AV19" s="460">
        <v>0</v>
      </c>
      <c r="AW19" s="460">
        <v>0</v>
      </c>
      <c r="AX19" s="460">
        <v>0</v>
      </c>
      <c r="AY19" s="460">
        <v>0</v>
      </c>
      <c r="AZ19" s="460">
        <v>0</v>
      </c>
      <c r="BA19" s="460">
        <v>0</v>
      </c>
      <c r="BB19" s="460">
        <v>0</v>
      </c>
      <c r="BC19" s="460">
        <v>0</v>
      </c>
      <c r="BD19" s="460">
        <v>0</v>
      </c>
      <c r="BE19" s="460">
        <v>0</v>
      </c>
      <c r="BF19" s="460">
        <v>0</v>
      </c>
      <c r="BG19" s="460">
        <v>0</v>
      </c>
      <c r="BH19" s="460">
        <v>0</v>
      </c>
      <c r="BI19" s="460">
        <v>0</v>
      </c>
      <c r="BJ19" s="460">
        <v>0</v>
      </c>
      <c r="BK19" s="460">
        <v>0</v>
      </c>
      <c r="BL19" s="460">
        <v>0</v>
      </c>
      <c r="BM19" s="460">
        <v>0</v>
      </c>
      <c r="BN19" s="460">
        <v>0</v>
      </c>
      <c r="BO19" s="460">
        <v>0</v>
      </c>
      <c r="BP19" s="460">
        <v>0</v>
      </c>
      <c r="BQ19" s="460">
        <v>0</v>
      </c>
      <c r="BR19" s="460">
        <v>0</v>
      </c>
      <c r="BS19" s="460">
        <v>0</v>
      </c>
      <c r="BT19" s="460">
        <v>0</v>
      </c>
      <c r="BU19" s="460">
        <v>0</v>
      </c>
      <c r="BV19" s="460">
        <v>0</v>
      </c>
      <c r="BW19" s="460">
        <v>0</v>
      </c>
      <c r="BX19" s="460">
        <v>0</v>
      </c>
      <c r="BY19" s="460">
        <v>0</v>
      </c>
      <c r="BZ19" s="460">
        <v>0</v>
      </c>
      <c r="CA19" s="460" t="e">
        <v>#N/A</v>
      </c>
      <c r="CB19" s="460" t="e">
        <v>#N/A</v>
      </c>
      <c r="CC19" s="460" t="e">
        <v>#N/A</v>
      </c>
    </row>
    <row r="20" spans="1:81" ht="12.75" customHeight="1">
      <c r="A20" s="105">
        <v>15</v>
      </c>
      <c r="B20" s="112" t="str">
        <v>8M-11M</v>
      </c>
      <c r="C20" s="262">
        <f>'eur disaggregated'!AD31+'eur disaggregated'!AC31</f>
        <v>150.08658135935502</v>
      </c>
      <c r="D20" s="111" t="str">
        <f t="shared" si="1"/>
        <v>3M</v>
      </c>
      <c r="E20" s="441">
        <f>BktEur3mPL!E20</f>
        <v>42940</v>
      </c>
      <c r="F20" s="441">
        <f>BktEur3mPL!F20</f>
        <v>43031</v>
      </c>
      <c r="G20" s="462">
        <f t="shared" si="2"/>
        <v>-2.7100000000000002E-3</v>
      </c>
      <c r="H20" s="453">
        <f>BktEur3mPL!H20</f>
        <v>-0.27100000000000002</v>
      </c>
      <c r="I20" s="107" t="str">
        <v>9M</v>
      </c>
      <c r="J20" s="106" t="str">
        <f>IF(LEN(I20)&gt;0,IF((MID(I20,4,1)=" "),#REF!,IF((LEN(I20)=8),DATE("20" &amp; RIGHT(I20,2),MID(I20,4,2),LEFT(I20,2)),SimplifyTenor(I20))),"")</f>
        <v>9M</v>
      </c>
      <c r="K20" s="106">
        <f>_xll.qlCalendarAdvance("TARGET",SettlementDate,J20)</f>
        <v>42969</v>
      </c>
      <c r="M20" s="99" t="str">
        <v>9M</v>
      </c>
      <c r="N20" s="465">
        <v>1457.6273902095609</v>
      </c>
      <c r="P20" s="106" t="b">
        <f t="shared" si="0"/>
        <v>0</v>
      </c>
      <c r="Q20" s="460">
        <f t="array" ref="Q20:CC20">C20*ForwardToZero(OisBuckets,E20,F20,G20)</f>
        <v>0</v>
      </c>
      <c r="R20" s="460">
        <v>0</v>
      </c>
      <c r="S20" s="460">
        <v>0</v>
      </c>
      <c r="T20" s="460">
        <v>0</v>
      </c>
      <c r="U20" s="460">
        <v>0</v>
      </c>
      <c r="V20" s="460">
        <v>0</v>
      </c>
      <c r="W20" s="460">
        <v>0</v>
      </c>
      <c r="X20" s="460">
        <v>0</v>
      </c>
      <c r="Y20" s="460">
        <v>0</v>
      </c>
      <c r="Z20" s="460">
        <v>0</v>
      </c>
      <c r="AA20" s="460">
        <v>0</v>
      </c>
      <c r="AB20" s="460">
        <v>0</v>
      </c>
      <c r="AC20" s="460">
        <v>0</v>
      </c>
      <c r="AD20" s="460">
        <v>-409.02716678153905</v>
      </c>
      <c r="AE20" s="460">
        <v>0</v>
      </c>
      <c r="AF20" s="460">
        <v>0</v>
      </c>
      <c r="AG20" s="460">
        <v>559.11374814089402</v>
      </c>
      <c r="AH20" s="460">
        <v>0</v>
      </c>
      <c r="AI20" s="460">
        <v>0</v>
      </c>
      <c r="AJ20" s="460">
        <v>0</v>
      </c>
      <c r="AK20" s="460">
        <v>0</v>
      </c>
      <c r="AL20" s="460">
        <v>0</v>
      </c>
      <c r="AM20" s="460">
        <v>0</v>
      </c>
      <c r="AN20" s="460">
        <v>0</v>
      </c>
      <c r="AO20" s="460">
        <v>0</v>
      </c>
      <c r="AP20" s="460">
        <v>0</v>
      </c>
      <c r="AQ20" s="460">
        <v>0</v>
      </c>
      <c r="AR20" s="460">
        <v>0</v>
      </c>
      <c r="AS20" s="460">
        <v>0</v>
      </c>
      <c r="AT20" s="460">
        <v>0</v>
      </c>
      <c r="AU20" s="460">
        <v>0</v>
      </c>
      <c r="AV20" s="460">
        <v>0</v>
      </c>
      <c r="AW20" s="460">
        <v>0</v>
      </c>
      <c r="AX20" s="460">
        <v>0</v>
      </c>
      <c r="AY20" s="460">
        <v>0</v>
      </c>
      <c r="AZ20" s="460">
        <v>0</v>
      </c>
      <c r="BA20" s="460">
        <v>0</v>
      </c>
      <c r="BB20" s="460">
        <v>0</v>
      </c>
      <c r="BC20" s="460">
        <v>0</v>
      </c>
      <c r="BD20" s="460">
        <v>0</v>
      </c>
      <c r="BE20" s="460">
        <v>0</v>
      </c>
      <c r="BF20" s="460">
        <v>0</v>
      </c>
      <c r="BG20" s="460">
        <v>0</v>
      </c>
      <c r="BH20" s="460">
        <v>0</v>
      </c>
      <c r="BI20" s="460">
        <v>0</v>
      </c>
      <c r="BJ20" s="460">
        <v>0</v>
      </c>
      <c r="BK20" s="460">
        <v>0</v>
      </c>
      <c r="BL20" s="460">
        <v>0</v>
      </c>
      <c r="BM20" s="460">
        <v>0</v>
      </c>
      <c r="BN20" s="460">
        <v>0</v>
      </c>
      <c r="BO20" s="460">
        <v>0</v>
      </c>
      <c r="BP20" s="460">
        <v>0</v>
      </c>
      <c r="BQ20" s="460">
        <v>0</v>
      </c>
      <c r="BR20" s="460">
        <v>0</v>
      </c>
      <c r="BS20" s="460">
        <v>0</v>
      </c>
      <c r="BT20" s="460">
        <v>0</v>
      </c>
      <c r="BU20" s="460">
        <v>0</v>
      </c>
      <c r="BV20" s="460">
        <v>0</v>
      </c>
      <c r="BW20" s="460">
        <v>0</v>
      </c>
      <c r="BX20" s="460">
        <v>0</v>
      </c>
      <c r="BY20" s="460">
        <v>0</v>
      </c>
      <c r="BZ20" s="460">
        <v>0</v>
      </c>
      <c r="CA20" s="460" t="e">
        <v>#N/A</v>
      </c>
      <c r="CB20" s="460" t="e">
        <v>#N/A</v>
      </c>
      <c r="CC20" s="460" t="e">
        <v>#N/A</v>
      </c>
    </row>
    <row r="21" spans="1:81" ht="12.75" customHeight="1">
      <c r="A21" s="105">
        <v>16</v>
      </c>
      <c r="B21" s="112" t="str">
        <v>9M-12M</v>
      </c>
      <c r="C21" s="262">
        <f>'eur disaggregated'!AD32+'eur disaggregated'!AC32</f>
        <v>400.33200755539201</v>
      </c>
      <c r="D21" s="111" t="str">
        <f t="shared" si="1"/>
        <v>3M</v>
      </c>
      <c r="E21" s="441">
        <f>BktEur3mPL!E21</f>
        <v>42969</v>
      </c>
      <c r="F21" s="441">
        <f>BktEur3mPL!F21</f>
        <v>43061</v>
      </c>
      <c r="G21" s="462">
        <f t="shared" si="2"/>
        <v>-2.66E-3</v>
      </c>
      <c r="H21" s="453">
        <f>BktEur3mPL!H21</f>
        <v>-0.26600000000000001</v>
      </c>
      <c r="I21" s="107" t="str">
        <v>10M</v>
      </c>
      <c r="J21" s="106" t="str">
        <f>IF(LEN(I21)&gt;0,IF((MID(I21,4,1)=" "),#REF!,IF((LEN(I21)=8),DATE("20" &amp; RIGHT(I21,2),MID(I21,4,2),LEFT(I21,2)),SimplifyTenor(I21))),"")</f>
        <v>10M</v>
      </c>
      <c r="K21" s="106">
        <f>_xll.qlCalendarAdvance("TARGET",SettlementDate,J21)</f>
        <v>43000</v>
      </c>
      <c r="M21" s="99" t="str">
        <v>10M</v>
      </c>
      <c r="N21" s="465">
        <v>14055.366661078646</v>
      </c>
      <c r="P21" s="106" t="b">
        <f t="shared" si="0"/>
        <v>0</v>
      </c>
      <c r="Q21" s="460">
        <f t="array" ref="Q21:CC21">C21*ForwardToZero(OisBuckets,E21,F21,G21)</f>
        <v>0</v>
      </c>
      <c r="R21" s="460">
        <v>0</v>
      </c>
      <c r="S21" s="460">
        <v>0</v>
      </c>
      <c r="T21" s="460">
        <v>0</v>
      </c>
      <c r="U21" s="460">
        <v>0</v>
      </c>
      <c r="V21" s="460">
        <v>0</v>
      </c>
      <c r="W21" s="460">
        <v>0</v>
      </c>
      <c r="X21" s="460">
        <v>0</v>
      </c>
      <c r="Y21" s="460">
        <v>0</v>
      </c>
      <c r="Z21" s="460">
        <v>0</v>
      </c>
      <c r="AA21" s="460">
        <v>0</v>
      </c>
      <c r="AB21" s="460">
        <v>0</v>
      </c>
      <c r="AC21" s="460">
        <v>0</v>
      </c>
      <c r="AD21" s="460">
        <v>0</v>
      </c>
      <c r="AE21" s="460">
        <v>-1205.3474575309087</v>
      </c>
      <c r="AF21" s="460">
        <v>0</v>
      </c>
      <c r="AG21" s="460">
        <v>0</v>
      </c>
      <c r="AH21" s="460">
        <v>1605.6794650863008</v>
      </c>
      <c r="AI21" s="460">
        <v>0</v>
      </c>
      <c r="AJ21" s="460">
        <v>0</v>
      </c>
      <c r="AK21" s="460">
        <v>0</v>
      </c>
      <c r="AL21" s="460">
        <v>0</v>
      </c>
      <c r="AM21" s="460">
        <v>0</v>
      </c>
      <c r="AN21" s="460">
        <v>0</v>
      </c>
      <c r="AO21" s="460">
        <v>0</v>
      </c>
      <c r="AP21" s="460">
        <v>0</v>
      </c>
      <c r="AQ21" s="460">
        <v>0</v>
      </c>
      <c r="AR21" s="460">
        <v>0</v>
      </c>
      <c r="AS21" s="460">
        <v>0</v>
      </c>
      <c r="AT21" s="460">
        <v>0</v>
      </c>
      <c r="AU21" s="460">
        <v>0</v>
      </c>
      <c r="AV21" s="460">
        <v>0</v>
      </c>
      <c r="AW21" s="460">
        <v>0</v>
      </c>
      <c r="AX21" s="460">
        <v>0</v>
      </c>
      <c r="AY21" s="460">
        <v>0</v>
      </c>
      <c r="AZ21" s="460">
        <v>0</v>
      </c>
      <c r="BA21" s="460">
        <v>0</v>
      </c>
      <c r="BB21" s="460">
        <v>0</v>
      </c>
      <c r="BC21" s="460">
        <v>0</v>
      </c>
      <c r="BD21" s="460">
        <v>0</v>
      </c>
      <c r="BE21" s="460">
        <v>0</v>
      </c>
      <c r="BF21" s="460">
        <v>0</v>
      </c>
      <c r="BG21" s="460">
        <v>0</v>
      </c>
      <c r="BH21" s="460">
        <v>0</v>
      </c>
      <c r="BI21" s="460">
        <v>0</v>
      </c>
      <c r="BJ21" s="460">
        <v>0</v>
      </c>
      <c r="BK21" s="460">
        <v>0</v>
      </c>
      <c r="BL21" s="460">
        <v>0</v>
      </c>
      <c r="BM21" s="460">
        <v>0</v>
      </c>
      <c r="BN21" s="460">
        <v>0</v>
      </c>
      <c r="BO21" s="460">
        <v>0</v>
      </c>
      <c r="BP21" s="460">
        <v>0</v>
      </c>
      <c r="BQ21" s="460">
        <v>0</v>
      </c>
      <c r="BR21" s="460">
        <v>0</v>
      </c>
      <c r="BS21" s="460">
        <v>0</v>
      </c>
      <c r="BT21" s="460">
        <v>0</v>
      </c>
      <c r="BU21" s="460">
        <v>0</v>
      </c>
      <c r="BV21" s="460">
        <v>0</v>
      </c>
      <c r="BW21" s="460">
        <v>0</v>
      </c>
      <c r="BX21" s="460">
        <v>0</v>
      </c>
      <c r="BY21" s="460">
        <v>0</v>
      </c>
      <c r="BZ21" s="460">
        <v>0</v>
      </c>
      <c r="CA21" s="460" t="e">
        <v>#N/A</v>
      </c>
      <c r="CB21" s="460" t="e">
        <v>#N/A</v>
      </c>
      <c r="CC21" s="460" t="e">
        <v>#N/A</v>
      </c>
    </row>
    <row r="22" spans="1:81" ht="12.75" customHeight="1">
      <c r="A22" s="105">
        <v>17</v>
      </c>
      <c r="B22" s="112" t="str">
        <v>10M-13M</v>
      </c>
      <c r="C22" s="262">
        <f>'eur disaggregated'!AD33+'eur disaggregated'!AC33</f>
        <v>1301.9182315808303</v>
      </c>
      <c r="D22" s="111" t="str">
        <f t="shared" si="1"/>
        <v>3M</v>
      </c>
      <c r="E22" s="441">
        <f>BktEur3mPL!E22</f>
        <v>43000</v>
      </c>
      <c r="F22" s="441">
        <f>BktEur3mPL!F22</f>
        <v>43091</v>
      </c>
      <c r="G22" s="462">
        <f t="shared" si="2"/>
        <v>-2.5999999999999999E-3</v>
      </c>
      <c r="H22" s="453">
        <f>BktEur3mPL!H22</f>
        <v>-0.26</v>
      </c>
      <c r="I22" s="107" t="str">
        <v>11M</v>
      </c>
      <c r="J22" s="106" t="str">
        <f>IF(LEN(I22)&gt;0,IF((MID(I22,4,1)=" "),#REF!,IF((LEN(I22)=8),DATE("20" &amp; RIGHT(I22,2),MID(I22,4,2),LEFT(I22,2)),SimplifyTenor(I22))),"")</f>
        <v>11M</v>
      </c>
      <c r="K22" s="106">
        <f>_xll.qlCalendarAdvance("TARGET",SettlementDate,J22)</f>
        <v>43031</v>
      </c>
      <c r="M22" s="99" t="str">
        <v>11M</v>
      </c>
      <c r="N22" s="465">
        <v>1583.5294672057043</v>
      </c>
      <c r="P22" s="106" t="b">
        <f t="shared" si="0"/>
        <v>0</v>
      </c>
      <c r="Q22" s="460">
        <f t="array" ref="Q22:CC22">C22*ForwardToZero(OisBuckets,E22,F22,G22)</f>
        <v>0</v>
      </c>
      <c r="R22" s="460">
        <v>0</v>
      </c>
      <c r="S22" s="460">
        <v>0</v>
      </c>
      <c r="T22" s="460">
        <v>0</v>
      </c>
      <c r="U22" s="460">
        <v>0</v>
      </c>
      <c r="V22" s="460">
        <v>0</v>
      </c>
      <c r="W22" s="460">
        <v>0</v>
      </c>
      <c r="X22" s="460">
        <v>0</v>
      </c>
      <c r="Y22" s="460">
        <v>0</v>
      </c>
      <c r="Z22" s="460">
        <v>0</v>
      </c>
      <c r="AA22" s="460">
        <v>0</v>
      </c>
      <c r="AB22" s="460">
        <v>0</v>
      </c>
      <c r="AC22" s="460">
        <v>0</v>
      </c>
      <c r="AD22" s="460">
        <v>0</v>
      </c>
      <c r="AE22" s="460">
        <v>0</v>
      </c>
      <c r="AF22" s="460">
        <v>-4406.4924761197299</v>
      </c>
      <c r="AG22" s="460">
        <v>0</v>
      </c>
      <c r="AH22" s="460">
        <v>0</v>
      </c>
      <c r="AI22" s="460">
        <v>5708.4107077005601</v>
      </c>
      <c r="AJ22" s="460">
        <v>0</v>
      </c>
      <c r="AK22" s="460">
        <v>0</v>
      </c>
      <c r="AL22" s="460">
        <v>0</v>
      </c>
      <c r="AM22" s="460">
        <v>0</v>
      </c>
      <c r="AN22" s="460">
        <v>0</v>
      </c>
      <c r="AO22" s="460">
        <v>0</v>
      </c>
      <c r="AP22" s="460">
        <v>0</v>
      </c>
      <c r="AQ22" s="460">
        <v>0</v>
      </c>
      <c r="AR22" s="460">
        <v>0</v>
      </c>
      <c r="AS22" s="460">
        <v>0</v>
      </c>
      <c r="AT22" s="460">
        <v>0</v>
      </c>
      <c r="AU22" s="460">
        <v>0</v>
      </c>
      <c r="AV22" s="460">
        <v>0</v>
      </c>
      <c r="AW22" s="460">
        <v>0</v>
      </c>
      <c r="AX22" s="460">
        <v>0</v>
      </c>
      <c r="AY22" s="460">
        <v>0</v>
      </c>
      <c r="AZ22" s="460">
        <v>0</v>
      </c>
      <c r="BA22" s="460">
        <v>0</v>
      </c>
      <c r="BB22" s="460">
        <v>0</v>
      </c>
      <c r="BC22" s="460">
        <v>0</v>
      </c>
      <c r="BD22" s="460">
        <v>0</v>
      </c>
      <c r="BE22" s="460">
        <v>0</v>
      </c>
      <c r="BF22" s="460">
        <v>0</v>
      </c>
      <c r="BG22" s="460">
        <v>0</v>
      </c>
      <c r="BH22" s="460">
        <v>0</v>
      </c>
      <c r="BI22" s="460">
        <v>0</v>
      </c>
      <c r="BJ22" s="460">
        <v>0</v>
      </c>
      <c r="BK22" s="460">
        <v>0</v>
      </c>
      <c r="BL22" s="460">
        <v>0</v>
      </c>
      <c r="BM22" s="460">
        <v>0</v>
      </c>
      <c r="BN22" s="460">
        <v>0</v>
      </c>
      <c r="BO22" s="460">
        <v>0</v>
      </c>
      <c r="BP22" s="460">
        <v>0</v>
      </c>
      <c r="BQ22" s="460">
        <v>0</v>
      </c>
      <c r="BR22" s="460">
        <v>0</v>
      </c>
      <c r="BS22" s="460">
        <v>0</v>
      </c>
      <c r="BT22" s="460">
        <v>0</v>
      </c>
      <c r="BU22" s="460">
        <v>0</v>
      </c>
      <c r="BV22" s="460">
        <v>0</v>
      </c>
      <c r="BW22" s="460">
        <v>0</v>
      </c>
      <c r="BX22" s="460">
        <v>0</v>
      </c>
      <c r="BY22" s="460">
        <v>0</v>
      </c>
      <c r="BZ22" s="460">
        <v>0</v>
      </c>
      <c r="CA22" s="460" t="e">
        <v>#N/A</v>
      </c>
      <c r="CB22" s="460" t="e">
        <v>#N/A</v>
      </c>
      <c r="CC22" s="460" t="e">
        <v>#N/A</v>
      </c>
    </row>
    <row r="23" spans="1:81" ht="12.75" customHeight="1">
      <c r="A23" s="105">
        <v>18</v>
      </c>
      <c r="B23" s="112" t="str">
        <v>11M-14M</v>
      </c>
      <c r="C23" s="262">
        <f>'eur disaggregated'!AD34+'eur disaggregated'!AC34</f>
        <v>-274.99065025043598</v>
      </c>
      <c r="D23" s="111" t="str">
        <f t="shared" si="1"/>
        <v>3M</v>
      </c>
      <c r="E23" s="441">
        <f>BktEur3mPL!E23</f>
        <v>43031</v>
      </c>
      <c r="F23" s="441">
        <f>BktEur3mPL!F23</f>
        <v>43122</v>
      </c>
      <c r="G23" s="462">
        <f t="shared" si="2"/>
        <v>-2.5200000000000001E-3</v>
      </c>
      <c r="H23" s="453">
        <f>BktEur3mPL!H23</f>
        <v>-0.252</v>
      </c>
      <c r="I23" s="107" t="str">
        <v>1Y</v>
      </c>
      <c r="J23" s="106" t="str">
        <f>IF(LEN(I23)&gt;0,IF((MID(I23,4,1)=" "),#REF!,IF((LEN(I23)=8),DATE("20" &amp; RIGHT(I23,2),MID(I23,4,2),LEFT(I23,2)),SimplifyTenor(I23))),"")</f>
        <v>12M</v>
      </c>
      <c r="K23" s="106">
        <f>_xll.qlCalendarAdvance("TARGET",SettlementDate,J23)</f>
        <v>43061</v>
      </c>
      <c r="M23" s="99" t="str">
        <v>1Y</v>
      </c>
      <c r="N23" s="465">
        <v>-5535.8925690621954</v>
      </c>
      <c r="P23" s="106" t="b">
        <f t="shared" si="0"/>
        <v>0</v>
      </c>
      <c r="Q23" s="460">
        <f t="array" ref="Q23:CC23">C23*ForwardToZero(OisBuckets,E23,F23,G23)</f>
        <v>0</v>
      </c>
      <c r="R23" s="460">
        <v>0</v>
      </c>
      <c r="S23" s="460">
        <v>0</v>
      </c>
      <c r="T23" s="460">
        <v>0</v>
      </c>
      <c r="U23" s="460">
        <v>0</v>
      </c>
      <c r="V23" s="460">
        <v>0</v>
      </c>
      <c r="W23" s="460">
        <v>0</v>
      </c>
      <c r="X23" s="460">
        <v>0</v>
      </c>
      <c r="Y23" s="460">
        <v>0</v>
      </c>
      <c r="Z23" s="460">
        <v>0</v>
      </c>
      <c r="AA23" s="460">
        <v>0</v>
      </c>
      <c r="AB23" s="460">
        <v>0</v>
      </c>
      <c r="AC23" s="460">
        <v>0</v>
      </c>
      <c r="AD23" s="460">
        <v>0</v>
      </c>
      <c r="AE23" s="460">
        <v>0</v>
      </c>
      <c r="AF23" s="460">
        <v>0</v>
      </c>
      <c r="AG23" s="460">
        <v>1024.4157190648104</v>
      </c>
      <c r="AH23" s="460">
        <v>0</v>
      </c>
      <c r="AI23" s="460">
        <v>0</v>
      </c>
      <c r="AJ23" s="460">
        <v>-1299.4063693152464</v>
      </c>
      <c r="AK23" s="460">
        <v>0</v>
      </c>
      <c r="AL23" s="460">
        <v>0</v>
      </c>
      <c r="AM23" s="460">
        <v>0</v>
      </c>
      <c r="AN23" s="460">
        <v>0</v>
      </c>
      <c r="AO23" s="460">
        <v>0</v>
      </c>
      <c r="AP23" s="460">
        <v>0</v>
      </c>
      <c r="AQ23" s="460">
        <v>0</v>
      </c>
      <c r="AR23" s="460">
        <v>0</v>
      </c>
      <c r="AS23" s="460">
        <v>0</v>
      </c>
      <c r="AT23" s="460">
        <v>0</v>
      </c>
      <c r="AU23" s="460">
        <v>0</v>
      </c>
      <c r="AV23" s="460">
        <v>0</v>
      </c>
      <c r="AW23" s="460">
        <v>0</v>
      </c>
      <c r="AX23" s="460">
        <v>0</v>
      </c>
      <c r="AY23" s="460">
        <v>0</v>
      </c>
      <c r="AZ23" s="460">
        <v>0</v>
      </c>
      <c r="BA23" s="460">
        <v>0</v>
      </c>
      <c r="BB23" s="460">
        <v>0</v>
      </c>
      <c r="BC23" s="460">
        <v>0</v>
      </c>
      <c r="BD23" s="460">
        <v>0</v>
      </c>
      <c r="BE23" s="460">
        <v>0</v>
      </c>
      <c r="BF23" s="460">
        <v>0</v>
      </c>
      <c r="BG23" s="460">
        <v>0</v>
      </c>
      <c r="BH23" s="460">
        <v>0</v>
      </c>
      <c r="BI23" s="460">
        <v>0</v>
      </c>
      <c r="BJ23" s="460">
        <v>0</v>
      </c>
      <c r="BK23" s="460">
        <v>0</v>
      </c>
      <c r="BL23" s="460">
        <v>0</v>
      </c>
      <c r="BM23" s="460">
        <v>0</v>
      </c>
      <c r="BN23" s="460">
        <v>0</v>
      </c>
      <c r="BO23" s="460">
        <v>0</v>
      </c>
      <c r="BP23" s="460">
        <v>0</v>
      </c>
      <c r="BQ23" s="460">
        <v>0</v>
      </c>
      <c r="BR23" s="460">
        <v>0</v>
      </c>
      <c r="BS23" s="460">
        <v>0</v>
      </c>
      <c r="BT23" s="460">
        <v>0</v>
      </c>
      <c r="BU23" s="460">
        <v>0</v>
      </c>
      <c r="BV23" s="460">
        <v>0</v>
      </c>
      <c r="BW23" s="460">
        <v>0</v>
      </c>
      <c r="BX23" s="460">
        <v>0</v>
      </c>
      <c r="BY23" s="460">
        <v>0</v>
      </c>
      <c r="BZ23" s="460">
        <v>0</v>
      </c>
      <c r="CA23" s="460" t="e">
        <v>#N/A</v>
      </c>
      <c r="CB23" s="460" t="e">
        <v>#N/A</v>
      </c>
      <c r="CC23" s="460" t="e">
        <v>#N/A</v>
      </c>
    </row>
    <row r="24" spans="1:81" ht="12.75" customHeight="1">
      <c r="A24" s="105">
        <v>19</v>
      </c>
      <c r="B24" s="112" t="str">
        <v>12M-15M</v>
      </c>
      <c r="C24" s="262">
        <f>'eur disaggregated'!AD35+'eur disaggregated'!AC35</f>
        <v>1778.8727790323901</v>
      </c>
      <c r="D24" s="111" t="str">
        <f t="shared" si="1"/>
        <v>3M</v>
      </c>
      <c r="E24" s="441">
        <f>BktEur3mPL!E24</f>
        <v>43061</v>
      </c>
      <c r="F24" s="441">
        <f>BktEur3mPL!F24</f>
        <v>43153</v>
      </c>
      <c r="G24" s="462">
        <f t="shared" si="2"/>
        <v>-2.4599999999999999E-3</v>
      </c>
      <c r="H24" s="453">
        <f>BktEur3mPL!H24</f>
        <v>-0.246</v>
      </c>
      <c r="I24" s="107" t="str">
        <v>13M</v>
      </c>
      <c r="J24" s="106" t="str">
        <f>IF(LEN(I24)&gt;0,IF((MID(I24,4,1)=" "),#REF!,IF((LEN(I24)=8),DATE("20" &amp; RIGHT(I24,2),MID(I24,4,2),LEFT(I24,2)),SimplifyTenor(I24))),"")</f>
        <v>13M</v>
      </c>
      <c r="K24" s="106">
        <f>_xll.qlCalendarAdvance("TARGET",SettlementDate,J24)</f>
        <v>43091</v>
      </c>
      <c r="M24" s="99" t="str">
        <v>13M</v>
      </c>
      <c r="N24" s="465">
        <v>5613.9758870272717</v>
      </c>
      <c r="P24" s="106" t="b">
        <f t="shared" si="0"/>
        <v>0</v>
      </c>
      <c r="Q24" s="460">
        <f t="array" ref="Q24:CC24">C24*ForwardToZero(OisBuckets,E24,F24,G24)</f>
        <v>0</v>
      </c>
      <c r="R24" s="460">
        <v>0</v>
      </c>
      <c r="S24" s="460">
        <v>0</v>
      </c>
      <c r="T24" s="460">
        <v>0</v>
      </c>
      <c r="U24" s="460">
        <v>0</v>
      </c>
      <c r="V24" s="460">
        <v>0</v>
      </c>
      <c r="W24" s="460">
        <v>0</v>
      </c>
      <c r="X24" s="460">
        <v>0</v>
      </c>
      <c r="Y24" s="460">
        <v>0</v>
      </c>
      <c r="Z24" s="460">
        <v>0</v>
      </c>
      <c r="AA24" s="460">
        <v>0</v>
      </c>
      <c r="AB24" s="460">
        <v>0</v>
      </c>
      <c r="AC24" s="460">
        <v>0</v>
      </c>
      <c r="AD24" s="460">
        <v>0</v>
      </c>
      <c r="AE24" s="460">
        <v>0</v>
      </c>
      <c r="AF24" s="460">
        <v>0</v>
      </c>
      <c r="AG24" s="460">
        <v>0</v>
      </c>
      <c r="AH24" s="460">
        <v>-7134.8266898146894</v>
      </c>
      <c r="AI24" s="460">
        <v>0</v>
      </c>
      <c r="AJ24" s="460">
        <v>0</v>
      </c>
      <c r="AK24" s="460">
        <v>8913.6994688470786</v>
      </c>
      <c r="AL24" s="460">
        <v>0</v>
      </c>
      <c r="AM24" s="460">
        <v>0</v>
      </c>
      <c r="AN24" s="460">
        <v>0</v>
      </c>
      <c r="AO24" s="460">
        <v>0</v>
      </c>
      <c r="AP24" s="460">
        <v>0</v>
      </c>
      <c r="AQ24" s="460">
        <v>0</v>
      </c>
      <c r="AR24" s="460">
        <v>0</v>
      </c>
      <c r="AS24" s="460">
        <v>0</v>
      </c>
      <c r="AT24" s="460">
        <v>0</v>
      </c>
      <c r="AU24" s="460">
        <v>0</v>
      </c>
      <c r="AV24" s="460">
        <v>0</v>
      </c>
      <c r="AW24" s="460">
        <v>0</v>
      </c>
      <c r="AX24" s="460">
        <v>0</v>
      </c>
      <c r="AY24" s="460">
        <v>0</v>
      </c>
      <c r="AZ24" s="460">
        <v>0</v>
      </c>
      <c r="BA24" s="460">
        <v>0</v>
      </c>
      <c r="BB24" s="460">
        <v>0</v>
      </c>
      <c r="BC24" s="460">
        <v>0</v>
      </c>
      <c r="BD24" s="460">
        <v>0</v>
      </c>
      <c r="BE24" s="460">
        <v>0</v>
      </c>
      <c r="BF24" s="460">
        <v>0</v>
      </c>
      <c r="BG24" s="460">
        <v>0</v>
      </c>
      <c r="BH24" s="460">
        <v>0</v>
      </c>
      <c r="BI24" s="460">
        <v>0</v>
      </c>
      <c r="BJ24" s="460">
        <v>0</v>
      </c>
      <c r="BK24" s="460">
        <v>0</v>
      </c>
      <c r="BL24" s="460">
        <v>0</v>
      </c>
      <c r="BM24" s="460">
        <v>0</v>
      </c>
      <c r="BN24" s="460">
        <v>0</v>
      </c>
      <c r="BO24" s="460">
        <v>0</v>
      </c>
      <c r="BP24" s="460">
        <v>0</v>
      </c>
      <c r="BQ24" s="460">
        <v>0</v>
      </c>
      <c r="BR24" s="460">
        <v>0</v>
      </c>
      <c r="BS24" s="460">
        <v>0</v>
      </c>
      <c r="BT24" s="460">
        <v>0</v>
      </c>
      <c r="BU24" s="460">
        <v>0</v>
      </c>
      <c r="BV24" s="460">
        <v>0</v>
      </c>
      <c r="BW24" s="460">
        <v>0</v>
      </c>
      <c r="BX24" s="460">
        <v>0</v>
      </c>
      <c r="BY24" s="460">
        <v>0</v>
      </c>
      <c r="BZ24" s="460">
        <v>0</v>
      </c>
      <c r="CA24" s="460" t="e">
        <v>#N/A</v>
      </c>
      <c r="CB24" s="460" t="e">
        <v>#N/A</v>
      </c>
      <c r="CC24" s="460" t="e">
        <v>#N/A</v>
      </c>
    </row>
    <row r="25" spans="1:81" ht="12.75" customHeight="1">
      <c r="A25" s="442">
        <v>20</v>
      </c>
      <c r="B25" s="457" t="str">
        <v>DEC 17</v>
      </c>
      <c r="C25" s="479">
        <f>'eur disaggregated'!AD36+'eur disaggregated'!AC36</f>
        <v>22.937568893295975</v>
      </c>
      <c r="D25" s="443" t="str">
        <f t="shared" si="1"/>
        <v>3M</v>
      </c>
      <c r="E25" s="444">
        <f>BktEur3mPL!E25</f>
        <v>43089</v>
      </c>
      <c r="F25" s="444">
        <f>BktEur3mPL!F25</f>
        <v>43179</v>
      </c>
      <c r="G25" s="463">
        <f t="shared" si="2"/>
        <v>-2.4275000000000091E-3</v>
      </c>
      <c r="H25" s="454">
        <f>BktEur3mPL!H25</f>
        <v>100.24275</v>
      </c>
      <c r="I25" s="445" t="str">
        <v>14M</v>
      </c>
      <c r="J25" s="444" t="str">
        <f>IF(LEN(I25)&gt;0,IF((MID(I25,4,1)=" "),#REF!,IF((LEN(I25)=8),DATE("20" &amp; RIGHT(I25,2),MID(I25,4,2),LEFT(I25,2)),SimplifyTenor(I25))),"")</f>
        <v>14M</v>
      </c>
      <c r="K25" s="446">
        <f>_xll.qlCalendarAdvance("TARGET",SettlementDate,J25)</f>
        <v>43122</v>
      </c>
      <c r="M25" s="99" t="str">
        <v>14M</v>
      </c>
      <c r="N25" s="466">
        <v>-1299.4063693152464</v>
      </c>
      <c r="P25" s="106" t="b">
        <f t="shared" si="0"/>
        <v>1</v>
      </c>
      <c r="Q25" s="460">
        <f t="array" ref="Q25:CC25">C25*ForwardToZero(OisBuckets,E25,F25,G25)</f>
        <v>0</v>
      </c>
      <c r="R25" s="460">
        <v>0</v>
      </c>
      <c r="S25" s="460">
        <v>0</v>
      </c>
      <c r="T25" s="460">
        <v>0</v>
      </c>
      <c r="U25" s="460">
        <v>0</v>
      </c>
      <c r="V25" s="460">
        <v>0</v>
      </c>
      <c r="W25" s="460">
        <v>0</v>
      </c>
      <c r="X25" s="460">
        <v>0</v>
      </c>
      <c r="Y25" s="460">
        <v>0</v>
      </c>
      <c r="Z25" s="460">
        <v>0</v>
      </c>
      <c r="AA25" s="460">
        <v>0</v>
      </c>
      <c r="AB25" s="460">
        <v>0</v>
      </c>
      <c r="AC25" s="460">
        <v>0</v>
      </c>
      <c r="AD25" s="460">
        <v>0</v>
      </c>
      <c r="AE25" s="460">
        <v>0</v>
      </c>
      <c r="AF25" s="460">
        <v>0</v>
      </c>
      <c r="AG25" s="460">
        <v>0</v>
      </c>
      <c r="AH25" s="460">
        <v>-6.7453443338062682</v>
      </c>
      <c r="AI25" s="460">
        <v>-94.4348206732883</v>
      </c>
      <c r="AJ25" s="460">
        <v>0</v>
      </c>
      <c r="AK25" s="460">
        <v>8.8655524214564423</v>
      </c>
      <c r="AL25" s="460">
        <v>115.25218147893412</v>
      </c>
      <c r="AM25" s="460">
        <v>0</v>
      </c>
      <c r="AN25" s="460">
        <v>0</v>
      </c>
      <c r="AO25" s="460">
        <v>0</v>
      </c>
      <c r="AP25" s="460">
        <v>0</v>
      </c>
      <c r="AQ25" s="460">
        <v>0</v>
      </c>
      <c r="AR25" s="460">
        <v>0</v>
      </c>
      <c r="AS25" s="460">
        <v>0</v>
      </c>
      <c r="AT25" s="460">
        <v>0</v>
      </c>
      <c r="AU25" s="460">
        <v>0</v>
      </c>
      <c r="AV25" s="460">
        <v>0</v>
      </c>
      <c r="AW25" s="460">
        <v>0</v>
      </c>
      <c r="AX25" s="460">
        <v>0</v>
      </c>
      <c r="AY25" s="460">
        <v>0</v>
      </c>
      <c r="AZ25" s="460">
        <v>0</v>
      </c>
      <c r="BA25" s="460">
        <v>0</v>
      </c>
      <c r="BB25" s="460">
        <v>0</v>
      </c>
      <c r="BC25" s="460">
        <v>0</v>
      </c>
      <c r="BD25" s="460">
        <v>0</v>
      </c>
      <c r="BE25" s="460">
        <v>0</v>
      </c>
      <c r="BF25" s="460">
        <v>0</v>
      </c>
      <c r="BG25" s="460">
        <v>0</v>
      </c>
      <c r="BH25" s="460">
        <v>0</v>
      </c>
      <c r="BI25" s="460">
        <v>0</v>
      </c>
      <c r="BJ25" s="460">
        <v>0</v>
      </c>
      <c r="BK25" s="460">
        <v>0</v>
      </c>
      <c r="BL25" s="460">
        <v>0</v>
      </c>
      <c r="BM25" s="460">
        <v>0</v>
      </c>
      <c r="BN25" s="460">
        <v>0</v>
      </c>
      <c r="BO25" s="460">
        <v>0</v>
      </c>
      <c r="BP25" s="460">
        <v>0</v>
      </c>
      <c r="BQ25" s="460">
        <v>0</v>
      </c>
      <c r="BR25" s="460">
        <v>0</v>
      </c>
      <c r="BS25" s="460">
        <v>0</v>
      </c>
      <c r="BT25" s="460">
        <v>0</v>
      </c>
      <c r="BU25" s="460">
        <v>0</v>
      </c>
      <c r="BV25" s="460">
        <v>0</v>
      </c>
      <c r="BW25" s="460">
        <v>0</v>
      </c>
      <c r="BX25" s="460">
        <v>0</v>
      </c>
      <c r="BY25" s="460">
        <v>0</v>
      </c>
      <c r="BZ25" s="460">
        <v>0</v>
      </c>
      <c r="CA25" s="460" t="e">
        <v>#N/A</v>
      </c>
      <c r="CB25" s="460" t="e">
        <v>#N/A</v>
      </c>
      <c r="CC25" s="460" t="e">
        <v>#N/A</v>
      </c>
    </row>
    <row r="26" spans="1:81" ht="12.75" customHeight="1">
      <c r="A26" s="447">
        <v>21</v>
      </c>
      <c r="B26" s="458" t="str">
        <v>MAR 18</v>
      </c>
      <c r="C26" s="262">
        <f>'eur disaggregated'!AD37+'eur disaggregated'!AC37</f>
        <v>2693.74979596701</v>
      </c>
      <c r="D26" s="111" t="str">
        <f t="shared" si="1"/>
        <v>3M</v>
      </c>
      <c r="E26" s="441">
        <f>BktEur3mPL!E26</f>
        <v>43180</v>
      </c>
      <c r="F26" s="441">
        <f>BktEur3mPL!F26</f>
        <v>43272</v>
      </c>
      <c r="G26" s="462">
        <f t="shared" si="2"/>
        <v>-2.177499999999952E-3</v>
      </c>
      <c r="H26" s="453">
        <f>BktEur3mPL!H26</f>
        <v>100.21775</v>
      </c>
      <c r="I26" s="107" t="str">
        <v>15M</v>
      </c>
      <c r="J26" s="441" t="str">
        <f>IF(LEN(I26)&gt;0,IF((MID(I26,4,1)=" "),#REF!,IF((LEN(I26)=8),DATE("20" &amp; RIGHT(I26,2),MID(I26,4,2),LEFT(I26,2)),SimplifyTenor(I26))),"")</f>
        <v>15M</v>
      </c>
      <c r="K26" s="448">
        <f>_xll.qlCalendarAdvance("TARGET",SettlementDate,J26)</f>
        <v>43153</v>
      </c>
      <c r="M26" s="99" t="str">
        <v>15M</v>
      </c>
      <c r="N26" s="465">
        <v>8412.2583829021369</v>
      </c>
      <c r="P26" s="106" t="b">
        <f t="shared" si="0"/>
        <v>1</v>
      </c>
      <c r="Q26" s="460">
        <f t="array" ref="Q26:CC26">C26*ForwardToZero(OisBuckets,E26,F26,G26)</f>
        <v>0</v>
      </c>
      <c r="R26" s="460">
        <v>0</v>
      </c>
      <c r="S26" s="460">
        <v>0</v>
      </c>
      <c r="T26" s="460">
        <v>0</v>
      </c>
      <c r="U26" s="460">
        <v>0</v>
      </c>
      <c r="V26" s="460">
        <v>0</v>
      </c>
      <c r="W26" s="460">
        <v>0</v>
      </c>
      <c r="X26" s="460">
        <v>0</v>
      </c>
      <c r="Y26" s="460">
        <v>0</v>
      </c>
      <c r="Z26" s="460">
        <v>0</v>
      </c>
      <c r="AA26" s="460">
        <v>0</v>
      </c>
      <c r="AB26" s="460">
        <v>0</v>
      </c>
      <c r="AC26" s="460">
        <v>0</v>
      </c>
      <c r="AD26" s="460">
        <v>0</v>
      </c>
      <c r="AE26" s="460">
        <v>0</v>
      </c>
      <c r="AF26" s="460">
        <v>0</v>
      </c>
      <c r="AG26" s="460">
        <v>0</v>
      </c>
      <c r="AH26" s="460">
        <v>0</v>
      </c>
      <c r="AI26" s="460">
        <v>0</v>
      </c>
      <c r="AJ26" s="460">
        <v>0</v>
      </c>
      <c r="AK26" s="460">
        <v>-510.30663836639917</v>
      </c>
      <c r="AL26" s="460">
        <v>-13778.2792358934</v>
      </c>
      <c r="AM26" s="460">
        <v>0</v>
      </c>
      <c r="AN26" s="460">
        <v>547.81727968475582</v>
      </c>
      <c r="AO26" s="460">
        <v>16434.518390542053</v>
      </c>
      <c r="AP26" s="460">
        <v>0</v>
      </c>
      <c r="AQ26" s="460">
        <v>0</v>
      </c>
      <c r="AR26" s="460">
        <v>0</v>
      </c>
      <c r="AS26" s="460">
        <v>0</v>
      </c>
      <c r="AT26" s="460">
        <v>0</v>
      </c>
      <c r="AU26" s="460">
        <v>0</v>
      </c>
      <c r="AV26" s="460">
        <v>0</v>
      </c>
      <c r="AW26" s="460">
        <v>0</v>
      </c>
      <c r="AX26" s="460">
        <v>0</v>
      </c>
      <c r="AY26" s="460">
        <v>0</v>
      </c>
      <c r="AZ26" s="460">
        <v>0</v>
      </c>
      <c r="BA26" s="460">
        <v>0</v>
      </c>
      <c r="BB26" s="460">
        <v>0</v>
      </c>
      <c r="BC26" s="460">
        <v>0</v>
      </c>
      <c r="BD26" s="460">
        <v>0</v>
      </c>
      <c r="BE26" s="460">
        <v>0</v>
      </c>
      <c r="BF26" s="460">
        <v>0</v>
      </c>
      <c r="BG26" s="460">
        <v>0</v>
      </c>
      <c r="BH26" s="460">
        <v>0</v>
      </c>
      <c r="BI26" s="460">
        <v>0</v>
      </c>
      <c r="BJ26" s="460">
        <v>0</v>
      </c>
      <c r="BK26" s="460">
        <v>0</v>
      </c>
      <c r="BL26" s="460">
        <v>0</v>
      </c>
      <c r="BM26" s="460">
        <v>0</v>
      </c>
      <c r="BN26" s="460">
        <v>0</v>
      </c>
      <c r="BO26" s="460">
        <v>0</v>
      </c>
      <c r="BP26" s="460">
        <v>0</v>
      </c>
      <c r="BQ26" s="460">
        <v>0</v>
      </c>
      <c r="BR26" s="460">
        <v>0</v>
      </c>
      <c r="BS26" s="460">
        <v>0</v>
      </c>
      <c r="BT26" s="460">
        <v>0</v>
      </c>
      <c r="BU26" s="460">
        <v>0</v>
      </c>
      <c r="BV26" s="460">
        <v>0</v>
      </c>
      <c r="BW26" s="460">
        <v>0</v>
      </c>
      <c r="BX26" s="460">
        <v>0</v>
      </c>
      <c r="BY26" s="460">
        <v>0</v>
      </c>
      <c r="BZ26" s="460">
        <v>0</v>
      </c>
      <c r="CA26" s="460" t="e">
        <v>#N/A</v>
      </c>
      <c r="CB26" s="460" t="e">
        <v>#N/A</v>
      </c>
      <c r="CC26" s="460" t="e">
        <v>#N/A</v>
      </c>
    </row>
    <row r="27" spans="1:81" ht="12.75" customHeight="1">
      <c r="A27" s="447">
        <v>22</v>
      </c>
      <c r="B27" s="458" t="str">
        <v>JUN 18</v>
      </c>
      <c r="C27" s="262">
        <f>'eur disaggregated'!AD38+'eur disaggregated'!AC38</f>
        <v>-920.06062469482401</v>
      </c>
      <c r="D27" s="111" t="str">
        <f t="shared" si="1"/>
        <v>3M</v>
      </c>
      <c r="E27" s="441">
        <f>BktEur3mPL!E27</f>
        <v>43271</v>
      </c>
      <c r="F27" s="441">
        <f>BktEur3mPL!F27</f>
        <v>43363</v>
      </c>
      <c r="G27" s="462">
        <f t="shared" si="2"/>
        <v>-1.8800000000000238E-3</v>
      </c>
      <c r="H27" s="453">
        <f>BktEur3mPL!H27</f>
        <v>100.188</v>
      </c>
      <c r="I27" s="107" t="str">
        <v>16M</v>
      </c>
      <c r="J27" s="441" t="str">
        <f>IF(LEN(I27)&gt;0,IF((MID(I27,4,1)=" "),#REF!,IF((LEN(I27)=8),DATE("20" &amp; RIGHT(I27,2),MID(I27,4,2),LEFT(I27,2)),SimplifyTenor(I27))),"")</f>
        <v>16M</v>
      </c>
      <c r="K27" s="448">
        <f>_xll.qlCalendarAdvance("TARGET",SettlementDate,J27)</f>
        <v>43181</v>
      </c>
      <c r="M27" s="99" t="str">
        <v>16M</v>
      </c>
      <c r="N27" s="465">
        <v>-13663.027054414466</v>
      </c>
      <c r="P27" s="106" t="b">
        <f t="shared" si="0"/>
        <v>1</v>
      </c>
      <c r="Q27" s="460">
        <f t="array" ref="Q27:CC27">C27*ForwardToZero(OisBuckets,E27,F27,G27)</f>
        <v>0</v>
      </c>
      <c r="R27" s="460">
        <v>0</v>
      </c>
      <c r="S27" s="460">
        <v>0</v>
      </c>
      <c r="T27" s="460">
        <v>0</v>
      </c>
      <c r="U27" s="460">
        <v>0</v>
      </c>
      <c r="V27" s="460">
        <v>0</v>
      </c>
      <c r="W27" s="460">
        <v>0</v>
      </c>
      <c r="X27" s="460">
        <v>0</v>
      </c>
      <c r="Y27" s="460">
        <v>0</v>
      </c>
      <c r="Z27" s="460">
        <v>0</v>
      </c>
      <c r="AA27" s="460">
        <v>0</v>
      </c>
      <c r="AB27" s="460">
        <v>0</v>
      </c>
      <c r="AC27" s="460">
        <v>0</v>
      </c>
      <c r="AD27" s="460">
        <v>0</v>
      </c>
      <c r="AE27" s="460">
        <v>0</v>
      </c>
      <c r="AF27" s="460">
        <v>0</v>
      </c>
      <c r="AG27" s="460">
        <v>0</v>
      </c>
      <c r="AH27" s="460">
        <v>0</v>
      </c>
      <c r="AI27" s="460">
        <v>0</v>
      </c>
      <c r="AJ27" s="460">
        <v>0</v>
      </c>
      <c r="AK27" s="460">
        <v>0</v>
      </c>
      <c r="AL27" s="460">
        <v>0</v>
      </c>
      <c r="AM27" s="460">
        <v>0</v>
      </c>
      <c r="AN27" s="460">
        <v>373.57300259347835</v>
      </c>
      <c r="AO27" s="460">
        <v>5416.8085376054587</v>
      </c>
      <c r="AP27" s="460">
        <v>0</v>
      </c>
      <c r="AQ27" s="460">
        <v>-813.38692907802852</v>
      </c>
      <c r="AR27" s="460">
        <v>-5897.055235815732</v>
      </c>
      <c r="AS27" s="460">
        <v>0</v>
      </c>
      <c r="AT27" s="460">
        <v>0</v>
      </c>
      <c r="AU27" s="460">
        <v>0</v>
      </c>
      <c r="AV27" s="460">
        <v>0</v>
      </c>
      <c r="AW27" s="460">
        <v>0</v>
      </c>
      <c r="AX27" s="460">
        <v>0</v>
      </c>
      <c r="AY27" s="460">
        <v>0</v>
      </c>
      <c r="AZ27" s="460">
        <v>0</v>
      </c>
      <c r="BA27" s="460">
        <v>0</v>
      </c>
      <c r="BB27" s="460">
        <v>0</v>
      </c>
      <c r="BC27" s="460">
        <v>0</v>
      </c>
      <c r="BD27" s="460">
        <v>0</v>
      </c>
      <c r="BE27" s="460">
        <v>0</v>
      </c>
      <c r="BF27" s="460">
        <v>0</v>
      </c>
      <c r="BG27" s="460">
        <v>0</v>
      </c>
      <c r="BH27" s="460">
        <v>0</v>
      </c>
      <c r="BI27" s="460">
        <v>0</v>
      </c>
      <c r="BJ27" s="460">
        <v>0</v>
      </c>
      <c r="BK27" s="460">
        <v>0</v>
      </c>
      <c r="BL27" s="460">
        <v>0</v>
      </c>
      <c r="BM27" s="460">
        <v>0</v>
      </c>
      <c r="BN27" s="460">
        <v>0</v>
      </c>
      <c r="BO27" s="460">
        <v>0</v>
      </c>
      <c r="BP27" s="460">
        <v>0</v>
      </c>
      <c r="BQ27" s="460">
        <v>0</v>
      </c>
      <c r="BR27" s="460">
        <v>0</v>
      </c>
      <c r="BS27" s="460">
        <v>0</v>
      </c>
      <c r="BT27" s="460">
        <v>0</v>
      </c>
      <c r="BU27" s="460">
        <v>0</v>
      </c>
      <c r="BV27" s="460">
        <v>0</v>
      </c>
      <c r="BW27" s="460">
        <v>0</v>
      </c>
      <c r="BX27" s="460">
        <v>0</v>
      </c>
      <c r="BY27" s="460">
        <v>0</v>
      </c>
      <c r="BZ27" s="460">
        <v>0</v>
      </c>
      <c r="CA27" s="460" t="e">
        <v>#N/A</v>
      </c>
      <c r="CB27" s="460" t="e">
        <v>#N/A</v>
      </c>
      <c r="CC27" s="460" t="e">
        <v>#N/A</v>
      </c>
    </row>
    <row r="28" spans="1:81" ht="12.75" customHeight="1">
      <c r="A28" s="447">
        <v>23</v>
      </c>
      <c r="B28" s="458" t="str">
        <v>SEP 18</v>
      </c>
      <c r="C28" s="262">
        <f>'eur disaggregated'!AD39+'eur disaggregated'!AC39</f>
        <v>-5162.0105135892791</v>
      </c>
      <c r="D28" s="111" t="str">
        <f t="shared" si="1"/>
        <v>3M</v>
      </c>
      <c r="E28" s="441">
        <f>BktEur3mPL!E28</f>
        <v>43362</v>
      </c>
      <c r="F28" s="441">
        <f>BktEur3mPL!F28</f>
        <v>43453</v>
      </c>
      <c r="G28" s="462">
        <f t="shared" si="2"/>
        <v>-1.530000000000058E-3</v>
      </c>
      <c r="H28" s="453">
        <f>BktEur3mPL!H28</f>
        <v>100.15300000000001</v>
      </c>
      <c r="I28" s="107" t="str">
        <v>17M</v>
      </c>
      <c r="J28" s="441" t="str">
        <f>IF(LEN(I28)&gt;0,IF((MID(I28,4,1)=" "),#REF!,IF((LEN(I28)=8),DATE("20" &amp; RIGHT(I28,2),MID(I28,4,2),LEFT(I28,2)),SimplifyTenor(I28))),"")</f>
        <v>17M</v>
      </c>
      <c r="K28" s="448">
        <f>_xll.qlCalendarAdvance("TARGET",SettlementDate,J28)</f>
        <v>43213</v>
      </c>
      <c r="M28" s="99" t="str">
        <v>17M</v>
      </c>
      <c r="N28" s="465">
        <v>0</v>
      </c>
      <c r="P28" s="106" t="b">
        <f t="shared" si="0"/>
        <v>1</v>
      </c>
      <c r="Q28" s="460">
        <f t="array" ref="Q28:CC28">C28*ForwardToZero(OisBuckets,E28,F28,G28)</f>
        <v>0</v>
      </c>
      <c r="R28" s="460">
        <v>0</v>
      </c>
      <c r="S28" s="460">
        <v>0</v>
      </c>
      <c r="T28" s="460">
        <v>0</v>
      </c>
      <c r="U28" s="460">
        <v>0</v>
      </c>
      <c r="V28" s="460">
        <v>0</v>
      </c>
      <c r="W28" s="460">
        <v>0</v>
      </c>
      <c r="X28" s="460">
        <v>0</v>
      </c>
      <c r="Y28" s="460">
        <v>0</v>
      </c>
      <c r="Z28" s="460">
        <v>0</v>
      </c>
      <c r="AA28" s="460">
        <v>0</v>
      </c>
      <c r="AB28" s="460">
        <v>0</v>
      </c>
      <c r="AC28" s="460">
        <v>0</v>
      </c>
      <c r="AD28" s="460">
        <v>0</v>
      </c>
      <c r="AE28" s="460">
        <v>0</v>
      </c>
      <c r="AF28" s="460">
        <v>0</v>
      </c>
      <c r="AG28" s="460">
        <v>0</v>
      </c>
      <c r="AH28" s="460">
        <v>0</v>
      </c>
      <c r="AI28" s="460">
        <v>0</v>
      </c>
      <c r="AJ28" s="460">
        <v>0</v>
      </c>
      <c r="AK28" s="460">
        <v>0</v>
      </c>
      <c r="AL28" s="460">
        <v>0</v>
      </c>
      <c r="AM28" s="460">
        <v>0</v>
      </c>
      <c r="AN28" s="460">
        <v>0</v>
      </c>
      <c r="AO28" s="460">
        <v>0</v>
      </c>
      <c r="AP28" s="460">
        <v>0</v>
      </c>
      <c r="AQ28" s="460">
        <v>5758.4865869211326</v>
      </c>
      <c r="AR28" s="460">
        <v>32247.524886758172</v>
      </c>
      <c r="AS28" s="460">
        <v>0</v>
      </c>
      <c r="AT28" s="460">
        <v>-39974.771045744601</v>
      </c>
      <c r="AU28" s="460">
        <v>-3193.2509415239788</v>
      </c>
      <c r="AV28" s="460">
        <v>0</v>
      </c>
      <c r="AW28" s="460">
        <v>0</v>
      </c>
      <c r="AX28" s="460">
        <v>0</v>
      </c>
      <c r="AY28" s="460">
        <v>0</v>
      </c>
      <c r="AZ28" s="460">
        <v>0</v>
      </c>
      <c r="BA28" s="460">
        <v>0</v>
      </c>
      <c r="BB28" s="460">
        <v>0</v>
      </c>
      <c r="BC28" s="460">
        <v>0</v>
      </c>
      <c r="BD28" s="460">
        <v>0</v>
      </c>
      <c r="BE28" s="460">
        <v>0</v>
      </c>
      <c r="BF28" s="460">
        <v>0</v>
      </c>
      <c r="BG28" s="460">
        <v>0</v>
      </c>
      <c r="BH28" s="460">
        <v>0</v>
      </c>
      <c r="BI28" s="460">
        <v>0</v>
      </c>
      <c r="BJ28" s="460">
        <v>0</v>
      </c>
      <c r="BK28" s="460">
        <v>0</v>
      </c>
      <c r="BL28" s="460">
        <v>0</v>
      </c>
      <c r="BM28" s="460">
        <v>0</v>
      </c>
      <c r="BN28" s="460">
        <v>0</v>
      </c>
      <c r="BO28" s="460">
        <v>0</v>
      </c>
      <c r="BP28" s="460">
        <v>0</v>
      </c>
      <c r="BQ28" s="460">
        <v>0</v>
      </c>
      <c r="BR28" s="460">
        <v>0</v>
      </c>
      <c r="BS28" s="460">
        <v>0</v>
      </c>
      <c r="BT28" s="460">
        <v>0</v>
      </c>
      <c r="BU28" s="460">
        <v>0</v>
      </c>
      <c r="BV28" s="460">
        <v>0</v>
      </c>
      <c r="BW28" s="460">
        <v>0</v>
      </c>
      <c r="BX28" s="460">
        <v>0</v>
      </c>
      <c r="BY28" s="460">
        <v>0</v>
      </c>
      <c r="BZ28" s="460">
        <v>0</v>
      </c>
      <c r="CA28" s="460" t="e">
        <v>#N/A</v>
      </c>
      <c r="CB28" s="460" t="e">
        <v>#N/A</v>
      </c>
      <c r="CC28" s="460" t="e">
        <v>#N/A</v>
      </c>
    </row>
    <row r="29" spans="1:81" ht="12.75" customHeight="1">
      <c r="A29" s="447">
        <v>24</v>
      </c>
      <c r="B29" s="458" t="str">
        <v>DEC 18</v>
      </c>
      <c r="C29" s="262">
        <f>'eur disaggregated'!AD40+'eur disaggregated'!AC40</f>
        <v>-2638.1784946064404</v>
      </c>
      <c r="D29" s="111" t="str">
        <f t="shared" si="1"/>
        <v>3M</v>
      </c>
      <c r="E29" s="441">
        <f>BktEur3mPL!E29</f>
        <v>43453</v>
      </c>
      <c r="F29" s="441">
        <f>BktEur3mPL!F29</f>
        <v>43543</v>
      </c>
      <c r="G29" s="462">
        <f t="shared" si="2"/>
        <v>-1.1324999999999363E-3</v>
      </c>
      <c r="H29" s="453">
        <f>BktEur3mPL!H29</f>
        <v>100.11324999999999</v>
      </c>
      <c r="I29" s="107" t="str">
        <v>18M</v>
      </c>
      <c r="J29" s="441" t="str">
        <f>IF(LEN(I29)&gt;0,IF((MID(I29,4,1)=" "),#REF!,IF((LEN(I29)=8),DATE("20" &amp; RIGHT(I29,2),MID(I29,4,2),LEFT(I29,2)),SimplifyTenor(I29))),"")</f>
        <v>18M</v>
      </c>
      <c r="K29" s="448">
        <f>_xll.qlCalendarAdvance("TARGET",SettlementDate,J29)</f>
        <v>43242</v>
      </c>
      <c r="M29" s="99" t="str">
        <v>18M</v>
      </c>
      <c r="N29" s="465">
        <v>921.39028227823417</v>
      </c>
      <c r="P29" s="106" t="b">
        <f t="shared" si="0"/>
        <v>1</v>
      </c>
      <c r="Q29" s="460">
        <f t="array" ref="Q29:CC29">C29*ForwardToZero(OisBuckets,E29,F29,G29)</f>
        <v>0</v>
      </c>
      <c r="R29" s="460">
        <v>0</v>
      </c>
      <c r="S29" s="460">
        <v>0</v>
      </c>
      <c r="T29" s="460">
        <v>0</v>
      </c>
      <c r="U29" s="460">
        <v>0</v>
      </c>
      <c r="V29" s="460">
        <v>0</v>
      </c>
      <c r="W29" s="460">
        <v>0</v>
      </c>
      <c r="X29" s="460">
        <v>0</v>
      </c>
      <c r="Y29" s="460">
        <v>0</v>
      </c>
      <c r="Z29" s="460">
        <v>0</v>
      </c>
      <c r="AA29" s="460">
        <v>0</v>
      </c>
      <c r="AB29" s="460">
        <v>0</v>
      </c>
      <c r="AC29" s="460">
        <v>0</v>
      </c>
      <c r="AD29" s="460">
        <v>0</v>
      </c>
      <c r="AE29" s="460">
        <v>0</v>
      </c>
      <c r="AF29" s="460">
        <v>0</v>
      </c>
      <c r="AG29" s="460">
        <v>0</v>
      </c>
      <c r="AH29" s="460">
        <v>0</v>
      </c>
      <c r="AI29" s="460">
        <v>0</v>
      </c>
      <c r="AJ29" s="460">
        <v>0</v>
      </c>
      <c r="AK29" s="460">
        <v>0</v>
      </c>
      <c r="AL29" s="460">
        <v>0</v>
      </c>
      <c r="AM29" s="460">
        <v>0</v>
      </c>
      <c r="AN29" s="460">
        <v>0</v>
      </c>
      <c r="AO29" s="460">
        <v>0</v>
      </c>
      <c r="AP29" s="460">
        <v>0</v>
      </c>
      <c r="AQ29" s="460">
        <v>0</v>
      </c>
      <c r="AR29" s="460">
        <v>0</v>
      </c>
      <c r="AS29" s="460">
        <v>0</v>
      </c>
      <c r="AT29" s="460">
        <v>3707.9056650222033</v>
      </c>
      <c r="AU29" s="460">
        <v>-6346.0841596286427</v>
      </c>
      <c r="AV29" s="460">
        <v>0</v>
      </c>
      <c r="AW29" s="460">
        <v>0</v>
      </c>
      <c r="AX29" s="460">
        <v>0</v>
      </c>
      <c r="AY29" s="460">
        <v>0</v>
      </c>
      <c r="AZ29" s="460">
        <v>0</v>
      </c>
      <c r="BA29" s="460">
        <v>0</v>
      </c>
      <c r="BB29" s="460">
        <v>0</v>
      </c>
      <c r="BC29" s="460">
        <v>0</v>
      </c>
      <c r="BD29" s="460">
        <v>0</v>
      </c>
      <c r="BE29" s="460">
        <v>0</v>
      </c>
      <c r="BF29" s="460">
        <v>0</v>
      </c>
      <c r="BG29" s="460">
        <v>0</v>
      </c>
      <c r="BH29" s="460">
        <v>0</v>
      </c>
      <c r="BI29" s="460">
        <v>0</v>
      </c>
      <c r="BJ29" s="460">
        <v>0</v>
      </c>
      <c r="BK29" s="460">
        <v>0</v>
      </c>
      <c r="BL29" s="460">
        <v>0</v>
      </c>
      <c r="BM29" s="460">
        <v>0</v>
      </c>
      <c r="BN29" s="460">
        <v>0</v>
      </c>
      <c r="BO29" s="460">
        <v>0</v>
      </c>
      <c r="BP29" s="460">
        <v>0</v>
      </c>
      <c r="BQ29" s="460">
        <v>0</v>
      </c>
      <c r="BR29" s="460">
        <v>0</v>
      </c>
      <c r="BS29" s="460">
        <v>0</v>
      </c>
      <c r="BT29" s="460">
        <v>0</v>
      </c>
      <c r="BU29" s="460">
        <v>0</v>
      </c>
      <c r="BV29" s="460">
        <v>0</v>
      </c>
      <c r="BW29" s="460">
        <v>0</v>
      </c>
      <c r="BX29" s="460">
        <v>0</v>
      </c>
      <c r="BY29" s="460">
        <v>0</v>
      </c>
      <c r="BZ29" s="460">
        <v>0</v>
      </c>
      <c r="CA29" s="460" t="e">
        <v>#N/A</v>
      </c>
      <c r="CB29" s="460" t="e">
        <v>#N/A</v>
      </c>
      <c r="CC29" s="460" t="e">
        <v>#N/A</v>
      </c>
    </row>
    <row r="30" spans="1:81" ht="12.75" customHeight="1">
      <c r="A30" s="449">
        <v>25</v>
      </c>
      <c r="B30" s="459" t="str">
        <v>MAR 19</v>
      </c>
      <c r="C30" s="262">
        <f>'eur disaggregated'!AD41+'eur disaggregated'!AC41</f>
        <v>4113.2626038502804</v>
      </c>
      <c r="D30" s="376" t="str">
        <f t="shared" si="1"/>
        <v>3M</v>
      </c>
      <c r="E30" s="450">
        <f>BktEur3mPL!E30</f>
        <v>43544</v>
      </c>
      <c r="F30" s="450">
        <f>BktEur3mPL!F30</f>
        <v>43636</v>
      </c>
      <c r="G30" s="464">
        <f t="shared" si="2"/>
        <v>-6.7999999999997836E-4</v>
      </c>
      <c r="H30" s="455">
        <f>BktEur3mPL!H30</f>
        <v>100.068</v>
      </c>
      <c r="I30" s="451" t="str">
        <v>19M</v>
      </c>
      <c r="J30" s="450" t="str">
        <f>IF(LEN(I30)&gt;0,IF((MID(I30,4,1)=" "),#REF!,IF((LEN(I30)=8),DATE("20" &amp; RIGHT(I30,2),MID(I30,4,2),LEFT(I30,2)),SimplifyTenor(I30))),"")</f>
        <v>19M</v>
      </c>
      <c r="K30" s="452">
        <f>_xll.qlCalendarAdvance("TARGET",SettlementDate,J30)</f>
        <v>43273</v>
      </c>
      <c r="M30" s="99" t="str">
        <v>19M</v>
      </c>
      <c r="N30" s="467">
        <v>21851.326928147511</v>
      </c>
      <c r="P30" s="106" t="b">
        <f t="shared" si="0"/>
        <v>1</v>
      </c>
      <c r="Q30" s="460">
        <f t="array" ref="Q30:CC30">C30*ForwardToZero(OisBuckets,E30,F30,G30)</f>
        <v>0</v>
      </c>
      <c r="R30" s="460">
        <v>0</v>
      </c>
      <c r="S30" s="460">
        <v>0</v>
      </c>
      <c r="T30" s="460">
        <v>0</v>
      </c>
      <c r="U30" s="460">
        <v>0</v>
      </c>
      <c r="V30" s="460">
        <v>0</v>
      </c>
      <c r="W30" s="460">
        <v>0</v>
      </c>
      <c r="X30" s="460">
        <v>0</v>
      </c>
      <c r="Y30" s="460">
        <v>0</v>
      </c>
      <c r="Z30" s="460">
        <v>0</v>
      </c>
      <c r="AA30" s="460">
        <v>0</v>
      </c>
      <c r="AB30" s="460">
        <v>0</v>
      </c>
      <c r="AC30" s="460">
        <v>0</v>
      </c>
      <c r="AD30" s="460">
        <v>0</v>
      </c>
      <c r="AE30" s="460">
        <v>0</v>
      </c>
      <c r="AF30" s="460">
        <v>0</v>
      </c>
      <c r="AG30" s="460">
        <v>0</v>
      </c>
      <c r="AH30" s="460">
        <v>0</v>
      </c>
      <c r="AI30" s="460">
        <v>0</v>
      </c>
      <c r="AJ30" s="460">
        <v>0</v>
      </c>
      <c r="AK30" s="460">
        <v>0</v>
      </c>
      <c r="AL30" s="460">
        <v>0</v>
      </c>
      <c r="AM30" s="460">
        <v>0</v>
      </c>
      <c r="AN30" s="460">
        <v>0</v>
      </c>
      <c r="AO30" s="460">
        <v>0</v>
      </c>
      <c r="AP30" s="460">
        <v>0</v>
      </c>
      <c r="AQ30" s="460">
        <v>0</v>
      </c>
      <c r="AR30" s="460">
        <v>0</v>
      </c>
      <c r="AS30" s="460">
        <v>0</v>
      </c>
      <c r="AT30" s="460">
        <v>-7854.6411914620403</v>
      </c>
      <c r="AU30" s="460">
        <v>11967.903795312322</v>
      </c>
      <c r="AV30" s="460">
        <v>0</v>
      </c>
      <c r="AW30" s="460">
        <v>0</v>
      </c>
      <c r="AX30" s="460">
        <v>0</v>
      </c>
      <c r="AY30" s="460">
        <v>0</v>
      </c>
      <c r="AZ30" s="460">
        <v>0</v>
      </c>
      <c r="BA30" s="460">
        <v>0</v>
      </c>
      <c r="BB30" s="460">
        <v>0</v>
      </c>
      <c r="BC30" s="460">
        <v>0</v>
      </c>
      <c r="BD30" s="460">
        <v>0</v>
      </c>
      <c r="BE30" s="460">
        <v>0</v>
      </c>
      <c r="BF30" s="460">
        <v>0</v>
      </c>
      <c r="BG30" s="460">
        <v>0</v>
      </c>
      <c r="BH30" s="460">
        <v>0</v>
      </c>
      <c r="BI30" s="460">
        <v>0</v>
      </c>
      <c r="BJ30" s="460">
        <v>0</v>
      </c>
      <c r="BK30" s="460">
        <v>0</v>
      </c>
      <c r="BL30" s="460">
        <v>0</v>
      </c>
      <c r="BM30" s="460">
        <v>0</v>
      </c>
      <c r="BN30" s="460">
        <v>0</v>
      </c>
      <c r="BO30" s="460">
        <v>0</v>
      </c>
      <c r="BP30" s="460">
        <v>0</v>
      </c>
      <c r="BQ30" s="460">
        <v>0</v>
      </c>
      <c r="BR30" s="460">
        <v>0</v>
      </c>
      <c r="BS30" s="460">
        <v>0</v>
      </c>
      <c r="BT30" s="460">
        <v>0</v>
      </c>
      <c r="BU30" s="460">
        <v>0</v>
      </c>
      <c r="BV30" s="460">
        <v>0</v>
      </c>
      <c r="BW30" s="460">
        <v>0</v>
      </c>
      <c r="BX30" s="460">
        <v>0</v>
      </c>
      <c r="BY30" s="460">
        <v>0</v>
      </c>
      <c r="BZ30" s="460">
        <v>0</v>
      </c>
      <c r="CA30" s="460" t="e">
        <v>#N/A</v>
      </c>
      <c r="CB30" s="460" t="e">
        <v>#N/A</v>
      </c>
      <c r="CC30" s="460" t="e">
        <v>#N/A</v>
      </c>
    </row>
    <row r="31" spans="1:81" ht="12.75" customHeight="1">
      <c r="A31" s="105">
        <v>26</v>
      </c>
      <c r="B31" s="112" t="str">
        <v>3Y</v>
      </c>
      <c r="C31" s="479">
        <f>'eur disaggregated'!AD42+'eur disaggregated'!AC42</f>
        <v>-12345.0303411856</v>
      </c>
      <c r="D31" s="111" t="str">
        <f t="shared" ref="D31:D70" si="3">IF(LEN(B31)&gt;0,SimplifyTenor(B31),"")</f>
        <v>36M</v>
      </c>
      <c r="E31" s="441">
        <f>BktEur3mPL!E31</f>
        <v>42696</v>
      </c>
      <c r="F31" s="441">
        <f>BktEur3mPL!F31</f>
        <v>43791</v>
      </c>
      <c r="G31" s="462">
        <f t="shared" si="2"/>
        <v>-1.8599999999999999E-3</v>
      </c>
      <c r="H31" s="453">
        <f>BktEur3mPL!H31</f>
        <v>-0.186</v>
      </c>
      <c r="I31" s="107" t="str">
        <v>20M</v>
      </c>
      <c r="J31" s="106" t="str">
        <f>IF(LEN(I31)&gt;0,IF((MID(I31,4,1)=" "),#REF!,IF((LEN(I31)=8),DATE("20" &amp; RIGHT(I31,2),MID(I31,4,2),LEFT(I31,2)),SimplifyTenor(I31))),"")</f>
        <v>20M</v>
      </c>
      <c r="K31" s="448">
        <f>_xll.qlCalendarAdvance("TARGET",SettlementDate,J31)</f>
        <v>43304</v>
      </c>
      <c r="M31" s="99" t="str">
        <v>20M</v>
      </c>
      <c r="N31" s="465">
        <v>0</v>
      </c>
      <c r="P31" s="106" t="b">
        <f t="shared" si="0"/>
        <v>0</v>
      </c>
      <c r="Q31" s="460">
        <f t="array" ref="Q31:CC31">C31*ForwardToZero(OisBuckets,E31,F31,G31)</f>
        <v>0</v>
      </c>
      <c r="R31" s="460">
        <v>0</v>
      </c>
      <c r="S31" s="460">
        <v>0</v>
      </c>
      <c r="T31" s="460">
        <v>0</v>
      </c>
      <c r="U31" s="460">
        <v>0</v>
      </c>
      <c r="V31" s="460">
        <v>0</v>
      </c>
      <c r="W31" s="460">
        <v>0</v>
      </c>
      <c r="X31" s="460">
        <v>0</v>
      </c>
      <c r="Y31" s="460">
        <v>0</v>
      </c>
      <c r="Z31" s="460">
        <v>0</v>
      </c>
      <c r="AA31" s="460">
        <v>0</v>
      </c>
      <c r="AB31" s="460">
        <v>0</v>
      </c>
      <c r="AC31" s="460">
        <v>0</v>
      </c>
      <c r="AD31" s="460">
        <v>0</v>
      </c>
      <c r="AE31" s="460">
        <v>0</v>
      </c>
      <c r="AF31" s="460">
        <v>0</v>
      </c>
      <c r="AG31" s="460">
        <v>0</v>
      </c>
      <c r="AH31" s="460">
        <v>0</v>
      </c>
      <c r="AI31" s="460">
        <v>0</v>
      </c>
      <c r="AJ31" s="460">
        <v>0</v>
      </c>
      <c r="AK31" s="460">
        <v>0</v>
      </c>
      <c r="AL31" s="460">
        <v>0</v>
      </c>
      <c r="AM31" s="460">
        <v>0</v>
      </c>
      <c r="AN31" s="460">
        <v>0</v>
      </c>
      <c r="AO31" s="460">
        <v>0</v>
      </c>
      <c r="AP31" s="460">
        <v>0</v>
      </c>
      <c r="AQ31" s="460">
        <v>0</v>
      </c>
      <c r="AR31" s="460">
        <v>0</v>
      </c>
      <c r="AS31" s="460">
        <v>0</v>
      </c>
      <c r="AT31" s="460">
        <v>0</v>
      </c>
      <c r="AU31" s="460">
        <v>-12345.0303411856</v>
      </c>
      <c r="AV31" s="460">
        <v>0</v>
      </c>
      <c r="AW31" s="460">
        <v>0</v>
      </c>
      <c r="AX31" s="460">
        <v>0</v>
      </c>
      <c r="AY31" s="460">
        <v>0</v>
      </c>
      <c r="AZ31" s="460">
        <v>0</v>
      </c>
      <c r="BA31" s="460">
        <v>0</v>
      </c>
      <c r="BB31" s="460">
        <v>0</v>
      </c>
      <c r="BC31" s="460">
        <v>0</v>
      </c>
      <c r="BD31" s="460">
        <v>0</v>
      </c>
      <c r="BE31" s="460">
        <v>0</v>
      </c>
      <c r="BF31" s="460">
        <v>0</v>
      </c>
      <c r="BG31" s="460">
        <v>0</v>
      </c>
      <c r="BH31" s="460">
        <v>0</v>
      </c>
      <c r="BI31" s="460">
        <v>0</v>
      </c>
      <c r="BJ31" s="460">
        <v>0</v>
      </c>
      <c r="BK31" s="460">
        <v>0</v>
      </c>
      <c r="BL31" s="460">
        <v>0</v>
      </c>
      <c r="BM31" s="460">
        <v>0</v>
      </c>
      <c r="BN31" s="460">
        <v>0</v>
      </c>
      <c r="BO31" s="460">
        <v>0</v>
      </c>
      <c r="BP31" s="460">
        <v>0</v>
      </c>
      <c r="BQ31" s="460">
        <v>0</v>
      </c>
      <c r="BR31" s="460">
        <v>0</v>
      </c>
      <c r="BS31" s="460">
        <v>0</v>
      </c>
      <c r="BT31" s="460">
        <v>0</v>
      </c>
      <c r="BU31" s="460">
        <v>0</v>
      </c>
      <c r="BV31" s="460">
        <v>0</v>
      </c>
      <c r="BW31" s="460">
        <v>0</v>
      </c>
      <c r="BX31" s="460">
        <v>0</v>
      </c>
      <c r="BY31" s="460">
        <v>0</v>
      </c>
      <c r="BZ31" s="460">
        <v>0</v>
      </c>
      <c r="CA31" s="460" t="e">
        <v>#N/A</v>
      </c>
      <c r="CB31" s="460" t="e">
        <v>#N/A</v>
      </c>
      <c r="CC31" s="460" t="e">
        <v>#N/A</v>
      </c>
    </row>
    <row r="32" spans="1:81" ht="12.75" customHeight="1">
      <c r="A32" s="105">
        <v>27</v>
      </c>
      <c r="B32" s="112" t="str">
        <v>4Y</v>
      </c>
      <c r="C32" s="262">
        <f>'eur disaggregated'!AD43+'eur disaggregated'!AC43</f>
        <v>-18717.013622028</v>
      </c>
      <c r="D32" s="111" t="str">
        <f t="shared" si="3"/>
        <v>48M</v>
      </c>
      <c r="E32" s="441">
        <f>BktEur3mPL!E32</f>
        <v>42696</v>
      </c>
      <c r="F32" s="441">
        <f>BktEur3mPL!F32</f>
        <v>44158</v>
      </c>
      <c r="G32" s="462">
        <f t="shared" si="2"/>
        <v>-1.0499999999999999E-3</v>
      </c>
      <c r="H32" s="453">
        <f>BktEur3mPL!H32</f>
        <v>-0.105</v>
      </c>
      <c r="I32" s="107" t="str">
        <v>21M</v>
      </c>
      <c r="J32" s="106" t="str">
        <f>IF(LEN(I32)&gt;0,IF((MID(I32,4,1)=" "),#REF!,IF((LEN(I32)=8),DATE("20" &amp; RIGHT(I32,2),MID(I32,4,2),LEFT(I32,2)),SimplifyTenor(I32))),"")</f>
        <v>21M</v>
      </c>
      <c r="K32" s="448">
        <f>_xll.qlCalendarAdvance("TARGET",SettlementDate,J32)</f>
        <v>43334</v>
      </c>
      <c r="M32" s="99" t="str">
        <v>21M</v>
      </c>
      <c r="N32" s="465">
        <v>4945.0996578431041</v>
      </c>
      <c r="P32" s="106" t="b">
        <f t="shared" si="0"/>
        <v>0</v>
      </c>
      <c r="Q32" s="460">
        <f t="array" ref="Q32:CC32">C32*ForwardToZero(OisBuckets,E32,F32,G32)</f>
        <v>0</v>
      </c>
      <c r="R32" s="460">
        <v>0</v>
      </c>
      <c r="S32" s="460">
        <v>0</v>
      </c>
      <c r="T32" s="460">
        <v>0</v>
      </c>
      <c r="U32" s="460">
        <v>0</v>
      </c>
      <c r="V32" s="460">
        <v>0</v>
      </c>
      <c r="W32" s="460">
        <v>0</v>
      </c>
      <c r="X32" s="460">
        <v>0</v>
      </c>
      <c r="Y32" s="460">
        <v>0</v>
      </c>
      <c r="Z32" s="460">
        <v>0</v>
      </c>
      <c r="AA32" s="460">
        <v>0</v>
      </c>
      <c r="AB32" s="460">
        <v>0</v>
      </c>
      <c r="AC32" s="460">
        <v>0</v>
      </c>
      <c r="AD32" s="460">
        <v>0</v>
      </c>
      <c r="AE32" s="460">
        <v>0</v>
      </c>
      <c r="AF32" s="460">
        <v>0</v>
      </c>
      <c r="AG32" s="460">
        <v>0</v>
      </c>
      <c r="AH32" s="460">
        <v>0</v>
      </c>
      <c r="AI32" s="460">
        <v>0</v>
      </c>
      <c r="AJ32" s="460">
        <v>0</v>
      </c>
      <c r="AK32" s="460">
        <v>0</v>
      </c>
      <c r="AL32" s="460">
        <v>0</v>
      </c>
      <c r="AM32" s="460">
        <v>0</v>
      </c>
      <c r="AN32" s="460">
        <v>0</v>
      </c>
      <c r="AO32" s="460">
        <v>0</v>
      </c>
      <c r="AP32" s="460">
        <v>0</v>
      </c>
      <c r="AQ32" s="460">
        <v>0</v>
      </c>
      <c r="AR32" s="460">
        <v>0</v>
      </c>
      <c r="AS32" s="460">
        <v>0</v>
      </c>
      <c r="AT32" s="460">
        <v>0</v>
      </c>
      <c r="AU32" s="460">
        <v>0</v>
      </c>
      <c r="AV32" s="460">
        <v>-18717.013622028</v>
      </c>
      <c r="AW32" s="460">
        <v>0</v>
      </c>
      <c r="AX32" s="460">
        <v>0</v>
      </c>
      <c r="AY32" s="460">
        <v>0</v>
      </c>
      <c r="AZ32" s="460">
        <v>0</v>
      </c>
      <c r="BA32" s="460">
        <v>0</v>
      </c>
      <c r="BB32" s="460">
        <v>0</v>
      </c>
      <c r="BC32" s="460">
        <v>0</v>
      </c>
      <c r="BD32" s="460">
        <v>0</v>
      </c>
      <c r="BE32" s="460">
        <v>0</v>
      </c>
      <c r="BF32" s="460">
        <v>0</v>
      </c>
      <c r="BG32" s="460">
        <v>0</v>
      </c>
      <c r="BH32" s="460">
        <v>0</v>
      </c>
      <c r="BI32" s="460">
        <v>0</v>
      </c>
      <c r="BJ32" s="460">
        <v>0</v>
      </c>
      <c r="BK32" s="460">
        <v>0</v>
      </c>
      <c r="BL32" s="460">
        <v>0</v>
      </c>
      <c r="BM32" s="460">
        <v>0</v>
      </c>
      <c r="BN32" s="460">
        <v>0</v>
      </c>
      <c r="BO32" s="460">
        <v>0</v>
      </c>
      <c r="BP32" s="460">
        <v>0</v>
      </c>
      <c r="BQ32" s="460">
        <v>0</v>
      </c>
      <c r="BR32" s="460">
        <v>0</v>
      </c>
      <c r="BS32" s="460">
        <v>0</v>
      </c>
      <c r="BT32" s="460">
        <v>0</v>
      </c>
      <c r="BU32" s="460">
        <v>0</v>
      </c>
      <c r="BV32" s="460">
        <v>0</v>
      </c>
      <c r="BW32" s="460">
        <v>0</v>
      </c>
      <c r="BX32" s="460">
        <v>0</v>
      </c>
      <c r="BY32" s="460">
        <v>0</v>
      </c>
      <c r="BZ32" s="460">
        <v>0</v>
      </c>
      <c r="CA32" s="460" t="e">
        <v>#N/A</v>
      </c>
      <c r="CB32" s="460" t="e">
        <v>#N/A</v>
      </c>
      <c r="CC32" s="460" t="e">
        <v>#N/A</v>
      </c>
    </row>
    <row r="33" spans="1:81" ht="12.75" customHeight="1">
      <c r="A33" s="105">
        <v>28</v>
      </c>
      <c r="B33" s="112" t="str">
        <v>5Y</v>
      </c>
      <c r="C33" s="262">
        <f>'eur disaggregated'!AD44+'eur disaggregated'!AC44</f>
        <v>15659.1061716777</v>
      </c>
      <c r="D33" s="111" t="str">
        <f t="shared" si="3"/>
        <v>60M</v>
      </c>
      <c r="E33" s="441">
        <f>BktEur3mPL!E33</f>
        <v>42696</v>
      </c>
      <c r="F33" s="441">
        <f>BktEur3mPL!F33</f>
        <v>44522</v>
      </c>
      <c r="G33" s="462">
        <f t="shared" si="2"/>
        <v>-6.0000000000000002E-5</v>
      </c>
      <c r="H33" s="453">
        <f>BktEur3mPL!H33</f>
        <v>-6.0000000000000001E-3</v>
      </c>
      <c r="I33" s="107" t="str">
        <v>22M</v>
      </c>
      <c r="J33" s="106" t="str">
        <f>IF(LEN(I33)&gt;0,IF((MID(I33,4,1)=" "),#REF!,IF((LEN(I33)=8),DATE("20" &amp; RIGHT(I33,2),MID(I33,4,2),LEFT(I33,2)),SimplifyTenor(I33))),"")</f>
        <v>22M</v>
      </c>
      <c r="K33" s="448">
        <f>_xll.qlCalendarAdvance("TARGET",SettlementDate,J33)</f>
        <v>43367</v>
      </c>
      <c r="M33" s="99" t="str">
        <v>22M</v>
      </c>
      <c r="N33" s="465">
        <v>26350.469650942439</v>
      </c>
      <c r="P33" s="106" t="b">
        <f t="shared" si="0"/>
        <v>0</v>
      </c>
      <c r="Q33" s="460">
        <f t="array" ref="Q33:CC33">C33*ForwardToZero(OisBuckets,E33,F33,G33)</f>
        <v>0</v>
      </c>
      <c r="R33" s="460">
        <v>0</v>
      </c>
      <c r="S33" s="460">
        <v>0</v>
      </c>
      <c r="T33" s="460">
        <v>0</v>
      </c>
      <c r="U33" s="460">
        <v>0</v>
      </c>
      <c r="V33" s="460">
        <v>0</v>
      </c>
      <c r="W33" s="460">
        <v>0</v>
      </c>
      <c r="X33" s="460">
        <v>0</v>
      </c>
      <c r="Y33" s="460">
        <v>0</v>
      </c>
      <c r="Z33" s="460">
        <v>0</v>
      </c>
      <c r="AA33" s="460">
        <v>0</v>
      </c>
      <c r="AB33" s="460">
        <v>0</v>
      </c>
      <c r="AC33" s="460">
        <v>0</v>
      </c>
      <c r="AD33" s="460">
        <v>0</v>
      </c>
      <c r="AE33" s="460">
        <v>0</v>
      </c>
      <c r="AF33" s="460">
        <v>0</v>
      </c>
      <c r="AG33" s="460">
        <v>0</v>
      </c>
      <c r="AH33" s="460">
        <v>0</v>
      </c>
      <c r="AI33" s="460">
        <v>0</v>
      </c>
      <c r="AJ33" s="460">
        <v>0</v>
      </c>
      <c r="AK33" s="460">
        <v>0</v>
      </c>
      <c r="AL33" s="460">
        <v>0</v>
      </c>
      <c r="AM33" s="460">
        <v>0</v>
      </c>
      <c r="AN33" s="460">
        <v>0</v>
      </c>
      <c r="AO33" s="460">
        <v>0</v>
      </c>
      <c r="AP33" s="460">
        <v>0</v>
      </c>
      <c r="AQ33" s="460">
        <v>0</v>
      </c>
      <c r="AR33" s="460">
        <v>0</v>
      </c>
      <c r="AS33" s="460">
        <v>0</v>
      </c>
      <c r="AT33" s="460">
        <v>0</v>
      </c>
      <c r="AU33" s="460">
        <v>0</v>
      </c>
      <c r="AV33" s="460">
        <v>0</v>
      </c>
      <c r="AW33" s="460">
        <v>15659.1061716777</v>
      </c>
      <c r="AX33" s="460">
        <v>0</v>
      </c>
      <c r="AY33" s="460">
        <v>0</v>
      </c>
      <c r="AZ33" s="460">
        <v>0</v>
      </c>
      <c r="BA33" s="460">
        <v>0</v>
      </c>
      <c r="BB33" s="460">
        <v>0</v>
      </c>
      <c r="BC33" s="460">
        <v>0</v>
      </c>
      <c r="BD33" s="460">
        <v>0</v>
      </c>
      <c r="BE33" s="460">
        <v>0</v>
      </c>
      <c r="BF33" s="460">
        <v>0</v>
      </c>
      <c r="BG33" s="460">
        <v>0</v>
      </c>
      <c r="BH33" s="460">
        <v>0</v>
      </c>
      <c r="BI33" s="460">
        <v>0</v>
      </c>
      <c r="BJ33" s="460">
        <v>0</v>
      </c>
      <c r="BK33" s="460">
        <v>0</v>
      </c>
      <c r="BL33" s="460">
        <v>0</v>
      </c>
      <c r="BM33" s="460">
        <v>0</v>
      </c>
      <c r="BN33" s="460">
        <v>0</v>
      </c>
      <c r="BO33" s="460">
        <v>0</v>
      </c>
      <c r="BP33" s="460">
        <v>0</v>
      </c>
      <c r="BQ33" s="460">
        <v>0</v>
      </c>
      <c r="BR33" s="460">
        <v>0</v>
      </c>
      <c r="BS33" s="460">
        <v>0</v>
      </c>
      <c r="BT33" s="460">
        <v>0</v>
      </c>
      <c r="BU33" s="460">
        <v>0</v>
      </c>
      <c r="BV33" s="460">
        <v>0</v>
      </c>
      <c r="BW33" s="460">
        <v>0</v>
      </c>
      <c r="BX33" s="460">
        <v>0</v>
      </c>
      <c r="BY33" s="460">
        <v>0</v>
      </c>
      <c r="BZ33" s="460">
        <v>0</v>
      </c>
      <c r="CA33" s="460" t="e">
        <v>#N/A</v>
      </c>
      <c r="CB33" s="460" t="e">
        <v>#N/A</v>
      </c>
      <c r="CC33" s="460" t="e">
        <v>#N/A</v>
      </c>
    </row>
    <row r="34" spans="1:81" ht="12.75" customHeight="1">
      <c r="A34" s="105">
        <v>29</v>
      </c>
      <c r="B34" s="112" t="str">
        <v>6Y</v>
      </c>
      <c r="C34" s="262">
        <f>'eur disaggregated'!AD45+'eur disaggregated'!AC45</f>
        <v>-14488.173226355801</v>
      </c>
      <c r="D34" s="111" t="str">
        <f t="shared" si="3"/>
        <v>72M</v>
      </c>
      <c r="E34" s="441">
        <f>BktEur3mPL!E34</f>
        <v>42696</v>
      </c>
      <c r="F34" s="441">
        <f>BktEur3mPL!F34</f>
        <v>44887</v>
      </c>
      <c r="G34" s="462">
        <f t="shared" si="2"/>
        <v>1.0299999999999999E-3</v>
      </c>
      <c r="H34" s="453">
        <f>BktEur3mPL!H34</f>
        <v>0.10299999999999999</v>
      </c>
      <c r="I34" s="107" t="str">
        <v>23M</v>
      </c>
      <c r="J34" s="106" t="str">
        <f>IF(LEN(I34)&gt;0,IF((MID(I34,4,1)=" "),#REF!,IF((LEN(I34)=8),DATE("20" &amp; RIGHT(I34,2),MID(I34,4,2),LEFT(I34,2)),SimplifyTenor(I34))),"")</f>
        <v>23M</v>
      </c>
      <c r="K34" s="448">
        <f>_xll.qlCalendarAdvance("TARGET",SettlementDate,J34)</f>
        <v>43395</v>
      </c>
      <c r="M34" s="99" t="str">
        <v>23M</v>
      </c>
      <c r="N34" s="465">
        <v>0</v>
      </c>
      <c r="P34" s="106" t="b">
        <f t="shared" si="0"/>
        <v>0</v>
      </c>
      <c r="Q34" s="460">
        <f t="array" ref="Q34:CC34">C34*ForwardToZero(OisBuckets,E34,F34,G34)</f>
        <v>0</v>
      </c>
      <c r="R34" s="460">
        <v>0</v>
      </c>
      <c r="S34" s="460">
        <v>0</v>
      </c>
      <c r="T34" s="460">
        <v>0</v>
      </c>
      <c r="U34" s="460">
        <v>0</v>
      </c>
      <c r="V34" s="460">
        <v>0</v>
      </c>
      <c r="W34" s="460">
        <v>0</v>
      </c>
      <c r="X34" s="460">
        <v>0</v>
      </c>
      <c r="Y34" s="460">
        <v>0</v>
      </c>
      <c r="Z34" s="460">
        <v>0</v>
      </c>
      <c r="AA34" s="460">
        <v>0</v>
      </c>
      <c r="AB34" s="460">
        <v>0</v>
      </c>
      <c r="AC34" s="460">
        <v>0</v>
      </c>
      <c r="AD34" s="460">
        <v>0</v>
      </c>
      <c r="AE34" s="460">
        <v>0</v>
      </c>
      <c r="AF34" s="460">
        <v>0</v>
      </c>
      <c r="AG34" s="460">
        <v>0</v>
      </c>
      <c r="AH34" s="460">
        <v>0</v>
      </c>
      <c r="AI34" s="460">
        <v>0</v>
      </c>
      <c r="AJ34" s="460">
        <v>0</v>
      </c>
      <c r="AK34" s="460">
        <v>0</v>
      </c>
      <c r="AL34" s="460">
        <v>0</v>
      </c>
      <c r="AM34" s="460">
        <v>0</v>
      </c>
      <c r="AN34" s="460">
        <v>0</v>
      </c>
      <c r="AO34" s="460">
        <v>0</v>
      </c>
      <c r="AP34" s="460">
        <v>0</v>
      </c>
      <c r="AQ34" s="460">
        <v>0</v>
      </c>
      <c r="AR34" s="460">
        <v>0</v>
      </c>
      <c r="AS34" s="460">
        <v>0</v>
      </c>
      <c r="AT34" s="460">
        <v>0</v>
      </c>
      <c r="AU34" s="460">
        <v>0</v>
      </c>
      <c r="AV34" s="460">
        <v>0</v>
      </c>
      <c r="AW34" s="460">
        <v>0</v>
      </c>
      <c r="AX34" s="460">
        <v>-14488.173226355801</v>
      </c>
      <c r="AY34" s="460">
        <v>0</v>
      </c>
      <c r="AZ34" s="460">
        <v>0</v>
      </c>
      <c r="BA34" s="460">
        <v>0</v>
      </c>
      <c r="BB34" s="460">
        <v>0</v>
      </c>
      <c r="BC34" s="460">
        <v>0</v>
      </c>
      <c r="BD34" s="460">
        <v>0</v>
      </c>
      <c r="BE34" s="460">
        <v>0</v>
      </c>
      <c r="BF34" s="460">
        <v>0</v>
      </c>
      <c r="BG34" s="460">
        <v>0</v>
      </c>
      <c r="BH34" s="460">
        <v>0</v>
      </c>
      <c r="BI34" s="460">
        <v>0</v>
      </c>
      <c r="BJ34" s="460">
        <v>0</v>
      </c>
      <c r="BK34" s="460">
        <v>0</v>
      </c>
      <c r="BL34" s="460">
        <v>0</v>
      </c>
      <c r="BM34" s="460">
        <v>0</v>
      </c>
      <c r="BN34" s="460">
        <v>0</v>
      </c>
      <c r="BO34" s="460">
        <v>0</v>
      </c>
      <c r="BP34" s="460">
        <v>0</v>
      </c>
      <c r="BQ34" s="460">
        <v>0</v>
      </c>
      <c r="BR34" s="460">
        <v>0</v>
      </c>
      <c r="BS34" s="460">
        <v>0</v>
      </c>
      <c r="BT34" s="460">
        <v>0</v>
      </c>
      <c r="BU34" s="460">
        <v>0</v>
      </c>
      <c r="BV34" s="460">
        <v>0</v>
      </c>
      <c r="BW34" s="460">
        <v>0</v>
      </c>
      <c r="BX34" s="460">
        <v>0</v>
      </c>
      <c r="BY34" s="460">
        <v>0</v>
      </c>
      <c r="BZ34" s="460">
        <v>0</v>
      </c>
      <c r="CA34" s="460" t="e">
        <v>#N/A</v>
      </c>
      <c r="CB34" s="460" t="e">
        <v>#N/A</v>
      </c>
      <c r="CC34" s="460" t="e">
        <v>#N/A</v>
      </c>
    </row>
    <row r="35" spans="1:81" ht="12.75" customHeight="1">
      <c r="A35" s="105">
        <v>30</v>
      </c>
      <c r="B35" s="112" t="str">
        <v>7Y</v>
      </c>
      <c r="C35" s="262">
        <f>'eur disaggregated'!AD46+'eur disaggregated'!AC46</f>
        <v>43502.008095943696</v>
      </c>
      <c r="D35" s="111" t="str">
        <f t="shared" si="3"/>
        <v>84M</v>
      </c>
      <c r="E35" s="441">
        <f>BktEur3mPL!E35</f>
        <v>42696</v>
      </c>
      <c r="F35" s="441">
        <f>BktEur3mPL!F35</f>
        <v>45252</v>
      </c>
      <c r="G35" s="462">
        <f t="shared" si="2"/>
        <v>2.1800000000000001E-3</v>
      </c>
      <c r="H35" s="453">
        <f>BktEur3mPL!H35</f>
        <v>0.218</v>
      </c>
      <c r="I35" s="107" t="str">
        <v>2Y</v>
      </c>
      <c r="J35" s="106" t="str">
        <f>IF(LEN(I35)&gt;0,IF((MID(I35,4,1)=" "),#REF!,IF((LEN(I35)=8),DATE("20" &amp; RIGHT(I35,2),MID(I35,4,2),LEFT(I35,2)),SimplifyTenor(I35))),"")</f>
        <v>24M</v>
      </c>
      <c r="K35" s="448">
        <f>_xll.qlCalendarAdvance("TARGET",SettlementDate,J35)</f>
        <v>43426</v>
      </c>
      <c r="M35" s="99" t="str">
        <v>2Y</v>
      </c>
      <c r="N35" s="465">
        <v>-44121.506572184437</v>
      </c>
      <c r="P35" s="106" t="b">
        <f t="shared" si="0"/>
        <v>0</v>
      </c>
      <c r="Q35" s="460">
        <f t="array" ref="Q35:CC35">C35*ForwardToZero(OisBuckets,E35,F35,G35)</f>
        <v>0</v>
      </c>
      <c r="R35" s="460">
        <v>0</v>
      </c>
      <c r="S35" s="460">
        <v>0</v>
      </c>
      <c r="T35" s="460">
        <v>0</v>
      </c>
      <c r="U35" s="460">
        <v>0</v>
      </c>
      <c r="V35" s="460">
        <v>0</v>
      </c>
      <c r="W35" s="460">
        <v>0</v>
      </c>
      <c r="X35" s="460">
        <v>0</v>
      </c>
      <c r="Y35" s="460">
        <v>0</v>
      </c>
      <c r="Z35" s="460">
        <v>0</v>
      </c>
      <c r="AA35" s="460">
        <v>0</v>
      </c>
      <c r="AB35" s="460">
        <v>0</v>
      </c>
      <c r="AC35" s="460">
        <v>0</v>
      </c>
      <c r="AD35" s="460">
        <v>0</v>
      </c>
      <c r="AE35" s="460">
        <v>0</v>
      </c>
      <c r="AF35" s="460">
        <v>0</v>
      </c>
      <c r="AG35" s="460">
        <v>0</v>
      </c>
      <c r="AH35" s="460">
        <v>0</v>
      </c>
      <c r="AI35" s="460">
        <v>0</v>
      </c>
      <c r="AJ35" s="460">
        <v>0</v>
      </c>
      <c r="AK35" s="460">
        <v>0</v>
      </c>
      <c r="AL35" s="460">
        <v>0</v>
      </c>
      <c r="AM35" s="460">
        <v>0</v>
      </c>
      <c r="AN35" s="460">
        <v>0</v>
      </c>
      <c r="AO35" s="460">
        <v>0</v>
      </c>
      <c r="AP35" s="460">
        <v>0</v>
      </c>
      <c r="AQ35" s="460">
        <v>0</v>
      </c>
      <c r="AR35" s="460">
        <v>0</v>
      </c>
      <c r="AS35" s="460">
        <v>0</v>
      </c>
      <c r="AT35" s="460">
        <v>0</v>
      </c>
      <c r="AU35" s="460">
        <v>0</v>
      </c>
      <c r="AV35" s="460">
        <v>0</v>
      </c>
      <c r="AW35" s="460">
        <v>0</v>
      </c>
      <c r="AX35" s="460">
        <v>0</v>
      </c>
      <c r="AY35" s="460">
        <v>43502.008095943696</v>
      </c>
      <c r="AZ35" s="460">
        <v>0</v>
      </c>
      <c r="BA35" s="460">
        <v>0</v>
      </c>
      <c r="BB35" s="460">
        <v>0</v>
      </c>
      <c r="BC35" s="460">
        <v>0</v>
      </c>
      <c r="BD35" s="460">
        <v>0</v>
      </c>
      <c r="BE35" s="460">
        <v>0</v>
      </c>
      <c r="BF35" s="460">
        <v>0</v>
      </c>
      <c r="BG35" s="460">
        <v>0</v>
      </c>
      <c r="BH35" s="460">
        <v>0</v>
      </c>
      <c r="BI35" s="460">
        <v>0</v>
      </c>
      <c r="BJ35" s="460">
        <v>0</v>
      </c>
      <c r="BK35" s="460">
        <v>0</v>
      </c>
      <c r="BL35" s="460">
        <v>0</v>
      </c>
      <c r="BM35" s="460">
        <v>0</v>
      </c>
      <c r="BN35" s="460">
        <v>0</v>
      </c>
      <c r="BO35" s="460">
        <v>0</v>
      </c>
      <c r="BP35" s="460">
        <v>0</v>
      </c>
      <c r="BQ35" s="460">
        <v>0</v>
      </c>
      <c r="BR35" s="460">
        <v>0</v>
      </c>
      <c r="BS35" s="460">
        <v>0</v>
      </c>
      <c r="BT35" s="460">
        <v>0</v>
      </c>
      <c r="BU35" s="460">
        <v>0</v>
      </c>
      <c r="BV35" s="460">
        <v>0</v>
      </c>
      <c r="BW35" s="460">
        <v>0</v>
      </c>
      <c r="BX35" s="460">
        <v>0</v>
      </c>
      <c r="BY35" s="460">
        <v>0</v>
      </c>
      <c r="BZ35" s="460">
        <v>0</v>
      </c>
      <c r="CA35" s="460" t="e">
        <v>#N/A</v>
      </c>
      <c r="CB35" s="460" t="e">
        <v>#N/A</v>
      </c>
      <c r="CC35" s="460" t="e">
        <v>#N/A</v>
      </c>
    </row>
    <row r="36" spans="1:81" ht="12.75" customHeight="1">
      <c r="A36" s="105">
        <v>31</v>
      </c>
      <c r="B36" s="112" t="str">
        <v>8Y</v>
      </c>
      <c r="C36" s="262">
        <f>'eur disaggregated'!AD47+'eur disaggregated'!AC47</f>
        <v>-5622.0789885126396</v>
      </c>
      <c r="D36" s="111" t="str">
        <f t="shared" si="3"/>
        <v>96M</v>
      </c>
      <c r="E36" s="441">
        <f>BktEur3mPL!E36</f>
        <v>42696</v>
      </c>
      <c r="F36" s="441">
        <f>BktEur3mPL!F36</f>
        <v>45618</v>
      </c>
      <c r="G36" s="462">
        <f t="shared" si="2"/>
        <v>3.3400000000000001E-3</v>
      </c>
      <c r="H36" s="453">
        <f>BktEur3mPL!H36</f>
        <v>0.33400000000000002</v>
      </c>
      <c r="I36" s="107" t="str">
        <v>3Y</v>
      </c>
      <c r="J36" s="106" t="str">
        <f>IF(LEN(I36)&gt;0,IF((MID(I36,4,1)=" "),#REF!,IF((LEN(I36)=8),DATE("20" &amp; RIGHT(I36,2),MID(I36,4,2),LEFT(I36,2)),SimplifyTenor(I36))),"")</f>
        <v>36M</v>
      </c>
      <c r="K36" s="448">
        <f>_xll.qlCalendarAdvance("TARGET",SettlementDate,J36)</f>
        <v>43791</v>
      </c>
      <c r="M36" s="99" t="str">
        <v>3Y</v>
      </c>
      <c r="N36" s="465">
        <v>-9916.4616470258989</v>
      </c>
      <c r="P36" s="106" t="b">
        <f t="shared" si="0"/>
        <v>0</v>
      </c>
      <c r="Q36" s="460">
        <f t="array" ref="Q36:CC36">C36*ForwardToZero(OisBuckets,E36,F36,G36)</f>
        <v>0</v>
      </c>
      <c r="R36" s="460">
        <v>0</v>
      </c>
      <c r="S36" s="460">
        <v>0</v>
      </c>
      <c r="T36" s="460">
        <v>0</v>
      </c>
      <c r="U36" s="460">
        <v>0</v>
      </c>
      <c r="V36" s="460">
        <v>0</v>
      </c>
      <c r="W36" s="460">
        <v>0</v>
      </c>
      <c r="X36" s="460">
        <v>0</v>
      </c>
      <c r="Y36" s="460">
        <v>0</v>
      </c>
      <c r="Z36" s="460">
        <v>0</v>
      </c>
      <c r="AA36" s="460">
        <v>0</v>
      </c>
      <c r="AB36" s="460">
        <v>0</v>
      </c>
      <c r="AC36" s="460">
        <v>0</v>
      </c>
      <c r="AD36" s="460">
        <v>0</v>
      </c>
      <c r="AE36" s="460">
        <v>0</v>
      </c>
      <c r="AF36" s="460">
        <v>0</v>
      </c>
      <c r="AG36" s="460">
        <v>0</v>
      </c>
      <c r="AH36" s="460">
        <v>0</v>
      </c>
      <c r="AI36" s="460">
        <v>0</v>
      </c>
      <c r="AJ36" s="460">
        <v>0</v>
      </c>
      <c r="AK36" s="460">
        <v>0</v>
      </c>
      <c r="AL36" s="460">
        <v>0</v>
      </c>
      <c r="AM36" s="460">
        <v>0</v>
      </c>
      <c r="AN36" s="460">
        <v>0</v>
      </c>
      <c r="AO36" s="460">
        <v>0</v>
      </c>
      <c r="AP36" s="460">
        <v>0</v>
      </c>
      <c r="AQ36" s="460">
        <v>0</v>
      </c>
      <c r="AR36" s="460">
        <v>0</v>
      </c>
      <c r="AS36" s="460">
        <v>0</v>
      </c>
      <c r="AT36" s="460">
        <v>0</v>
      </c>
      <c r="AU36" s="460">
        <v>0</v>
      </c>
      <c r="AV36" s="460">
        <v>0</v>
      </c>
      <c r="AW36" s="460">
        <v>0</v>
      </c>
      <c r="AX36" s="460">
        <v>0</v>
      </c>
      <c r="AY36" s="460">
        <v>0</v>
      </c>
      <c r="AZ36" s="460">
        <v>-5622.0789885126396</v>
      </c>
      <c r="BA36" s="460">
        <v>0</v>
      </c>
      <c r="BB36" s="460">
        <v>0</v>
      </c>
      <c r="BC36" s="460">
        <v>0</v>
      </c>
      <c r="BD36" s="460">
        <v>0</v>
      </c>
      <c r="BE36" s="460">
        <v>0</v>
      </c>
      <c r="BF36" s="460">
        <v>0</v>
      </c>
      <c r="BG36" s="460">
        <v>0</v>
      </c>
      <c r="BH36" s="460">
        <v>0</v>
      </c>
      <c r="BI36" s="460">
        <v>0</v>
      </c>
      <c r="BJ36" s="460">
        <v>0</v>
      </c>
      <c r="BK36" s="460">
        <v>0</v>
      </c>
      <c r="BL36" s="460">
        <v>0</v>
      </c>
      <c r="BM36" s="460">
        <v>0</v>
      </c>
      <c r="BN36" s="460">
        <v>0</v>
      </c>
      <c r="BO36" s="460">
        <v>0</v>
      </c>
      <c r="BP36" s="460">
        <v>0</v>
      </c>
      <c r="BQ36" s="460">
        <v>0</v>
      </c>
      <c r="BR36" s="460">
        <v>0</v>
      </c>
      <c r="BS36" s="460">
        <v>0</v>
      </c>
      <c r="BT36" s="460">
        <v>0</v>
      </c>
      <c r="BU36" s="460">
        <v>0</v>
      </c>
      <c r="BV36" s="460">
        <v>0</v>
      </c>
      <c r="BW36" s="460">
        <v>0</v>
      </c>
      <c r="BX36" s="460">
        <v>0</v>
      </c>
      <c r="BY36" s="460">
        <v>0</v>
      </c>
      <c r="BZ36" s="460">
        <v>0</v>
      </c>
      <c r="CA36" s="460" t="e">
        <v>#N/A</v>
      </c>
      <c r="CB36" s="460" t="e">
        <v>#N/A</v>
      </c>
      <c r="CC36" s="460" t="e">
        <v>#N/A</v>
      </c>
    </row>
    <row r="37" spans="1:81" ht="12.75" customHeight="1">
      <c r="A37" s="105">
        <v>32</v>
      </c>
      <c r="B37" s="112" t="str">
        <v>9Y</v>
      </c>
      <c r="C37" s="262">
        <f>'eur disaggregated'!AD48+'eur disaggregated'!AC48</f>
        <v>13478.4848765076</v>
      </c>
      <c r="D37" s="111" t="str">
        <f t="shared" si="3"/>
        <v>108M</v>
      </c>
      <c r="E37" s="441">
        <f>BktEur3mPL!E37</f>
        <v>42696</v>
      </c>
      <c r="F37" s="441">
        <f>BktEur3mPL!F37</f>
        <v>45985</v>
      </c>
      <c r="G37" s="462">
        <f t="shared" si="2"/>
        <v>4.4600000000000004E-3</v>
      </c>
      <c r="H37" s="453">
        <f>BktEur3mPL!H37</f>
        <v>0.44600000000000001</v>
      </c>
      <c r="I37" s="107" t="str">
        <v>4Y</v>
      </c>
      <c r="J37" s="106" t="str">
        <f>IF(LEN(I37)&gt;0,IF((MID(I37,4,1)=" "),#REF!,IF((LEN(I37)=8),DATE("20" &amp; RIGHT(I37,2),MID(I37,4,2),LEFT(I37,2)),SimplifyTenor(I37))),"")</f>
        <v>48M</v>
      </c>
      <c r="K37" s="448">
        <f>_xll.qlCalendarAdvance("TARGET",SettlementDate,J37)</f>
        <v>44158</v>
      </c>
      <c r="M37" s="99" t="str">
        <v>4Y</v>
      </c>
      <c r="N37" s="465">
        <v>-18717.013622028</v>
      </c>
      <c r="P37" s="106" t="b">
        <f t="shared" si="0"/>
        <v>0</v>
      </c>
      <c r="Q37" s="460">
        <f t="array" ref="Q37:CC37">C37*ForwardToZero(OisBuckets,E37,F37,G37)</f>
        <v>0</v>
      </c>
      <c r="R37" s="460">
        <v>0</v>
      </c>
      <c r="S37" s="460">
        <v>0</v>
      </c>
      <c r="T37" s="460">
        <v>0</v>
      </c>
      <c r="U37" s="460">
        <v>0</v>
      </c>
      <c r="V37" s="460">
        <v>0</v>
      </c>
      <c r="W37" s="460">
        <v>0</v>
      </c>
      <c r="X37" s="460">
        <v>0</v>
      </c>
      <c r="Y37" s="460">
        <v>0</v>
      </c>
      <c r="Z37" s="460">
        <v>0</v>
      </c>
      <c r="AA37" s="460">
        <v>0</v>
      </c>
      <c r="AB37" s="460">
        <v>0</v>
      </c>
      <c r="AC37" s="460">
        <v>0</v>
      </c>
      <c r="AD37" s="460">
        <v>0</v>
      </c>
      <c r="AE37" s="460">
        <v>0</v>
      </c>
      <c r="AF37" s="460">
        <v>0</v>
      </c>
      <c r="AG37" s="460">
        <v>0</v>
      </c>
      <c r="AH37" s="460">
        <v>0</v>
      </c>
      <c r="AI37" s="460">
        <v>0</v>
      </c>
      <c r="AJ37" s="460">
        <v>0</v>
      </c>
      <c r="AK37" s="460">
        <v>0</v>
      </c>
      <c r="AL37" s="460">
        <v>0</v>
      </c>
      <c r="AM37" s="460">
        <v>0</v>
      </c>
      <c r="AN37" s="460">
        <v>0</v>
      </c>
      <c r="AO37" s="460">
        <v>0</v>
      </c>
      <c r="AP37" s="460">
        <v>0</v>
      </c>
      <c r="AQ37" s="460">
        <v>0</v>
      </c>
      <c r="AR37" s="460">
        <v>0</v>
      </c>
      <c r="AS37" s="460">
        <v>0</v>
      </c>
      <c r="AT37" s="460">
        <v>0</v>
      </c>
      <c r="AU37" s="460">
        <v>0</v>
      </c>
      <c r="AV37" s="460">
        <v>0</v>
      </c>
      <c r="AW37" s="460">
        <v>0</v>
      </c>
      <c r="AX37" s="460">
        <v>0</v>
      </c>
      <c r="AY37" s="460">
        <v>0</v>
      </c>
      <c r="AZ37" s="460">
        <v>0</v>
      </c>
      <c r="BA37" s="460">
        <v>13478.4848765076</v>
      </c>
      <c r="BB37" s="460">
        <v>0</v>
      </c>
      <c r="BC37" s="460">
        <v>0</v>
      </c>
      <c r="BD37" s="460">
        <v>0</v>
      </c>
      <c r="BE37" s="460">
        <v>0</v>
      </c>
      <c r="BF37" s="460">
        <v>0</v>
      </c>
      <c r="BG37" s="460">
        <v>0</v>
      </c>
      <c r="BH37" s="460">
        <v>0</v>
      </c>
      <c r="BI37" s="460">
        <v>0</v>
      </c>
      <c r="BJ37" s="460">
        <v>0</v>
      </c>
      <c r="BK37" s="460">
        <v>0</v>
      </c>
      <c r="BL37" s="460">
        <v>0</v>
      </c>
      <c r="BM37" s="460">
        <v>0</v>
      </c>
      <c r="BN37" s="460">
        <v>0</v>
      </c>
      <c r="BO37" s="460">
        <v>0</v>
      </c>
      <c r="BP37" s="460">
        <v>0</v>
      </c>
      <c r="BQ37" s="460">
        <v>0</v>
      </c>
      <c r="BR37" s="460">
        <v>0</v>
      </c>
      <c r="BS37" s="460">
        <v>0</v>
      </c>
      <c r="BT37" s="460">
        <v>0</v>
      </c>
      <c r="BU37" s="460">
        <v>0</v>
      </c>
      <c r="BV37" s="460">
        <v>0</v>
      </c>
      <c r="BW37" s="460">
        <v>0</v>
      </c>
      <c r="BX37" s="460">
        <v>0</v>
      </c>
      <c r="BY37" s="460">
        <v>0</v>
      </c>
      <c r="BZ37" s="460">
        <v>0</v>
      </c>
      <c r="CA37" s="460" t="e">
        <v>#N/A</v>
      </c>
      <c r="CB37" s="460" t="e">
        <v>#N/A</v>
      </c>
      <c r="CC37" s="460" t="e">
        <v>#N/A</v>
      </c>
    </row>
    <row r="38" spans="1:81" ht="12.75" customHeight="1">
      <c r="A38" s="105">
        <v>33</v>
      </c>
      <c r="B38" s="112" t="str">
        <v>10Y</v>
      </c>
      <c r="C38" s="262">
        <f>'eur disaggregated'!AD49+'eur disaggregated'!AC49</f>
        <v>-89005.369400818905</v>
      </c>
      <c r="D38" s="111" t="str">
        <f t="shared" si="3"/>
        <v>120M</v>
      </c>
      <c r="E38" s="441">
        <f>BktEur3mPL!E38</f>
        <v>42696</v>
      </c>
      <c r="F38" s="441">
        <f>BktEur3mPL!F38</f>
        <v>46349</v>
      </c>
      <c r="G38" s="462">
        <f t="shared" si="2"/>
        <v>5.5000000000000005E-3</v>
      </c>
      <c r="H38" s="453">
        <f>BktEur3mPL!H38</f>
        <v>0.55000000000000004</v>
      </c>
      <c r="I38" s="107" t="str">
        <v>5Y</v>
      </c>
      <c r="J38" s="106" t="str">
        <f>IF(LEN(I38)&gt;0,IF((MID(I38,4,1)=" "),#REF!,IF((LEN(I38)=8),DATE("20" &amp; RIGHT(I38,2),MID(I38,4,2),LEFT(I38,2)),SimplifyTenor(I38))),"")</f>
        <v>60M</v>
      </c>
      <c r="K38" s="448">
        <f>_xll.qlCalendarAdvance("TARGET",SettlementDate,J38)</f>
        <v>44522</v>
      </c>
      <c r="M38" s="99" t="str">
        <v>5Y</v>
      </c>
      <c r="N38" s="465">
        <v>15659.1061716777</v>
      </c>
      <c r="P38" s="106" t="b">
        <f t="shared" ref="P38:P70" si="4">MID(B38,4,1)=" "</f>
        <v>0</v>
      </c>
      <c r="Q38" s="460">
        <f t="array" ref="Q38:CC38">C38*ForwardToZero(OisBuckets,E38,F38,G38)</f>
        <v>0</v>
      </c>
      <c r="R38" s="460">
        <v>0</v>
      </c>
      <c r="S38" s="460">
        <v>0</v>
      </c>
      <c r="T38" s="460">
        <v>0</v>
      </c>
      <c r="U38" s="460">
        <v>0</v>
      </c>
      <c r="V38" s="460">
        <v>0</v>
      </c>
      <c r="W38" s="460">
        <v>0</v>
      </c>
      <c r="X38" s="460">
        <v>0</v>
      </c>
      <c r="Y38" s="460">
        <v>0</v>
      </c>
      <c r="Z38" s="460">
        <v>0</v>
      </c>
      <c r="AA38" s="460">
        <v>0</v>
      </c>
      <c r="AB38" s="460">
        <v>0</v>
      </c>
      <c r="AC38" s="460">
        <v>0</v>
      </c>
      <c r="AD38" s="460">
        <v>0</v>
      </c>
      <c r="AE38" s="460">
        <v>0</v>
      </c>
      <c r="AF38" s="460">
        <v>0</v>
      </c>
      <c r="AG38" s="460">
        <v>0</v>
      </c>
      <c r="AH38" s="460">
        <v>0</v>
      </c>
      <c r="AI38" s="460">
        <v>0</v>
      </c>
      <c r="AJ38" s="460">
        <v>0</v>
      </c>
      <c r="AK38" s="460">
        <v>0</v>
      </c>
      <c r="AL38" s="460">
        <v>0</v>
      </c>
      <c r="AM38" s="460">
        <v>0</v>
      </c>
      <c r="AN38" s="460">
        <v>0</v>
      </c>
      <c r="AO38" s="460">
        <v>0</v>
      </c>
      <c r="AP38" s="460">
        <v>0</v>
      </c>
      <c r="AQ38" s="460">
        <v>0</v>
      </c>
      <c r="AR38" s="460">
        <v>0</v>
      </c>
      <c r="AS38" s="460">
        <v>0</v>
      </c>
      <c r="AT38" s="460">
        <v>0</v>
      </c>
      <c r="AU38" s="460">
        <v>0</v>
      </c>
      <c r="AV38" s="460">
        <v>0</v>
      </c>
      <c r="AW38" s="460">
        <v>0</v>
      </c>
      <c r="AX38" s="460">
        <v>0</v>
      </c>
      <c r="AY38" s="460">
        <v>0</v>
      </c>
      <c r="AZ38" s="460">
        <v>0</v>
      </c>
      <c r="BA38" s="460">
        <v>0</v>
      </c>
      <c r="BB38" s="460">
        <v>-89005.369400818905</v>
      </c>
      <c r="BC38" s="460">
        <v>0</v>
      </c>
      <c r="BD38" s="460">
        <v>0</v>
      </c>
      <c r="BE38" s="460">
        <v>0</v>
      </c>
      <c r="BF38" s="460">
        <v>0</v>
      </c>
      <c r="BG38" s="460">
        <v>0</v>
      </c>
      <c r="BH38" s="460">
        <v>0</v>
      </c>
      <c r="BI38" s="460">
        <v>0</v>
      </c>
      <c r="BJ38" s="460">
        <v>0</v>
      </c>
      <c r="BK38" s="460">
        <v>0</v>
      </c>
      <c r="BL38" s="460">
        <v>0</v>
      </c>
      <c r="BM38" s="460">
        <v>0</v>
      </c>
      <c r="BN38" s="460">
        <v>0</v>
      </c>
      <c r="BO38" s="460">
        <v>0</v>
      </c>
      <c r="BP38" s="460">
        <v>0</v>
      </c>
      <c r="BQ38" s="460">
        <v>0</v>
      </c>
      <c r="BR38" s="460">
        <v>0</v>
      </c>
      <c r="BS38" s="460">
        <v>0</v>
      </c>
      <c r="BT38" s="460">
        <v>0</v>
      </c>
      <c r="BU38" s="460">
        <v>0</v>
      </c>
      <c r="BV38" s="460">
        <v>0</v>
      </c>
      <c r="BW38" s="460">
        <v>0</v>
      </c>
      <c r="BX38" s="460">
        <v>0</v>
      </c>
      <c r="BY38" s="460">
        <v>0</v>
      </c>
      <c r="BZ38" s="460">
        <v>0</v>
      </c>
      <c r="CA38" s="460" t="e">
        <v>#N/A</v>
      </c>
      <c r="CB38" s="460" t="e">
        <v>#N/A</v>
      </c>
      <c r="CC38" s="460" t="e">
        <v>#N/A</v>
      </c>
    </row>
    <row r="39" spans="1:81" ht="12.75" customHeight="1">
      <c r="A39" s="105">
        <v>34</v>
      </c>
      <c r="B39" s="112" t="str">
        <v>11Y</v>
      </c>
      <c r="C39" s="262">
        <f>'eur disaggregated'!AD50+'eur disaggregated'!AC50</f>
        <v>-60923.497455770899</v>
      </c>
      <c r="D39" s="111" t="str">
        <f t="shared" si="3"/>
        <v>132M</v>
      </c>
      <c r="E39" s="441">
        <f>BktEur3mPL!E39</f>
        <v>42696</v>
      </c>
      <c r="F39" s="441">
        <f>BktEur3mPL!F39</f>
        <v>46713</v>
      </c>
      <c r="G39" s="462">
        <f t="shared" si="2"/>
        <v>6.4348159999999995E-3</v>
      </c>
      <c r="H39" s="453">
        <f>BktEur3mPL!H39</f>
        <v>0.64348159999999999</v>
      </c>
      <c r="I39" s="107" t="str">
        <v>6Y</v>
      </c>
      <c r="J39" s="106" t="str">
        <f>IF(LEN(I39)&gt;0,IF((MID(I39,4,1)=" "),#REF!,IF((LEN(I39)=8),DATE("20" &amp; RIGHT(I39,2),MID(I39,4,2),LEFT(I39,2)),SimplifyTenor(I39))),"")</f>
        <v>72M</v>
      </c>
      <c r="K39" s="448">
        <f>_xll.qlCalendarAdvance("TARGET",SettlementDate,J39)</f>
        <v>44887</v>
      </c>
      <c r="M39" s="99" t="str">
        <v>6Y</v>
      </c>
      <c r="N39" s="465">
        <v>-14488.173226355801</v>
      </c>
      <c r="P39" s="106" t="b">
        <f t="shared" si="4"/>
        <v>0</v>
      </c>
      <c r="Q39" s="460">
        <f t="array" ref="Q39:CC39">C39*ForwardToZero(OisBuckets,E39,F39,G39)</f>
        <v>0</v>
      </c>
      <c r="R39" s="460">
        <v>0</v>
      </c>
      <c r="S39" s="460">
        <v>0</v>
      </c>
      <c r="T39" s="460">
        <v>0</v>
      </c>
      <c r="U39" s="460">
        <v>0</v>
      </c>
      <c r="V39" s="460">
        <v>0</v>
      </c>
      <c r="W39" s="460">
        <v>0</v>
      </c>
      <c r="X39" s="460">
        <v>0</v>
      </c>
      <c r="Y39" s="460">
        <v>0</v>
      </c>
      <c r="Z39" s="460">
        <v>0</v>
      </c>
      <c r="AA39" s="460">
        <v>0</v>
      </c>
      <c r="AB39" s="460">
        <v>0</v>
      </c>
      <c r="AC39" s="460">
        <v>0</v>
      </c>
      <c r="AD39" s="460">
        <v>0</v>
      </c>
      <c r="AE39" s="460">
        <v>0</v>
      </c>
      <c r="AF39" s="460">
        <v>0</v>
      </c>
      <c r="AG39" s="460">
        <v>0</v>
      </c>
      <c r="AH39" s="460">
        <v>0</v>
      </c>
      <c r="AI39" s="460">
        <v>0</v>
      </c>
      <c r="AJ39" s="460">
        <v>0</v>
      </c>
      <c r="AK39" s="460">
        <v>0</v>
      </c>
      <c r="AL39" s="460">
        <v>0</v>
      </c>
      <c r="AM39" s="460">
        <v>0</v>
      </c>
      <c r="AN39" s="460">
        <v>0</v>
      </c>
      <c r="AO39" s="460">
        <v>0</v>
      </c>
      <c r="AP39" s="460">
        <v>0</v>
      </c>
      <c r="AQ39" s="460">
        <v>0</v>
      </c>
      <c r="AR39" s="460">
        <v>0</v>
      </c>
      <c r="AS39" s="460">
        <v>0</v>
      </c>
      <c r="AT39" s="460">
        <v>0</v>
      </c>
      <c r="AU39" s="460">
        <v>0</v>
      </c>
      <c r="AV39" s="460">
        <v>0</v>
      </c>
      <c r="AW39" s="460">
        <v>0</v>
      </c>
      <c r="AX39" s="460">
        <v>0</v>
      </c>
      <c r="AY39" s="460">
        <v>0</v>
      </c>
      <c r="AZ39" s="460">
        <v>0</v>
      </c>
      <c r="BA39" s="460">
        <v>0</v>
      </c>
      <c r="BB39" s="460">
        <v>0</v>
      </c>
      <c r="BC39" s="460">
        <v>-60923.497455770899</v>
      </c>
      <c r="BD39" s="460">
        <v>0</v>
      </c>
      <c r="BE39" s="460">
        <v>0</v>
      </c>
      <c r="BF39" s="460">
        <v>0</v>
      </c>
      <c r="BG39" s="460">
        <v>0</v>
      </c>
      <c r="BH39" s="460">
        <v>0</v>
      </c>
      <c r="BI39" s="460">
        <v>0</v>
      </c>
      <c r="BJ39" s="460">
        <v>0</v>
      </c>
      <c r="BK39" s="460">
        <v>0</v>
      </c>
      <c r="BL39" s="460">
        <v>0</v>
      </c>
      <c r="BM39" s="460">
        <v>0</v>
      </c>
      <c r="BN39" s="460">
        <v>0</v>
      </c>
      <c r="BO39" s="460">
        <v>0</v>
      </c>
      <c r="BP39" s="460">
        <v>0</v>
      </c>
      <c r="BQ39" s="460">
        <v>0</v>
      </c>
      <c r="BR39" s="460">
        <v>0</v>
      </c>
      <c r="BS39" s="460">
        <v>0</v>
      </c>
      <c r="BT39" s="460">
        <v>0</v>
      </c>
      <c r="BU39" s="460">
        <v>0</v>
      </c>
      <c r="BV39" s="460">
        <v>0</v>
      </c>
      <c r="BW39" s="460">
        <v>0</v>
      </c>
      <c r="BX39" s="460">
        <v>0</v>
      </c>
      <c r="BY39" s="460">
        <v>0</v>
      </c>
      <c r="BZ39" s="460">
        <v>0</v>
      </c>
      <c r="CA39" s="460" t="e">
        <v>#N/A</v>
      </c>
      <c r="CB39" s="460" t="e">
        <v>#N/A</v>
      </c>
      <c r="CC39" s="460" t="e">
        <v>#N/A</v>
      </c>
    </row>
    <row r="40" spans="1:81" ht="12.75" customHeight="1">
      <c r="A40" s="105">
        <v>35</v>
      </c>
      <c r="B40" s="112" t="str">
        <v>12Y</v>
      </c>
      <c r="C40" s="262">
        <f>'eur disaggregated'!AD51+'eur disaggregated'!AC51</f>
        <v>63267.3705133111</v>
      </c>
      <c r="D40" s="111" t="str">
        <f t="shared" si="3"/>
        <v>144M</v>
      </c>
      <c r="E40" s="441">
        <f>BktEur3mPL!E40</f>
        <v>42696</v>
      </c>
      <c r="F40" s="441">
        <f>BktEur3mPL!F40</f>
        <v>47079</v>
      </c>
      <c r="G40" s="462">
        <f t="shared" si="2"/>
        <v>7.2699999999999996E-3</v>
      </c>
      <c r="H40" s="453">
        <f>BktEur3mPL!H40</f>
        <v>0.72699999999999998</v>
      </c>
      <c r="I40" s="107" t="str">
        <v>7Y</v>
      </c>
      <c r="J40" s="106" t="str">
        <f>IF(LEN(I40)&gt;0,IF((MID(I40,4,1)=" "),#REF!,IF((LEN(I40)=8),DATE("20" &amp; RIGHT(I40,2),MID(I40,4,2),LEFT(I40,2)),SimplifyTenor(I40))),"")</f>
        <v>84M</v>
      </c>
      <c r="K40" s="448">
        <f>_xll.qlCalendarAdvance("TARGET",SettlementDate,J40)</f>
        <v>45252</v>
      </c>
      <c r="M40" s="99" t="str">
        <v>7Y</v>
      </c>
      <c r="N40" s="465">
        <v>43502.008095943696</v>
      </c>
      <c r="P40" s="106" t="b">
        <f t="shared" si="4"/>
        <v>0</v>
      </c>
      <c r="Q40" s="460">
        <f t="array" ref="Q40:CC40">C40*ForwardToZero(OisBuckets,E40,F40,G40)</f>
        <v>0</v>
      </c>
      <c r="R40" s="460">
        <v>0</v>
      </c>
      <c r="S40" s="460">
        <v>0</v>
      </c>
      <c r="T40" s="460">
        <v>0</v>
      </c>
      <c r="U40" s="460">
        <v>0</v>
      </c>
      <c r="V40" s="460">
        <v>0</v>
      </c>
      <c r="W40" s="460">
        <v>0</v>
      </c>
      <c r="X40" s="460">
        <v>0</v>
      </c>
      <c r="Y40" s="460">
        <v>0</v>
      </c>
      <c r="Z40" s="460">
        <v>0</v>
      </c>
      <c r="AA40" s="460">
        <v>0</v>
      </c>
      <c r="AB40" s="460">
        <v>0</v>
      </c>
      <c r="AC40" s="460">
        <v>0</v>
      </c>
      <c r="AD40" s="460">
        <v>0</v>
      </c>
      <c r="AE40" s="460">
        <v>0</v>
      </c>
      <c r="AF40" s="460">
        <v>0</v>
      </c>
      <c r="AG40" s="460">
        <v>0</v>
      </c>
      <c r="AH40" s="460">
        <v>0</v>
      </c>
      <c r="AI40" s="460">
        <v>0</v>
      </c>
      <c r="AJ40" s="460">
        <v>0</v>
      </c>
      <c r="AK40" s="460">
        <v>0</v>
      </c>
      <c r="AL40" s="460">
        <v>0</v>
      </c>
      <c r="AM40" s="460">
        <v>0</v>
      </c>
      <c r="AN40" s="460">
        <v>0</v>
      </c>
      <c r="AO40" s="460">
        <v>0</v>
      </c>
      <c r="AP40" s="460">
        <v>0</v>
      </c>
      <c r="AQ40" s="460">
        <v>0</v>
      </c>
      <c r="AR40" s="460">
        <v>0</v>
      </c>
      <c r="AS40" s="460">
        <v>0</v>
      </c>
      <c r="AT40" s="460">
        <v>0</v>
      </c>
      <c r="AU40" s="460">
        <v>0</v>
      </c>
      <c r="AV40" s="460">
        <v>0</v>
      </c>
      <c r="AW40" s="460">
        <v>0</v>
      </c>
      <c r="AX40" s="460">
        <v>0</v>
      </c>
      <c r="AY40" s="460">
        <v>0</v>
      </c>
      <c r="AZ40" s="460">
        <v>0</v>
      </c>
      <c r="BA40" s="460">
        <v>0</v>
      </c>
      <c r="BB40" s="460">
        <v>0</v>
      </c>
      <c r="BC40" s="460">
        <v>0</v>
      </c>
      <c r="BD40" s="460">
        <v>63267.3705133111</v>
      </c>
      <c r="BE40" s="460">
        <v>0</v>
      </c>
      <c r="BF40" s="460">
        <v>0</v>
      </c>
      <c r="BG40" s="460">
        <v>0</v>
      </c>
      <c r="BH40" s="460">
        <v>0</v>
      </c>
      <c r="BI40" s="460">
        <v>0</v>
      </c>
      <c r="BJ40" s="460">
        <v>0</v>
      </c>
      <c r="BK40" s="460">
        <v>0</v>
      </c>
      <c r="BL40" s="460">
        <v>0</v>
      </c>
      <c r="BM40" s="460">
        <v>0</v>
      </c>
      <c r="BN40" s="460">
        <v>0</v>
      </c>
      <c r="BO40" s="460">
        <v>0</v>
      </c>
      <c r="BP40" s="460">
        <v>0</v>
      </c>
      <c r="BQ40" s="460">
        <v>0</v>
      </c>
      <c r="BR40" s="460">
        <v>0</v>
      </c>
      <c r="BS40" s="460">
        <v>0</v>
      </c>
      <c r="BT40" s="460">
        <v>0</v>
      </c>
      <c r="BU40" s="460">
        <v>0</v>
      </c>
      <c r="BV40" s="460">
        <v>0</v>
      </c>
      <c r="BW40" s="460">
        <v>0</v>
      </c>
      <c r="BX40" s="460">
        <v>0</v>
      </c>
      <c r="BY40" s="460">
        <v>0</v>
      </c>
      <c r="BZ40" s="460">
        <v>0</v>
      </c>
      <c r="CA40" s="460" t="e">
        <v>#N/A</v>
      </c>
      <c r="CB40" s="460" t="e">
        <v>#N/A</v>
      </c>
      <c r="CC40" s="460" t="e">
        <v>#N/A</v>
      </c>
    </row>
    <row r="41" spans="1:81" ht="12.75" customHeight="1">
      <c r="A41" s="105">
        <v>36</v>
      </c>
      <c r="B41" s="112" t="str">
        <v>13Y</v>
      </c>
      <c r="C41" s="262">
        <f>'eur disaggregated'!AD52+'eur disaggregated'!AC52</f>
        <v>9438.17676153701</v>
      </c>
      <c r="D41" s="111" t="str">
        <f t="shared" si="3"/>
        <v>156M</v>
      </c>
      <c r="E41" s="441">
        <f>BktEur3mPL!E41</f>
        <v>42696</v>
      </c>
      <c r="F41" s="441">
        <f>BktEur3mPL!F41</f>
        <v>47444</v>
      </c>
      <c r="G41" s="462">
        <f t="shared" si="2"/>
        <v>7.9907134900000006E-3</v>
      </c>
      <c r="H41" s="453">
        <f>BktEur3mPL!H41</f>
        <v>0.79907134899999999</v>
      </c>
      <c r="I41" s="107" t="str">
        <v>8Y</v>
      </c>
      <c r="J41" s="106" t="str">
        <f>IF(LEN(I41)&gt;0,IF((MID(I41,4,1)=" "),#REF!,IF((LEN(I41)=8),DATE("20" &amp; RIGHT(I41,2),MID(I41,4,2),LEFT(I41,2)),SimplifyTenor(I41))),"")</f>
        <v>96M</v>
      </c>
      <c r="K41" s="448">
        <f>_xll.qlCalendarAdvance("TARGET",SettlementDate,J41)</f>
        <v>45618</v>
      </c>
      <c r="M41" s="99" t="str">
        <v>8Y</v>
      </c>
      <c r="N41" s="465">
        <v>-5622.0789885126396</v>
      </c>
      <c r="P41" s="106" t="b">
        <f t="shared" si="4"/>
        <v>0</v>
      </c>
      <c r="Q41" s="460">
        <f t="array" ref="Q41:CC41">C41*ForwardToZero(OisBuckets,E41,F41,G41)</f>
        <v>0</v>
      </c>
      <c r="R41" s="460">
        <v>0</v>
      </c>
      <c r="S41" s="460">
        <v>0</v>
      </c>
      <c r="T41" s="460">
        <v>0</v>
      </c>
      <c r="U41" s="460">
        <v>0</v>
      </c>
      <c r="V41" s="460">
        <v>0</v>
      </c>
      <c r="W41" s="460">
        <v>0</v>
      </c>
      <c r="X41" s="460">
        <v>0</v>
      </c>
      <c r="Y41" s="460">
        <v>0</v>
      </c>
      <c r="Z41" s="460">
        <v>0</v>
      </c>
      <c r="AA41" s="460">
        <v>0</v>
      </c>
      <c r="AB41" s="460">
        <v>0</v>
      </c>
      <c r="AC41" s="460">
        <v>0</v>
      </c>
      <c r="AD41" s="460">
        <v>0</v>
      </c>
      <c r="AE41" s="460">
        <v>0</v>
      </c>
      <c r="AF41" s="460">
        <v>0</v>
      </c>
      <c r="AG41" s="460">
        <v>0</v>
      </c>
      <c r="AH41" s="460">
        <v>0</v>
      </c>
      <c r="AI41" s="460">
        <v>0</v>
      </c>
      <c r="AJ41" s="460">
        <v>0</v>
      </c>
      <c r="AK41" s="460">
        <v>0</v>
      </c>
      <c r="AL41" s="460">
        <v>0</v>
      </c>
      <c r="AM41" s="460">
        <v>0</v>
      </c>
      <c r="AN41" s="460">
        <v>0</v>
      </c>
      <c r="AO41" s="460">
        <v>0</v>
      </c>
      <c r="AP41" s="460">
        <v>0</v>
      </c>
      <c r="AQ41" s="460">
        <v>0</v>
      </c>
      <c r="AR41" s="460">
        <v>0</v>
      </c>
      <c r="AS41" s="460">
        <v>0</v>
      </c>
      <c r="AT41" s="460">
        <v>0</v>
      </c>
      <c r="AU41" s="460">
        <v>0</v>
      </c>
      <c r="AV41" s="460">
        <v>0</v>
      </c>
      <c r="AW41" s="460">
        <v>0</v>
      </c>
      <c r="AX41" s="460">
        <v>0</v>
      </c>
      <c r="AY41" s="460">
        <v>0</v>
      </c>
      <c r="AZ41" s="460">
        <v>0</v>
      </c>
      <c r="BA41" s="460">
        <v>0</v>
      </c>
      <c r="BB41" s="460">
        <v>0</v>
      </c>
      <c r="BC41" s="460">
        <v>0</v>
      </c>
      <c r="BD41" s="460">
        <v>0</v>
      </c>
      <c r="BE41" s="460">
        <v>9438.17676153701</v>
      </c>
      <c r="BF41" s="460">
        <v>0</v>
      </c>
      <c r="BG41" s="460">
        <v>0</v>
      </c>
      <c r="BH41" s="460">
        <v>0</v>
      </c>
      <c r="BI41" s="460">
        <v>0</v>
      </c>
      <c r="BJ41" s="460">
        <v>0</v>
      </c>
      <c r="BK41" s="460">
        <v>0</v>
      </c>
      <c r="BL41" s="460">
        <v>0</v>
      </c>
      <c r="BM41" s="460">
        <v>0</v>
      </c>
      <c r="BN41" s="460">
        <v>0</v>
      </c>
      <c r="BO41" s="460">
        <v>0</v>
      </c>
      <c r="BP41" s="460">
        <v>0</v>
      </c>
      <c r="BQ41" s="460">
        <v>0</v>
      </c>
      <c r="BR41" s="460">
        <v>0</v>
      </c>
      <c r="BS41" s="460">
        <v>0</v>
      </c>
      <c r="BT41" s="460">
        <v>0</v>
      </c>
      <c r="BU41" s="460">
        <v>0</v>
      </c>
      <c r="BV41" s="460">
        <v>0</v>
      </c>
      <c r="BW41" s="460">
        <v>0</v>
      </c>
      <c r="BX41" s="460">
        <v>0</v>
      </c>
      <c r="BY41" s="460">
        <v>0</v>
      </c>
      <c r="BZ41" s="460">
        <v>0</v>
      </c>
      <c r="CA41" s="460" t="e">
        <v>#N/A</v>
      </c>
      <c r="CB41" s="460" t="e">
        <v>#N/A</v>
      </c>
      <c r="CC41" s="460" t="e">
        <v>#N/A</v>
      </c>
    </row>
    <row r="42" spans="1:81" ht="12.75" customHeight="1">
      <c r="A42" s="105">
        <v>37</v>
      </c>
      <c r="B42" s="112" t="str">
        <v>14Y</v>
      </c>
      <c r="C42" s="262">
        <f>'eur disaggregated'!AD53+'eur disaggregated'!AC53</f>
        <v>88960.230802803897</v>
      </c>
      <c r="D42" s="111" t="str">
        <f t="shared" si="3"/>
        <v>168M</v>
      </c>
      <c r="E42" s="441">
        <f>BktEur3mPL!E42</f>
        <v>42696</v>
      </c>
      <c r="F42" s="441">
        <f>BktEur3mPL!F42</f>
        <v>47809</v>
      </c>
      <c r="G42" s="462">
        <f t="shared" si="2"/>
        <v>8.6122129699999998E-3</v>
      </c>
      <c r="H42" s="453">
        <f>BktEur3mPL!H42</f>
        <v>0.86122129700000005</v>
      </c>
      <c r="I42" s="107" t="str">
        <v>9Y</v>
      </c>
      <c r="J42" s="106" t="str">
        <f>IF(LEN(I42)&gt;0,IF((MID(I42,4,1)=" "),#REF!,IF((LEN(I42)=8),DATE("20" &amp; RIGHT(I42,2),MID(I42,4,2),LEFT(I42,2)),SimplifyTenor(I42))),"")</f>
        <v>108M</v>
      </c>
      <c r="K42" s="448">
        <f>_xll.qlCalendarAdvance("TARGET",SettlementDate,J42)</f>
        <v>45985</v>
      </c>
      <c r="M42" s="99" t="str">
        <v>9Y</v>
      </c>
      <c r="N42" s="465">
        <v>13478.4848765076</v>
      </c>
      <c r="P42" s="106" t="b">
        <f t="shared" si="4"/>
        <v>0</v>
      </c>
      <c r="Q42" s="460">
        <f t="array" ref="Q42:CC42">C42*ForwardToZero(OisBuckets,E42,F42,G42)</f>
        <v>0</v>
      </c>
      <c r="R42" s="460">
        <v>0</v>
      </c>
      <c r="S42" s="460">
        <v>0</v>
      </c>
      <c r="T42" s="460">
        <v>0</v>
      </c>
      <c r="U42" s="460">
        <v>0</v>
      </c>
      <c r="V42" s="460">
        <v>0</v>
      </c>
      <c r="W42" s="460">
        <v>0</v>
      </c>
      <c r="X42" s="460">
        <v>0</v>
      </c>
      <c r="Y42" s="460">
        <v>0</v>
      </c>
      <c r="Z42" s="460">
        <v>0</v>
      </c>
      <c r="AA42" s="460">
        <v>0</v>
      </c>
      <c r="AB42" s="460">
        <v>0</v>
      </c>
      <c r="AC42" s="460">
        <v>0</v>
      </c>
      <c r="AD42" s="460">
        <v>0</v>
      </c>
      <c r="AE42" s="460">
        <v>0</v>
      </c>
      <c r="AF42" s="460">
        <v>0</v>
      </c>
      <c r="AG42" s="460">
        <v>0</v>
      </c>
      <c r="AH42" s="460">
        <v>0</v>
      </c>
      <c r="AI42" s="460">
        <v>0</v>
      </c>
      <c r="AJ42" s="460">
        <v>0</v>
      </c>
      <c r="AK42" s="460">
        <v>0</v>
      </c>
      <c r="AL42" s="460">
        <v>0</v>
      </c>
      <c r="AM42" s="460">
        <v>0</v>
      </c>
      <c r="AN42" s="460">
        <v>0</v>
      </c>
      <c r="AO42" s="460">
        <v>0</v>
      </c>
      <c r="AP42" s="460">
        <v>0</v>
      </c>
      <c r="AQ42" s="460">
        <v>0</v>
      </c>
      <c r="AR42" s="460">
        <v>0</v>
      </c>
      <c r="AS42" s="460">
        <v>0</v>
      </c>
      <c r="AT42" s="460">
        <v>0</v>
      </c>
      <c r="AU42" s="460">
        <v>0</v>
      </c>
      <c r="AV42" s="460">
        <v>0</v>
      </c>
      <c r="AW42" s="460">
        <v>0</v>
      </c>
      <c r="AX42" s="460">
        <v>0</v>
      </c>
      <c r="AY42" s="460">
        <v>0</v>
      </c>
      <c r="AZ42" s="460">
        <v>0</v>
      </c>
      <c r="BA42" s="460">
        <v>0</v>
      </c>
      <c r="BB42" s="460">
        <v>0</v>
      </c>
      <c r="BC42" s="460">
        <v>0</v>
      </c>
      <c r="BD42" s="460">
        <v>0</v>
      </c>
      <c r="BE42" s="460">
        <v>0</v>
      </c>
      <c r="BF42" s="460">
        <v>88960.230802803897</v>
      </c>
      <c r="BG42" s="460">
        <v>0</v>
      </c>
      <c r="BH42" s="460">
        <v>0</v>
      </c>
      <c r="BI42" s="460">
        <v>0</v>
      </c>
      <c r="BJ42" s="460">
        <v>0</v>
      </c>
      <c r="BK42" s="460">
        <v>0</v>
      </c>
      <c r="BL42" s="460">
        <v>0</v>
      </c>
      <c r="BM42" s="460">
        <v>0</v>
      </c>
      <c r="BN42" s="460">
        <v>0</v>
      </c>
      <c r="BO42" s="460">
        <v>0</v>
      </c>
      <c r="BP42" s="460">
        <v>0</v>
      </c>
      <c r="BQ42" s="460">
        <v>0</v>
      </c>
      <c r="BR42" s="460">
        <v>0</v>
      </c>
      <c r="BS42" s="460">
        <v>0</v>
      </c>
      <c r="BT42" s="460">
        <v>0</v>
      </c>
      <c r="BU42" s="460">
        <v>0</v>
      </c>
      <c r="BV42" s="460">
        <v>0</v>
      </c>
      <c r="BW42" s="460">
        <v>0</v>
      </c>
      <c r="BX42" s="460">
        <v>0</v>
      </c>
      <c r="BY42" s="460">
        <v>0</v>
      </c>
      <c r="BZ42" s="460">
        <v>0</v>
      </c>
      <c r="CA42" s="460" t="e">
        <v>#N/A</v>
      </c>
      <c r="CB42" s="460" t="e">
        <v>#N/A</v>
      </c>
      <c r="CC42" s="460" t="e">
        <v>#N/A</v>
      </c>
    </row>
    <row r="43" spans="1:81" ht="12.75" customHeight="1">
      <c r="A43" s="105">
        <v>38</v>
      </c>
      <c r="B43" s="112" t="str">
        <v>15Y</v>
      </c>
      <c r="C43" s="262">
        <f>'eur disaggregated'!AD54+'eur disaggregated'!AC54</f>
        <v>16332.594059221699</v>
      </c>
      <c r="D43" s="111" t="str">
        <f t="shared" si="3"/>
        <v>180M</v>
      </c>
      <c r="E43" s="441">
        <f>BktEur3mPL!E43</f>
        <v>42696</v>
      </c>
      <c r="F43" s="441">
        <f>BktEur3mPL!F43</f>
        <v>48176</v>
      </c>
      <c r="G43" s="462">
        <f t="shared" si="2"/>
        <v>9.1400000000000006E-3</v>
      </c>
      <c r="H43" s="453">
        <f>BktEur3mPL!H43</f>
        <v>0.91400000000000003</v>
      </c>
      <c r="I43" s="107" t="str">
        <v>10Y</v>
      </c>
      <c r="J43" s="106" t="str">
        <f>IF(LEN(I43)&gt;0,IF((MID(I43,4,1)=" "),#REF!,IF((LEN(I43)=8),DATE("20" &amp; RIGHT(I43,2),MID(I43,4,2),LEFT(I43,2)),SimplifyTenor(I43))),"")</f>
        <v>120M</v>
      </c>
      <c r="K43" s="448">
        <f>_xll.qlCalendarAdvance("TARGET",SettlementDate,J43)</f>
        <v>46349</v>
      </c>
      <c r="M43" s="99" t="str">
        <v>10Y</v>
      </c>
      <c r="N43" s="465">
        <v>-89005.369400818905</v>
      </c>
      <c r="P43" s="106" t="b">
        <f t="shared" si="4"/>
        <v>0</v>
      </c>
      <c r="Q43" s="460">
        <f t="array" ref="Q43:CC43">C43*ForwardToZero(OisBuckets,E43,F43,G43)</f>
        <v>0</v>
      </c>
      <c r="R43" s="460">
        <v>0</v>
      </c>
      <c r="S43" s="460">
        <v>0</v>
      </c>
      <c r="T43" s="460">
        <v>0</v>
      </c>
      <c r="U43" s="460">
        <v>0</v>
      </c>
      <c r="V43" s="460">
        <v>0</v>
      </c>
      <c r="W43" s="460">
        <v>0</v>
      </c>
      <c r="X43" s="460">
        <v>0</v>
      </c>
      <c r="Y43" s="460">
        <v>0</v>
      </c>
      <c r="Z43" s="460">
        <v>0</v>
      </c>
      <c r="AA43" s="460">
        <v>0</v>
      </c>
      <c r="AB43" s="460">
        <v>0</v>
      </c>
      <c r="AC43" s="460">
        <v>0</v>
      </c>
      <c r="AD43" s="460">
        <v>0</v>
      </c>
      <c r="AE43" s="460">
        <v>0</v>
      </c>
      <c r="AF43" s="460">
        <v>0</v>
      </c>
      <c r="AG43" s="460">
        <v>0</v>
      </c>
      <c r="AH43" s="460">
        <v>0</v>
      </c>
      <c r="AI43" s="460">
        <v>0</v>
      </c>
      <c r="AJ43" s="460">
        <v>0</v>
      </c>
      <c r="AK43" s="460">
        <v>0</v>
      </c>
      <c r="AL43" s="460">
        <v>0</v>
      </c>
      <c r="AM43" s="460">
        <v>0</v>
      </c>
      <c r="AN43" s="460">
        <v>0</v>
      </c>
      <c r="AO43" s="460">
        <v>0</v>
      </c>
      <c r="AP43" s="460">
        <v>0</v>
      </c>
      <c r="AQ43" s="460">
        <v>0</v>
      </c>
      <c r="AR43" s="460">
        <v>0</v>
      </c>
      <c r="AS43" s="460">
        <v>0</v>
      </c>
      <c r="AT43" s="460">
        <v>0</v>
      </c>
      <c r="AU43" s="460">
        <v>0</v>
      </c>
      <c r="AV43" s="460">
        <v>0</v>
      </c>
      <c r="AW43" s="460">
        <v>0</v>
      </c>
      <c r="AX43" s="460">
        <v>0</v>
      </c>
      <c r="AY43" s="460">
        <v>0</v>
      </c>
      <c r="AZ43" s="460">
        <v>0</v>
      </c>
      <c r="BA43" s="460">
        <v>0</v>
      </c>
      <c r="BB43" s="460">
        <v>0</v>
      </c>
      <c r="BC43" s="460">
        <v>0</v>
      </c>
      <c r="BD43" s="460">
        <v>0</v>
      </c>
      <c r="BE43" s="460">
        <v>0</v>
      </c>
      <c r="BF43" s="460">
        <v>0</v>
      </c>
      <c r="BG43" s="460">
        <v>16332.594059221699</v>
      </c>
      <c r="BH43" s="460">
        <v>0</v>
      </c>
      <c r="BI43" s="460">
        <v>0</v>
      </c>
      <c r="BJ43" s="460">
        <v>0</v>
      </c>
      <c r="BK43" s="460">
        <v>0</v>
      </c>
      <c r="BL43" s="460">
        <v>0</v>
      </c>
      <c r="BM43" s="460">
        <v>0</v>
      </c>
      <c r="BN43" s="460">
        <v>0</v>
      </c>
      <c r="BO43" s="460">
        <v>0</v>
      </c>
      <c r="BP43" s="460">
        <v>0</v>
      </c>
      <c r="BQ43" s="460">
        <v>0</v>
      </c>
      <c r="BR43" s="460">
        <v>0</v>
      </c>
      <c r="BS43" s="460">
        <v>0</v>
      </c>
      <c r="BT43" s="460">
        <v>0</v>
      </c>
      <c r="BU43" s="460">
        <v>0</v>
      </c>
      <c r="BV43" s="460">
        <v>0</v>
      </c>
      <c r="BW43" s="460">
        <v>0</v>
      </c>
      <c r="BX43" s="460">
        <v>0</v>
      </c>
      <c r="BY43" s="460">
        <v>0</v>
      </c>
      <c r="BZ43" s="460">
        <v>0</v>
      </c>
      <c r="CA43" s="460" t="e">
        <v>#N/A</v>
      </c>
      <c r="CB43" s="460" t="e">
        <v>#N/A</v>
      </c>
      <c r="CC43" s="460" t="e">
        <v>#N/A</v>
      </c>
    </row>
    <row r="44" spans="1:81" ht="12.75" customHeight="1">
      <c r="A44" s="105">
        <v>39</v>
      </c>
      <c r="B44" s="112" t="str">
        <v>16Y</v>
      </c>
      <c r="C44" s="262">
        <f>'eur disaggregated'!AD55+'eur disaggregated'!AC55</f>
        <v>-67916.323501658306</v>
      </c>
      <c r="D44" s="111" t="str">
        <f t="shared" si="3"/>
        <v>192M</v>
      </c>
      <c r="E44" s="441">
        <f>BktEur3mPL!E44</f>
        <v>42696</v>
      </c>
      <c r="F44" s="441">
        <f>BktEur3mPL!F44</f>
        <v>48540</v>
      </c>
      <c r="G44" s="462">
        <f t="shared" si="2"/>
        <v>9.5701836800000002E-3</v>
      </c>
      <c r="H44" s="453">
        <f>BktEur3mPL!H44</f>
        <v>0.95701836799999995</v>
      </c>
      <c r="I44" s="107" t="str">
        <v>11Y</v>
      </c>
      <c r="J44" s="106" t="str">
        <f>IF(LEN(I44)&gt;0,IF((MID(I44,4,1)=" "),#REF!,IF((LEN(I44)=8),DATE("20" &amp; RIGHT(I44,2),MID(I44,4,2),LEFT(I44,2)),SimplifyTenor(I44))),"")</f>
        <v>132M</v>
      </c>
      <c r="K44" s="448">
        <f>_xll.qlCalendarAdvance("TARGET",SettlementDate,J44)</f>
        <v>46713</v>
      </c>
      <c r="M44" s="99" t="str">
        <v>11Y</v>
      </c>
      <c r="N44" s="465">
        <v>-60923.497455770899</v>
      </c>
      <c r="P44" s="106" t="b">
        <f t="shared" si="4"/>
        <v>0</v>
      </c>
      <c r="Q44" s="460">
        <f t="array" ref="Q44:CC44">C44*ForwardToZero(OisBuckets,E44,F44,G44)</f>
        <v>0</v>
      </c>
      <c r="R44" s="460">
        <v>0</v>
      </c>
      <c r="S44" s="460">
        <v>0</v>
      </c>
      <c r="T44" s="460">
        <v>0</v>
      </c>
      <c r="U44" s="460">
        <v>0</v>
      </c>
      <c r="V44" s="460">
        <v>0</v>
      </c>
      <c r="W44" s="460">
        <v>0</v>
      </c>
      <c r="X44" s="460">
        <v>0</v>
      </c>
      <c r="Y44" s="460">
        <v>0</v>
      </c>
      <c r="Z44" s="460">
        <v>0</v>
      </c>
      <c r="AA44" s="460">
        <v>0</v>
      </c>
      <c r="AB44" s="460">
        <v>0</v>
      </c>
      <c r="AC44" s="460">
        <v>0</v>
      </c>
      <c r="AD44" s="460">
        <v>0</v>
      </c>
      <c r="AE44" s="460">
        <v>0</v>
      </c>
      <c r="AF44" s="460">
        <v>0</v>
      </c>
      <c r="AG44" s="460">
        <v>0</v>
      </c>
      <c r="AH44" s="460">
        <v>0</v>
      </c>
      <c r="AI44" s="460">
        <v>0</v>
      </c>
      <c r="AJ44" s="460">
        <v>0</v>
      </c>
      <c r="AK44" s="460">
        <v>0</v>
      </c>
      <c r="AL44" s="460">
        <v>0</v>
      </c>
      <c r="AM44" s="460">
        <v>0</v>
      </c>
      <c r="AN44" s="460">
        <v>0</v>
      </c>
      <c r="AO44" s="460">
        <v>0</v>
      </c>
      <c r="AP44" s="460">
        <v>0</v>
      </c>
      <c r="AQ44" s="460">
        <v>0</v>
      </c>
      <c r="AR44" s="460">
        <v>0</v>
      </c>
      <c r="AS44" s="460">
        <v>0</v>
      </c>
      <c r="AT44" s="460">
        <v>0</v>
      </c>
      <c r="AU44" s="460">
        <v>0</v>
      </c>
      <c r="AV44" s="460">
        <v>0</v>
      </c>
      <c r="AW44" s="460">
        <v>0</v>
      </c>
      <c r="AX44" s="460">
        <v>0</v>
      </c>
      <c r="AY44" s="460">
        <v>0</v>
      </c>
      <c r="AZ44" s="460">
        <v>0</v>
      </c>
      <c r="BA44" s="460">
        <v>0</v>
      </c>
      <c r="BB44" s="460">
        <v>0</v>
      </c>
      <c r="BC44" s="460">
        <v>0</v>
      </c>
      <c r="BD44" s="460">
        <v>0</v>
      </c>
      <c r="BE44" s="460">
        <v>0</v>
      </c>
      <c r="BF44" s="460">
        <v>0</v>
      </c>
      <c r="BG44" s="460">
        <v>0</v>
      </c>
      <c r="BH44" s="460">
        <v>-67916.323501658306</v>
      </c>
      <c r="BI44" s="460">
        <v>0</v>
      </c>
      <c r="BJ44" s="460">
        <v>0</v>
      </c>
      <c r="BK44" s="460">
        <v>0</v>
      </c>
      <c r="BL44" s="460">
        <v>0</v>
      </c>
      <c r="BM44" s="460">
        <v>0</v>
      </c>
      <c r="BN44" s="460">
        <v>0</v>
      </c>
      <c r="BO44" s="460">
        <v>0</v>
      </c>
      <c r="BP44" s="460">
        <v>0</v>
      </c>
      <c r="BQ44" s="460">
        <v>0</v>
      </c>
      <c r="BR44" s="460">
        <v>0</v>
      </c>
      <c r="BS44" s="460">
        <v>0</v>
      </c>
      <c r="BT44" s="460">
        <v>0</v>
      </c>
      <c r="BU44" s="460">
        <v>0</v>
      </c>
      <c r="BV44" s="460">
        <v>0</v>
      </c>
      <c r="BW44" s="460">
        <v>0</v>
      </c>
      <c r="BX44" s="460">
        <v>0</v>
      </c>
      <c r="BY44" s="460">
        <v>0</v>
      </c>
      <c r="BZ44" s="460">
        <v>0</v>
      </c>
      <c r="CA44" s="460" t="e">
        <v>#N/A</v>
      </c>
      <c r="CB44" s="460" t="e">
        <v>#N/A</v>
      </c>
      <c r="CC44" s="460" t="e">
        <v>#N/A</v>
      </c>
    </row>
    <row r="45" spans="1:81" ht="12.75" customHeight="1">
      <c r="A45" s="105">
        <v>40</v>
      </c>
      <c r="B45" s="112" t="str">
        <v>17Y</v>
      </c>
      <c r="C45" s="262">
        <f>'eur disaggregated'!AD56+'eur disaggregated'!AC56</f>
        <v>4687.1531510352097</v>
      </c>
      <c r="D45" s="111" t="str">
        <f t="shared" si="3"/>
        <v>204M</v>
      </c>
      <c r="E45" s="441">
        <f>BktEur3mPL!E45</f>
        <v>42696</v>
      </c>
      <c r="F45" s="441">
        <f>BktEur3mPL!F45</f>
        <v>48905</v>
      </c>
      <c r="G45" s="462">
        <f t="shared" si="2"/>
        <v>9.937512229999999E-3</v>
      </c>
      <c r="H45" s="453">
        <f>BktEur3mPL!H45</f>
        <v>0.99375122299999996</v>
      </c>
      <c r="I45" s="107" t="str">
        <v>12Y</v>
      </c>
      <c r="J45" s="106" t="str">
        <f>IF(LEN(I45)&gt;0,IF((MID(I45,4,1)=" "),#REF!,IF((LEN(I45)=8),DATE("20" &amp; RIGHT(I45,2),MID(I45,4,2),LEFT(I45,2)),SimplifyTenor(I45))),"")</f>
        <v>144M</v>
      </c>
      <c r="K45" s="448">
        <f>_xll.qlCalendarAdvance("TARGET",SettlementDate,J45)</f>
        <v>47079</v>
      </c>
      <c r="M45" s="99" t="str">
        <v>12Y</v>
      </c>
      <c r="N45" s="465">
        <v>63267.3705133111</v>
      </c>
      <c r="P45" s="106" t="b">
        <f t="shared" si="4"/>
        <v>0</v>
      </c>
      <c r="Q45" s="460">
        <f t="array" ref="Q45:CC45">C45*ForwardToZero(OisBuckets,E45,F45,G45)</f>
        <v>0</v>
      </c>
      <c r="R45" s="460">
        <v>0</v>
      </c>
      <c r="S45" s="460">
        <v>0</v>
      </c>
      <c r="T45" s="460">
        <v>0</v>
      </c>
      <c r="U45" s="460">
        <v>0</v>
      </c>
      <c r="V45" s="460">
        <v>0</v>
      </c>
      <c r="W45" s="460">
        <v>0</v>
      </c>
      <c r="X45" s="460">
        <v>0</v>
      </c>
      <c r="Y45" s="460">
        <v>0</v>
      </c>
      <c r="Z45" s="460">
        <v>0</v>
      </c>
      <c r="AA45" s="460">
        <v>0</v>
      </c>
      <c r="AB45" s="460">
        <v>0</v>
      </c>
      <c r="AC45" s="460">
        <v>0</v>
      </c>
      <c r="AD45" s="460">
        <v>0</v>
      </c>
      <c r="AE45" s="460">
        <v>0</v>
      </c>
      <c r="AF45" s="460">
        <v>0</v>
      </c>
      <c r="AG45" s="460">
        <v>0</v>
      </c>
      <c r="AH45" s="460">
        <v>0</v>
      </c>
      <c r="AI45" s="460">
        <v>0</v>
      </c>
      <c r="AJ45" s="460">
        <v>0</v>
      </c>
      <c r="AK45" s="460">
        <v>0</v>
      </c>
      <c r="AL45" s="460">
        <v>0</v>
      </c>
      <c r="AM45" s="460">
        <v>0</v>
      </c>
      <c r="AN45" s="460">
        <v>0</v>
      </c>
      <c r="AO45" s="460">
        <v>0</v>
      </c>
      <c r="AP45" s="460">
        <v>0</v>
      </c>
      <c r="AQ45" s="460">
        <v>0</v>
      </c>
      <c r="AR45" s="460">
        <v>0</v>
      </c>
      <c r="AS45" s="460">
        <v>0</v>
      </c>
      <c r="AT45" s="460">
        <v>0</v>
      </c>
      <c r="AU45" s="460">
        <v>0</v>
      </c>
      <c r="AV45" s="460">
        <v>0</v>
      </c>
      <c r="AW45" s="460">
        <v>0</v>
      </c>
      <c r="AX45" s="460">
        <v>0</v>
      </c>
      <c r="AY45" s="460">
        <v>0</v>
      </c>
      <c r="AZ45" s="460">
        <v>0</v>
      </c>
      <c r="BA45" s="460">
        <v>0</v>
      </c>
      <c r="BB45" s="460">
        <v>0</v>
      </c>
      <c r="BC45" s="460">
        <v>0</v>
      </c>
      <c r="BD45" s="460">
        <v>0</v>
      </c>
      <c r="BE45" s="460">
        <v>0</v>
      </c>
      <c r="BF45" s="460">
        <v>0</v>
      </c>
      <c r="BG45" s="460">
        <v>0</v>
      </c>
      <c r="BH45" s="460">
        <v>0</v>
      </c>
      <c r="BI45" s="460">
        <v>4687.1531510352097</v>
      </c>
      <c r="BJ45" s="460">
        <v>0</v>
      </c>
      <c r="BK45" s="460">
        <v>0</v>
      </c>
      <c r="BL45" s="460">
        <v>0</v>
      </c>
      <c r="BM45" s="460">
        <v>0</v>
      </c>
      <c r="BN45" s="460">
        <v>0</v>
      </c>
      <c r="BO45" s="460">
        <v>0</v>
      </c>
      <c r="BP45" s="460">
        <v>0</v>
      </c>
      <c r="BQ45" s="460">
        <v>0</v>
      </c>
      <c r="BR45" s="460">
        <v>0</v>
      </c>
      <c r="BS45" s="460">
        <v>0</v>
      </c>
      <c r="BT45" s="460">
        <v>0</v>
      </c>
      <c r="BU45" s="460">
        <v>0</v>
      </c>
      <c r="BV45" s="460">
        <v>0</v>
      </c>
      <c r="BW45" s="460">
        <v>0</v>
      </c>
      <c r="BX45" s="460">
        <v>0</v>
      </c>
      <c r="BY45" s="460">
        <v>0</v>
      </c>
      <c r="BZ45" s="460">
        <v>0</v>
      </c>
      <c r="CA45" s="460" t="e">
        <v>#N/A</v>
      </c>
      <c r="CB45" s="460" t="e">
        <v>#N/A</v>
      </c>
      <c r="CC45" s="460" t="e">
        <v>#N/A</v>
      </c>
    </row>
    <row r="46" spans="1:81" ht="12.75" customHeight="1">
      <c r="A46" s="105">
        <v>41</v>
      </c>
      <c r="B46" s="112" t="str">
        <v>18Y</v>
      </c>
      <c r="C46" s="262">
        <f>'eur disaggregated'!AD57+'eur disaggregated'!AC57</f>
        <v>5291.3447842202704</v>
      </c>
      <c r="D46" s="111" t="str">
        <f t="shared" si="3"/>
        <v>216M</v>
      </c>
      <c r="E46" s="441">
        <f>BktEur3mPL!E46</f>
        <v>42696</v>
      </c>
      <c r="F46" s="441">
        <f>BktEur3mPL!F46</f>
        <v>49270</v>
      </c>
      <c r="G46" s="462">
        <f t="shared" si="2"/>
        <v>1.0227258139999999E-2</v>
      </c>
      <c r="H46" s="453">
        <f>BktEur3mPL!H46</f>
        <v>1.022725814</v>
      </c>
      <c r="I46" s="107" t="str">
        <v>13Y</v>
      </c>
      <c r="J46" s="106" t="str">
        <f>IF(LEN(I46)&gt;0,IF((MID(I46,4,1)=" "),#REF!,IF((LEN(I46)=8),DATE("20" &amp; RIGHT(I46,2),MID(I46,4,2),LEFT(I46,2)),SimplifyTenor(I46))),"")</f>
        <v>156M</v>
      </c>
      <c r="K46" s="448">
        <f>_xll.qlCalendarAdvance("TARGET",SettlementDate,J46)</f>
        <v>47444</v>
      </c>
      <c r="M46" s="99" t="str">
        <v>13Y</v>
      </c>
      <c r="N46" s="465">
        <v>9438.17676153701</v>
      </c>
      <c r="P46" s="106" t="b">
        <f t="shared" si="4"/>
        <v>0</v>
      </c>
      <c r="Q46" s="460">
        <f t="array" ref="Q46:CC46">C46*ForwardToZero(OisBuckets,E46,F46,G46)</f>
        <v>0</v>
      </c>
      <c r="R46" s="460">
        <v>0</v>
      </c>
      <c r="S46" s="460">
        <v>0</v>
      </c>
      <c r="T46" s="460">
        <v>0</v>
      </c>
      <c r="U46" s="460">
        <v>0</v>
      </c>
      <c r="V46" s="460">
        <v>0</v>
      </c>
      <c r="W46" s="460">
        <v>0</v>
      </c>
      <c r="X46" s="460">
        <v>0</v>
      </c>
      <c r="Y46" s="460">
        <v>0</v>
      </c>
      <c r="Z46" s="460">
        <v>0</v>
      </c>
      <c r="AA46" s="460">
        <v>0</v>
      </c>
      <c r="AB46" s="460">
        <v>0</v>
      </c>
      <c r="AC46" s="460">
        <v>0</v>
      </c>
      <c r="AD46" s="460">
        <v>0</v>
      </c>
      <c r="AE46" s="460">
        <v>0</v>
      </c>
      <c r="AF46" s="460">
        <v>0</v>
      </c>
      <c r="AG46" s="460">
        <v>0</v>
      </c>
      <c r="AH46" s="460">
        <v>0</v>
      </c>
      <c r="AI46" s="460">
        <v>0</v>
      </c>
      <c r="AJ46" s="460">
        <v>0</v>
      </c>
      <c r="AK46" s="460">
        <v>0</v>
      </c>
      <c r="AL46" s="460">
        <v>0</v>
      </c>
      <c r="AM46" s="460">
        <v>0</v>
      </c>
      <c r="AN46" s="460">
        <v>0</v>
      </c>
      <c r="AO46" s="460">
        <v>0</v>
      </c>
      <c r="AP46" s="460">
        <v>0</v>
      </c>
      <c r="AQ46" s="460">
        <v>0</v>
      </c>
      <c r="AR46" s="460">
        <v>0</v>
      </c>
      <c r="AS46" s="460">
        <v>0</v>
      </c>
      <c r="AT46" s="460">
        <v>0</v>
      </c>
      <c r="AU46" s="460">
        <v>0</v>
      </c>
      <c r="AV46" s="460">
        <v>0</v>
      </c>
      <c r="AW46" s="460">
        <v>0</v>
      </c>
      <c r="AX46" s="460">
        <v>0</v>
      </c>
      <c r="AY46" s="460">
        <v>0</v>
      </c>
      <c r="AZ46" s="460">
        <v>0</v>
      </c>
      <c r="BA46" s="460">
        <v>0</v>
      </c>
      <c r="BB46" s="460">
        <v>0</v>
      </c>
      <c r="BC46" s="460">
        <v>0</v>
      </c>
      <c r="BD46" s="460">
        <v>0</v>
      </c>
      <c r="BE46" s="460">
        <v>0</v>
      </c>
      <c r="BF46" s="460">
        <v>0</v>
      </c>
      <c r="BG46" s="460">
        <v>0</v>
      </c>
      <c r="BH46" s="460">
        <v>0</v>
      </c>
      <c r="BI46" s="460">
        <v>0</v>
      </c>
      <c r="BJ46" s="460">
        <v>5291.3447842202704</v>
      </c>
      <c r="BK46" s="460">
        <v>0</v>
      </c>
      <c r="BL46" s="460">
        <v>0</v>
      </c>
      <c r="BM46" s="460">
        <v>0</v>
      </c>
      <c r="BN46" s="460">
        <v>0</v>
      </c>
      <c r="BO46" s="460">
        <v>0</v>
      </c>
      <c r="BP46" s="460">
        <v>0</v>
      </c>
      <c r="BQ46" s="460">
        <v>0</v>
      </c>
      <c r="BR46" s="460">
        <v>0</v>
      </c>
      <c r="BS46" s="460">
        <v>0</v>
      </c>
      <c r="BT46" s="460">
        <v>0</v>
      </c>
      <c r="BU46" s="460">
        <v>0</v>
      </c>
      <c r="BV46" s="460">
        <v>0</v>
      </c>
      <c r="BW46" s="460">
        <v>0</v>
      </c>
      <c r="BX46" s="460">
        <v>0</v>
      </c>
      <c r="BY46" s="460">
        <v>0</v>
      </c>
      <c r="BZ46" s="460">
        <v>0</v>
      </c>
      <c r="CA46" s="460" t="e">
        <v>#N/A</v>
      </c>
      <c r="CB46" s="460" t="e">
        <v>#N/A</v>
      </c>
      <c r="CC46" s="460" t="e">
        <v>#N/A</v>
      </c>
    </row>
    <row r="47" spans="1:81" ht="12.75" customHeight="1">
      <c r="A47" s="105">
        <v>42</v>
      </c>
      <c r="B47" s="112" t="str">
        <v>19Y</v>
      </c>
      <c r="C47" s="262">
        <f>'eur disaggregated'!AD58+'eur disaggregated'!AC58</f>
        <v>-18935.929035528501</v>
      </c>
      <c r="D47" s="111" t="str">
        <f t="shared" si="3"/>
        <v>228M</v>
      </c>
      <c r="E47" s="441">
        <f>BktEur3mPL!E47</f>
        <v>42696</v>
      </c>
      <c r="F47" s="441">
        <f>BktEur3mPL!F47</f>
        <v>49635</v>
      </c>
      <c r="G47" s="462">
        <f t="shared" si="2"/>
        <v>1.0456524549999999E-2</v>
      </c>
      <c r="H47" s="453">
        <f>BktEur3mPL!H47</f>
        <v>1.0456524549999999</v>
      </c>
      <c r="I47" s="107" t="str">
        <v>14Y</v>
      </c>
      <c r="J47" s="106" t="str">
        <f>IF(LEN(I47)&gt;0,IF((MID(I47,4,1)=" "),#REF!,IF((LEN(I47)=8),DATE("20" &amp; RIGHT(I47,2),MID(I47,4,2),LEFT(I47,2)),SimplifyTenor(I47))),"")</f>
        <v>168M</v>
      </c>
      <c r="K47" s="448">
        <f>_xll.qlCalendarAdvance("TARGET",SettlementDate,J47)</f>
        <v>47809</v>
      </c>
      <c r="M47" s="99" t="str">
        <v>14Y</v>
      </c>
      <c r="N47" s="465">
        <v>88960.230802803897</v>
      </c>
      <c r="P47" s="106" t="b">
        <f t="shared" si="4"/>
        <v>0</v>
      </c>
      <c r="Q47" s="460">
        <f t="array" ref="Q47:CC47">C47*ForwardToZero(OisBuckets,E47,F47,G47)</f>
        <v>0</v>
      </c>
      <c r="R47" s="460">
        <v>0</v>
      </c>
      <c r="S47" s="460">
        <v>0</v>
      </c>
      <c r="T47" s="460">
        <v>0</v>
      </c>
      <c r="U47" s="460">
        <v>0</v>
      </c>
      <c r="V47" s="460">
        <v>0</v>
      </c>
      <c r="W47" s="460">
        <v>0</v>
      </c>
      <c r="X47" s="460">
        <v>0</v>
      </c>
      <c r="Y47" s="460">
        <v>0</v>
      </c>
      <c r="Z47" s="460">
        <v>0</v>
      </c>
      <c r="AA47" s="460">
        <v>0</v>
      </c>
      <c r="AB47" s="460">
        <v>0</v>
      </c>
      <c r="AC47" s="460">
        <v>0</v>
      </c>
      <c r="AD47" s="460">
        <v>0</v>
      </c>
      <c r="AE47" s="460">
        <v>0</v>
      </c>
      <c r="AF47" s="460">
        <v>0</v>
      </c>
      <c r="AG47" s="460">
        <v>0</v>
      </c>
      <c r="AH47" s="460">
        <v>0</v>
      </c>
      <c r="AI47" s="460">
        <v>0</v>
      </c>
      <c r="AJ47" s="460">
        <v>0</v>
      </c>
      <c r="AK47" s="460">
        <v>0</v>
      </c>
      <c r="AL47" s="460">
        <v>0</v>
      </c>
      <c r="AM47" s="460">
        <v>0</v>
      </c>
      <c r="AN47" s="460">
        <v>0</v>
      </c>
      <c r="AO47" s="460">
        <v>0</v>
      </c>
      <c r="AP47" s="460">
        <v>0</v>
      </c>
      <c r="AQ47" s="460">
        <v>0</v>
      </c>
      <c r="AR47" s="460">
        <v>0</v>
      </c>
      <c r="AS47" s="460">
        <v>0</v>
      </c>
      <c r="AT47" s="460">
        <v>0</v>
      </c>
      <c r="AU47" s="460">
        <v>0</v>
      </c>
      <c r="AV47" s="460">
        <v>0</v>
      </c>
      <c r="AW47" s="460">
        <v>0</v>
      </c>
      <c r="AX47" s="460">
        <v>0</v>
      </c>
      <c r="AY47" s="460">
        <v>0</v>
      </c>
      <c r="AZ47" s="460">
        <v>0</v>
      </c>
      <c r="BA47" s="460">
        <v>0</v>
      </c>
      <c r="BB47" s="460">
        <v>0</v>
      </c>
      <c r="BC47" s="460">
        <v>0</v>
      </c>
      <c r="BD47" s="460">
        <v>0</v>
      </c>
      <c r="BE47" s="460">
        <v>0</v>
      </c>
      <c r="BF47" s="460">
        <v>0</v>
      </c>
      <c r="BG47" s="460">
        <v>0</v>
      </c>
      <c r="BH47" s="460">
        <v>0</v>
      </c>
      <c r="BI47" s="460">
        <v>0</v>
      </c>
      <c r="BJ47" s="460">
        <v>0</v>
      </c>
      <c r="BK47" s="460">
        <v>-18935.929035528501</v>
      </c>
      <c r="BL47" s="460">
        <v>0</v>
      </c>
      <c r="BM47" s="460">
        <v>0</v>
      </c>
      <c r="BN47" s="460">
        <v>0</v>
      </c>
      <c r="BO47" s="460">
        <v>0</v>
      </c>
      <c r="BP47" s="460">
        <v>0</v>
      </c>
      <c r="BQ47" s="460">
        <v>0</v>
      </c>
      <c r="BR47" s="460">
        <v>0</v>
      </c>
      <c r="BS47" s="460">
        <v>0</v>
      </c>
      <c r="BT47" s="460">
        <v>0</v>
      </c>
      <c r="BU47" s="460">
        <v>0</v>
      </c>
      <c r="BV47" s="460">
        <v>0</v>
      </c>
      <c r="BW47" s="460">
        <v>0</v>
      </c>
      <c r="BX47" s="460">
        <v>0</v>
      </c>
      <c r="BY47" s="460">
        <v>0</v>
      </c>
      <c r="BZ47" s="460">
        <v>0</v>
      </c>
      <c r="CA47" s="460" t="e">
        <v>#N/A</v>
      </c>
      <c r="CB47" s="460" t="e">
        <v>#N/A</v>
      </c>
      <c r="CC47" s="460" t="e">
        <v>#N/A</v>
      </c>
    </row>
    <row r="48" spans="1:81" ht="12.75" customHeight="1">
      <c r="A48" s="105">
        <v>43</v>
      </c>
      <c r="B48" s="112" t="str">
        <v>20Y</v>
      </c>
      <c r="C48" s="262">
        <f>'eur disaggregated'!AD59+'eur disaggregated'!AC59</f>
        <v>-27718.494650723202</v>
      </c>
      <c r="D48" s="111" t="str">
        <f t="shared" si="3"/>
        <v>240M</v>
      </c>
      <c r="E48" s="441">
        <f>BktEur3mPL!E48</f>
        <v>42696</v>
      </c>
      <c r="F48" s="441">
        <f>BktEur3mPL!F48</f>
        <v>50003</v>
      </c>
      <c r="G48" s="462">
        <f t="shared" si="2"/>
        <v>1.064E-2</v>
      </c>
      <c r="H48" s="453">
        <f>BktEur3mPL!H48</f>
        <v>1.0640000000000001</v>
      </c>
      <c r="I48" s="107" t="str">
        <v>15Y</v>
      </c>
      <c r="J48" s="106" t="str">
        <f>IF(LEN(I48)&gt;0,IF((MID(I48,4,1)=" "),#REF!,IF((LEN(I48)=8),DATE("20" &amp; RIGHT(I48,2),MID(I48,4,2),LEFT(I48,2)),SimplifyTenor(I48))),"")</f>
        <v>180M</v>
      </c>
      <c r="K48" s="448">
        <f>_xll.qlCalendarAdvance("TARGET",SettlementDate,J48)</f>
        <v>48176</v>
      </c>
      <c r="M48" s="99" t="str">
        <v>15Y</v>
      </c>
      <c r="N48" s="465">
        <v>16332.594059221699</v>
      </c>
      <c r="P48" s="106" t="b">
        <f t="shared" si="4"/>
        <v>0</v>
      </c>
      <c r="Q48" s="460">
        <f t="array" ref="Q48:CC48">C48*ForwardToZero(OisBuckets,E48,F48,G48)</f>
        <v>0</v>
      </c>
      <c r="R48" s="460">
        <v>0</v>
      </c>
      <c r="S48" s="460">
        <v>0</v>
      </c>
      <c r="T48" s="460">
        <v>0</v>
      </c>
      <c r="U48" s="460">
        <v>0</v>
      </c>
      <c r="V48" s="460">
        <v>0</v>
      </c>
      <c r="W48" s="460">
        <v>0</v>
      </c>
      <c r="X48" s="460">
        <v>0</v>
      </c>
      <c r="Y48" s="460">
        <v>0</v>
      </c>
      <c r="Z48" s="460">
        <v>0</v>
      </c>
      <c r="AA48" s="460">
        <v>0</v>
      </c>
      <c r="AB48" s="460">
        <v>0</v>
      </c>
      <c r="AC48" s="460">
        <v>0</v>
      </c>
      <c r="AD48" s="460">
        <v>0</v>
      </c>
      <c r="AE48" s="460">
        <v>0</v>
      </c>
      <c r="AF48" s="460">
        <v>0</v>
      </c>
      <c r="AG48" s="460">
        <v>0</v>
      </c>
      <c r="AH48" s="460">
        <v>0</v>
      </c>
      <c r="AI48" s="460">
        <v>0</v>
      </c>
      <c r="AJ48" s="460">
        <v>0</v>
      </c>
      <c r="AK48" s="460">
        <v>0</v>
      </c>
      <c r="AL48" s="460">
        <v>0</v>
      </c>
      <c r="AM48" s="460">
        <v>0</v>
      </c>
      <c r="AN48" s="460">
        <v>0</v>
      </c>
      <c r="AO48" s="460">
        <v>0</v>
      </c>
      <c r="AP48" s="460">
        <v>0</v>
      </c>
      <c r="AQ48" s="460">
        <v>0</v>
      </c>
      <c r="AR48" s="460">
        <v>0</v>
      </c>
      <c r="AS48" s="460">
        <v>0</v>
      </c>
      <c r="AT48" s="460">
        <v>0</v>
      </c>
      <c r="AU48" s="460">
        <v>0</v>
      </c>
      <c r="AV48" s="460">
        <v>0</v>
      </c>
      <c r="AW48" s="460">
        <v>0</v>
      </c>
      <c r="AX48" s="460">
        <v>0</v>
      </c>
      <c r="AY48" s="460">
        <v>0</v>
      </c>
      <c r="AZ48" s="460">
        <v>0</v>
      </c>
      <c r="BA48" s="460">
        <v>0</v>
      </c>
      <c r="BB48" s="460">
        <v>0</v>
      </c>
      <c r="BC48" s="460">
        <v>0</v>
      </c>
      <c r="BD48" s="460">
        <v>0</v>
      </c>
      <c r="BE48" s="460">
        <v>0</v>
      </c>
      <c r="BF48" s="460">
        <v>0</v>
      </c>
      <c r="BG48" s="460">
        <v>0</v>
      </c>
      <c r="BH48" s="460">
        <v>0</v>
      </c>
      <c r="BI48" s="460">
        <v>0</v>
      </c>
      <c r="BJ48" s="460">
        <v>0</v>
      </c>
      <c r="BK48" s="460">
        <v>0</v>
      </c>
      <c r="BL48" s="460">
        <v>-27718.494650723202</v>
      </c>
      <c r="BM48" s="460">
        <v>0</v>
      </c>
      <c r="BN48" s="460">
        <v>0</v>
      </c>
      <c r="BO48" s="460">
        <v>0</v>
      </c>
      <c r="BP48" s="460">
        <v>0</v>
      </c>
      <c r="BQ48" s="460">
        <v>0</v>
      </c>
      <c r="BR48" s="460">
        <v>0</v>
      </c>
      <c r="BS48" s="460">
        <v>0</v>
      </c>
      <c r="BT48" s="460">
        <v>0</v>
      </c>
      <c r="BU48" s="460">
        <v>0</v>
      </c>
      <c r="BV48" s="460">
        <v>0</v>
      </c>
      <c r="BW48" s="460">
        <v>0</v>
      </c>
      <c r="BX48" s="460">
        <v>0</v>
      </c>
      <c r="BY48" s="460">
        <v>0</v>
      </c>
      <c r="BZ48" s="460">
        <v>0</v>
      </c>
      <c r="CA48" s="460" t="e">
        <v>#N/A</v>
      </c>
      <c r="CB48" s="460" t="e">
        <v>#N/A</v>
      </c>
      <c r="CC48" s="460" t="e">
        <v>#N/A</v>
      </c>
    </row>
    <row r="49" spans="1:81" ht="12.75" customHeight="1">
      <c r="A49" s="105">
        <v>44</v>
      </c>
      <c r="B49" s="112" t="str">
        <v>21Y</v>
      </c>
      <c r="C49" s="262">
        <f>'eur disaggregated'!AD60+'eur disaggregated'!AC60</f>
        <v>114880.22288754401</v>
      </c>
      <c r="D49" s="111" t="str">
        <f t="shared" si="3"/>
        <v>252M</v>
      </c>
      <c r="E49" s="441">
        <f>BktEur3mPL!E49</f>
        <v>42696</v>
      </c>
      <c r="F49" s="441">
        <f>BktEur3mPL!F49</f>
        <v>50367</v>
      </c>
      <c r="G49" s="462">
        <f t="shared" si="2"/>
        <v>1.078394989E-2</v>
      </c>
      <c r="H49" s="453">
        <f>BktEur3mPL!H49</f>
        <v>1.078394989</v>
      </c>
      <c r="I49" s="107" t="str">
        <v>16Y</v>
      </c>
      <c r="J49" s="106" t="str">
        <f>IF(LEN(I49)&gt;0,IF((MID(I49,4,1)=" "),#REF!,IF((LEN(I49)=8),DATE("20" &amp; RIGHT(I49,2),MID(I49,4,2),LEFT(I49,2)),SimplifyTenor(I49))),"")</f>
        <v>192M</v>
      </c>
      <c r="K49" s="448">
        <f>_xll.qlCalendarAdvance("TARGET",SettlementDate,J49)</f>
        <v>48540</v>
      </c>
      <c r="M49" s="99" t="str">
        <v>16Y</v>
      </c>
      <c r="N49" s="465">
        <v>-67916.323501658306</v>
      </c>
      <c r="P49" s="106" t="b">
        <f t="shared" si="4"/>
        <v>0</v>
      </c>
      <c r="Q49" s="460">
        <f t="array" ref="Q49:CC49">C49*ForwardToZero(OisBuckets,E49,F49,G49)</f>
        <v>0</v>
      </c>
      <c r="R49" s="460">
        <v>0</v>
      </c>
      <c r="S49" s="460">
        <v>0</v>
      </c>
      <c r="T49" s="460">
        <v>0</v>
      </c>
      <c r="U49" s="460">
        <v>0</v>
      </c>
      <c r="V49" s="460">
        <v>0</v>
      </c>
      <c r="W49" s="460">
        <v>0</v>
      </c>
      <c r="X49" s="460">
        <v>0</v>
      </c>
      <c r="Y49" s="460">
        <v>0</v>
      </c>
      <c r="Z49" s="460">
        <v>0</v>
      </c>
      <c r="AA49" s="460">
        <v>0</v>
      </c>
      <c r="AB49" s="460">
        <v>0</v>
      </c>
      <c r="AC49" s="460">
        <v>0</v>
      </c>
      <c r="AD49" s="460">
        <v>0</v>
      </c>
      <c r="AE49" s="460">
        <v>0</v>
      </c>
      <c r="AF49" s="460">
        <v>0</v>
      </c>
      <c r="AG49" s="460">
        <v>0</v>
      </c>
      <c r="AH49" s="460">
        <v>0</v>
      </c>
      <c r="AI49" s="460">
        <v>0</v>
      </c>
      <c r="AJ49" s="460">
        <v>0</v>
      </c>
      <c r="AK49" s="460">
        <v>0</v>
      </c>
      <c r="AL49" s="460">
        <v>0</v>
      </c>
      <c r="AM49" s="460">
        <v>0</v>
      </c>
      <c r="AN49" s="460">
        <v>0</v>
      </c>
      <c r="AO49" s="460">
        <v>0</v>
      </c>
      <c r="AP49" s="460">
        <v>0</v>
      </c>
      <c r="AQ49" s="460">
        <v>0</v>
      </c>
      <c r="AR49" s="460">
        <v>0</v>
      </c>
      <c r="AS49" s="460">
        <v>0</v>
      </c>
      <c r="AT49" s="460">
        <v>0</v>
      </c>
      <c r="AU49" s="460">
        <v>0</v>
      </c>
      <c r="AV49" s="460">
        <v>0</v>
      </c>
      <c r="AW49" s="460">
        <v>0</v>
      </c>
      <c r="AX49" s="460">
        <v>0</v>
      </c>
      <c r="AY49" s="460">
        <v>0</v>
      </c>
      <c r="AZ49" s="460">
        <v>0</v>
      </c>
      <c r="BA49" s="460">
        <v>0</v>
      </c>
      <c r="BB49" s="460">
        <v>0</v>
      </c>
      <c r="BC49" s="460">
        <v>0</v>
      </c>
      <c r="BD49" s="460">
        <v>0</v>
      </c>
      <c r="BE49" s="460">
        <v>0</v>
      </c>
      <c r="BF49" s="460">
        <v>0</v>
      </c>
      <c r="BG49" s="460">
        <v>0</v>
      </c>
      <c r="BH49" s="460">
        <v>0</v>
      </c>
      <c r="BI49" s="460">
        <v>0</v>
      </c>
      <c r="BJ49" s="460">
        <v>0</v>
      </c>
      <c r="BK49" s="460">
        <v>0</v>
      </c>
      <c r="BL49" s="460">
        <v>0</v>
      </c>
      <c r="BM49" s="460">
        <v>114880.22288754401</v>
      </c>
      <c r="BN49" s="460">
        <v>0</v>
      </c>
      <c r="BO49" s="460">
        <v>0</v>
      </c>
      <c r="BP49" s="460">
        <v>0</v>
      </c>
      <c r="BQ49" s="460">
        <v>0</v>
      </c>
      <c r="BR49" s="460">
        <v>0</v>
      </c>
      <c r="BS49" s="460">
        <v>0</v>
      </c>
      <c r="BT49" s="460">
        <v>0</v>
      </c>
      <c r="BU49" s="460">
        <v>0</v>
      </c>
      <c r="BV49" s="460">
        <v>0</v>
      </c>
      <c r="BW49" s="460">
        <v>0</v>
      </c>
      <c r="BX49" s="460">
        <v>0</v>
      </c>
      <c r="BY49" s="460">
        <v>0</v>
      </c>
      <c r="BZ49" s="460">
        <v>0</v>
      </c>
      <c r="CA49" s="460" t="e">
        <v>#N/A</v>
      </c>
      <c r="CB49" s="460" t="e">
        <v>#N/A</v>
      </c>
      <c r="CC49" s="460" t="e">
        <v>#N/A</v>
      </c>
    </row>
    <row r="50" spans="1:81" ht="12.75" customHeight="1">
      <c r="A50" s="105">
        <v>45</v>
      </c>
      <c r="B50" s="112" t="str">
        <v>22Y</v>
      </c>
      <c r="C50" s="262">
        <f>'eur disaggregated'!AD61+'eur disaggregated'!AC61</f>
        <v>-44202.422140939903</v>
      </c>
      <c r="D50" s="111" t="str">
        <f t="shared" si="3"/>
        <v>264M</v>
      </c>
      <c r="E50" s="441">
        <f>BktEur3mPL!E50</f>
        <v>42696</v>
      </c>
      <c r="F50" s="441">
        <f>BktEur3mPL!F50</f>
        <v>50731</v>
      </c>
      <c r="G50" s="462">
        <f t="shared" si="2"/>
        <v>1.0896655030000001E-2</v>
      </c>
      <c r="H50" s="453">
        <f>BktEur3mPL!H50</f>
        <v>1.089665503</v>
      </c>
      <c r="I50" s="107" t="str">
        <v>17Y</v>
      </c>
      <c r="J50" s="106" t="str">
        <f>IF(LEN(I50)&gt;0,IF((MID(I50,4,1)=" "),#REF!,IF((LEN(I50)=8),DATE("20" &amp; RIGHT(I50,2),MID(I50,4,2),LEFT(I50,2)),SimplifyTenor(I50))),"")</f>
        <v>204M</v>
      </c>
      <c r="K50" s="448">
        <f>_xll.qlCalendarAdvance("TARGET",SettlementDate,J50)</f>
        <v>48905</v>
      </c>
      <c r="M50" s="99" t="str">
        <v>17Y</v>
      </c>
      <c r="N50" s="465">
        <v>4687.1531510352097</v>
      </c>
      <c r="P50" s="106" t="b">
        <f t="shared" si="4"/>
        <v>0</v>
      </c>
      <c r="Q50" s="460">
        <f t="array" ref="Q50:CC50">C50*ForwardToZero(OisBuckets,E50,F50,G50)</f>
        <v>0</v>
      </c>
      <c r="R50" s="460">
        <v>0</v>
      </c>
      <c r="S50" s="460">
        <v>0</v>
      </c>
      <c r="T50" s="460">
        <v>0</v>
      </c>
      <c r="U50" s="460">
        <v>0</v>
      </c>
      <c r="V50" s="460">
        <v>0</v>
      </c>
      <c r="W50" s="460">
        <v>0</v>
      </c>
      <c r="X50" s="460">
        <v>0</v>
      </c>
      <c r="Y50" s="460">
        <v>0</v>
      </c>
      <c r="Z50" s="460">
        <v>0</v>
      </c>
      <c r="AA50" s="460">
        <v>0</v>
      </c>
      <c r="AB50" s="460">
        <v>0</v>
      </c>
      <c r="AC50" s="460">
        <v>0</v>
      </c>
      <c r="AD50" s="460">
        <v>0</v>
      </c>
      <c r="AE50" s="460">
        <v>0</v>
      </c>
      <c r="AF50" s="460">
        <v>0</v>
      </c>
      <c r="AG50" s="460">
        <v>0</v>
      </c>
      <c r="AH50" s="460">
        <v>0</v>
      </c>
      <c r="AI50" s="460">
        <v>0</v>
      </c>
      <c r="AJ50" s="460">
        <v>0</v>
      </c>
      <c r="AK50" s="460">
        <v>0</v>
      </c>
      <c r="AL50" s="460">
        <v>0</v>
      </c>
      <c r="AM50" s="460">
        <v>0</v>
      </c>
      <c r="AN50" s="460">
        <v>0</v>
      </c>
      <c r="AO50" s="460">
        <v>0</v>
      </c>
      <c r="AP50" s="460">
        <v>0</v>
      </c>
      <c r="AQ50" s="460">
        <v>0</v>
      </c>
      <c r="AR50" s="460">
        <v>0</v>
      </c>
      <c r="AS50" s="460">
        <v>0</v>
      </c>
      <c r="AT50" s="460">
        <v>0</v>
      </c>
      <c r="AU50" s="460">
        <v>0</v>
      </c>
      <c r="AV50" s="460">
        <v>0</v>
      </c>
      <c r="AW50" s="460">
        <v>0</v>
      </c>
      <c r="AX50" s="460">
        <v>0</v>
      </c>
      <c r="AY50" s="460">
        <v>0</v>
      </c>
      <c r="AZ50" s="460">
        <v>0</v>
      </c>
      <c r="BA50" s="460">
        <v>0</v>
      </c>
      <c r="BB50" s="460">
        <v>0</v>
      </c>
      <c r="BC50" s="460">
        <v>0</v>
      </c>
      <c r="BD50" s="460">
        <v>0</v>
      </c>
      <c r="BE50" s="460">
        <v>0</v>
      </c>
      <c r="BF50" s="460">
        <v>0</v>
      </c>
      <c r="BG50" s="460">
        <v>0</v>
      </c>
      <c r="BH50" s="460">
        <v>0</v>
      </c>
      <c r="BI50" s="460">
        <v>0</v>
      </c>
      <c r="BJ50" s="460">
        <v>0</v>
      </c>
      <c r="BK50" s="460">
        <v>0</v>
      </c>
      <c r="BL50" s="460">
        <v>0</v>
      </c>
      <c r="BM50" s="460">
        <v>0</v>
      </c>
      <c r="BN50" s="460">
        <v>-44202.422140939903</v>
      </c>
      <c r="BO50" s="460">
        <v>0</v>
      </c>
      <c r="BP50" s="460">
        <v>0</v>
      </c>
      <c r="BQ50" s="460">
        <v>0</v>
      </c>
      <c r="BR50" s="460">
        <v>0</v>
      </c>
      <c r="BS50" s="460">
        <v>0</v>
      </c>
      <c r="BT50" s="460">
        <v>0</v>
      </c>
      <c r="BU50" s="460">
        <v>0</v>
      </c>
      <c r="BV50" s="460">
        <v>0</v>
      </c>
      <c r="BW50" s="460">
        <v>0</v>
      </c>
      <c r="BX50" s="460">
        <v>0</v>
      </c>
      <c r="BY50" s="460">
        <v>0</v>
      </c>
      <c r="BZ50" s="460">
        <v>0</v>
      </c>
      <c r="CA50" s="460" t="e">
        <v>#N/A</v>
      </c>
      <c r="CB50" s="460" t="e">
        <v>#N/A</v>
      </c>
      <c r="CC50" s="460" t="e">
        <v>#N/A</v>
      </c>
    </row>
    <row r="51" spans="1:81" ht="12.75" customHeight="1">
      <c r="A51" s="105">
        <v>46</v>
      </c>
      <c r="B51" s="112" t="str">
        <v>23Y</v>
      </c>
      <c r="C51" s="262">
        <f>'eur disaggregated'!AD62+'eur disaggregated'!AC62</f>
        <v>-23023.017052544699</v>
      </c>
      <c r="D51" s="111" t="str">
        <f t="shared" si="3"/>
        <v>276M</v>
      </c>
      <c r="E51" s="441">
        <f>BktEur3mPL!E51</f>
        <v>42696</v>
      </c>
      <c r="F51" s="441">
        <f>BktEur3mPL!F51</f>
        <v>51096</v>
      </c>
      <c r="G51" s="462">
        <f t="shared" si="2"/>
        <v>1.0984324050000001E-2</v>
      </c>
      <c r="H51" s="453">
        <f>BktEur3mPL!H51</f>
        <v>1.0984324050000001</v>
      </c>
      <c r="I51" s="107" t="str">
        <v>18Y</v>
      </c>
      <c r="J51" s="106" t="str">
        <f>IF(LEN(I51)&gt;0,IF((MID(I51,4,1)=" "),#REF!,IF((LEN(I51)=8),DATE("20" &amp; RIGHT(I51,2),MID(I51,4,2),LEFT(I51,2)),SimplifyTenor(I51))),"")</f>
        <v>216M</v>
      </c>
      <c r="K51" s="448">
        <f>_xll.qlCalendarAdvance("TARGET",SettlementDate,J51)</f>
        <v>49270</v>
      </c>
      <c r="M51" s="99" t="str">
        <v>18Y</v>
      </c>
      <c r="N51" s="465">
        <v>5291.3447842202704</v>
      </c>
      <c r="P51" s="106" t="b">
        <f t="shared" si="4"/>
        <v>0</v>
      </c>
      <c r="Q51" s="460">
        <f t="array" ref="Q51:CC51">C51*ForwardToZero(OisBuckets,E51,F51,G51)</f>
        <v>0</v>
      </c>
      <c r="R51" s="460">
        <v>0</v>
      </c>
      <c r="S51" s="460">
        <v>0</v>
      </c>
      <c r="T51" s="460">
        <v>0</v>
      </c>
      <c r="U51" s="460">
        <v>0</v>
      </c>
      <c r="V51" s="460">
        <v>0</v>
      </c>
      <c r="W51" s="460">
        <v>0</v>
      </c>
      <c r="X51" s="460">
        <v>0</v>
      </c>
      <c r="Y51" s="460">
        <v>0</v>
      </c>
      <c r="Z51" s="460">
        <v>0</v>
      </c>
      <c r="AA51" s="460">
        <v>0</v>
      </c>
      <c r="AB51" s="460">
        <v>0</v>
      </c>
      <c r="AC51" s="460">
        <v>0</v>
      </c>
      <c r="AD51" s="460">
        <v>0</v>
      </c>
      <c r="AE51" s="460">
        <v>0</v>
      </c>
      <c r="AF51" s="460">
        <v>0</v>
      </c>
      <c r="AG51" s="460">
        <v>0</v>
      </c>
      <c r="AH51" s="460">
        <v>0</v>
      </c>
      <c r="AI51" s="460">
        <v>0</v>
      </c>
      <c r="AJ51" s="460">
        <v>0</v>
      </c>
      <c r="AK51" s="460">
        <v>0</v>
      </c>
      <c r="AL51" s="460">
        <v>0</v>
      </c>
      <c r="AM51" s="460">
        <v>0</v>
      </c>
      <c r="AN51" s="460">
        <v>0</v>
      </c>
      <c r="AO51" s="460">
        <v>0</v>
      </c>
      <c r="AP51" s="460">
        <v>0</v>
      </c>
      <c r="AQ51" s="460">
        <v>0</v>
      </c>
      <c r="AR51" s="460">
        <v>0</v>
      </c>
      <c r="AS51" s="460">
        <v>0</v>
      </c>
      <c r="AT51" s="460">
        <v>0</v>
      </c>
      <c r="AU51" s="460">
        <v>0</v>
      </c>
      <c r="AV51" s="460">
        <v>0</v>
      </c>
      <c r="AW51" s="460">
        <v>0</v>
      </c>
      <c r="AX51" s="460">
        <v>0</v>
      </c>
      <c r="AY51" s="460">
        <v>0</v>
      </c>
      <c r="AZ51" s="460">
        <v>0</v>
      </c>
      <c r="BA51" s="460">
        <v>0</v>
      </c>
      <c r="BB51" s="460">
        <v>0</v>
      </c>
      <c r="BC51" s="460">
        <v>0</v>
      </c>
      <c r="BD51" s="460">
        <v>0</v>
      </c>
      <c r="BE51" s="460">
        <v>0</v>
      </c>
      <c r="BF51" s="460">
        <v>0</v>
      </c>
      <c r="BG51" s="460">
        <v>0</v>
      </c>
      <c r="BH51" s="460">
        <v>0</v>
      </c>
      <c r="BI51" s="460">
        <v>0</v>
      </c>
      <c r="BJ51" s="460">
        <v>0</v>
      </c>
      <c r="BK51" s="460">
        <v>0</v>
      </c>
      <c r="BL51" s="460">
        <v>0</v>
      </c>
      <c r="BM51" s="460">
        <v>0</v>
      </c>
      <c r="BN51" s="460">
        <v>0</v>
      </c>
      <c r="BO51" s="460">
        <v>-23023.017052544699</v>
      </c>
      <c r="BP51" s="460">
        <v>0</v>
      </c>
      <c r="BQ51" s="460">
        <v>0</v>
      </c>
      <c r="BR51" s="460">
        <v>0</v>
      </c>
      <c r="BS51" s="460">
        <v>0</v>
      </c>
      <c r="BT51" s="460">
        <v>0</v>
      </c>
      <c r="BU51" s="460">
        <v>0</v>
      </c>
      <c r="BV51" s="460">
        <v>0</v>
      </c>
      <c r="BW51" s="460">
        <v>0</v>
      </c>
      <c r="BX51" s="460">
        <v>0</v>
      </c>
      <c r="BY51" s="460">
        <v>0</v>
      </c>
      <c r="BZ51" s="460">
        <v>0</v>
      </c>
      <c r="CA51" s="460" t="e">
        <v>#N/A</v>
      </c>
      <c r="CB51" s="460" t="e">
        <v>#N/A</v>
      </c>
      <c r="CC51" s="460" t="e">
        <v>#N/A</v>
      </c>
    </row>
    <row r="52" spans="1:81" ht="12.75" customHeight="1">
      <c r="A52" s="105">
        <v>47</v>
      </c>
      <c r="B52" s="112" t="str">
        <v>24Y</v>
      </c>
      <c r="C52" s="262">
        <f>'eur disaggregated'!AD63+'eur disaggregated'!AC63</f>
        <v>-220.79907245247799</v>
      </c>
      <c r="D52" s="111" t="str">
        <f t="shared" si="3"/>
        <v>288M</v>
      </c>
      <c r="E52" s="441">
        <f>BktEur3mPL!E52</f>
        <v>42696</v>
      </c>
      <c r="F52" s="441">
        <f>BktEur3mPL!F52</f>
        <v>51462</v>
      </c>
      <c r="G52" s="462">
        <f t="shared" si="2"/>
        <v>1.1054453959999998E-2</v>
      </c>
      <c r="H52" s="453">
        <f>BktEur3mPL!H52</f>
        <v>1.1054453959999999</v>
      </c>
      <c r="I52" s="107" t="str">
        <v>19Y</v>
      </c>
      <c r="J52" s="106" t="str">
        <f>IF(LEN(I52)&gt;0,IF((MID(I52,4,1)=" "),#REF!,IF((LEN(I52)=8),DATE("20" &amp; RIGHT(I52,2),MID(I52,4,2),LEFT(I52,2)),SimplifyTenor(I52))),"")</f>
        <v>228M</v>
      </c>
      <c r="K52" s="448">
        <f>_xll.qlCalendarAdvance("TARGET",SettlementDate,J52)</f>
        <v>49635</v>
      </c>
      <c r="M52" s="99" t="str">
        <v>19Y</v>
      </c>
      <c r="N52" s="465">
        <v>-18935.929035528501</v>
      </c>
      <c r="P52" s="106" t="b">
        <f t="shared" si="4"/>
        <v>0</v>
      </c>
      <c r="Q52" s="460">
        <f t="array" ref="Q52:CC52">C52*ForwardToZero(OisBuckets,E52,F52,G52)</f>
        <v>0</v>
      </c>
      <c r="R52" s="460">
        <v>0</v>
      </c>
      <c r="S52" s="460">
        <v>0</v>
      </c>
      <c r="T52" s="460">
        <v>0</v>
      </c>
      <c r="U52" s="460">
        <v>0</v>
      </c>
      <c r="V52" s="460">
        <v>0</v>
      </c>
      <c r="W52" s="460">
        <v>0</v>
      </c>
      <c r="X52" s="460">
        <v>0</v>
      </c>
      <c r="Y52" s="460">
        <v>0</v>
      </c>
      <c r="Z52" s="460">
        <v>0</v>
      </c>
      <c r="AA52" s="460">
        <v>0</v>
      </c>
      <c r="AB52" s="460">
        <v>0</v>
      </c>
      <c r="AC52" s="460">
        <v>0</v>
      </c>
      <c r="AD52" s="460">
        <v>0</v>
      </c>
      <c r="AE52" s="460">
        <v>0</v>
      </c>
      <c r="AF52" s="460">
        <v>0</v>
      </c>
      <c r="AG52" s="460">
        <v>0</v>
      </c>
      <c r="AH52" s="460">
        <v>0</v>
      </c>
      <c r="AI52" s="460">
        <v>0</v>
      </c>
      <c r="AJ52" s="460">
        <v>0</v>
      </c>
      <c r="AK52" s="460">
        <v>0</v>
      </c>
      <c r="AL52" s="460">
        <v>0</v>
      </c>
      <c r="AM52" s="460">
        <v>0</v>
      </c>
      <c r="AN52" s="460">
        <v>0</v>
      </c>
      <c r="AO52" s="460">
        <v>0</v>
      </c>
      <c r="AP52" s="460">
        <v>0</v>
      </c>
      <c r="AQ52" s="460">
        <v>0</v>
      </c>
      <c r="AR52" s="460">
        <v>0</v>
      </c>
      <c r="AS52" s="460">
        <v>0</v>
      </c>
      <c r="AT52" s="460">
        <v>0</v>
      </c>
      <c r="AU52" s="460">
        <v>0</v>
      </c>
      <c r="AV52" s="460">
        <v>0</v>
      </c>
      <c r="AW52" s="460">
        <v>0</v>
      </c>
      <c r="AX52" s="460">
        <v>0</v>
      </c>
      <c r="AY52" s="460">
        <v>0</v>
      </c>
      <c r="AZ52" s="460">
        <v>0</v>
      </c>
      <c r="BA52" s="460">
        <v>0</v>
      </c>
      <c r="BB52" s="460">
        <v>0</v>
      </c>
      <c r="BC52" s="460">
        <v>0</v>
      </c>
      <c r="BD52" s="460">
        <v>0</v>
      </c>
      <c r="BE52" s="460">
        <v>0</v>
      </c>
      <c r="BF52" s="460">
        <v>0</v>
      </c>
      <c r="BG52" s="460">
        <v>0</v>
      </c>
      <c r="BH52" s="460">
        <v>0</v>
      </c>
      <c r="BI52" s="460">
        <v>0</v>
      </c>
      <c r="BJ52" s="460">
        <v>0</v>
      </c>
      <c r="BK52" s="460">
        <v>0</v>
      </c>
      <c r="BL52" s="460">
        <v>0</v>
      </c>
      <c r="BM52" s="460">
        <v>0</v>
      </c>
      <c r="BN52" s="460">
        <v>0</v>
      </c>
      <c r="BO52" s="460">
        <v>0</v>
      </c>
      <c r="BP52" s="460">
        <v>-220.79907245247799</v>
      </c>
      <c r="BQ52" s="460">
        <v>0</v>
      </c>
      <c r="BR52" s="460">
        <v>0</v>
      </c>
      <c r="BS52" s="460">
        <v>0</v>
      </c>
      <c r="BT52" s="460">
        <v>0</v>
      </c>
      <c r="BU52" s="460">
        <v>0</v>
      </c>
      <c r="BV52" s="460">
        <v>0</v>
      </c>
      <c r="BW52" s="460">
        <v>0</v>
      </c>
      <c r="BX52" s="460">
        <v>0</v>
      </c>
      <c r="BY52" s="460">
        <v>0</v>
      </c>
      <c r="BZ52" s="460">
        <v>0</v>
      </c>
      <c r="CA52" s="460" t="e">
        <v>#N/A</v>
      </c>
      <c r="CB52" s="460" t="e">
        <v>#N/A</v>
      </c>
      <c r="CC52" s="460" t="e">
        <v>#N/A</v>
      </c>
    </row>
    <row r="53" spans="1:81" ht="12.75" customHeight="1">
      <c r="A53" s="105">
        <v>48</v>
      </c>
      <c r="B53" s="112" t="str">
        <v>25Y</v>
      </c>
      <c r="C53" s="262">
        <f>'eur disaggregated'!AD64+'eur disaggregated'!AC64</f>
        <v>4301.5886000052496</v>
      </c>
      <c r="D53" s="111" t="str">
        <f t="shared" si="3"/>
        <v>300M</v>
      </c>
      <c r="E53" s="441">
        <f>BktEur3mPL!E53</f>
        <v>42696</v>
      </c>
      <c r="F53" s="441">
        <f>BktEur3mPL!F53</f>
        <v>51827</v>
      </c>
      <c r="G53" s="462">
        <f t="shared" si="2"/>
        <v>1.111E-2</v>
      </c>
      <c r="H53" s="453">
        <f>BktEur3mPL!H53</f>
        <v>1.111</v>
      </c>
      <c r="I53" s="107" t="str">
        <v>20Y</v>
      </c>
      <c r="J53" s="106" t="str">
        <f>IF(LEN(I53)&gt;0,IF((MID(I53,4,1)=" "),#REF!,IF((LEN(I53)=8),DATE("20" &amp; RIGHT(I53,2),MID(I53,4,2),LEFT(I53,2)),SimplifyTenor(I53))),"")</f>
        <v>240M</v>
      </c>
      <c r="K53" s="448">
        <f>_xll.qlCalendarAdvance("TARGET",SettlementDate,J53)</f>
        <v>50003</v>
      </c>
      <c r="M53" s="99" t="str">
        <v>20Y</v>
      </c>
      <c r="N53" s="465">
        <v>-27718.494650723202</v>
      </c>
      <c r="P53" s="106" t="b">
        <f t="shared" si="4"/>
        <v>0</v>
      </c>
      <c r="Q53" s="460">
        <f t="array" ref="Q53:CC53">C53*ForwardToZero(OisBuckets,E53,F53,G53)</f>
        <v>0</v>
      </c>
      <c r="R53" s="460">
        <v>0</v>
      </c>
      <c r="S53" s="460">
        <v>0</v>
      </c>
      <c r="T53" s="460">
        <v>0</v>
      </c>
      <c r="U53" s="460">
        <v>0</v>
      </c>
      <c r="V53" s="460">
        <v>0</v>
      </c>
      <c r="W53" s="460">
        <v>0</v>
      </c>
      <c r="X53" s="460">
        <v>0</v>
      </c>
      <c r="Y53" s="460">
        <v>0</v>
      </c>
      <c r="Z53" s="460">
        <v>0</v>
      </c>
      <c r="AA53" s="460">
        <v>0</v>
      </c>
      <c r="AB53" s="460">
        <v>0</v>
      </c>
      <c r="AC53" s="460">
        <v>0</v>
      </c>
      <c r="AD53" s="460">
        <v>0</v>
      </c>
      <c r="AE53" s="460">
        <v>0</v>
      </c>
      <c r="AF53" s="460">
        <v>0</v>
      </c>
      <c r="AG53" s="460">
        <v>0</v>
      </c>
      <c r="AH53" s="460">
        <v>0</v>
      </c>
      <c r="AI53" s="460">
        <v>0</v>
      </c>
      <c r="AJ53" s="460">
        <v>0</v>
      </c>
      <c r="AK53" s="460">
        <v>0</v>
      </c>
      <c r="AL53" s="460">
        <v>0</v>
      </c>
      <c r="AM53" s="460">
        <v>0</v>
      </c>
      <c r="AN53" s="460">
        <v>0</v>
      </c>
      <c r="AO53" s="460">
        <v>0</v>
      </c>
      <c r="AP53" s="460">
        <v>0</v>
      </c>
      <c r="AQ53" s="460">
        <v>0</v>
      </c>
      <c r="AR53" s="460">
        <v>0</v>
      </c>
      <c r="AS53" s="460">
        <v>0</v>
      </c>
      <c r="AT53" s="460">
        <v>0</v>
      </c>
      <c r="AU53" s="460">
        <v>0</v>
      </c>
      <c r="AV53" s="460">
        <v>0</v>
      </c>
      <c r="AW53" s="460">
        <v>0</v>
      </c>
      <c r="AX53" s="460">
        <v>0</v>
      </c>
      <c r="AY53" s="460">
        <v>0</v>
      </c>
      <c r="AZ53" s="460">
        <v>0</v>
      </c>
      <c r="BA53" s="460">
        <v>0</v>
      </c>
      <c r="BB53" s="460">
        <v>0</v>
      </c>
      <c r="BC53" s="460">
        <v>0</v>
      </c>
      <c r="BD53" s="460">
        <v>0</v>
      </c>
      <c r="BE53" s="460">
        <v>0</v>
      </c>
      <c r="BF53" s="460">
        <v>0</v>
      </c>
      <c r="BG53" s="460">
        <v>0</v>
      </c>
      <c r="BH53" s="460">
        <v>0</v>
      </c>
      <c r="BI53" s="460">
        <v>0</v>
      </c>
      <c r="BJ53" s="460">
        <v>0</v>
      </c>
      <c r="BK53" s="460">
        <v>0</v>
      </c>
      <c r="BL53" s="460">
        <v>0</v>
      </c>
      <c r="BM53" s="460">
        <v>0</v>
      </c>
      <c r="BN53" s="460">
        <v>0</v>
      </c>
      <c r="BO53" s="460">
        <v>0</v>
      </c>
      <c r="BP53" s="460">
        <v>0</v>
      </c>
      <c r="BQ53" s="460">
        <v>4301.5886000052496</v>
      </c>
      <c r="BR53" s="460">
        <v>0</v>
      </c>
      <c r="BS53" s="460">
        <v>0</v>
      </c>
      <c r="BT53" s="460">
        <v>0</v>
      </c>
      <c r="BU53" s="460">
        <v>0</v>
      </c>
      <c r="BV53" s="460">
        <v>0</v>
      </c>
      <c r="BW53" s="460">
        <v>0</v>
      </c>
      <c r="BX53" s="460">
        <v>0</v>
      </c>
      <c r="BY53" s="460">
        <v>0</v>
      </c>
      <c r="BZ53" s="460">
        <v>0</v>
      </c>
      <c r="CA53" s="460" t="e">
        <v>#N/A</v>
      </c>
      <c r="CB53" s="460" t="e">
        <v>#N/A</v>
      </c>
      <c r="CC53" s="460" t="e">
        <v>#N/A</v>
      </c>
    </row>
    <row r="54" spans="1:81" ht="12.75" customHeight="1">
      <c r="A54" s="105">
        <v>49</v>
      </c>
      <c r="B54" s="112" t="str">
        <v>26Y</v>
      </c>
      <c r="C54" s="262">
        <f>'eur disaggregated'!AD65+'eur disaggregated'!AC65</f>
        <v>55.701433346150097</v>
      </c>
      <c r="D54" s="111" t="str">
        <f t="shared" si="3"/>
        <v>312M</v>
      </c>
      <c r="E54" s="441">
        <f>BktEur3mPL!E54</f>
        <v>42696</v>
      </c>
      <c r="F54" s="441">
        <f>BktEur3mPL!F54</f>
        <v>52194</v>
      </c>
      <c r="G54" s="462">
        <f t="shared" si="2"/>
        <v>1.115777598E-2</v>
      </c>
      <c r="H54" s="453">
        <f>BktEur3mPL!H54</f>
        <v>1.115777598</v>
      </c>
      <c r="I54" s="107" t="str">
        <v>21Y</v>
      </c>
      <c r="J54" s="106" t="str">
        <f>IF(LEN(I54)&gt;0,IF((MID(I54,4,1)=" "),#REF!,IF((LEN(I54)=8),DATE("20" &amp; RIGHT(I54,2),MID(I54,4,2),LEFT(I54,2)),SimplifyTenor(I54))),"")</f>
        <v>252M</v>
      </c>
      <c r="K54" s="448">
        <f>_xll.qlCalendarAdvance("TARGET",SettlementDate,J54)</f>
        <v>50367</v>
      </c>
      <c r="M54" s="99" t="str">
        <v>21Y</v>
      </c>
      <c r="N54" s="465">
        <v>114880.22288754401</v>
      </c>
      <c r="P54" s="106" t="b">
        <f t="shared" si="4"/>
        <v>0</v>
      </c>
      <c r="Q54" s="460">
        <f t="array" ref="Q54:CC54">C54*ForwardToZero(OisBuckets,E54,F54,G54)</f>
        <v>0</v>
      </c>
      <c r="R54" s="460">
        <v>0</v>
      </c>
      <c r="S54" s="460">
        <v>0</v>
      </c>
      <c r="T54" s="460">
        <v>0</v>
      </c>
      <c r="U54" s="460">
        <v>0</v>
      </c>
      <c r="V54" s="460">
        <v>0</v>
      </c>
      <c r="W54" s="460">
        <v>0</v>
      </c>
      <c r="X54" s="460">
        <v>0</v>
      </c>
      <c r="Y54" s="460">
        <v>0</v>
      </c>
      <c r="Z54" s="460">
        <v>0</v>
      </c>
      <c r="AA54" s="460">
        <v>0</v>
      </c>
      <c r="AB54" s="460">
        <v>0</v>
      </c>
      <c r="AC54" s="460">
        <v>0</v>
      </c>
      <c r="AD54" s="460">
        <v>0</v>
      </c>
      <c r="AE54" s="460">
        <v>0</v>
      </c>
      <c r="AF54" s="460">
        <v>0</v>
      </c>
      <c r="AG54" s="460">
        <v>0</v>
      </c>
      <c r="AH54" s="460">
        <v>0</v>
      </c>
      <c r="AI54" s="460">
        <v>0</v>
      </c>
      <c r="AJ54" s="460">
        <v>0</v>
      </c>
      <c r="AK54" s="460">
        <v>0</v>
      </c>
      <c r="AL54" s="460">
        <v>0</v>
      </c>
      <c r="AM54" s="460">
        <v>0</v>
      </c>
      <c r="AN54" s="460">
        <v>0</v>
      </c>
      <c r="AO54" s="460">
        <v>0</v>
      </c>
      <c r="AP54" s="460">
        <v>0</v>
      </c>
      <c r="AQ54" s="460">
        <v>0</v>
      </c>
      <c r="AR54" s="460">
        <v>0</v>
      </c>
      <c r="AS54" s="460">
        <v>0</v>
      </c>
      <c r="AT54" s="460">
        <v>0</v>
      </c>
      <c r="AU54" s="460">
        <v>0</v>
      </c>
      <c r="AV54" s="460">
        <v>0</v>
      </c>
      <c r="AW54" s="460">
        <v>0</v>
      </c>
      <c r="AX54" s="460">
        <v>0</v>
      </c>
      <c r="AY54" s="460">
        <v>0</v>
      </c>
      <c r="AZ54" s="460">
        <v>0</v>
      </c>
      <c r="BA54" s="460">
        <v>0</v>
      </c>
      <c r="BB54" s="460">
        <v>0</v>
      </c>
      <c r="BC54" s="460">
        <v>0</v>
      </c>
      <c r="BD54" s="460">
        <v>0</v>
      </c>
      <c r="BE54" s="460">
        <v>0</v>
      </c>
      <c r="BF54" s="460">
        <v>0</v>
      </c>
      <c r="BG54" s="460">
        <v>0</v>
      </c>
      <c r="BH54" s="460">
        <v>0</v>
      </c>
      <c r="BI54" s="460">
        <v>0</v>
      </c>
      <c r="BJ54" s="460">
        <v>0</v>
      </c>
      <c r="BK54" s="460">
        <v>0</v>
      </c>
      <c r="BL54" s="460">
        <v>0</v>
      </c>
      <c r="BM54" s="460">
        <v>0</v>
      </c>
      <c r="BN54" s="460">
        <v>0</v>
      </c>
      <c r="BO54" s="460">
        <v>0</v>
      </c>
      <c r="BP54" s="460">
        <v>0</v>
      </c>
      <c r="BQ54" s="460">
        <v>0</v>
      </c>
      <c r="BR54" s="460">
        <v>55.701433346150097</v>
      </c>
      <c r="BS54" s="460">
        <v>0</v>
      </c>
      <c r="BT54" s="460">
        <v>0</v>
      </c>
      <c r="BU54" s="460">
        <v>0</v>
      </c>
      <c r="BV54" s="460">
        <v>0</v>
      </c>
      <c r="BW54" s="460">
        <v>0</v>
      </c>
      <c r="BX54" s="460">
        <v>0</v>
      </c>
      <c r="BY54" s="460">
        <v>0</v>
      </c>
      <c r="BZ54" s="460">
        <v>0</v>
      </c>
      <c r="CA54" s="460" t="e">
        <v>#N/A</v>
      </c>
      <c r="CB54" s="460" t="e">
        <v>#N/A</v>
      </c>
      <c r="CC54" s="460" t="e">
        <v>#N/A</v>
      </c>
    </row>
    <row r="55" spans="1:81" ht="12.75" customHeight="1">
      <c r="A55" s="105">
        <v>50</v>
      </c>
      <c r="B55" s="112" t="str">
        <v>27Y</v>
      </c>
      <c r="C55" s="262">
        <f>'eur disaggregated'!AD66+'eur disaggregated'!AC66</f>
        <v>-0.20175470311256999</v>
      </c>
      <c r="D55" s="111" t="str">
        <f t="shared" si="3"/>
        <v>324M</v>
      </c>
      <c r="E55" s="441">
        <f>BktEur3mPL!E55</f>
        <v>42696</v>
      </c>
      <c r="F55" s="441">
        <f>BktEur3mPL!F55</f>
        <v>52558</v>
      </c>
      <c r="G55" s="462">
        <f t="shared" si="2"/>
        <v>1.1199046450000001E-2</v>
      </c>
      <c r="H55" s="453">
        <f>BktEur3mPL!H55</f>
        <v>1.1199046450000001</v>
      </c>
      <c r="I55" s="107" t="str">
        <v>22Y</v>
      </c>
      <c r="J55" s="106" t="str">
        <f>IF(LEN(I55)&gt;0,IF((MID(I55,4,1)=" "),#REF!,IF((LEN(I55)=8),DATE("20" &amp; RIGHT(I55,2),MID(I55,4,2),LEFT(I55,2)),SimplifyTenor(I55))),"")</f>
        <v>264M</v>
      </c>
      <c r="K55" s="448">
        <f>_xll.qlCalendarAdvance("TARGET",SettlementDate,J55)</f>
        <v>50731</v>
      </c>
      <c r="M55" s="99" t="str">
        <v>22Y</v>
      </c>
      <c r="N55" s="465">
        <v>-44202.422140939903</v>
      </c>
      <c r="P55" s="106" t="b">
        <f t="shared" si="4"/>
        <v>0</v>
      </c>
      <c r="Q55" s="460">
        <f t="array" ref="Q55:CC55">C55*ForwardToZero(OisBuckets,E55,F55,G55)</f>
        <v>0</v>
      </c>
      <c r="R55" s="460">
        <v>0</v>
      </c>
      <c r="S55" s="460">
        <v>0</v>
      </c>
      <c r="T55" s="460">
        <v>0</v>
      </c>
      <c r="U55" s="460">
        <v>0</v>
      </c>
      <c r="V55" s="460">
        <v>0</v>
      </c>
      <c r="W55" s="460">
        <v>0</v>
      </c>
      <c r="X55" s="460">
        <v>0</v>
      </c>
      <c r="Y55" s="460">
        <v>0</v>
      </c>
      <c r="Z55" s="460">
        <v>0</v>
      </c>
      <c r="AA55" s="460">
        <v>0</v>
      </c>
      <c r="AB55" s="460">
        <v>0</v>
      </c>
      <c r="AC55" s="460">
        <v>0</v>
      </c>
      <c r="AD55" s="460">
        <v>0</v>
      </c>
      <c r="AE55" s="460">
        <v>0</v>
      </c>
      <c r="AF55" s="460">
        <v>0</v>
      </c>
      <c r="AG55" s="460">
        <v>0</v>
      </c>
      <c r="AH55" s="460">
        <v>0</v>
      </c>
      <c r="AI55" s="460">
        <v>0</v>
      </c>
      <c r="AJ55" s="460">
        <v>0</v>
      </c>
      <c r="AK55" s="460">
        <v>0</v>
      </c>
      <c r="AL55" s="460">
        <v>0</v>
      </c>
      <c r="AM55" s="460">
        <v>0</v>
      </c>
      <c r="AN55" s="460">
        <v>0</v>
      </c>
      <c r="AO55" s="460">
        <v>0</v>
      </c>
      <c r="AP55" s="460">
        <v>0</v>
      </c>
      <c r="AQ55" s="460">
        <v>0</v>
      </c>
      <c r="AR55" s="460">
        <v>0</v>
      </c>
      <c r="AS55" s="460">
        <v>0</v>
      </c>
      <c r="AT55" s="460">
        <v>0</v>
      </c>
      <c r="AU55" s="460">
        <v>0</v>
      </c>
      <c r="AV55" s="460">
        <v>0</v>
      </c>
      <c r="AW55" s="460">
        <v>0</v>
      </c>
      <c r="AX55" s="460">
        <v>0</v>
      </c>
      <c r="AY55" s="460">
        <v>0</v>
      </c>
      <c r="AZ55" s="460">
        <v>0</v>
      </c>
      <c r="BA55" s="460">
        <v>0</v>
      </c>
      <c r="BB55" s="460">
        <v>0</v>
      </c>
      <c r="BC55" s="460">
        <v>0</v>
      </c>
      <c r="BD55" s="460">
        <v>0</v>
      </c>
      <c r="BE55" s="460">
        <v>0</v>
      </c>
      <c r="BF55" s="460">
        <v>0</v>
      </c>
      <c r="BG55" s="460">
        <v>0</v>
      </c>
      <c r="BH55" s="460">
        <v>0</v>
      </c>
      <c r="BI55" s="460">
        <v>0</v>
      </c>
      <c r="BJ55" s="460">
        <v>0</v>
      </c>
      <c r="BK55" s="460">
        <v>0</v>
      </c>
      <c r="BL55" s="460">
        <v>0</v>
      </c>
      <c r="BM55" s="460">
        <v>0</v>
      </c>
      <c r="BN55" s="460">
        <v>0</v>
      </c>
      <c r="BO55" s="460">
        <v>0</v>
      </c>
      <c r="BP55" s="460">
        <v>0</v>
      </c>
      <c r="BQ55" s="460">
        <v>0</v>
      </c>
      <c r="BR55" s="460">
        <v>0</v>
      </c>
      <c r="BS55" s="460">
        <v>-0.20175470311256999</v>
      </c>
      <c r="BT55" s="460">
        <v>0</v>
      </c>
      <c r="BU55" s="460">
        <v>0</v>
      </c>
      <c r="BV55" s="460">
        <v>0</v>
      </c>
      <c r="BW55" s="460">
        <v>0</v>
      </c>
      <c r="BX55" s="460">
        <v>0</v>
      </c>
      <c r="BY55" s="460">
        <v>0</v>
      </c>
      <c r="BZ55" s="460">
        <v>0</v>
      </c>
      <c r="CA55" s="460" t="e">
        <v>#N/A</v>
      </c>
      <c r="CB55" s="460" t="e">
        <v>#N/A</v>
      </c>
      <c r="CC55" s="460" t="e">
        <v>#N/A</v>
      </c>
    </row>
    <row r="56" spans="1:81" ht="12.75" customHeight="1">
      <c r="A56" s="105">
        <v>51</v>
      </c>
      <c r="B56" s="112" t="str">
        <v>28Y</v>
      </c>
      <c r="C56" s="262">
        <f>'eur disaggregated'!AD67+'eur disaggregated'!AC67</f>
        <v>4.5827609814486302E-5</v>
      </c>
      <c r="D56" s="111" t="str">
        <f t="shared" si="3"/>
        <v>336M</v>
      </c>
      <c r="E56" s="441">
        <f>BktEur3mPL!E56</f>
        <v>42696</v>
      </c>
      <c r="F56" s="441">
        <f>BktEur3mPL!F56</f>
        <v>52923</v>
      </c>
      <c r="G56" s="462">
        <f t="shared" si="2"/>
        <v>1.1235343600000001E-2</v>
      </c>
      <c r="H56" s="453">
        <f>BktEur3mPL!H56</f>
        <v>1.1235343600000001</v>
      </c>
      <c r="I56" s="107" t="str">
        <v>23Y</v>
      </c>
      <c r="J56" s="106" t="str">
        <f>IF(LEN(I56)&gt;0,IF((MID(I56,4,1)=" "),#REF!,IF((LEN(I56)=8),DATE("20" &amp; RIGHT(I56,2),MID(I56,4,2),LEFT(I56,2)),SimplifyTenor(I56))),"")</f>
        <v>276M</v>
      </c>
      <c r="K56" s="448">
        <f>_xll.qlCalendarAdvance("TARGET",SettlementDate,J56)</f>
        <v>51096</v>
      </c>
      <c r="M56" s="99" t="str">
        <v>23Y</v>
      </c>
      <c r="N56" s="465">
        <v>-23023.017052544699</v>
      </c>
      <c r="P56" s="106" t="b">
        <f t="shared" si="4"/>
        <v>0</v>
      </c>
      <c r="Q56" s="460">
        <f t="array" ref="Q56:CC56">C56*ForwardToZero(OisBuckets,E56,F56,G56)</f>
        <v>0</v>
      </c>
      <c r="R56" s="460">
        <v>0</v>
      </c>
      <c r="S56" s="460">
        <v>0</v>
      </c>
      <c r="T56" s="460">
        <v>0</v>
      </c>
      <c r="U56" s="460">
        <v>0</v>
      </c>
      <c r="V56" s="460">
        <v>0</v>
      </c>
      <c r="W56" s="460">
        <v>0</v>
      </c>
      <c r="X56" s="460">
        <v>0</v>
      </c>
      <c r="Y56" s="460">
        <v>0</v>
      </c>
      <c r="Z56" s="460">
        <v>0</v>
      </c>
      <c r="AA56" s="460">
        <v>0</v>
      </c>
      <c r="AB56" s="460">
        <v>0</v>
      </c>
      <c r="AC56" s="460">
        <v>0</v>
      </c>
      <c r="AD56" s="460">
        <v>0</v>
      </c>
      <c r="AE56" s="460">
        <v>0</v>
      </c>
      <c r="AF56" s="460">
        <v>0</v>
      </c>
      <c r="AG56" s="460">
        <v>0</v>
      </c>
      <c r="AH56" s="460">
        <v>0</v>
      </c>
      <c r="AI56" s="460">
        <v>0</v>
      </c>
      <c r="AJ56" s="460">
        <v>0</v>
      </c>
      <c r="AK56" s="460">
        <v>0</v>
      </c>
      <c r="AL56" s="460">
        <v>0</v>
      </c>
      <c r="AM56" s="460">
        <v>0</v>
      </c>
      <c r="AN56" s="460">
        <v>0</v>
      </c>
      <c r="AO56" s="460">
        <v>0</v>
      </c>
      <c r="AP56" s="460">
        <v>0</v>
      </c>
      <c r="AQ56" s="460">
        <v>0</v>
      </c>
      <c r="AR56" s="460">
        <v>0</v>
      </c>
      <c r="AS56" s="460">
        <v>0</v>
      </c>
      <c r="AT56" s="460">
        <v>0</v>
      </c>
      <c r="AU56" s="460">
        <v>0</v>
      </c>
      <c r="AV56" s="460">
        <v>0</v>
      </c>
      <c r="AW56" s="460">
        <v>0</v>
      </c>
      <c r="AX56" s="460">
        <v>0</v>
      </c>
      <c r="AY56" s="460">
        <v>0</v>
      </c>
      <c r="AZ56" s="460">
        <v>0</v>
      </c>
      <c r="BA56" s="460">
        <v>0</v>
      </c>
      <c r="BB56" s="460">
        <v>0</v>
      </c>
      <c r="BC56" s="460">
        <v>0</v>
      </c>
      <c r="BD56" s="460">
        <v>0</v>
      </c>
      <c r="BE56" s="460">
        <v>0</v>
      </c>
      <c r="BF56" s="460">
        <v>0</v>
      </c>
      <c r="BG56" s="460">
        <v>0</v>
      </c>
      <c r="BH56" s="460">
        <v>0</v>
      </c>
      <c r="BI56" s="460">
        <v>0</v>
      </c>
      <c r="BJ56" s="460">
        <v>0</v>
      </c>
      <c r="BK56" s="460">
        <v>0</v>
      </c>
      <c r="BL56" s="460">
        <v>0</v>
      </c>
      <c r="BM56" s="460">
        <v>0</v>
      </c>
      <c r="BN56" s="460">
        <v>0</v>
      </c>
      <c r="BO56" s="460">
        <v>0</v>
      </c>
      <c r="BP56" s="460">
        <v>0</v>
      </c>
      <c r="BQ56" s="460">
        <v>0</v>
      </c>
      <c r="BR56" s="460">
        <v>0</v>
      </c>
      <c r="BS56" s="460">
        <v>0</v>
      </c>
      <c r="BT56" s="460">
        <v>4.5827609814486302E-5</v>
      </c>
      <c r="BU56" s="460">
        <v>0</v>
      </c>
      <c r="BV56" s="460">
        <v>0</v>
      </c>
      <c r="BW56" s="460">
        <v>0</v>
      </c>
      <c r="BX56" s="460">
        <v>0</v>
      </c>
      <c r="BY56" s="460">
        <v>0</v>
      </c>
      <c r="BZ56" s="460">
        <v>0</v>
      </c>
      <c r="CA56" s="460" t="e">
        <v>#N/A</v>
      </c>
      <c r="CB56" s="460" t="e">
        <v>#N/A</v>
      </c>
      <c r="CC56" s="460" t="e">
        <v>#N/A</v>
      </c>
    </row>
    <row r="57" spans="1:81" ht="12.75" customHeight="1">
      <c r="A57" s="105">
        <v>52</v>
      </c>
      <c r="B57" s="112" t="str">
        <v>29Y</v>
      </c>
      <c r="C57" s="262">
        <f>'eur disaggregated'!AD68+'eur disaggregated'!AC68</f>
        <v>-9.0752993753214502E-7</v>
      </c>
      <c r="D57" s="111" t="str">
        <f t="shared" si="3"/>
        <v>348M</v>
      </c>
      <c r="E57" s="441">
        <f>BktEur3mPL!E57</f>
        <v>42696</v>
      </c>
      <c r="F57" s="441">
        <f>BktEur3mPL!F57</f>
        <v>53288</v>
      </c>
      <c r="G57" s="462">
        <f t="shared" si="2"/>
        <v>1.1265262549999999E-2</v>
      </c>
      <c r="H57" s="453">
        <f>BktEur3mPL!H57</f>
        <v>1.1265262549999999</v>
      </c>
      <c r="I57" s="107" t="str">
        <v>24Y</v>
      </c>
      <c r="J57" s="106" t="str">
        <f>IF(LEN(I57)&gt;0,IF((MID(I57,4,1)=" "),#REF!,IF((LEN(I57)=8),DATE("20" &amp; RIGHT(I57,2),MID(I57,4,2),LEFT(I57,2)),SimplifyTenor(I57))),"")</f>
        <v>288M</v>
      </c>
      <c r="K57" s="448">
        <f>_xll.qlCalendarAdvance("TARGET",SettlementDate,J57)</f>
        <v>51462</v>
      </c>
      <c r="M57" s="99" t="str">
        <v>24Y</v>
      </c>
      <c r="N57" s="465">
        <v>-220.79907245247799</v>
      </c>
      <c r="P57" s="106" t="b">
        <f t="shared" si="4"/>
        <v>0</v>
      </c>
      <c r="Q57" s="460">
        <f t="array" ref="Q57:CC57">C57*ForwardToZero(OisBuckets,E57,F57,G57)</f>
        <v>0</v>
      </c>
      <c r="R57" s="460">
        <v>0</v>
      </c>
      <c r="S57" s="460">
        <v>0</v>
      </c>
      <c r="T57" s="460">
        <v>0</v>
      </c>
      <c r="U57" s="460">
        <v>0</v>
      </c>
      <c r="V57" s="460">
        <v>0</v>
      </c>
      <c r="W57" s="460">
        <v>0</v>
      </c>
      <c r="X57" s="460">
        <v>0</v>
      </c>
      <c r="Y57" s="460">
        <v>0</v>
      </c>
      <c r="Z57" s="460">
        <v>0</v>
      </c>
      <c r="AA57" s="460">
        <v>0</v>
      </c>
      <c r="AB57" s="460">
        <v>0</v>
      </c>
      <c r="AC57" s="460">
        <v>0</v>
      </c>
      <c r="AD57" s="460">
        <v>0</v>
      </c>
      <c r="AE57" s="460">
        <v>0</v>
      </c>
      <c r="AF57" s="460">
        <v>0</v>
      </c>
      <c r="AG57" s="460">
        <v>0</v>
      </c>
      <c r="AH57" s="460">
        <v>0</v>
      </c>
      <c r="AI57" s="460">
        <v>0</v>
      </c>
      <c r="AJ57" s="460">
        <v>0</v>
      </c>
      <c r="AK57" s="460">
        <v>0</v>
      </c>
      <c r="AL57" s="460">
        <v>0</v>
      </c>
      <c r="AM57" s="460">
        <v>0</v>
      </c>
      <c r="AN57" s="460">
        <v>0</v>
      </c>
      <c r="AO57" s="460">
        <v>0</v>
      </c>
      <c r="AP57" s="460">
        <v>0</v>
      </c>
      <c r="AQ57" s="460">
        <v>0</v>
      </c>
      <c r="AR57" s="460">
        <v>0</v>
      </c>
      <c r="AS57" s="460">
        <v>0</v>
      </c>
      <c r="AT57" s="460">
        <v>0</v>
      </c>
      <c r="AU57" s="460">
        <v>0</v>
      </c>
      <c r="AV57" s="460">
        <v>0</v>
      </c>
      <c r="AW57" s="460">
        <v>0</v>
      </c>
      <c r="AX57" s="460">
        <v>0</v>
      </c>
      <c r="AY57" s="460">
        <v>0</v>
      </c>
      <c r="AZ57" s="460">
        <v>0</v>
      </c>
      <c r="BA57" s="460">
        <v>0</v>
      </c>
      <c r="BB57" s="460">
        <v>0</v>
      </c>
      <c r="BC57" s="460">
        <v>0</v>
      </c>
      <c r="BD57" s="460">
        <v>0</v>
      </c>
      <c r="BE57" s="460">
        <v>0</v>
      </c>
      <c r="BF57" s="460">
        <v>0</v>
      </c>
      <c r="BG57" s="460">
        <v>0</v>
      </c>
      <c r="BH57" s="460">
        <v>0</v>
      </c>
      <c r="BI57" s="460">
        <v>0</v>
      </c>
      <c r="BJ57" s="460">
        <v>0</v>
      </c>
      <c r="BK57" s="460">
        <v>0</v>
      </c>
      <c r="BL57" s="460">
        <v>0</v>
      </c>
      <c r="BM57" s="460">
        <v>0</v>
      </c>
      <c r="BN57" s="460">
        <v>0</v>
      </c>
      <c r="BO57" s="460">
        <v>0</v>
      </c>
      <c r="BP57" s="460">
        <v>0</v>
      </c>
      <c r="BQ57" s="460">
        <v>0</v>
      </c>
      <c r="BR57" s="460">
        <v>0</v>
      </c>
      <c r="BS57" s="460">
        <v>0</v>
      </c>
      <c r="BT57" s="460">
        <v>0</v>
      </c>
      <c r="BU57" s="460">
        <v>-9.0752993753214502E-7</v>
      </c>
      <c r="BV57" s="460">
        <v>0</v>
      </c>
      <c r="BW57" s="460">
        <v>0</v>
      </c>
      <c r="BX57" s="460">
        <v>0</v>
      </c>
      <c r="BY57" s="460">
        <v>0</v>
      </c>
      <c r="BZ57" s="460">
        <v>0</v>
      </c>
      <c r="CA57" s="460" t="e">
        <v>#N/A</v>
      </c>
      <c r="CB57" s="460" t="e">
        <v>#N/A</v>
      </c>
      <c r="CC57" s="460" t="e">
        <v>#N/A</v>
      </c>
    </row>
    <row r="58" spans="1:81">
      <c r="A58" s="105">
        <v>53</v>
      </c>
      <c r="B58" s="112" t="str">
        <v>30Y</v>
      </c>
      <c r="C58" s="262">
        <f>'eur disaggregated'!AD69+'eur disaggregated'!AC69</f>
        <v>-5.5835288789031596E-10</v>
      </c>
      <c r="D58" s="111" t="str">
        <f t="shared" si="3"/>
        <v>360M</v>
      </c>
      <c r="E58" s="441">
        <f>BktEur3mPL!E58</f>
        <v>42696</v>
      </c>
      <c r="F58" s="441">
        <f>BktEur3mPL!F58</f>
        <v>53653</v>
      </c>
      <c r="G58" s="462">
        <f t="shared" si="2"/>
        <v>1.129E-2</v>
      </c>
      <c r="H58" s="453">
        <f>BktEur3mPL!H58</f>
        <v>1.129</v>
      </c>
      <c r="I58" s="107" t="str">
        <v>25Y</v>
      </c>
      <c r="J58" s="106" t="str">
        <f>IF(LEN(I58)&gt;0,IF((MID(I58,4,1)=" "),#REF!,IF((LEN(I58)=8),DATE("20" &amp; RIGHT(I58,2),MID(I58,4,2),LEFT(I58,2)),SimplifyTenor(I58))),"")</f>
        <v>300M</v>
      </c>
      <c r="K58" s="448">
        <f>_xll.qlCalendarAdvance("TARGET",SettlementDate,J58)</f>
        <v>51827</v>
      </c>
      <c r="M58" s="99" t="str">
        <v>25Y</v>
      </c>
      <c r="N58" s="465">
        <v>4301.5886000052496</v>
      </c>
      <c r="P58" s="106" t="b">
        <f t="shared" si="4"/>
        <v>0</v>
      </c>
      <c r="Q58" s="460">
        <f t="array" ref="Q58:CC58">C58*ForwardToZero(OisBuckets,E58,F58,G58)</f>
        <v>0</v>
      </c>
      <c r="R58" s="460">
        <v>0</v>
      </c>
      <c r="S58" s="460">
        <v>0</v>
      </c>
      <c r="T58" s="460">
        <v>0</v>
      </c>
      <c r="U58" s="460">
        <v>0</v>
      </c>
      <c r="V58" s="460">
        <v>0</v>
      </c>
      <c r="W58" s="460">
        <v>0</v>
      </c>
      <c r="X58" s="460">
        <v>0</v>
      </c>
      <c r="Y58" s="460">
        <v>0</v>
      </c>
      <c r="Z58" s="460">
        <v>0</v>
      </c>
      <c r="AA58" s="460">
        <v>0</v>
      </c>
      <c r="AB58" s="460">
        <v>0</v>
      </c>
      <c r="AC58" s="460">
        <v>0</v>
      </c>
      <c r="AD58" s="460">
        <v>0</v>
      </c>
      <c r="AE58" s="460">
        <v>0</v>
      </c>
      <c r="AF58" s="460">
        <v>0</v>
      </c>
      <c r="AG58" s="460">
        <v>0</v>
      </c>
      <c r="AH58" s="460">
        <v>0</v>
      </c>
      <c r="AI58" s="460">
        <v>0</v>
      </c>
      <c r="AJ58" s="460">
        <v>0</v>
      </c>
      <c r="AK58" s="460">
        <v>0</v>
      </c>
      <c r="AL58" s="460">
        <v>0</v>
      </c>
      <c r="AM58" s="460">
        <v>0</v>
      </c>
      <c r="AN58" s="460">
        <v>0</v>
      </c>
      <c r="AO58" s="460">
        <v>0</v>
      </c>
      <c r="AP58" s="460">
        <v>0</v>
      </c>
      <c r="AQ58" s="460">
        <v>0</v>
      </c>
      <c r="AR58" s="460">
        <v>0</v>
      </c>
      <c r="AS58" s="460">
        <v>0</v>
      </c>
      <c r="AT58" s="460">
        <v>0</v>
      </c>
      <c r="AU58" s="460">
        <v>0</v>
      </c>
      <c r="AV58" s="460">
        <v>0</v>
      </c>
      <c r="AW58" s="460">
        <v>0</v>
      </c>
      <c r="AX58" s="460">
        <v>0</v>
      </c>
      <c r="AY58" s="460">
        <v>0</v>
      </c>
      <c r="AZ58" s="460">
        <v>0</v>
      </c>
      <c r="BA58" s="460">
        <v>0</v>
      </c>
      <c r="BB58" s="460">
        <v>0</v>
      </c>
      <c r="BC58" s="460">
        <v>0</v>
      </c>
      <c r="BD58" s="460">
        <v>0</v>
      </c>
      <c r="BE58" s="460">
        <v>0</v>
      </c>
      <c r="BF58" s="460">
        <v>0</v>
      </c>
      <c r="BG58" s="460">
        <v>0</v>
      </c>
      <c r="BH58" s="460">
        <v>0</v>
      </c>
      <c r="BI58" s="460">
        <v>0</v>
      </c>
      <c r="BJ58" s="460">
        <v>0</v>
      </c>
      <c r="BK58" s="460">
        <v>0</v>
      </c>
      <c r="BL58" s="460">
        <v>0</v>
      </c>
      <c r="BM58" s="460">
        <v>0</v>
      </c>
      <c r="BN58" s="460">
        <v>0</v>
      </c>
      <c r="BO58" s="460">
        <v>0</v>
      </c>
      <c r="BP58" s="460">
        <v>0</v>
      </c>
      <c r="BQ58" s="460">
        <v>0</v>
      </c>
      <c r="BR58" s="460">
        <v>0</v>
      </c>
      <c r="BS58" s="460">
        <v>0</v>
      </c>
      <c r="BT58" s="460">
        <v>0</v>
      </c>
      <c r="BU58" s="460">
        <v>0</v>
      </c>
      <c r="BV58" s="460">
        <v>-5.5835288789031596E-10</v>
      </c>
      <c r="BW58" s="460">
        <v>0</v>
      </c>
      <c r="BX58" s="460">
        <v>0</v>
      </c>
      <c r="BY58" s="460">
        <v>0</v>
      </c>
      <c r="BZ58" s="460">
        <v>0</v>
      </c>
      <c r="CA58" s="460" t="e">
        <v>#N/A</v>
      </c>
      <c r="CB58" s="460" t="e">
        <v>#N/A</v>
      </c>
      <c r="CC58" s="460" t="e">
        <v>#N/A</v>
      </c>
    </row>
    <row r="59" spans="1:81" ht="12.75" customHeight="1">
      <c r="A59" s="105">
        <v>54</v>
      </c>
      <c r="B59" s="112" t="str">
        <v>31Y</v>
      </c>
      <c r="C59" s="262">
        <f>'eur disaggregated'!AD70+'eur disaggregated'!AC70</f>
        <v>0</v>
      </c>
      <c r="D59" s="111" t="str">
        <f t="shared" si="3"/>
        <v>372M</v>
      </c>
      <c r="E59" s="441">
        <f>BktEur3mPL!E59</f>
        <v>42696</v>
      </c>
      <c r="F59" s="441">
        <f>BktEur3mPL!F59</f>
        <v>54018</v>
      </c>
      <c r="G59" s="462">
        <f t="shared" si="2"/>
        <v>1.1310174369999999E-2</v>
      </c>
      <c r="H59" s="453">
        <f>BktEur3mPL!H59</f>
        <v>1.1310174369999999</v>
      </c>
      <c r="I59" s="107" t="str">
        <v>26Y</v>
      </c>
      <c r="J59" s="106" t="str">
        <f>IF(LEN(I59)&gt;0,IF((MID(I59,4,1)=" "),#REF!,IF((LEN(I59)=8),DATE("20" &amp; RIGHT(I59,2),MID(I59,4,2),LEFT(I59,2)),SimplifyTenor(I59))),"")</f>
        <v>312M</v>
      </c>
      <c r="K59" s="448">
        <f>_xll.qlCalendarAdvance("TARGET",SettlementDate,J59)</f>
        <v>52194</v>
      </c>
      <c r="M59" s="99" t="str">
        <v>26Y</v>
      </c>
      <c r="N59" s="465">
        <v>55.701433346150097</v>
      </c>
      <c r="P59" s="106" t="b">
        <f t="shared" si="4"/>
        <v>0</v>
      </c>
      <c r="Q59" s="460">
        <f t="array" ref="Q59:CC59">C59*ForwardToZero(OisBuckets,E59,F59,G59)</f>
        <v>0</v>
      </c>
      <c r="R59" s="460">
        <v>0</v>
      </c>
      <c r="S59" s="460">
        <v>0</v>
      </c>
      <c r="T59" s="460">
        <v>0</v>
      </c>
      <c r="U59" s="460">
        <v>0</v>
      </c>
      <c r="V59" s="460">
        <v>0</v>
      </c>
      <c r="W59" s="460">
        <v>0</v>
      </c>
      <c r="X59" s="460">
        <v>0</v>
      </c>
      <c r="Y59" s="460">
        <v>0</v>
      </c>
      <c r="Z59" s="460">
        <v>0</v>
      </c>
      <c r="AA59" s="460">
        <v>0</v>
      </c>
      <c r="AB59" s="460">
        <v>0</v>
      </c>
      <c r="AC59" s="460">
        <v>0</v>
      </c>
      <c r="AD59" s="460">
        <v>0</v>
      </c>
      <c r="AE59" s="460">
        <v>0</v>
      </c>
      <c r="AF59" s="460">
        <v>0</v>
      </c>
      <c r="AG59" s="460">
        <v>0</v>
      </c>
      <c r="AH59" s="460">
        <v>0</v>
      </c>
      <c r="AI59" s="460">
        <v>0</v>
      </c>
      <c r="AJ59" s="460">
        <v>0</v>
      </c>
      <c r="AK59" s="460">
        <v>0</v>
      </c>
      <c r="AL59" s="460">
        <v>0</v>
      </c>
      <c r="AM59" s="460">
        <v>0</v>
      </c>
      <c r="AN59" s="460">
        <v>0</v>
      </c>
      <c r="AO59" s="460">
        <v>0</v>
      </c>
      <c r="AP59" s="460">
        <v>0</v>
      </c>
      <c r="AQ59" s="460">
        <v>0</v>
      </c>
      <c r="AR59" s="460">
        <v>0</v>
      </c>
      <c r="AS59" s="460">
        <v>0</v>
      </c>
      <c r="AT59" s="460">
        <v>0</v>
      </c>
      <c r="AU59" s="460">
        <v>0</v>
      </c>
      <c r="AV59" s="460">
        <v>0</v>
      </c>
      <c r="AW59" s="460">
        <v>0</v>
      </c>
      <c r="AX59" s="460">
        <v>0</v>
      </c>
      <c r="AY59" s="460">
        <v>0</v>
      </c>
      <c r="AZ59" s="460">
        <v>0</v>
      </c>
      <c r="BA59" s="460">
        <v>0</v>
      </c>
      <c r="BB59" s="460">
        <v>0</v>
      </c>
      <c r="BC59" s="460">
        <v>0</v>
      </c>
      <c r="BD59" s="460">
        <v>0</v>
      </c>
      <c r="BE59" s="460">
        <v>0</v>
      </c>
      <c r="BF59" s="460">
        <v>0</v>
      </c>
      <c r="BG59" s="460">
        <v>0</v>
      </c>
      <c r="BH59" s="460">
        <v>0</v>
      </c>
      <c r="BI59" s="460">
        <v>0</v>
      </c>
      <c r="BJ59" s="460">
        <v>0</v>
      </c>
      <c r="BK59" s="460">
        <v>0</v>
      </c>
      <c r="BL59" s="460">
        <v>0</v>
      </c>
      <c r="BM59" s="460">
        <v>0</v>
      </c>
      <c r="BN59" s="460">
        <v>0</v>
      </c>
      <c r="BO59" s="460">
        <v>0</v>
      </c>
      <c r="BP59" s="460">
        <v>0</v>
      </c>
      <c r="BQ59" s="460">
        <v>0</v>
      </c>
      <c r="BR59" s="460">
        <v>0</v>
      </c>
      <c r="BS59" s="460">
        <v>0</v>
      </c>
      <c r="BT59" s="460">
        <v>0</v>
      </c>
      <c r="BU59" s="460">
        <v>0</v>
      </c>
      <c r="BV59" s="460">
        <v>0</v>
      </c>
      <c r="BW59" s="460">
        <v>0</v>
      </c>
      <c r="BX59" s="460">
        <v>0</v>
      </c>
      <c r="BY59" s="460">
        <v>0</v>
      </c>
      <c r="BZ59" s="460">
        <v>0</v>
      </c>
      <c r="CA59" s="460" t="e">
        <v>#N/A</v>
      </c>
      <c r="CB59" s="460" t="e">
        <v>#N/A</v>
      </c>
      <c r="CC59" s="460" t="e">
        <v>#N/A</v>
      </c>
    </row>
    <row r="60" spans="1:81" ht="12.75" customHeight="1">
      <c r="A60" s="105">
        <v>55</v>
      </c>
      <c r="B60" s="112" t="str">
        <v>32Y</v>
      </c>
      <c r="C60" s="262">
        <f>'eur disaggregated'!AD71+'eur disaggregated'!AC71</f>
        <v>0</v>
      </c>
      <c r="D60" s="111" t="str">
        <f t="shared" si="3"/>
        <v>384M</v>
      </c>
      <c r="E60" s="441">
        <f>BktEur3mPL!E60</f>
        <v>42696</v>
      </c>
      <c r="F60" s="441">
        <f>BktEur3mPL!F60</f>
        <v>54385</v>
      </c>
      <c r="G60" s="462">
        <f t="shared" si="2"/>
        <v>1.1326563569999998E-2</v>
      </c>
      <c r="H60" s="453">
        <f>BktEur3mPL!H60</f>
        <v>1.1326563569999999</v>
      </c>
      <c r="I60" s="107" t="str">
        <v>27Y</v>
      </c>
      <c r="J60" s="106" t="str">
        <f>IF(LEN(I60)&gt;0,IF((MID(I60,4,1)=" "),#REF!,IF((LEN(I60)=8),DATE("20" &amp; RIGHT(I60,2),MID(I60,4,2),LEFT(I60,2)),SimplifyTenor(I60))),"")</f>
        <v>324M</v>
      </c>
      <c r="K60" s="448">
        <f>_xll.qlCalendarAdvance("TARGET",SettlementDate,J60)</f>
        <v>52558</v>
      </c>
      <c r="M60" s="99" t="str">
        <v>27Y</v>
      </c>
      <c r="N60" s="465">
        <v>-0.20175470311256999</v>
      </c>
      <c r="P60" s="106" t="b">
        <f t="shared" si="4"/>
        <v>0</v>
      </c>
      <c r="Q60" s="460">
        <f t="array" ref="Q60:CC60">C60*ForwardToZero(OisBuckets,E60,F60,G60)</f>
        <v>0</v>
      </c>
      <c r="R60" s="460">
        <v>0</v>
      </c>
      <c r="S60" s="460">
        <v>0</v>
      </c>
      <c r="T60" s="460">
        <v>0</v>
      </c>
      <c r="U60" s="460">
        <v>0</v>
      </c>
      <c r="V60" s="460">
        <v>0</v>
      </c>
      <c r="W60" s="460">
        <v>0</v>
      </c>
      <c r="X60" s="460">
        <v>0</v>
      </c>
      <c r="Y60" s="460">
        <v>0</v>
      </c>
      <c r="Z60" s="460">
        <v>0</v>
      </c>
      <c r="AA60" s="460">
        <v>0</v>
      </c>
      <c r="AB60" s="460">
        <v>0</v>
      </c>
      <c r="AC60" s="460">
        <v>0</v>
      </c>
      <c r="AD60" s="460">
        <v>0</v>
      </c>
      <c r="AE60" s="460">
        <v>0</v>
      </c>
      <c r="AF60" s="460">
        <v>0</v>
      </c>
      <c r="AG60" s="460">
        <v>0</v>
      </c>
      <c r="AH60" s="460">
        <v>0</v>
      </c>
      <c r="AI60" s="460">
        <v>0</v>
      </c>
      <c r="AJ60" s="460">
        <v>0</v>
      </c>
      <c r="AK60" s="460">
        <v>0</v>
      </c>
      <c r="AL60" s="460">
        <v>0</v>
      </c>
      <c r="AM60" s="460">
        <v>0</v>
      </c>
      <c r="AN60" s="460">
        <v>0</v>
      </c>
      <c r="AO60" s="460">
        <v>0</v>
      </c>
      <c r="AP60" s="460">
        <v>0</v>
      </c>
      <c r="AQ60" s="460">
        <v>0</v>
      </c>
      <c r="AR60" s="460">
        <v>0</v>
      </c>
      <c r="AS60" s="460">
        <v>0</v>
      </c>
      <c r="AT60" s="460">
        <v>0</v>
      </c>
      <c r="AU60" s="460">
        <v>0</v>
      </c>
      <c r="AV60" s="460">
        <v>0</v>
      </c>
      <c r="AW60" s="460">
        <v>0</v>
      </c>
      <c r="AX60" s="460">
        <v>0</v>
      </c>
      <c r="AY60" s="460">
        <v>0</v>
      </c>
      <c r="AZ60" s="460">
        <v>0</v>
      </c>
      <c r="BA60" s="460">
        <v>0</v>
      </c>
      <c r="BB60" s="460">
        <v>0</v>
      </c>
      <c r="BC60" s="460">
        <v>0</v>
      </c>
      <c r="BD60" s="460">
        <v>0</v>
      </c>
      <c r="BE60" s="460">
        <v>0</v>
      </c>
      <c r="BF60" s="460">
        <v>0</v>
      </c>
      <c r="BG60" s="460">
        <v>0</v>
      </c>
      <c r="BH60" s="460">
        <v>0</v>
      </c>
      <c r="BI60" s="460">
        <v>0</v>
      </c>
      <c r="BJ60" s="460">
        <v>0</v>
      </c>
      <c r="BK60" s="460">
        <v>0</v>
      </c>
      <c r="BL60" s="460">
        <v>0</v>
      </c>
      <c r="BM60" s="460">
        <v>0</v>
      </c>
      <c r="BN60" s="460">
        <v>0</v>
      </c>
      <c r="BO60" s="460">
        <v>0</v>
      </c>
      <c r="BP60" s="460">
        <v>0</v>
      </c>
      <c r="BQ60" s="460">
        <v>0</v>
      </c>
      <c r="BR60" s="460">
        <v>0</v>
      </c>
      <c r="BS60" s="460">
        <v>0</v>
      </c>
      <c r="BT60" s="460">
        <v>0</v>
      </c>
      <c r="BU60" s="460">
        <v>0</v>
      </c>
      <c r="BV60" s="460">
        <v>0</v>
      </c>
      <c r="BW60" s="460">
        <v>0</v>
      </c>
      <c r="BX60" s="460">
        <v>0</v>
      </c>
      <c r="BY60" s="460">
        <v>0</v>
      </c>
      <c r="BZ60" s="460">
        <v>0</v>
      </c>
      <c r="CA60" s="460" t="e">
        <v>#N/A</v>
      </c>
      <c r="CB60" s="460" t="e">
        <v>#N/A</v>
      </c>
      <c r="CC60" s="460" t="e">
        <v>#N/A</v>
      </c>
    </row>
    <row r="61" spans="1:81" ht="12.75" customHeight="1">
      <c r="A61" s="105">
        <v>56</v>
      </c>
      <c r="B61" s="112" t="str">
        <v>33Y</v>
      </c>
      <c r="C61" s="262">
        <f>'eur disaggregated'!AD72+'eur disaggregated'!AC72</f>
        <v>0</v>
      </c>
      <c r="D61" s="111" t="str">
        <f t="shared" si="3"/>
        <v>396M</v>
      </c>
      <c r="E61" s="441">
        <f>BktEur3mPL!E61</f>
        <v>42696</v>
      </c>
      <c r="F61" s="441">
        <f>BktEur3mPL!F61</f>
        <v>54749</v>
      </c>
      <c r="G61" s="462">
        <f t="shared" si="2"/>
        <v>1.133723188E-2</v>
      </c>
      <c r="H61" s="453">
        <f>BktEur3mPL!H61</f>
        <v>1.133723188</v>
      </c>
      <c r="I61" s="107" t="str">
        <v>28Y</v>
      </c>
      <c r="J61" s="106" t="str">
        <f>IF(LEN(I61)&gt;0,IF((MID(I61,4,1)=" "),#REF!,IF((LEN(I61)=8),DATE("20" &amp; RIGHT(I61,2),MID(I61,4,2),LEFT(I61,2)),SimplifyTenor(I61))),"")</f>
        <v>336M</v>
      </c>
      <c r="K61" s="448">
        <f>_xll.qlCalendarAdvance("TARGET",SettlementDate,J61)</f>
        <v>52923</v>
      </c>
      <c r="M61" s="99" t="str">
        <v>28Y</v>
      </c>
      <c r="N61" s="465">
        <v>4.5827609814486302E-5</v>
      </c>
      <c r="P61" s="106" t="b">
        <f t="shared" si="4"/>
        <v>0</v>
      </c>
      <c r="Q61" s="460">
        <f t="array" ref="Q61:CC61">C61*ForwardToZero(OisBuckets,E61,F61,G61)</f>
        <v>0</v>
      </c>
      <c r="R61" s="460">
        <v>0</v>
      </c>
      <c r="S61" s="460">
        <v>0</v>
      </c>
      <c r="T61" s="460">
        <v>0</v>
      </c>
      <c r="U61" s="460">
        <v>0</v>
      </c>
      <c r="V61" s="460">
        <v>0</v>
      </c>
      <c r="W61" s="460">
        <v>0</v>
      </c>
      <c r="X61" s="460">
        <v>0</v>
      </c>
      <c r="Y61" s="460">
        <v>0</v>
      </c>
      <c r="Z61" s="460">
        <v>0</v>
      </c>
      <c r="AA61" s="460">
        <v>0</v>
      </c>
      <c r="AB61" s="460">
        <v>0</v>
      </c>
      <c r="AC61" s="460">
        <v>0</v>
      </c>
      <c r="AD61" s="460">
        <v>0</v>
      </c>
      <c r="AE61" s="460">
        <v>0</v>
      </c>
      <c r="AF61" s="460">
        <v>0</v>
      </c>
      <c r="AG61" s="460">
        <v>0</v>
      </c>
      <c r="AH61" s="460">
        <v>0</v>
      </c>
      <c r="AI61" s="460">
        <v>0</v>
      </c>
      <c r="AJ61" s="460">
        <v>0</v>
      </c>
      <c r="AK61" s="460">
        <v>0</v>
      </c>
      <c r="AL61" s="460">
        <v>0</v>
      </c>
      <c r="AM61" s="460">
        <v>0</v>
      </c>
      <c r="AN61" s="460">
        <v>0</v>
      </c>
      <c r="AO61" s="460">
        <v>0</v>
      </c>
      <c r="AP61" s="460">
        <v>0</v>
      </c>
      <c r="AQ61" s="460">
        <v>0</v>
      </c>
      <c r="AR61" s="460">
        <v>0</v>
      </c>
      <c r="AS61" s="460">
        <v>0</v>
      </c>
      <c r="AT61" s="460">
        <v>0</v>
      </c>
      <c r="AU61" s="460">
        <v>0</v>
      </c>
      <c r="AV61" s="460">
        <v>0</v>
      </c>
      <c r="AW61" s="460">
        <v>0</v>
      </c>
      <c r="AX61" s="460">
        <v>0</v>
      </c>
      <c r="AY61" s="460">
        <v>0</v>
      </c>
      <c r="AZ61" s="460">
        <v>0</v>
      </c>
      <c r="BA61" s="460">
        <v>0</v>
      </c>
      <c r="BB61" s="460">
        <v>0</v>
      </c>
      <c r="BC61" s="460">
        <v>0</v>
      </c>
      <c r="BD61" s="460">
        <v>0</v>
      </c>
      <c r="BE61" s="460">
        <v>0</v>
      </c>
      <c r="BF61" s="460">
        <v>0</v>
      </c>
      <c r="BG61" s="460">
        <v>0</v>
      </c>
      <c r="BH61" s="460">
        <v>0</v>
      </c>
      <c r="BI61" s="460">
        <v>0</v>
      </c>
      <c r="BJ61" s="460">
        <v>0</v>
      </c>
      <c r="BK61" s="460">
        <v>0</v>
      </c>
      <c r="BL61" s="460">
        <v>0</v>
      </c>
      <c r="BM61" s="460">
        <v>0</v>
      </c>
      <c r="BN61" s="460">
        <v>0</v>
      </c>
      <c r="BO61" s="460">
        <v>0</v>
      </c>
      <c r="BP61" s="460">
        <v>0</v>
      </c>
      <c r="BQ61" s="460">
        <v>0</v>
      </c>
      <c r="BR61" s="460">
        <v>0</v>
      </c>
      <c r="BS61" s="460">
        <v>0</v>
      </c>
      <c r="BT61" s="460">
        <v>0</v>
      </c>
      <c r="BU61" s="460">
        <v>0</v>
      </c>
      <c r="BV61" s="460">
        <v>0</v>
      </c>
      <c r="BW61" s="460">
        <v>0</v>
      </c>
      <c r="BX61" s="460">
        <v>0</v>
      </c>
      <c r="BY61" s="460">
        <v>0</v>
      </c>
      <c r="BZ61" s="460">
        <v>0</v>
      </c>
      <c r="CA61" s="460" t="e">
        <v>#N/A</v>
      </c>
      <c r="CB61" s="460" t="e">
        <v>#N/A</v>
      </c>
      <c r="CC61" s="460" t="e">
        <v>#N/A</v>
      </c>
    </row>
    <row r="62" spans="1:81" ht="12.75" customHeight="1">
      <c r="A62" s="105">
        <v>57</v>
      </c>
      <c r="B62" s="112" t="str">
        <v>34Y</v>
      </c>
      <c r="C62" s="262">
        <f>'eur disaggregated'!AD73+'eur disaggregated'!AC73</f>
        <v>0</v>
      </c>
      <c r="D62" s="111" t="str">
        <f t="shared" si="3"/>
        <v>408M</v>
      </c>
      <c r="E62" s="441">
        <f>BktEur3mPL!E62</f>
        <v>42696</v>
      </c>
      <c r="F62" s="441">
        <f>BktEur3mPL!F62</f>
        <v>55114</v>
      </c>
      <c r="G62" s="462">
        <f t="shared" si="2"/>
        <v>1.134284367E-2</v>
      </c>
      <c r="H62" s="453">
        <f>BktEur3mPL!H62</f>
        <v>1.134284367</v>
      </c>
      <c r="I62" s="107" t="str">
        <v>29Y</v>
      </c>
      <c r="J62" s="106" t="str">
        <f>IF(LEN(I62)&gt;0,IF((MID(I62,4,1)=" "),#REF!,IF((LEN(I62)=8),DATE("20" &amp; RIGHT(I62,2),MID(I62,4,2),LEFT(I62,2)),SimplifyTenor(I62))),"")</f>
        <v>348M</v>
      </c>
      <c r="K62" s="448">
        <f>_xll.qlCalendarAdvance("TARGET",SettlementDate,J62)</f>
        <v>53288</v>
      </c>
      <c r="M62" s="99" t="str">
        <v>29Y</v>
      </c>
      <c r="N62" s="465">
        <v>-9.0752993753214502E-7</v>
      </c>
      <c r="P62" s="106" t="b">
        <f t="shared" si="4"/>
        <v>0</v>
      </c>
      <c r="Q62" s="460">
        <f t="array" ref="Q62:CC62">C62*ForwardToZero(OisBuckets,E62,F62,G62)</f>
        <v>0</v>
      </c>
      <c r="R62" s="460">
        <v>0</v>
      </c>
      <c r="S62" s="460">
        <v>0</v>
      </c>
      <c r="T62" s="460">
        <v>0</v>
      </c>
      <c r="U62" s="460">
        <v>0</v>
      </c>
      <c r="V62" s="460">
        <v>0</v>
      </c>
      <c r="W62" s="460">
        <v>0</v>
      </c>
      <c r="X62" s="460">
        <v>0</v>
      </c>
      <c r="Y62" s="460">
        <v>0</v>
      </c>
      <c r="Z62" s="460">
        <v>0</v>
      </c>
      <c r="AA62" s="460">
        <v>0</v>
      </c>
      <c r="AB62" s="460">
        <v>0</v>
      </c>
      <c r="AC62" s="460">
        <v>0</v>
      </c>
      <c r="AD62" s="460">
        <v>0</v>
      </c>
      <c r="AE62" s="460">
        <v>0</v>
      </c>
      <c r="AF62" s="460">
        <v>0</v>
      </c>
      <c r="AG62" s="460">
        <v>0</v>
      </c>
      <c r="AH62" s="460">
        <v>0</v>
      </c>
      <c r="AI62" s="460">
        <v>0</v>
      </c>
      <c r="AJ62" s="460">
        <v>0</v>
      </c>
      <c r="AK62" s="460">
        <v>0</v>
      </c>
      <c r="AL62" s="460">
        <v>0</v>
      </c>
      <c r="AM62" s="460">
        <v>0</v>
      </c>
      <c r="AN62" s="460">
        <v>0</v>
      </c>
      <c r="AO62" s="460">
        <v>0</v>
      </c>
      <c r="AP62" s="460">
        <v>0</v>
      </c>
      <c r="AQ62" s="460">
        <v>0</v>
      </c>
      <c r="AR62" s="460">
        <v>0</v>
      </c>
      <c r="AS62" s="460">
        <v>0</v>
      </c>
      <c r="AT62" s="460">
        <v>0</v>
      </c>
      <c r="AU62" s="460">
        <v>0</v>
      </c>
      <c r="AV62" s="460">
        <v>0</v>
      </c>
      <c r="AW62" s="460">
        <v>0</v>
      </c>
      <c r="AX62" s="460">
        <v>0</v>
      </c>
      <c r="AY62" s="460">
        <v>0</v>
      </c>
      <c r="AZ62" s="460">
        <v>0</v>
      </c>
      <c r="BA62" s="460">
        <v>0</v>
      </c>
      <c r="BB62" s="460">
        <v>0</v>
      </c>
      <c r="BC62" s="460">
        <v>0</v>
      </c>
      <c r="BD62" s="460">
        <v>0</v>
      </c>
      <c r="BE62" s="460">
        <v>0</v>
      </c>
      <c r="BF62" s="460">
        <v>0</v>
      </c>
      <c r="BG62" s="460">
        <v>0</v>
      </c>
      <c r="BH62" s="460">
        <v>0</v>
      </c>
      <c r="BI62" s="460">
        <v>0</v>
      </c>
      <c r="BJ62" s="460">
        <v>0</v>
      </c>
      <c r="BK62" s="460">
        <v>0</v>
      </c>
      <c r="BL62" s="460">
        <v>0</v>
      </c>
      <c r="BM62" s="460">
        <v>0</v>
      </c>
      <c r="BN62" s="460">
        <v>0</v>
      </c>
      <c r="BO62" s="460">
        <v>0</v>
      </c>
      <c r="BP62" s="460">
        <v>0</v>
      </c>
      <c r="BQ62" s="460">
        <v>0</v>
      </c>
      <c r="BR62" s="460">
        <v>0</v>
      </c>
      <c r="BS62" s="460">
        <v>0</v>
      </c>
      <c r="BT62" s="460">
        <v>0</v>
      </c>
      <c r="BU62" s="460">
        <v>0</v>
      </c>
      <c r="BV62" s="460">
        <v>0</v>
      </c>
      <c r="BW62" s="460">
        <v>0</v>
      </c>
      <c r="BX62" s="460">
        <v>0</v>
      </c>
      <c r="BY62" s="460">
        <v>0</v>
      </c>
      <c r="BZ62" s="460">
        <v>0</v>
      </c>
      <c r="CA62" s="460" t="e">
        <v>#N/A</v>
      </c>
      <c r="CB62" s="460" t="e">
        <v>#N/A</v>
      </c>
      <c r="CC62" s="460" t="e">
        <v>#N/A</v>
      </c>
    </row>
    <row r="63" spans="1:81" ht="12.75" customHeight="1">
      <c r="A63" s="105">
        <v>58</v>
      </c>
      <c r="B63" s="112" t="str">
        <v>35Y</v>
      </c>
      <c r="C63" s="262">
        <f>'eur disaggregated'!AD74+'eur disaggregated'!AC74</f>
        <v>0</v>
      </c>
      <c r="D63" s="111" t="str">
        <f t="shared" si="3"/>
        <v>420M</v>
      </c>
      <c r="E63" s="441">
        <f>BktEur3mPL!E63</f>
        <v>42696</v>
      </c>
      <c r="F63" s="441">
        <f>BktEur3mPL!F63</f>
        <v>55479</v>
      </c>
      <c r="G63" s="462">
        <f t="shared" si="2"/>
        <v>1.1343177269999999E-2</v>
      </c>
      <c r="H63" s="453">
        <f>BktEur3mPL!H63</f>
        <v>1.134317727</v>
      </c>
      <c r="I63" s="107" t="str">
        <v>30Y</v>
      </c>
      <c r="J63" s="106" t="str">
        <f>IF(LEN(I63)&gt;0,IF((MID(I63,4,1)=" "),#REF!,IF((LEN(I63)=8),DATE("20" &amp; RIGHT(I63,2),MID(I63,4,2),LEFT(I63,2)),SimplifyTenor(I63))),"")</f>
        <v>360M</v>
      </c>
      <c r="K63" s="448">
        <f>_xll.qlCalendarAdvance("TARGET",SettlementDate,J63)</f>
        <v>53653</v>
      </c>
      <c r="M63" s="99" t="str">
        <v>30Y</v>
      </c>
      <c r="N63" s="465">
        <v>-5.5835288789031596E-10</v>
      </c>
      <c r="P63" s="106" t="b">
        <f t="shared" si="4"/>
        <v>0</v>
      </c>
      <c r="Q63" s="460">
        <f t="array" ref="Q63:CC63">C63*ForwardToZero(OisBuckets,E63,F63,G63)</f>
        <v>0</v>
      </c>
      <c r="R63" s="460">
        <v>0</v>
      </c>
      <c r="S63" s="460">
        <v>0</v>
      </c>
      <c r="T63" s="460">
        <v>0</v>
      </c>
      <c r="U63" s="460">
        <v>0</v>
      </c>
      <c r="V63" s="460">
        <v>0</v>
      </c>
      <c r="W63" s="460">
        <v>0</v>
      </c>
      <c r="X63" s="460">
        <v>0</v>
      </c>
      <c r="Y63" s="460">
        <v>0</v>
      </c>
      <c r="Z63" s="460">
        <v>0</v>
      </c>
      <c r="AA63" s="460">
        <v>0</v>
      </c>
      <c r="AB63" s="460">
        <v>0</v>
      </c>
      <c r="AC63" s="460">
        <v>0</v>
      </c>
      <c r="AD63" s="460">
        <v>0</v>
      </c>
      <c r="AE63" s="460">
        <v>0</v>
      </c>
      <c r="AF63" s="460">
        <v>0</v>
      </c>
      <c r="AG63" s="460">
        <v>0</v>
      </c>
      <c r="AH63" s="460">
        <v>0</v>
      </c>
      <c r="AI63" s="460">
        <v>0</v>
      </c>
      <c r="AJ63" s="460">
        <v>0</v>
      </c>
      <c r="AK63" s="460">
        <v>0</v>
      </c>
      <c r="AL63" s="460">
        <v>0</v>
      </c>
      <c r="AM63" s="460">
        <v>0</v>
      </c>
      <c r="AN63" s="460">
        <v>0</v>
      </c>
      <c r="AO63" s="460">
        <v>0</v>
      </c>
      <c r="AP63" s="460">
        <v>0</v>
      </c>
      <c r="AQ63" s="460">
        <v>0</v>
      </c>
      <c r="AR63" s="460">
        <v>0</v>
      </c>
      <c r="AS63" s="460">
        <v>0</v>
      </c>
      <c r="AT63" s="460">
        <v>0</v>
      </c>
      <c r="AU63" s="460">
        <v>0</v>
      </c>
      <c r="AV63" s="460">
        <v>0</v>
      </c>
      <c r="AW63" s="460">
        <v>0</v>
      </c>
      <c r="AX63" s="460">
        <v>0</v>
      </c>
      <c r="AY63" s="460">
        <v>0</v>
      </c>
      <c r="AZ63" s="460">
        <v>0</v>
      </c>
      <c r="BA63" s="460">
        <v>0</v>
      </c>
      <c r="BB63" s="460">
        <v>0</v>
      </c>
      <c r="BC63" s="460">
        <v>0</v>
      </c>
      <c r="BD63" s="460">
        <v>0</v>
      </c>
      <c r="BE63" s="460">
        <v>0</v>
      </c>
      <c r="BF63" s="460">
        <v>0</v>
      </c>
      <c r="BG63" s="460">
        <v>0</v>
      </c>
      <c r="BH63" s="460">
        <v>0</v>
      </c>
      <c r="BI63" s="460">
        <v>0</v>
      </c>
      <c r="BJ63" s="460">
        <v>0</v>
      </c>
      <c r="BK63" s="460">
        <v>0</v>
      </c>
      <c r="BL63" s="460">
        <v>0</v>
      </c>
      <c r="BM63" s="460">
        <v>0</v>
      </c>
      <c r="BN63" s="460">
        <v>0</v>
      </c>
      <c r="BO63" s="460">
        <v>0</v>
      </c>
      <c r="BP63" s="460">
        <v>0</v>
      </c>
      <c r="BQ63" s="460">
        <v>0</v>
      </c>
      <c r="BR63" s="460">
        <v>0</v>
      </c>
      <c r="BS63" s="460">
        <v>0</v>
      </c>
      <c r="BT63" s="460">
        <v>0</v>
      </c>
      <c r="BU63" s="460">
        <v>0</v>
      </c>
      <c r="BV63" s="460">
        <v>0</v>
      </c>
      <c r="BW63" s="460">
        <v>0</v>
      </c>
      <c r="BX63" s="460">
        <v>0</v>
      </c>
      <c r="BY63" s="460">
        <v>0</v>
      </c>
      <c r="BZ63" s="460">
        <v>0</v>
      </c>
      <c r="CA63" s="460" t="e">
        <v>#N/A</v>
      </c>
      <c r="CB63" s="460" t="e">
        <v>#N/A</v>
      </c>
      <c r="CC63" s="460" t="e">
        <v>#N/A</v>
      </c>
    </row>
    <row r="64" spans="1:81" ht="12.75" customHeight="1">
      <c r="A64" s="105">
        <v>59</v>
      </c>
      <c r="B64" s="112" t="str">
        <v>36Y</v>
      </c>
      <c r="C64" s="262">
        <f>'eur disaggregated'!AD75+'eur disaggregated'!AC75</f>
        <v>0</v>
      </c>
      <c r="D64" s="111" t="str">
        <f t="shared" si="3"/>
        <v>432M</v>
      </c>
      <c r="E64" s="441">
        <f>BktEur3mPL!E64</f>
        <v>42696</v>
      </c>
      <c r="F64" s="441">
        <f>BktEur3mPL!F64</f>
        <v>55845</v>
      </c>
      <c r="G64" s="462">
        <f t="shared" si="2"/>
        <v>1.133877474E-2</v>
      </c>
      <c r="H64" s="453">
        <f>BktEur3mPL!H64</f>
        <v>1.1338774739999999</v>
      </c>
      <c r="I64" s="107" t="str">
        <v>35Y</v>
      </c>
      <c r="J64" s="106" t="str">
        <f>IF(LEN(I64)&gt;0,IF((MID(I64,4,1)=" "),#REF!,IF((LEN(I64)=8),DATE("20" &amp; RIGHT(I64,2),MID(I64,4,2),LEFT(I64,2)),SimplifyTenor(I64))),"")</f>
        <v>420M</v>
      </c>
      <c r="K64" s="448">
        <f>_xll.qlCalendarAdvance("TARGET",SettlementDate,J64)</f>
        <v>55479</v>
      </c>
      <c r="M64" s="99" t="str">
        <v>35Y</v>
      </c>
      <c r="N64" s="465">
        <v>0</v>
      </c>
      <c r="P64" s="106" t="b">
        <f t="shared" si="4"/>
        <v>0</v>
      </c>
      <c r="Q64" s="460">
        <f t="array" ref="Q64:CC64">C64*ForwardToZero(OisBuckets,E64,F64,G64)</f>
        <v>0</v>
      </c>
      <c r="R64" s="460">
        <v>0</v>
      </c>
      <c r="S64" s="460">
        <v>0</v>
      </c>
      <c r="T64" s="460">
        <v>0</v>
      </c>
      <c r="U64" s="460">
        <v>0</v>
      </c>
      <c r="V64" s="460">
        <v>0</v>
      </c>
      <c r="W64" s="460">
        <v>0</v>
      </c>
      <c r="X64" s="460">
        <v>0</v>
      </c>
      <c r="Y64" s="460">
        <v>0</v>
      </c>
      <c r="Z64" s="460">
        <v>0</v>
      </c>
      <c r="AA64" s="460">
        <v>0</v>
      </c>
      <c r="AB64" s="460">
        <v>0</v>
      </c>
      <c r="AC64" s="460">
        <v>0</v>
      </c>
      <c r="AD64" s="460">
        <v>0</v>
      </c>
      <c r="AE64" s="460">
        <v>0</v>
      </c>
      <c r="AF64" s="460">
        <v>0</v>
      </c>
      <c r="AG64" s="460">
        <v>0</v>
      </c>
      <c r="AH64" s="460">
        <v>0</v>
      </c>
      <c r="AI64" s="460">
        <v>0</v>
      </c>
      <c r="AJ64" s="460">
        <v>0</v>
      </c>
      <c r="AK64" s="460">
        <v>0</v>
      </c>
      <c r="AL64" s="460">
        <v>0</v>
      </c>
      <c r="AM64" s="460">
        <v>0</v>
      </c>
      <c r="AN64" s="460">
        <v>0</v>
      </c>
      <c r="AO64" s="460">
        <v>0</v>
      </c>
      <c r="AP64" s="460">
        <v>0</v>
      </c>
      <c r="AQ64" s="460">
        <v>0</v>
      </c>
      <c r="AR64" s="460">
        <v>0</v>
      </c>
      <c r="AS64" s="460">
        <v>0</v>
      </c>
      <c r="AT64" s="460">
        <v>0</v>
      </c>
      <c r="AU64" s="460">
        <v>0</v>
      </c>
      <c r="AV64" s="460">
        <v>0</v>
      </c>
      <c r="AW64" s="460">
        <v>0</v>
      </c>
      <c r="AX64" s="460">
        <v>0</v>
      </c>
      <c r="AY64" s="460">
        <v>0</v>
      </c>
      <c r="AZ64" s="460">
        <v>0</v>
      </c>
      <c r="BA64" s="460">
        <v>0</v>
      </c>
      <c r="BB64" s="460">
        <v>0</v>
      </c>
      <c r="BC64" s="460">
        <v>0</v>
      </c>
      <c r="BD64" s="460">
        <v>0</v>
      </c>
      <c r="BE64" s="460">
        <v>0</v>
      </c>
      <c r="BF64" s="460">
        <v>0</v>
      </c>
      <c r="BG64" s="460">
        <v>0</v>
      </c>
      <c r="BH64" s="460">
        <v>0</v>
      </c>
      <c r="BI64" s="460">
        <v>0</v>
      </c>
      <c r="BJ64" s="460">
        <v>0</v>
      </c>
      <c r="BK64" s="460">
        <v>0</v>
      </c>
      <c r="BL64" s="460">
        <v>0</v>
      </c>
      <c r="BM64" s="460">
        <v>0</v>
      </c>
      <c r="BN64" s="460">
        <v>0</v>
      </c>
      <c r="BO64" s="460">
        <v>0</v>
      </c>
      <c r="BP64" s="460">
        <v>0</v>
      </c>
      <c r="BQ64" s="460">
        <v>0</v>
      </c>
      <c r="BR64" s="460">
        <v>0</v>
      </c>
      <c r="BS64" s="460">
        <v>0</v>
      </c>
      <c r="BT64" s="460">
        <v>0</v>
      </c>
      <c r="BU64" s="460">
        <v>0</v>
      </c>
      <c r="BV64" s="460">
        <v>0</v>
      </c>
      <c r="BW64" s="460">
        <v>0</v>
      </c>
      <c r="BX64" s="460">
        <v>0</v>
      </c>
      <c r="BY64" s="460">
        <v>0</v>
      </c>
      <c r="BZ64" s="460">
        <v>0</v>
      </c>
      <c r="CA64" s="460" t="e">
        <v>#N/A</v>
      </c>
      <c r="CB64" s="460" t="e">
        <v>#N/A</v>
      </c>
      <c r="CC64" s="460" t="e">
        <v>#N/A</v>
      </c>
    </row>
    <row r="65" spans="1:81" ht="12.75" customHeight="1">
      <c r="A65" s="105">
        <v>60</v>
      </c>
      <c r="B65" s="112" t="str">
        <v>37Y</v>
      </c>
      <c r="C65" s="262">
        <f>'eur disaggregated'!AD76+'eur disaggregated'!AC76</f>
        <v>0</v>
      </c>
      <c r="D65" s="111" t="str">
        <f t="shared" si="3"/>
        <v>444M</v>
      </c>
      <c r="E65" s="441">
        <f>BktEur3mPL!E65</f>
        <v>42696</v>
      </c>
      <c r="F65" s="441">
        <f>BktEur3mPL!F65</f>
        <v>56212</v>
      </c>
      <c r="G65" s="462">
        <f t="shared" si="2"/>
        <v>1.1327995289999998E-2</v>
      </c>
      <c r="H65" s="453">
        <f>BktEur3mPL!H65</f>
        <v>1.1327995289999999</v>
      </c>
      <c r="I65" s="107" t="str">
        <v>40Y</v>
      </c>
      <c r="J65" s="106" t="str">
        <f>IF(LEN(I65)&gt;0,IF((MID(I65,4,1)=" "),#REF!,IF((LEN(I65)=8),DATE("20" &amp; RIGHT(I65,2),MID(I65,4,2),LEFT(I65,2)),SimplifyTenor(I65))),"")</f>
        <v>480M</v>
      </c>
      <c r="K65" s="448">
        <f>_xll.qlCalendarAdvance("TARGET",SettlementDate,J65)</f>
        <v>57306</v>
      </c>
      <c r="M65" s="99" t="str">
        <v>40Y</v>
      </c>
      <c r="N65" s="465">
        <v>0</v>
      </c>
      <c r="P65" s="106" t="b">
        <f t="shared" si="4"/>
        <v>0</v>
      </c>
      <c r="Q65" s="460">
        <f t="array" ref="Q65:CC65">C65*ForwardToZero(OisBuckets,E65,F65,G65)</f>
        <v>0</v>
      </c>
      <c r="R65" s="460">
        <v>0</v>
      </c>
      <c r="S65" s="460">
        <v>0</v>
      </c>
      <c r="T65" s="460">
        <v>0</v>
      </c>
      <c r="U65" s="460">
        <v>0</v>
      </c>
      <c r="V65" s="460">
        <v>0</v>
      </c>
      <c r="W65" s="460">
        <v>0</v>
      </c>
      <c r="X65" s="460">
        <v>0</v>
      </c>
      <c r="Y65" s="460">
        <v>0</v>
      </c>
      <c r="Z65" s="460">
        <v>0</v>
      </c>
      <c r="AA65" s="460">
        <v>0</v>
      </c>
      <c r="AB65" s="460">
        <v>0</v>
      </c>
      <c r="AC65" s="460">
        <v>0</v>
      </c>
      <c r="AD65" s="460">
        <v>0</v>
      </c>
      <c r="AE65" s="460">
        <v>0</v>
      </c>
      <c r="AF65" s="460">
        <v>0</v>
      </c>
      <c r="AG65" s="460">
        <v>0</v>
      </c>
      <c r="AH65" s="460">
        <v>0</v>
      </c>
      <c r="AI65" s="460">
        <v>0</v>
      </c>
      <c r="AJ65" s="460">
        <v>0</v>
      </c>
      <c r="AK65" s="460">
        <v>0</v>
      </c>
      <c r="AL65" s="460">
        <v>0</v>
      </c>
      <c r="AM65" s="460">
        <v>0</v>
      </c>
      <c r="AN65" s="460">
        <v>0</v>
      </c>
      <c r="AO65" s="460">
        <v>0</v>
      </c>
      <c r="AP65" s="460">
        <v>0</v>
      </c>
      <c r="AQ65" s="460">
        <v>0</v>
      </c>
      <c r="AR65" s="460">
        <v>0</v>
      </c>
      <c r="AS65" s="460">
        <v>0</v>
      </c>
      <c r="AT65" s="460">
        <v>0</v>
      </c>
      <c r="AU65" s="460">
        <v>0</v>
      </c>
      <c r="AV65" s="460">
        <v>0</v>
      </c>
      <c r="AW65" s="460">
        <v>0</v>
      </c>
      <c r="AX65" s="460">
        <v>0</v>
      </c>
      <c r="AY65" s="460">
        <v>0</v>
      </c>
      <c r="AZ65" s="460">
        <v>0</v>
      </c>
      <c r="BA65" s="460">
        <v>0</v>
      </c>
      <c r="BB65" s="460">
        <v>0</v>
      </c>
      <c r="BC65" s="460">
        <v>0</v>
      </c>
      <c r="BD65" s="460">
        <v>0</v>
      </c>
      <c r="BE65" s="460">
        <v>0</v>
      </c>
      <c r="BF65" s="460">
        <v>0</v>
      </c>
      <c r="BG65" s="460">
        <v>0</v>
      </c>
      <c r="BH65" s="460">
        <v>0</v>
      </c>
      <c r="BI65" s="460">
        <v>0</v>
      </c>
      <c r="BJ65" s="460">
        <v>0</v>
      </c>
      <c r="BK65" s="460">
        <v>0</v>
      </c>
      <c r="BL65" s="460">
        <v>0</v>
      </c>
      <c r="BM65" s="460">
        <v>0</v>
      </c>
      <c r="BN65" s="460">
        <v>0</v>
      </c>
      <c r="BO65" s="460">
        <v>0</v>
      </c>
      <c r="BP65" s="460">
        <v>0</v>
      </c>
      <c r="BQ65" s="460">
        <v>0</v>
      </c>
      <c r="BR65" s="460">
        <v>0</v>
      </c>
      <c r="BS65" s="460">
        <v>0</v>
      </c>
      <c r="BT65" s="460">
        <v>0</v>
      </c>
      <c r="BU65" s="460">
        <v>0</v>
      </c>
      <c r="BV65" s="460">
        <v>0</v>
      </c>
      <c r="BW65" s="460">
        <v>0</v>
      </c>
      <c r="BX65" s="460">
        <v>0</v>
      </c>
      <c r="BY65" s="460">
        <v>0</v>
      </c>
      <c r="BZ65" s="460">
        <v>0</v>
      </c>
      <c r="CA65" s="460" t="e">
        <v>#N/A</v>
      </c>
      <c r="CB65" s="460" t="e">
        <v>#N/A</v>
      </c>
      <c r="CC65" s="460" t="e">
        <v>#N/A</v>
      </c>
    </row>
    <row r="66" spans="1:81" ht="12.75" customHeight="1">
      <c r="A66" s="105">
        <v>61</v>
      </c>
      <c r="B66" s="112" t="str">
        <v>38Y</v>
      </c>
      <c r="C66" s="262">
        <f>'eur disaggregated'!AD77+'eur disaggregated'!AC77</f>
        <v>0</v>
      </c>
      <c r="D66" s="111" t="str">
        <f t="shared" si="3"/>
        <v>456M</v>
      </c>
      <c r="E66" s="441">
        <f>BktEur3mPL!E66</f>
        <v>42696</v>
      </c>
      <c r="F66" s="441">
        <f>BktEur3mPL!F66</f>
        <v>56576</v>
      </c>
      <c r="G66" s="462">
        <f t="shared" si="2"/>
        <v>1.1311357609999999E-2</v>
      </c>
      <c r="H66" s="453">
        <f>BktEur3mPL!H66</f>
        <v>1.1311357609999999</v>
      </c>
      <c r="I66" s="107" t="str">
        <v>50Y</v>
      </c>
      <c r="J66" s="106" t="str">
        <f>IF(LEN(I66)&gt;0,IF((MID(I66,4,1)=" "),#REF!,IF((LEN(I66)=8),DATE("20" &amp; RIGHT(I66,2),MID(I66,4,2),LEFT(I66,2)),SimplifyTenor(I66))),"")</f>
        <v>600M</v>
      </c>
      <c r="K66" s="448">
        <f>_xll.qlCalendarAdvance("TARGET",SettlementDate,J66)</f>
        <v>60958</v>
      </c>
      <c r="M66" s="99" t="str">
        <v>50Y</v>
      </c>
      <c r="N66" s="465">
        <v>0</v>
      </c>
      <c r="P66" s="106" t="b">
        <f t="shared" si="4"/>
        <v>0</v>
      </c>
      <c r="Q66" s="460">
        <f t="array" ref="Q66:CC66">C66*ForwardToZero(OisBuckets,E66,F66,G66)</f>
        <v>0</v>
      </c>
      <c r="R66" s="460">
        <v>0</v>
      </c>
      <c r="S66" s="460">
        <v>0</v>
      </c>
      <c r="T66" s="460">
        <v>0</v>
      </c>
      <c r="U66" s="460">
        <v>0</v>
      </c>
      <c r="V66" s="460">
        <v>0</v>
      </c>
      <c r="W66" s="460">
        <v>0</v>
      </c>
      <c r="X66" s="460">
        <v>0</v>
      </c>
      <c r="Y66" s="460">
        <v>0</v>
      </c>
      <c r="Z66" s="460">
        <v>0</v>
      </c>
      <c r="AA66" s="460">
        <v>0</v>
      </c>
      <c r="AB66" s="460">
        <v>0</v>
      </c>
      <c r="AC66" s="460">
        <v>0</v>
      </c>
      <c r="AD66" s="460">
        <v>0</v>
      </c>
      <c r="AE66" s="460">
        <v>0</v>
      </c>
      <c r="AF66" s="460">
        <v>0</v>
      </c>
      <c r="AG66" s="460">
        <v>0</v>
      </c>
      <c r="AH66" s="460">
        <v>0</v>
      </c>
      <c r="AI66" s="460">
        <v>0</v>
      </c>
      <c r="AJ66" s="460">
        <v>0</v>
      </c>
      <c r="AK66" s="460">
        <v>0</v>
      </c>
      <c r="AL66" s="460">
        <v>0</v>
      </c>
      <c r="AM66" s="460">
        <v>0</v>
      </c>
      <c r="AN66" s="460">
        <v>0</v>
      </c>
      <c r="AO66" s="460">
        <v>0</v>
      </c>
      <c r="AP66" s="460">
        <v>0</v>
      </c>
      <c r="AQ66" s="460">
        <v>0</v>
      </c>
      <c r="AR66" s="460">
        <v>0</v>
      </c>
      <c r="AS66" s="460">
        <v>0</v>
      </c>
      <c r="AT66" s="460">
        <v>0</v>
      </c>
      <c r="AU66" s="460">
        <v>0</v>
      </c>
      <c r="AV66" s="460">
        <v>0</v>
      </c>
      <c r="AW66" s="460">
        <v>0</v>
      </c>
      <c r="AX66" s="460">
        <v>0</v>
      </c>
      <c r="AY66" s="460">
        <v>0</v>
      </c>
      <c r="AZ66" s="460">
        <v>0</v>
      </c>
      <c r="BA66" s="460">
        <v>0</v>
      </c>
      <c r="BB66" s="460">
        <v>0</v>
      </c>
      <c r="BC66" s="460">
        <v>0</v>
      </c>
      <c r="BD66" s="460">
        <v>0</v>
      </c>
      <c r="BE66" s="460">
        <v>0</v>
      </c>
      <c r="BF66" s="460">
        <v>0</v>
      </c>
      <c r="BG66" s="460">
        <v>0</v>
      </c>
      <c r="BH66" s="460">
        <v>0</v>
      </c>
      <c r="BI66" s="460">
        <v>0</v>
      </c>
      <c r="BJ66" s="460">
        <v>0</v>
      </c>
      <c r="BK66" s="460">
        <v>0</v>
      </c>
      <c r="BL66" s="460">
        <v>0</v>
      </c>
      <c r="BM66" s="460">
        <v>0</v>
      </c>
      <c r="BN66" s="460">
        <v>0</v>
      </c>
      <c r="BO66" s="460">
        <v>0</v>
      </c>
      <c r="BP66" s="460">
        <v>0</v>
      </c>
      <c r="BQ66" s="460">
        <v>0</v>
      </c>
      <c r="BR66" s="460">
        <v>0</v>
      </c>
      <c r="BS66" s="460">
        <v>0</v>
      </c>
      <c r="BT66" s="460">
        <v>0</v>
      </c>
      <c r="BU66" s="460">
        <v>0</v>
      </c>
      <c r="BV66" s="460">
        <v>0</v>
      </c>
      <c r="BW66" s="460">
        <v>0</v>
      </c>
      <c r="BX66" s="460">
        <v>0</v>
      </c>
      <c r="BY66" s="460">
        <v>0</v>
      </c>
      <c r="BZ66" s="460">
        <v>0</v>
      </c>
      <c r="CA66" s="460" t="e">
        <v>#N/A</v>
      </c>
      <c r="CB66" s="460" t="e">
        <v>#N/A</v>
      </c>
      <c r="CC66" s="460" t="e">
        <v>#N/A</v>
      </c>
    </row>
    <row r="67" spans="1:81" ht="12.75" customHeight="1">
      <c r="A67" s="105">
        <v>62</v>
      </c>
      <c r="B67" s="112" t="str">
        <v>39Y</v>
      </c>
      <c r="C67" s="262">
        <f>'eur disaggregated'!AD78+'eur disaggregated'!AC78</f>
        <v>0</v>
      </c>
      <c r="D67" s="111" t="str">
        <f t="shared" si="3"/>
        <v>468M</v>
      </c>
      <c r="E67" s="441">
        <f>BktEur3mPL!E67</f>
        <v>42696</v>
      </c>
      <c r="F67" s="441">
        <f>BktEur3mPL!F67</f>
        <v>56940</v>
      </c>
      <c r="G67" s="462">
        <f t="shared" si="2"/>
        <v>1.1288653820000001E-2</v>
      </c>
      <c r="H67" s="453">
        <f>BktEur3mPL!H67</f>
        <v>1.1288653820000001</v>
      </c>
      <c r="I67" s="107" t="str">
        <v>60Y</v>
      </c>
      <c r="J67" s="106" t="str">
        <f>IF(LEN(I67)&gt;0,IF((MID(I67,4,1)=" "),#REF!,IF((LEN(I67)=8),DATE("20" &amp; RIGHT(I67,2),MID(I67,4,2),LEFT(I67,2)),SimplifyTenor(I67))),"")</f>
        <v>720M</v>
      </c>
      <c r="K67" s="448">
        <f>_xll.qlCalendarAdvance("TARGET",SettlementDate,J67)</f>
        <v>64612</v>
      </c>
      <c r="M67" s="99" t="str">
        <v>60Y</v>
      </c>
      <c r="N67" s="465">
        <v>0</v>
      </c>
      <c r="P67" s="106" t="b">
        <f t="shared" si="4"/>
        <v>0</v>
      </c>
      <c r="Q67" s="460">
        <f t="array" ref="Q67:CC67">C67*ForwardToZero(OisBuckets,E67,F67,G67)</f>
        <v>0</v>
      </c>
      <c r="R67" s="460">
        <v>0</v>
      </c>
      <c r="S67" s="460">
        <v>0</v>
      </c>
      <c r="T67" s="460">
        <v>0</v>
      </c>
      <c r="U67" s="460">
        <v>0</v>
      </c>
      <c r="V67" s="460">
        <v>0</v>
      </c>
      <c r="W67" s="460">
        <v>0</v>
      </c>
      <c r="X67" s="460">
        <v>0</v>
      </c>
      <c r="Y67" s="460">
        <v>0</v>
      </c>
      <c r="Z67" s="460">
        <v>0</v>
      </c>
      <c r="AA67" s="460">
        <v>0</v>
      </c>
      <c r="AB67" s="460">
        <v>0</v>
      </c>
      <c r="AC67" s="460">
        <v>0</v>
      </c>
      <c r="AD67" s="460">
        <v>0</v>
      </c>
      <c r="AE67" s="460">
        <v>0</v>
      </c>
      <c r="AF67" s="460">
        <v>0</v>
      </c>
      <c r="AG67" s="460">
        <v>0</v>
      </c>
      <c r="AH67" s="460">
        <v>0</v>
      </c>
      <c r="AI67" s="460">
        <v>0</v>
      </c>
      <c r="AJ67" s="460">
        <v>0</v>
      </c>
      <c r="AK67" s="460">
        <v>0</v>
      </c>
      <c r="AL67" s="460">
        <v>0</v>
      </c>
      <c r="AM67" s="460">
        <v>0</v>
      </c>
      <c r="AN67" s="460">
        <v>0</v>
      </c>
      <c r="AO67" s="460">
        <v>0</v>
      </c>
      <c r="AP67" s="460">
        <v>0</v>
      </c>
      <c r="AQ67" s="460">
        <v>0</v>
      </c>
      <c r="AR67" s="460">
        <v>0</v>
      </c>
      <c r="AS67" s="460">
        <v>0</v>
      </c>
      <c r="AT67" s="460">
        <v>0</v>
      </c>
      <c r="AU67" s="460">
        <v>0</v>
      </c>
      <c r="AV67" s="460">
        <v>0</v>
      </c>
      <c r="AW67" s="460">
        <v>0</v>
      </c>
      <c r="AX67" s="460">
        <v>0</v>
      </c>
      <c r="AY67" s="460">
        <v>0</v>
      </c>
      <c r="AZ67" s="460">
        <v>0</v>
      </c>
      <c r="BA67" s="460">
        <v>0</v>
      </c>
      <c r="BB67" s="460">
        <v>0</v>
      </c>
      <c r="BC67" s="460">
        <v>0</v>
      </c>
      <c r="BD67" s="460">
        <v>0</v>
      </c>
      <c r="BE67" s="460">
        <v>0</v>
      </c>
      <c r="BF67" s="460">
        <v>0</v>
      </c>
      <c r="BG67" s="460">
        <v>0</v>
      </c>
      <c r="BH67" s="460">
        <v>0</v>
      </c>
      <c r="BI67" s="460">
        <v>0</v>
      </c>
      <c r="BJ67" s="460">
        <v>0</v>
      </c>
      <c r="BK67" s="460">
        <v>0</v>
      </c>
      <c r="BL67" s="460">
        <v>0</v>
      </c>
      <c r="BM67" s="460">
        <v>0</v>
      </c>
      <c r="BN67" s="460">
        <v>0</v>
      </c>
      <c r="BO67" s="460">
        <v>0</v>
      </c>
      <c r="BP67" s="460">
        <v>0</v>
      </c>
      <c r="BQ67" s="460">
        <v>0</v>
      </c>
      <c r="BR67" s="460">
        <v>0</v>
      </c>
      <c r="BS67" s="460">
        <v>0</v>
      </c>
      <c r="BT67" s="460">
        <v>0</v>
      </c>
      <c r="BU67" s="460">
        <v>0</v>
      </c>
      <c r="BV67" s="460">
        <v>0</v>
      </c>
      <c r="BW67" s="460">
        <v>0</v>
      </c>
      <c r="BX67" s="460">
        <v>0</v>
      </c>
      <c r="BY67" s="460">
        <v>0</v>
      </c>
      <c r="BZ67" s="460">
        <v>0</v>
      </c>
      <c r="CA67" s="460" t="e">
        <v>#N/A</v>
      </c>
      <c r="CB67" s="460" t="e">
        <v>#N/A</v>
      </c>
      <c r="CC67" s="460" t="e">
        <v>#N/A</v>
      </c>
    </row>
    <row r="68" spans="1:81" ht="12.75" customHeight="1">
      <c r="A68" s="105">
        <v>63</v>
      </c>
      <c r="B68" s="112" t="str">
        <v>40Y</v>
      </c>
      <c r="C68" s="262">
        <f>'eur disaggregated'!AD79+'eur disaggregated'!AC79</f>
        <v>0</v>
      </c>
      <c r="D68" s="111" t="str">
        <f t="shared" si="3"/>
        <v>480M</v>
      </c>
      <c r="E68" s="441">
        <f>BktEur3mPL!E68</f>
        <v>42696</v>
      </c>
      <c r="F68" s="441">
        <f>BktEur3mPL!F68</f>
        <v>57306</v>
      </c>
      <c r="G68" s="462">
        <f t="shared" si="2"/>
        <v>1.1259999999999999E-2</v>
      </c>
      <c r="H68" s="453">
        <f>BktEur3mPL!H68</f>
        <v>1.1259999999999999</v>
      </c>
      <c r="I68" s="107" t="e">
        <v>#N/A</v>
      </c>
      <c r="J68" s="106" t="e">
        <f>IF(LEN(I68)&gt;0,IF((MID(I68,4,1)=" "),#REF!,IF((LEN(I68)=8),DATE("20" &amp; RIGHT(I68,2),MID(I68,4,2),LEFT(I68,2)),SimplifyTenor(I68))),"")</f>
        <v>#N/A</v>
      </c>
      <c r="K68" s="448" t="e">
        <f>_xll.qlCalendarAdvance("TARGET",SettlementDate,J68)</f>
        <v>#NUM!</v>
      </c>
      <c r="M68" s="99" t="e">
        <v>#N/A</v>
      </c>
      <c r="N68" s="465" t="e">
        <v>#N/A</v>
      </c>
      <c r="P68" s="106" t="b">
        <f t="shared" si="4"/>
        <v>0</v>
      </c>
      <c r="Q68" s="460">
        <f t="array" ref="Q68:CC68">C68*ForwardToZero(OisBuckets,E68,F68,G68)</f>
        <v>0</v>
      </c>
      <c r="R68" s="460">
        <v>0</v>
      </c>
      <c r="S68" s="460">
        <v>0</v>
      </c>
      <c r="T68" s="460">
        <v>0</v>
      </c>
      <c r="U68" s="460">
        <v>0</v>
      </c>
      <c r="V68" s="460">
        <v>0</v>
      </c>
      <c r="W68" s="460">
        <v>0</v>
      </c>
      <c r="X68" s="460">
        <v>0</v>
      </c>
      <c r="Y68" s="460">
        <v>0</v>
      </c>
      <c r="Z68" s="460">
        <v>0</v>
      </c>
      <c r="AA68" s="460">
        <v>0</v>
      </c>
      <c r="AB68" s="460">
        <v>0</v>
      </c>
      <c r="AC68" s="460">
        <v>0</v>
      </c>
      <c r="AD68" s="460">
        <v>0</v>
      </c>
      <c r="AE68" s="460">
        <v>0</v>
      </c>
      <c r="AF68" s="460">
        <v>0</v>
      </c>
      <c r="AG68" s="460">
        <v>0</v>
      </c>
      <c r="AH68" s="460">
        <v>0</v>
      </c>
      <c r="AI68" s="460">
        <v>0</v>
      </c>
      <c r="AJ68" s="460">
        <v>0</v>
      </c>
      <c r="AK68" s="460">
        <v>0</v>
      </c>
      <c r="AL68" s="460">
        <v>0</v>
      </c>
      <c r="AM68" s="460">
        <v>0</v>
      </c>
      <c r="AN68" s="460">
        <v>0</v>
      </c>
      <c r="AO68" s="460">
        <v>0</v>
      </c>
      <c r="AP68" s="460">
        <v>0</v>
      </c>
      <c r="AQ68" s="460">
        <v>0</v>
      </c>
      <c r="AR68" s="460">
        <v>0</v>
      </c>
      <c r="AS68" s="460">
        <v>0</v>
      </c>
      <c r="AT68" s="460">
        <v>0</v>
      </c>
      <c r="AU68" s="460">
        <v>0</v>
      </c>
      <c r="AV68" s="460">
        <v>0</v>
      </c>
      <c r="AW68" s="460">
        <v>0</v>
      </c>
      <c r="AX68" s="460">
        <v>0</v>
      </c>
      <c r="AY68" s="460">
        <v>0</v>
      </c>
      <c r="AZ68" s="460">
        <v>0</v>
      </c>
      <c r="BA68" s="460">
        <v>0</v>
      </c>
      <c r="BB68" s="460">
        <v>0</v>
      </c>
      <c r="BC68" s="460">
        <v>0</v>
      </c>
      <c r="BD68" s="460">
        <v>0</v>
      </c>
      <c r="BE68" s="460">
        <v>0</v>
      </c>
      <c r="BF68" s="460">
        <v>0</v>
      </c>
      <c r="BG68" s="460">
        <v>0</v>
      </c>
      <c r="BH68" s="460">
        <v>0</v>
      </c>
      <c r="BI68" s="460">
        <v>0</v>
      </c>
      <c r="BJ68" s="460">
        <v>0</v>
      </c>
      <c r="BK68" s="460">
        <v>0</v>
      </c>
      <c r="BL68" s="460">
        <v>0</v>
      </c>
      <c r="BM68" s="460">
        <v>0</v>
      </c>
      <c r="BN68" s="460">
        <v>0</v>
      </c>
      <c r="BO68" s="460">
        <v>0</v>
      </c>
      <c r="BP68" s="460">
        <v>0</v>
      </c>
      <c r="BQ68" s="460">
        <v>0</v>
      </c>
      <c r="BR68" s="460">
        <v>0</v>
      </c>
      <c r="BS68" s="460">
        <v>0</v>
      </c>
      <c r="BT68" s="460">
        <v>0</v>
      </c>
      <c r="BU68" s="460">
        <v>0</v>
      </c>
      <c r="BV68" s="460">
        <v>0</v>
      </c>
      <c r="BW68" s="460">
        <v>0</v>
      </c>
      <c r="BX68" s="460">
        <v>0</v>
      </c>
      <c r="BY68" s="460">
        <v>0</v>
      </c>
      <c r="BZ68" s="460">
        <v>0</v>
      </c>
      <c r="CA68" s="460" t="e">
        <v>#N/A</v>
      </c>
      <c r="CB68" s="460" t="e">
        <v>#N/A</v>
      </c>
      <c r="CC68" s="460" t="e">
        <v>#N/A</v>
      </c>
    </row>
    <row r="69" spans="1:81" ht="12.75" customHeight="1">
      <c r="A69" s="105">
        <v>64</v>
      </c>
      <c r="B69" s="112" t="str">
        <v>50Y</v>
      </c>
      <c r="C69" s="262">
        <f>'eur disaggregated'!AD80+'eur disaggregated'!AC80</f>
        <v>0</v>
      </c>
      <c r="D69" s="111" t="str">
        <f t="shared" si="3"/>
        <v>600M</v>
      </c>
      <c r="E69" s="441">
        <f>BktEur3mPL!E69</f>
        <v>42696</v>
      </c>
      <c r="F69" s="441">
        <f>BktEur3mPL!F69</f>
        <v>60958</v>
      </c>
      <c r="G69" s="462">
        <f t="shared" si="2"/>
        <v>1.0789999999999999E-2</v>
      </c>
      <c r="H69" s="453">
        <f>BktEur3mPL!H69</f>
        <v>1.079</v>
      </c>
      <c r="I69" s="107" t="e">
        <v>#N/A</v>
      </c>
      <c r="J69" s="106" t="e">
        <f>IF(LEN(I69)&gt;0,IF((MID(I69,4,1)=" "),#REF!,IF((LEN(I69)=8),DATE("20" &amp; RIGHT(I69,2),MID(I69,4,2),LEFT(I69,2)),SimplifyTenor(I69))),"")</f>
        <v>#N/A</v>
      </c>
      <c r="K69" s="448" t="e">
        <f>_xll.qlCalendarAdvance("TARGET",SettlementDate,J69)</f>
        <v>#NUM!</v>
      </c>
      <c r="M69" s="99" t="e">
        <v>#N/A</v>
      </c>
      <c r="N69" s="465" t="e">
        <v>#N/A</v>
      </c>
      <c r="P69" s="106" t="b">
        <f t="shared" si="4"/>
        <v>0</v>
      </c>
      <c r="Q69" s="460">
        <f t="array" ref="Q69:CC69">C69*ForwardToZero(OisBuckets,E69,F69,G69)</f>
        <v>0</v>
      </c>
      <c r="R69" s="460">
        <v>0</v>
      </c>
      <c r="S69" s="460">
        <v>0</v>
      </c>
      <c r="T69" s="460">
        <v>0</v>
      </c>
      <c r="U69" s="460">
        <v>0</v>
      </c>
      <c r="V69" s="460">
        <v>0</v>
      </c>
      <c r="W69" s="460">
        <v>0</v>
      </c>
      <c r="X69" s="460">
        <v>0</v>
      </c>
      <c r="Y69" s="460">
        <v>0</v>
      </c>
      <c r="Z69" s="460">
        <v>0</v>
      </c>
      <c r="AA69" s="460">
        <v>0</v>
      </c>
      <c r="AB69" s="460">
        <v>0</v>
      </c>
      <c r="AC69" s="460">
        <v>0</v>
      </c>
      <c r="AD69" s="460">
        <v>0</v>
      </c>
      <c r="AE69" s="460">
        <v>0</v>
      </c>
      <c r="AF69" s="460">
        <v>0</v>
      </c>
      <c r="AG69" s="460">
        <v>0</v>
      </c>
      <c r="AH69" s="460">
        <v>0</v>
      </c>
      <c r="AI69" s="460">
        <v>0</v>
      </c>
      <c r="AJ69" s="460">
        <v>0</v>
      </c>
      <c r="AK69" s="460">
        <v>0</v>
      </c>
      <c r="AL69" s="460">
        <v>0</v>
      </c>
      <c r="AM69" s="460">
        <v>0</v>
      </c>
      <c r="AN69" s="460">
        <v>0</v>
      </c>
      <c r="AO69" s="460">
        <v>0</v>
      </c>
      <c r="AP69" s="460">
        <v>0</v>
      </c>
      <c r="AQ69" s="460">
        <v>0</v>
      </c>
      <c r="AR69" s="460">
        <v>0</v>
      </c>
      <c r="AS69" s="460">
        <v>0</v>
      </c>
      <c r="AT69" s="460">
        <v>0</v>
      </c>
      <c r="AU69" s="460">
        <v>0</v>
      </c>
      <c r="AV69" s="460">
        <v>0</v>
      </c>
      <c r="AW69" s="460">
        <v>0</v>
      </c>
      <c r="AX69" s="460">
        <v>0</v>
      </c>
      <c r="AY69" s="460">
        <v>0</v>
      </c>
      <c r="AZ69" s="460">
        <v>0</v>
      </c>
      <c r="BA69" s="460">
        <v>0</v>
      </c>
      <c r="BB69" s="460">
        <v>0</v>
      </c>
      <c r="BC69" s="460">
        <v>0</v>
      </c>
      <c r="BD69" s="460">
        <v>0</v>
      </c>
      <c r="BE69" s="460">
        <v>0</v>
      </c>
      <c r="BF69" s="460">
        <v>0</v>
      </c>
      <c r="BG69" s="460">
        <v>0</v>
      </c>
      <c r="BH69" s="460">
        <v>0</v>
      </c>
      <c r="BI69" s="460">
        <v>0</v>
      </c>
      <c r="BJ69" s="460">
        <v>0</v>
      </c>
      <c r="BK69" s="460">
        <v>0</v>
      </c>
      <c r="BL69" s="460">
        <v>0</v>
      </c>
      <c r="BM69" s="460">
        <v>0</v>
      </c>
      <c r="BN69" s="460">
        <v>0</v>
      </c>
      <c r="BO69" s="460">
        <v>0</v>
      </c>
      <c r="BP69" s="460">
        <v>0</v>
      </c>
      <c r="BQ69" s="460">
        <v>0</v>
      </c>
      <c r="BR69" s="460">
        <v>0</v>
      </c>
      <c r="BS69" s="460">
        <v>0</v>
      </c>
      <c r="BT69" s="460">
        <v>0</v>
      </c>
      <c r="BU69" s="460">
        <v>0</v>
      </c>
      <c r="BV69" s="460">
        <v>0</v>
      </c>
      <c r="BW69" s="460">
        <v>0</v>
      </c>
      <c r="BX69" s="460">
        <v>0</v>
      </c>
      <c r="BY69" s="460">
        <v>0</v>
      </c>
      <c r="BZ69" s="460">
        <v>0</v>
      </c>
      <c r="CA69" s="460" t="e">
        <v>#N/A</v>
      </c>
      <c r="CB69" s="460" t="e">
        <v>#N/A</v>
      </c>
      <c r="CC69" s="460" t="e">
        <v>#N/A</v>
      </c>
    </row>
    <row r="70" spans="1:81" ht="12.75" customHeight="1">
      <c r="A70" s="105">
        <v>65</v>
      </c>
      <c r="B70" s="112" t="str">
        <v>60Y</v>
      </c>
      <c r="C70" s="262">
        <f>'eur disaggregated'!AD81+'eur disaggregated'!AC81</f>
        <v>0</v>
      </c>
      <c r="D70" s="111" t="str">
        <f t="shared" si="3"/>
        <v>720M</v>
      </c>
      <c r="E70" s="441">
        <f>BktEur3mPL!E70</f>
        <v>42696</v>
      </c>
      <c r="F70" s="441">
        <f>BktEur3mPL!F70</f>
        <v>64612</v>
      </c>
      <c r="G70" s="462">
        <f t="shared" si="2"/>
        <v>1.048E-2</v>
      </c>
      <c r="H70" s="453">
        <f>BktEur3mPL!H70</f>
        <v>1.048</v>
      </c>
      <c r="I70" s="107" t="e">
        <v>#N/A</v>
      </c>
      <c r="J70" s="106" t="e">
        <f>IF(LEN(I70)&gt;0,IF((MID(I70,4,1)=" "),#REF!,IF((LEN(I70)=8),DATE("20" &amp; RIGHT(I70,2),MID(I70,4,2),LEFT(I70,2)),SimplifyTenor(I70))),"")</f>
        <v>#N/A</v>
      </c>
      <c r="K70" s="448" t="e">
        <f>_xll.qlCalendarAdvance("TARGET",SettlementDate,J70)</f>
        <v>#NUM!</v>
      </c>
      <c r="M70" s="99" t="e">
        <v>#N/A</v>
      </c>
      <c r="N70" s="465" t="e">
        <v>#N/A</v>
      </c>
      <c r="P70" s="106" t="b">
        <f t="shared" si="4"/>
        <v>0</v>
      </c>
      <c r="Q70" s="461"/>
      <c r="R70" s="461"/>
      <c r="S70" s="461"/>
      <c r="T70" s="461"/>
      <c r="U70" s="461"/>
      <c r="V70" s="461"/>
      <c r="W70" s="461"/>
      <c r="X70" s="461"/>
      <c r="Y70" s="461"/>
      <c r="Z70" s="461"/>
      <c r="AA70" s="461"/>
      <c r="AB70" s="461"/>
      <c r="AC70" s="461"/>
      <c r="AD70" s="461"/>
      <c r="AE70" s="461"/>
      <c r="AF70" s="461"/>
      <c r="AG70" s="461"/>
      <c r="AH70" s="461"/>
      <c r="AI70" s="461"/>
      <c r="AJ70" s="461"/>
      <c r="AK70" s="461"/>
      <c r="AL70" s="461"/>
      <c r="AM70" s="461"/>
      <c r="AN70" s="461"/>
      <c r="AO70" s="461"/>
      <c r="AP70" s="461"/>
      <c r="AQ70" s="461"/>
      <c r="AR70" s="461"/>
      <c r="AS70" s="461"/>
      <c r="AT70" s="461"/>
      <c r="AU70" s="461"/>
      <c r="AV70" s="461"/>
      <c r="AW70" s="461"/>
      <c r="AX70" s="461"/>
      <c r="AY70" s="461"/>
      <c r="AZ70" s="461"/>
      <c r="BA70" s="461"/>
      <c r="BB70" s="461"/>
      <c r="BC70" s="461"/>
      <c r="BD70" s="461"/>
      <c r="BE70" s="461"/>
      <c r="BF70" s="461"/>
      <c r="BG70" s="461"/>
      <c r="BH70" s="461"/>
      <c r="BI70" s="461"/>
      <c r="BJ70" s="461"/>
      <c r="BK70" s="461"/>
      <c r="BL70" s="461"/>
      <c r="BM70" s="461"/>
      <c r="BN70" s="461"/>
      <c r="BO70" s="461"/>
      <c r="BP70" s="461"/>
      <c r="BQ70" s="461"/>
      <c r="BR70" s="461"/>
      <c r="BS70" s="461"/>
      <c r="BT70" s="461"/>
      <c r="BU70" s="461"/>
      <c r="BV70" s="461"/>
      <c r="BW70" s="461"/>
      <c r="BX70" s="461"/>
      <c r="BY70" s="461"/>
      <c r="BZ70" s="461"/>
      <c r="CA70" s="461"/>
      <c r="CB70" s="461"/>
      <c r="CC70" s="461"/>
    </row>
    <row r="71" spans="1:81" ht="12.75" customHeight="1">
      <c r="A71" s="335"/>
      <c r="B71" s="335"/>
      <c r="C71" s="335"/>
      <c r="D71" s="335"/>
      <c r="E71" s="335"/>
      <c r="F71" s="335"/>
      <c r="G71" s="335"/>
      <c r="H71" s="335"/>
      <c r="I71" s="335"/>
      <c r="J71" s="295"/>
      <c r="K71" s="335"/>
      <c r="M71" s="468"/>
      <c r="N71" s="468"/>
      <c r="P71" s="335"/>
      <c r="Q71" s="335"/>
      <c r="R71" s="335"/>
      <c r="S71" s="335"/>
      <c r="T71" s="335"/>
      <c r="U71" s="335"/>
      <c r="V71" s="335"/>
      <c r="W71" s="335"/>
      <c r="X71" s="335"/>
      <c r="Y71" s="335"/>
      <c r="Z71" s="335"/>
      <c r="AA71" s="335"/>
      <c r="AB71" s="335"/>
      <c r="AC71" s="335"/>
      <c r="AD71" s="335"/>
      <c r="AE71" s="335"/>
      <c r="AF71" s="335"/>
      <c r="AG71" s="335"/>
      <c r="AH71" s="335"/>
      <c r="AI71" s="335"/>
      <c r="AJ71" s="335"/>
      <c r="AK71" s="335"/>
      <c r="AL71" s="335"/>
      <c r="AM71" s="335"/>
      <c r="AN71" s="335"/>
      <c r="AO71" s="335"/>
      <c r="AP71" s="335"/>
      <c r="AQ71" s="335"/>
      <c r="AR71" s="335"/>
      <c r="AS71" s="335"/>
      <c r="AT71" s="335"/>
      <c r="AU71" s="335"/>
      <c r="AV71" s="335"/>
      <c r="AW71" s="335"/>
      <c r="AX71" s="335"/>
      <c r="AY71" s="335"/>
      <c r="AZ71" s="335"/>
      <c r="BA71" s="335"/>
      <c r="BB71" s="335"/>
      <c r="BC71" s="335"/>
      <c r="BD71" s="335"/>
      <c r="BE71" s="335"/>
      <c r="BF71" s="335"/>
      <c r="BG71" s="335"/>
      <c r="BH71" s="335"/>
      <c r="BI71" s="335"/>
      <c r="BJ71" s="335"/>
      <c r="BK71" s="335"/>
      <c r="BL71" s="335"/>
      <c r="BM71" s="335"/>
      <c r="BN71" s="335"/>
      <c r="BO71" s="335"/>
      <c r="BP71" s="335"/>
      <c r="BQ71" s="335"/>
      <c r="BR71" s="335"/>
      <c r="BS71" s="335"/>
      <c r="BT71" s="335"/>
      <c r="BU71" s="335"/>
      <c r="BV71" s="335"/>
      <c r="BW71" s="335"/>
      <c r="BX71" s="335"/>
      <c r="BY71" s="335"/>
      <c r="BZ71" s="335"/>
      <c r="CA71" s="335"/>
      <c r="CB71" s="335"/>
      <c r="CC71" s="335"/>
    </row>
    <row r="72" spans="1:81" ht="12.75" customHeight="1" thickBot="1">
      <c r="P72" s="99" t="s">
        <v>5155</v>
      </c>
      <c r="Q72" s="262">
        <f>SUM(Q6:Q70)</f>
        <v>0</v>
      </c>
      <c r="R72" s="262">
        <f t="shared" ref="R72:CC72" si="5">SUM(R6:R70)</f>
        <v>0</v>
      </c>
      <c r="S72" s="262">
        <f t="shared" si="5"/>
        <v>185.41702314420101</v>
      </c>
      <c r="T72" s="262">
        <f t="shared" si="5"/>
        <v>223.329199650417</v>
      </c>
      <c r="U72" s="262">
        <f t="shared" si="5"/>
        <v>269.63681250909201</v>
      </c>
      <c r="V72" s="262">
        <f t="shared" si="5"/>
        <v>-1549.1214287625701</v>
      </c>
      <c r="W72" s="262">
        <f t="shared" si="5"/>
        <v>4756.744915415421</v>
      </c>
      <c r="X72" s="262">
        <f t="shared" si="5"/>
        <v>-33.207230677620601</v>
      </c>
      <c r="Y72" s="262">
        <f t="shared" si="5"/>
        <v>-8006.2923639915753</v>
      </c>
      <c r="Z72" s="262">
        <f t="shared" si="5"/>
        <v>-1935.5868464905079</v>
      </c>
      <c r="AA72" s="262">
        <f t="shared" si="5"/>
        <v>-2425.4502416431801</v>
      </c>
      <c r="AB72" s="262">
        <f t="shared" si="5"/>
        <v>3912.1875188010217</v>
      </c>
      <c r="AC72" s="262">
        <f t="shared" si="5"/>
        <v>-17984.481291284876</v>
      </c>
      <c r="AD72" s="262">
        <f t="shared" si="5"/>
        <v>-1072.0887970804999</v>
      </c>
      <c r="AE72" s="262">
        <f t="shared" si="5"/>
        <v>1457.6273902095609</v>
      </c>
      <c r="AF72" s="262">
        <f t="shared" si="5"/>
        <v>14055.366661078646</v>
      </c>
      <c r="AG72" s="262">
        <f t="shared" si="5"/>
        <v>1583.5294672057043</v>
      </c>
      <c r="AH72" s="262">
        <f t="shared" si="5"/>
        <v>-5535.8925690621954</v>
      </c>
      <c r="AI72" s="262">
        <f t="shared" si="5"/>
        <v>5613.9758870272717</v>
      </c>
      <c r="AJ72" s="262">
        <f t="shared" si="5"/>
        <v>-1299.4063693152464</v>
      </c>
      <c r="AK72" s="262">
        <f t="shared" si="5"/>
        <v>8412.2583829021369</v>
      </c>
      <c r="AL72" s="262">
        <f t="shared" si="5"/>
        <v>-13663.027054414466</v>
      </c>
      <c r="AM72" s="262">
        <f t="shared" si="5"/>
        <v>0</v>
      </c>
      <c r="AN72" s="262">
        <f t="shared" si="5"/>
        <v>921.39028227823417</v>
      </c>
      <c r="AO72" s="262">
        <f t="shared" si="5"/>
        <v>21851.326928147511</v>
      </c>
      <c r="AP72" s="262">
        <f t="shared" si="5"/>
        <v>0</v>
      </c>
      <c r="AQ72" s="262">
        <f t="shared" si="5"/>
        <v>4945.0996578431041</v>
      </c>
      <c r="AR72" s="262">
        <f t="shared" si="5"/>
        <v>26350.469650942439</v>
      </c>
      <c r="AS72" s="262">
        <f t="shared" si="5"/>
        <v>0</v>
      </c>
      <c r="AT72" s="262">
        <f t="shared" si="5"/>
        <v>-44121.506572184437</v>
      </c>
      <c r="AU72" s="262">
        <f t="shared" si="5"/>
        <v>-9916.4616470258989</v>
      </c>
      <c r="AV72" s="262">
        <f t="shared" si="5"/>
        <v>-18717.013622028</v>
      </c>
      <c r="AW72" s="262">
        <f t="shared" si="5"/>
        <v>15659.1061716777</v>
      </c>
      <c r="AX72" s="262">
        <f t="shared" si="5"/>
        <v>-14488.173226355801</v>
      </c>
      <c r="AY72" s="262">
        <f t="shared" si="5"/>
        <v>43502.008095943696</v>
      </c>
      <c r="AZ72" s="262">
        <f t="shared" si="5"/>
        <v>-5622.0789885126396</v>
      </c>
      <c r="BA72" s="262">
        <f t="shared" si="5"/>
        <v>13478.4848765076</v>
      </c>
      <c r="BB72" s="262">
        <f t="shared" si="5"/>
        <v>-89005.369400818905</v>
      </c>
      <c r="BC72" s="262">
        <f t="shared" si="5"/>
        <v>-60923.497455770899</v>
      </c>
      <c r="BD72" s="262">
        <f t="shared" si="5"/>
        <v>63267.3705133111</v>
      </c>
      <c r="BE72" s="262">
        <f t="shared" si="5"/>
        <v>9438.17676153701</v>
      </c>
      <c r="BF72" s="262">
        <f t="shared" si="5"/>
        <v>88960.230802803897</v>
      </c>
      <c r="BG72" s="262">
        <f t="shared" si="5"/>
        <v>16332.594059221699</v>
      </c>
      <c r="BH72" s="262">
        <f t="shared" si="5"/>
        <v>-67916.323501658306</v>
      </c>
      <c r="BI72" s="262">
        <f t="shared" si="5"/>
        <v>4687.1531510352097</v>
      </c>
      <c r="BJ72" s="262">
        <f t="shared" si="5"/>
        <v>5291.3447842202704</v>
      </c>
      <c r="BK72" s="262">
        <f t="shared" si="5"/>
        <v>-18935.929035528501</v>
      </c>
      <c r="BL72" s="262">
        <f t="shared" si="5"/>
        <v>-27718.494650723202</v>
      </c>
      <c r="BM72" s="262">
        <f t="shared" si="5"/>
        <v>114880.22288754401</v>
      </c>
      <c r="BN72" s="262">
        <f t="shared" si="5"/>
        <v>-44202.422140939903</v>
      </c>
      <c r="BO72" s="262">
        <f t="shared" si="5"/>
        <v>-23023.017052544699</v>
      </c>
      <c r="BP72" s="262">
        <f t="shared" si="5"/>
        <v>-220.79907245247799</v>
      </c>
      <c r="BQ72" s="262">
        <f t="shared" si="5"/>
        <v>4301.5886000052496</v>
      </c>
      <c r="BR72" s="262">
        <f t="shared" si="5"/>
        <v>55.701433346150097</v>
      </c>
      <c r="BS72" s="262">
        <f t="shared" si="5"/>
        <v>-0.20175470311256999</v>
      </c>
      <c r="BT72" s="262">
        <f t="shared" si="5"/>
        <v>4.5827609814486302E-5</v>
      </c>
      <c r="BU72" s="262">
        <f t="shared" si="5"/>
        <v>-9.0752993753214502E-7</v>
      </c>
      <c r="BV72" s="262">
        <f t="shared" si="5"/>
        <v>-5.5835288789031596E-10</v>
      </c>
      <c r="BW72" s="262">
        <f t="shared" si="5"/>
        <v>0</v>
      </c>
      <c r="BX72" s="262">
        <f t="shared" si="5"/>
        <v>0</v>
      </c>
      <c r="BY72" s="262">
        <f t="shared" si="5"/>
        <v>0</v>
      </c>
      <c r="BZ72" s="262">
        <f t="shared" si="5"/>
        <v>0</v>
      </c>
      <c r="CA72" s="262" t="e">
        <f t="shared" si="5"/>
        <v>#N/A</v>
      </c>
      <c r="CB72" s="262" t="e">
        <f t="shared" si="5"/>
        <v>#N/A</v>
      </c>
      <c r="CC72" s="262" t="e">
        <f t="shared" si="5"/>
        <v>#N/A</v>
      </c>
    </row>
    <row r="73" spans="1:81" ht="45" customHeight="1" thickBot="1">
      <c r="B73" s="478" t="s">
        <v>5146</v>
      </c>
      <c r="C73" s="477">
        <f>SUM(C6:INDEX(C6:C70,COUNT(C6:C70)))</f>
        <v>-3923.5003547416559</v>
      </c>
      <c r="N73" s="477">
        <f>SUM(N6:INDEX(N6:N70,COUNT(N6:N70)))</f>
        <v>-3923.5003547416559</v>
      </c>
    </row>
    <row r="76" spans="1:81" ht="12.75" customHeight="1">
      <c r="H76" s="52"/>
    </row>
  </sheetData>
  <mergeCells count="4">
    <mergeCell ref="B3:K3"/>
    <mergeCell ref="B4:H4"/>
    <mergeCell ref="I4:K4"/>
    <mergeCell ref="N4:N5"/>
  </mergeCells>
  <conditionalFormatting sqref="P6:CC70">
    <cfRule type="expression" dxfId="16" priority="2">
      <formula>OR(LEN($I6)=0,LEN(P$4)=0)</formula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>
    <tabColor theme="3" tint="0.59999389629810485"/>
  </sheetPr>
  <dimension ref="A1:CC80"/>
  <sheetViews>
    <sheetView showGridLines="0" workbookViewId="0">
      <selection activeCell="H6" sqref="H6:H74"/>
    </sheetView>
  </sheetViews>
  <sheetFormatPr defaultRowHeight="12.75" customHeight="1" outlineLevelCol="1"/>
  <cols>
    <col min="1" max="1" width="2.7109375" style="414" customWidth="1"/>
    <col min="2" max="2" width="11.5703125" style="414" customWidth="1"/>
    <col min="3" max="3" width="14.5703125" style="414" bestFit="1" customWidth="1"/>
    <col min="4" max="4" width="10.85546875" style="414" hidden="1" customWidth="1" outlineLevel="1"/>
    <col min="5" max="5" width="12.28515625" style="414" hidden="1" customWidth="1" outlineLevel="1"/>
    <col min="6" max="6" width="9.42578125" style="414" hidden="1" customWidth="1" outlineLevel="1"/>
    <col min="7" max="7" width="13.28515625" style="414" hidden="1" customWidth="1" outlineLevel="1"/>
    <col min="8" max="8" width="9.85546875" style="414" hidden="1" customWidth="1" outlineLevel="1"/>
    <col min="9" max="9" width="10.140625" style="414" hidden="1" customWidth="1" outlineLevel="1"/>
    <col min="10" max="10" width="9.140625" style="414" hidden="1" customWidth="1" outlineLevel="1"/>
    <col min="11" max="11" width="11.28515625" style="414" hidden="1" customWidth="1" outlineLevel="1"/>
    <col min="12" max="12" width="2.7109375" style="414" customWidth="1" collapsed="1"/>
    <col min="13" max="13" width="5.28515625" style="414" customWidth="1"/>
    <col min="14" max="14" width="14.5703125" style="414" customWidth="1"/>
    <col min="15" max="15" width="2.7109375" style="414" customWidth="1"/>
    <col min="16" max="16" width="8.42578125" style="414" bestFit="1" customWidth="1"/>
    <col min="17" max="23" width="8.7109375" style="414" customWidth="1"/>
    <col min="24" max="25" width="9.140625" style="414" bestFit="1" customWidth="1"/>
    <col min="26" max="29" width="8.7109375" style="414" customWidth="1"/>
    <col min="30" max="30" width="9.140625" style="414" bestFit="1" customWidth="1"/>
    <col min="31" max="31" width="9.28515625" style="414" bestFit="1" customWidth="1"/>
    <col min="32" max="32" width="8.7109375" style="414" customWidth="1"/>
    <col min="33" max="34" width="9.28515625" style="414" bestFit="1" customWidth="1"/>
    <col min="35" max="35" width="9.5703125" style="414" bestFit="1" customWidth="1"/>
    <col min="36" max="36" width="9.28515625" style="414" bestFit="1" customWidth="1"/>
    <col min="37" max="37" width="10" style="414" bestFit="1" customWidth="1"/>
    <col min="38" max="38" width="9.140625" style="414" bestFit="1" customWidth="1"/>
    <col min="39" max="39" width="9.28515625" style="414" bestFit="1" customWidth="1"/>
    <col min="40" max="41" width="10" style="414" bestFit="1" customWidth="1"/>
    <col min="42" max="42" width="9.140625" style="414" bestFit="1" customWidth="1"/>
    <col min="43" max="43" width="10" style="414" bestFit="1" customWidth="1"/>
    <col min="44" max="45" width="9.140625" style="414" bestFit="1" customWidth="1"/>
    <col min="46" max="46" width="10.85546875" style="414" bestFit="1" customWidth="1"/>
    <col min="47" max="47" width="10" style="414" bestFit="1" customWidth="1"/>
    <col min="48" max="48" width="10.140625" style="414" bestFit="1" customWidth="1"/>
    <col min="49" max="49" width="9.7109375" style="414" bestFit="1" customWidth="1"/>
    <col min="50" max="50" width="10" style="414" bestFit="1" customWidth="1"/>
    <col min="51" max="51" width="11.28515625" style="414" bestFit="1" customWidth="1"/>
    <col min="52" max="52" width="10" style="414" bestFit="1" customWidth="1"/>
    <col min="53" max="53" width="9.28515625" style="414" bestFit="1" customWidth="1"/>
    <col min="54" max="56" width="11.28515625" style="414" bestFit="1" customWidth="1"/>
    <col min="57" max="57" width="9.28515625" style="414" bestFit="1" customWidth="1"/>
    <col min="58" max="58" width="10.85546875" style="414" bestFit="1" customWidth="1"/>
    <col min="59" max="59" width="9.7109375" style="414" bestFit="1" customWidth="1"/>
    <col min="60" max="60" width="11.28515625" style="414" bestFit="1" customWidth="1"/>
    <col min="61" max="62" width="10.85546875" style="414" bestFit="1" customWidth="1"/>
    <col min="63" max="64" width="11.28515625" style="414" bestFit="1" customWidth="1"/>
    <col min="65" max="66" width="10.85546875" style="414" bestFit="1" customWidth="1"/>
    <col min="67" max="67" width="11.28515625" style="414" bestFit="1" customWidth="1"/>
    <col min="68" max="68" width="9.5703125" style="414" bestFit="1" customWidth="1"/>
    <col min="69" max="69" width="10" style="414" bestFit="1" customWidth="1"/>
    <col min="70" max="86" width="8.7109375" style="414" customWidth="1"/>
    <col min="87" max="257" width="9.140625" style="414"/>
    <col min="258" max="258" width="2.7109375" style="414" customWidth="1"/>
    <col min="259" max="260" width="11.5703125" style="414" customWidth="1"/>
    <col min="261" max="261" width="7.28515625" style="414" customWidth="1"/>
    <col min="262" max="262" width="9.85546875" style="414" customWidth="1"/>
    <col min="263" max="263" width="10.140625" style="414" customWidth="1"/>
    <col min="264" max="264" width="11.28515625" style="414" customWidth="1"/>
    <col min="265" max="265" width="2.7109375" style="414" customWidth="1"/>
    <col min="266" max="266" width="9.42578125" style="414" customWidth="1"/>
    <col min="267" max="267" width="2.7109375" style="414" customWidth="1"/>
    <col min="268" max="271" width="0" style="414" hidden="1" customWidth="1"/>
    <col min="272" max="272" width="10" style="414" customWidth="1"/>
    <col min="273" max="342" width="6.7109375" style="414" customWidth="1"/>
    <col min="343" max="513" width="9.140625" style="414"/>
    <col min="514" max="514" width="2.7109375" style="414" customWidth="1"/>
    <col min="515" max="516" width="11.5703125" style="414" customWidth="1"/>
    <col min="517" max="517" width="7.28515625" style="414" customWidth="1"/>
    <col min="518" max="518" width="9.85546875" style="414" customWidth="1"/>
    <col min="519" max="519" width="10.140625" style="414" customWidth="1"/>
    <col min="520" max="520" width="11.28515625" style="414" customWidth="1"/>
    <col min="521" max="521" width="2.7109375" style="414" customWidth="1"/>
    <col min="522" max="522" width="9.42578125" style="414" customWidth="1"/>
    <col min="523" max="523" width="2.7109375" style="414" customWidth="1"/>
    <col min="524" max="527" width="0" style="414" hidden="1" customWidth="1"/>
    <col min="528" max="528" width="10" style="414" customWidth="1"/>
    <col min="529" max="598" width="6.7109375" style="414" customWidth="1"/>
    <col min="599" max="769" width="9.140625" style="414"/>
    <col min="770" max="770" width="2.7109375" style="414" customWidth="1"/>
    <col min="771" max="772" width="11.5703125" style="414" customWidth="1"/>
    <col min="773" max="773" width="7.28515625" style="414" customWidth="1"/>
    <col min="774" max="774" width="9.85546875" style="414" customWidth="1"/>
    <col min="775" max="775" width="10.140625" style="414" customWidth="1"/>
    <col min="776" max="776" width="11.28515625" style="414" customWidth="1"/>
    <col min="777" max="777" width="2.7109375" style="414" customWidth="1"/>
    <col min="778" max="778" width="9.42578125" style="414" customWidth="1"/>
    <col min="779" max="779" width="2.7109375" style="414" customWidth="1"/>
    <col min="780" max="783" width="0" style="414" hidden="1" customWidth="1"/>
    <col min="784" max="784" width="10" style="414" customWidth="1"/>
    <col min="785" max="854" width="6.7109375" style="414" customWidth="1"/>
    <col min="855" max="1025" width="9.140625" style="414"/>
    <col min="1026" max="1026" width="2.7109375" style="414" customWidth="1"/>
    <col min="1027" max="1028" width="11.5703125" style="414" customWidth="1"/>
    <col min="1029" max="1029" width="7.28515625" style="414" customWidth="1"/>
    <col min="1030" max="1030" width="9.85546875" style="414" customWidth="1"/>
    <col min="1031" max="1031" width="10.140625" style="414" customWidth="1"/>
    <col min="1032" max="1032" width="11.28515625" style="414" customWidth="1"/>
    <col min="1033" max="1033" width="2.7109375" style="414" customWidth="1"/>
    <col min="1034" max="1034" width="9.42578125" style="414" customWidth="1"/>
    <col min="1035" max="1035" width="2.7109375" style="414" customWidth="1"/>
    <col min="1036" max="1039" width="0" style="414" hidden="1" customWidth="1"/>
    <col min="1040" max="1040" width="10" style="414" customWidth="1"/>
    <col min="1041" max="1110" width="6.7109375" style="414" customWidth="1"/>
    <col min="1111" max="1281" width="9.140625" style="414"/>
    <col min="1282" max="1282" width="2.7109375" style="414" customWidth="1"/>
    <col min="1283" max="1284" width="11.5703125" style="414" customWidth="1"/>
    <col min="1285" max="1285" width="7.28515625" style="414" customWidth="1"/>
    <col min="1286" max="1286" width="9.85546875" style="414" customWidth="1"/>
    <col min="1287" max="1287" width="10.140625" style="414" customWidth="1"/>
    <col min="1288" max="1288" width="11.28515625" style="414" customWidth="1"/>
    <col min="1289" max="1289" width="2.7109375" style="414" customWidth="1"/>
    <col min="1290" max="1290" width="9.42578125" style="414" customWidth="1"/>
    <col min="1291" max="1291" width="2.7109375" style="414" customWidth="1"/>
    <col min="1292" max="1295" width="0" style="414" hidden="1" customWidth="1"/>
    <col min="1296" max="1296" width="10" style="414" customWidth="1"/>
    <col min="1297" max="1366" width="6.7109375" style="414" customWidth="1"/>
    <col min="1367" max="1537" width="9.140625" style="414"/>
    <col min="1538" max="1538" width="2.7109375" style="414" customWidth="1"/>
    <col min="1539" max="1540" width="11.5703125" style="414" customWidth="1"/>
    <col min="1541" max="1541" width="7.28515625" style="414" customWidth="1"/>
    <col min="1542" max="1542" width="9.85546875" style="414" customWidth="1"/>
    <col min="1543" max="1543" width="10.140625" style="414" customWidth="1"/>
    <col min="1544" max="1544" width="11.28515625" style="414" customWidth="1"/>
    <col min="1545" max="1545" width="2.7109375" style="414" customWidth="1"/>
    <col min="1546" max="1546" width="9.42578125" style="414" customWidth="1"/>
    <col min="1547" max="1547" width="2.7109375" style="414" customWidth="1"/>
    <col min="1548" max="1551" width="0" style="414" hidden="1" customWidth="1"/>
    <col min="1552" max="1552" width="10" style="414" customWidth="1"/>
    <col min="1553" max="1622" width="6.7109375" style="414" customWidth="1"/>
    <col min="1623" max="1793" width="9.140625" style="414"/>
    <col min="1794" max="1794" width="2.7109375" style="414" customWidth="1"/>
    <col min="1795" max="1796" width="11.5703125" style="414" customWidth="1"/>
    <col min="1797" max="1797" width="7.28515625" style="414" customWidth="1"/>
    <col min="1798" max="1798" width="9.85546875" style="414" customWidth="1"/>
    <col min="1799" max="1799" width="10.140625" style="414" customWidth="1"/>
    <col min="1800" max="1800" width="11.28515625" style="414" customWidth="1"/>
    <col min="1801" max="1801" width="2.7109375" style="414" customWidth="1"/>
    <col min="1802" max="1802" width="9.42578125" style="414" customWidth="1"/>
    <col min="1803" max="1803" width="2.7109375" style="414" customWidth="1"/>
    <col min="1804" max="1807" width="0" style="414" hidden="1" customWidth="1"/>
    <col min="1808" max="1808" width="10" style="414" customWidth="1"/>
    <col min="1809" max="1878" width="6.7109375" style="414" customWidth="1"/>
    <col min="1879" max="2049" width="9.140625" style="414"/>
    <col min="2050" max="2050" width="2.7109375" style="414" customWidth="1"/>
    <col min="2051" max="2052" width="11.5703125" style="414" customWidth="1"/>
    <col min="2053" max="2053" width="7.28515625" style="414" customWidth="1"/>
    <col min="2054" max="2054" width="9.85546875" style="414" customWidth="1"/>
    <col min="2055" max="2055" width="10.140625" style="414" customWidth="1"/>
    <col min="2056" max="2056" width="11.28515625" style="414" customWidth="1"/>
    <col min="2057" max="2057" width="2.7109375" style="414" customWidth="1"/>
    <col min="2058" max="2058" width="9.42578125" style="414" customWidth="1"/>
    <col min="2059" max="2059" width="2.7109375" style="414" customWidth="1"/>
    <col min="2060" max="2063" width="0" style="414" hidden="1" customWidth="1"/>
    <col min="2064" max="2064" width="10" style="414" customWidth="1"/>
    <col min="2065" max="2134" width="6.7109375" style="414" customWidth="1"/>
    <col min="2135" max="2305" width="9.140625" style="414"/>
    <col min="2306" max="2306" width="2.7109375" style="414" customWidth="1"/>
    <col min="2307" max="2308" width="11.5703125" style="414" customWidth="1"/>
    <col min="2309" max="2309" width="7.28515625" style="414" customWidth="1"/>
    <col min="2310" max="2310" width="9.85546875" style="414" customWidth="1"/>
    <col min="2311" max="2311" width="10.140625" style="414" customWidth="1"/>
    <col min="2312" max="2312" width="11.28515625" style="414" customWidth="1"/>
    <col min="2313" max="2313" width="2.7109375" style="414" customWidth="1"/>
    <col min="2314" max="2314" width="9.42578125" style="414" customWidth="1"/>
    <col min="2315" max="2315" width="2.7109375" style="414" customWidth="1"/>
    <col min="2316" max="2319" width="0" style="414" hidden="1" customWidth="1"/>
    <col min="2320" max="2320" width="10" style="414" customWidth="1"/>
    <col min="2321" max="2390" width="6.7109375" style="414" customWidth="1"/>
    <col min="2391" max="2561" width="9.140625" style="414"/>
    <col min="2562" max="2562" width="2.7109375" style="414" customWidth="1"/>
    <col min="2563" max="2564" width="11.5703125" style="414" customWidth="1"/>
    <col min="2565" max="2565" width="7.28515625" style="414" customWidth="1"/>
    <col min="2566" max="2566" width="9.85546875" style="414" customWidth="1"/>
    <col min="2567" max="2567" width="10.140625" style="414" customWidth="1"/>
    <col min="2568" max="2568" width="11.28515625" style="414" customWidth="1"/>
    <col min="2569" max="2569" width="2.7109375" style="414" customWidth="1"/>
    <col min="2570" max="2570" width="9.42578125" style="414" customWidth="1"/>
    <col min="2571" max="2571" width="2.7109375" style="414" customWidth="1"/>
    <col min="2572" max="2575" width="0" style="414" hidden="1" customWidth="1"/>
    <col min="2576" max="2576" width="10" style="414" customWidth="1"/>
    <col min="2577" max="2646" width="6.7109375" style="414" customWidth="1"/>
    <col min="2647" max="2817" width="9.140625" style="414"/>
    <col min="2818" max="2818" width="2.7109375" style="414" customWidth="1"/>
    <col min="2819" max="2820" width="11.5703125" style="414" customWidth="1"/>
    <col min="2821" max="2821" width="7.28515625" style="414" customWidth="1"/>
    <col min="2822" max="2822" width="9.85546875" style="414" customWidth="1"/>
    <col min="2823" max="2823" width="10.140625" style="414" customWidth="1"/>
    <col min="2824" max="2824" width="11.28515625" style="414" customWidth="1"/>
    <col min="2825" max="2825" width="2.7109375" style="414" customWidth="1"/>
    <col min="2826" max="2826" width="9.42578125" style="414" customWidth="1"/>
    <col min="2827" max="2827" width="2.7109375" style="414" customWidth="1"/>
    <col min="2828" max="2831" width="0" style="414" hidden="1" customWidth="1"/>
    <col min="2832" max="2832" width="10" style="414" customWidth="1"/>
    <col min="2833" max="2902" width="6.7109375" style="414" customWidth="1"/>
    <col min="2903" max="3073" width="9.140625" style="414"/>
    <col min="3074" max="3074" width="2.7109375" style="414" customWidth="1"/>
    <col min="3075" max="3076" width="11.5703125" style="414" customWidth="1"/>
    <col min="3077" max="3077" width="7.28515625" style="414" customWidth="1"/>
    <col min="3078" max="3078" width="9.85546875" style="414" customWidth="1"/>
    <col min="3079" max="3079" width="10.140625" style="414" customWidth="1"/>
    <col min="3080" max="3080" width="11.28515625" style="414" customWidth="1"/>
    <col min="3081" max="3081" width="2.7109375" style="414" customWidth="1"/>
    <col min="3082" max="3082" width="9.42578125" style="414" customWidth="1"/>
    <col min="3083" max="3083" width="2.7109375" style="414" customWidth="1"/>
    <col min="3084" max="3087" width="0" style="414" hidden="1" customWidth="1"/>
    <col min="3088" max="3088" width="10" style="414" customWidth="1"/>
    <col min="3089" max="3158" width="6.7109375" style="414" customWidth="1"/>
    <col min="3159" max="3329" width="9.140625" style="414"/>
    <col min="3330" max="3330" width="2.7109375" style="414" customWidth="1"/>
    <col min="3331" max="3332" width="11.5703125" style="414" customWidth="1"/>
    <col min="3333" max="3333" width="7.28515625" style="414" customWidth="1"/>
    <col min="3334" max="3334" width="9.85546875" style="414" customWidth="1"/>
    <col min="3335" max="3335" width="10.140625" style="414" customWidth="1"/>
    <col min="3336" max="3336" width="11.28515625" style="414" customWidth="1"/>
    <col min="3337" max="3337" width="2.7109375" style="414" customWidth="1"/>
    <col min="3338" max="3338" width="9.42578125" style="414" customWidth="1"/>
    <col min="3339" max="3339" width="2.7109375" style="414" customWidth="1"/>
    <col min="3340" max="3343" width="0" style="414" hidden="1" customWidth="1"/>
    <col min="3344" max="3344" width="10" style="414" customWidth="1"/>
    <col min="3345" max="3414" width="6.7109375" style="414" customWidth="1"/>
    <col min="3415" max="3585" width="9.140625" style="414"/>
    <col min="3586" max="3586" width="2.7109375" style="414" customWidth="1"/>
    <col min="3587" max="3588" width="11.5703125" style="414" customWidth="1"/>
    <col min="3589" max="3589" width="7.28515625" style="414" customWidth="1"/>
    <col min="3590" max="3590" width="9.85546875" style="414" customWidth="1"/>
    <col min="3591" max="3591" width="10.140625" style="414" customWidth="1"/>
    <col min="3592" max="3592" width="11.28515625" style="414" customWidth="1"/>
    <col min="3593" max="3593" width="2.7109375" style="414" customWidth="1"/>
    <col min="3594" max="3594" width="9.42578125" style="414" customWidth="1"/>
    <col min="3595" max="3595" width="2.7109375" style="414" customWidth="1"/>
    <col min="3596" max="3599" width="0" style="414" hidden="1" customWidth="1"/>
    <col min="3600" max="3600" width="10" style="414" customWidth="1"/>
    <col min="3601" max="3670" width="6.7109375" style="414" customWidth="1"/>
    <col min="3671" max="3841" width="9.140625" style="414"/>
    <col min="3842" max="3842" width="2.7109375" style="414" customWidth="1"/>
    <col min="3843" max="3844" width="11.5703125" style="414" customWidth="1"/>
    <col min="3845" max="3845" width="7.28515625" style="414" customWidth="1"/>
    <col min="3846" max="3846" width="9.85546875" style="414" customWidth="1"/>
    <col min="3847" max="3847" width="10.140625" style="414" customWidth="1"/>
    <col min="3848" max="3848" width="11.28515625" style="414" customWidth="1"/>
    <col min="3849" max="3849" width="2.7109375" style="414" customWidth="1"/>
    <col min="3850" max="3850" width="9.42578125" style="414" customWidth="1"/>
    <col min="3851" max="3851" width="2.7109375" style="414" customWidth="1"/>
    <col min="3852" max="3855" width="0" style="414" hidden="1" customWidth="1"/>
    <col min="3856" max="3856" width="10" style="414" customWidth="1"/>
    <col min="3857" max="3926" width="6.7109375" style="414" customWidth="1"/>
    <col min="3927" max="4097" width="9.140625" style="414"/>
    <col min="4098" max="4098" width="2.7109375" style="414" customWidth="1"/>
    <col min="4099" max="4100" width="11.5703125" style="414" customWidth="1"/>
    <col min="4101" max="4101" width="7.28515625" style="414" customWidth="1"/>
    <col min="4102" max="4102" width="9.85546875" style="414" customWidth="1"/>
    <col min="4103" max="4103" width="10.140625" style="414" customWidth="1"/>
    <col min="4104" max="4104" width="11.28515625" style="414" customWidth="1"/>
    <col min="4105" max="4105" width="2.7109375" style="414" customWidth="1"/>
    <col min="4106" max="4106" width="9.42578125" style="414" customWidth="1"/>
    <col min="4107" max="4107" width="2.7109375" style="414" customWidth="1"/>
    <col min="4108" max="4111" width="0" style="414" hidden="1" customWidth="1"/>
    <col min="4112" max="4112" width="10" style="414" customWidth="1"/>
    <col min="4113" max="4182" width="6.7109375" style="414" customWidth="1"/>
    <col min="4183" max="4353" width="9.140625" style="414"/>
    <col min="4354" max="4354" width="2.7109375" style="414" customWidth="1"/>
    <col min="4355" max="4356" width="11.5703125" style="414" customWidth="1"/>
    <col min="4357" max="4357" width="7.28515625" style="414" customWidth="1"/>
    <col min="4358" max="4358" width="9.85546875" style="414" customWidth="1"/>
    <col min="4359" max="4359" width="10.140625" style="414" customWidth="1"/>
    <col min="4360" max="4360" width="11.28515625" style="414" customWidth="1"/>
    <col min="4361" max="4361" width="2.7109375" style="414" customWidth="1"/>
    <col min="4362" max="4362" width="9.42578125" style="414" customWidth="1"/>
    <col min="4363" max="4363" width="2.7109375" style="414" customWidth="1"/>
    <col min="4364" max="4367" width="0" style="414" hidden="1" customWidth="1"/>
    <col min="4368" max="4368" width="10" style="414" customWidth="1"/>
    <col min="4369" max="4438" width="6.7109375" style="414" customWidth="1"/>
    <col min="4439" max="4609" width="9.140625" style="414"/>
    <col min="4610" max="4610" width="2.7109375" style="414" customWidth="1"/>
    <col min="4611" max="4612" width="11.5703125" style="414" customWidth="1"/>
    <col min="4613" max="4613" width="7.28515625" style="414" customWidth="1"/>
    <col min="4614" max="4614" width="9.85546875" style="414" customWidth="1"/>
    <col min="4615" max="4615" width="10.140625" style="414" customWidth="1"/>
    <col min="4616" max="4616" width="11.28515625" style="414" customWidth="1"/>
    <col min="4617" max="4617" width="2.7109375" style="414" customWidth="1"/>
    <col min="4618" max="4618" width="9.42578125" style="414" customWidth="1"/>
    <col min="4619" max="4619" width="2.7109375" style="414" customWidth="1"/>
    <col min="4620" max="4623" width="0" style="414" hidden="1" customWidth="1"/>
    <col min="4624" max="4624" width="10" style="414" customWidth="1"/>
    <col min="4625" max="4694" width="6.7109375" style="414" customWidth="1"/>
    <col min="4695" max="4865" width="9.140625" style="414"/>
    <col min="4866" max="4866" width="2.7109375" style="414" customWidth="1"/>
    <col min="4867" max="4868" width="11.5703125" style="414" customWidth="1"/>
    <col min="4869" max="4869" width="7.28515625" style="414" customWidth="1"/>
    <col min="4870" max="4870" width="9.85546875" style="414" customWidth="1"/>
    <col min="4871" max="4871" width="10.140625" style="414" customWidth="1"/>
    <col min="4872" max="4872" width="11.28515625" style="414" customWidth="1"/>
    <col min="4873" max="4873" width="2.7109375" style="414" customWidth="1"/>
    <col min="4874" max="4874" width="9.42578125" style="414" customWidth="1"/>
    <col min="4875" max="4875" width="2.7109375" style="414" customWidth="1"/>
    <col min="4876" max="4879" width="0" style="414" hidden="1" customWidth="1"/>
    <col min="4880" max="4880" width="10" style="414" customWidth="1"/>
    <col min="4881" max="4950" width="6.7109375" style="414" customWidth="1"/>
    <col min="4951" max="5121" width="9.140625" style="414"/>
    <col min="5122" max="5122" width="2.7109375" style="414" customWidth="1"/>
    <col min="5123" max="5124" width="11.5703125" style="414" customWidth="1"/>
    <col min="5125" max="5125" width="7.28515625" style="414" customWidth="1"/>
    <col min="5126" max="5126" width="9.85546875" style="414" customWidth="1"/>
    <col min="5127" max="5127" width="10.140625" style="414" customWidth="1"/>
    <col min="5128" max="5128" width="11.28515625" style="414" customWidth="1"/>
    <col min="5129" max="5129" width="2.7109375" style="414" customWidth="1"/>
    <col min="5130" max="5130" width="9.42578125" style="414" customWidth="1"/>
    <col min="5131" max="5131" width="2.7109375" style="414" customWidth="1"/>
    <col min="5132" max="5135" width="0" style="414" hidden="1" customWidth="1"/>
    <col min="5136" max="5136" width="10" style="414" customWidth="1"/>
    <col min="5137" max="5206" width="6.7109375" style="414" customWidth="1"/>
    <col min="5207" max="5377" width="9.140625" style="414"/>
    <col min="5378" max="5378" width="2.7109375" style="414" customWidth="1"/>
    <col min="5379" max="5380" width="11.5703125" style="414" customWidth="1"/>
    <col min="5381" max="5381" width="7.28515625" style="414" customWidth="1"/>
    <col min="5382" max="5382" width="9.85546875" style="414" customWidth="1"/>
    <col min="5383" max="5383" width="10.140625" style="414" customWidth="1"/>
    <col min="5384" max="5384" width="11.28515625" style="414" customWidth="1"/>
    <col min="5385" max="5385" width="2.7109375" style="414" customWidth="1"/>
    <col min="5386" max="5386" width="9.42578125" style="414" customWidth="1"/>
    <col min="5387" max="5387" width="2.7109375" style="414" customWidth="1"/>
    <col min="5388" max="5391" width="0" style="414" hidden="1" customWidth="1"/>
    <col min="5392" max="5392" width="10" style="414" customWidth="1"/>
    <col min="5393" max="5462" width="6.7109375" style="414" customWidth="1"/>
    <col min="5463" max="5633" width="9.140625" style="414"/>
    <col min="5634" max="5634" width="2.7109375" style="414" customWidth="1"/>
    <col min="5635" max="5636" width="11.5703125" style="414" customWidth="1"/>
    <col min="5637" max="5637" width="7.28515625" style="414" customWidth="1"/>
    <col min="5638" max="5638" width="9.85546875" style="414" customWidth="1"/>
    <col min="5639" max="5639" width="10.140625" style="414" customWidth="1"/>
    <col min="5640" max="5640" width="11.28515625" style="414" customWidth="1"/>
    <col min="5641" max="5641" width="2.7109375" style="414" customWidth="1"/>
    <col min="5642" max="5642" width="9.42578125" style="414" customWidth="1"/>
    <col min="5643" max="5643" width="2.7109375" style="414" customWidth="1"/>
    <col min="5644" max="5647" width="0" style="414" hidden="1" customWidth="1"/>
    <col min="5648" max="5648" width="10" style="414" customWidth="1"/>
    <col min="5649" max="5718" width="6.7109375" style="414" customWidth="1"/>
    <col min="5719" max="5889" width="9.140625" style="414"/>
    <col min="5890" max="5890" width="2.7109375" style="414" customWidth="1"/>
    <col min="5891" max="5892" width="11.5703125" style="414" customWidth="1"/>
    <col min="5893" max="5893" width="7.28515625" style="414" customWidth="1"/>
    <col min="5894" max="5894" width="9.85546875" style="414" customWidth="1"/>
    <col min="5895" max="5895" width="10.140625" style="414" customWidth="1"/>
    <col min="5896" max="5896" width="11.28515625" style="414" customWidth="1"/>
    <col min="5897" max="5897" width="2.7109375" style="414" customWidth="1"/>
    <col min="5898" max="5898" width="9.42578125" style="414" customWidth="1"/>
    <col min="5899" max="5899" width="2.7109375" style="414" customWidth="1"/>
    <col min="5900" max="5903" width="0" style="414" hidden="1" customWidth="1"/>
    <col min="5904" max="5904" width="10" style="414" customWidth="1"/>
    <col min="5905" max="5974" width="6.7109375" style="414" customWidth="1"/>
    <col min="5975" max="6145" width="9.140625" style="414"/>
    <col min="6146" max="6146" width="2.7109375" style="414" customWidth="1"/>
    <col min="6147" max="6148" width="11.5703125" style="414" customWidth="1"/>
    <col min="6149" max="6149" width="7.28515625" style="414" customWidth="1"/>
    <col min="6150" max="6150" width="9.85546875" style="414" customWidth="1"/>
    <col min="6151" max="6151" width="10.140625" style="414" customWidth="1"/>
    <col min="6152" max="6152" width="11.28515625" style="414" customWidth="1"/>
    <col min="6153" max="6153" width="2.7109375" style="414" customWidth="1"/>
    <col min="6154" max="6154" width="9.42578125" style="414" customWidth="1"/>
    <col min="6155" max="6155" width="2.7109375" style="414" customWidth="1"/>
    <col min="6156" max="6159" width="0" style="414" hidden="1" customWidth="1"/>
    <col min="6160" max="6160" width="10" style="414" customWidth="1"/>
    <col min="6161" max="6230" width="6.7109375" style="414" customWidth="1"/>
    <col min="6231" max="6401" width="9.140625" style="414"/>
    <col min="6402" max="6402" width="2.7109375" style="414" customWidth="1"/>
    <col min="6403" max="6404" width="11.5703125" style="414" customWidth="1"/>
    <col min="6405" max="6405" width="7.28515625" style="414" customWidth="1"/>
    <col min="6406" max="6406" width="9.85546875" style="414" customWidth="1"/>
    <col min="6407" max="6407" width="10.140625" style="414" customWidth="1"/>
    <col min="6408" max="6408" width="11.28515625" style="414" customWidth="1"/>
    <col min="6409" max="6409" width="2.7109375" style="414" customWidth="1"/>
    <col min="6410" max="6410" width="9.42578125" style="414" customWidth="1"/>
    <col min="6411" max="6411" width="2.7109375" style="414" customWidth="1"/>
    <col min="6412" max="6415" width="0" style="414" hidden="1" customWidth="1"/>
    <col min="6416" max="6416" width="10" style="414" customWidth="1"/>
    <col min="6417" max="6486" width="6.7109375" style="414" customWidth="1"/>
    <col min="6487" max="6657" width="9.140625" style="414"/>
    <col min="6658" max="6658" width="2.7109375" style="414" customWidth="1"/>
    <col min="6659" max="6660" width="11.5703125" style="414" customWidth="1"/>
    <col min="6661" max="6661" width="7.28515625" style="414" customWidth="1"/>
    <col min="6662" max="6662" width="9.85546875" style="414" customWidth="1"/>
    <col min="6663" max="6663" width="10.140625" style="414" customWidth="1"/>
    <col min="6664" max="6664" width="11.28515625" style="414" customWidth="1"/>
    <col min="6665" max="6665" width="2.7109375" style="414" customWidth="1"/>
    <col min="6666" max="6666" width="9.42578125" style="414" customWidth="1"/>
    <col min="6667" max="6667" width="2.7109375" style="414" customWidth="1"/>
    <col min="6668" max="6671" width="0" style="414" hidden="1" customWidth="1"/>
    <col min="6672" max="6672" width="10" style="414" customWidth="1"/>
    <col min="6673" max="6742" width="6.7109375" style="414" customWidth="1"/>
    <col min="6743" max="6913" width="9.140625" style="414"/>
    <col min="6914" max="6914" width="2.7109375" style="414" customWidth="1"/>
    <col min="6915" max="6916" width="11.5703125" style="414" customWidth="1"/>
    <col min="6917" max="6917" width="7.28515625" style="414" customWidth="1"/>
    <col min="6918" max="6918" width="9.85546875" style="414" customWidth="1"/>
    <col min="6919" max="6919" width="10.140625" style="414" customWidth="1"/>
    <col min="6920" max="6920" width="11.28515625" style="414" customWidth="1"/>
    <col min="6921" max="6921" width="2.7109375" style="414" customWidth="1"/>
    <col min="6922" max="6922" width="9.42578125" style="414" customWidth="1"/>
    <col min="6923" max="6923" width="2.7109375" style="414" customWidth="1"/>
    <col min="6924" max="6927" width="0" style="414" hidden="1" customWidth="1"/>
    <col min="6928" max="6928" width="10" style="414" customWidth="1"/>
    <col min="6929" max="6998" width="6.7109375" style="414" customWidth="1"/>
    <col min="6999" max="7169" width="9.140625" style="414"/>
    <col min="7170" max="7170" width="2.7109375" style="414" customWidth="1"/>
    <col min="7171" max="7172" width="11.5703125" style="414" customWidth="1"/>
    <col min="7173" max="7173" width="7.28515625" style="414" customWidth="1"/>
    <col min="7174" max="7174" width="9.85546875" style="414" customWidth="1"/>
    <col min="7175" max="7175" width="10.140625" style="414" customWidth="1"/>
    <col min="7176" max="7176" width="11.28515625" style="414" customWidth="1"/>
    <col min="7177" max="7177" width="2.7109375" style="414" customWidth="1"/>
    <col min="7178" max="7178" width="9.42578125" style="414" customWidth="1"/>
    <col min="7179" max="7179" width="2.7109375" style="414" customWidth="1"/>
    <col min="7180" max="7183" width="0" style="414" hidden="1" customWidth="1"/>
    <col min="7184" max="7184" width="10" style="414" customWidth="1"/>
    <col min="7185" max="7254" width="6.7109375" style="414" customWidth="1"/>
    <col min="7255" max="7425" width="9.140625" style="414"/>
    <col min="7426" max="7426" width="2.7109375" style="414" customWidth="1"/>
    <col min="7427" max="7428" width="11.5703125" style="414" customWidth="1"/>
    <col min="7429" max="7429" width="7.28515625" style="414" customWidth="1"/>
    <col min="7430" max="7430" width="9.85546875" style="414" customWidth="1"/>
    <col min="7431" max="7431" width="10.140625" style="414" customWidth="1"/>
    <col min="7432" max="7432" width="11.28515625" style="414" customWidth="1"/>
    <col min="7433" max="7433" width="2.7109375" style="414" customWidth="1"/>
    <col min="7434" max="7434" width="9.42578125" style="414" customWidth="1"/>
    <col min="7435" max="7435" width="2.7109375" style="414" customWidth="1"/>
    <col min="7436" max="7439" width="0" style="414" hidden="1" customWidth="1"/>
    <col min="7440" max="7440" width="10" style="414" customWidth="1"/>
    <col min="7441" max="7510" width="6.7109375" style="414" customWidth="1"/>
    <col min="7511" max="7681" width="9.140625" style="414"/>
    <col min="7682" max="7682" width="2.7109375" style="414" customWidth="1"/>
    <col min="7683" max="7684" width="11.5703125" style="414" customWidth="1"/>
    <col min="7685" max="7685" width="7.28515625" style="414" customWidth="1"/>
    <col min="7686" max="7686" width="9.85546875" style="414" customWidth="1"/>
    <col min="7687" max="7687" width="10.140625" style="414" customWidth="1"/>
    <col min="7688" max="7688" width="11.28515625" style="414" customWidth="1"/>
    <col min="7689" max="7689" width="2.7109375" style="414" customWidth="1"/>
    <col min="7690" max="7690" width="9.42578125" style="414" customWidth="1"/>
    <col min="7691" max="7691" width="2.7109375" style="414" customWidth="1"/>
    <col min="7692" max="7695" width="0" style="414" hidden="1" customWidth="1"/>
    <col min="7696" max="7696" width="10" style="414" customWidth="1"/>
    <col min="7697" max="7766" width="6.7109375" style="414" customWidth="1"/>
    <col min="7767" max="7937" width="9.140625" style="414"/>
    <col min="7938" max="7938" width="2.7109375" style="414" customWidth="1"/>
    <col min="7939" max="7940" width="11.5703125" style="414" customWidth="1"/>
    <col min="7941" max="7941" width="7.28515625" style="414" customWidth="1"/>
    <col min="7942" max="7942" width="9.85546875" style="414" customWidth="1"/>
    <col min="7943" max="7943" width="10.140625" style="414" customWidth="1"/>
    <col min="7944" max="7944" width="11.28515625" style="414" customWidth="1"/>
    <col min="7945" max="7945" width="2.7109375" style="414" customWidth="1"/>
    <col min="7946" max="7946" width="9.42578125" style="414" customWidth="1"/>
    <col min="7947" max="7947" width="2.7109375" style="414" customWidth="1"/>
    <col min="7948" max="7951" width="0" style="414" hidden="1" customWidth="1"/>
    <col min="7952" max="7952" width="10" style="414" customWidth="1"/>
    <col min="7953" max="8022" width="6.7109375" style="414" customWidth="1"/>
    <col min="8023" max="8193" width="9.140625" style="414"/>
    <col min="8194" max="8194" width="2.7109375" style="414" customWidth="1"/>
    <col min="8195" max="8196" width="11.5703125" style="414" customWidth="1"/>
    <col min="8197" max="8197" width="7.28515625" style="414" customWidth="1"/>
    <col min="8198" max="8198" width="9.85546875" style="414" customWidth="1"/>
    <col min="8199" max="8199" width="10.140625" style="414" customWidth="1"/>
    <col min="8200" max="8200" width="11.28515625" style="414" customWidth="1"/>
    <col min="8201" max="8201" width="2.7109375" style="414" customWidth="1"/>
    <col min="8202" max="8202" width="9.42578125" style="414" customWidth="1"/>
    <col min="8203" max="8203" width="2.7109375" style="414" customWidth="1"/>
    <col min="8204" max="8207" width="0" style="414" hidden="1" customWidth="1"/>
    <col min="8208" max="8208" width="10" style="414" customWidth="1"/>
    <col min="8209" max="8278" width="6.7109375" style="414" customWidth="1"/>
    <col min="8279" max="8449" width="9.140625" style="414"/>
    <col min="8450" max="8450" width="2.7109375" style="414" customWidth="1"/>
    <col min="8451" max="8452" width="11.5703125" style="414" customWidth="1"/>
    <col min="8453" max="8453" width="7.28515625" style="414" customWidth="1"/>
    <col min="8454" max="8454" width="9.85546875" style="414" customWidth="1"/>
    <col min="8455" max="8455" width="10.140625" style="414" customWidth="1"/>
    <col min="8456" max="8456" width="11.28515625" style="414" customWidth="1"/>
    <col min="8457" max="8457" width="2.7109375" style="414" customWidth="1"/>
    <col min="8458" max="8458" width="9.42578125" style="414" customWidth="1"/>
    <col min="8459" max="8459" width="2.7109375" style="414" customWidth="1"/>
    <col min="8460" max="8463" width="0" style="414" hidden="1" customWidth="1"/>
    <col min="8464" max="8464" width="10" style="414" customWidth="1"/>
    <col min="8465" max="8534" width="6.7109375" style="414" customWidth="1"/>
    <col min="8535" max="8705" width="9.140625" style="414"/>
    <col min="8706" max="8706" width="2.7109375" style="414" customWidth="1"/>
    <col min="8707" max="8708" width="11.5703125" style="414" customWidth="1"/>
    <col min="8709" max="8709" width="7.28515625" style="414" customWidth="1"/>
    <col min="8710" max="8710" width="9.85546875" style="414" customWidth="1"/>
    <col min="8711" max="8711" width="10.140625" style="414" customWidth="1"/>
    <col min="8712" max="8712" width="11.28515625" style="414" customWidth="1"/>
    <col min="8713" max="8713" width="2.7109375" style="414" customWidth="1"/>
    <col min="8714" max="8714" width="9.42578125" style="414" customWidth="1"/>
    <col min="8715" max="8715" width="2.7109375" style="414" customWidth="1"/>
    <col min="8716" max="8719" width="0" style="414" hidden="1" customWidth="1"/>
    <col min="8720" max="8720" width="10" style="414" customWidth="1"/>
    <col min="8721" max="8790" width="6.7109375" style="414" customWidth="1"/>
    <col min="8791" max="8961" width="9.140625" style="414"/>
    <col min="8962" max="8962" width="2.7109375" style="414" customWidth="1"/>
    <col min="8963" max="8964" width="11.5703125" style="414" customWidth="1"/>
    <col min="8965" max="8965" width="7.28515625" style="414" customWidth="1"/>
    <col min="8966" max="8966" width="9.85546875" style="414" customWidth="1"/>
    <col min="8967" max="8967" width="10.140625" style="414" customWidth="1"/>
    <col min="8968" max="8968" width="11.28515625" style="414" customWidth="1"/>
    <col min="8969" max="8969" width="2.7109375" style="414" customWidth="1"/>
    <col min="8970" max="8970" width="9.42578125" style="414" customWidth="1"/>
    <col min="8971" max="8971" width="2.7109375" style="414" customWidth="1"/>
    <col min="8972" max="8975" width="0" style="414" hidden="1" customWidth="1"/>
    <col min="8976" max="8976" width="10" style="414" customWidth="1"/>
    <col min="8977" max="9046" width="6.7109375" style="414" customWidth="1"/>
    <col min="9047" max="9217" width="9.140625" style="414"/>
    <col min="9218" max="9218" width="2.7109375" style="414" customWidth="1"/>
    <col min="9219" max="9220" width="11.5703125" style="414" customWidth="1"/>
    <col min="9221" max="9221" width="7.28515625" style="414" customWidth="1"/>
    <col min="9222" max="9222" width="9.85546875" style="414" customWidth="1"/>
    <col min="9223" max="9223" width="10.140625" style="414" customWidth="1"/>
    <col min="9224" max="9224" width="11.28515625" style="414" customWidth="1"/>
    <col min="9225" max="9225" width="2.7109375" style="414" customWidth="1"/>
    <col min="9226" max="9226" width="9.42578125" style="414" customWidth="1"/>
    <col min="9227" max="9227" width="2.7109375" style="414" customWidth="1"/>
    <col min="9228" max="9231" width="0" style="414" hidden="1" customWidth="1"/>
    <col min="9232" max="9232" width="10" style="414" customWidth="1"/>
    <col min="9233" max="9302" width="6.7109375" style="414" customWidth="1"/>
    <col min="9303" max="9473" width="9.140625" style="414"/>
    <col min="9474" max="9474" width="2.7109375" style="414" customWidth="1"/>
    <col min="9475" max="9476" width="11.5703125" style="414" customWidth="1"/>
    <col min="9477" max="9477" width="7.28515625" style="414" customWidth="1"/>
    <col min="9478" max="9478" width="9.85546875" style="414" customWidth="1"/>
    <col min="9479" max="9479" width="10.140625" style="414" customWidth="1"/>
    <col min="9480" max="9480" width="11.28515625" style="414" customWidth="1"/>
    <col min="9481" max="9481" width="2.7109375" style="414" customWidth="1"/>
    <col min="9482" max="9482" width="9.42578125" style="414" customWidth="1"/>
    <col min="9483" max="9483" width="2.7109375" style="414" customWidth="1"/>
    <col min="9484" max="9487" width="0" style="414" hidden="1" customWidth="1"/>
    <col min="9488" max="9488" width="10" style="414" customWidth="1"/>
    <col min="9489" max="9558" width="6.7109375" style="414" customWidth="1"/>
    <col min="9559" max="9729" width="9.140625" style="414"/>
    <col min="9730" max="9730" width="2.7109375" style="414" customWidth="1"/>
    <col min="9731" max="9732" width="11.5703125" style="414" customWidth="1"/>
    <col min="9733" max="9733" width="7.28515625" style="414" customWidth="1"/>
    <col min="9734" max="9734" width="9.85546875" style="414" customWidth="1"/>
    <col min="9735" max="9735" width="10.140625" style="414" customWidth="1"/>
    <col min="9736" max="9736" width="11.28515625" style="414" customWidth="1"/>
    <col min="9737" max="9737" width="2.7109375" style="414" customWidth="1"/>
    <col min="9738" max="9738" width="9.42578125" style="414" customWidth="1"/>
    <col min="9739" max="9739" width="2.7109375" style="414" customWidth="1"/>
    <col min="9740" max="9743" width="0" style="414" hidden="1" customWidth="1"/>
    <col min="9744" max="9744" width="10" style="414" customWidth="1"/>
    <col min="9745" max="9814" width="6.7109375" style="414" customWidth="1"/>
    <col min="9815" max="9985" width="9.140625" style="414"/>
    <col min="9986" max="9986" width="2.7109375" style="414" customWidth="1"/>
    <col min="9987" max="9988" width="11.5703125" style="414" customWidth="1"/>
    <col min="9989" max="9989" width="7.28515625" style="414" customWidth="1"/>
    <col min="9990" max="9990" width="9.85546875" style="414" customWidth="1"/>
    <col min="9991" max="9991" width="10.140625" style="414" customWidth="1"/>
    <col min="9992" max="9992" width="11.28515625" style="414" customWidth="1"/>
    <col min="9993" max="9993" width="2.7109375" style="414" customWidth="1"/>
    <col min="9994" max="9994" width="9.42578125" style="414" customWidth="1"/>
    <col min="9995" max="9995" width="2.7109375" style="414" customWidth="1"/>
    <col min="9996" max="9999" width="0" style="414" hidden="1" customWidth="1"/>
    <col min="10000" max="10000" width="10" style="414" customWidth="1"/>
    <col min="10001" max="10070" width="6.7109375" style="414" customWidth="1"/>
    <col min="10071" max="10241" width="9.140625" style="414"/>
    <col min="10242" max="10242" width="2.7109375" style="414" customWidth="1"/>
    <col min="10243" max="10244" width="11.5703125" style="414" customWidth="1"/>
    <col min="10245" max="10245" width="7.28515625" style="414" customWidth="1"/>
    <col min="10246" max="10246" width="9.85546875" style="414" customWidth="1"/>
    <col min="10247" max="10247" width="10.140625" style="414" customWidth="1"/>
    <col min="10248" max="10248" width="11.28515625" style="414" customWidth="1"/>
    <col min="10249" max="10249" width="2.7109375" style="414" customWidth="1"/>
    <col min="10250" max="10250" width="9.42578125" style="414" customWidth="1"/>
    <col min="10251" max="10251" width="2.7109375" style="414" customWidth="1"/>
    <col min="10252" max="10255" width="0" style="414" hidden="1" customWidth="1"/>
    <col min="10256" max="10256" width="10" style="414" customWidth="1"/>
    <col min="10257" max="10326" width="6.7109375" style="414" customWidth="1"/>
    <col min="10327" max="10497" width="9.140625" style="414"/>
    <col min="10498" max="10498" width="2.7109375" style="414" customWidth="1"/>
    <col min="10499" max="10500" width="11.5703125" style="414" customWidth="1"/>
    <col min="10501" max="10501" width="7.28515625" style="414" customWidth="1"/>
    <col min="10502" max="10502" width="9.85546875" style="414" customWidth="1"/>
    <col min="10503" max="10503" width="10.140625" style="414" customWidth="1"/>
    <col min="10504" max="10504" width="11.28515625" style="414" customWidth="1"/>
    <col min="10505" max="10505" width="2.7109375" style="414" customWidth="1"/>
    <col min="10506" max="10506" width="9.42578125" style="414" customWidth="1"/>
    <col min="10507" max="10507" width="2.7109375" style="414" customWidth="1"/>
    <col min="10508" max="10511" width="0" style="414" hidden="1" customWidth="1"/>
    <col min="10512" max="10512" width="10" style="414" customWidth="1"/>
    <col min="10513" max="10582" width="6.7109375" style="414" customWidth="1"/>
    <col min="10583" max="10753" width="9.140625" style="414"/>
    <col min="10754" max="10754" width="2.7109375" style="414" customWidth="1"/>
    <col min="10755" max="10756" width="11.5703125" style="414" customWidth="1"/>
    <col min="10757" max="10757" width="7.28515625" style="414" customWidth="1"/>
    <col min="10758" max="10758" width="9.85546875" style="414" customWidth="1"/>
    <col min="10759" max="10759" width="10.140625" style="414" customWidth="1"/>
    <col min="10760" max="10760" width="11.28515625" style="414" customWidth="1"/>
    <col min="10761" max="10761" width="2.7109375" style="414" customWidth="1"/>
    <col min="10762" max="10762" width="9.42578125" style="414" customWidth="1"/>
    <col min="10763" max="10763" width="2.7109375" style="414" customWidth="1"/>
    <col min="10764" max="10767" width="0" style="414" hidden="1" customWidth="1"/>
    <col min="10768" max="10768" width="10" style="414" customWidth="1"/>
    <col min="10769" max="10838" width="6.7109375" style="414" customWidth="1"/>
    <col min="10839" max="11009" width="9.140625" style="414"/>
    <col min="11010" max="11010" width="2.7109375" style="414" customWidth="1"/>
    <col min="11011" max="11012" width="11.5703125" style="414" customWidth="1"/>
    <col min="11013" max="11013" width="7.28515625" style="414" customWidth="1"/>
    <col min="11014" max="11014" width="9.85546875" style="414" customWidth="1"/>
    <col min="11015" max="11015" width="10.140625" style="414" customWidth="1"/>
    <col min="11016" max="11016" width="11.28515625" style="414" customWidth="1"/>
    <col min="11017" max="11017" width="2.7109375" style="414" customWidth="1"/>
    <col min="11018" max="11018" width="9.42578125" style="414" customWidth="1"/>
    <col min="11019" max="11019" width="2.7109375" style="414" customWidth="1"/>
    <col min="11020" max="11023" width="0" style="414" hidden="1" customWidth="1"/>
    <col min="11024" max="11024" width="10" style="414" customWidth="1"/>
    <col min="11025" max="11094" width="6.7109375" style="414" customWidth="1"/>
    <col min="11095" max="11265" width="9.140625" style="414"/>
    <col min="11266" max="11266" width="2.7109375" style="414" customWidth="1"/>
    <col min="11267" max="11268" width="11.5703125" style="414" customWidth="1"/>
    <col min="11269" max="11269" width="7.28515625" style="414" customWidth="1"/>
    <col min="11270" max="11270" width="9.85546875" style="414" customWidth="1"/>
    <col min="11271" max="11271" width="10.140625" style="414" customWidth="1"/>
    <col min="11272" max="11272" width="11.28515625" style="414" customWidth="1"/>
    <col min="11273" max="11273" width="2.7109375" style="414" customWidth="1"/>
    <col min="11274" max="11274" width="9.42578125" style="414" customWidth="1"/>
    <col min="11275" max="11275" width="2.7109375" style="414" customWidth="1"/>
    <col min="11276" max="11279" width="0" style="414" hidden="1" customWidth="1"/>
    <col min="11280" max="11280" width="10" style="414" customWidth="1"/>
    <col min="11281" max="11350" width="6.7109375" style="414" customWidth="1"/>
    <col min="11351" max="11521" width="9.140625" style="414"/>
    <col min="11522" max="11522" width="2.7109375" style="414" customWidth="1"/>
    <col min="11523" max="11524" width="11.5703125" style="414" customWidth="1"/>
    <col min="11525" max="11525" width="7.28515625" style="414" customWidth="1"/>
    <col min="11526" max="11526" width="9.85546875" style="414" customWidth="1"/>
    <col min="11527" max="11527" width="10.140625" style="414" customWidth="1"/>
    <col min="11528" max="11528" width="11.28515625" style="414" customWidth="1"/>
    <col min="11529" max="11529" width="2.7109375" style="414" customWidth="1"/>
    <col min="11530" max="11530" width="9.42578125" style="414" customWidth="1"/>
    <col min="11531" max="11531" width="2.7109375" style="414" customWidth="1"/>
    <col min="11532" max="11535" width="0" style="414" hidden="1" customWidth="1"/>
    <col min="11536" max="11536" width="10" style="414" customWidth="1"/>
    <col min="11537" max="11606" width="6.7109375" style="414" customWidth="1"/>
    <col min="11607" max="11777" width="9.140625" style="414"/>
    <col min="11778" max="11778" width="2.7109375" style="414" customWidth="1"/>
    <col min="11779" max="11780" width="11.5703125" style="414" customWidth="1"/>
    <col min="11781" max="11781" width="7.28515625" style="414" customWidth="1"/>
    <col min="11782" max="11782" width="9.85546875" style="414" customWidth="1"/>
    <col min="11783" max="11783" width="10.140625" style="414" customWidth="1"/>
    <col min="11784" max="11784" width="11.28515625" style="414" customWidth="1"/>
    <col min="11785" max="11785" width="2.7109375" style="414" customWidth="1"/>
    <col min="11786" max="11786" width="9.42578125" style="414" customWidth="1"/>
    <col min="11787" max="11787" width="2.7109375" style="414" customWidth="1"/>
    <col min="11788" max="11791" width="0" style="414" hidden="1" customWidth="1"/>
    <col min="11792" max="11792" width="10" style="414" customWidth="1"/>
    <col min="11793" max="11862" width="6.7109375" style="414" customWidth="1"/>
    <col min="11863" max="12033" width="9.140625" style="414"/>
    <col min="12034" max="12034" width="2.7109375" style="414" customWidth="1"/>
    <col min="12035" max="12036" width="11.5703125" style="414" customWidth="1"/>
    <col min="12037" max="12037" width="7.28515625" style="414" customWidth="1"/>
    <col min="12038" max="12038" width="9.85546875" style="414" customWidth="1"/>
    <col min="12039" max="12039" width="10.140625" style="414" customWidth="1"/>
    <col min="12040" max="12040" width="11.28515625" style="414" customWidth="1"/>
    <col min="12041" max="12041" width="2.7109375" style="414" customWidth="1"/>
    <col min="12042" max="12042" width="9.42578125" style="414" customWidth="1"/>
    <col min="12043" max="12043" width="2.7109375" style="414" customWidth="1"/>
    <col min="12044" max="12047" width="0" style="414" hidden="1" customWidth="1"/>
    <col min="12048" max="12048" width="10" style="414" customWidth="1"/>
    <col min="12049" max="12118" width="6.7109375" style="414" customWidth="1"/>
    <col min="12119" max="12289" width="9.140625" style="414"/>
    <col min="12290" max="12290" width="2.7109375" style="414" customWidth="1"/>
    <col min="12291" max="12292" width="11.5703125" style="414" customWidth="1"/>
    <col min="12293" max="12293" width="7.28515625" style="414" customWidth="1"/>
    <col min="12294" max="12294" width="9.85546875" style="414" customWidth="1"/>
    <col min="12295" max="12295" width="10.140625" style="414" customWidth="1"/>
    <col min="12296" max="12296" width="11.28515625" style="414" customWidth="1"/>
    <col min="12297" max="12297" width="2.7109375" style="414" customWidth="1"/>
    <col min="12298" max="12298" width="9.42578125" style="414" customWidth="1"/>
    <col min="12299" max="12299" width="2.7109375" style="414" customWidth="1"/>
    <col min="12300" max="12303" width="0" style="414" hidden="1" customWidth="1"/>
    <col min="12304" max="12304" width="10" style="414" customWidth="1"/>
    <col min="12305" max="12374" width="6.7109375" style="414" customWidth="1"/>
    <col min="12375" max="12545" width="9.140625" style="414"/>
    <col min="12546" max="12546" width="2.7109375" style="414" customWidth="1"/>
    <col min="12547" max="12548" width="11.5703125" style="414" customWidth="1"/>
    <col min="12549" max="12549" width="7.28515625" style="414" customWidth="1"/>
    <col min="12550" max="12550" width="9.85546875" style="414" customWidth="1"/>
    <col min="12551" max="12551" width="10.140625" style="414" customWidth="1"/>
    <col min="12552" max="12552" width="11.28515625" style="414" customWidth="1"/>
    <col min="12553" max="12553" width="2.7109375" style="414" customWidth="1"/>
    <col min="12554" max="12554" width="9.42578125" style="414" customWidth="1"/>
    <col min="12555" max="12555" width="2.7109375" style="414" customWidth="1"/>
    <col min="12556" max="12559" width="0" style="414" hidden="1" customWidth="1"/>
    <col min="12560" max="12560" width="10" style="414" customWidth="1"/>
    <col min="12561" max="12630" width="6.7109375" style="414" customWidth="1"/>
    <col min="12631" max="12801" width="9.140625" style="414"/>
    <col min="12802" max="12802" width="2.7109375" style="414" customWidth="1"/>
    <col min="12803" max="12804" width="11.5703125" style="414" customWidth="1"/>
    <col min="12805" max="12805" width="7.28515625" style="414" customWidth="1"/>
    <col min="12806" max="12806" width="9.85546875" style="414" customWidth="1"/>
    <col min="12807" max="12807" width="10.140625" style="414" customWidth="1"/>
    <col min="12808" max="12808" width="11.28515625" style="414" customWidth="1"/>
    <col min="12809" max="12809" width="2.7109375" style="414" customWidth="1"/>
    <col min="12810" max="12810" width="9.42578125" style="414" customWidth="1"/>
    <col min="12811" max="12811" width="2.7109375" style="414" customWidth="1"/>
    <col min="12812" max="12815" width="0" style="414" hidden="1" customWidth="1"/>
    <col min="12816" max="12816" width="10" style="414" customWidth="1"/>
    <col min="12817" max="12886" width="6.7109375" style="414" customWidth="1"/>
    <col min="12887" max="13057" width="9.140625" style="414"/>
    <col min="13058" max="13058" width="2.7109375" style="414" customWidth="1"/>
    <col min="13059" max="13060" width="11.5703125" style="414" customWidth="1"/>
    <col min="13061" max="13061" width="7.28515625" style="414" customWidth="1"/>
    <col min="13062" max="13062" width="9.85546875" style="414" customWidth="1"/>
    <col min="13063" max="13063" width="10.140625" style="414" customWidth="1"/>
    <col min="13064" max="13064" width="11.28515625" style="414" customWidth="1"/>
    <col min="13065" max="13065" width="2.7109375" style="414" customWidth="1"/>
    <col min="13066" max="13066" width="9.42578125" style="414" customWidth="1"/>
    <col min="13067" max="13067" width="2.7109375" style="414" customWidth="1"/>
    <col min="13068" max="13071" width="0" style="414" hidden="1" customWidth="1"/>
    <col min="13072" max="13072" width="10" style="414" customWidth="1"/>
    <col min="13073" max="13142" width="6.7109375" style="414" customWidth="1"/>
    <col min="13143" max="13313" width="9.140625" style="414"/>
    <col min="13314" max="13314" width="2.7109375" style="414" customWidth="1"/>
    <col min="13315" max="13316" width="11.5703125" style="414" customWidth="1"/>
    <col min="13317" max="13317" width="7.28515625" style="414" customWidth="1"/>
    <col min="13318" max="13318" width="9.85546875" style="414" customWidth="1"/>
    <col min="13319" max="13319" width="10.140625" style="414" customWidth="1"/>
    <col min="13320" max="13320" width="11.28515625" style="414" customWidth="1"/>
    <col min="13321" max="13321" width="2.7109375" style="414" customWidth="1"/>
    <col min="13322" max="13322" width="9.42578125" style="414" customWidth="1"/>
    <col min="13323" max="13323" width="2.7109375" style="414" customWidth="1"/>
    <col min="13324" max="13327" width="0" style="414" hidden="1" customWidth="1"/>
    <col min="13328" max="13328" width="10" style="414" customWidth="1"/>
    <col min="13329" max="13398" width="6.7109375" style="414" customWidth="1"/>
    <col min="13399" max="13569" width="9.140625" style="414"/>
    <col min="13570" max="13570" width="2.7109375" style="414" customWidth="1"/>
    <col min="13571" max="13572" width="11.5703125" style="414" customWidth="1"/>
    <col min="13573" max="13573" width="7.28515625" style="414" customWidth="1"/>
    <col min="13574" max="13574" width="9.85546875" style="414" customWidth="1"/>
    <col min="13575" max="13575" width="10.140625" style="414" customWidth="1"/>
    <col min="13576" max="13576" width="11.28515625" style="414" customWidth="1"/>
    <col min="13577" max="13577" width="2.7109375" style="414" customWidth="1"/>
    <col min="13578" max="13578" width="9.42578125" style="414" customWidth="1"/>
    <col min="13579" max="13579" width="2.7109375" style="414" customWidth="1"/>
    <col min="13580" max="13583" width="0" style="414" hidden="1" customWidth="1"/>
    <col min="13584" max="13584" width="10" style="414" customWidth="1"/>
    <col min="13585" max="13654" width="6.7109375" style="414" customWidth="1"/>
    <col min="13655" max="13825" width="9.140625" style="414"/>
    <col min="13826" max="13826" width="2.7109375" style="414" customWidth="1"/>
    <col min="13827" max="13828" width="11.5703125" style="414" customWidth="1"/>
    <col min="13829" max="13829" width="7.28515625" style="414" customWidth="1"/>
    <col min="13830" max="13830" width="9.85546875" style="414" customWidth="1"/>
    <col min="13831" max="13831" width="10.140625" style="414" customWidth="1"/>
    <col min="13832" max="13832" width="11.28515625" style="414" customWidth="1"/>
    <col min="13833" max="13833" width="2.7109375" style="414" customWidth="1"/>
    <col min="13834" max="13834" width="9.42578125" style="414" customWidth="1"/>
    <col min="13835" max="13835" width="2.7109375" style="414" customWidth="1"/>
    <col min="13836" max="13839" width="0" style="414" hidden="1" customWidth="1"/>
    <col min="13840" max="13840" width="10" style="414" customWidth="1"/>
    <col min="13841" max="13910" width="6.7109375" style="414" customWidth="1"/>
    <col min="13911" max="14081" width="9.140625" style="414"/>
    <col min="14082" max="14082" width="2.7109375" style="414" customWidth="1"/>
    <col min="14083" max="14084" width="11.5703125" style="414" customWidth="1"/>
    <col min="14085" max="14085" width="7.28515625" style="414" customWidth="1"/>
    <col min="14086" max="14086" width="9.85546875" style="414" customWidth="1"/>
    <col min="14087" max="14087" width="10.140625" style="414" customWidth="1"/>
    <col min="14088" max="14088" width="11.28515625" style="414" customWidth="1"/>
    <col min="14089" max="14089" width="2.7109375" style="414" customWidth="1"/>
    <col min="14090" max="14090" width="9.42578125" style="414" customWidth="1"/>
    <col min="14091" max="14091" width="2.7109375" style="414" customWidth="1"/>
    <col min="14092" max="14095" width="0" style="414" hidden="1" customWidth="1"/>
    <col min="14096" max="14096" width="10" style="414" customWidth="1"/>
    <col min="14097" max="14166" width="6.7109375" style="414" customWidth="1"/>
    <col min="14167" max="14337" width="9.140625" style="414"/>
    <col min="14338" max="14338" width="2.7109375" style="414" customWidth="1"/>
    <col min="14339" max="14340" width="11.5703125" style="414" customWidth="1"/>
    <col min="14341" max="14341" width="7.28515625" style="414" customWidth="1"/>
    <col min="14342" max="14342" width="9.85546875" style="414" customWidth="1"/>
    <col min="14343" max="14343" width="10.140625" style="414" customWidth="1"/>
    <col min="14344" max="14344" width="11.28515625" style="414" customWidth="1"/>
    <col min="14345" max="14345" width="2.7109375" style="414" customWidth="1"/>
    <col min="14346" max="14346" width="9.42578125" style="414" customWidth="1"/>
    <col min="14347" max="14347" width="2.7109375" style="414" customWidth="1"/>
    <col min="14348" max="14351" width="0" style="414" hidden="1" customWidth="1"/>
    <col min="14352" max="14352" width="10" style="414" customWidth="1"/>
    <col min="14353" max="14422" width="6.7109375" style="414" customWidth="1"/>
    <col min="14423" max="14593" width="9.140625" style="414"/>
    <col min="14594" max="14594" width="2.7109375" style="414" customWidth="1"/>
    <col min="14595" max="14596" width="11.5703125" style="414" customWidth="1"/>
    <col min="14597" max="14597" width="7.28515625" style="414" customWidth="1"/>
    <col min="14598" max="14598" width="9.85546875" style="414" customWidth="1"/>
    <col min="14599" max="14599" width="10.140625" style="414" customWidth="1"/>
    <col min="14600" max="14600" width="11.28515625" style="414" customWidth="1"/>
    <col min="14601" max="14601" width="2.7109375" style="414" customWidth="1"/>
    <col min="14602" max="14602" width="9.42578125" style="414" customWidth="1"/>
    <col min="14603" max="14603" width="2.7109375" style="414" customWidth="1"/>
    <col min="14604" max="14607" width="0" style="414" hidden="1" customWidth="1"/>
    <col min="14608" max="14608" width="10" style="414" customWidth="1"/>
    <col min="14609" max="14678" width="6.7109375" style="414" customWidth="1"/>
    <col min="14679" max="14849" width="9.140625" style="414"/>
    <col min="14850" max="14850" width="2.7109375" style="414" customWidth="1"/>
    <col min="14851" max="14852" width="11.5703125" style="414" customWidth="1"/>
    <col min="14853" max="14853" width="7.28515625" style="414" customWidth="1"/>
    <col min="14854" max="14854" width="9.85546875" style="414" customWidth="1"/>
    <col min="14855" max="14855" width="10.140625" style="414" customWidth="1"/>
    <col min="14856" max="14856" width="11.28515625" style="414" customWidth="1"/>
    <col min="14857" max="14857" width="2.7109375" style="414" customWidth="1"/>
    <col min="14858" max="14858" width="9.42578125" style="414" customWidth="1"/>
    <col min="14859" max="14859" width="2.7109375" style="414" customWidth="1"/>
    <col min="14860" max="14863" width="0" style="414" hidden="1" customWidth="1"/>
    <col min="14864" max="14864" width="10" style="414" customWidth="1"/>
    <col min="14865" max="14934" width="6.7109375" style="414" customWidth="1"/>
    <col min="14935" max="15105" width="9.140625" style="414"/>
    <col min="15106" max="15106" width="2.7109375" style="414" customWidth="1"/>
    <col min="15107" max="15108" width="11.5703125" style="414" customWidth="1"/>
    <col min="15109" max="15109" width="7.28515625" style="414" customWidth="1"/>
    <col min="15110" max="15110" width="9.85546875" style="414" customWidth="1"/>
    <col min="15111" max="15111" width="10.140625" style="414" customWidth="1"/>
    <col min="15112" max="15112" width="11.28515625" style="414" customWidth="1"/>
    <col min="15113" max="15113" width="2.7109375" style="414" customWidth="1"/>
    <col min="15114" max="15114" width="9.42578125" style="414" customWidth="1"/>
    <col min="15115" max="15115" width="2.7109375" style="414" customWidth="1"/>
    <col min="15116" max="15119" width="0" style="414" hidden="1" customWidth="1"/>
    <col min="15120" max="15120" width="10" style="414" customWidth="1"/>
    <col min="15121" max="15190" width="6.7109375" style="414" customWidth="1"/>
    <col min="15191" max="15361" width="9.140625" style="414"/>
    <col min="15362" max="15362" width="2.7109375" style="414" customWidth="1"/>
    <col min="15363" max="15364" width="11.5703125" style="414" customWidth="1"/>
    <col min="15365" max="15365" width="7.28515625" style="414" customWidth="1"/>
    <col min="15366" max="15366" width="9.85546875" style="414" customWidth="1"/>
    <col min="15367" max="15367" width="10.140625" style="414" customWidth="1"/>
    <col min="15368" max="15368" width="11.28515625" style="414" customWidth="1"/>
    <col min="15369" max="15369" width="2.7109375" style="414" customWidth="1"/>
    <col min="15370" max="15370" width="9.42578125" style="414" customWidth="1"/>
    <col min="15371" max="15371" width="2.7109375" style="414" customWidth="1"/>
    <col min="15372" max="15375" width="0" style="414" hidden="1" customWidth="1"/>
    <col min="15376" max="15376" width="10" style="414" customWidth="1"/>
    <col min="15377" max="15446" width="6.7109375" style="414" customWidth="1"/>
    <col min="15447" max="15617" width="9.140625" style="414"/>
    <col min="15618" max="15618" width="2.7109375" style="414" customWidth="1"/>
    <col min="15619" max="15620" width="11.5703125" style="414" customWidth="1"/>
    <col min="15621" max="15621" width="7.28515625" style="414" customWidth="1"/>
    <col min="15622" max="15622" width="9.85546875" style="414" customWidth="1"/>
    <col min="15623" max="15623" width="10.140625" style="414" customWidth="1"/>
    <col min="15624" max="15624" width="11.28515625" style="414" customWidth="1"/>
    <col min="15625" max="15625" width="2.7109375" style="414" customWidth="1"/>
    <col min="15626" max="15626" width="9.42578125" style="414" customWidth="1"/>
    <col min="15627" max="15627" width="2.7109375" style="414" customWidth="1"/>
    <col min="15628" max="15631" width="0" style="414" hidden="1" customWidth="1"/>
    <col min="15632" max="15632" width="10" style="414" customWidth="1"/>
    <col min="15633" max="15702" width="6.7109375" style="414" customWidth="1"/>
    <col min="15703" max="15873" width="9.140625" style="414"/>
    <col min="15874" max="15874" width="2.7109375" style="414" customWidth="1"/>
    <col min="15875" max="15876" width="11.5703125" style="414" customWidth="1"/>
    <col min="15877" max="15877" width="7.28515625" style="414" customWidth="1"/>
    <col min="15878" max="15878" width="9.85546875" style="414" customWidth="1"/>
    <col min="15879" max="15879" width="10.140625" style="414" customWidth="1"/>
    <col min="15880" max="15880" width="11.28515625" style="414" customWidth="1"/>
    <col min="15881" max="15881" width="2.7109375" style="414" customWidth="1"/>
    <col min="15882" max="15882" width="9.42578125" style="414" customWidth="1"/>
    <col min="15883" max="15883" width="2.7109375" style="414" customWidth="1"/>
    <col min="15884" max="15887" width="0" style="414" hidden="1" customWidth="1"/>
    <col min="15888" max="15888" width="10" style="414" customWidth="1"/>
    <col min="15889" max="15958" width="6.7109375" style="414" customWidth="1"/>
    <col min="15959" max="16129" width="9.140625" style="414"/>
    <col min="16130" max="16130" width="2.7109375" style="414" customWidth="1"/>
    <col min="16131" max="16132" width="11.5703125" style="414" customWidth="1"/>
    <col min="16133" max="16133" width="7.28515625" style="414" customWidth="1"/>
    <col min="16134" max="16134" width="9.85546875" style="414" customWidth="1"/>
    <col min="16135" max="16135" width="10.140625" style="414" customWidth="1"/>
    <col min="16136" max="16136" width="11.28515625" style="414" customWidth="1"/>
    <col min="16137" max="16137" width="2.7109375" style="414" customWidth="1"/>
    <col min="16138" max="16138" width="9.42578125" style="414" customWidth="1"/>
    <col min="16139" max="16139" width="2.7109375" style="414" customWidth="1"/>
    <col min="16140" max="16143" width="0" style="414" hidden="1" customWidth="1"/>
    <col min="16144" max="16144" width="10" style="414" customWidth="1"/>
    <col min="16145" max="16214" width="6.7109375" style="414" customWidth="1"/>
    <col min="16215" max="16384" width="9.140625" style="414"/>
  </cols>
  <sheetData>
    <row r="1" spans="1:81" ht="12.75" customHeight="1">
      <c r="B1" s="95" t="s">
        <v>748</v>
      </c>
      <c r="C1" s="441">
        <f>ROUND(ValueDate,0)</f>
        <v>42696</v>
      </c>
      <c r="D1" s="95" t="s">
        <v>623</v>
      </c>
      <c r="E1" s="441">
        <f>ROUND(today,0)</f>
        <v>42692</v>
      </c>
      <c r="F1" s="95" t="s">
        <v>5149</v>
      </c>
      <c r="G1" s="473" t="s">
        <v>5150</v>
      </c>
      <c r="I1" s="94"/>
      <c r="S1" s="294"/>
      <c r="T1" s="456"/>
      <c r="AO1" s="53"/>
    </row>
    <row r="3" spans="1:81" ht="18">
      <c r="A3" s="108"/>
      <c r="B3" s="587" t="s">
        <v>232</v>
      </c>
      <c r="C3" s="587"/>
      <c r="D3" s="587"/>
      <c r="E3" s="587"/>
      <c r="F3" s="587"/>
      <c r="G3" s="587"/>
      <c r="H3" s="587"/>
      <c r="I3" s="587"/>
      <c r="J3" s="587"/>
      <c r="K3" s="587"/>
      <c r="M3" s="474"/>
      <c r="N3" s="470" t="s">
        <v>239</v>
      </c>
    </row>
    <row r="4" spans="1:81" ht="12.75" customHeight="1">
      <c r="A4" s="108"/>
      <c r="B4" s="588" t="s">
        <v>233</v>
      </c>
      <c r="C4" s="589"/>
      <c r="D4" s="589"/>
      <c r="E4" s="589"/>
      <c r="F4" s="589"/>
      <c r="G4" s="589"/>
      <c r="H4" s="590"/>
      <c r="I4" s="589" t="s">
        <v>234</v>
      </c>
      <c r="J4" s="589"/>
      <c r="K4" s="589"/>
      <c r="M4" s="475"/>
      <c r="N4" s="591" t="s">
        <v>5147</v>
      </c>
      <c r="P4" s="98" t="s">
        <v>235</v>
      </c>
      <c r="Q4" s="99" t="str">
        <f t="array" ref="Q4:CC4">TRANSPOSE(I6:I70&amp;"")</f>
        <v>O/N</v>
      </c>
      <c r="R4" s="99" t="str">
        <v>T/N</v>
      </c>
      <c r="S4" s="99" t="str">
        <v>S/N</v>
      </c>
      <c r="T4" s="99" t="str">
        <v>1W</v>
      </c>
      <c r="U4" s="99" t="str">
        <v>2W</v>
      </c>
      <c r="V4" s="99" t="str">
        <v>3W</v>
      </c>
      <c r="W4" s="99" t="str">
        <v>1M</v>
      </c>
      <c r="X4" s="99" t="str">
        <v>2M</v>
      </c>
      <c r="Y4" s="99" t="str">
        <v>3M</v>
      </c>
      <c r="Z4" s="99" t="str">
        <v>4M</v>
      </c>
      <c r="AA4" s="99" t="str">
        <v>5M</v>
      </c>
      <c r="AB4" s="99" t="str">
        <v>6M</v>
      </c>
      <c r="AC4" s="99" t="str">
        <v>7M</v>
      </c>
      <c r="AD4" s="99" t="str">
        <v>8M</v>
      </c>
      <c r="AE4" s="99" t="str">
        <v>9M</v>
      </c>
      <c r="AF4" s="99" t="str">
        <v>10M</v>
      </c>
      <c r="AG4" s="99" t="str">
        <v>11M</v>
      </c>
      <c r="AH4" s="99" t="str">
        <v>1Y</v>
      </c>
      <c r="AI4" s="99" t="str">
        <v>13M</v>
      </c>
      <c r="AJ4" s="99" t="str">
        <v>14M</v>
      </c>
      <c r="AK4" s="99" t="str">
        <v>15M</v>
      </c>
      <c r="AL4" s="99" t="str">
        <v>16M</v>
      </c>
      <c r="AM4" s="99" t="str">
        <v>17M</v>
      </c>
      <c r="AN4" s="99" t="str">
        <v>18M</v>
      </c>
      <c r="AO4" s="99" t="str">
        <v>19M</v>
      </c>
      <c r="AP4" s="99" t="str">
        <v>20M</v>
      </c>
      <c r="AQ4" s="99" t="str">
        <v>21M</v>
      </c>
      <c r="AR4" s="99" t="str">
        <v>22M</v>
      </c>
      <c r="AS4" s="99" t="str">
        <v>23M</v>
      </c>
      <c r="AT4" s="99" t="str">
        <v>2Y</v>
      </c>
      <c r="AU4" s="99" t="str">
        <v>3Y</v>
      </c>
      <c r="AV4" s="99" t="str">
        <v>4Y</v>
      </c>
      <c r="AW4" s="99" t="str">
        <v>5Y</v>
      </c>
      <c r="AX4" s="99" t="str">
        <v>6Y</v>
      </c>
      <c r="AY4" s="99" t="str">
        <v>7Y</v>
      </c>
      <c r="AZ4" s="99" t="str">
        <v>8Y</v>
      </c>
      <c r="BA4" s="99" t="str">
        <v>9Y</v>
      </c>
      <c r="BB4" s="99" t="str">
        <v>10Y</v>
      </c>
      <c r="BC4" s="99" t="str">
        <v>11Y</v>
      </c>
      <c r="BD4" s="99" t="str">
        <v>12Y</v>
      </c>
      <c r="BE4" s="99" t="str">
        <v>13Y</v>
      </c>
      <c r="BF4" s="99" t="str">
        <v>14Y</v>
      </c>
      <c r="BG4" s="99" t="str">
        <v>15Y</v>
      </c>
      <c r="BH4" s="99" t="str">
        <v>16Y</v>
      </c>
      <c r="BI4" s="99" t="str">
        <v>17Y</v>
      </c>
      <c r="BJ4" s="99" t="str">
        <v>18Y</v>
      </c>
      <c r="BK4" s="99" t="str">
        <v>19Y</v>
      </c>
      <c r="BL4" s="99" t="str">
        <v>20Y</v>
      </c>
      <c r="BM4" s="99" t="str">
        <v>21Y</v>
      </c>
      <c r="BN4" s="99" t="str">
        <v>22Y</v>
      </c>
      <c r="BO4" s="99" t="str">
        <v>23Y</v>
      </c>
      <c r="BP4" s="99" t="str">
        <v>24Y</v>
      </c>
      <c r="BQ4" s="99" t="str">
        <v>25Y</v>
      </c>
      <c r="BR4" s="99" t="str">
        <v>26Y</v>
      </c>
      <c r="BS4" s="99" t="str">
        <v>27Y</v>
      </c>
      <c r="BT4" s="99" t="str">
        <v>28Y</v>
      </c>
      <c r="BU4" s="99" t="str">
        <v>29Y</v>
      </c>
      <c r="BV4" s="99" t="str">
        <v>30Y</v>
      </c>
      <c r="BW4" s="99" t="str">
        <v>35Y</v>
      </c>
      <c r="BX4" s="99" t="str">
        <v>40Y</v>
      </c>
      <c r="BY4" s="99" t="str">
        <v>50Y</v>
      </c>
      <c r="BZ4" s="99" t="str">
        <v>60Y</v>
      </c>
      <c r="CA4" s="99" t="e">
        <v>#N/A</v>
      </c>
      <c r="CB4" s="99" t="e">
        <v>#N/A</v>
      </c>
      <c r="CC4" s="99" t="e">
        <v>#N/A</v>
      </c>
    </row>
    <row r="5" spans="1:81" ht="44.25">
      <c r="A5" s="108" t="s">
        <v>236</v>
      </c>
      <c r="B5" s="263" t="s">
        <v>89</v>
      </c>
      <c r="C5" s="471" t="s">
        <v>159</v>
      </c>
      <c r="D5" s="101" t="s">
        <v>240</v>
      </c>
      <c r="E5" s="101" t="s">
        <v>5144</v>
      </c>
      <c r="F5" s="101" t="s">
        <v>5143</v>
      </c>
      <c r="G5" s="101" t="s">
        <v>5151</v>
      </c>
      <c r="H5" s="101" t="s">
        <v>5145</v>
      </c>
      <c r="I5" s="472" t="s">
        <v>5142</v>
      </c>
      <c r="J5" s="109" t="s">
        <v>240</v>
      </c>
      <c r="K5" s="101" t="s">
        <v>231</v>
      </c>
      <c r="M5" s="476"/>
      <c r="N5" s="591"/>
      <c r="P5" s="469" t="b">
        <v>0</v>
      </c>
      <c r="Q5" s="104">
        <f t="array" ref="Q5:CC5">TRANSPOSE(K6:K70)</f>
        <v>42695</v>
      </c>
      <c r="R5" s="104">
        <v>42696</v>
      </c>
      <c r="S5" s="104">
        <v>42697</v>
      </c>
      <c r="T5" s="104">
        <v>42703</v>
      </c>
      <c r="U5" s="104">
        <v>42710</v>
      </c>
      <c r="V5" s="104">
        <v>42717</v>
      </c>
      <c r="W5" s="104">
        <v>42726</v>
      </c>
      <c r="X5" s="104">
        <v>42758</v>
      </c>
      <c r="Y5" s="104">
        <v>42788</v>
      </c>
      <c r="Z5" s="104">
        <v>42816</v>
      </c>
      <c r="AA5" s="104">
        <v>42849</v>
      </c>
      <c r="AB5" s="104">
        <v>42877</v>
      </c>
      <c r="AC5" s="104">
        <v>42908</v>
      </c>
      <c r="AD5" s="104">
        <v>42940</v>
      </c>
      <c r="AE5" s="104">
        <v>42969</v>
      </c>
      <c r="AF5" s="104">
        <v>43000</v>
      </c>
      <c r="AG5" s="104">
        <v>43031</v>
      </c>
      <c r="AH5" s="104">
        <v>43061</v>
      </c>
      <c r="AI5" s="104">
        <v>43091</v>
      </c>
      <c r="AJ5" s="104">
        <v>43122</v>
      </c>
      <c r="AK5" s="104">
        <v>43153</v>
      </c>
      <c r="AL5" s="104">
        <v>43181</v>
      </c>
      <c r="AM5" s="104">
        <v>43213</v>
      </c>
      <c r="AN5" s="104">
        <v>43242</v>
      </c>
      <c r="AO5" s="104">
        <v>43273</v>
      </c>
      <c r="AP5" s="104">
        <v>43304</v>
      </c>
      <c r="AQ5" s="104">
        <v>43334</v>
      </c>
      <c r="AR5" s="104">
        <v>43367</v>
      </c>
      <c r="AS5" s="104">
        <v>43395</v>
      </c>
      <c r="AT5" s="104">
        <v>43426</v>
      </c>
      <c r="AU5" s="104">
        <v>43791</v>
      </c>
      <c r="AV5" s="104">
        <v>44158</v>
      </c>
      <c r="AW5" s="104">
        <v>44522</v>
      </c>
      <c r="AX5" s="104">
        <v>44887</v>
      </c>
      <c r="AY5" s="104">
        <v>45252</v>
      </c>
      <c r="AZ5" s="104">
        <v>45618</v>
      </c>
      <c r="BA5" s="104">
        <v>45985</v>
      </c>
      <c r="BB5" s="104">
        <v>46349</v>
      </c>
      <c r="BC5" s="104">
        <v>46713</v>
      </c>
      <c r="BD5" s="104">
        <v>47079</v>
      </c>
      <c r="BE5" s="104">
        <v>47444</v>
      </c>
      <c r="BF5" s="104">
        <v>47809</v>
      </c>
      <c r="BG5" s="104">
        <v>48176</v>
      </c>
      <c r="BH5" s="104">
        <v>48540</v>
      </c>
      <c r="BI5" s="104">
        <v>48905</v>
      </c>
      <c r="BJ5" s="104">
        <v>49270</v>
      </c>
      <c r="BK5" s="104">
        <v>49635</v>
      </c>
      <c r="BL5" s="104">
        <v>50003</v>
      </c>
      <c r="BM5" s="104">
        <v>50367</v>
      </c>
      <c r="BN5" s="104">
        <v>50731</v>
      </c>
      <c r="BO5" s="104">
        <v>51096</v>
      </c>
      <c r="BP5" s="104">
        <v>51462</v>
      </c>
      <c r="BQ5" s="104">
        <v>51827</v>
      </c>
      <c r="BR5" s="104">
        <v>52194</v>
      </c>
      <c r="BS5" s="104">
        <v>52558</v>
      </c>
      <c r="BT5" s="104">
        <v>52923</v>
      </c>
      <c r="BU5" s="104">
        <v>53288</v>
      </c>
      <c r="BV5" s="104">
        <v>53653</v>
      </c>
      <c r="BW5" s="104">
        <v>55479</v>
      </c>
      <c r="BX5" s="104">
        <v>57306</v>
      </c>
      <c r="BY5" s="104">
        <v>60958</v>
      </c>
      <c r="BZ5" s="104">
        <v>64612</v>
      </c>
      <c r="CA5" s="104" t="e">
        <v>#NUM!</v>
      </c>
      <c r="CB5" s="104" t="e">
        <v>#NUM!</v>
      </c>
      <c r="CC5" s="104" t="e">
        <v>#NUM!</v>
      </c>
    </row>
    <row r="6" spans="1:81" ht="12.75" customHeight="1">
      <c r="A6" s="105">
        <v>1</v>
      </c>
      <c r="B6" s="457" t="str">
        <f t="array" ref="B6:B74">[0]!Bucket6M</f>
        <v>S/N</v>
      </c>
      <c r="C6" s="465">
        <f>'eur disaggregated'!W17</f>
        <v>48.521829919969733</v>
      </c>
      <c r="D6" s="111" t="s">
        <v>484</v>
      </c>
      <c r="E6" s="441">
        <f>IF(LEN(B6)&lt;4,$C$1, "--")</f>
        <v>42696</v>
      </c>
      <c r="F6" s="441">
        <f>IF(AND(NOT(ISNA(MATCH(RIGHT(B6,2),$I$6:$I$67,0))),LEN(B6)&lt;6,RIGHT(B6,1)="M"),INDEX($K$6:$K$67,MATCH(RIGHT(B6,2),$I$6:$I$67,0)),IF(AND(NOT(ISNA(MATCH((IF(RIGHT(B6,3)="24M","2Y",IF(RIGHT(B6,3)="12M", "1Y", RIGHT(B6,3)))),$I$6:$I$67,0))),LEN(B6)&gt;=6,RIGHT(B6,1)="M"),INDEX($K$6:$K$67,MATCH((IF(RIGHT(B6,3)="24M","2Y",IF(RIGHT(B6,3)="12M", "1Y", RIGHT(B6,3)))),$I$6:$I$67,0)),_xll.qlCalendarAdvance(Calendar,E6,D6)))</f>
        <v>42697</v>
      </c>
      <c r="G6" s="462">
        <f>IF(AND(70&lt;H6, H6&lt;130),(100-H6)/100,H6/100)</f>
        <v>-2.37666914E-3</v>
      </c>
      <c r="H6" s="453">
        <v>-0.23766691400000001</v>
      </c>
      <c r="I6" s="107" t="str">
        <f t="array" ref="I6:I70">[0]!BucketOIS</f>
        <v>O/N</v>
      </c>
      <c r="J6" s="441" t="str">
        <f>IF(
      LEN(I6)&gt;0,
      IF(
          (MID(I6,4,1)=" "),#REF!+
          0*TYPE("FUTURE Terzo mercoledì del mese calcolato sulla maturity"),
          IF(
               (LEN(I6)=8),
               DATE("20" &amp; RIGHT(I6,2),MID(I6,4,2),LEFT(I6,2))+0*TYPE("STUB"),
               SimplifyTenor(I6)
          )
      ),
      ""
   )</f>
        <v>1D</v>
      </c>
      <c r="K6" s="448">
        <f>_xll.qlCalendarAdvance("TARGET",EvaluationDate,J6)</f>
        <v>42695</v>
      </c>
      <c r="M6" s="99" t="str">
        <f t="array" ref="M6:M70">I6:I70</f>
        <v>O/N</v>
      </c>
      <c r="N6" s="465">
        <f t="array" ref="N6:N70">TRANSPOSE(Q76:CC76)</f>
        <v>0</v>
      </c>
      <c r="P6" s="106" t="b">
        <f t="shared" ref="P6:P37" si="0">MID(B6,4,1)=" "</f>
        <v>0</v>
      </c>
      <c r="Q6" s="460">
        <f t="array" ref="Q6:CC6">C6*ForwardToZero(OisBuckets,E6,F6,G6)</f>
        <v>0</v>
      </c>
      <c r="R6" s="460">
        <v>0</v>
      </c>
      <c r="S6" s="460">
        <v>48.521829919969733</v>
      </c>
      <c r="T6" s="460">
        <v>0</v>
      </c>
      <c r="U6" s="460">
        <v>0</v>
      </c>
      <c r="V6" s="460">
        <v>0</v>
      </c>
      <c r="W6" s="460">
        <v>0</v>
      </c>
      <c r="X6" s="460">
        <v>0</v>
      </c>
      <c r="Y6" s="460">
        <v>0</v>
      </c>
      <c r="Z6" s="460">
        <v>0</v>
      </c>
      <c r="AA6" s="460">
        <v>0</v>
      </c>
      <c r="AB6" s="460">
        <v>0</v>
      </c>
      <c r="AC6" s="460">
        <v>0</v>
      </c>
      <c r="AD6" s="460">
        <v>0</v>
      </c>
      <c r="AE6" s="460">
        <v>0</v>
      </c>
      <c r="AF6" s="460">
        <v>0</v>
      </c>
      <c r="AG6" s="460">
        <v>0</v>
      </c>
      <c r="AH6" s="460">
        <v>0</v>
      </c>
      <c r="AI6" s="460">
        <v>0</v>
      </c>
      <c r="AJ6" s="460">
        <v>0</v>
      </c>
      <c r="AK6" s="460">
        <v>0</v>
      </c>
      <c r="AL6" s="460">
        <v>0</v>
      </c>
      <c r="AM6" s="460">
        <v>0</v>
      </c>
      <c r="AN6" s="460">
        <v>0</v>
      </c>
      <c r="AO6" s="460">
        <v>0</v>
      </c>
      <c r="AP6" s="460">
        <v>0</v>
      </c>
      <c r="AQ6" s="460">
        <v>0</v>
      </c>
      <c r="AR6" s="460">
        <v>0</v>
      </c>
      <c r="AS6" s="460">
        <v>0</v>
      </c>
      <c r="AT6" s="460">
        <v>0</v>
      </c>
      <c r="AU6" s="460">
        <v>0</v>
      </c>
      <c r="AV6" s="460">
        <v>0</v>
      </c>
      <c r="AW6" s="460">
        <v>0</v>
      </c>
      <c r="AX6" s="460">
        <v>0</v>
      </c>
      <c r="AY6" s="460">
        <v>0</v>
      </c>
      <c r="AZ6" s="460">
        <v>0</v>
      </c>
      <c r="BA6" s="460">
        <v>0</v>
      </c>
      <c r="BB6" s="460">
        <v>0</v>
      </c>
      <c r="BC6" s="460">
        <v>0</v>
      </c>
      <c r="BD6" s="460">
        <v>0</v>
      </c>
      <c r="BE6" s="460">
        <v>0</v>
      </c>
      <c r="BF6" s="460">
        <v>0</v>
      </c>
      <c r="BG6" s="460">
        <v>0</v>
      </c>
      <c r="BH6" s="460">
        <v>0</v>
      </c>
      <c r="BI6" s="460">
        <v>0</v>
      </c>
      <c r="BJ6" s="460">
        <v>0</v>
      </c>
      <c r="BK6" s="460">
        <v>0</v>
      </c>
      <c r="BL6" s="460">
        <v>0</v>
      </c>
      <c r="BM6" s="460">
        <v>0</v>
      </c>
      <c r="BN6" s="460">
        <v>0</v>
      </c>
      <c r="BO6" s="460">
        <v>0</v>
      </c>
      <c r="BP6" s="460">
        <v>0</v>
      </c>
      <c r="BQ6" s="460">
        <v>0</v>
      </c>
      <c r="BR6" s="460">
        <v>0</v>
      </c>
      <c r="BS6" s="460">
        <v>0</v>
      </c>
      <c r="BT6" s="460">
        <v>0</v>
      </c>
      <c r="BU6" s="460">
        <v>0</v>
      </c>
      <c r="BV6" s="460">
        <v>0</v>
      </c>
      <c r="BW6" s="460">
        <v>0</v>
      </c>
      <c r="BX6" s="460">
        <v>0</v>
      </c>
      <c r="BY6" s="460">
        <v>0</v>
      </c>
      <c r="BZ6" s="460">
        <v>0</v>
      </c>
      <c r="CA6" s="460" t="e">
        <v>#N/A</v>
      </c>
      <c r="CB6" s="460" t="e">
        <v>#N/A</v>
      </c>
      <c r="CC6" s="460" t="e">
        <v>#N/A</v>
      </c>
    </row>
    <row r="7" spans="1:81" ht="12.75" customHeight="1">
      <c r="A7" s="105">
        <v>2</v>
      </c>
      <c r="B7" s="458" t="str">
        <v>1W</v>
      </c>
      <c r="C7" s="465">
        <f>'eur disaggregated'!W18</f>
        <v>-96.780863640176349</v>
      </c>
      <c r="D7" s="111" t="str">
        <f>IF(LEN(B7)&gt;3, "6M",IF(LEN(B7)&gt;0,SimplifyTenor(B7),""))</f>
        <v>1W</v>
      </c>
      <c r="E7" s="441">
        <f t="shared" ref="E7:E15" si="1">IF(LEN(B7)&lt;4,$C$1, "--")</f>
        <v>42696</v>
      </c>
      <c r="F7" s="441">
        <f>IF(AND(NOT(ISNA(MATCH(RIGHT(B7,2),$I$6:$I$67,0))),LEN(B7)&lt;6,RIGHT(B7,1)="M"),INDEX($K$6:$K$67,MATCH(RIGHT(B7,2),$I$6:$I$67,0)),IF(AND(NOT(ISNA(MATCH((IF(RIGHT(B7,3)="24M","2Y",IF(RIGHT(B7,3)="12M", "1Y", RIGHT(B7,3)))),$I$6:$I$67,0))),LEN(B7)&gt;=6,RIGHT(B7,1)="M"),INDEX($K$6:$K$67,MATCH((IF(RIGHT(B7,3)="24M","2Y",IF(RIGHT(B7,3)="12M", "1Y", RIGHT(B7,3)))),$I$6:$I$67,0)),_xll.qlCalendarAdvance(Calendar,E7,D7)))</f>
        <v>42703</v>
      </c>
      <c r="G7" s="462">
        <f t="shared" ref="G7:G70" si="2">IF(AND(70&lt;H7, H7&lt;130),(100-H7)/100,H7/100)</f>
        <v>-2.37663776E-3</v>
      </c>
      <c r="H7" s="453">
        <v>-0.23766377599999999</v>
      </c>
      <c r="I7" s="107" t="str">
        <v>T/N</v>
      </c>
      <c r="J7" s="106" t="str">
        <f>IF(LEN(I7)&gt;0,IF((MID(I7,4,1)=" "),#REF!,IF((LEN(I7)=8),DATE("20" &amp; RIGHT(I7,2),MID(I7,4,2),LEFT(I7,2)),SimplifyTenor(I7))),"")</f>
        <v>2D</v>
      </c>
      <c r="K7" s="448">
        <f>_xll.qlCalendarAdvance("TARGET",EvaluationDate,J7)</f>
        <v>42696</v>
      </c>
      <c r="M7" s="99" t="str">
        <v>T/N</v>
      </c>
      <c r="N7" s="465">
        <v>0</v>
      </c>
      <c r="P7" s="106" t="b">
        <f t="shared" si="0"/>
        <v>0</v>
      </c>
      <c r="Q7" s="460">
        <f t="array" ref="Q7:CC7">C7*ForwardToZero(OisBuckets,E7,F7,G7)</f>
        <v>0</v>
      </c>
      <c r="R7" s="460">
        <v>0</v>
      </c>
      <c r="S7" s="460">
        <v>0</v>
      </c>
      <c r="T7" s="460">
        <v>-96.780863640176349</v>
      </c>
      <c r="U7" s="460">
        <v>0</v>
      </c>
      <c r="V7" s="460">
        <v>0</v>
      </c>
      <c r="W7" s="460">
        <v>0</v>
      </c>
      <c r="X7" s="460">
        <v>0</v>
      </c>
      <c r="Y7" s="460">
        <v>0</v>
      </c>
      <c r="Z7" s="460">
        <v>0</v>
      </c>
      <c r="AA7" s="460">
        <v>0</v>
      </c>
      <c r="AB7" s="460">
        <v>0</v>
      </c>
      <c r="AC7" s="460">
        <v>0</v>
      </c>
      <c r="AD7" s="460">
        <v>0</v>
      </c>
      <c r="AE7" s="460">
        <v>0</v>
      </c>
      <c r="AF7" s="460">
        <v>0</v>
      </c>
      <c r="AG7" s="460">
        <v>0</v>
      </c>
      <c r="AH7" s="460">
        <v>0</v>
      </c>
      <c r="AI7" s="460">
        <v>0</v>
      </c>
      <c r="AJ7" s="460">
        <v>0</v>
      </c>
      <c r="AK7" s="460">
        <v>0</v>
      </c>
      <c r="AL7" s="460">
        <v>0</v>
      </c>
      <c r="AM7" s="460">
        <v>0</v>
      </c>
      <c r="AN7" s="460">
        <v>0</v>
      </c>
      <c r="AO7" s="460">
        <v>0</v>
      </c>
      <c r="AP7" s="460">
        <v>0</v>
      </c>
      <c r="AQ7" s="460">
        <v>0</v>
      </c>
      <c r="AR7" s="460">
        <v>0</v>
      </c>
      <c r="AS7" s="460">
        <v>0</v>
      </c>
      <c r="AT7" s="460">
        <v>0</v>
      </c>
      <c r="AU7" s="460">
        <v>0</v>
      </c>
      <c r="AV7" s="460">
        <v>0</v>
      </c>
      <c r="AW7" s="460">
        <v>0</v>
      </c>
      <c r="AX7" s="460">
        <v>0</v>
      </c>
      <c r="AY7" s="460">
        <v>0</v>
      </c>
      <c r="AZ7" s="460">
        <v>0</v>
      </c>
      <c r="BA7" s="460">
        <v>0</v>
      </c>
      <c r="BB7" s="460">
        <v>0</v>
      </c>
      <c r="BC7" s="460">
        <v>0</v>
      </c>
      <c r="BD7" s="460">
        <v>0</v>
      </c>
      <c r="BE7" s="460">
        <v>0</v>
      </c>
      <c r="BF7" s="460">
        <v>0</v>
      </c>
      <c r="BG7" s="460">
        <v>0</v>
      </c>
      <c r="BH7" s="460">
        <v>0</v>
      </c>
      <c r="BI7" s="460">
        <v>0</v>
      </c>
      <c r="BJ7" s="460">
        <v>0</v>
      </c>
      <c r="BK7" s="460">
        <v>0</v>
      </c>
      <c r="BL7" s="460">
        <v>0</v>
      </c>
      <c r="BM7" s="460">
        <v>0</v>
      </c>
      <c r="BN7" s="460">
        <v>0</v>
      </c>
      <c r="BO7" s="460">
        <v>0</v>
      </c>
      <c r="BP7" s="460">
        <v>0</v>
      </c>
      <c r="BQ7" s="460">
        <v>0</v>
      </c>
      <c r="BR7" s="460">
        <v>0</v>
      </c>
      <c r="BS7" s="460">
        <v>0</v>
      </c>
      <c r="BT7" s="460">
        <v>0</v>
      </c>
      <c r="BU7" s="460">
        <v>0</v>
      </c>
      <c r="BV7" s="460">
        <v>0</v>
      </c>
      <c r="BW7" s="460">
        <v>0</v>
      </c>
      <c r="BX7" s="460">
        <v>0</v>
      </c>
      <c r="BY7" s="460">
        <v>0</v>
      </c>
      <c r="BZ7" s="460">
        <v>0</v>
      </c>
      <c r="CA7" s="460" t="e">
        <v>#N/A</v>
      </c>
      <c r="CB7" s="460" t="e">
        <v>#N/A</v>
      </c>
      <c r="CC7" s="460" t="e">
        <v>#N/A</v>
      </c>
    </row>
    <row r="8" spans="1:81" ht="12.75" customHeight="1">
      <c r="A8" s="105">
        <v>3</v>
      </c>
      <c r="B8" s="458" t="str">
        <v>2W</v>
      </c>
      <c r="C8" s="465">
        <f>'eur disaggregated'!W19</f>
        <v>-115.79138310911112</v>
      </c>
      <c r="D8" s="111" t="str">
        <f t="shared" ref="D8:D34" si="3">IF(LEN(B8)&gt;3, "6M",IF(LEN(B8)&gt;0,SimplifyTenor(B8),""))</f>
        <v>2W</v>
      </c>
      <c r="E8" s="441">
        <f t="shared" si="1"/>
        <v>42696</v>
      </c>
      <c r="F8" s="441">
        <f>IF(AND(NOT(ISNA(MATCH(RIGHT(B8,2),$I$6:$I$67,0))),LEN(B8)&lt;6,RIGHT(B8,1)="M"),INDEX($K$6:$K$67,MATCH(RIGHT(B8,2),$I$6:$I$67,0)),IF(AND(NOT(ISNA(MATCH((IF(RIGHT(B8,3)="24M","2Y",IF(RIGHT(B8,3)="12M", "1Y", RIGHT(B8,3)))),$I$6:$I$67,0))),LEN(B8)&gt;=6,RIGHT(B8,1)="M"),INDEX($K$6:$K$67,MATCH((IF(RIGHT(B8,3)="24M","2Y",IF(RIGHT(B8,3)="12M", "1Y", RIGHT(B8,3)))),$I$6:$I$67,0)),_xll.qlCalendarAdvance(Calendar,E8,D8)))</f>
        <v>42710</v>
      </c>
      <c r="G8" s="462">
        <f t="shared" si="2"/>
        <v>-2.3534420999999999E-3</v>
      </c>
      <c r="H8" s="453">
        <v>-0.23534421</v>
      </c>
      <c r="I8" s="107" t="str">
        <v>S/N</v>
      </c>
      <c r="J8" s="106" t="str">
        <f>IF(LEN(I8)&gt;0,IF((MID(I8,4,1)=" "),#REF!,IF((LEN(I8)=8),DATE("20" &amp; RIGHT(I8,2),MID(I8,4,2),LEFT(I8,2)),SimplifyTenor(I8))),"")</f>
        <v>3D</v>
      </c>
      <c r="K8" s="448">
        <f>_xll.qlCalendarAdvance("TARGET",EvaluationDate,J8)</f>
        <v>42697</v>
      </c>
      <c r="M8" s="99" t="str">
        <v>S/N</v>
      </c>
      <c r="N8" s="465">
        <v>48.521829919969733</v>
      </c>
      <c r="P8" s="106" t="b">
        <f t="shared" si="0"/>
        <v>0</v>
      </c>
      <c r="Q8" s="460">
        <f t="array" ref="Q8:CC8">C8*ForwardToZero(OisBuckets,E8,F8,G8)</f>
        <v>0</v>
      </c>
      <c r="R8" s="460">
        <v>0</v>
      </c>
      <c r="S8" s="460">
        <v>0</v>
      </c>
      <c r="T8" s="460">
        <v>0</v>
      </c>
      <c r="U8" s="460">
        <v>-115.79138310911112</v>
      </c>
      <c r="V8" s="460">
        <v>0</v>
      </c>
      <c r="W8" s="460">
        <v>0</v>
      </c>
      <c r="X8" s="460">
        <v>0</v>
      </c>
      <c r="Y8" s="460">
        <v>0</v>
      </c>
      <c r="Z8" s="460">
        <v>0</v>
      </c>
      <c r="AA8" s="460">
        <v>0</v>
      </c>
      <c r="AB8" s="460">
        <v>0</v>
      </c>
      <c r="AC8" s="460">
        <v>0</v>
      </c>
      <c r="AD8" s="460">
        <v>0</v>
      </c>
      <c r="AE8" s="460">
        <v>0</v>
      </c>
      <c r="AF8" s="460">
        <v>0</v>
      </c>
      <c r="AG8" s="460">
        <v>0</v>
      </c>
      <c r="AH8" s="460">
        <v>0</v>
      </c>
      <c r="AI8" s="460">
        <v>0</v>
      </c>
      <c r="AJ8" s="460">
        <v>0</v>
      </c>
      <c r="AK8" s="460">
        <v>0</v>
      </c>
      <c r="AL8" s="460">
        <v>0</v>
      </c>
      <c r="AM8" s="460">
        <v>0</v>
      </c>
      <c r="AN8" s="460">
        <v>0</v>
      </c>
      <c r="AO8" s="460">
        <v>0</v>
      </c>
      <c r="AP8" s="460">
        <v>0</v>
      </c>
      <c r="AQ8" s="460">
        <v>0</v>
      </c>
      <c r="AR8" s="460">
        <v>0</v>
      </c>
      <c r="AS8" s="460">
        <v>0</v>
      </c>
      <c r="AT8" s="460">
        <v>0</v>
      </c>
      <c r="AU8" s="460">
        <v>0</v>
      </c>
      <c r="AV8" s="460">
        <v>0</v>
      </c>
      <c r="AW8" s="460">
        <v>0</v>
      </c>
      <c r="AX8" s="460">
        <v>0</v>
      </c>
      <c r="AY8" s="460">
        <v>0</v>
      </c>
      <c r="AZ8" s="460">
        <v>0</v>
      </c>
      <c r="BA8" s="460">
        <v>0</v>
      </c>
      <c r="BB8" s="460">
        <v>0</v>
      </c>
      <c r="BC8" s="460">
        <v>0</v>
      </c>
      <c r="BD8" s="460">
        <v>0</v>
      </c>
      <c r="BE8" s="460">
        <v>0</v>
      </c>
      <c r="BF8" s="460">
        <v>0</v>
      </c>
      <c r="BG8" s="460">
        <v>0</v>
      </c>
      <c r="BH8" s="460">
        <v>0</v>
      </c>
      <c r="BI8" s="460">
        <v>0</v>
      </c>
      <c r="BJ8" s="460">
        <v>0</v>
      </c>
      <c r="BK8" s="460">
        <v>0</v>
      </c>
      <c r="BL8" s="460">
        <v>0</v>
      </c>
      <c r="BM8" s="460">
        <v>0</v>
      </c>
      <c r="BN8" s="460">
        <v>0</v>
      </c>
      <c r="BO8" s="460">
        <v>0</v>
      </c>
      <c r="BP8" s="460">
        <v>0</v>
      </c>
      <c r="BQ8" s="460">
        <v>0</v>
      </c>
      <c r="BR8" s="460">
        <v>0</v>
      </c>
      <c r="BS8" s="460">
        <v>0</v>
      </c>
      <c r="BT8" s="460">
        <v>0</v>
      </c>
      <c r="BU8" s="460">
        <v>0</v>
      </c>
      <c r="BV8" s="460">
        <v>0</v>
      </c>
      <c r="BW8" s="460">
        <v>0</v>
      </c>
      <c r="BX8" s="460">
        <v>0</v>
      </c>
      <c r="BY8" s="460">
        <v>0</v>
      </c>
      <c r="BZ8" s="460">
        <v>0</v>
      </c>
      <c r="CA8" s="460" t="e">
        <v>#N/A</v>
      </c>
      <c r="CB8" s="460" t="e">
        <v>#N/A</v>
      </c>
      <c r="CC8" s="460" t="e">
        <v>#N/A</v>
      </c>
    </row>
    <row r="9" spans="1:81" ht="12.75" customHeight="1">
      <c r="A9" s="105">
        <v>4</v>
      </c>
      <c r="B9" s="458" t="str">
        <v>3W</v>
      </c>
      <c r="C9" s="465">
        <f>'eur disaggregated'!W20</f>
        <v>-40.224526826003881</v>
      </c>
      <c r="D9" s="111" t="str">
        <f t="shared" si="3"/>
        <v>3W</v>
      </c>
      <c r="E9" s="441">
        <f t="shared" si="1"/>
        <v>42696</v>
      </c>
      <c r="F9" s="441">
        <f>IF(AND(NOT(ISNA(MATCH(RIGHT(B9,2),$I$6:$I$67,0))),LEN(B9)&lt;6,RIGHT(B9,1)="M"),INDEX($K$6:$K$67,MATCH(RIGHT(B9,2),$I$6:$I$67,0)),IF(AND(NOT(ISNA(MATCH((IF(RIGHT(B9,3)="24M","2Y",IF(RIGHT(B9,3)="12M", "1Y", RIGHT(B9,3)))),$I$6:$I$67,0))),LEN(B9)&gt;=6,RIGHT(B9,1)="M"),INDEX($K$6:$K$67,MATCH((IF(RIGHT(B9,3)="24M","2Y",IF(RIGHT(B9,3)="12M", "1Y", RIGHT(B9,3)))),$I$6:$I$67,0)),_xll.qlCalendarAdvance(Calendar,E9,D9)))</f>
        <v>42717</v>
      </c>
      <c r="G9" s="462">
        <f t="shared" si="2"/>
        <v>-2.3611014799999998E-3</v>
      </c>
      <c r="H9" s="453">
        <v>-0.23611014799999999</v>
      </c>
      <c r="I9" s="107" t="str">
        <v>1W</v>
      </c>
      <c r="J9" s="106" t="str">
        <f>IF(LEN(I9)&gt;0,IF((MID(I9,4,1)=" "),#REF!,IF((LEN(I9)=8),DATE("20" &amp; RIGHT(I9,2),MID(I9,4,2),LEFT(I9,2)),SimplifyTenor(I9))),"")</f>
        <v>1W</v>
      </c>
      <c r="K9" s="448">
        <f>_xll.qlCalendarAdvance("TARGET",SettlementDate,J9)</f>
        <v>42703</v>
      </c>
      <c r="M9" s="99" t="str">
        <v>1W</v>
      </c>
      <c r="N9" s="465">
        <v>-96.780863640176349</v>
      </c>
      <c r="P9" s="106" t="b">
        <f t="shared" si="0"/>
        <v>0</v>
      </c>
      <c r="Q9" s="460">
        <f t="array" ref="Q9:CC9">C9*ForwardToZero(OisBuckets,E9,F9,G9)</f>
        <v>0</v>
      </c>
      <c r="R9" s="460">
        <v>0</v>
      </c>
      <c r="S9" s="460">
        <v>0</v>
      </c>
      <c r="T9" s="460">
        <v>0</v>
      </c>
      <c r="U9" s="460">
        <v>0</v>
      </c>
      <c r="V9" s="460">
        <v>-40.224526826003881</v>
      </c>
      <c r="W9" s="460">
        <v>0</v>
      </c>
      <c r="X9" s="460">
        <v>0</v>
      </c>
      <c r="Y9" s="460">
        <v>0</v>
      </c>
      <c r="Z9" s="460">
        <v>0</v>
      </c>
      <c r="AA9" s="460">
        <v>0</v>
      </c>
      <c r="AB9" s="460">
        <v>0</v>
      </c>
      <c r="AC9" s="460">
        <v>0</v>
      </c>
      <c r="AD9" s="460">
        <v>0</v>
      </c>
      <c r="AE9" s="460">
        <v>0</v>
      </c>
      <c r="AF9" s="460">
        <v>0</v>
      </c>
      <c r="AG9" s="460">
        <v>0</v>
      </c>
      <c r="AH9" s="460">
        <v>0</v>
      </c>
      <c r="AI9" s="460">
        <v>0</v>
      </c>
      <c r="AJ9" s="460">
        <v>0</v>
      </c>
      <c r="AK9" s="460">
        <v>0</v>
      </c>
      <c r="AL9" s="460">
        <v>0</v>
      </c>
      <c r="AM9" s="460">
        <v>0</v>
      </c>
      <c r="AN9" s="460">
        <v>0</v>
      </c>
      <c r="AO9" s="460">
        <v>0</v>
      </c>
      <c r="AP9" s="460">
        <v>0</v>
      </c>
      <c r="AQ9" s="460">
        <v>0</v>
      </c>
      <c r="AR9" s="460">
        <v>0</v>
      </c>
      <c r="AS9" s="460">
        <v>0</v>
      </c>
      <c r="AT9" s="460">
        <v>0</v>
      </c>
      <c r="AU9" s="460">
        <v>0</v>
      </c>
      <c r="AV9" s="460">
        <v>0</v>
      </c>
      <c r="AW9" s="460">
        <v>0</v>
      </c>
      <c r="AX9" s="460">
        <v>0</v>
      </c>
      <c r="AY9" s="460">
        <v>0</v>
      </c>
      <c r="AZ9" s="460">
        <v>0</v>
      </c>
      <c r="BA9" s="460">
        <v>0</v>
      </c>
      <c r="BB9" s="460">
        <v>0</v>
      </c>
      <c r="BC9" s="460">
        <v>0</v>
      </c>
      <c r="BD9" s="460">
        <v>0</v>
      </c>
      <c r="BE9" s="460">
        <v>0</v>
      </c>
      <c r="BF9" s="460">
        <v>0</v>
      </c>
      <c r="BG9" s="460">
        <v>0</v>
      </c>
      <c r="BH9" s="460">
        <v>0</v>
      </c>
      <c r="BI9" s="460">
        <v>0</v>
      </c>
      <c r="BJ9" s="460">
        <v>0</v>
      </c>
      <c r="BK9" s="460">
        <v>0</v>
      </c>
      <c r="BL9" s="460">
        <v>0</v>
      </c>
      <c r="BM9" s="460">
        <v>0</v>
      </c>
      <c r="BN9" s="460">
        <v>0</v>
      </c>
      <c r="BO9" s="460">
        <v>0</v>
      </c>
      <c r="BP9" s="460">
        <v>0</v>
      </c>
      <c r="BQ9" s="460">
        <v>0</v>
      </c>
      <c r="BR9" s="460">
        <v>0</v>
      </c>
      <c r="BS9" s="460">
        <v>0</v>
      </c>
      <c r="BT9" s="460">
        <v>0</v>
      </c>
      <c r="BU9" s="460">
        <v>0</v>
      </c>
      <c r="BV9" s="460">
        <v>0</v>
      </c>
      <c r="BW9" s="460">
        <v>0</v>
      </c>
      <c r="BX9" s="460">
        <v>0</v>
      </c>
      <c r="BY9" s="460">
        <v>0</v>
      </c>
      <c r="BZ9" s="460">
        <v>0</v>
      </c>
      <c r="CA9" s="460" t="e">
        <v>#N/A</v>
      </c>
      <c r="CB9" s="460" t="e">
        <v>#N/A</v>
      </c>
      <c r="CC9" s="460" t="e">
        <v>#N/A</v>
      </c>
    </row>
    <row r="10" spans="1:81" ht="12.75" customHeight="1">
      <c r="A10" s="105">
        <v>5</v>
      </c>
      <c r="B10" s="458" t="str">
        <v>1M</v>
      </c>
      <c r="C10" s="465">
        <f>'eur disaggregated'!W21</f>
        <v>1523.4893824948724</v>
      </c>
      <c r="D10" s="111" t="str">
        <f t="shared" si="3"/>
        <v>1M</v>
      </c>
      <c r="E10" s="441">
        <f t="shared" si="1"/>
        <v>42696</v>
      </c>
      <c r="F10" s="441">
        <f>IF(AND(NOT(ISNA(MATCH(RIGHT(B10,2),$I$6:$I$67,0))),LEN(B10)&lt;6,RIGHT(B10,1)="M"),INDEX($K$6:$K$67,MATCH(RIGHT(B10,2),$I$6:$I$67,0)),IF(AND(NOT(ISNA(MATCH((IF(RIGHT(B10,3)="24M","2Y",IF(RIGHT(B10,3)="12M", "1Y", RIGHT(B10,3)))),$I$6:$I$67,0))),LEN(B10)&gt;=6,RIGHT(B10,1)="M"),INDEX($K$6:$K$67,MATCH((IF(RIGHT(B10,3)="24M","2Y",IF(RIGHT(B10,3)="12M", "1Y", RIGHT(B10,3)))),$I$6:$I$67,0)),_xll.qlCalendarAdvance(Calendar,E10,D10)))</f>
        <v>42726</v>
      </c>
      <c r="G10" s="462">
        <f t="shared" si="2"/>
        <v>-2.366E-3</v>
      </c>
      <c r="H10" s="453">
        <v>-0.2366</v>
      </c>
      <c r="I10" s="107" t="str">
        <v>2W</v>
      </c>
      <c r="J10" s="106" t="str">
        <f>IF(LEN(I10)&gt;0,IF((MID(I10,4,1)=" "),#REF!,IF((LEN(I10)=8),DATE("20" &amp; RIGHT(I10,2),MID(I10,4,2),LEFT(I10,2)),SimplifyTenor(I10))),"")</f>
        <v>2W</v>
      </c>
      <c r="K10" s="448">
        <f>_xll.qlCalendarAdvance("TARGET",SettlementDate,J10)</f>
        <v>42710</v>
      </c>
      <c r="M10" s="99" t="str">
        <v>2W</v>
      </c>
      <c r="N10" s="465">
        <v>-115.79138310911112</v>
      </c>
      <c r="P10" s="106" t="b">
        <f t="shared" si="0"/>
        <v>0</v>
      </c>
      <c r="Q10" s="460">
        <f t="array" ref="Q10:CC10">C10*ForwardToZero(OisBuckets,E10,F10,G10)</f>
        <v>0</v>
      </c>
      <c r="R10" s="460">
        <v>0</v>
      </c>
      <c r="S10" s="460">
        <v>0</v>
      </c>
      <c r="T10" s="460">
        <v>0</v>
      </c>
      <c r="U10" s="460">
        <v>0</v>
      </c>
      <c r="V10" s="460">
        <v>0</v>
      </c>
      <c r="W10" s="460">
        <v>1523.4893824948724</v>
      </c>
      <c r="X10" s="460">
        <v>0</v>
      </c>
      <c r="Y10" s="460">
        <v>0</v>
      </c>
      <c r="Z10" s="460">
        <v>0</v>
      </c>
      <c r="AA10" s="460">
        <v>0</v>
      </c>
      <c r="AB10" s="460">
        <v>0</v>
      </c>
      <c r="AC10" s="460">
        <v>0</v>
      </c>
      <c r="AD10" s="460">
        <v>0</v>
      </c>
      <c r="AE10" s="460">
        <v>0</v>
      </c>
      <c r="AF10" s="460">
        <v>0</v>
      </c>
      <c r="AG10" s="460">
        <v>0</v>
      </c>
      <c r="AH10" s="460">
        <v>0</v>
      </c>
      <c r="AI10" s="460">
        <v>0</v>
      </c>
      <c r="AJ10" s="460">
        <v>0</v>
      </c>
      <c r="AK10" s="460">
        <v>0</v>
      </c>
      <c r="AL10" s="460">
        <v>0</v>
      </c>
      <c r="AM10" s="460">
        <v>0</v>
      </c>
      <c r="AN10" s="460">
        <v>0</v>
      </c>
      <c r="AO10" s="460">
        <v>0</v>
      </c>
      <c r="AP10" s="460">
        <v>0</v>
      </c>
      <c r="AQ10" s="460">
        <v>0</v>
      </c>
      <c r="AR10" s="460">
        <v>0</v>
      </c>
      <c r="AS10" s="460">
        <v>0</v>
      </c>
      <c r="AT10" s="460">
        <v>0</v>
      </c>
      <c r="AU10" s="460">
        <v>0</v>
      </c>
      <c r="AV10" s="460">
        <v>0</v>
      </c>
      <c r="AW10" s="460">
        <v>0</v>
      </c>
      <c r="AX10" s="460">
        <v>0</v>
      </c>
      <c r="AY10" s="460">
        <v>0</v>
      </c>
      <c r="AZ10" s="460">
        <v>0</v>
      </c>
      <c r="BA10" s="460">
        <v>0</v>
      </c>
      <c r="BB10" s="460">
        <v>0</v>
      </c>
      <c r="BC10" s="460">
        <v>0</v>
      </c>
      <c r="BD10" s="460">
        <v>0</v>
      </c>
      <c r="BE10" s="460">
        <v>0</v>
      </c>
      <c r="BF10" s="460">
        <v>0</v>
      </c>
      <c r="BG10" s="460">
        <v>0</v>
      </c>
      <c r="BH10" s="460">
        <v>0</v>
      </c>
      <c r="BI10" s="460">
        <v>0</v>
      </c>
      <c r="BJ10" s="460">
        <v>0</v>
      </c>
      <c r="BK10" s="460">
        <v>0</v>
      </c>
      <c r="BL10" s="460">
        <v>0</v>
      </c>
      <c r="BM10" s="460">
        <v>0</v>
      </c>
      <c r="BN10" s="460">
        <v>0</v>
      </c>
      <c r="BO10" s="460">
        <v>0</v>
      </c>
      <c r="BP10" s="460">
        <v>0</v>
      </c>
      <c r="BQ10" s="460">
        <v>0</v>
      </c>
      <c r="BR10" s="460">
        <v>0</v>
      </c>
      <c r="BS10" s="460">
        <v>0</v>
      </c>
      <c r="BT10" s="460">
        <v>0</v>
      </c>
      <c r="BU10" s="460">
        <v>0</v>
      </c>
      <c r="BV10" s="460">
        <v>0</v>
      </c>
      <c r="BW10" s="460">
        <v>0</v>
      </c>
      <c r="BX10" s="460">
        <v>0</v>
      </c>
      <c r="BY10" s="460">
        <v>0</v>
      </c>
      <c r="BZ10" s="460">
        <v>0</v>
      </c>
      <c r="CA10" s="460" t="e">
        <v>#N/A</v>
      </c>
      <c r="CB10" s="460" t="e">
        <v>#N/A</v>
      </c>
      <c r="CC10" s="460" t="e">
        <v>#N/A</v>
      </c>
    </row>
    <row r="11" spans="1:81" ht="12.75" customHeight="1">
      <c r="A11" s="105">
        <v>6</v>
      </c>
      <c r="B11" s="458" t="str">
        <v>2M</v>
      </c>
      <c r="C11" s="465">
        <f>'eur disaggregated'!W22</f>
        <v>605.51558608064249</v>
      </c>
      <c r="D11" s="111" t="str">
        <f t="shared" si="3"/>
        <v>2M</v>
      </c>
      <c r="E11" s="441">
        <f t="shared" si="1"/>
        <v>42696</v>
      </c>
      <c r="F11" s="441">
        <f>IF(AND(NOT(ISNA(MATCH(RIGHT(B11,2),$I$6:$I$67,0))),LEN(B11)&lt;6,RIGHT(B11,1)="M"),INDEX($K$6:$K$67,MATCH(RIGHT(B11,2),$I$6:$I$67,0)),IF(AND(NOT(ISNA(MATCH((IF(RIGHT(B11,3)="24M","2Y",IF(RIGHT(B11,3)="12M", "1Y", RIGHT(B11,3)))),$I$6:$I$67,0))),LEN(B11)&gt;=6,RIGHT(B11,1)="M"),INDEX($K$6:$K$67,MATCH((IF(RIGHT(B11,3)="24M","2Y",IF(RIGHT(B11,3)="12M", "1Y", RIGHT(B11,3)))),$I$6:$I$67,0)),_xll.qlCalendarAdvance(Calendar,E11,D11)))</f>
        <v>42758</v>
      </c>
      <c r="G11" s="462">
        <f t="shared" si="2"/>
        <v>-2.2959999999999999E-3</v>
      </c>
      <c r="H11" s="453">
        <v>-0.2296</v>
      </c>
      <c r="I11" s="107" t="str">
        <v>3W</v>
      </c>
      <c r="J11" s="106" t="str">
        <f>IF(LEN(I11)&gt;0,IF((MID(I11,4,1)=" "),#REF!,IF((LEN(I11)=8),DATE("20" &amp; RIGHT(I11,2),MID(I11,4,2),LEFT(I11,2)),SimplifyTenor(I11))),"")</f>
        <v>3W</v>
      </c>
      <c r="K11" s="448">
        <f>_xll.qlCalendarAdvance("TARGET",SettlementDate,J11)</f>
        <v>42717</v>
      </c>
      <c r="M11" s="99" t="str">
        <v>3W</v>
      </c>
      <c r="N11" s="465">
        <v>-40.224526826003881</v>
      </c>
      <c r="P11" s="106" t="b">
        <f t="shared" si="0"/>
        <v>0</v>
      </c>
      <c r="Q11" s="460">
        <f t="array" ref="Q11:CC11">C11*ForwardToZero(OisBuckets,E11,F11,G11)</f>
        <v>0</v>
      </c>
      <c r="R11" s="460">
        <v>0</v>
      </c>
      <c r="S11" s="460">
        <v>0</v>
      </c>
      <c r="T11" s="460">
        <v>0</v>
      </c>
      <c r="U11" s="460">
        <v>0</v>
      </c>
      <c r="V11" s="460">
        <v>0</v>
      </c>
      <c r="W11" s="460">
        <v>0</v>
      </c>
      <c r="X11" s="460">
        <v>605.51558608064249</v>
      </c>
      <c r="Y11" s="460">
        <v>0</v>
      </c>
      <c r="Z11" s="460">
        <v>0</v>
      </c>
      <c r="AA11" s="460">
        <v>0</v>
      </c>
      <c r="AB11" s="460">
        <v>0</v>
      </c>
      <c r="AC11" s="460">
        <v>0</v>
      </c>
      <c r="AD11" s="460">
        <v>0</v>
      </c>
      <c r="AE11" s="460">
        <v>0</v>
      </c>
      <c r="AF11" s="460">
        <v>0</v>
      </c>
      <c r="AG11" s="460">
        <v>0</v>
      </c>
      <c r="AH11" s="460">
        <v>0</v>
      </c>
      <c r="AI11" s="460">
        <v>0</v>
      </c>
      <c r="AJ11" s="460">
        <v>0</v>
      </c>
      <c r="AK11" s="460">
        <v>0</v>
      </c>
      <c r="AL11" s="460">
        <v>0</v>
      </c>
      <c r="AM11" s="460">
        <v>0</v>
      </c>
      <c r="AN11" s="460">
        <v>0</v>
      </c>
      <c r="AO11" s="460">
        <v>0</v>
      </c>
      <c r="AP11" s="460">
        <v>0</v>
      </c>
      <c r="AQ11" s="460">
        <v>0</v>
      </c>
      <c r="AR11" s="460">
        <v>0</v>
      </c>
      <c r="AS11" s="460">
        <v>0</v>
      </c>
      <c r="AT11" s="460">
        <v>0</v>
      </c>
      <c r="AU11" s="460">
        <v>0</v>
      </c>
      <c r="AV11" s="460">
        <v>0</v>
      </c>
      <c r="AW11" s="460">
        <v>0</v>
      </c>
      <c r="AX11" s="460">
        <v>0</v>
      </c>
      <c r="AY11" s="460">
        <v>0</v>
      </c>
      <c r="AZ11" s="460">
        <v>0</v>
      </c>
      <c r="BA11" s="460">
        <v>0</v>
      </c>
      <c r="BB11" s="460">
        <v>0</v>
      </c>
      <c r="BC11" s="460">
        <v>0</v>
      </c>
      <c r="BD11" s="460">
        <v>0</v>
      </c>
      <c r="BE11" s="460">
        <v>0</v>
      </c>
      <c r="BF11" s="460">
        <v>0</v>
      </c>
      <c r="BG11" s="460">
        <v>0</v>
      </c>
      <c r="BH11" s="460">
        <v>0</v>
      </c>
      <c r="BI11" s="460">
        <v>0</v>
      </c>
      <c r="BJ11" s="460">
        <v>0</v>
      </c>
      <c r="BK11" s="460">
        <v>0</v>
      </c>
      <c r="BL11" s="460">
        <v>0</v>
      </c>
      <c r="BM11" s="460">
        <v>0</v>
      </c>
      <c r="BN11" s="460">
        <v>0</v>
      </c>
      <c r="BO11" s="460">
        <v>0</v>
      </c>
      <c r="BP11" s="460">
        <v>0</v>
      </c>
      <c r="BQ11" s="460">
        <v>0</v>
      </c>
      <c r="BR11" s="460">
        <v>0</v>
      </c>
      <c r="BS11" s="460">
        <v>0</v>
      </c>
      <c r="BT11" s="460">
        <v>0</v>
      </c>
      <c r="BU11" s="460">
        <v>0</v>
      </c>
      <c r="BV11" s="460">
        <v>0</v>
      </c>
      <c r="BW11" s="460">
        <v>0</v>
      </c>
      <c r="BX11" s="460">
        <v>0</v>
      </c>
      <c r="BY11" s="460">
        <v>0</v>
      </c>
      <c r="BZ11" s="460">
        <v>0</v>
      </c>
      <c r="CA11" s="460" t="e">
        <v>#N/A</v>
      </c>
      <c r="CB11" s="460" t="e">
        <v>#N/A</v>
      </c>
      <c r="CC11" s="460" t="e">
        <v>#N/A</v>
      </c>
    </row>
    <row r="12" spans="1:81" ht="12.75" customHeight="1">
      <c r="A12" s="105">
        <v>7</v>
      </c>
      <c r="B12" s="458" t="str">
        <v>3M</v>
      </c>
      <c r="C12" s="465">
        <f>'eur disaggregated'!W23</f>
        <v>-250.89774891932802</v>
      </c>
      <c r="D12" s="111" t="str">
        <f t="shared" si="3"/>
        <v>3M</v>
      </c>
      <c r="E12" s="441">
        <f t="shared" si="1"/>
        <v>42696</v>
      </c>
      <c r="F12" s="441">
        <f>IF(AND(NOT(ISNA(MATCH(RIGHT(B12,2),$I$6:$I$67,0))),LEN(B12)&lt;6,RIGHT(B12,1)="M"),INDEX($K$6:$K$67,MATCH(RIGHT(B12,2),$I$6:$I$67,0)),IF(AND(NOT(ISNA(MATCH((IF(RIGHT(B12,3)="24M","2Y",IF(RIGHT(B12,3)="12M", "1Y", RIGHT(B12,3)))),$I$6:$I$67,0))),LEN(B12)&gt;=6,RIGHT(B12,1)="M"),INDEX($K$6:$K$67,MATCH((IF(RIGHT(B12,3)="24M","2Y",IF(RIGHT(B12,3)="12M", "1Y", RIGHT(B12,3)))),$I$6:$I$67,0)),_xll.qlCalendarAdvance(Calendar,E12,D12)))</f>
        <v>42788</v>
      </c>
      <c r="G12" s="462">
        <f t="shared" si="2"/>
        <v>-2.258E-3</v>
      </c>
      <c r="H12" s="453">
        <v>-0.2258</v>
      </c>
      <c r="I12" s="107" t="str">
        <v>1M</v>
      </c>
      <c r="J12" s="106" t="str">
        <f>IF(LEN(I12)&gt;0,IF((MID(I12,4,1)=" "),#REF!,IF((LEN(I12)=8),DATE("20" &amp; RIGHT(I12,2),MID(I12,4,2),LEFT(I12,2)),SimplifyTenor(I12))),"")</f>
        <v>1M</v>
      </c>
      <c r="K12" s="448">
        <f>_xll.qlCalendarAdvance("TARGET",SettlementDate,J12)</f>
        <v>42726</v>
      </c>
      <c r="M12" s="99" t="str">
        <v>1M</v>
      </c>
      <c r="N12" s="465">
        <v>1398.3265716927331</v>
      </c>
      <c r="P12" s="106" t="b">
        <f t="shared" si="0"/>
        <v>0</v>
      </c>
      <c r="Q12" s="460">
        <f t="array" ref="Q12:CC12">C12*ForwardToZero(OisBuckets,E12,F12,G12)</f>
        <v>0</v>
      </c>
      <c r="R12" s="460">
        <v>0</v>
      </c>
      <c r="S12" s="460">
        <v>0</v>
      </c>
      <c r="T12" s="460">
        <v>0</v>
      </c>
      <c r="U12" s="460">
        <v>0</v>
      </c>
      <c r="V12" s="460">
        <v>0</v>
      </c>
      <c r="W12" s="460">
        <v>0</v>
      </c>
      <c r="X12" s="460">
        <v>0</v>
      </c>
      <c r="Y12" s="460">
        <v>-250.89774891932802</v>
      </c>
      <c r="Z12" s="460">
        <v>0</v>
      </c>
      <c r="AA12" s="460">
        <v>0</v>
      </c>
      <c r="AB12" s="460">
        <v>0</v>
      </c>
      <c r="AC12" s="460">
        <v>0</v>
      </c>
      <c r="AD12" s="460">
        <v>0</v>
      </c>
      <c r="AE12" s="460">
        <v>0</v>
      </c>
      <c r="AF12" s="460">
        <v>0</v>
      </c>
      <c r="AG12" s="460">
        <v>0</v>
      </c>
      <c r="AH12" s="460">
        <v>0</v>
      </c>
      <c r="AI12" s="460">
        <v>0</v>
      </c>
      <c r="AJ12" s="460">
        <v>0</v>
      </c>
      <c r="AK12" s="460">
        <v>0</v>
      </c>
      <c r="AL12" s="460">
        <v>0</v>
      </c>
      <c r="AM12" s="460">
        <v>0</v>
      </c>
      <c r="AN12" s="460">
        <v>0</v>
      </c>
      <c r="AO12" s="460">
        <v>0</v>
      </c>
      <c r="AP12" s="460">
        <v>0</v>
      </c>
      <c r="AQ12" s="460">
        <v>0</v>
      </c>
      <c r="AR12" s="460">
        <v>0</v>
      </c>
      <c r="AS12" s="460">
        <v>0</v>
      </c>
      <c r="AT12" s="460">
        <v>0</v>
      </c>
      <c r="AU12" s="460">
        <v>0</v>
      </c>
      <c r="AV12" s="460">
        <v>0</v>
      </c>
      <c r="AW12" s="460">
        <v>0</v>
      </c>
      <c r="AX12" s="460">
        <v>0</v>
      </c>
      <c r="AY12" s="460">
        <v>0</v>
      </c>
      <c r="AZ12" s="460">
        <v>0</v>
      </c>
      <c r="BA12" s="460">
        <v>0</v>
      </c>
      <c r="BB12" s="460">
        <v>0</v>
      </c>
      <c r="BC12" s="460">
        <v>0</v>
      </c>
      <c r="BD12" s="460">
        <v>0</v>
      </c>
      <c r="BE12" s="460">
        <v>0</v>
      </c>
      <c r="BF12" s="460">
        <v>0</v>
      </c>
      <c r="BG12" s="460">
        <v>0</v>
      </c>
      <c r="BH12" s="460">
        <v>0</v>
      </c>
      <c r="BI12" s="460">
        <v>0</v>
      </c>
      <c r="BJ12" s="460">
        <v>0</v>
      </c>
      <c r="BK12" s="460">
        <v>0</v>
      </c>
      <c r="BL12" s="460">
        <v>0</v>
      </c>
      <c r="BM12" s="460">
        <v>0</v>
      </c>
      <c r="BN12" s="460">
        <v>0</v>
      </c>
      <c r="BO12" s="460">
        <v>0</v>
      </c>
      <c r="BP12" s="460">
        <v>0</v>
      </c>
      <c r="BQ12" s="460">
        <v>0</v>
      </c>
      <c r="BR12" s="460">
        <v>0</v>
      </c>
      <c r="BS12" s="460">
        <v>0</v>
      </c>
      <c r="BT12" s="460">
        <v>0</v>
      </c>
      <c r="BU12" s="460">
        <v>0</v>
      </c>
      <c r="BV12" s="460">
        <v>0</v>
      </c>
      <c r="BW12" s="460">
        <v>0</v>
      </c>
      <c r="BX12" s="460">
        <v>0</v>
      </c>
      <c r="BY12" s="460">
        <v>0</v>
      </c>
      <c r="BZ12" s="460">
        <v>0</v>
      </c>
      <c r="CA12" s="460" t="e">
        <v>#N/A</v>
      </c>
      <c r="CB12" s="460" t="e">
        <v>#N/A</v>
      </c>
      <c r="CC12" s="460" t="e">
        <v>#N/A</v>
      </c>
    </row>
    <row r="13" spans="1:81">
      <c r="A13" s="105">
        <v>8</v>
      </c>
      <c r="B13" s="458" t="str">
        <v>4M</v>
      </c>
      <c r="C13" s="465">
        <f>'eur disaggregated'!W24</f>
        <v>1.2488659423229465E-11</v>
      </c>
      <c r="D13" s="111" t="str">
        <f t="shared" si="3"/>
        <v>4M</v>
      </c>
      <c r="E13" s="441">
        <f t="shared" si="1"/>
        <v>42696</v>
      </c>
      <c r="F13" s="441">
        <f>IF(AND(NOT(ISNA(MATCH(RIGHT(B13,2),$I$6:$I$67,0))),LEN(B13)&lt;6,RIGHT(B13,1)="M"),INDEX($K$6:$K$67,MATCH(RIGHT(B13,2),$I$6:$I$67,0)),IF(AND(NOT(ISNA(MATCH((IF(RIGHT(B13,3)="24M","2Y",IF(RIGHT(B13,3)="12M", "1Y", RIGHT(B13,3)))),$I$6:$I$67,0))),LEN(B13)&gt;=6,RIGHT(B13,1)="M"),INDEX($K$6:$K$67,MATCH((IF(RIGHT(B13,3)="24M","2Y",IF(RIGHT(B13,3)="12M", "1Y", RIGHT(B13,3)))),$I$6:$I$67,0)),_xll.qlCalendarAdvance(Calendar,E13,D13)))</f>
        <v>42816</v>
      </c>
      <c r="G13" s="462">
        <f t="shared" si="2"/>
        <v>-2.2160000000000001E-3</v>
      </c>
      <c r="H13" s="453">
        <v>-0.22159999999999999</v>
      </c>
      <c r="I13" s="107" t="str">
        <v>2M</v>
      </c>
      <c r="J13" s="106" t="str">
        <f>IF(LEN(I13)&gt;0,IF((MID(I13,4,1)=" "),#REF!,IF((LEN(I13)=8),DATE("20" &amp; RIGHT(I13,2),MID(I13,4,2),LEFT(I13,2)),SimplifyTenor(I13))),"")</f>
        <v>2M</v>
      </c>
      <c r="K13" s="448">
        <f>_xll.qlCalendarAdvance("TARGET",SettlementDate,J13)</f>
        <v>42758</v>
      </c>
      <c r="M13" s="99" t="str">
        <v>2M</v>
      </c>
      <c r="N13" s="465">
        <v>636.55482937134127</v>
      </c>
      <c r="P13" s="106" t="b">
        <f t="shared" si="0"/>
        <v>0</v>
      </c>
      <c r="Q13" s="460">
        <f t="array" ref="Q13:CC13">C13*ForwardToZero(OisBuckets,E13,F13,G13)</f>
        <v>0</v>
      </c>
      <c r="R13" s="460">
        <v>0</v>
      </c>
      <c r="S13" s="460">
        <v>0</v>
      </c>
      <c r="T13" s="460">
        <v>0</v>
      </c>
      <c r="U13" s="460">
        <v>0</v>
      </c>
      <c r="V13" s="460">
        <v>0</v>
      </c>
      <c r="W13" s="460">
        <v>0</v>
      </c>
      <c r="X13" s="460">
        <v>0</v>
      </c>
      <c r="Y13" s="460">
        <v>0</v>
      </c>
      <c r="Z13" s="460">
        <v>1.2488659423229465E-11</v>
      </c>
      <c r="AA13" s="460">
        <v>0</v>
      </c>
      <c r="AB13" s="460">
        <v>0</v>
      </c>
      <c r="AC13" s="460">
        <v>0</v>
      </c>
      <c r="AD13" s="460">
        <v>0</v>
      </c>
      <c r="AE13" s="460">
        <v>0</v>
      </c>
      <c r="AF13" s="460">
        <v>0</v>
      </c>
      <c r="AG13" s="460">
        <v>0</v>
      </c>
      <c r="AH13" s="460">
        <v>0</v>
      </c>
      <c r="AI13" s="460">
        <v>0</v>
      </c>
      <c r="AJ13" s="460">
        <v>0</v>
      </c>
      <c r="AK13" s="460">
        <v>0</v>
      </c>
      <c r="AL13" s="460">
        <v>0</v>
      </c>
      <c r="AM13" s="460">
        <v>0</v>
      </c>
      <c r="AN13" s="460">
        <v>0</v>
      </c>
      <c r="AO13" s="460">
        <v>0</v>
      </c>
      <c r="AP13" s="460">
        <v>0</v>
      </c>
      <c r="AQ13" s="460">
        <v>0</v>
      </c>
      <c r="AR13" s="460">
        <v>0</v>
      </c>
      <c r="AS13" s="460">
        <v>0</v>
      </c>
      <c r="AT13" s="460">
        <v>0</v>
      </c>
      <c r="AU13" s="460">
        <v>0</v>
      </c>
      <c r="AV13" s="460">
        <v>0</v>
      </c>
      <c r="AW13" s="460">
        <v>0</v>
      </c>
      <c r="AX13" s="460">
        <v>0</v>
      </c>
      <c r="AY13" s="460">
        <v>0</v>
      </c>
      <c r="AZ13" s="460">
        <v>0</v>
      </c>
      <c r="BA13" s="460">
        <v>0</v>
      </c>
      <c r="BB13" s="460">
        <v>0</v>
      </c>
      <c r="BC13" s="460">
        <v>0</v>
      </c>
      <c r="BD13" s="460">
        <v>0</v>
      </c>
      <c r="BE13" s="460">
        <v>0</v>
      </c>
      <c r="BF13" s="460">
        <v>0</v>
      </c>
      <c r="BG13" s="460">
        <v>0</v>
      </c>
      <c r="BH13" s="460">
        <v>0</v>
      </c>
      <c r="BI13" s="460">
        <v>0</v>
      </c>
      <c r="BJ13" s="460">
        <v>0</v>
      </c>
      <c r="BK13" s="460">
        <v>0</v>
      </c>
      <c r="BL13" s="460">
        <v>0</v>
      </c>
      <c r="BM13" s="460">
        <v>0</v>
      </c>
      <c r="BN13" s="460">
        <v>0</v>
      </c>
      <c r="BO13" s="460">
        <v>0</v>
      </c>
      <c r="BP13" s="460">
        <v>0</v>
      </c>
      <c r="BQ13" s="460">
        <v>0</v>
      </c>
      <c r="BR13" s="460">
        <v>0</v>
      </c>
      <c r="BS13" s="460">
        <v>0</v>
      </c>
      <c r="BT13" s="460">
        <v>0</v>
      </c>
      <c r="BU13" s="460">
        <v>0</v>
      </c>
      <c r="BV13" s="460">
        <v>0</v>
      </c>
      <c r="BW13" s="460">
        <v>0</v>
      </c>
      <c r="BX13" s="460">
        <v>0</v>
      </c>
      <c r="BY13" s="460">
        <v>0</v>
      </c>
      <c r="BZ13" s="460">
        <v>0</v>
      </c>
      <c r="CA13" s="460" t="e">
        <v>#N/A</v>
      </c>
      <c r="CB13" s="460" t="e">
        <v>#N/A</v>
      </c>
      <c r="CC13" s="460" t="e">
        <v>#N/A</v>
      </c>
    </row>
    <row r="14" spans="1:81" ht="12.75" customHeight="1">
      <c r="A14" s="105">
        <v>9</v>
      </c>
      <c r="B14" s="458" t="str">
        <v>5M</v>
      </c>
      <c r="C14" s="465">
        <f>'eur disaggregated'!W25</f>
        <v>-553.26234457084422</v>
      </c>
      <c r="D14" s="111" t="str">
        <f t="shared" si="3"/>
        <v>5M</v>
      </c>
      <c r="E14" s="441">
        <f t="shared" si="1"/>
        <v>42696</v>
      </c>
      <c r="F14" s="441">
        <f>IF(AND(NOT(ISNA(MATCH(RIGHT(B14,2),$I$6:$I$67,0))),LEN(B14)&lt;6,RIGHT(B14,1)="M"),INDEX($K$6:$K$67,MATCH(RIGHT(B14,2),$I$6:$I$67,0)),IF(AND(NOT(ISNA(MATCH((IF(RIGHT(B14,3)="24M","2Y",IF(RIGHT(B14,3)="12M", "1Y", RIGHT(B14,3)))),$I$6:$I$67,0))),LEN(B14)&gt;=6,RIGHT(B14,1)="M"),INDEX($K$6:$K$67,MATCH((IF(RIGHT(B14,3)="24M","2Y",IF(RIGHT(B14,3)="12M", "1Y", RIGHT(B14,3)))),$I$6:$I$67,0)),_xll.qlCalendarAdvance(Calendar,E14,D14)))</f>
        <v>42849</v>
      </c>
      <c r="G14" s="462">
        <f t="shared" si="2"/>
        <v>-2.1800000000000001E-3</v>
      </c>
      <c r="H14" s="453">
        <v>-0.218</v>
      </c>
      <c r="I14" s="107" t="str">
        <v>3M</v>
      </c>
      <c r="J14" s="106" t="str">
        <f>IF(LEN(I14)&gt;0,IF((MID(I14,4,1)=" "),#REF!,IF((LEN(I14)=8),DATE("20" &amp; RIGHT(I14,2),MID(I14,4,2),LEFT(I14,2)),SimplifyTenor(I14))),"")</f>
        <v>3M</v>
      </c>
      <c r="K14" s="448">
        <f>_xll.qlCalendarAdvance("TARGET",SettlementDate,J14)</f>
        <v>42788</v>
      </c>
      <c r="M14" s="99" t="str">
        <v>3M</v>
      </c>
      <c r="N14" s="465">
        <v>-137.9436905542438</v>
      </c>
      <c r="P14" s="106" t="b">
        <f t="shared" si="0"/>
        <v>0</v>
      </c>
      <c r="Q14" s="460">
        <f t="array" ref="Q14:CC14">C14*ForwardToZero(OisBuckets,E14,F14,G14)</f>
        <v>0</v>
      </c>
      <c r="R14" s="460">
        <v>0</v>
      </c>
      <c r="S14" s="460">
        <v>0</v>
      </c>
      <c r="T14" s="460">
        <v>0</v>
      </c>
      <c r="U14" s="460">
        <v>0</v>
      </c>
      <c r="V14" s="460">
        <v>0</v>
      </c>
      <c r="W14" s="460">
        <v>0</v>
      </c>
      <c r="X14" s="460">
        <v>0</v>
      </c>
      <c r="Y14" s="460">
        <v>0</v>
      </c>
      <c r="Z14" s="460">
        <v>0</v>
      </c>
      <c r="AA14" s="460">
        <v>-553.26234457084422</v>
      </c>
      <c r="AB14" s="460">
        <v>0</v>
      </c>
      <c r="AC14" s="460">
        <v>0</v>
      </c>
      <c r="AD14" s="460">
        <v>0</v>
      </c>
      <c r="AE14" s="460">
        <v>0</v>
      </c>
      <c r="AF14" s="460">
        <v>0</v>
      </c>
      <c r="AG14" s="460">
        <v>0</v>
      </c>
      <c r="AH14" s="460">
        <v>0</v>
      </c>
      <c r="AI14" s="460">
        <v>0</v>
      </c>
      <c r="AJ14" s="460">
        <v>0</v>
      </c>
      <c r="AK14" s="460">
        <v>0</v>
      </c>
      <c r="AL14" s="460">
        <v>0</v>
      </c>
      <c r="AM14" s="460">
        <v>0</v>
      </c>
      <c r="AN14" s="460">
        <v>0</v>
      </c>
      <c r="AO14" s="460">
        <v>0</v>
      </c>
      <c r="AP14" s="460">
        <v>0</v>
      </c>
      <c r="AQ14" s="460">
        <v>0</v>
      </c>
      <c r="AR14" s="460">
        <v>0</v>
      </c>
      <c r="AS14" s="460">
        <v>0</v>
      </c>
      <c r="AT14" s="460">
        <v>0</v>
      </c>
      <c r="AU14" s="460">
        <v>0</v>
      </c>
      <c r="AV14" s="460">
        <v>0</v>
      </c>
      <c r="AW14" s="460">
        <v>0</v>
      </c>
      <c r="AX14" s="460">
        <v>0</v>
      </c>
      <c r="AY14" s="460">
        <v>0</v>
      </c>
      <c r="AZ14" s="460">
        <v>0</v>
      </c>
      <c r="BA14" s="460">
        <v>0</v>
      </c>
      <c r="BB14" s="460">
        <v>0</v>
      </c>
      <c r="BC14" s="460">
        <v>0</v>
      </c>
      <c r="BD14" s="460">
        <v>0</v>
      </c>
      <c r="BE14" s="460">
        <v>0</v>
      </c>
      <c r="BF14" s="460">
        <v>0</v>
      </c>
      <c r="BG14" s="460">
        <v>0</v>
      </c>
      <c r="BH14" s="460">
        <v>0</v>
      </c>
      <c r="BI14" s="460">
        <v>0</v>
      </c>
      <c r="BJ14" s="460">
        <v>0</v>
      </c>
      <c r="BK14" s="460">
        <v>0</v>
      </c>
      <c r="BL14" s="460">
        <v>0</v>
      </c>
      <c r="BM14" s="460">
        <v>0</v>
      </c>
      <c r="BN14" s="460">
        <v>0</v>
      </c>
      <c r="BO14" s="460">
        <v>0</v>
      </c>
      <c r="BP14" s="460">
        <v>0</v>
      </c>
      <c r="BQ14" s="460">
        <v>0</v>
      </c>
      <c r="BR14" s="460">
        <v>0</v>
      </c>
      <c r="BS14" s="460">
        <v>0</v>
      </c>
      <c r="BT14" s="460">
        <v>0</v>
      </c>
      <c r="BU14" s="460">
        <v>0</v>
      </c>
      <c r="BV14" s="460">
        <v>0</v>
      </c>
      <c r="BW14" s="460">
        <v>0</v>
      </c>
      <c r="BX14" s="460">
        <v>0</v>
      </c>
      <c r="BY14" s="460">
        <v>0</v>
      </c>
      <c r="BZ14" s="460">
        <v>0</v>
      </c>
      <c r="CA14" s="460" t="e">
        <v>#N/A</v>
      </c>
      <c r="CB14" s="460" t="e">
        <v>#N/A</v>
      </c>
      <c r="CC14" s="460" t="e">
        <v>#N/A</v>
      </c>
    </row>
    <row r="15" spans="1:81" ht="12.75" customHeight="1">
      <c r="A15" s="105">
        <v>10</v>
      </c>
      <c r="B15" s="458" t="str">
        <v>6M</v>
      </c>
      <c r="C15" s="465">
        <f>'eur disaggregated'!W26</f>
        <v>1.9452347173789631E-11</v>
      </c>
      <c r="D15" s="111" t="str">
        <f t="shared" si="3"/>
        <v>6M</v>
      </c>
      <c r="E15" s="441">
        <f t="shared" si="1"/>
        <v>42696</v>
      </c>
      <c r="F15" s="441">
        <f>IF(AND(NOT(ISNA(MATCH(RIGHT(B15,2),$I$6:$I$67,0))),LEN(B15)&lt;6,RIGHT(B15,1)="M"),INDEX($K$6:$K$67,MATCH(RIGHT(B15,2),$I$6:$I$67,0)),IF(AND(NOT(ISNA(MATCH((IF(RIGHT(B15,3)="24M","2Y",IF(RIGHT(B15,3)="12M", "1Y", RIGHT(B15,3)))),$I$6:$I$67,0))),LEN(B15)&gt;=6,RIGHT(B15,1)="M"),INDEX($K$6:$K$67,MATCH((IF(RIGHT(B15,3)="24M","2Y",IF(RIGHT(B15,3)="12M", "1Y", RIGHT(B15,3)))),$I$6:$I$67,0)),_xll.qlCalendarAdvance(Calendar,E15,D15)))</f>
        <v>42877</v>
      </c>
      <c r="G15" s="462">
        <f t="shared" si="2"/>
        <v>-2.1449999999999998E-3</v>
      </c>
      <c r="H15" s="453">
        <v>-0.2145</v>
      </c>
      <c r="I15" s="107" t="str">
        <v>4M</v>
      </c>
      <c r="J15" s="106" t="str">
        <f>IF(LEN(I15)&gt;0,IF((MID(I15,4,1)=" "),#REF!,IF((LEN(I15)=8),DATE("20" &amp; RIGHT(I15,2),MID(I15,4,2),LEFT(I15,2)),SimplifyTenor(I15))),"")</f>
        <v>4M</v>
      </c>
      <c r="K15" s="448">
        <f>_xll.qlCalendarAdvance("TARGET",SettlementDate,J15)</f>
        <v>42816</v>
      </c>
      <c r="M15" s="99" t="str">
        <v>4M</v>
      </c>
      <c r="N15" s="465">
        <v>-847.15308462387748</v>
      </c>
      <c r="P15" s="106" t="b">
        <f t="shared" si="0"/>
        <v>0</v>
      </c>
      <c r="Q15" s="460">
        <f t="array" ref="Q15:CC15">C15*ForwardToZero(OisBuckets,E15,F15,G15)</f>
        <v>0</v>
      </c>
      <c r="R15" s="460">
        <v>0</v>
      </c>
      <c r="S15" s="460">
        <v>0</v>
      </c>
      <c r="T15" s="460">
        <v>0</v>
      </c>
      <c r="U15" s="460">
        <v>0</v>
      </c>
      <c r="V15" s="460">
        <v>0</v>
      </c>
      <c r="W15" s="460">
        <v>0</v>
      </c>
      <c r="X15" s="460">
        <v>0</v>
      </c>
      <c r="Y15" s="460">
        <v>0</v>
      </c>
      <c r="Z15" s="460">
        <v>0</v>
      </c>
      <c r="AA15" s="460">
        <v>0</v>
      </c>
      <c r="AB15" s="460">
        <v>1.9452347173789631E-11</v>
      </c>
      <c r="AC15" s="460">
        <v>0</v>
      </c>
      <c r="AD15" s="460">
        <v>0</v>
      </c>
      <c r="AE15" s="460">
        <v>0</v>
      </c>
      <c r="AF15" s="460">
        <v>0</v>
      </c>
      <c r="AG15" s="460">
        <v>0</v>
      </c>
      <c r="AH15" s="460">
        <v>0</v>
      </c>
      <c r="AI15" s="460">
        <v>0</v>
      </c>
      <c r="AJ15" s="460">
        <v>0</v>
      </c>
      <c r="AK15" s="460">
        <v>0</v>
      </c>
      <c r="AL15" s="460">
        <v>0</v>
      </c>
      <c r="AM15" s="460">
        <v>0</v>
      </c>
      <c r="AN15" s="460">
        <v>0</v>
      </c>
      <c r="AO15" s="460">
        <v>0</v>
      </c>
      <c r="AP15" s="460">
        <v>0</v>
      </c>
      <c r="AQ15" s="460">
        <v>0</v>
      </c>
      <c r="AR15" s="460">
        <v>0</v>
      </c>
      <c r="AS15" s="460">
        <v>0</v>
      </c>
      <c r="AT15" s="460">
        <v>0</v>
      </c>
      <c r="AU15" s="460">
        <v>0</v>
      </c>
      <c r="AV15" s="460">
        <v>0</v>
      </c>
      <c r="AW15" s="460">
        <v>0</v>
      </c>
      <c r="AX15" s="460">
        <v>0</v>
      </c>
      <c r="AY15" s="460">
        <v>0</v>
      </c>
      <c r="AZ15" s="460">
        <v>0</v>
      </c>
      <c r="BA15" s="460">
        <v>0</v>
      </c>
      <c r="BB15" s="460">
        <v>0</v>
      </c>
      <c r="BC15" s="460">
        <v>0</v>
      </c>
      <c r="BD15" s="460">
        <v>0</v>
      </c>
      <c r="BE15" s="460">
        <v>0</v>
      </c>
      <c r="BF15" s="460">
        <v>0</v>
      </c>
      <c r="BG15" s="460">
        <v>0</v>
      </c>
      <c r="BH15" s="460">
        <v>0</v>
      </c>
      <c r="BI15" s="460">
        <v>0</v>
      </c>
      <c r="BJ15" s="460">
        <v>0</v>
      </c>
      <c r="BK15" s="460">
        <v>0</v>
      </c>
      <c r="BL15" s="460">
        <v>0</v>
      </c>
      <c r="BM15" s="460">
        <v>0</v>
      </c>
      <c r="BN15" s="460">
        <v>0</v>
      </c>
      <c r="BO15" s="460">
        <v>0</v>
      </c>
      <c r="BP15" s="460">
        <v>0</v>
      </c>
      <c r="BQ15" s="460">
        <v>0</v>
      </c>
      <c r="BR15" s="460">
        <v>0</v>
      </c>
      <c r="BS15" s="460">
        <v>0</v>
      </c>
      <c r="BT15" s="460">
        <v>0</v>
      </c>
      <c r="BU15" s="460">
        <v>0</v>
      </c>
      <c r="BV15" s="460">
        <v>0</v>
      </c>
      <c r="BW15" s="460">
        <v>0</v>
      </c>
      <c r="BX15" s="460">
        <v>0</v>
      </c>
      <c r="BY15" s="460">
        <v>0</v>
      </c>
      <c r="BZ15" s="460">
        <v>0</v>
      </c>
      <c r="CA15" s="460" t="e">
        <v>#N/A</v>
      </c>
      <c r="CB15" s="460" t="e">
        <v>#N/A</v>
      </c>
      <c r="CC15" s="460" t="e">
        <v>#N/A</v>
      </c>
    </row>
    <row r="16" spans="1:81" ht="12.75" customHeight="1">
      <c r="A16" s="105">
        <v>11</v>
      </c>
      <c r="B16" s="458" t="str">
        <v>1M-7M</v>
      </c>
      <c r="C16" s="465">
        <f>'eur disaggregated'!W27</f>
        <v>669.98916370556913</v>
      </c>
      <c r="D16" s="111" t="str">
        <f t="shared" si="3"/>
        <v>6M</v>
      </c>
      <c r="E16" s="441">
        <f>IF(LEN(B16)&lt;4,$C$1, F10)</f>
        <v>42726</v>
      </c>
      <c r="F16" s="441">
        <f>IF(AND(NOT(ISNA(MATCH(RIGHT(B16,2),$I$6:$I$67,0))),LEN(B16)&lt;6,RIGHT(B16,1)="M"),INDEX($K$6:$K$67,MATCH(RIGHT(B16,2),$I$6:$I$67,0)),IF(AND(NOT(ISNA(MATCH((IF(RIGHT(B16,3)="24M","2Y",IF(RIGHT(B16,3)="12M", "1Y", RIGHT(B16,3)))),$I$6:$I$67,0))),LEN(B16)&gt;=6,RIGHT(B16,1)="M"),INDEX($K$6:$K$67,MATCH((IF(RIGHT(B16,3)="24M","2Y",IF(RIGHT(B16,3)="12M", "1Y", RIGHT(B16,3)))),$I$6:$I$67,0)),_xll.qlCalendarAdvance(Calendar,E16,D16)))</f>
        <v>42908</v>
      </c>
      <c r="G16" s="462">
        <f t="shared" si="2"/>
        <v>-2.0599999999999998E-3</v>
      </c>
      <c r="H16" s="453">
        <v>-0.20599999999999999</v>
      </c>
      <c r="I16" s="107" t="str">
        <v>5M</v>
      </c>
      <c r="J16" s="106" t="str">
        <f>IF(LEN(I16)&gt;0,IF((MID(I16,4,1)=" "),#REF!,IF((LEN(I16)=8),DATE("20" &amp; RIGHT(I16,2),MID(I16,4,2),LEFT(I16,2)),SimplifyTenor(I16))),"")</f>
        <v>5M</v>
      </c>
      <c r="K16" s="448">
        <f>_xll.qlCalendarAdvance("TARGET",SettlementDate,J16)</f>
        <v>42849</v>
      </c>
      <c r="M16" s="99" t="str">
        <v>5M</v>
      </c>
      <c r="N16" s="465">
        <v>-275.39794389777978</v>
      </c>
      <c r="P16" s="106" t="b">
        <f t="shared" si="0"/>
        <v>0</v>
      </c>
      <c r="Q16" s="460">
        <f t="array" ref="Q16:CC16">C16*ForwardToZero(OisBuckets,E16,F16,G16)</f>
        <v>0</v>
      </c>
      <c r="R16" s="460">
        <v>0</v>
      </c>
      <c r="S16" s="460">
        <v>0</v>
      </c>
      <c r="T16" s="460">
        <v>0</v>
      </c>
      <c r="U16" s="460">
        <v>0</v>
      </c>
      <c r="V16" s="460">
        <v>0</v>
      </c>
      <c r="W16" s="460">
        <v>-125.1628108021393</v>
      </c>
      <c r="X16" s="460">
        <v>0</v>
      </c>
      <c r="Y16" s="460">
        <v>0</v>
      </c>
      <c r="Z16" s="460">
        <v>0</v>
      </c>
      <c r="AA16" s="460">
        <v>0</v>
      </c>
      <c r="AB16" s="460">
        <v>0</v>
      </c>
      <c r="AC16" s="460">
        <v>795.15197450770836</v>
      </c>
      <c r="AD16" s="460">
        <v>0</v>
      </c>
      <c r="AE16" s="460">
        <v>0</v>
      </c>
      <c r="AF16" s="460">
        <v>0</v>
      </c>
      <c r="AG16" s="460">
        <v>0</v>
      </c>
      <c r="AH16" s="460">
        <v>0</v>
      </c>
      <c r="AI16" s="460">
        <v>0</v>
      </c>
      <c r="AJ16" s="460">
        <v>0</v>
      </c>
      <c r="AK16" s="460">
        <v>0</v>
      </c>
      <c r="AL16" s="460">
        <v>0</v>
      </c>
      <c r="AM16" s="460">
        <v>0</v>
      </c>
      <c r="AN16" s="460">
        <v>0</v>
      </c>
      <c r="AO16" s="460">
        <v>0</v>
      </c>
      <c r="AP16" s="460">
        <v>0</v>
      </c>
      <c r="AQ16" s="460">
        <v>0</v>
      </c>
      <c r="AR16" s="460">
        <v>0</v>
      </c>
      <c r="AS16" s="460">
        <v>0</v>
      </c>
      <c r="AT16" s="460">
        <v>0</v>
      </c>
      <c r="AU16" s="460">
        <v>0</v>
      </c>
      <c r="AV16" s="460">
        <v>0</v>
      </c>
      <c r="AW16" s="460">
        <v>0</v>
      </c>
      <c r="AX16" s="460">
        <v>0</v>
      </c>
      <c r="AY16" s="460">
        <v>0</v>
      </c>
      <c r="AZ16" s="460">
        <v>0</v>
      </c>
      <c r="BA16" s="460">
        <v>0</v>
      </c>
      <c r="BB16" s="460">
        <v>0</v>
      </c>
      <c r="BC16" s="460">
        <v>0</v>
      </c>
      <c r="BD16" s="460">
        <v>0</v>
      </c>
      <c r="BE16" s="460">
        <v>0</v>
      </c>
      <c r="BF16" s="460">
        <v>0</v>
      </c>
      <c r="BG16" s="460">
        <v>0</v>
      </c>
      <c r="BH16" s="460">
        <v>0</v>
      </c>
      <c r="BI16" s="460">
        <v>0</v>
      </c>
      <c r="BJ16" s="460">
        <v>0</v>
      </c>
      <c r="BK16" s="460">
        <v>0</v>
      </c>
      <c r="BL16" s="460">
        <v>0</v>
      </c>
      <c r="BM16" s="460">
        <v>0</v>
      </c>
      <c r="BN16" s="460">
        <v>0</v>
      </c>
      <c r="BO16" s="460">
        <v>0</v>
      </c>
      <c r="BP16" s="460">
        <v>0</v>
      </c>
      <c r="BQ16" s="460">
        <v>0</v>
      </c>
      <c r="BR16" s="460">
        <v>0</v>
      </c>
      <c r="BS16" s="460">
        <v>0</v>
      </c>
      <c r="BT16" s="460">
        <v>0</v>
      </c>
      <c r="BU16" s="460">
        <v>0</v>
      </c>
      <c r="BV16" s="460">
        <v>0</v>
      </c>
      <c r="BW16" s="460">
        <v>0</v>
      </c>
      <c r="BX16" s="460">
        <v>0</v>
      </c>
      <c r="BY16" s="460">
        <v>0</v>
      </c>
      <c r="BZ16" s="460">
        <v>0</v>
      </c>
      <c r="CA16" s="460" t="e">
        <v>#N/A</v>
      </c>
      <c r="CB16" s="460" t="e">
        <v>#N/A</v>
      </c>
      <c r="CC16" s="460" t="e">
        <v>#N/A</v>
      </c>
    </row>
    <row r="17" spans="1:81" ht="12.75" customHeight="1">
      <c r="A17" s="105">
        <v>12</v>
      </c>
      <c r="B17" s="458" t="str">
        <v>2M-8M</v>
      </c>
      <c r="C17" s="465">
        <f>'eur disaggregated'!W28</f>
        <v>-85.593064831927066</v>
      </c>
      <c r="D17" s="111" t="str">
        <f t="shared" si="3"/>
        <v>6M</v>
      </c>
      <c r="E17" s="441">
        <f t="shared" ref="E17:E33" si="4">IF(LEN(B17)&lt;4,$C$1, F11)</f>
        <v>42758</v>
      </c>
      <c r="F17" s="441">
        <f>IF(AND(NOT(ISNA(MATCH(RIGHT(B17,2),$I$6:$I$67,0))),LEN(B17)&lt;6,RIGHT(B17,1)="M"),INDEX($K$6:$K$67,MATCH(RIGHT(B17,2),$I$6:$I$67,0)),IF(AND(NOT(ISNA(MATCH((IF(RIGHT(B17,3)="24M","2Y",IF(RIGHT(B17,3)="12M", "1Y", RIGHT(B17,3)))),$I$6:$I$67,0))),LEN(B17)&gt;=6,RIGHT(B17,1)="M"),INDEX($K$6:$K$67,MATCH((IF(RIGHT(B17,3)="24M","2Y",IF(RIGHT(B17,3)="12M", "1Y", RIGHT(B17,3)))),$I$6:$I$67,0)),_xll.qlCalendarAdvance(Calendar,E17,D17)))</f>
        <v>42940</v>
      </c>
      <c r="G17" s="462">
        <f t="shared" si="2"/>
        <v>-1.98E-3</v>
      </c>
      <c r="H17" s="453">
        <v>-0.19800000000000001</v>
      </c>
      <c r="I17" s="107" t="str">
        <v>6M</v>
      </c>
      <c r="J17" s="106" t="str">
        <f>IF(LEN(I17)&gt;0,IF((MID(I17,4,1)=" "),#REF!,IF((LEN(I17)=8),DATE("20" &amp; RIGHT(I17,2),MID(I17,4,2),LEFT(I17,2)),SimplifyTenor(I17))),"")</f>
        <v>6M</v>
      </c>
      <c r="K17" s="448">
        <f>_xll.qlCalendarAdvance("TARGET",SettlementDate,J17)</f>
        <v>42877</v>
      </c>
      <c r="M17" s="99" t="str">
        <v>6M</v>
      </c>
      <c r="N17" s="465">
        <v>1079.1102211027112</v>
      </c>
      <c r="P17" s="106" t="b">
        <f t="shared" si="0"/>
        <v>0</v>
      </c>
      <c r="Q17" s="460">
        <f t="array" ref="Q17:CC17">C17*ForwardToZero(OisBuckets,E17,F17,G17)</f>
        <v>0</v>
      </c>
      <c r="R17" s="460">
        <v>0</v>
      </c>
      <c r="S17" s="460">
        <v>0</v>
      </c>
      <c r="T17" s="460">
        <v>0</v>
      </c>
      <c r="U17" s="460">
        <v>0</v>
      </c>
      <c r="V17" s="460">
        <v>0</v>
      </c>
      <c r="W17" s="460">
        <v>0</v>
      </c>
      <c r="X17" s="460">
        <v>31.039243290698824</v>
      </c>
      <c r="Y17" s="460">
        <v>0</v>
      </c>
      <c r="Z17" s="460">
        <v>0</v>
      </c>
      <c r="AA17" s="460">
        <v>0</v>
      </c>
      <c r="AB17" s="460">
        <v>0</v>
      </c>
      <c r="AC17" s="460">
        <v>0</v>
      </c>
      <c r="AD17" s="460">
        <v>-116.6323081226259</v>
      </c>
      <c r="AE17" s="460">
        <v>0</v>
      </c>
      <c r="AF17" s="460">
        <v>0</v>
      </c>
      <c r="AG17" s="460">
        <v>0</v>
      </c>
      <c r="AH17" s="460">
        <v>0</v>
      </c>
      <c r="AI17" s="460">
        <v>0</v>
      </c>
      <c r="AJ17" s="460">
        <v>0</v>
      </c>
      <c r="AK17" s="460">
        <v>0</v>
      </c>
      <c r="AL17" s="460">
        <v>0</v>
      </c>
      <c r="AM17" s="460">
        <v>0</v>
      </c>
      <c r="AN17" s="460">
        <v>0</v>
      </c>
      <c r="AO17" s="460">
        <v>0</v>
      </c>
      <c r="AP17" s="460">
        <v>0</v>
      </c>
      <c r="AQ17" s="460">
        <v>0</v>
      </c>
      <c r="AR17" s="460">
        <v>0</v>
      </c>
      <c r="AS17" s="460">
        <v>0</v>
      </c>
      <c r="AT17" s="460">
        <v>0</v>
      </c>
      <c r="AU17" s="460">
        <v>0</v>
      </c>
      <c r="AV17" s="460">
        <v>0</v>
      </c>
      <c r="AW17" s="460">
        <v>0</v>
      </c>
      <c r="AX17" s="460">
        <v>0</v>
      </c>
      <c r="AY17" s="460">
        <v>0</v>
      </c>
      <c r="AZ17" s="460">
        <v>0</v>
      </c>
      <c r="BA17" s="460">
        <v>0</v>
      </c>
      <c r="BB17" s="460">
        <v>0</v>
      </c>
      <c r="BC17" s="460">
        <v>0</v>
      </c>
      <c r="BD17" s="460">
        <v>0</v>
      </c>
      <c r="BE17" s="460">
        <v>0</v>
      </c>
      <c r="BF17" s="460">
        <v>0</v>
      </c>
      <c r="BG17" s="460">
        <v>0</v>
      </c>
      <c r="BH17" s="460">
        <v>0</v>
      </c>
      <c r="BI17" s="460">
        <v>0</v>
      </c>
      <c r="BJ17" s="460">
        <v>0</v>
      </c>
      <c r="BK17" s="460">
        <v>0</v>
      </c>
      <c r="BL17" s="460">
        <v>0</v>
      </c>
      <c r="BM17" s="460">
        <v>0</v>
      </c>
      <c r="BN17" s="460">
        <v>0</v>
      </c>
      <c r="BO17" s="460">
        <v>0</v>
      </c>
      <c r="BP17" s="460">
        <v>0</v>
      </c>
      <c r="BQ17" s="460">
        <v>0</v>
      </c>
      <c r="BR17" s="460">
        <v>0</v>
      </c>
      <c r="BS17" s="460">
        <v>0</v>
      </c>
      <c r="BT17" s="460">
        <v>0</v>
      </c>
      <c r="BU17" s="460">
        <v>0</v>
      </c>
      <c r="BV17" s="460">
        <v>0</v>
      </c>
      <c r="BW17" s="460">
        <v>0</v>
      </c>
      <c r="BX17" s="460">
        <v>0</v>
      </c>
      <c r="BY17" s="460">
        <v>0</v>
      </c>
      <c r="BZ17" s="460">
        <v>0</v>
      </c>
      <c r="CA17" s="460" t="e">
        <v>#N/A</v>
      </c>
      <c r="CB17" s="460" t="e">
        <v>#N/A</v>
      </c>
      <c r="CC17" s="460" t="e">
        <v>#N/A</v>
      </c>
    </row>
    <row r="18" spans="1:81" ht="12.75" customHeight="1">
      <c r="A18" s="105">
        <v>13</v>
      </c>
      <c r="B18" s="458" t="str">
        <v>3M-9M</v>
      </c>
      <c r="C18" s="465">
        <f>'eur disaggregated'!W29</f>
        <v>-212.9654642091692</v>
      </c>
      <c r="D18" s="111" t="str">
        <f t="shared" si="3"/>
        <v>6M</v>
      </c>
      <c r="E18" s="441">
        <f t="shared" si="4"/>
        <v>42788</v>
      </c>
      <c r="F18" s="441">
        <f>IF(AND(NOT(ISNA(MATCH(RIGHT(B18,2),$I$6:$I$67,0))),LEN(B18)&lt;6,RIGHT(B18,1)="M"),INDEX($K$6:$K$67,MATCH(RIGHT(B18,2),$I$6:$I$67,0)),IF(AND(NOT(ISNA(MATCH((IF(RIGHT(B18,3)="24M","2Y",IF(RIGHT(B18,3)="12M", "1Y", RIGHT(B18,3)))),$I$6:$I$67,0))),LEN(B18)&gt;=6,RIGHT(B18,1)="M"),INDEX($K$6:$K$67,MATCH((IF(RIGHT(B18,3)="24M","2Y",IF(RIGHT(B18,3)="12M", "1Y", RIGHT(B18,3)))),$I$6:$I$67,0)),_xll.qlCalendarAdvance(Calendar,E18,D18)))</f>
        <v>42969</v>
      </c>
      <c r="G18" s="462">
        <f t="shared" si="2"/>
        <v>-1.91E-3</v>
      </c>
      <c r="H18" s="453">
        <v>-0.191</v>
      </c>
      <c r="I18" s="107" t="str">
        <v>7M</v>
      </c>
      <c r="J18" s="106" t="str">
        <f>IF(LEN(I18)&gt;0,IF((MID(I18,4,1)=" "),#REF!,IF((LEN(I18)=8),DATE("20" &amp; RIGHT(I18,2),MID(I18,4,2),LEFT(I18,2)),SimplifyTenor(I18))),"")</f>
        <v>7M</v>
      </c>
      <c r="K18" s="448">
        <f>_xll.qlCalendarAdvance("TARGET",SettlementDate,J18)</f>
        <v>42908</v>
      </c>
      <c r="M18" s="99" t="str">
        <v>7M</v>
      </c>
      <c r="N18" s="465">
        <v>-273.99659771350309</v>
      </c>
      <c r="P18" s="106" t="b">
        <f t="shared" si="0"/>
        <v>0</v>
      </c>
      <c r="Q18" s="460">
        <f t="array" ref="Q18:CC18">C18*ForwardToZero(OisBuckets,E18,F18,G18)</f>
        <v>0</v>
      </c>
      <c r="R18" s="460">
        <v>0</v>
      </c>
      <c r="S18" s="460">
        <v>0</v>
      </c>
      <c r="T18" s="460">
        <v>0</v>
      </c>
      <c r="U18" s="460">
        <v>0</v>
      </c>
      <c r="V18" s="460">
        <v>0</v>
      </c>
      <c r="W18" s="460">
        <v>0</v>
      </c>
      <c r="X18" s="460">
        <v>0</v>
      </c>
      <c r="Y18" s="460">
        <v>112.95405836508421</v>
      </c>
      <c r="Z18" s="460">
        <v>0</v>
      </c>
      <c r="AA18" s="460">
        <v>0</v>
      </c>
      <c r="AB18" s="460">
        <v>0</v>
      </c>
      <c r="AC18" s="460">
        <v>0</v>
      </c>
      <c r="AD18" s="460">
        <v>0</v>
      </c>
      <c r="AE18" s="460">
        <v>-325.91952257425339</v>
      </c>
      <c r="AF18" s="460">
        <v>0</v>
      </c>
      <c r="AG18" s="460">
        <v>0</v>
      </c>
      <c r="AH18" s="460">
        <v>0</v>
      </c>
      <c r="AI18" s="460">
        <v>0</v>
      </c>
      <c r="AJ18" s="460">
        <v>0</v>
      </c>
      <c r="AK18" s="460">
        <v>0</v>
      </c>
      <c r="AL18" s="460">
        <v>0</v>
      </c>
      <c r="AM18" s="460">
        <v>0</v>
      </c>
      <c r="AN18" s="460">
        <v>0</v>
      </c>
      <c r="AO18" s="460">
        <v>0</v>
      </c>
      <c r="AP18" s="460">
        <v>0</v>
      </c>
      <c r="AQ18" s="460">
        <v>0</v>
      </c>
      <c r="AR18" s="460">
        <v>0</v>
      </c>
      <c r="AS18" s="460">
        <v>0</v>
      </c>
      <c r="AT18" s="460">
        <v>0</v>
      </c>
      <c r="AU18" s="460">
        <v>0</v>
      </c>
      <c r="AV18" s="460">
        <v>0</v>
      </c>
      <c r="AW18" s="460">
        <v>0</v>
      </c>
      <c r="AX18" s="460">
        <v>0</v>
      </c>
      <c r="AY18" s="460">
        <v>0</v>
      </c>
      <c r="AZ18" s="460">
        <v>0</v>
      </c>
      <c r="BA18" s="460">
        <v>0</v>
      </c>
      <c r="BB18" s="460">
        <v>0</v>
      </c>
      <c r="BC18" s="460">
        <v>0</v>
      </c>
      <c r="BD18" s="460">
        <v>0</v>
      </c>
      <c r="BE18" s="460">
        <v>0</v>
      </c>
      <c r="BF18" s="460">
        <v>0</v>
      </c>
      <c r="BG18" s="460">
        <v>0</v>
      </c>
      <c r="BH18" s="460">
        <v>0</v>
      </c>
      <c r="BI18" s="460">
        <v>0</v>
      </c>
      <c r="BJ18" s="460">
        <v>0</v>
      </c>
      <c r="BK18" s="460">
        <v>0</v>
      </c>
      <c r="BL18" s="460">
        <v>0</v>
      </c>
      <c r="BM18" s="460">
        <v>0</v>
      </c>
      <c r="BN18" s="460">
        <v>0</v>
      </c>
      <c r="BO18" s="460">
        <v>0</v>
      </c>
      <c r="BP18" s="460">
        <v>0</v>
      </c>
      <c r="BQ18" s="460">
        <v>0</v>
      </c>
      <c r="BR18" s="460">
        <v>0</v>
      </c>
      <c r="BS18" s="460">
        <v>0</v>
      </c>
      <c r="BT18" s="460">
        <v>0</v>
      </c>
      <c r="BU18" s="460">
        <v>0</v>
      </c>
      <c r="BV18" s="460">
        <v>0</v>
      </c>
      <c r="BW18" s="460">
        <v>0</v>
      </c>
      <c r="BX18" s="460">
        <v>0</v>
      </c>
      <c r="BY18" s="460">
        <v>0</v>
      </c>
      <c r="BZ18" s="460">
        <v>0</v>
      </c>
      <c r="CA18" s="460" t="e">
        <v>#N/A</v>
      </c>
      <c r="CB18" s="460" t="e">
        <v>#N/A</v>
      </c>
      <c r="CC18" s="460" t="e">
        <v>#N/A</v>
      </c>
    </row>
    <row r="19" spans="1:81" ht="12.75" customHeight="1">
      <c r="A19" s="105">
        <v>14</v>
      </c>
      <c r="B19" s="458" t="str">
        <v>4M-10M</v>
      </c>
      <c r="C19" s="465">
        <f>'eur disaggregated'!W30</f>
        <v>1257.0658675064171</v>
      </c>
      <c r="D19" s="111" t="str">
        <f t="shared" si="3"/>
        <v>6M</v>
      </c>
      <c r="E19" s="441">
        <f t="shared" si="4"/>
        <v>42816</v>
      </c>
      <c r="F19" s="441">
        <f>IF(AND(NOT(ISNA(MATCH(RIGHT(B19,2),$I$6:$I$67,0))),LEN(B19)&lt;6,RIGHT(B19,1)="M"),INDEX($K$6:$K$67,MATCH(RIGHT(B19,2),$I$6:$I$67,0)),IF(AND(NOT(ISNA(MATCH((IF(RIGHT(B19,3)="24M","2Y",IF(RIGHT(B19,3)="12M", "1Y", RIGHT(B19,3)))),$I$6:$I$67,0))),LEN(B19)&gt;=6,RIGHT(B19,1)="M"),INDEX($K$6:$K$67,MATCH((IF(RIGHT(B19,3)="24M","2Y",IF(RIGHT(B19,3)="12M", "1Y", RIGHT(B19,3)))),$I$6:$I$67,0)),_xll.qlCalendarAdvance(Calendar,E19,D19)))</f>
        <v>43000</v>
      </c>
      <c r="G19" s="462">
        <f t="shared" si="2"/>
        <v>-1.83E-3</v>
      </c>
      <c r="H19" s="453">
        <v>-0.183</v>
      </c>
      <c r="I19" s="107" t="str">
        <v>8M</v>
      </c>
      <c r="J19" s="106" t="str">
        <f>IF(LEN(I19)&gt;0,IF((MID(I19,4,1)=" "),#REF!,IF((LEN(I19)=8),DATE("20" &amp; RIGHT(I19,2),MID(I19,4,2),LEFT(I19,2)),SimplifyTenor(I19))),"")</f>
        <v>8M</v>
      </c>
      <c r="K19" s="448">
        <f>_xll.qlCalendarAdvance("TARGET",SettlementDate,J19)</f>
        <v>42940</v>
      </c>
      <c r="M19" s="99" t="str">
        <v>8M</v>
      </c>
      <c r="N19" s="465">
        <v>-367.26398806012617</v>
      </c>
      <c r="P19" s="106" t="b">
        <f t="shared" si="0"/>
        <v>0</v>
      </c>
      <c r="Q19" s="460">
        <f t="array" ref="Q19:CC19">C19*ForwardToZero(OisBuckets,E19,F19,G19)</f>
        <v>0</v>
      </c>
      <c r="R19" s="460">
        <v>0</v>
      </c>
      <c r="S19" s="460">
        <v>0</v>
      </c>
      <c r="T19" s="460">
        <v>0</v>
      </c>
      <c r="U19" s="460">
        <v>0</v>
      </c>
      <c r="V19" s="460">
        <v>0</v>
      </c>
      <c r="W19" s="460">
        <v>0</v>
      </c>
      <c r="X19" s="460">
        <v>0</v>
      </c>
      <c r="Y19" s="460">
        <v>0</v>
      </c>
      <c r="Z19" s="460">
        <v>-847.15308462388998</v>
      </c>
      <c r="AA19" s="460">
        <v>0</v>
      </c>
      <c r="AB19" s="460">
        <v>0</v>
      </c>
      <c r="AC19" s="460">
        <v>0</v>
      </c>
      <c r="AD19" s="460">
        <v>0</v>
      </c>
      <c r="AE19" s="460">
        <v>0</v>
      </c>
      <c r="AF19" s="460">
        <v>2104.2189521303071</v>
      </c>
      <c r="AG19" s="460">
        <v>0</v>
      </c>
      <c r="AH19" s="460">
        <v>0</v>
      </c>
      <c r="AI19" s="460">
        <v>0</v>
      </c>
      <c r="AJ19" s="460">
        <v>0</v>
      </c>
      <c r="AK19" s="460">
        <v>0</v>
      </c>
      <c r="AL19" s="460">
        <v>0</v>
      </c>
      <c r="AM19" s="460">
        <v>0</v>
      </c>
      <c r="AN19" s="460">
        <v>0</v>
      </c>
      <c r="AO19" s="460">
        <v>0</v>
      </c>
      <c r="AP19" s="460">
        <v>0</v>
      </c>
      <c r="AQ19" s="460">
        <v>0</v>
      </c>
      <c r="AR19" s="460">
        <v>0</v>
      </c>
      <c r="AS19" s="460">
        <v>0</v>
      </c>
      <c r="AT19" s="460">
        <v>0</v>
      </c>
      <c r="AU19" s="460">
        <v>0</v>
      </c>
      <c r="AV19" s="460">
        <v>0</v>
      </c>
      <c r="AW19" s="460">
        <v>0</v>
      </c>
      <c r="AX19" s="460">
        <v>0</v>
      </c>
      <c r="AY19" s="460">
        <v>0</v>
      </c>
      <c r="AZ19" s="460">
        <v>0</v>
      </c>
      <c r="BA19" s="460">
        <v>0</v>
      </c>
      <c r="BB19" s="460">
        <v>0</v>
      </c>
      <c r="BC19" s="460">
        <v>0</v>
      </c>
      <c r="BD19" s="460">
        <v>0</v>
      </c>
      <c r="BE19" s="460">
        <v>0</v>
      </c>
      <c r="BF19" s="460">
        <v>0</v>
      </c>
      <c r="BG19" s="460">
        <v>0</v>
      </c>
      <c r="BH19" s="460">
        <v>0</v>
      </c>
      <c r="BI19" s="460">
        <v>0</v>
      </c>
      <c r="BJ19" s="460">
        <v>0</v>
      </c>
      <c r="BK19" s="460">
        <v>0</v>
      </c>
      <c r="BL19" s="460">
        <v>0</v>
      </c>
      <c r="BM19" s="460">
        <v>0</v>
      </c>
      <c r="BN19" s="460">
        <v>0</v>
      </c>
      <c r="BO19" s="460">
        <v>0</v>
      </c>
      <c r="BP19" s="460">
        <v>0</v>
      </c>
      <c r="BQ19" s="460">
        <v>0</v>
      </c>
      <c r="BR19" s="460">
        <v>0</v>
      </c>
      <c r="BS19" s="460">
        <v>0</v>
      </c>
      <c r="BT19" s="460">
        <v>0</v>
      </c>
      <c r="BU19" s="460">
        <v>0</v>
      </c>
      <c r="BV19" s="460">
        <v>0</v>
      </c>
      <c r="BW19" s="460">
        <v>0</v>
      </c>
      <c r="BX19" s="460">
        <v>0</v>
      </c>
      <c r="BY19" s="460">
        <v>0</v>
      </c>
      <c r="BZ19" s="460">
        <v>0</v>
      </c>
      <c r="CA19" s="460" t="e">
        <v>#N/A</v>
      </c>
      <c r="CB19" s="460" t="e">
        <v>#N/A</v>
      </c>
      <c r="CC19" s="460" t="e">
        <v>#N/A</v>
      </c>
    </row>
    <row r="20" spans="1:81" ht="12.75" customHeight="1">
      <c r="A20" s="105">
        <v>15</v>
      </c>
      <c r="B20" s="458" t="str">
        <v>5M-11M</v>
      </c>
      <c r="C20" s="465">
        <f>'eur disaggregated'!W31</f>
        <v>-322.11032434711927</v>
      </c>
      <c r="D20" s="111" t="str">
        <f t="shared" si="3"/>
        <v>6M</v>
      </c>
      <c r="E20" s="441">
        <f t="shared" si="4"/>
        <v>42849</v>
      </c>
      <c r="F20" s="441">
        <f>IF(AND(NOT(ISNA(MATCH(RIGHT(B20,2),$I$6:$I$67,0))),LEN(B20)&lt;6,RIGHT(B20,1)="M"),INDEX($K$6:$K$67,MATCH(RIGHT(B20,2),$I$6:$I$67,0)),IF(AND(NOT(ISNA(MATCH((IF(RIGHT(B20,3)="24M","2Y",IF(RIGHT(B20,3)="12M", "1Y", RIGHT(B20,3)))),$I$6:$I$67,0))),LEN(B20)&gt;=6,RIGHT(B20,1)="M"),INDEX($K$6:$K$67,MATCH((IF(RIGHT(B20,3)="24M","2Y",IF(RIGHT(B20,3)="12M", "1Y", RIGHT(B20,3)))),$I$6:$I$67,0)),_xll.qlCalendarAdvance(Calendar,E20,D20)))</f>
        <v>43031</v>
      </c>
      <c r="G20" s="462">
        <f t="shared" si="2"/>
        <v>-1.7499999999999998E-3</v>
      </c>
      <c r="H20" s="453">
        <v>-0.17499999999999999</v>
      </c>
      <c r="I20" s="107" t="str">
        <v>9M</v>
      </c>
      <c r="J20" s="106" t="str">
        <f>IF(LEN(I20)&gt;0,IF((MID(I20,4,1)=" "),#REF!,IF((LEN(I20)=8),DATE("20" &amp; RIGHT(I20,2),MID(I20,4,2),LEFT(I20,2)),SimplifyTenor(I20))),"")</f>
        <v>9M</v>
      </c>
      <c r="K20" s="448">
        <f>_xll.qlCalendarAdvance("TARGET",SettlementDate,J20)</f>
        <v>42969</v>
      </c>
      <c r="M20" s="99" t="str">
        <v>9M</v>
      </c>
      <c r="N20" s="465">
        <v>-1393.4555434755025</v>
      </c>
      <c r="P20" s="106" t="b">
        <f t="shared" si="0"/>
        <v>0</v>
      </c>
      <c r="Q20" s="460">
        <f t="array" ref="Q20:CC20">C20*ForwardToZero(OisBuckets,E20,F20,G20)</f>
        <v>0</v>
      </c>
      <c r="R20" s="460">
        <v>0</v>
      </c>
      <c r="S20" s="460">
        <v>0</v>
      </c>
      <c r="T20" s="460">
        <v>0</v>
      </c>
      <c r="U20" s="460">
        <v>0</v>
      </c>
      <c r="V20" s="460">
        <v>0</v>
      </c>
      <c r="W20" s="460">
        <v>0</v>
      </c>
      <c r="X20" s="460">
        <v>0</v>
      </c>
      <c r="Y20" s="460">
        <v>0</v>
      </c>
      <c r="Z20" s="460">
        <v>0</v>
      </c>
      <c r="AA20" s="460">
        <v>277.86440067306444</v>
      </c>
      <c r="AB20" s="460">
        <v>0</v>
      </c>
      <c r="AC20" s="460">
        <v>0</v>
      </c>
      <c r="AD20" s="460">
        <v>0</v>
      </c>
      <c r="AE20" s="460">
        <v>0</v>
      </c>
      <c r="AF20" s="460">
        <v>0</v>
      </c>
      <c r="AG20" s="460">
        <v>-599.97472502018377</v>
      </c>
      <c r="AH20" s="460">
        <v>0</v>
      </c>
      <c r="AI20" s="460">
        <v>0</v>
      </c>
      <c r="AJ20" s="460">
        <v>0</v>
      </c>
      <c r="AK20" s="460">
        <v>0</v>
      </c>
      <c r="AL20" s="460">
        <v>0</v>
      </c>
      <c r="AM20" s="460">
        <v>0</v>
      </c>
      <c r="AN20" s="460">
        <v>0</v>
      </c>
      <c r="AO20" s="460">
        <v>0</v>
      </c>
      <c r="AP20" s="460">
        <v>0</v>
      </c>
      <c r="AQ20" s="460">
        <v>0</v>
      </c>
      <c r="AR20" s="460">
        <v>0</v>
      </c>
      <c r="AS20" s="460">
        <v>0</v>
      </c>
      <c r="AT20" s="460">
        <v>0</v>
      </c>
      <c r="AU20" s="460">
        <v>0</v>
      </c>
      <c r="AV20" s="460">
        <v>0</v>
      </c>
      <c r="AW20" s="460">
        <v>0</v>
      </c>
      <c r="AX20" s="460">
        <v>0</v>
      </c>
      <c r="AY20" s="460">
        <v>0</v>
      </c>
      <c r="AZ20" s="460">
        <v>0</v>
      </c>
      <c r="BA20" s="460">
        <v>0</v>
      </c>
      <c r="BB20" s="460">
        <v>0</v>
      </c>
      <c r="BC20" s="460">
        <v>0</v>
      </c>
      <c r="BD20" s="460">
        <v>0</v>
      </c>
      <c r="BE20" s="460">
        <v>0</v>
      </c>
      <c r="BF20" s="460">
        <v>0</v>
      </c>
      <c r="BG20" s="460">
        <v>0</v>
      </c>
      <c r="BH20" s="460">
        <v>0</v>
      </c>
      <c r="BI20" s="460">
        <v>0</v>
      </c>
      <c r="BJ20" s="460">
        <v>0</v>
      </c>
      <c r="BK20" s="460">
        <v>0</v>
      </c>
      <c r="BL20" s="460">
        <v>0</v>
      </c>
      <c r="BM20" s="460">
        <v>0</v>
      </c>
      <c r="BN20" s="460">
        <v>0</v>
      </c>
      <c r="BO20" s="460">
        <v>0</v>
      </c>
      <c r="BP20" s="460">
        <v>0</v>
      </c>
      <c r="BQ20" s="460">
        <v>0</v>
      </c>
      <c r="BR20" s="460">
        <v>0</v>
      </c>
      <c r="BS20" s="460">
        <v>0</v>
      </c>
      <c r="BT20" s="460">
        <v>0</v>
      </c>
      <c r="BU20" s="460">
        <v>0</v>
      </c>
      <c r="BV20" s="460">
        <v>0</v>
      </c>
      <c r="BW20" s="460">
        <v>0</v>
      </c>
      <c r="BX20" s="460">
        <v>0</v>
      </c>
      <c r="BY20" s="460">
        <v>0</v>
      </c>
      <c r="BZ20" s="460">
        <v>0</v>
      </c>
      <c r="CA20" s="460" t="e">
        <v>#N/A</v>
      </c>
      <c r="CB20" s="460" t="e">
        <v>#N/A</v>
      </c>
      <c r="CC20" s="460" t="e">
        <v>#N/A</v>
      </c>
    </row>
    <row r="21" spans="1:81" ht="12.75" customHeight="1">
      <c r="A21" s="105">
        <v>16</v>
      </c>
      <c r="B21" s="458" t="str">
        <v>6M-12M</v>
      </c>
      <c r="C21" s="465">
        <f>'eur disaggregated'!W32</f>
        <v>-1073.2771928805148</v>
      </c>
      <c r="D21" s="111" t="str">
        <f t="shared" si="3"/>
        <v>6M</v>
      </c>
      <c r="E21" s="441">
        <f t="shared" si="4"/>
        <v>42877</v>
      </c>
      <c r="F21" s="441">
        <f>IF(AND(NOT(ISNA(MATCH(RIGHT(B21,2),$I$6:$I$67,0))),LEN(B21)&lt;6,RIGHT(B21,1)="M"),INDEX($K$6:$K$67,MATCH(RIGHT(B21,2),$I$6:$I$67,0)),IF(AND(NOT(ISNA(MATCH((IF(RIGHT(B21,3)="24M","2Y",IF(RIGHT(B21,3)="12M", "1Y", RIGHT(B21,3)))),$I$6:$I$67,0))),LEN(B21)&gt;=6,RIGHT(B21,1)="M"),INDEX($K$6:$K$67,MATCH((IF(RIGHT(B21,3)="24M","2Y",IF(RIGHT(B21,3)="12M", "1Y", RIGHT(B21,3)))),$I$6:$I$67,0)),_xll.qlCalendarAdvance(Calendar,E21,D21)))</f>
        <v>43061</v>
      </c>
      <c r="G21" s="462">
        <f t="shared" si="2"/>
        <v>-1.67E-3</v>
      </c>
      <c r="H21" s="453">
        <v>-0.16700000000000001</v>
      </c>
      <c r="I21" s="107" t="str">
        <v>10M</v>
      </c>
      <c r="J21" s="106" t="str">
        <f>IF(LEN(I21)&gt;0,IF((MID(I21,4,1)=" "),#REF!,IF((LEN(I21)=8),DATE("20" &amp; RIGHT(I21,2),MID(I21,4,2),LEFT(I21,2)),SimplifyTenor(I21))),"")</f>
        <v>10M</v>
      </c>
      <c r="K21" s="448">
        <f>_xll.qlCalendarAdvance("TARGET",SettlementDate,J21)</f>
        <v>43000</v>
      </c>
      <c r="M21" s="99" t="str">
        <v>10M</v>
      </c>
      <c r="N21" s="465">
        <v>-1359.9276888465515</v>
      </c>
      <c r="P21" s="106" t="b">
        <f t="shared" si="0"/>
        <v>0</v>
      </c>
      <c r="Q21" s="460">
        <f t="array" ref="Q21:CC21">C21*ForwardToZero(OisBuckets,E21,F21,G21)</f>
        <v>0</v>
      </c>
      <c r="R21" s="460">
        <v>0</v>
      </c>
      <c r="S21" s="460">
        <v>0</v>
      </c>
      <c r="T21" s="460">
        <v>0</v>
      </c>
      <c r="U21" s="460">
        <v>0</v>
      </c>
      <c r="V21" s="460">
        <v>0</v>
      </c>
      <c r="W21" s="460">
        <v>0</v>
      </c>
      <c r="X21" s="460">
        <v>0</v>
      </c>
      <c r="Y21" s="460">
        <v>0</v>
      </c>
      <c r="Z21" s="460">
        <v>0</v>
      </c>
      <c r="AA21" s="460">
        <v>0</v>
      </c>
      <c r="AB21" s="460">
        <v>1079.1102211026916</v>
      </c>
      <c r="AC21" s="460">
        <v>0</v>
      </c>
      <c r="AD21" s="460">
        <v>0</v>
      </c>
      <c r="AE21" s="460">
        <v>0</v>
      </c>
      <c r="AF21" s="460">
        <v>0</v>
      </c>
      <c r="AG21" s="460">
        <v>0</v>
      </c>
      <c r="AH21" s="460">
        <v>-2152.3874139832064</v>
      </c>
      <c r="AI21" s="460">
        <v>0</v>
      </c>
      <c r="AJ21" s="460">
        <v>0</v>
      </c>
      <c r="AK21" s="460">
        <v>0</v>
      </c>
      <c r="AL21" s="460">
        <v>0</v>
      </c>
      <c r="AM21" s="460">
        <v>0</v>
      </c>
      <c r="AN21" s="460">
        <v>0</v>
      </c>
      <c r="AO21" s="460">
        <v>0</v>
      </c>
      <c r="AP21" s="460">
        <v>0</v>
      </c>
      <c r="AQ21" s="460">
        <v>0</v>
      </c>
      <c r="AR21" s="460">
        <v>0</v>
      </c>
      <c r="AS21" s="460">
        <v>0</v>
      </c>
      <c r="AT21" s="460">
        <v>0</v>
      </c>
      <c r="AU21" s="460">
        <v>0</v>
      </c>
      <c r="AV21" s="460">
        <v>0</v>
      </c>
      <c r="AW21" s="460">
        <v>0</v>
      </c>
      <c r="AX21" s="460">
        <v>0</v>
      </c>
      <c r="AY21" s="460">
        <v>0</v>
      </c>
      <c r="AZ21" s="460">
        <v>0</v>
      </c>
      <c r="BA21" s="460">
        <v>0</v>
      </c>
      <c r="BB21" s="460">
        <v>0</v>
      </c>
      <c r="BC21" s="460">
        <v>0</v>
      </c>
      <c r="BD21" s="460">
        <v>0</v>
      </c>
      <c r="BE21" s="460">
        <v>0</v>
      </c>
      <c r="BF21" s="460">
        <v>0</v>
      </c>
      <c r="BG21" s="460">
        <v>0</v>
      </c>
      <c r="BH21" s="460">
        <v>0</v>
      </c>
      <c r="BI21" s="460">
        <v>0</v>
      </c>
      <c r="BJ21" s="460">
        <v>0</v>
      </c>
      <c r="BK21" s="460">
        <v>0</v>
      </c>
      <c r="BL21" s="460">
        <v>0</v>
      </c>
      <c r="BM21" s="460">
        <v>0</v>
      </c>
      <c r="BN21" s="460">
        <v>0</v>
      </c>
      <c r="BO21" s="460">
        <v>0</v>
      </c>
      <c r="BP21" s="460">
        <v>0</v>
      </c>
      <c r="BQ21" s="460">
        <v>0</v>
      </c>
      <c r="BR21" s="460">
        <v>0</v>
      </c>
      <c r="BS21" s="460">
        <v>0</v>
      </c>
      <c r="BT21" s="460">
        <v>0</v>
      </c>
      <c r="BU21" s="460">
        <v>0</v>
      </c>
      <c r="BV21" s="460">
        <v>0</v>
      </c>
      <c r="BW21" s="460">
        <v>0</v>
      </c>
      <c r="BX21" s="460">
        <v>0</v>
      </c>
      <c r="BY21" s="460">
        <v>0</v>
      </c>
      <c r="BZ21" s="460">
        <v>0</v>
      </c>
      <c r="CA21" s="460" t="e">
        <v>#N/A</v>
      </c>
      <c r="CB21" s="460" t="e">
        <v>#N/A</v>
      </c>
      <c r="CC21" s="460" t="e">
        <v>#N/A</v>
      </c>
    </row>
    <row r="22" spans="1:81" ht="12.75" customHeight="1">
      <c r="A22" s="105">
        <v>17</v>
      </c>
      <c r="B22" s="458" t="str">
        <v>7M-13M</v>
      </c>
      <c r="C22" s="465">
        <f>'eur disaggregated'!W33</f>
        <v>905.80642924297092</v>
      </c>
      <c r="D22" s="111" t="str">
        <f t="shared" si="3"/>
        <v>6M</v>
      </c>
      <c r="E22" s="441">
        <f t="shared" si="4"/>
        <v>42908</v>
      </c>
      <c r="F22" s="441">
        <f>IF(AND(NOT(ISNA(MATCH(RIGHT(B22,2),$I$6:$I$67,0))),LEN(B22)&lt;6,RIGHT(B22,1)="M"),INDEX($K$6:$K$67,MATCH(RIGHT(B22,2),$I$6:$I$67,0)),IF(AND(NOT(ISNA(MATCH((IF(RIGHT(B22,3)="24M","2Y",IF(RIGHT(B22,3)="12M", "1Y", RIGHT(B22,3)))),$I$6:$I$67,0))),LEN(B22)&gt;=6,RIGHT(B22,1)="M"),INDEX($K$6:$K$67,MATCH((IF(RIGHT(B22,3)="24M","2Y",IF(RIGHT(B22,3)="12M", "1Y", RIGHT(B22,3)))),$I$6:$I$67,0)),_xll.qlCalendarAdvance(Calendar,E22,D22)))</f>
        <v>43091</v>
      </c>
      <c r="G22" s="462">
        <f t="shared" si="2"/>
        <v>-1.6000000000000001E-3</v>
      </c>
      <c r="H22" s="453">
        <v>-0.16</v>
      </c>
      <c r="I22" s="107" t="str">
        <v>11M</v>
      </c>
      <c r="J22" s="106" t="str">
        <f>IF(LEN(I22)&gt;0,IF((MID(I22,4,1)=" "),#REF!,IF((LEN(I22)=8),DATE("20" &amp; RIGHT(I22,2),MID(I22,4,2),LEFT(I22,2)),SimplifyTenor(I22))),"")</f>
        <v>11M</v>
      </c>
      <c r="K22" s="448">
        <f>_xll.qlCalendarAdvance("TARGET",SettlementDate,J22)</f>
        <v>43031</v>
      </c>
      <c r="M22" s="99" t="str">
        <v>11M</v>
      </c>
      <c r="N22" s="465">
        <v>1814.9602235740697</v>
      </c>
      <c r="P22" s="106" t="b">
        <f t="shared" si="0"/>
        <v>0</v>
      </c>
      <c r="Q22" s="460">
        <f t="array" ref="Q22:CC22">C22*ForwardToZero(OisBuckets,E22,F22,G22)</f>
        <v>0</v>
      </c>
      <c r="R22" s="460">
        <v>0</v>
      </c>
      <c r="S22" s="460">
        <v>0</v>
      </c>
      <c r="T22" s="460">
        <v>0</v>
      </c>
      <c r="U22" s="460">
        <v>0</v>
      </c>
      <c r="V22" s="460">
        <v>0</v>
      </c>
      <c r="W22" s="460">
        <v>0</v>
      </c>
      <c r="X22" s="460">
        <v>0</v>
      </c>
      <c r="Y22" s="460">
        <v>0</v>
      </c>
      <c r="Z22" s="460">
        <v>0</v>
      </c>
      <c r="AA22" s="460">
        <v>0</v>
      </c>
      <c r="AB22" s="460">
        <v>0</v>
      </c>
      <c r="AC22" s="460">
        <v>-1069.1485722212115</v>
      </c>
      <c r="AD22" s="460">
        <v>0</v>
      </c>
      <c r="AE22" s="460">
        <v>0</v>
      </c>
      <c r="AF22" s="460">
        <v>0</v>
      </c>
      <c r="AG22" s="460">
        <v>0</v>
      </c>
      <c r="AH22" s="460">
        <v>0</v>
      </c>
      <c r="AI22" s="460">
        <v>1974.9550014641825</v>
      </c>
      <c r="AJ22" s="460">
        <v>0</v>
      </c>
      <c r="AK22" s="460">
        <v>0</v>
      </c>
      <c r="AL22" s="460">
        <v>0</v>
      </c>
      <c r="AM22" s="460">
        <v>0</v>
      </c>
      <c r="AN22" s="460">
        <v>0</v>
      </c>
      <c r="AO22" s="460">
        <v>0</v>
      </c>
      <c r="AP22" s="460">
        <v>0</v>
      </c>
      <c r="AQ22" s="460">
        <v>0</v>
      </c>
      <c r="AR22" s="460">
        <v>0</v>
      </c>
      <c r="AS22" s="460">
        <v>0</v>
      </c>
      <c r="AT22" s="460">
        <v>0</v>
      </c>
      <c r="AU22" s="460">
        <v>0</v>
      </c>
      <c r="AV22" s="460">
        <v>0</v>
      </c>
      <c r="AW22" s="460">
        <v>0</v>
      </c>
      <c r="AX22" s="460">
        <v>0</v>
      </c>
      <c r="AY22" s="460">
        <v>0</v>
      </c>
      <c r="AZ22" s="460">
        <v>0</v>
      </c>
      <c r="BA22" s="460">
        <v>0</v>
      </c>
      <c r="BB22" s="460">
        <v>0</v>
      </c>
      <c r="BC22" s="460">
        <v>0</v>
      </c>
      <c r="BD22" s="460">
        <v>0</v>
      </c>
      <c r="BE22" s="460">
        <v>0</v>
      </c>
      <c r="BF22" s="460">
        <v>0</v>
      </c>
      <c r="BG22" s="460">
        <v>0</v>
      </c>
      <c r="BH22" s="460">
        <v>0</v>
      </c>
      <c r="BI22" s="460">
        <v>0</v>
      </c>
      <c r="BJ22" s="460">
        <v>0</v>
      </c>
      <c r="BK22" s="460">
        <v>0</v>
      </c>
      <c r="BL22" s="460">
        <v>0</v>
      </c>
      <c r="BM22" s="460">
        <v>0</v>
      </c>
      <c r="BN22" s="460">
        <v>0</v>
      </c>
      <c r="BO22" s="460">
        <v>0</v>
      </c>
      <c r="BP22" s="460">
        <v>0</v>
      </c>
      <c r="BQ22" s="460">
        <v>0</v>
      </c>
      <c r="BR22" s="460">
        <v>0</v>
      </c>
      <c r="BS22" s="460">
        <v>0</v>
      </c>
      <c r="BT22" s="460">
        <v>0</v>
      </c>
      <c r="BU22" s="460">
        <v>0</v>
      </c>
      <c r="BV22" s="460">
        <v>0</v>
      </c>
      <c r="BW22" s="460">
        <v>0</v>
      </c>
      <c r="BX22" s="460">
        <v>0</v>
      </c>
      <c r="BY22" s="460">
        <v>0</v>
      </c>
      <c r="BZ22" s="460">
        <v>0</v>
      </c>
      <c r="CA22" s="460" t="e">
        <v>#N/A</v>
      </c>
      <c r="CB22" s="460" t="e">
        <v>#N/A</v>
      </c>
      <c r="CC22" s="460" t="e">
        <v>#N/A</v>
      </c>
    </row>
    <row r="23" spans="1:81" ht="12.75" customHeight="1">
      <c r="A23" s="105">
        <v>18</v>
      </c>
      <c r="B23" s="458" t="str">
        <v>8M-14M</v>
      </c>
      <c r="C23" s="465">
        <f>'eur disaggregated'!W34</f>
        <v>183.93131350252037</v>
      </c>
      <c r="D23" s="111" t="str">
        <f t="shared" si="3"/>
        <v>6M</v>
      </c>
      <c r="E23" s="441">
        <f t="shared" si="4"/>
        <v>42940</v>
      </c>
      <c r="F23" s="441">
        <f>IF(AND(NOT(ISNA(MATCH(RIGHT(B23,2),$I$6:$I$67,0))),LEN(B23)&lt;6,RIGHT(B23,1)="M"),INDEX($K$6:$K$67,MATCH(RIGHT(B23,2),$I$6:$I$67,0)),IF(AND(NOT(ISNA(MATCH((IF(RIGHT(B23,3)="24M","2Y",IF(RIGHT(B23,3)="12M", "1Y", RIGHT(B23,3)))),$I$6:$I$67,0))),LEN(B23)&gt;=6,RIGHT(B23,1)="M"),INDEX($K$6:$K$67,MATCH((IF(RIGHT(B23,3)="24M","2Y",IF(RIGHT(B23,3)="12M", "1Y", RIGHT(B23,3)))),$I$6:$I$67,0)),_xll.qlCalendarAdvance(Calendar,E23,D23)))</f>
        <v>43122</v>
      </c>
      <c r="G23" s="462">
        <f t="shared" si="2"/>
        <v>-1.5E-3</v>
      </c>
      <c r="H23" s="453">
        <v>-0.15</v>
      </c>
      <c r="I23" s="107" t="str">
        <v>1Y</v>
      </c>
      <c r="J23" s="106" t="str">
        <f>IF(LEN(I23)&gt;0,IF((MID(I23,4,1)=" "),#REF!,IF((LEN(I23)=8),DATE("20" &amp; RIGHT(I23,2),MID(I23,4,2),LEFT(I23,2)),SimplifyTenor(I23))),"")</f>
        <v>12M</v>
      </c>
      <c r="K23" s="448">
        <f>_xll.qlCalendarAdvance("TARGET",SettlementDate,J23)</f>
        <v>43061</v>
      </c>
      <c r="M23" s="99" t="str">
        <v>1Y</v>
      </c>
      <c r="N23" s="465">
        <v>-287.06407559976446</v>
      </c>
      <c r="P23" s="106" t="b">
        <f t="shared" si="0"/>
        <v>0</v>
      </c>
      <c r="Q23" s="460">
        <f t="array" ref="Q23:CC23">C23*ForwardToZero(OisBuckets,E23,F23,G23)</f>
        <v>0</v>
      </c>
      <c r="R23" s="460">
        <v>0</v>
      </c>
      <c r="S23" s="460">
        <v>0</v>
      </c>
      <c r="T23" s="460">
        <v>0</v>
      </c>
      <c r="U23" s="460">
        <v>0</v>
      </c>
      <c r="V23" s="460">
        <v>0</v>
      </c>
      <c r="W23" s="460">
        <v>0</v>
      </c>
      <c r="X23" s="460">
        <v>0</v>
      </c>
      <c r="Y23" s="460">
        <v>0</v>
      </c>
      <c r="Z23" s="460">
        <v>0</v>
      </c>
      <c r="AA23" s="460">
        <v>0</v>
      </c>
      <c r="AB23" s="460">
        <v>0</v>
      </c>
      <c r="AC23" s="460">
        <v>0</v>
      </c>
      <c r="AD23" s="460">
        <v>-250.63167993750028</v>
      </c>
      <c r="AE23" s="460">
        <v>0</v>
      </c>
      <c r="AF23" s="460">
        <v>0</v>
      </c>
      <c r="AG23" s="460">
        <v>0</v>
      </c>
      <c r="AH23" s="460">
        <v>0</v>
      </c>
      <c r="AI23" s="460">
        <v>0</v>
      </c>
      <c r="AJ23" s="460">
        <v>434.56299344002065</v>
      </c>
      <c r="AK23" s="460">
        <v>0</v>
      </c>
      <c r="AL23" s="460">
        <v>0</v>
      </c>
      <c r="AM23" s="460">
        <v>0</v>
      </c>
      <c r="AN23" s="460">
        <v>0</v>
      </c>
      <c r="AO23" s="460">
        <v>0</v>
      </c>
      <c r="AP23" s="460">
        <v>0</v>
      </c>
      <c r="AQ23" s="460">
        <v>0</v>
      </c>
      <c r="AR23" s="460">
        <v>0</v>
      </c>
      <c r="AS23" s="460">
        <v>0</v>
      </c>
      <c r="AT23" s="460">
        <v>0</v>
      </c>
      <c r="AU23" s="460">
        <v>0</v>
      </c>
      <c r="AV23" s="460">
        <v>0</v>
      </c>
      <c r="AW23" s="460">
        <v>0</v>
      </c>
      <c r="AX23" s="460">
        <v>0</v>
      </c>
      <c r="AY23" s="460">
        <v>0</v>
      </c>
      <c r="AZ23" s="460">
        <v>0</v>
      </c>
      <c r="BA23" s="460">
        <v>0</v>
      </c>
      <c r="BB23" s="460">
        <v>0</v>
      </c>
      <c r="BC23" s="460">
        <v>0</v>
      </c>
      <c r="BD23" s="460">
        <v>0</v>
      </c>
      <c r="BE23" s="460">
        <v>0</v>
      </c>
      <c r="BF23" s="460">
        <v>0</v>
      </c>
      <c r="BG23" s="460">
        <v>0</v>
      </c>
      <c r="BH23" s="460">
        <v>0</v>
      </c>
      <c r="BI23" s="460">
        <v>0</v>
      </c>
      <c r="BJ23" s="460">
        <v>0</v>
      </c>
      <c r="BK23" s="460">
        <v>0</v>
      </c>
      <c r="BL23" s="460">
        <v>0</v>
      </c>
      <c r="BM23" s="460">
        <v>0</v>
      </c>
      <c r="BN23" s="460">
        <v>0</v>
      </c>
      <c r="BO23" s="460">
        <v>0</v>
      </c>
      <c r="BP23" s="460">
        <v>0</v>
      </c>
      <c r="BQ23" s="460">
        <v>0</v>
      </c>
      <c r="BR23" s="460">
        <v>0</v>
      </c>
      <c r="BS23" s="460">
        <v>0</v>
      </c>
      <c r="BT23" s="460">
        <v>0</v>
      </c>
      <c r="BU23" s="460">
        <v>0</v>
      </c>
      <c r="BV23" s="460">
        <v>0</v>
      </c>
      <c r="BW23" s="460">
        <v>0</v>
      </c>
      <c r="BX23" s="460">
        <v>0</v>
      </c>
      <c r="BY23" s="460">
        <v>0</v>
      </c>
      <c r="BZ23" s="460">
        <v>0</v>
      </c>
      <c r="CA23" s="460" t="e">
        <v>#N/A</v>
      </c>
      <c r="CB23" s="460" t="e">
        <v>#N/A</v>
      </c>
      <c r="CC23" s="460" t="e">
        <v>#N/A</v>
      </c>
    </row>
    <row r="24" spans="1:81" ht="12.75" customHeight="1">
      <c r="A24" s="105">
        <v>19</v>
      </c>
      <c r="B24" s="458" t="str">
        <v>9M-15M</v>
      </c>
      <c r="C24" s="465">
        <f>'eur disaggregated'!W35</f>
        <v>709.12140016545072</v>
      </c>
      <c r="D24" s="111" t="str">
        <f t="shared" si="3"/>
        <v>6M</v>
      </c>
      <c r="E24" s="441">
        <f t="shared" si="4"/>
        <v>42969</v>
      </c>
      <c r="F24" s="441">
        <f>IF(AND(NOT(ISNA(MATCH(RIGHT(B24,2),$I$6:$I$67,0))),LEN(B24)&lt;6,RIGHT(B24,1)="M"),INDEX($K$6:$K$67,MATCH(RIGHT(B24,2),$I$6:$I$67,0)),IF(AND(NOT(ISNA(MATCH((IF(RIGHT(B24,3)="24M","2Y",IF(RIGHT(B24,3)="12M", "1Y", RIGHT(B24,3)))),$I$6:$I$67,0))),LEN(B24)&gt;=6,RIGHT(B24,1)="M"),INDEX($K$6:$K$67,MATCH((IF(RIGHT(B24,3)="24M","2Y",IF(RIGHT(B24,3)="12M", "1Y", RIGHT(B24,3)))),$I$6:$I$67,0)),_xll.qlCalendarAdvance(Calendar,E24,D24)))</f>
        <v>43153</v>
      </c>
      <c r="G24" s="462">
        <f t="shared" si="2"/>
        <v>-1.4199999999999998E-3</v>
      </c>
      <c r="H24" s="453">
        <v>-0.14199999999999999</v>
      </c>
      <c r="I24" s="107" t="str">
        <v>13M</v>
      </c>
      <c r="J24" s="106" t="str">
        <f>IF(LEN(I24)&gt;0,IF((MID(I24,4,1)=" "),#REF!,IF((LEN(I24)=8),DATE("20" &amp; RIGHT(I24,2),MID(I24,4,2),LEFT(I24,2)),SimplifyTenor(I24))),"")</f>
        <v>13M</v>
      </c>
      <c r="K24" s="448">
        <f>_xll.qlCalendarAdvance("TARGET",SettlementDate,J24)</f>
        <v>43091</v>
      </c>
      <c r="M24" s="99" t="str">
        <v>13M</v>
      </c>
      <c r="N24" s="465">
        <v>328.09295393634852</v>
      </c>
      <c r="P24" s="106" t="b">
        <f t="shared" si="0"/>
        <v>0</v>
      </c>
      <c r="Q24" s="460">
        <f t="array" ref="Q24:CC24">C24*ForwardToZero(OisBuckets,E24,F24,G24)</f>
        <v>0</v>
      </c>
      <c r="R24" s="460">
        <v>0</v>
      </c>
      <c r="S24" s="460">
        <v>0</v>
      </c>
      <c r="T24" s="460">
        <v>0</v>
      </c>
      <c r="U24" s="460">
        <v>0</v>
      </c>
      <c r="V24" s="460">
        <v>0</v>
      </c>
      <c r="W24" s="460">
        <v>0</v>
      </c>
      <c r="X24" s="460">
        <v>0</v>
      </c>
      <c r="Y24" s="460">
        <v>0</v>
      </c>
      <c r="Z24" s="460">
        <v>0</v>
      </c>
      <c r="AA24" s="460">
        <v>0</v>
      </c>
      <c r="AB24" s="460">
        <v>0</v>
      </c>
      <c r="AC24" s="460">
        <v>0</v>
      </c>
      <c r="AD24" s="460">
        <v>0</v>
      </c>
      <c r="AE24" s="460">
        <v>-1067.5360209012492</v>
      </c>
      <c r="AF24" s="460">
        <v>0</v>
      </c>
      <c r="AG24" s="460">
        <v>0</v>
      </c>
      <c r="AH24" s="460">
        <v>0</v>
      </c>
      <c r="AI24" s="460">
        <v>0</v>
      </c>
      <c r="AJ24" s="460">
        <v>0</v>
      </c>
      <c r="AK24" s="460">
        <v>1776.6574210666997</v>
      </c>
      <c r="AL24" s="460">
        <v>0</v>
      </c>
      <c r="AM24" s="460">
        <v>0</v>
      </c>
      <c r="AN24" s="460">
        <v>0</v>
      </c>
      <c r="AO24" s="460">
        <v>0</v>
      </c>
      <c r="AP24" s="460">
        <v>0</v>
      </c>
      <c r="AQ24" s="460">
        <v>0</v>
      </c>
      <c r="AR24" s="460">
        <v>0</v>
      </c>
      <c r="AS24" s="460">
        <v>0</v>
      </c>
      <c r="AT24" s="460">
        <v>0</v>
      </c>
      <c r="AU24" s="460">
        <v>0</v>
      </c>
      <c r="AV24" s="460">
        <v>0</v>
      </c>
      <c r="AW24" s="460">
        <v>0</v>
      </c>
      <c r="AX24" s="460">
        <v>0</v>
      </c>
      <c r="AY24" s="460">
        <v>0</v>
      </c>
      <c r="AZ24" s="460">
        <v>0</v>
      </c>
      <c r="BA24" s="460">
        <v>0</v>
      </c>
      <c r="BB24" s="460">
        <v>0</v>
      </c>
      <c r="BC24" s="460">
        <v>0</v>
      </c>
      <c r="BD24" s="460">
        <v>0</v>
      </c>
      <c r="BE24" s="460">
        <v>0</v>
      </c>
      <c r="BF24" s="460">
        <v>0</v>
      </c>
      <c r="BG24" s="460">
        <v>0</v>
      </c>
      <c r="BH24" s="460">
        <v>0</v>
      </c>
      <c r="BI24" s="460">
        <v>0</v>
      </c>
      <c r="BJ24" s="460">
        <v>0</v>
      </c>
      <c r="BK24" s="460">
        <v>0</v>
      </c>
      <c r="BL24" s="460">
        <v>0</v>
      </c>
      <c r="BM24" s="460">
        <v>0</v>
      </c>
      <c r="BN24" s="460">
        <v>0</v>
      </c>
      <c r="BO24" s="460">
        <v>0</v>
      </c>
      <c r="BP24" s="460">
        <v>0</v>
      </c>
      <c r="BQ24" s="460">
        <v>0</v>
      </c>
      <c r="BR24" s="460">
        <v>0</v>
      </c>
      <c r="BS24" s="460">
        <v>0</v>
      </c>
      <c r="BT24" s="460">
        <v>0</v>
      </c>
      <c r="BU24" s="460">
        <v>0</v>
      </c>
      <c r="BV24" s="460">
        <v>0</v>
      </c>
      <c r="BW24" s="460">
        <v>0</v>
      </c>
      <c r="BX24" s="460">
        <v>0</v>
      </c>
      <c r="BY24" s="460">
        <v>0</v>
      </c>
      <c r="BZ24" s="460">
        <v>0</v>
      </c>
      <c r="CA24" s="460" t="e">
        <v>#N/A</v>
      </c>
      <c r="CB24" s="460" t="e">
        <v>#N/A</v>
      </c>
      <c r="CC24" s="460" t="e">
        <v>#N/A</v>
      </c>
    </row>
    <row r="25" spans="1:81" ht="12.75" customHeight="1">
      <c r="A25" s="111">
        <v>20</v>
      </c>
      <c r="B25" s="458" t="str">
        <v>10M-16M</v>
      </c>
      <c r="C25" s="465">
        <f>'eur disaggregated'!W36</f>
        <v>2035.7485130415948</v>
      </c>
      <c r="D25" s="111" t="str">
        <f t="shared" si="3"/>
        <v>6M</v>
      </c>
      <c r="E25" s="441">
        <f t="shared" si="4"/>
        <v>43000</v>
      </c>
      <c r="F25" s="441">
        <f>IF(AND(NOT(ISNA(MATCH(RIGHT(B25,2),$I$6:$I$67,0))),LEN(B25)&lt;6,RIGHT(B25,1)="M"),INDEX($K$6:$K$67,MATCH(RIGHT(B25,2),$I$6:$I$67,0)),IF(AND(NOT(ISNA(MATCH((IF(RIGHT(B25,3)="24M","2Y",IF(RIGHT(B25,3)="12M", "1Y", RIGHT(B25,3)))),$I$6:$I$67,0))),LEN(B25)&gt;=6,RIGHT(B25,1)="M"),INDEX($K$6:$K$67,MATCH((IF(RIGHT(B25,3)="24M","2Y",IF(RIGHT(B25,3)="12M", "1Y", RIGHT(B25,3)))),$I$6:$I$67,0)),_xll.qlCalendarAdvance(Calendar,E25,D25)))</f>
        <v>43181</v>
      </c>
      <c r="G25" s="462">
        <f t="shared" si="2"/>
        <v>-1.34E-3</v>
      </c>
      <c r="H25" s="453">
        <v>-0.13400000000000001</v>
      </c>
      <c r="I25" s="107" t="str">
        <v>14M</v>
      </c>
      <c r="J25" s="441" t="str">
        <f>IF(LEN(I25)&gt;0,IF((MID(I25,4,1)=" "),#REF!,IF((LEN(I25)=8),DATE("20" &amp; RIGHT(I25,2),MID(I25,4,2),LEFT(I25,2)),SimplifyTenor(I25))),"")</f>
        <v>14M</v>
      </c>
      <c r="K25" s="448">
        <f>_xll.qlCalendarAdvance("TARGET",SettlementDate,J25)</f>
        <v>43122</v>
      </c>
      <c r="M25" s="99" t="str">
        <v>14M</v>
      </c>
      <c r="N25" s="465">
        <v>141.11858114677699</v>
      </c>
      <c r="P25" s="106" t="b">
        <f t="shared" si="0"/>
        <v>0</v>
      </c>
      <c r="Q25" s="460">
        <f t="array" ref="Q25:CC25">C25*ForwardToZero(OisBuckets,E25,F25,G25)</f>
        <v>0</v>
      </c>
      <c r="R25" s="460">
        <v>0</v>
      </c>
      <c r="S25" s="460">
        <v>0</v>
      </c>
      <c r="T25" s="460">
        <v>0</v>
      </c>
      <c r="U25" s="460">
        <v>0</v>
      </c>
      <c r="V25" s="460">
        <v>0</v>
      </c>
      <c r="W25" s="460">
        <v>0</v>
      </c>
      <c r="X25" s="460">
        <v>0</v>
      </c>
      <c r="Y25" s="460">
        <v>0</v>
      </c>
      <c r="Z25" s="460">
        <v>0</v>
      </c>
      <c r="AA25" s="460">
        <v>0</v>
      </c>
      <c r="AB25" s="460">
        <v>0</v>
      </c>
      <c r="AC25" s="460">
        <v>0</v>
      </c>
      <c r="AD25" s="460">
        <v>0</v>
      </c>
      <c r="AE25" s="460">
        <v>0</v>
      </c>
      <c r="AF25" s="460">
        <v>-3464.1466409768586</v>
      </c>
      <c r="AG25" s="460">
        <v>0</v>
      </c>
      <c r="AH25" s="460">
        <v>0</v>
      </c>
      <c r="AI25" s="460">
        <v>0</v>
      </c>
      <c r="AJ25" s="460">
        <v>0</v>
      </c>
      <c r="AK25" s="460">
        <v>0</v>
      </c>
      <c r="AL25" s="460">
        <v>5499.8951540184535</v>
      </c>
      <c r="AM25" s="460">
        <v>0</v>
      </c>
      <c r="AN25" s="460">
        <v>0</v>
      </c>
      <c r="AO25" s="460">
        <v>0</v>
      </c>
      <c r="AP25" s="460">
        <v>0</v>
      </c>
      <c r="AQ25" s="460">
        <v>0</v>
      </c>
      <c r="AR25" s="460">
        <v>0</v>
      </c>
      <c r="AS25" s="460">
        <v>0</v>
      </c>
      <c r="AT25" s="460">
        <v>0</v>
      </c>
      <c r="AU25" s="460">
        <v>0</v>
      </c>
      <c r="AV25" s="460">
        <v>0</v>
      </c>
      <c r="AW25" s="460">
        <v>0</v>
      </c>
      <c r="AX25" s="460">
        <v>0</v>
      </c>
      <c r="AY25" s="460">
        <v>0</v>
      </c>
      <c r="AZ25" s="460">
        <v>0</v>
      </c>
      <c r="BA25" s="460">
        <v>0</v>
      </c>
      <c r="BB25" s="460">
        <v>0</v>
      </c>
      <c r="BC25" s="460">
        <v>0</v>
      </c>
      <c r="BD25" s="460">
        <v>0</v>
      </c>
      <c r="BE25" s="460">
        <v>0</v>
      </c>
      <c r="BF25" s="460">
        <v>0</v>
      </c>
      <c r="BG25" s="460">
        <v>0</v>
      </c>
      <c r="BH25" s="460">
        <v>0</v>
      </c>
      <c r="BI25" s="460">
        <v>0</v>
      </c>
      <c r="BJ25" s="460">
        <v>0</v>
      </c>
      <c r="BK25" s="460">
        <v>0</v>
      </c>
      <c r="BL25" s="460">
        <v>0</v>
      </c>
      <c r="BM25" s="460">
        <v>0</v>
      </c>
      <c r="BN25" s="460">
        <v>0</v>
      </c>
      <c r="BO25" s="460">
        <v>0</v>
      </c>
      <c r="BP25" s="460">
        <v>0</v>
      </c>
      <c r="BQ25" s="460">
        <v>0</v>
      </c>
      <c r="BR25" s="460">
        <v>0</v>
      </c>
      <c r="BS25" s="460">
        <v>0</v>
      </c>
      <c r="BT25" s="460">
        <v>0</v>
      </c>
      <c r="BU25" s="460">
        <v>0</v>
      </c>
      <c r="BV25" s="460">
        <v>0</v>
      </c>
      <c r="BW25" s="460">
        <v>0</v>
      </c>
      <c r="BX25" s="460">
        <v>0</v>
      </c>
      <c r="BY25" s="460">
        <v>0</v>
      </c>
      <c r="BZ25" s="460">
        <v>0</v>
      </c>
      <c r="CA25" s="460" t="e">
        <v>#N/A</v>
      </c>
      <c r="CB25" s="460" t="e">
        <v>#N/A</v>
      </c>
      <c r="CC25" s="460" t="e">
        <v>#N/A</v>
      </c>
    </row>
    <row r="26" spans="1:81" ht="12.75" customHeight="1">
      <c r="A26" s="111">
        <v>21</v>
      </c>
      <c r="B26" s="458" t="str">
        <v>11M-17M</v>
      </c>
      <c r="C26" s="465">
        <f>'eur disaggregated'!W37</f>
        <v>-1296.5137482128441</v>
      </c>
      <c r="D26" s="111" t="str">
        <f t="shared" si="3"/>
        <v>6M</v>
      </c>
      <c r="E26" s="441">
        <f t="shared" si="4"/>
        <v>43031</v>
      </c>
      <c r="F26" s="441">
        <f>IF(AND(NOT(ISNA(MATCH(RIGHT(B26,2),$I$6:$I$67,0))),LEN(B26)&lt;6,RIGHT(B26,1)="M"),INDEX($K$6:$K$67,MATCH(RIGHT(B26,2),$I$6:$I$67,0)),IF(AND(NOT(ISNA(MATCH((IF(RIGHT(B26,3)="24M","2Y",IF(RIGHT(B26,3)="12M", "1Y", RIGHT(B26,3)))),$I$6:$I$67,0))),LEN(B26)&gt;=6,RIGHT(B26,1)="M"),INDEX($K$6:$K$67,MATCH((IF(RIGHT(B26,3)="24M","2Y",IF(RIGHT(B26,3)="12M", "1Y", RIGHT(B26,3)))),$I$6:$I$67,0)),_xll.qlCalendarAdvance(Calendar,E26,D26)))</f>
        <v>43213</v>
      </c>
      <c r="G26" s="462">
        <f t="shared" si="2"/>
        <v>-1.23E-3</v>
      </c>
      <c r="H26" s="453">
        <v>-0.123</v>
      </c>
      <c r="I26" s="107" t="str">
        <v>15M</v>
      </c>
      <c r="J26" s="441" t="str">
        <f>IF(LEN(I26)&gt;0,IF((MID(I26,4,1)=" "),#REF!,IF((LEN(I26)=8),DATE("20" &amp; RIGHT(I26,2),MID(I26,4,2),LEFT(I26,2)),SimplifyTenor(I26))),"")</f>
        <v>15M</v>
      </c>
      <c r="K26" s="448">
        <f>_xll.qlCalendarAdvance("TARGET",SettlementDate,J26)</f>
        <v>43153</v>
      </c>
      <c r="M26" s="99" t="str">
        <v>15M</v>
      </c>
      <c r="N26" s="465">
        <v>1776.6574210666997</v>
      </c>
      <c r="P26" s="106" t="b">
        <f t="shared" si="0"/>
        <v>0</v>
      </c>
      <c r="Q26" s="460">
        <f t="array" ref="Q26:CC26">C26*ForwardToZero(OisBuckets,E26,F26,G26)</f>
        <v>0</v>
      </c>
      <c r="R26" s="460">
        <v>0</v>
      </c>
      <c r="S26" s="460">
        <v>0</v>
      </c>
      <c r="T26" s="460">
        <v>0</v>
      </c>
      <c r="U26" s="460">
        <v>0</v>
      </c>
      <c r="V26" s="460">
        <v>0</v>
      </c>
      <c r="W26" s="460">
        <v>0</v>
      </c>
      <c r="X26" s="460">
        <v>0</v>
      </c>
      <c r="Y26" s="460">
        <v>0</v>
      </c>
      <c r="Z26" s="460">
        <v>0</v>
      </c>
      <c r="AA26" s="460">
        <v>0</v>
      </c>
      <c r="AB26" s="460">
        <v>0</v>
      </c>
      <c r="AC26" s="460">
        <v>0</v>
      </c>
      <c r="AD26" s="460">
        <v>0</v>
      </c>
      <c r="AE26" s="460">
        <v>0</v>
      </c>
      <c r="AF26" s="460">
        <v>0</v>
      </c>
      <c r="AG26" s="460">
        <v>2414.9349485942535</v>
      </c>
      <c r="AH26" s="460">
        <v>0</v>
      </c>
      <c r="AI26" s="460">
        <v>0</v>
      </c>
      <c r="AJ26" s="460">
        <v>0</v>
      </c>
      <c r="AK26" s="460">
        <v>0</v>
      </c>
      <c r="AL26" s="460">
        <v>0</v>
      </c>
      <c r="AM26" s="460">
        <v>-3711.4486968070978</v>
      </c>
      <c r="AN26" s="460">
        <v>0</v>
      </c>
      <c r="AO26" s="460">
        <v>0</v>
      </c>
      <c r="AP26" s="460">
        <v>0</v>
      </c>
      <c r="AQ26" s="460">
        <v>0</v>
      </c>
      <c r="AR26" s="460">
        <v>0</v>
      </c>
      <c r="AS26" s="460">
        <v>0</v>
      </c>
      <c r="AT26" s="460">
        <v>0</v>
      </c>
      <c r="AU26" s="460">
        <v>0</v>
      </c>
      <c r="AV26" s="460">
        <v>0</v>
      </c>
      <c r="AW26" s="460">
        <v>0</v>
      </c>
      <c r="AX26" s="460">
        <v>0</v>
      </c>
      <c r="AY26" s="460">
        <v>0</v>
      </c>
      <c r="AZ26" s="460">
        <v>0</v>
      </c>
      <c r="BA26" s="460">
        <v>0</v>
      </c>
      <c r="BB26" s="460">
        <v>0</v>
      </c>
      <c r="BC26" s="460">
        <v>0</v>
      </c>
      <c r="BD26" s="460">
        <v>0</v>
      </c>
      <c r="BE26" s="460">
        <v>0</v>
      </c>
      <c r="BF26" s="460">
        <v>0</v>
      </c>
      <c r="BG26" s="460">
        <v>0</v>
      </c>
      <c r="BH26" s="460">
        <v>0</v>
      </c>
      <c r="BI26" s="460">
        <v>0</v>
      </c>
      <c r="BJ26" s="460">
        <v>0</v>
      </c>
      <c r="BK26" s="460">
        <v>0</v>
      </c>
      <c r="BL26" s="460">
        <v>0</v>
      </c>
      <c r="BM26" s="460">
        <v>0</v>
      </c>
      <c r="BN26" s="460">
        <v>0</v>
      </c>
      <c r="BO26" s="460">
        <v>0</v>
      </c>
      <c r="BP26" s="460">
        <v>0</v>
      </c>
      <c r="BQ26" s="460">
        <v>0</v>
      </c>
      <c r="BR26" s="460">
        <v>0</v>
      </c>
      <c r="BS26" s="460">
        <v>0</v>
      </c>
      <c r="BT26" s="460">
        <v>0</v>
      </c>
      <c r="BU26" s="460">
        <v>0</v>
      </c>
      <c r="BV26" s="460">
        <v>0</v>
      </c>
      <c r="BW26" s="460">
        <v>0</v>
      </c>
      <c r="BX26" s="460">
        <v>0</v>
      </c>
      <c r="BY26" s="460">
        <v>0</v>
      </c>
      <c r="BZ26" s="460">
        <v>0</v>
      </c>
      <c r="CA26" s="460" t="e">
        <v>#N/A</v>
      </c>
      <c r="CB26" s="460" t="e">
        <v>#N/A</v>
      </c>
      <c r="CC26" s="460" t="e">
        <v>#N/A</v>
      </c>
    </row>
    <row r="27" spans="1:81" ht="12.75" customHeight="1">
      <c r="A27" s="111">
        <v>22</v>
      </c>
      <c r="B27" s="458" t="str">
        <v>12M-18M</v>
      </c>
      <c r="C27" s="465">
        <f>'eur disaggregated'!W38</f>
        <v>-914.96890039946675</v>
      </c>
      <c r="D27" s="111" t="str">
        <f t="shared" si="3"/>
        <v>6M</v>
      </c>
      <c r="E27" s="441">
        <f t="shared" si="4"/>
        <v>43061</v>
      </c>
      <c r="F27" s="441">
        <f>IF(AND(NOT(ISNA(MATCH(RIGHT(B27,2),$I$6:$I$67,0))),LEN(B27)&lt;6,RIGHT(B27,1)="M"),INDEX($K$6:$K$67,MATCH(RIGHT(B27,2),$I$6:$I$67,0)),IF(AND(NOT(ISNA(MATCH((IF(RIGHT(B27,3)="24M","2Y",IF(RIGHT(B27,3)="12M", "1Y", RIGHT(B27,3)))),$I$6:$I$67,0))),LEN(B27)&gt;=6,RIGHT(B27,1)="M"),INDEX($K$6:$K$67,MATCH((IF(RIGHT(B27,3)="24M","2Y",IF(RIGHT(B27,3)="12M", "1Y", RIGHT(B27,3)))),$I$6:$I$67,0)),_xll.qlCalendarAdvance(Calendar,E27,D27)))</f>
        <v>43242</v>
      </c>
      <c r="G27" s="462">
        <f t="shared" si="2"/>
        <v>-1.14E-3</v>
      </c>
      <c r="H27" s="453">
        <v>-0.114</v>
      </c>
      <c r="I27" s="107" t="str">
        <v>16M</v>
      </c>
      <c r="J27" s="441" t="str">
        <f>IF(LEN(I27)&gt;0,IF((MID(I27,4,1)=" "),#REF!,IF((LEN(I27)=8),DATE("20" &amp; RIGHT(I27,2),MID(I27,4,2),LEFT(I27,2)),SimplifyTenor(I27))),"")</f>
        <v>16M</v>
      </c>
      <c r="K27" s="448">
        <f>_xll.qlCalendarAdvance("TARGET",SettlementDate,J27)</f>
        <v>43181</v>
      </c>
      <c r="M27" s="99" t="str">
        <v>16M</v>
      </c>
      <c r="N27" s="465">
        <v>6255.6016089375698</v>
      </c>
      <c r="P27" s="106" t="b">
        <f t="shared" si="0"/>
        <v>0</v>
      </c>
      <c r="Q27" s="460">
        <f t="array" ref="Q27:CC27">C27*ForwardToZero(OisBuckets,E27,F27,G27)</f>
        <v>0</v>
      </c>
      <c r="R27" s="460">
        <v>0</v>
      </c>
      <c r="S27" s="460">
        <v>0</v>
      </c>
      <c r="T27" s="460">
        <v>0</v>
      </c>
      <c r="U27" s="460">
        <v>0</v>
      </c>
      <c r="V27" s="460">
        <v>0</v>
      </c>
      <c r="W27" s="460">
        <v>0</v>
      </c>
      <c r="X27" s="460">
        <v>0</v>
      </c>
      <c r="Y27" s="460">
        <v>0</v>
      </c>
      <c r="Z27" s="460">
        <v>0</v>
      </c>
      <c r="AA27" s="460">
        <v>0</v>
      </c>
      <c r="AB27" s="460">
        <v>0</v>
      </c>
      <c r="AC27" s="460">
        <v>0</v>
      </c>
      <c r="AD27" s="460">
        <v>0</v>
      </c>
      <c r="AE27" s="460">
        <v>0</v>
      </c>
      <c r="AF27" s="460">
        <v>0</v>
      </c>
      <c r="AG27" s="460">
        <v>0</v>
      </c>
      <c r="AH27" s="460">
        <v>1865.323338383442</v>
      </c>
      <c r="AI27" s="460">
        <v>0</v>
      </c>
      <c r="AJ27" s="460">
        <v>0</v>
      </c>
      <c r="AK27" s="460">
        <v>0</v>
      </c>
      <c r="AL27" s="460">
        <v>0</v>
      </c>
      <c r="AM27" s="460">
        <v>0</v>
      </c>
      <c r="AN27" s="460">
        <v>-2780.292238782909</v>
      </c>
      <c r="AO27" s="460">
        <v>0</v>
      </c>
      <c r="AP27" s="460">
        <v>0</v>
      </c>
      <c r="AQ27" s="460">
        <v>0</v>
      </c>
      <c r="AR27" s="460">
        <v>0</v>
      </c>
      <c r="AS27" s="460">
        <v>0</v>
      </c>
      <c r="AT27" s="460">
        <v>0</v>
      </c>
      <c r="AU27" s="460">
        <v>0</v>
      </c>
      <c r="AV27" s="460">
        <v>0</v>
      </c>
      <c r="AW27" s="460">
        <v>0</v>
      </c>
      <c r="AX27" s="460">
        <v>0</v>
      </c>
      <c r="AY27" s="460">
        <v>0</v>
      </c>
      <c r="AZ27" s="460">
        <v>0</v>
      </c>
      <c r="BA27" s="460">
        <v>0</v>
      </c>
      <c r="BB27" s="460">
        <v>0</v>
      </c>
      <c r="BC27" s="460">
        <v>0</v>
      </c>
      <c r="BD27" s="460">
        <v>0</v>
      </c>
      <c r="BE27" s="460">
        <v>0</v>
      </c>
      <c r="BF27" s="460">
        <v>0</v>
      </c>
      <c r="BG27" s="460">
        <v>0</v>
      </c>
      <c r="BH27" s="460">
        <v>0</v>
      </c>
      <c r="BI27" s="460">
        <v>0</v>
      </c>
      <c r="BJ27" s="460">
        <v>0</v>
      </c>
      <c r="BK27" s="460">
        <v>0</v>
      </c>
      <c r="BL27" s="460">
        <v>0</v>
      </c>
      <c r="BM27" s="460">
        <v>0</v>
      </c>
      <c r="BN27" s="460">
        <v>0</v>
      </c>
      <c r="BO27" s="460">
        <v>0</v>
      </c>
      <c r="BP27" s="460">
        <v>0</v>
      </c>
      <c r="BQ27" s="460">
        <v>0</v>
      </c>
      <c r="BR27" s="460">
        <v>0</v>
      </c>
      <c r="BS27" s="460">
        <v>0</v>
      </c>
      <c r="BT27" s="460">
        <v>0</v>
      </c>
      <c r="BU27" s="460">
        <v>0</v>
      </c>
      <c r="BV27" s="460">
        <v>0</v>
      </c>
      <c r="BW27" s="460">
        <v>0</v>
      </c>
      <c r="BX27" s="460">
        <v>0</v>
      </c>
      <c r="BY27" s="460">
        <v>0</v>
      </c>
      <c r="BZ27" s="460">
        <v>0</v>
      </c>
      <c r="CA27" s="460" t="e">
        <v>#N/A</v>
      </c>
      <c r="CB27" s="460" t="e">
        <v>#N/A</v>
      </c>
      <c r="CC27" s="460" t="e">
        <v>#N/A</v>
      </c>
    </row>
    <row r="28" spans="1:81" ht="12.75" customHeight="1">
      <c r="A28" s="111">
        <v>23</v>
      </c>
      <c r="B28" s="458" t="str">
        <v>13M-19M</v>
      </c>
      <c r="C28" s="465">
        <f>'eur disaggregated'!W39</f>
        <v>751.20023220567862</v>
      </c>
      <c r="D28" s="111" t="str">
        <f t="shared" si="3"/>
        <v>6M</v>
      </c>
      <c r="E28" s="441">
        <f t="shared" si="4"/>
        <v>43091</v>
      </c>
      <c r="F28" s="441">
        <f>IF(AND(NOT(ISNA(MATCH(RIGHT(B28,2),$I$6:$I$67,0))),LEN(B28)&lt;6,RIGHT(B28,1)="M"),INDEX($K$6:$K$67,MATCH(RIGHT(B28,2),$I$6:$I$67,0)),IF(AND(NOT(ISNA(MATCH((IF(RIGHT(B28,3)="24M","2Y",IF(RIGHT(B28,3)="12M", "1Y", RIGHT(B28,3)))),$I$6:$I$67,0))),LEN(B28)&gt;=6,RIGHT(B28,1)="M"),INDEX($K$6:$K$67,MATCH((IF(RIGHT(B28,3)="24M","2Y",IF(RIGHT(B28,3)="12M", "1Y", RIGHT(B28,3)))),$I$6:$I$67,0)),_xll.qlCalendarAdvance(Calendar,E28,D28)))</f>
        <v>43273</v>
      </c>
      <c r="G28" s="462">
        <f t="shared" si="2"/>
        <v>-1.0399999999999999E-3</v>
      </c>
      <c r="H28" s="453">
        <v>-0.104</v>
      </c>
      <c r="I28" s="107" t="str">
        <v>17M</v>
      </c>
      <c r="J28" s="441" t="str">
        <f>IF(LEN(I28)&gt;0,IF((MID(I28,4,1)=" "),#REF!,IF((LEN(I28)=8),DATE("20" &amp; RIGHT(I28,2),MID(I28,4,2),LEFT(I28,2)),SimplifyTenor(I28))),"")</f>
        <v>17M</v>
      </c>
      <c r="K28" s="448">
        <f>_xll.qlCalendarAdvance("TARGET",SettlementDate,J28)</f>
        <v>43213</v>
      </c>
      <c r="M28" s="99" t="str">
        <v>17M</v>
      </c>
      <c r="N28" s="465">
        <v>-4070.9743355751862</v>
      </c>
      <c r="P28" s="106" t="b">
        <f t="shared" si="0"/>
        <v>0</v>
      </c>
      <c r="Q28" s="460">
        <f t="array" ref="Q28:CC28">C28*ForwardToZero(OisBuckets,E28,F28,G28)</f>
        <v>0</v>
      </c>
      <c r="R28" s="460">
        <v>0</v>
      </c>
      <c r="S28" s="460">
        <v>0</v>
      </c>
      <c r="T28" s="460">
        <v>0</v>
      </c>
      <c r="U28" s="460">
        <v>0</v>
      </c>
      <c r="V28" s="460">
        <v>0</v>
      </c>
      <c r="W28" s="460">
        <v>0</v>
      </c>
      <c r="X28" s="460">
        <v>0</v>
      </c>
      <c r="Y28" s="460">
        <v>0</v>
      </c>
      <c r="Z28" s="460">
        <v>0</v>
      </c>
      <c r="AA28" s="460">
        <v>0</v>
      </c>
      <c r="AB28" s="460">
        <v>0</v>
      </c>
      <c r="AC28" s="460">
        <v>0</v>
      </c>
      <c r="AD28" s="460">
        <v>0</v>
      </c>
      <c r="AE28" s="460">
        <v>0</v>
      </c>
      <c r="AF28" s="460">
        <v>0</v>
      </c>
      <c r="AG28" s="460">
        <v>0</v>
      </c>
      <c r="AH28" s="460">
        <v>0</v>
      </c>
      <c r="AI28" s="460">
        <v>-1646.862047527834</v>
      </c>
      <c r="AJ28" s="460">
        <v>0</v>
      </c>
      <c r="AK28" s="460">
        <v>0</v>
      </c>
      <c r="AL28" s="460">
        <v>0</v>
      </c>
      <c r="AM28" s="460">
        <v>0</v>
      </c>
      <c r="AN28" s="460">
        <v>0</v>
      </c>
      <c r="AO28" s="460">
        <v>2398.0622797335127</v>
      </c>
      <c r="AP28" s="460">
        <v>0</v>
      </c>
      <c r="AQ28" s="460">
        <v>0</v>
      </c>
      <c r="AR28" s="460">
        <v>0</v>
      </c>
      <c r="AS28" s="460">
        <v>0</v>
      </c>
      <c r="AT28" s="460">
        <v>0</v>
      </c>
      <c r="AU28" s="460">
        <v>0</v>
      </c>
      <c r="AV28" s="460">
        <v>0</v>
      </c>
      <c r="AW28" s="460">
        <v>0</v>
      </c>
      <c r="AX28" s="460">
        <v>0</v>
      </c>
      <c r="AY28" s="460">
        <v>0</v>
      </c>
      <c r="AZ28" s="460">
        <v>0</v>
      </c>
      <c r="BA28" s="460">
        <v>0</v>
      </c>
      <c r="BB28" s="460">
        <v>0</v>
      </c>
      <c r="BC28" s="460">
        <v>0</v>
      </c>
      <c r="BD28" s="460">
        <v>0</v>
      </c>
      <c r="BE28" s="460">
        <v>0</v>
      </c>
      <c r="BF28" s="460">
        <v>0</v>
      </c>
      <c r="BG28" s="460">
        <v>0</v>
      </c>
      <c r="BH28" s="460">
        <v>0</v>
      </c>
      <c r="BI28" s="460">
        <v>0</v>
      </c>
      <c r="BJ28" s="460">
        <v>0</v>
      </c>
      <c r="BK28" s="460">
        <v>0</v>
      </c>
      <c r="BL28" s="460">
        <v>0</v>
      </c>
      <c r="BM28" s="460">
        <v>0</v>
      </c>
      <c r="BN28" s="460">
        <v>0</v>
      </c>
      <c r="BO28" s="460">
        <v>0</v>
      </c>
      <c r="BP28" s="460">
        <v>0</v>
      </c>
      <c r="BQ28" s="460">
        <v>0</v>
      </c>
      <c r="BR28" s="460">
        <v>0</v>
      </c>
      <c r="BS28" s="460">
        <v>0</v>
      </c>
      <c r="BT28" s="460">
        <v>0</v>
      </c>
      <c r="BU28" s="460">
        <v>0</v>
      </c>
      <c r="BV28" s="460">
        <v>0</v>
      </c>
      <c r="BW28" s="460">
        <v>0</v>
      </c>
      <c r="BX28" s="460">
        <v>0</v>
      </c>
      <c r="BY28" s="460">
        <v>0</v>
      </c>
      <c r="BZ28" s="460">
        <v>0</v>
      </c>
      <c r="CA28" s="460" t="e">
        <v>#N/A</v>
      </c>
      <c r="CB28" s="460" t="e">
        <v>#N/A</v>
      </c>
      <c r="CC28" s="460" t="e">
        <v>#N/A</v>
      </c>
    </row>
    <row r="29" spans="1:81" ht="12.75" customHeight="1">
      <c r="A29" s="111">
        <v>24</v>
      </c>
      <c r="B29" s="458" t="str">
        <v>14M-20M</v>
      </c>
      <c r="C29" s="465">
        <f>'eur disaggregated'!W40</f>
        <v>124.2020535752799</v>
      </c>
      <c r="D29" s="111" t="str">
        <f t="shared" si="3"/>
        <v>6M</v>
      </c>
      <c r="E29" s="441">
        <f t="shared" si="4"/>
        <v>43122</v>
      </c>
      <c r="F29" s="441">
        <f>IF(AND(NOT(ISNA(MATCH(RIGHT(B29,2),$I$6:$I$67,0))),LEN(B29)&lt;6,RIGHT(B29,1)="M"),INDEX($K$6:$K$67,MATCH(RIGHT(B29,2),$I$6:$I$67,0)),IF(AND(NOT(ISNA(MATCH((IF(RIGHT(B29,3)="24M","2Y",IF(RIGHT(B29,3)="12M", "1Y", RIGHT(B29,3)))),$I$6:$I$67,0))),LEN(B29)&gt;=6,RIGHT(B29,1)="M"),INDEX($K$6:$K$67,MATCH((IF(RIGHT(B29,3)="24M","2Y",IF(RIGHT(B29,3)="12M", "1Y", RIGHT(B29,3)))),$I$6:$I$67,0)),_xll.qlCalendarAdvance(Calendar,E29,D29)))</f>
        <v>43304</v>
      </c>
      <c r="G29" s="462">
        <f t="shared" si="2"/>
        <v>-9.2000000000000003E-4</v>
      </c>
      <c r="H29" s="453">
        <v>-9.1999999999999998E-2</v>
      </c>
      <c r="I29" s="107" t="str">
        <v>18M</v>
      </c>
      <c r="J29" s="441" t="str">
        <f>IF(LEN(I29)&gt;0,IF((MID(I29,4,1)=" "),#REF!,IF((LEN(I29)=8),DATE("20" &amp; RIGHT(I29,2),MID(I29,4,2),LEFT(I29,2)),SimplifyTenor(I29))),"")</f>
        <v>18M</v>
      </c>
      <c r="K29" s="448">
        <f>_xll.qlCalendarAdvance("TARGET",SettlementDate,J29)</f>
        <v>43242</v>
      </c>
      <c r="M29" s="99" t="str">
        <v>18M</v>
      </c>
      <c r="N29" s="465">
        <v>-2723.3854337107259</v>
      </c>
      <c r="P29" s="106" t="b">
        <f t="shared" si="0"/>
        <v>0</v>
      </c>
      <c r="Q29" s="460">
        <f t="array" ref="Q29:CC29">C29*ForwardToZero(OisBuckets,E29,F29,G29)</f>
        <v>0</v>
      </c>
      <c r="R29" s="460">
        <v>0</v>
      </c>
      <c r="S29" s="460">
        <v>0</v>
      </c>
      <c r="T29" s="460">
        <v>0</v>
      </c>
      <c r="U29" s="460">
        <v>0</v>
      </c>
      <c r="V29" s="460">
        <v>0</v>
      </c>
      <c r="W29" s="460">
        <v>0</v>
      </c>
      <c r="X29" s="460">
        <v>0</v>
      </c>
      <c r="Y29" s="460">
        <v>0</v>
      </c>
      <c r="Z29" s="460">
        <v>0</v>
      </c>
      <c r="AA29" s="460">
        <v>0</v>
      </c>
      <c r="AB29" s="460">
        <v>0</v>
      </c>
      <c r="AC29" s="460">
        <v>0</v>
      </c>
      <c r="AD29" s="460">
        <v>0</v>
      </c>
      <c r="AE29" s="460">
        <v>0</v>
      </c>
      <c r="AF29" s="460">
        <v>0</v>
      </c>
      <c r="AG29" s="460">
        <v>0</v>
      </c>
      <c r="AH29" s="460">
        <v>0</v>
      </c>
      <c r="AI29" s="460">
        <v>0</v>
      </c>
      <c r="AJ29" s="460">
        <v>-293.44441229324366</v>
      </c>
      <c r="AK29" s="460">
        <v>0</v>
      </c>
      <c r="AL29" s="460">
        <v>0</v>
      </c>
      <c r="AM29" s="460">
        <v>0</v>
      </c>
      <c r="AN29" s="460">
        <v>0</v>
      </c>
      <c r="AO29" s="460">
        <v>0</v>
      </c>
      <c r="AP29" s="460">
        <v>417.64646586852359</v>
      </c>
      <c r="AQ29" s="460">
        <v>0</v>
      </c>
      <c r="AR29" s="460">
        <v>0</v>
      </c>
      <c r="AS29" s="460">
        <v>0</v>
      </c>
      <c r="AT29" s="460">
        <v>0</v>
      </c>
      <c r="AU29" s="460">
        <v>0</v>
      </c>
      <c r="AV29" s="460">
        <v>0</v>
      </c>
      <c r="AW29" s="460">
        <v>0</v>
      </c>
      <c r="AX29" s="460">
        <v>0</v>
      </c>
      <c r="AY29" s="460">
        <v>0</v>
      </c>
      <c r="AZ29" s="460">
        <v>0</v>
      </c>
      <c r="BA29" s="460">
        <v>0</v>
      </c>
      <c r="BB29" s="460">
        <v>0</v>
      </c>
      <c r="BC29" s="460">
        <v>0</v>
      </c>
      <c r="BD29" s="460">
        <v>0</v>
      </c>
      <c r="BE29" s="460">
        <v>0</v>
      </c>
      <c r="BF29" s="460">
        <v>0</v>
      </c>
      <c r="BG29" s="460">
        <v>0</v>
      </c>
      <c r="BH29" s="460">
        <v>0</v>
      </c>
      <c r="BI29" s="460">
        <v>0</v>
      </c>
      <c r="BJ29" s="460">
        <v>0</v>
      </c>
      <c r="BK29" s="460">
        <v>0</v>
      </c>
      <c r="BL29" s="460">
        <v>0</v>
      </c>
      <c r="BM29" s="460">
        <v>0</v>
      </c>
      <c r="BN29" s="460">
        <v>0</v>
      </c>
      <c r="BO29" s="460">
        <v>0</v>
      </c>
      <c r="BP29" s="460">
        <v>0</v>
      </c>
      <c r="BQ29" s="460">
        <v>0</v>
      </c>
      <c r="BR29" s="460">
        <v>0</v>
      </c>
      <c r="BS29" s="460">
        <v>0</v>
      </c>
      <c r="BT29" s="460">
        <v>0</v>
      </c>
      <c r="BU29" s="460">
        <v>0</v>
      </c>
      <c r="BV29" s="460">
        <v>0</v>
      </c>
      <c r="BW29" s="460">
        <v>0</v>
      </c>
      <c r="BX29" s="460">
        <v>0</v>
      </c>
      <c r="BY29" s="460">
        <v>0</v>
      </c>
      <c r="BZ29" s="460">
        <v>0</v>
      </c>
      <c r="CA29" s="460" t="e">
        <v>#N/A</v>
      </c>
      <c r="CB29" s="460" t="e">
        <v>#N/A</v>
      </c>
      <c r="CC29" s="460" t="e">
        <v>#N/A</v>
      </c>
    </row>
    <row r="30" spans="1:81" ht="12.75" customHeight="1">
      <c r="A30" s="111">
        <v>25</v>
      </c>
      <c r="B30" s="458" t="str">
        <v>15M-21M</v>
      </c>
      <c r="C30" s="465">
        <f>'eur disaggregated'!W41</f>
        <v>0</v>
      </c>
      <c r="D30" s="111" t="str">
        <f t="shared" si="3"/>
        <v>6M</v>
      </c>
      <c r="E30" s="441">
        <f t="shared" si="4"/>
        <v>43153</v>
      </c>
      <c r="F30" s="441">
        <f>IF(AND(NOT(ISNA(MATCH(RIGHT(B30,2),$I$6:$I$67,0))),LEN(B30)&lt;6,RIGHT(B30,1)="M"),INDEX($K$6:$K$67,MATCH(RIGHT(B30,2),$I$6:$I$67,0)),IF(AND(NOT(ISNA(MATCH((IF(RIGHT(B30,3)="24M","2Y",IF(RIGHT(B30,3)="12M", "1Y", RIGHT(B30,3)))),$I$6:$I$67,0))),LEN(B30)&gt;=6,RIGHT(B30,1)="M"),INDEX($K$6:$K$67,MATCH((IF(RIGHT(B30,3)="24M","2Y",IF(RIGHT(B30,3)="12M", "1Y", RIGHT(B30,3)))),$I$6:$I$67,0)),_xll.qlCalendarAdvance(Calendar,E30,D30)))</f>
        <v>43334</v>
      </c>
      <c r="G30" s="462">
        <f t="shared" si="2"/>
        <v>-8.1000000000000006E-4</v>
      </c>
      <c r="H30" s="453">
        <v>-8.1000000000000003E-2</v>
      </c>
      <c r="I30" s="107" t="str">
        <v>19M</v>
      </c>
      <c r="J30" s="441" t="str">
        <f>IF(LEN(I30)&gt;0,IF((MID(I30,4,1)=" "),#REF!,IF((LEN(I30)=8),DATE("20" &amp; RIGHT(I30,2),MID(I30,4,2),LEFT(I30,2)),SimplifyTenor(I30))),"")</f>
        <v>19M</v>
      </c>
      <c r="K30" s="448">
        <f>_xll.qlCalendarAdvance("TARGET",SettlementDate,J30)</f>
        <v>43273</v>
      </c>
      <c r="M30" s="99" t="str">
        <v>19M</v>
      </c>
      <c r="N30" s="465">
        <v>2398.0622797335127</v>
      </c>
      <c r="P30" s="106" t="b">
        <f t="shared" si="0"/>
        <v>0</v>
      </c>
      <c r="Q30" s="460">
        <f t="array" ref="Q30:CC30">C30*ForwardToZero(OisBuckets,E30,F30,G30)</f>
        <v>0</v>
      </c>
      <c r="R30" s="460">
        <v>0</v>
      </c>
      <c r="S30" s="460">
        <v>0</v>
      </c>
      <c r="T30" s="460">
        <v>0</v>
      </c>
      <c r="U30" s="460">
        <v>0</v>
      </c>
      <c r="V30" s="460">
        <v>0</v>
      </c>
      <c r="W30" s="460">
        <v>0</v>
      </c>
      <c r="X30" s="460">
        <v>0</v>
      </c>
      <c r="Y30" s="460">
        <v>0</v>
      </c>
      <c r="Z30" s="460">
        <v>0</v>
      </c>
      <c r="AA30" s="460">
        <v>0</v>
      </c>
      <c r="AB30" s="460">
        <v>0</v>
      </c>
      <c r="AC30" s="460">
        <v>0</v>
      </c>
      <c r="AD30" s="460">
        <v>0</v>
      </c>
      <c r="AE30" s="460">
        <v>0</v>
      </c>
      <c r="AF30" s="460">
        <v>0</v>
      </c>
      <c r="AG30" s="460">
        <v>0</v>
      </c>
      <c r="AH30" s="460">
        <v>0</v>
      </c>
      <c r="AI30" s="460">
        <v>0</v>
      </c>
      <c r="AJ30" s="460">
        <v>0</v>
      </c>
      <c r="AK30" s="460">
        <v>0</v>
      </c>
      <c r="AL30" s="460">
        <v>0</v>
      </c>
      <c r="AM30" s="460">
        <v>0</v>
      </c>
      <c r="AN30" s="460">
        <v>0</v>
      </c>
      <c r="AO30" s="460">
        <v>0</v>
      </c>
      <c r="AP30" s="460">
        <v>0</v>
      </c>
      <c r="AQ30" s="460">
        <v>0</v>
      </c>
      <c r="AR30" s="460">
        <v>0</v>
      </c>
      <c r="AS30" s="460">
        <v>0</v>
      </c>
      <c r="AT30" s="460">
        <v>0</v>
      </c>
      <c r="AU30" s="460">
        <v>0</v>
      </c>
      <c r="AV30" s="460">
        <v>0</v>
      </c>
      <c r="AW30" s="460">
        <v>0</v>
      </c>
      <c r="AX30" s="460">
        <v>0</v>
      </c>
      <c r="AY30" s="460">
        <v>0</v>
      </c>
      <c r="AZ30" s="460">
        <v>0</v>
      </c>
      <c r="BA30" s="460">
        <v>0</v>
      </c>
      <c r="BB30" s="460">
        <v>0</v>
      </c>
      <c r="BC30" s="460">
        <v>0</v>
      </c>
      <c r="BD30" s="460">
        <v>0</v>
      </c>
      <c r="BE30" s="460">
        <v>0</v>
      </c>
      <c r="BF30" s="460">
        <v>0</v>
      </c>
      <c r="BG30" s="460">
        <v>0</v>
      </c>
      <c r="BH30" s="460">
        <v>0</v>
      </c>
      <c r="BI30" s="460">
        <v>0</v>
      </c>
      <c r="BJ30" s="460">
        <v>0</v>
      </c>
      <c r="BK30" s="460">
        <v>0</v>
      </c>
      <c r="BL30" s="460">
        <v>0</v>
      </c>
      <c r="BM30" s="460">
        <v>0</v>
      </c>
      <c r="BN30" s="460">
        <v>0</v>
      </c>
      <c r="BO30" s="460">
        <v>0</v>
      </c>
      <c r="BP30" s="460">
        <v>0</v>
      </c>
      <c r="BQ30" s="460">
        <v>0</v>
      </c>
      <c r="BR30" s="460">
        <v>0</v>
      </c>
      <c r="BS30" s="460">
        <v>0</v>
      </c>
      <c r="BT30" s="460">
        <v>0</v>
      </c>
      <c r="BU30" s="460">
        <v>0</v>
      </c>
      <c r="BV30" s="460">
        <v>0</v>
      </c>
      <c r="BW30" s="460">
        <v>0</v>
      </c>
      <c r="BX30" s="460">
        <v>0</v>
      </c>
      <c r="BY30" s="460">
        <v>0</v>
      </c>
      <c r="BZ30" s="460">
        <v>0</v>
      </c>
      <c r="CA30" s="460" t="e">
        <v>#N/A</v>
      </c>
      <c r="CB30" s="460" t="e">
        <v>#N/A</v>
      </c>
      <c r="CC30" s="460" t="e">
        <v>#N/A</v>
      </c>
    </row>
    <row r="31" spans="1:81" ht="12.75" customHeight="1">
      <c r="A31" s="105">
        <v>26</v>
      </c>
      <c r="B31" s="458" t="str">
        <v>16M-22M</v>
      </c>
      <c r="C31" s="465">
        <f>'eur disaggregated'!W42</f>
        <v>-287.44662702444924</v>
      </c>
      <c r="D31" s="111" t="str">
        <f t="shared" si="3"/>
        <v>6M</v>
      </c>
      <c r="E31" s="441">
        <f t="shared" si="4"/>
        <v>43181</v>
      </c>
      <c r="F31" s="441">
        <f>IF(AND(NOT(ISNA(MATCH(RIGHT(B31,2),$I$6:$I$67,0))),LEN(B31)&lt;6,RIGHT(B31,1)="M"),INDEX($K$6:$K$67,MATCH(RIGHT(B31,2),$I$6:$I$67,0)),IF(AND(NOT(ISNA(MATCH((IF(RIGHT(B31,3)="24M","2Y",IF(RIGHT(B31,3)="12M", "1Y", RIGHT(B31,3)))),$I$6:$I$67,0))),LEN(B31)&gt;=6,RIGHT(B31,1)="M"),INDEX($K$6:$K$67,MATCH((IF(RIGHT(B31,3)="24M","2Y",IF(RIGHT(B31,3)="12M", "1Y", RIGHT(B31,3)))),$I$6:$I$67,0)),_xll.qlCalendarAdvance(Calendar,E31,D31)))</f>
        <v>43367</v>
      </c>
      <c r="G31" s="462">
        <f t="shared" si="2"/>
        <v>-7.000000000000001E-4</v>
      </c>
      <c r="H31" s="453">
        <v>-7.0000000000000007E-2</v>
      </c>
      <c r="I31" s="107" t="str">
        <v>20M</v>
      </c>
      <c r="J31" s="106" t="str">
        <f>IF(LEN(I31)&gt;0,IF((MID(I31,4,1)=" "),#REF!,IF((LEN(I31)=8),DATE("20" &amp; RIGHT(I31,2),MID(I31,4,2),LEFT(I31,2)),SimplifyTenor(I31))),"")</f>
        <v>20M</v>
      </c>
      <c r="K31" s="448">
        <f>_xll.qlCalendarAdvance("TARGET",SettlementDate,J31)</f>
        <v>43304</v>
      </c>
      <c r="M31" s="99" t="str">
        <v>20M</v>
      </c>
      <c r="N31" s="465">
        <v>417.64646586852359</v>
      </c>
      <c r="P31" s="106" t="b">
        <f t="shared" si="0"/>
        <v>0</v>
      </c>
      <c r="Q31" s="460">
        <f t="array" ref="Q31:CC31">C31*ForwardToZero(OisBuckets,E31,F31,G31)</f>
        <v>0</v>
      </c>
      <c r="R31" s="460">
        <v>0</v>
      </c>
      <c r="S31" s="460">
        <v>0</v>
      </c>
      <c r="T31" s="460">
        <v>0</v>
      </c>
      <c r="U31" s="460">
        <v>0</v>
      </c>
      <c r="V31" s="460">
        <v>0</v>
      </c>
      <c r="W31" s="460">
        <v>0</v>
      </c>
      <c r="X31" s="460">
        <v>0</v>
      </c>
      <c r="Y31" s="460">
        <v>0</v>
      </c>
      <c r="Z31" s="460">
        <v>0</v>
      </c>
      <c r="AA31" s="460">
        <v>0</v>
      </c>
      <c r="AB31" s="460">
        <v>0</v>
      </c>
      <c r="AC31" s="460">
        <v>0</v>
      </c>
      <c r="AD31" s="460">
        <v>0</v>
      </c>
      <c r="AE31" s="460">
        <v>0</v>
      </c>
      <c r="AF31" s="460">
        <v>0</v>
      </c>
      <c r="AG31" s="460">
        <v>0</v>
      </c>
      <c r="AH31" s="460">
        <v>0</v>
      </c>
      <c r="AI31" s="460">
        <v>0</v>
      </c>
      <c r="AJ31" s="460">
        <v>0</v>
      </c>
      <c r="AK31" s="460">
        <v>0</v>
      </c>
      <c r="AL31" s="460">
        <v>755.70645491911614</v>
      </c>
      <c r="AM31" s="460">
        <v>0</v>
      </c>
      <c r="AN31" s="460">
        <v>0</v>
      </c>
      <c r="AO31" s="460">
        <v>0</v>
      </c>
      <c r="AP31" s="460">
        <v>0</v>
      </c>
      <c r="AQ31" s="460">
        <v>0</v>
      </c>
      <c r="AR31" s="460">
        <v>-1043.1530819435654</v>
      </c>
      <c r="AS31" s="460">
        <v>0</v>
      </c>
      <c r="AT31" s="460">
        <v>0</v>
      </c>
      <c r="AU31" s="460">
        <v>0</v>
      </c>
      <c r="AV31" s="460">
        <v>0</v>
      </c>
      <c r="AW31" s="460">
        <v>0</v>
      </c>
      <c r="AX31" s="460">
        <v>0</v>
      </c>
      <c r="AY31" s="460">
        <v>0</v>
      </c>
      <c r="AZ31" s="460">
        <v>0</v>
      </c>
      <c r="BA31" s="460">
        <v>0</v>
      </c>
      <c r="BB31" s="460">
        <v>0</v>
      </c>
      <c r="BC31" s="460">
        <v>0</v>
      </c>
      <c r="BD31" s="460">
        <v>0</v>
      </c>
      <c r="BE31" s="460">
        <v>0</v>
      </c>
      <c r="BF31" s="460">
        <v>0</v>
      </c>
      <c r="BG31" s="460">
        <v>0</v>
      </c>
      <c r="BH31" s="460">
        <v>0</v>
      </c>
      <c r="BI31" s="460">
        <v>0</v>
      </c>
      <c r="BJ31" s="460">
        <v>0</v>
      </c>
      <c r="BK31" s="460">
        <v>0</v>
      </c>
      <c r="BL31" s="460">
        <v>0</v>
      </c>
      <c r="BM31" s="460">
        <v>0</v>
      </c>
      <c r="BN31" s="460">
        <v>0</v>
      </c>
      <c r="BO31" s="460">
        <v>0</v>
      </c>
      <c r="BP31" s="460">
        <v>0</v>
      </c>
      <c r="BQ31" s="460">
        <v>0</v>
      </c>
      <c r="BR31" s="460">
        <v>0</v>
      </c>
      <c r="BS31" s="460">
        <v>0</v>
      </c>
      <c r="BT31" s="460">
        <v>0</v>
      </c>
      <c r="BU31" s="460">
        <v>0</v>
      </c>
      <c r="BV31" s="460">
        <v>0</v>
      </c>
      <c r="BW31" s="460">
        <v>0</v>
      </c>
      <c r="BX31" s="460">
        <v>0</v>
      </c>
      <c r="BY31" s="460">
        <v>0</v>
      </c>
      <c r="BZ31" s="460">
        <v>0</v>
      </c>
      <c r="CA31" s="460" t="e">
        <v>#N/A</v>
      </c>
      <c r="CB31" s="460" t="e">
        <v>#N/A</v>
      </c>
      <c r="CC31" s="460" t="e">
        <v>#N/A</v>
      </c>
    </row>
    <row r="32" spans="1:81" ht="12.75" customHeight="1">
      <c r="A32" s="105">
        <v>27</v>
      </c>
      <c r="B32" s="458" t="str">
        <v>17M-23M</v>
      </c>
      <c r="C32" s="465">
        <f>'eur disaggregated'!W43</f>
        <v>125.5924496272401</v>
      </c>
      <c r="D32" s="111" t="str">
        <f t="shared" si="3"/>
        <v>6M</v>
      </c>
      <c r="E32" s="441">
        <f t="shared" si="4"/>
        <v>43213</v>
      </c>
      <c r="F32" s="441">
        <f>IF(AND(NOT(ISNA(MATCH(RIGHT(B32,2),$I$6:$I$67,0))),LEN(B32)&lt;6,RIGHT(B32,1)="M"),INDEX($K$6:$K$67,MATCH(RIGHT(B32,2),$I$6:$I$67,0)),IF(AND(NOT(ISNA(MATCH((IF(RIGHT(B32,3)="24M","2Y",IF(RIGHT(B32,3)="12M", "1Y", RIGHT(B32,3)))),$I$6:$I$67,0))),LEN(B32)&gt;=6,RIGHT(B32,1)="M"),INDEX($K$6:$K$67,MATCH((IF(RIGHT(B32,3)="24M","2Y",IF(RIGHT(B32,3)="12M", "1Y", RIGHT(B32,3)))),$I$6:$I$67,0)),_xll.qlCalendarAdvance(Calendar,E32,D32)))</f>
        <v>43395</v>
      </c>
      <c r="G32" s="462">
        <f t="shared" si="2"/>
        <v>-5.6000000000000006E-4</v>
      </c>
      <c r="H32" s="453">
        <v>-5.6000000000000001E-2</v>
      </c>
      <c r="I32" s="107" t="str">
        <v>21M</v>
      </c>
      <c r="J32" s="106" t="str">
        <f>IF(LEN(I32)&gt;0,IF((MID(I32,4,1)=" "),#REF!,IF((LEN(I32)=8),DATE("20" &amp; RIGHT(I32,2),MID(I32,4,2),LEFT(I32,2)),SimplifyTenor(I32))),"")</f>
        <v>21M</v>
      </c>
      <c r="K32" s="448">
        <f>_xll.qlCalendarAdvance("TARGET",SettlementDate,J32)</f>
        <v>43334</v>
      </c>
      <c r="M32" s="99" t="str">
        <v>21M</v>
      </c>
      <c r="N32" s="465">
        <v>0</v>
      </c>
      <c r="P32" s="106" t="b">
        <f t="shared" si="0"/>
        <v>0</v>
      </c>
      <c r="Q32" s="460">
        <f t="array" ref="Q32:CC32">C32*ForwardToZero(OisBuckets,E32,F32,G32)</f>
        <v>0</v>
      </c>
      <c r="R32" s="460">
        <v>0</v>
      </c>
      <c r="S32" s="460">
        <v>0</v>
      </c>
      <c r="T32" s="460">
        <v>0</v>
      </c>
      <c r="U32" s="460">
        <v>0</v>
      </c>
      <c r="V32" s="460">
        <v>0</v>
      </c>
      <c r="W32" s="460">
        <v>0</v>
      </c>
      <c r="X32" s="460">
        <v>0</v>
      </c>
      <c r="Y32" s="460">
        <v>0</v>
      </c>
      <c r="Z32" s="460">
        <v>0</v>
      </c>
      <c r="AA32" s="460">
        <v>0</v>
      </c>
      <c r="AB32" s="460">
        <v>0</v>
      </c>
      <c r="AC32" s="460">
        <v>0</v>
      </c>
      <c r="AD32" s="460">
        <v>0</v>
      </c>
      <c r="AE32" s="460">
        <v>0</v>
      </c>
      <c r="AF32" s="460">
        <v>0</v>
      </c>
      <c r="AG32" s="460">
        <v>0</v>
      </c>
      <c r="AH32" s="460">
        <v>0</v>
      </c>
      <c r="AI32" s="460">
        <v>0</v>
      </c>
      <c r="AJ32" s="460">
        <v>0</v>
      </c>
      <c r="AK32" s="460">
        <v>0</v>
      </c>
      <c r="AL32" s="460">
        <v>0</v>
      </c>
      <c r="AM32" s="460">
        <v>-359.52563876808853</v>
      </c>
      <c r="AN32" s="460">
        <v>0</v>
      </c>
      <c r="AO32" s="460">
        <v>0</v>
      </c>
      <c r="AP32" s="460">
        <v>0</v>
      </c>
      <c r="AQ32" s="460">
        <v>0</v>
      </c>
      <c r="AR32" s="460">
        <v>0</v>
      </c>
      <c r="AS32" s="460">
        <v>485.11808839532864</v>
      </c>
      <c r="AT32" s="460">
        <v>0</v>
      </c>
      <c r="AU32" s="460">
        <v>0</v>
      </c>
      <c r="AV32" s="460">
        <v>0</v>
      </c>
      <c r="AW32" s="460">
        <v>0</v>
      </c>
      <c r="AX32" s="460">
        <v>0</v>
      </c>
      <c r="AY32" s="460">
        <v>0</v>
      </c>
      <c r="AZ32" s="460">
        <v>0</v>
      </c>
      <c r="BA32" s="460">
        <v>0</v>
      </c>
      <c r="BB32" s="460">
        <v>0</v>
      </c>
      <c r="BC32" s="460">
        <v>0</v>
      </c>
      <c r="BD32" s="460">
        <v>0</v>
      </c>
      <c r="BE32" s="460">
        <v>0</v>
      </c>
      <c r="BF32" s="460">
        <v>0</v>
      </c>
      <c r="BG32" s="460">
        <v>0</v>
      </c>
      <c r="BH32" s="460">
        <v>0</v>
      </c>
      <c r="BI32" s="460">
        <v>0</v>
      </c>
      <c r="BJ32" s="460">
        <v>0</v>
      </c>
      <c r="BK32" s="460">
        <v>0</v>
      </c>
      <c r="BL32" s="460">
        <v>0</v>
      </c>
      <c r="BM32" s="460">
        <v>0</v>
      </c>
      <c r="BN32" s="460">
        <v>0</v>
      </c>
      <c r="BO32" s="460">
        <v>0</v>
      </c>
      <c r="BP32" s="460">
        <v>0</v>
      </c>
      <c r="BQ32" s="460">
        <v>0</v>
      </c>
      <c r="BR32" s="460">
        <v>0</v>
      </c>
      <c r="BS32" s="460">
        <v>0</v>
      </c>
      <c r="BT32" s="460">
        <v>0</v>
      </c>
      <c r="BU32" s="460">
        <v>0</v>
      </c>
      <c r="BV32" s="460">
        <v>0</v>
      </c>
      <c r="BW32" s="460">
        <v>0</v>
      </c>
      <c r="BX32" s="460">
        <v>0</v>
      </c>
      <c r="BY32" s="460">
        <v>0</v>
      </c>
      <c r="BZ32" s="460">
        <v>0</v>
      </c>
      <c r="CA32" s="460" t="e">
        <v>#N/A</v>
      </c>
      <c r="CB32" s="460" t="e">
        <v>#N/A</v>
      </c>
      <c r="CC32" s="460" t="e">
        <v>#N/A</v>
      </c>
    </row>
    <row r="33" spans="1:81" ht="12.75" customHeight="1">
      <c r="A33" s="105">
        <v>28</v>
      </c>
      <c r="B33" s="458" t="str">
        <v>18M-24M</v>
      </c>
      <c r="C33" s="465">
        <f>'eur disaggregated'!W44</f>
        <v>-19.037912969602985</v>
      </c>
      <c r="D33" s="111" t="str">
        <f t="shared" si="3"/>
        <v>6M</v>
      </c>
      <c r="E33" s="441">
        <f t="shared" si="4"/>
        <v>43242</v>
      </c>
      <c r="F33" s="441">
        <f>IF(AND(NOT(ISNA(MATCH(RIGHT(B33,2),$I$6:$I$67,0))),LEN(B33)&lt;6,RIGHT(B33,1)="M"),INDEX($K$6:$K$67,MATCH(RIGHT(B33,2),$I$6:$I$67,0)),IF(AND(NOT(ISNA(MATCH((IF(RIGHT(B33,3)="24M","2Y",IF(RIGHT(B33,3)="12M", "1Y", RIGHT(B33,3)))),$I$6:$I$67,0))),LEN(B33)&gt;=6,RIGHT(B33,1)="M"),INDEX($K$6:$K$67,MATCH((IF(RIGHT(B33,3)="24M","2Y",IF(RIGHT(B33,3)="12M", "1Y", RIGHT(B33,3)))),$I$6:$I$67,0)),_xll.qlCalendarAdvance(Calendar,E33,D33)))</f>
        <v>43426</v>
      </c>
      <c r="G33" s="462">
        <f t="shared" si="2"/>
        <v>-4.2999999999999999E-4</v>
      </c>
      <c r="H33" s="453">
        <v>-4.2999999999999997E-2</v>
      </c>
      <c r="I33" s="107" t="str">
        <v>22M</v>
      </c>
      <c r="J33" s="106" t="str">
        <f>IF(LEN(I33)&gt;0,IF((MID(I33,4,1)=" "),#REF!,IF((LEN(I33)=8),DATE("20" &amp; RIGHT(I33,2),MID(I33,4,2),LEFT(I33,2)),SimplifyTenor(I33))),"")</f>
        <v>22M</v>
      </c>
      <c r="K33" s="448">
        <f>_xll.qlCalendarAdvance("TARGET",SettlementDate,J33)</f>
        <v>43367</v>
      </c>
      <c r="M33" s="99" t="str">
        <v>22M</v>
      </c>
      <c r="N33" s="465">
        <v>-1043.1530819435654</v>
      </c>
      <c r="P33" s="106" t="b">
        <f t="shared" si="0"/>
        <v>0</v>
      </c>
      <c r="Q33" s="460">
        <f t="array" ref="Q33:CC33">C33*ForwardToZero(OisBuckets,E33,F33,G33)</f>
        <v>0</v>
      </c>
      <c r="R33" s="460">
        <v>0</v>
      </c>
      <c r="S33" s="460">
        <v>0</v>
      </c>
      <c r="T33" s="460">
        <v>0</v>
      </c>
      <c r="U33" s="460">
        <v>0</v>
      </c>
      <c r="V33" s="460">
        <v>0</v>
      </c>
      <c r="W33" s="460">
        <v>0</v>
      </c>
      <c r="X33" s="460">
        <v>0</v>
      </c>
      <c r="Y33" s="460">
        <v>0</v>
      </c>
      <c r="Z33" s="460">
        <v>0</v>
      </c>
      <c r="AA33" s="460">
        <v>0</v>
      </c>
      <c r="AB33" s="460">
        <v>0</v>
      </c>
      <c r="AC33" s="460">
        <v>0</v>
      </c>
      <c r="AD33" s="460">
        <v>0</v>
      </c>
      <c r="AE33" s="460">
        <v>0</v>
      </c>
      <c r="AF33" s="460">
        <v>0</v>
      </c>
      <c r="AG33" s="460">
        <v>0</v>
      </c>
      <c r="AH33" s="460">
        <v>0</v>
      </c>
      <c r="AI33" s="460">
        <v>0</v>
      </c>
      <c r="AJ33" s="460">
        <v>0</v>
      </c>
      <c r="AK33" s="460">
        <v>0</v>
      </c>
      <c r="AL33" s="460">
        <v>0</v>
      </c>
      <c r="AM33" s="460">
        <v>0</v>
      </c>
      <c r="AN33" s="460">
        <v>56.906805072182841</v>
      </c>
      <c r="AO33" s="460">
        <v>0</v>
      </c>
      <c r="AP33" s="460">
        <v>0</v>
      </c>
      <c r="AQ33" s="460">
        <v>0</v>
      </c>
      <c r="AR33" s="460">
        <v>0</v>
      </c>
      <c r="AS33" s="460">
        <v>0</v>
      </c>
      <c r="AT33" s="460">
        <v>-75.944718041785819</v>
      </c>
      <c r="AU33" s="460">
        <v>0</v>
      </c>
      <c r="AV33" s="460">
        <v>0</v>
      </c>
      <c r="AW33" s="460">
        <v>0</v>
      </c>
      <c r="AX33" s="460">
        <v>0</v>
      </c>
      <c r="AY33" s="460">
        <v>0</v>
      </c>
      <c r="AZ33" s="460">
        <v>0</v>
      </c>
      <c r="BA33" s="460">
        <v>0</v>
      </c>
      <c r="BB33" s="460">
        <v>0</v>
      </c>
      <c r="BC33" s="460">
        <v>0</v>
      </c>
      <c r="BD33" s="460">
        <v>0</v>
      </c>
      <c r="BE33" s="460">
        <v>0</v>
      </c>
      <c r="BF33" s="460">
        <v>0</v>
      </c>
      <c r="BG33" s="460">
        <v>0</v>
      </c>
      <c r="BH33" s="460">
        <v>0</v>
      </c>
      <c r="BI33" s="460">
        <v>0</v>
      </c>
      <c r="BJ33" s="460">
        <v>0</v>
      </c>
      <c r="BK33" s="460">
        <v>0</v>
      </c>
      <c r="BL33" s="460">
        <v>0</v>
      </c>
      <c r="BM33" s="460">
        <v>0</v>
      </c>
      <c r="BN33" s="460">
        <v>0</v>
      </c>
      <c r="BO33" s="460">
        <v>0</v>
      </c>
      <c r="BP33" s="460">
        <v>0</v>
      </c>
      <c r="BQ33" s="460">
        <v>0</v>
      </c>
      <c r="BR33" s="460">
        <v>0</v>
      </c>
      <c r="BS33" s="460">
        <v>0</v>
      </c>
      <c r="BT33" s="460">
        <v>0</v>
      </c>
      <c r="BU33" s="460">
        <v>0</v>
      </c>
      <c r="BV33" s="460">
        <v>0</v>
      </c>
      <c r="BW33" s="460">
        <v>0</v>
      </c>
      <c r="BX33" s="460">
        <v>0</v>
      </c>
      <c r="BY33" s="460">
        <v>0</v>
      </c>
      <c r="BZ33" s="460">
        <v>0</v>
      </c>
      <c r="CA33" s="460" t="e">
        <v>#N/A</v>
      </c>
      <c r="CB33" s="460" t="e">
        <v>#N/A</v>
      </c>
      <c r="CC33" s="460" t="e">
        <v>#N/A</v>
      </c>
    </row>
    <row r="34" spans="1:81" ht="12.75" customHeight="1">
      <c r="A34" s="105">
        <v>29</v>
      </c>
      <c r="B34" s="458" t="str">
        <v>24M-30M</v>
      </c>
      <c r="C34" s="465">
        <f>'eur disaggregated'!W45</f>
        <v>2090.1999321083254</v>
      </c>
      <c r="D34" s="111" t="str">
        <f t="shared" si="3"/>
        <v>6M</v>
      </c>
      <c r="E34" s="441">
        <f>IF(LEN(B34)&lt;4,$C$1, F33)</f>
        <v>43426</v>
      </c>
      <c r="F34" s="441">
        <f>IF(AND(NOT(ISNA(MATCH(RIGHT(B34,2),$I$6:$I$67,0))),LEN(B34)&lt;6,RIGHT(B34,1)="M"),INDEX($K$6:$K$67,MATCH(RIGHT(B34,2),$I$6:$I$67,0)),IF(AND(NOT(ISNA(MATCH((IF(RIGHT(B34,3)="24M","2Y",IF(RIGHT(B34,3)="12M", "1Y", RIGHT(B34,3)))),$I$6:$I$67,0))),LEN(B34)&gt;=6,RIGHT(B34,1)="M"),INDEX($K$6:$K$67,MATCH((IF(RIGHT(B34,3)="24M","2Y",IF(RIGHT(B34,3)="12M", "1Y", RIGHT(B34,3)))),$I$6:$I$67,0)),_xll.qlCalendarAdvance(Calendar,E34,D34)))</f>
        <v>43607</v>
      </c>
      <c r="G34" s="462">
        <f t="shared" si="2"/>
        <v>3.2045966000000001E-4</v>
      </c>
      <c r="H34" s="453">
        <v>3.2045966000000002E-2</v>
      </c>
      <c r="I34" s="107" t="str">
        <v>23M</v>
      </c>
      <c r="J34" s="106" t="str">
        <f>IF(LEN(I34)&gt;0,IF((MID(I34,4,1)=" "),#REF!,IF((LEN(I34)=8),DATE("20" &amp; RIGHT(I34,2),MID(I34,4,2),LEFT(I34,2)),SimplifyTenor(I34))),"")</f>
        <v>23M</v>
      </c>
      <c r="K34" s="448">
        <f>_xll.qlCalendarAdvance("TARGET",SettlementDate,J34)</f>
        <v>43395</v>
      </c>
      <c r="M34" s="99" t="str">
        <v>23M</v>
      </c>
      <c r="N34" s="465">
        <v>485.11808839532864</v>
      </c>
      <c r="P34" s="106" t="b">
        <f t="shared" si="0"/>
        <v>0</v>
      </c>
      <c r="Q34" s="460">
        <f t="array" ref="Q34:CC34">C34*ForwardToZero(OisBuckets,E34,F34,G34)</f>
        <v>0</v>
      </c>
      <c r="R34" s="460">
        <v>0</v>
      </c>
      <c r="S34" s="460">
        <v>0</v>
      </c>
      <c r="T34" s="460">
        <v>0</v>
      </c>
      <c r="U34" s="460">
        <v>0</v>
      </c>
      <c r="V34" s="460">
        <v>0</v>
      </c>
      <c r="W34" s="460">
        <v>0</v>
      </c>
      <c r="X34" s="460">
        <v>0</v>
      </c>
      <c r="Y34" s="460">
        <v>0</v>
      </c>
      <c r="Z34" s="460">
        <v>0</v>
      </c>
      <c r="AA34" s="460">
        <v>0</v>
      </c>
      <c r="AB34" s="460">
        <v>0</v>
      </c>
      <c r="AC34" s="460">
        <v>0</v>
      </c>
      <c r="AD34" s="460">
        <v>0</v>
      </c>
      <c r="AE34" s="460">
        <v>0</v>
      </c>
      <c r="AF34" s="460">
        <v>0</v>
      </c>
      <c r="AG34" s="460">
        <v>0</v>
      </c>
      <c r="AH34" s="460">
        <v>0</v>
      </c>
      <c r="AI34" s="460">
        <v>0</v>
      </c>
      <c r="AJ34" s="460">
        <v>0</v>
      </c>
      <c r="AK34" s="460">
        <v>0</v>
      </c>
      <c r="AL34" s="460">
        <v>0</v>
      </c>
      <c r="AM34" s="460">
        <v>0</v>
      </c>
      <c r="AN34" s="460">
        <v>0</v>
      </c>
      <c r="AO34" s="460">
        <v>0</v>
      </c>
      <c r="AP34" s="460">
        <v>0</v>
      </c>
      <c r="AQ34" s="460">
        <v>0</v>
      </c>
      <c r="AR34" s="460">
        <v>0</v>
      </c>
      <c r="AS34" s="460">
        <v>0</v>
      </c>
      <c r="AT34" s="460">
        <v>2090.1999321083254</v>
      </c>
      <c r="AU34" s="460">
        <v>0</v>
      </c>
      <c r="AV34" s="460">
        <v>0</v>
      </c>
      <c r="AW34" s="460">
        <v>0</v>
      </c>
      <c r="AX34" s="460">
        <v>0</v>
      </c>
      <c r="AY34" s="460">
        <v>0</v>
      </c>
      <c r="AZ34" s="460">
        <v>0</v>
      </c>
      <c r="BA34" s="460">
        <v>0</v>
      </c>
      <c r="BB34" s="460">
        <v>0</v>
      </c>
      <c r="BC34" s="460">
        <v>0</v>
      </c>
      <c r="BD34" s="460">
        <v>0</v>
      </c>
      <c r="BE34" s="460">
        <v>0</v>
      </c>
      <c r="BF34" s="460">
        <v>0</v>
      </c>
      <c r="BG34" s="460">
        <v>0</v>
      </c>
      <c r="BH34" s="460">
        <v>0</v>
      </c>
      <c r="BI34" s="460">
        <v>0</v>
      </c>
      <c r="BJ34" s="460">
        <v>0</v>
      </c>
      <c r="BK34" s="460">
        <v>0</v>
      </c>
      <c r="BL34" s="460">
        <v>0</v>
      </c>
      <c r="BM34" s="460">
        <v>0</v>
      </c>
      <c r="BN34" s="460">
        <v>0</v>
      </c>
      <c r="BO34" s="460">
        <v>0</v>
      </c>
      <c r="BP34" s="460">
        <v>0</v>
      </c>
      <c r="BQ34" s="460">
        <v>0</v>
      </c>
      <c r="BR34" s="460">
        <v>0</v>
      </c>
      <c r="BS34" s="460">
        <v>0</v>
      </c>
      <c r="BT34" s="460">
        <v>0</v>
      </c>
      <c r="BU34" s="460">
        <v>0</v>
      </c>
      <c r="BV34" s="460">
        <v>0</v>
      </c>
      <c r="BW34" s="460">
        <v>0</v>
      </c>
      <c r="BX34" s="460">
        <v>0</v>
      </c>
      <c r="BY34" s="460">
        <v>0</v>
      </c>
      <c r="BZ34" s="460">
        <v>0</v>
      </c>
      <c r="CA34" s="460" t="e">
        <v>#N/A</v>
      </c>
      <c r="CB34" s="460" t="e">
        <v>#N/A</v>
      </c>
      <c r="CC34" s="460" t="e">
        <v>#N/A</v>
      </c>
    </row>
    <row r="35" spans="1:81" ht="12.75" customHeight="1">
      <c r="A35" s="105">
        <v>30</v>
      </c>
      <c r="B35" s="458" t="str">
        <v>3Y</v>
      </c>
      <c r="C35" s="465">
        <f>'eur disaggregated'!W46</f>
        <v>1533.9326027819013</v>
      </c>
      <c r="D35" s="111" t="str">
        <f>IF(LEN(B35)&gt;3, "6M",IF(LEN(B35)&gt;0,SimplifyTenor(B35),""))</f>
        <v>36M</v>
      </c>
      <c r="E35" s="441">
        <f t="shared" ref="E35:E74" si="5">IF(LEN(B35)&lt;4,$C$1, "--")</f>
        <v>42696</v>
      </c>
      <c r="F35" s="441">
        <f>IF(AND(NOT(ISNA(MATCH(RIGHT(B35,2),$I$6:$I$67,0))),LEN(B35)&lt;6,RIGHT(B35,1)="M"),INDEX($K$6:$K$67,MATCH(RIGHT(B35,2),$I$6:$I$67,0)),IF(AND(NOT(ISNA(MATCH((IF(RIGHT(B35,3)="24M","2Y",IF(RIGHT(B35,3)="12M", "1Y", RIGHT(B35,3)))),$I$6:$I$67,0))),LEN(B35)&gt;=6,RIGHT(B35,1)="M"),INDEX($K$6:$K$67,MATCH((IF(RIGHT(B35,3)="24M","2Y",IF(RIGHT(B35,3)="12M", "1Y", RIGHT(B35,3)))),$I$6:$I$67,0)),_xll.qlCalendarAdvance(Calendar,E35,D35)))</f>
        <v>43791</v>
      </c>
      <c r="G35" s="462">
        <f t="shared" si="2"/>
        <v>-6.0999999999999997E-4</v>
      </c>
      <c r="H35" s="453">
        <v>-6.0999999999999999E-2</v>
      </c>
      <c r="I35" s="107" t="str">
        <v>2Y</v>
      </c>
      <c r="J35" s="106" t="str">
        <f>IF(LEN(I35)&gt;0,IF((MID(I35,4,1)=" "),#REF!,IF((LEN(I35)=8),DATE("20" &amp; RIGHT(I35,2),MID(I35,4,2),LEFT(I35,2)),SimplifyTenor(I35))),"")</f>
        <v>24M</v>
      </c>
      <c r="K35" s="448">
        <f>_xll.qlCalendarAdvance("TARGET",SettlementDate,J35)</f>
        <v>43426</v>
      </c>
      <c r="M35" s="99" t="str">
        <v>2Y</v>
      </c>
      <c r="N35" s="465">
        <v>2014.2552140665396</v>
      </c>
      <c r="P35" s="106" t="b">
        <f t="shared" si="0"/>
        <v>0</v>
      </c>
      <c r="Q35" s="460">
        <f t="array" ref="Q35:CC35">C35*ForwardToZero(OisBuckets,E35,F35,G35)</f>
        <v>0</v>
      </c>
      <c r="R35" s="460">
        <v>0</v>
      </c>
      <c r="S35" s="460">
        <v>0</v>
      </c>
      <c r="T35" s="460">
        <v>0</v>
      </c>
      <c r="U35" s="460">
        <v>0</v>
      </c>
      <c r="V35" s="460">
        <v>0</v>
      </c>
      <c r="W35" s="460">
        <v>0</v>
      </c>
      <c r="X35" s="460">
        <v>0</v>
      </c>
      <c r="Y35" s="460">
        <v>0</v>
      </c>
      <c r="Z35" s="460">
        <v>0</v>
      </c>
      <c r="AA35" s="460">
        <v>0</v>
      </c>
      <c r="AB35" s="460">
        <v>0</v>
      </c>
      <c r="AC35" s="460">
        <v>0</v>
      </c>
      <c r="AD35" s="460">
        <v>0</v>
      </c>
      <c r="AE35" s="460">
        <v>0</v>
      </c>
      <c r="AF35" s="460">
        <v>0</v>
      </c>
      <c r="AG35" s="460">
        <v>0</v>
      </c>
      <c r="AH35" s="460">
        <v>0</v>
      </c>
      <c r="AI35" s="460">
        <v>0</v>
      </c>
      <c r="AJ35" s="460">
        <v>0</v>
      </c>
      <c r="AK35" s="460">
        <v>0</v>
      </c>
      <c r="AL35" s="460">
        <v>0</v>
      </c>
      <c r="AM35" s="460">
        <v>0</v>
      </c>
      <c r="AN35" s="460">
        <v>0</v>
      </c>
      <c r="AO35" s="460">
        <v>0</v>
      </c>
      <c r="AP35" s="460">
        <v>0</v>
      </c>
      <c r="AQ35" s="460">
        <v>0</v>
      </c>
      <c r="AR35" s="460">
        <v>0</v>
      </c>
      <c r="AS35" s="460">
        <v>0</v>
      </c>
      <c r="AT35" s="460">
        <v>0</v>
      </c>
      <c r="AU35" s="460">
        <v>1533.9326027819013</v>
      </c>
      <c r="AV35" s="460">
        <v>0</v>
      </c>
      <c r="AW35" s="460">
        <v>0</v>
      </c>
      <c r="AX35" s="460">
        <v>0</v>
      </c>
      <c r="AY35" s="460">
        <v>0</v>
      </c>
      <c r="AZ35" s="460">
        <v>0</v>
      </c>
      <c r="BA35" s="460">
        <v>0</v>
      </c>
      <c r="BB35" s="460">
        <v>0</v>
      </c>
      <c r="BC35" s="460">
        <v>0</v>
      </c>
      <c r="BD35" s="460">
        <v>0</v>
      </c>
      <c r="BE35" s="460">
        <v>0</v>
      </c>
      <c r="BF35" s="460">
        <v>0</v>
      </c>
      <c r="BG35" s="460">
        <v>0</v>
      </c>
      <c r="BH35" s="460">
        <v>0</v>
      </c>
      <c r="BI35" s="460">
        <v>0</v>
      </c>
      <c r="BJ35" s="460">
        <v>0</v>
      </c>
      <c r="BK35" s="460">
        <v>0</v>
      </c>
      <c r="BL35" s="460">
        <v>0</v>
      </c>
      <c r="BM35" s="460">
        <v>0</v>
      </c>
      <c r="BN35" s="460">
        <v>0</v>
      </c>
      <c r="BO35" s="460">
        <v>0</v>
      </c>
      <c r="BP35" s="460">
        <v>0</v>
      </c>
      <c r="BQ35" s="460">
        <v>0</v>
      </c>
      <c r="BR35" s="460">
        <v>0</v>
      </c>
      <c r="BS35" s="460">
        <v>0</v>
      </c>
      <c r="BT35" s="460">
        <v>0</v>
      </c>
      <c r="BU35" s="460">
        <v>0</v>
      </c>
      <c r="BV35" s="460">
        <v>0</v>
      </c>
      <c r="BW35" s="460">
        <v>0</v>
      </c>
      <c r="BX35" s="460">
        <v>0</v>
      </c>
      <c r="BY35" s="460">
        <v>0</v>
      </c>
      <c r="BZ35" s="460">
        <v>0</v>
      </c>
      <c r="CA35" s="460" t="e">
        <v>#N/A</v>
      </c>
      <c r="CB35" s="460" t="e">
        <v>#N/A</v>
      </c>
      <c r="CC35" s="460" t="e">
        <v>#N/A</v>
      </c>
    </row>
    <row r="36" spans="1:81" ht="12.75" customHeight="1">
      <c r="A36" s="105">
        <v>31</v>
      </c>
      <c r="B36" s="458" t="str">
        <v>4Y</v>
      </c>
      <c r="C36" s="465">
        <f>'eur disaggregated'!W47</f>
        <v>-695.39602641856004</v>
      </c>
      <c r="D36" s="111" t="str">
        <f t="shared" ref="D36:D74" si="6">IF(LEN(B36)&gt;3, "6M",IF(LEN(B36)&gt;0,SimplifyTenor(B36),""))</f>
        <v>48M</v>
      </c>
      <c r="E36" s="441">
        <f t="shared" si="5"/>
        <v>42696</v>
      </c>
      <c r="F36" s="441">
        <f>IF(AND(NOT(ISNA(MATCH(RIGHT(B36,2),$I$6:$I$67,0))),LEN(B36)&lt;6,RIGHT(B36,1)="M"),INDEX($K$6:$K$67,MATCH(RIGHT(B36,2),$I$6:$I$67,0)),IF(AND(NOT(ISNA(MATCH((IF(RIGHT(B36,3)="24M","2Y",IF(RIGHT(B36,3)="12M", "1Y", RIGHT(B36,3)))),$I$6:$I$67,0))),LEN(B36)&gt;=6,RIGHT(B36,1)="M"),INDEX($K$6:$K$67,MATCH((IF(RIGHT(B36,3)="24M","2Y",IF(RIGHT(B36,3)="12M", "1Y", RIGHT(B36,3)))),$I$6:$I$67,0)),_xll.qlCalendarAdvance(Calendar,E36,D36)))</f>
        <v>44158</v>
      </c>
      <c r="G36" s="462">
        <f t="shared" si="2"/>
        <v>2.8000000000000003E-4</v>
      </c>
      <c r="H36" s="453">
        <v>2.8000000000000001E-2</v>
      </c>
      <c r="I36" s="107" t="str">
        <v>3Y</v>
      </c>
      <c r="J36" s="106" t="str">
        <f>IF(LEN(I36)&gt;0,IF((MID(I36,4,1)=" "),#REF!,IF((LEN(I36)=8),DATE("20" &amp; RIGHT(I36,2),MID(I36,4,2),LEFT(I36,2)),SimplifyTenor(I36))),"")</f>
        <v>36M</v>
      </c>
      <c r="K36" s="448">
        <f>_xll.qlCalendarAdvance("TARGET",SettlementDate,J36)</f>
        <v>43791</v>
      </c>
      <c r="M36" s="99" t="str">
        <v>3Y</v>
      </c>
      <c r="N36" s="465">
        <v>1533.9326027819013</v>
      </c>
      <c r="P36" s="106" t="b">
        <f t="shared" si="0"/>
        <v>0</v>
      </c>
      <c r="Q36" s="460">
        <f t="array" ref="Q36:CC36">C36*ForwardToZero(OisBuckets,E36,F36,G36)</f>
        <v>0</v>
      </c>
      <c r="R36" s="460">
        <v>0</v>
      </c>
      <c r="S36" s="460">
        <v>0</v>
      </c>
      <c r="T36" s="460">
        <v>0</v>
      </c>
      <c r="U36" s="460">
        <v>0</v>
      </c>
      <c r="V36" s="460">
        <v>0</v>
      </c>
      <c r="W36" s="460">
        <v>0</v>
      </c>
      <c r="X36" s="460">
        <v>0</v>
      </c>
      <c r="Y36" s="460">
        <v>0</v>
      </c>
      <c r="Z36" s="460">
        <v>0</v>
      </c>
      <c r="AA36" s="460">
        <v>0</v>
      </c>
      <c r="AB36" s="460">
        <v>0</v>
      </c>
      <c r="AC36" s="460">
        <v>0</v>
      </c>
      <c r="AD36" s="460">
        <v>0</v>
      </c>
      <c r="AE36" s="460">
        <v>0</v>
      </c>
      <c r="AF36" s="460">
        <v>0</v>
      </c>
      <c r="AG36" s="460">
        <v>0</v>
      </c>
      <c r="AH36" s="460">
        <v>0</v>
      </c>
      <c r="AI36" s="460">
        <v>0</v>
      </c>
      <c r="AJ36" s="460">
        <v>0</v>
      </c>
      <c r="AK36" s="460">
        <v>0</v>
      </c>
      <c r="AL36" s="460">
        <v>0</v>
      </c>
      <c r="AM36" s="460">
        <v>0</v>
      </c>
      <c r="AN36" s="460">
        <v>0</v>
      </c>
      <c r="AO36" s="460">
        <v>0</v>
      </c>
      <c r="AP36" s="460">
        <v>0</v>
      </c>
      <c r="AQ36" s="460">
        <v>0</v>
      </c>
      <c r="AR36" s="460">
        <v>0</v>
      </c>
      <c r="AS36" s="460">
        <v>0</v>
      </c>
      <c r="AT36" s="460">
        <v>0</v>
      </c>
      <c r="AU36" s="460">
        <v>0</v>
      </c>
      <c r="AV36" s="460">
        <v>-695.39602641856004</v>
      </c>
      <c r="AW36" s="460">
        <v>0</v>
      </c>
      <c r="AX36" s="460">
        <v>0</v>
      </c>
      <c r="AY36" s="460">
        <v>0</v>
      </c>
      <c r="AZ36" s="460">
        <v>0</v>
      </c>
      <c r="BA36" s="460">
        <v>0</v>
      </c>
      <c r="BB36" s="460">
        <v>0</v>
      </c>
      <c r="BC36" s="460">
        <v>0</v>
      </c>
      <c r="BD36" s="460">
        <v>0</v>
      </c>
      <c r="BE36" s="460">
        <v>0</v>
      </c>
      <c r="BF36" s="460">
        <v>0</v>
      </c>
      <c r="BG36" s="460">
        <v>0</v>
      </c>
      <c r="BH36" s="460">
        <v>0</v>
      </c>
      <c r="BI36" s="460">
        <v>0</v>
      </c>
      <c r="BJ36" s="460">
        <v>0</v>
      </c>
      <c r="BK36" s="460">
        <v>0</v>
      </c>
      <c r="BL36" s="460">
        <v>0</v>
      </c>
      <c r="BM36" s="460">
        <v>0</v>
      </c>
      <c r="BN36" s="460">
        <v>0</v>
      </c>
      <c r="BO36" s="460">
        <v>0</v>
      </c>
      <c r="BP36" s="460">
        <v>0</v>
      </c>
      <c r="BQ36" s="460">
        <v>0</v>
      </c>
      <c r="BR36" s="460">
        <v>0</v>
      </c>
      <c r="BS36" s="460">
        <v>0</v>
      </c>
      <c r="BT36" s="460">
        <v>0</v>
      </c>
      <c r="BU36" s="460">
        <v>0</v>
      </c>
      <c r="BV36" s="460">
        <v>0</v>
      </c>
      <c r="BW36" s="460">
        <v>0</v>
      </c>
      <c r="BX36" s="460">
        <v>0</v>
      </c>
      <c r="BY36" s="460">
        <v>0</v>
      </c>
      <c r="BZ36" s="460">
        <v>0</v>
      </c>
      <c r="CA36" s="460" t="e">
        <v>#N/A</v>
      </c>
      <c r="CB36" s="460" t="e">
        <v>#N/A</v>
      </c>
      <c r="CC36" s="460" t="e">
        <v>#N/A</v>
      </c>
    </row>
    <row r="37" spans="1:81" ht="12.75" customHeight="1">
      <c r="A37" s="105">
        <v>32</v>
      </c>
      <c r="B37" s="458" t="str">
        <v>5Y</v>
      </c>
      <c r="C37" s="465">
        <f>'eur disaggregated'!W48</f>
        <v>-2119.1114548274841</v>
      </c>
      <c r="D37" s="111" t="str">
        <f t="shared" si="6"/>
        <v>60M</v>
      </c>
      <c r="E37" s="441">
        <f t="shared" si="5"/>
        <v>42696</v>
      </c>
      <c r="F37" s="441">
        <f>IF(AND(NOT(ISNA(MATCH(RIGHT(B37,2),$I$6:$I$67,0))),LEN(B37)&lt;6,RIGHT(B37,1)="M"),INDEX($K$6:$K$67,MATCH(RIGHT(B37,2),$I$6:$I$67,0)),IF(AND(NOT(ISNA(MATCH((IF(RIGHT(B37,3)="24M","2Y",IF(RIGHT(B37,3)="12M", "1Y", RIGHT(B37,3)))),$I$6:$I$67,0))),LEN(B37)&gt;=6,RIGHT(B37,1)="M"),INDEX($K$6:$K$67,MATCH((IF(RIGHT(B37,3)="24M","2Y",IF(RIGHT(B37,3)="12M", "1Y", RIGHT(B37,3)))),$I$6:$I$67,0)),_xll.qlCalendarAdvance(Calendar,E37,D37)))</f>
        <v>44522</v>
      </c>
      <c r="G37" s="462">
        <f t="shared" si="2"/>
        <v>1.32E-3</v>
      </c>
      <c r="H37" s="453">
        <v>0.13200000000000001</v>
      </c>
      <c r="I37" s="107" t="str">
        <v>4Y</v>
      </c>
      <c r="J37" s="106" t="str">
        <f>IF(LEN(I37)&gt;0,IF((MID(I37,4,1)=" "),#REF!,IF((LEN(I37)=8),DATE("20" &amp; RIGHT(I37,2),MID(I37,4,2),LEFT(I37,2)),SimplifyTenor(I37))),"")</f>
        <v>48M</v>
      </c>
      <c r="K37" s="448">
        <f>_xll.qlCalendarAdvance("TARGET",SettlementDate,J37)</f>
        <v>44158</v>
      </c>
      <c r="M37" s="99" t="str">
        <v>4Y</v>
      </c>
      <c r="N37" s="465">
        <v>-695.39602641856004</v>
      </c>
      <c r="P37" s="106" t="b">
        <f t="shared" si="0"/>
        <v>0</v>
      </c>
      <c r="Q37" s="460">
        <f t="array" ref="Q37:CC37">C37*ForwardToZero(OisBuckets,E37,F37,G37)</f>
        <v>0</v>
      </c>
      <c r="R37" s="460">
        <v>0</v>
      </c>
      <c r="S37" s="460">
        <v>0</v>
      </c>
      <c r="T37" s="460">
        <v>0</v>
      </c>
      <c r="U37" s="460">
        <v>0</v>
      </c>
      <c r="V37" s="460">
        <v>0</v>
      </c>
      <c r="W37" s="460">
        <v>0</v>
      </c>
      <c r="X37" s="460">
        <v>0</v>
      </c>
      <c r="Y37" s="460">
        <v>0</v>
      </c>
      <c r="Z37" s="460">
        <v>0</v>
      </c>
      <c r="AA37" s="460">
        <v>0</v>
      </c>
      <c r="AB37" s="460">
        <v>0</v>
      </c>
      <c r="AC37" s="460">
        <v>0</v>
      </c>
      <c r="AD37" s="460">
        <v>0</v>
      </c>
      <c r="AE37" s="460">
        <v>0</v>
      </c>
      <c r="AF37" s="460">
        <v>0</v>
      </c>
      <c r="AG37" s="460">
        <v>0</v>
      </c>
      <c r="AH37" s="460">
        <v>0</v>
      </c>
      <c r="AI37" s="460">
        <v>0</v>
      </c>
      <c r="AJ37" s="460">
        <v>0</v>
      </c>
      <c r="AK37" s="460">
        <v>0</v>
      </c>
      <c r="AL37" s="460">
        <v>0</v>
      </c>
      <c r="AM37" s="460">
        <v>0</v>
      </c>
      <c r="AN37" s="460">
        <v>0</v>
      </c>
      <c r="AO37" s="460">
        <v>0</v>
      </c>
      <c r="AP37" s="460">
        <v>0</v>
      </c>
      <c r="AQ37" s="460">
        <v>0</v>
      </c>
      <c r="AR37" s="460">
        <v>0</v>
      </c>
      <c r="AS37" s="460">
        <v>0</v>
      </c>
      <c r="AT37" s="460">
        <v>0</v>
      </c>
      <c r="AU37" s="460">
        <v>0</v>
      </c>
      <c r="AV37" s="460">
        <v>0</v>
      </c>
      <c r="AW37" s="460">
        <v>-2119.1114548274841</v>
      </c>
      <c r="AX37" s="460">
        <v>0</v>
      </c>
      <c r="AY37" s="460">
        <v>0</v>
      </c>
      <c r="AZ37" s="460">
        <v>0</v>
      </c>
      <c r="BA37" s="460">
        <v>0</v>
      </c>
      <c r="BB37" s="460">
        <v>0</v>
      </c>
      <c r="BC37" s="460">
        <v>0</v>
      </c>
      <c r="BD37" s="460">
        <v>0</v>
      </c>
      <c r="BE37" s="460">
        <v>0</v>
      </c>
      <c r="BF37" s="460">
        <v>0</v>
      </c>
      <c r="BG37" s="460">
        <v>0</v>
      </c>
      <c r="BH37" s="460">
        <v>0</v>
      </c>
      <c r="BI37" s="460">
        <v>0</v>
      </c>
      <c r="BJ37" s="460">
        <v>0</v>
      </c>
      <c r="BK37" s="460">
        <v>0</v>
      </c>
      <c r="BL37" s="460">
        <v>0</v>
      </c>
      <c r="BM37" s="460">
        <v>0</v>
      </c>
      <c r="BN37" s="460">
        <v>0</v>
      </c>
      <c r="BO37" s="460">
        <v>0</v>
      </c>
      <c r="BP37" s="460">
        <v>0</v>
      </c>
      <c r="BQ37" s="460">
        <v>0</v>
      </c>
      <c r="BR37" s="460">
        <v>0</v>
      </c>
      <c r="BS37" s="460">
        <v>0</v>
      </c>
      <c r="BT37" s="460">
        <v>0</v>
      </c>
      <c r="BU37" s="460">
        <v>0</v>
      </c>
      <c r="BV37" s="460">
        <v>0</v>
      </c>
      <c r="BW37" s="460">
        <v>0</v>
      </c>
      <c r="BX37" s="460">
        <v>0</v>
      </c>
      <c r="BY37" s="460">
        <v>0</v>
      </c>
      <c r="BZ37" s="460">
        <v>0</v>
      </c>
      <c r="CA37" s="460" t="e">
        <v>#N/A</v>
      </c>
      <c r="CB37" s="460" t="e">
        <v>#N/A</v>
      </c>
      <c r="CC37" s="460" t="e">
        <v>#N/A</v>
      </c>
    </row>
    <row r="38" spans="1:81" ht="12.75" customHeight="1">
      <c r="A38" s="105">
        <v>33</v>
      </c>
      <c r="B38" s="458" t="str">
        <v>6Y</v>
      </c>
      <c r="C38" s="465">
        <f>'eur disaggregated'!W49</f>
        <v>-9327.664475420328</v>
      </c>
      <c r="D38" s="111" t="str">
        <f t="shared" si="6"/>
        <v>72M</v>
      </c>
      <c r="E38" s="441">
        <f t="shared" si="5"/>
        <v>42696</v>
      </c>
      <c r="F38" s="441">
        <f>IF(AND(NOT(ISNA(MATCH(RIGHT(B38,2),$I$6:$I$67,0))),LEN(B38)&lt;6,RIGHT(B38,1)="M"),INDEX($K$6:$K$67,MATCH(RIGHT(B38,2),$I$6:$I$67,0)),IF(AND(NOT(ISNA(MATCH((IF(RIGHT(B38,3)="24M","2Y",IF(RIGHT(B38,3)="12M", "1Y", RIGHT(B38,3)))),$I$6:$I$67,0))),LEN(B38)&gt;=6,RIGHT(B38,1)="M"),INDEX($K$6:$K$67,MATCH((IF(RIGHT(B38,3)="24M","2Y",IF(RIGHT(B38,3)="12M", "1Y", RIGHT(B38,3)))),$I$6:$I$67,0)),_xll.qlCalendarAdvance(Calendar,E38,D38)))</f>
        <v>44887</v>
      </c>
      <c r="G38" s="462">
        <f t="shared" si="2"/>
        <v>2.4199999999999998E-3</v>
      </c>
      <c r="H38" s="453">
        <v>0.24199999999999999</v>
      </c>
      <c r="I38" s="107" t="str">
        <v>5Y</v>
      </c>
      <c r="J38" s="106" t="str">
        <f>IF(LEN(I38)&gt;0,IF((MID(I38,4,1)=" "),#REF!,IF((LEN(I38)=8),DATE("20" &amp; RIGHT(I38,2),MID(I38,4,2),LEFT(I38,2)),SimplifyTenor(I38))),"")</f>
        <v>60M</v>
      </c>
      <c r="K38" s="448">
        <f>_xll.qlCalendarAdvance("TARGET",SettlementDate,J38)</f>
        <v>44522</v>
      </c>
      <c r="M38" s="99" t="str">
        <v>5Y</v>
      </c>
      <c r="N38" s="465">
        <v>-2119.1114548274841</v>
      </c>
      <c r="P38" s="106" t="b">
        <f t="shared" ref="P38:P70" si="7">MID(B38,4,1)=" "</f>
        <v>0</v>
      </c>
      <c r="Q38" s="460">
        <f t="array" ref="Q38:CC38">C38*ForwardToZero(OisBuckets,E38,F38,G38)</f>
        <v>0</v>
      </c>
      <c r="R38" s="460">
        <v>0</v>
      </c>
      <c r="S38" s="460">
        <v>0</v>
      </c>
      <c r="T38" s="460">
        <v>0</v>
      </c>
      <c r="U38" s="460">
        <v>0</v>
      </c>
      <c r="V38" s="460">
        <v>0</v>
      </c>
      <c r="W38" s="460">
        <v>0</v>
      </c>
      <c r="X38" s="460">
        <v>0</v>
      </c>
      <c r="Y38" s="460">
        <v>0</v>
      </c>
      <c r="Z38" s="460">
        <v>0</v>
      </c>
      <c r="AA38" s="460">
        <v>0</v>
      </c>
      <c r="AB38" s="460">
        <v>0</v>
      </c>
      <c r="AC38" s="460">
        <v>0</v>
      </c>
      <c r="AD38" s="460">
        <v>0</v>
      </c>
      <c r="AE38" s="460">
        <v>0</v>
      </c>
      <c r="AF38" s="460">
        <v>0</v>
      </c>
      <c r="AG38" s="460">
        <v>0</v>
      </c>
      <c r="AH38" s="460">
        <v>0</v>
      </c>
      <c r="AI38" s="460">
        <v>0</v>
      </c>
      <c r="AJ38" s="460">
        <v>0</v>
      </c>
      <c r="AK38" s="460">
        <v>0</v>
      </c>
      <c r="AL38" s="460">
        <v>0</v>
      </c>
      <c r="AM38" s="460">
        <v>0</v>
      </c>
      <c r="AN38" s="460">
        <v>0</v>
      </c>
      <c r="AO38" s="460">
        <v>0</v>
      </c>
      <c r="AP38" s="460">
        <v>0</v>
      </c>
      <c r="AQ38" s="460">
        <v>0</v>
      </c>
      <c r="AR38" s="460">
        <v>0</v>
      </c>
      <c r="AS38" s="460">
        <v>0</v>
      </c>
      <c r="AT38" s="460">
        <v>0</v>
      </c>
      <c r="AU38" s="460">
        <v>0</v>
      </c>
      <c r="AV38" s="460">
        <v>0</v>
      </c>
      <c r="AW38" s="460">
        <v>0</v>
      </c>
      <c r="AX38" s="460">
        <v>-9327.664475420328</v>
      </c>
      <c r="AY38" s="460">
        <v>0</v>
      </c>
      <c r="AZ38" s="460">
        <v>0</v>
      </c>
      <c r="BA38" s="460">
        <v>0</v>
      </c>
      <c r="BB38" s="460">
        <v>0</v>
      </c>
      <c r="BC38" s="460">
        <v>0</v>
      </c>
      <c r="BD38" s="460">
        <v>0</v>
      </c>
      <c r="BE38" s="460">
        <v>0</v>
      </c>
      <c r="BF38" s="460">
        <v>0</v>
      </c>
      <c r="BG38" s="460">
        <v>0</v>
      </c>
      <c r="BH38" s="460">
        <v>0</v>
      </c>
      <c r="BI38" s="460">
        <v>0</v>
      </c>
      <c r="BJ38" s="460">
        <v>0</v>
      </c>
      <c r="BK38" s="460">
        <v>0</v>
      </c>
      <c r="BL38" s="460">
        <v>0</v>
      </c>
      <c r="BM38" s="460">
        <v>0</v>
      </c>
      <c r="BN38" s="460">
        <v>0</v>
      </c>
      <c r="BO38" s="460">
        <v>0</v>
      </c>
      <c r="BP38" s="460">
        <v>0</v>
      </c>
      <c r="BQ38" s="460">
        <v>0</v>
      </c>
      <c r="BR38" s="460">
        <v>0</v>
      </c>
      <c r="BS38" s="460">
        <v>0</v>
      </c>
      <c r="BT38" s="460">
        <v>0</v>
      </c>
      <c r="BU38" s="460">
        <v>0</v>
      </c>
      <c r="BV38" s="460">
        <v>0</v>
      </c>
      <c r="BW38" s="460">
        <v>0</v>
      </c>
      <c r="BX38" s="460">
        <v>0</v>
      </c>
      <c r="BY38" s="460">
        <v>0</v>
      </c>
      <c r="BZ38" s="460">
        <v>0</v>
      </c>
      <c r="CA38" s="460" t="e">
        <v>#N/A</v>
      </c>
      <c r="CB38" s="460" t="e">
        <v>#N/A</v>
      </c>
      <c r="CC38" s="460" t="e">
        <v>#N/A</v>
      </c>
    </row>
    <row r="39" spans="1:81" ht="12.75" customHeight="1">
      <c r="A39" s="105">
        <v>34</v>
      </c>
      <c r="B39" s="458" t="str">
        <v>7Y</v>
      </c>
      <c r="C39" s="465">
        <f>'eur disaggregated'!W50</f>
        <v>11033.128719564129</v>
      </c>
      <c r="D39" s="111" t="str">
        <f t="shared" si="6"/>
        <v>84M</v>
      </c>
      <c r="E39" s="441">
        <f t="shared" si="5"/>
        <v>42696</v>
      </c>
      <c r="F39" s="441">
        <f>IF(AND(NOT(ISNA(MATCH(RIGHT(B39,2),$I$6:$I$67,0))),LEN(B39)&lt;6,RIGHT(B39,1)="M"),INDEX($K$6:$K$67,MATCH(RIGHT(B39,2),$I$6:$I$67,0)),IF(AND(NOT(ISNA(MATCH((IF(RIGHT(B39,3)="24M","2Y",IF(RIGHT(B39,3)="12M", "1Y", RIGHT(B39,3)))),$I$6:$I$67,0))),LEN(B39)&gt;=6,RIGHT(B39,1)="M"),INDEX($K$6:$K$67,MATCH((IF(RIGHT(B39,3)="24M","2Y",IF(RIGHT(B39,3)="12M", "1Y", RIGHT(B39,3)))),$I$6:$I$67,0)),_xll.qlCalendarAdvance(Calendar,E39,D39)))</f>
        <v>45252</v>
      </c>
      <c r="G39" s="462">
        <f t="shared" si="2"/>
        <v>3.5499999999999998E-3</v>
      </c>
      <c r="H39" s="453">
        <v>0.35499999999999998</v>
      </c>
      <c r="I39" s="107" t="str">
        <v>6Y</v>
      </c>
      <c r="J39" s="106" t="str">
        <f>IF(LEN(I39)&gt;0,IF((MID(I39,4,1)=" "),#REF!,IF((LEN(I39)=8),DATE("20" &amp; RIGHT(I39,2),MID(I39,4,2),LEFT(I39,2)),SimplifyTenor(I39))),"")</f>
        <v>72M</v>
      </c>
      <c r="K39" s="448">
        <f>_xll.qlCalendarAdvance("TARGET",SettlementDate,J39)</f>
        <v>44887</v>
      </c>
      <c r="M39" s="99" t="str">
        <v>6Y</v>
      </c>
      <c r="N39" s="465">
        <v>-9327.664475420328</v>
      </c>
      <c r="P39" s="106" t="b">
        <f t="shared" si="7"/>
        <v>0</v>
      </c>
      <c r="Q39" s="460">
        <f t="array" ref="Q39:CC39">C39*ForwardToZero(OisBuckets,E39,F39,G39)</f>
        <v>0</v>
      </c>
      <c r="R39" s="460">
        <v>0</v>
      </c>
      <c r="S39" s="460">
        <v>0</v>
      </c>
      <c r="T39" s="460">
        <v>0</v>
      </c>
      <c r="U39" s="460">
        <v>0</v>
      </c>
      <c r="V39" s="460">
        <v>0</v>
      </c>
      <c r="W39" s="460">
        <v>0</v>
      </c>
      <c r="X39" s="460">
        <v>0</v>
      </c>
      <c r="Y39" s="460">
        <v>0</v>
      </c>
      <c r="Z39" s="460">
        <v>0</v>
      </c>
      <c r="AA39" s="460">
        <v>0</v>
      </c>
      <c r="AB39" s="460">
        <v>0</v>
      </c>
      <c r="AC39" s="460">
        <v>0</v>
      </c>
      <c r="AD39" s="460">
        <v>0</v>
      </c>
      <c r="AE39" s="460">
        <v>0</v>
      </c>
      <c r="AF39" s="460">
        <v>0</v>
      </c>
      <c r="AG39" s="460">
        <v>0</v>
      </c>
      <c r="AH39" s="460">
        <v>0</v>
      </c>
      <c r="AI39" s="460">
        <v>0</v>
      </c>
      <c r="AJ39" s="460">
        <v>0</v>
      </c>
      <c r="AK39" s="460">
        <v>0</v>
      </c>
      <c r="AL39" s="460">
        <v>0</v>
      </c>
      <c r="AM39" s="460">
        <v>0</v>
      </c>
      <c r="AN39" s="460">
        <v>0</v>
      </c>
      <c r="AO39" s="460">
        <v>0</v>
      </c>
      <c r="AP39" s="460">
        <v>0</v>
      </c>
      <c r="AQ39" s="460">
        <v>0</v>
      </c>
      <c r="AR39" s="460">
        <v>0</v>
      </c>
      <c r="AS39" s="460">
        <v>0</v>
      </c>
      <c r="AT39" s="460">
        <v>0</v>
      </c>
      <c r="AU39" s="460">
        <v>0</v>
      </c>
      <c r="AV39" s="460">
        <v>0</v>
      </c>
      <c r="AW39" s="460">
        <v>0</v>
      </c>
      <c r="AX39" s="460">
        <v>0</v>
      </c>
      <c r="AY39" s="460">
        <v>11033.128719564129</v>
      </c>
      <c r="AZ39" s="460">
        <v>0</v>
      </c>
      <c r="BA39" s="460">
        <v>0</v>
      </c>
      <c r="BB39" s="460">
        <v>0</v>
      </c>
      <c r="BC39" s="460">
        <v>0</v>
      </c>
      <c r="BD39" s="460">
        <v>0</v>
      </c>
      <c r="BE39" s="460">
        <v>0</v>
      </c>
      <c r="BF39" s="460">
        <v>0</v>
      </c>
      <c r="BG39" s="460">
        <v>0</v>
      </c>
      <c r="BH39" s="460">
        <v>0</v>
      </c>
      <c r="BI39" s="460">
        <v>0</v>
      </c>
      <c r="BJ39" s="460">
        <v>0</v>
      </c>
      <c r="BK39" s="460">
        <v>0</v>
      </c>
      <c r="BL39" s="460">
        <v>0</v>
      </c>
      <c r="BM39" s="460">
        <v>0</v>
      </c>
      <c r="BN39" s="460">
        <v>0</v>
      </c>
      <c r="BO39" s="460">
        <v>0</v>
      </c>
      <c r="BP39" s="460">
        <v>0</v>
      </c>
      <c r="BQ39" s="460">
        <v>0</v>
      </c>
      <c r="BR39" s="460">
        <v>0</v>
      </c>
      <c r="BS39" s="460">
        <v>0</v>
      </c>
      <c r="BT39" s="460">
        <v>0</v>
      </c>
      <c r="BU39" s="460">
        <v>0</v>
      </c>
      <c r="BV39" s="460">
        <v>0</v>
      </c>
      <c r="BW39" s="460">
        <v>0</v>
      </c>
      <c r="BX39" s="460">
        <v>0</v>
      </c>
      <c r="BY39" s="460">
        <v>0</v>
      </c>
      <c r="BZ39" s="460">
        <v>0</v>
      </c>
      <c r="CA39" s="460" t="e">
        <v>#N/A</v>
      </c>
      <c r="CB39" s="460" t="e">
        <v>#N/A</v>
      </c>
      <c r="CC39" s="460" t="e">
        <v>#N/A</v>
      </c>
    </row>
    <row r="40" spans="1:81" ht="12.75" customHeight="1">
      <c r="A40" s="105">
        <v>35</v>
      </c>
      <c r="B40" s="458" t="str">
        <v>8Y</v>
      </c>
      <c r="C40" s="465">
        <f>'eur disaggregated'!W51</f>
        <v>-7650.3760629800763</v>
      </c>
      <c r="D40" s="111" t="str">
        <f t="shared" si="6"/>
        <v>96M</v>
      </c>
      <c r="E40" s="441">
        <f t="shared" si="5"/>
        <v>42696</v>
      </c>
      <c r="F40" s="441">
        <f>IF(AND(NOT(ISNA(MATCH(RIGHT(B40,2),$I$6:$I$67,0))),LEN(B40)&lt;6,RIGHT(B40,1)="M"),INDEX($K$6:$K$67,MATCH(RIGHT(B40,2),$I$6:$I$67,0)),IF(AND(NOT(ISNA(MATCH((IF(RIGHT(B40,3)="24M","2Y",IF(RIGHT(B40,3)="12M", "1Y", RIGHT(B40,3)))),$I$6:$I$67,0))),LEN(B40)&gt;=6,RIGHT(B40,1)="M"),INDEX($K$6:$K$67,MATCH((IF(RIGHT(B40,3)="24M","2Y",IF(RIGHT(B40,3)="12M", "1Y", RIGHT(B40,3)))),$I$6:$I$67,0)),_xll.qlCalendarAdvance(Calendar,E40,D40)))</f>
        <v>45618</v>
      </c>
      <c r="G40" s="462">
        <f t="shared" si="2"/>
        <v>4.6700000000000005E-3</v>
      </c>
      <c r="H40" s="453">
        <v>0.46700000000000003</v>
      </c>
      <c r="I40" s="107" t="str">
        <v>7Y</v>
      </c>
      <c r="J40" s="106" t="str">
        <f>IF(LEN(I40)&gt;0,IF((MID(I40,4,1)=" "),#REF!,IF((LEN(I40)=8),DATE("20" &amp; RIGHT(I40,2),MID(I40,4,2),LEFT(I40,2)),SimplifyTenor(I40))),"")</f>
        <v>84M</v>
      </c>
      <c r="K40" s="448">
        <f>_xll.qlCalendarAdvance("TARGET",SettlementDate,J40)</f>
        <v>45252</v>
      </c>
      <c r="M40" s="99" t="str">
        <v>7Y</v>
      </c>
      <c r="N40" s="465">
        <v>11033.128719564129</v>
      </c>
      <c r="P40" s="106" t="b">
        <f t="shared" si="7"/>
        <v>0</v>
      </c>
      <c r="Q40" s="460">
        <f t="array" ref="Q40:CC40">C40*ForwardToZero(OisBuckets,E40,F40,G40)</f>
        <v>0</v>
      </c>
      <c r="R40" s="460">
        <v>0</v>
      </c>
      <c r="S40" s="460">
        <v>0</v>
      </c>
      <c r="T40" s="460">
        <v>0</v>
      </c>
      <c r="U40" s="460">
        <v>0</v>
      </c>
      <c r="V40" s="460">
        <v>0</v>
      </c>
      <c r="W40" s="460">
        <v>0</v>
      </c>
      <c r="X40" s="460">
        <v>0</v>
      </c>
      <c r="Y40" s="460">
        <v>0</v>
      </c>
      <c r="Z40" s="460">
        <v>0</v>
      </c>
      <c r="AA40" s="460">
        <v>0</v>
      </c>
      <c r="AB40" s="460">
        <v>0</v>
      </c>
      <c r="AC40" s="460">
        <v>0</v>
      </c>
      <c r="AD40" s="460">
        <v>0</v>
      </c>
      <c r="AE40" s="460">
        <v>0</v>
      </c>
      <c r="AF40" s="460">
        <v>0</v>
      </c>
      <c r="AG40" s="460">
        <v>0</v>
      </c>
      <c r="AH40" s="460">
        <v>0</v>
      </c>
      <c r="AI40" s="460">
        <v>0</v>
      </c>
      <c r="AJ40" s="460">
        <v>0</v>
      </c>
      <c r="AK40" s="460">
        <v>0</v>
      </c>
      <c r="AL40" s="460">
        <v>0</v>
      </c>
      <c r="AM40" s="460">
        <v>0</v>
      </c>
      <c r="AN40" s="460">
        <v>0</v>
      </c>
      <c r="AO40" s="460">
        <v>0</v>
      </c>
      <c r="AP40" s="460">
        <v>0</v>
      </c>
      <c r="AQ40" s="460">
        <v>0</v>
      </c>
      <c r="AR40" s="460">
        <v>0</v>
      </c>
      <c r="AS40" s="460">
        <v>0</v>
      </c>
      <c r="AT40" s="460">
        <v>0</v>
      </c>
      <c r="AU40" s="460">
        <v>0</v>
      </c>
      <c r="AV40" s="460">
        <v>0</v>
      </c>
      <c r="AW40" s="460">
        <v>0</v>
      </c>
      <c r="AX40" s="460">
        <v>0</v>
      </c>
      <c r="AY40" s="460">
        <v>0</v>
      </c>
      <c r="AZ40" s="460">
        <v>-7650.3760629800763</v>
      </c>
      <c r="BA40" s="460">
        <v>0</v>
      </c>
      <c r="BB40" s="460">
        <v>0</v>
      </c>
      <c r="BC40" s="460">
        <v>0</v>
      </c>
      <c r="BD40" s="460">
        <v>0</v>
      </c>
      <c r="BE40" s="460">
        <v>0</v>
      </c>
      <c r="BF40" s="460">
        <v>0</v>
      </c>
      <c r="BG40" s="460">
        <v>0</v>
      </c>
      <c r="BH40" s="460">
        <v>0</v>
      </c>
      <c r="BI40" s="460">
        <v>0</v>
      </c>
      <c r="BJ40" s="460">
        <v>0</v>
      </c>
      <c r="BK40" s="460">
        <v>0</v>
      </c>
      <c r="BL40" s="460">
        <v>0</v>
      </c>
      <c r="BM40" s="460">
        <v>0</v>
      </c>
      <c r="BN40" s="460">
        <v>0</v>
      </c>
      <c r="BO40" s="460">
        <v>0</v>
      </c>
      <c r="BP40" s="460">
        <v>0</v>
      </c>
      <c r="BQ40" s="460">
        <v>0</v>
      </c>
      <c r="BR40" s="460">
        <v>0</v>
      </c>
      <c r="BS40" s="460">
        <v>0</v>
      </c>
      <c r="BT40" s="460">
        <v>0</v>
      </c>
      <c r="BU40" s="460">
        <v>0</v>
      </c>
      <c r="BV40" s="460">
        <v>0</v>
      </c>
      <c r="BW40" s="460">
        <v>0</v>
      </c>
      <c r="BX40" s="460">
        <v>0</v>
      </c>
      <c r="BY40" s="460">
        <v>0</v>
      </c>
      <c r="BZ40" s="460">
        <v>0</v>
      </c>
      <c r="CA40" s="460" t="e">
        <v>#N/A</v>
      </c>
      <c r="CB40" s="460" t="e">
        <v>#N/A</v>
      </c>
      <c r="CC40" s="460" t="e">
        <v>#N/A</v>
      </c>
    </row>
    <row r="41" spans="1:81" ht="12.75" customHeight="1">
      <c r="A41" s="105">
        <v>36</v>
      </c>
      <c r="B41" s="458" t="str">
        <v>9Y</v>
      </c>
      <c r="C41" s="465">
        <f>'eur disaggregated'!W52</f>
        <v>63790.485970177724</v>
      </c>
      <c r="D41" s="111" t="str">
        <f t="shared" si="6"/>
        <v>108M</v>
      </c>
      <c r="E41" s="441">
        <f t="shared" si="5"/>
        <v>42696</v>
      </c>
      <c r="F41" s="441">
        <f>IF(AND(NOT(ISNA(MATCH(RIGHT(B41,2),$I$6:$I$67,0))),LEN(B41)&lt;6,RIGHT(B41,1)="M"),INDEX($K$6:$K$67,MATCH(RIGHT(B41,2),$I$6:$I$67,0)),IF(AND(NOT(ISNA(MATCH((IF(RIGHT(B41,3)="24M","2Y",IF(RIGHT(B41,3)="12M", "1Y", RIGHT(B41,3)))),$I$6:$I$67,0))),LEN(B41)&gt;=6,RIGHT(B41,1)="M"),INDEX($K$6:$K$67,MATCH((IF(RIGHT(B41,3)="24M","2Y",IF(RIGHT(B41,3)="12M", "1Y", RIGHT(B41,3)))),$I$6:$I$67,0)),_xll.qlCalendarAdvance(Calendar,E41,D41)))</f>
        <v>45985</v>
      </c>
      <c r="G41" s="462">
        <f t="shared" si="2"/>
        <v>5.7399999999999994E-3</v>
      </c>
      <c r="H41" s="453">
        <v>0.57399999999999995</v>
      </c>
      <c r="I41" s="107" t="str">
        <v>8Y</v>
      </c>
      <c r="J41" s="106" t="str">
        <f>IF(LEN(I41)&gt;0,IF((MID(I41,4,1)=" "),#REF!,IF((LEN(I41)=8),DATE("20" &amp; RIGHT(I41,2),MID(I41,4,2),LEFT(I41,2)),SimplifyTenor(I41))),"")</f>
        <v>96M</v>
      </c>
      <c r="K41" s="448">
        <f>_xll.qlCalendarAdvance("TARGET",SettlementDate,J41)</f>
        <v>45618</v>
      </c>
      <c r="M41" s="99" t="str">
        <v>8Y</v>
      </c>
      <c r="N41" s="465">
        <v>-7650.3760629800763</v>
      </c>
      <c r="P41" s="106" t="b">
        <f t="shared" si="7"/>
        <v>0</v>
      </c>
      <c r="Q41" s="460">
        <f t="array" ref="Q41:CC41">C41*ForwardToZero(OisBuckets,E41,F41,G41)</f>
        <v>0</v>
      </c>
      <c r="R41" s="460">
        <v>0</v>
      </c>
      <c r="S41" s="460">
        <v>0</v>
      </c>
      <c r="T41" s="460">
        <v>0</v>
      </c>
      <c r="U41" s="460">
        <v>0</v>
      </c>
      <c r="V41" s="460">
        <v>0</v>
      </c>
      <c r="W41" s="460">
        <v>0</v>
      </c>
      <c r="X41" s="460">
        <v>0</v>
      </c>
      <c r="Y41" s="460">
        <v>0</v>
      </c>
      <c r="Z41" s="460">
        <v>0</v>
      </c>
      <c r="AA41" s="460">
        <v>0</v>
      </c>
      <c r="AB41" s="460">
        <v>0</v>
      </c>
      <c r="AC41" s="460">
        <v>0</v>
      </c>
      <c r="AD41" s="460">
        <v>0</v>
      </c>
      <c r="AE41" s="460">
        <v>0</v>
      </c>
      <c r="AF41" s="460">
        <v>0</v>
      </c>
      <c r="AG41" s="460">
        <v>0</v>
      </c>
      <c r="AH41" s="460">
        <v>0</v>
      </c>
      <c r="AI41" s="460">
        <v>0</v>
      </c>
      <c r="AJ41" s="460">
        <v>0</v>
      </c>
      <c r="AK41" s="460">
        <v>0</v>
      </c>
      <c r="AL41" s="460">
        <v>0</v>
      </c>
      <c r="AM41" s="460">
        <v>0</v>
      </c>
      <c r="AN41" s="460">
        <v>0</v>
      </c>
      <c r="AO41" s="460">
        <v>0</v>
      </c>
      <c r="AP41" s="460">
        <v>0</v>
      </c>
      <c r="AQ41" s="460">
        <v>0</v>
      </c>
      <c r="AR41" s="460">
        <v>0</v>
      </c>
      <c r="AS41" s="460">
        <v>0</v>
      </c>
      <c r="AT41" s="460">
        <v>0</v>
      </c>
      <c r="AU41" s="460">
        <v>0</v>
      </c>
      <c r="AV41" s="460">
        <v>0</v>
      </c>
      <c r="AW41" s="460">
        <v>0</v>
      </c>
      <c r="AX41" s="460">
        <v>0</v>
      </c>
      <c r="AY41" s="460">
        <v>0</v>
      </c>
      <c r="AZ41" s="460">
        <v>0</v>
      </c>
      <c r="BA41" s="460">
        <v>63790.485970177724</v>
      </c>
      <c r="BB41" s="460">
        <v>0</v>
      </c>
      <c r="BC41" s="460">
        <v>0</v>
      </c>
      <c r="BD41" s="460">
        <v>0</v>
      </c>
      <c r="BE41" s="460">
        <v>0</v>
      </c>
      <c r="BF41" s="460">
        <v>0</v>
      </c>
      <c r="BG41" s="460">
        <v>0</v>
      </c>
      <c r="BH41" s="460">
        <v>0</v>
      </c>
      <c r="BI41" s="460">
        <v>0</v>
      </c>
      <c r="BJ41" s="460">
        <v>0</v>
      </c>
      <c r="BK41" s="460">
        <v>0</v>
      </c>
      <c r="BL41" s="460">
        <v>0</v>
      </c>
      <c r="BM41" s="460">
        <v>0</v>
      </c>
      <c r="BN41" s="460">
        <v>0</v>
      </c>
      <c r="BO41" s="460">
        <v>0</v>
      </c>
      <c r="BP41" s="460">
        <v>0</v>
      </c>
      <c r="BQ41" s="460">
        <v>0</v>
      </c>
      <c r="BR41" s="460">
        <v>0</v>
      </c>
      <c r="BS41" s="460">
        <v>0</v>
      </c>
      <c r="BT41" s="460">
        <v>0</v>
      </c>
      <c r="BU41" s="460">
        <v>0</v>
      </c>
      <c r="BV41" s="460">
        <v>0</v>
      </c>
      <c r="BW41" s="460">
        <v>0</v>
      </c>
      <c r="BX41" s="460">
        <v>0</v>
      </c>
      <c r="BY41" s="460">
        <v>0</v>
      </c>
      <c r="BZ41" s="460">
        <v>0</v>
      </c>
      <c r="CA41" s="460" t="e">
        <v>#N/A</v>
      </c>
      <c r="CB41" s="460" t="e">
        <v>#N/A</v>
      </c>
      <c r="CC41" s="460" t="e">
        <v>#N/A</v>
      </c>
    </row>
    <row r="42" spans="1:81" ht="12.75" customHeight="1">
      <c r="A42" s="105">
        <v>37</v>
      </c>
      <c r="B42" s="458" t="str">
        <v>10Y</v>
      </c>
      <c r="C42" s="465">
        <f>'eur disaggregated'!W53</f>
        <v>-24008.646657417859</v>
      </c>
      <c r="D42" s="111" t="str">
        <f t="shared" si="6"/>
        <v>120M</v>
      </c>
      <c r="E42" s="441">
        <f t="shared" si="5"/>
        <v>42696</v>
      </c>
      <c r="F42" s="441">
        <f>IF(AND(NOT(ISNA(MATCH(RIGHT(B42,2),$I$6:$I$67,0))),LEN(B42)&lt;6,RIGHT(B42,1)="M"),INDEX($K$6:$K$67,MATCH(RIGHT(B42,2),$I$6:$I$67,0)),IF(AND(NOT(ISNA(MATCH((IF(RIGHT(B42,3)="24M","2Y",IF(RIGHT(B42,3)="12M", "1Y", RIGHT(B42,3)))),$I$6:$I$67,0))),LEN(B42)&gt;=6,RIGHT(B42,1)="M"),INDEX($K$6:$K$67,MATCH((IF(RIGHT(B42,3)="24M","2Y",IF(RIGHT(B42,3)="12M", "1Y", RIGHT(B42,3)))),$I$6:$I$67,0)),_xll.qlCalendarAdvance(Calendar,E42,D42)))</f>
        <v>46349</v>
      </c>
      <c r="G42" s="462">
        <f t="shared" si="2"/>
        <v>6.7100000000000007E-3</v>
      </c>
      <c r="H42" s="453">
        <v>0.67100000000000004</v>
      </c>
      <c r="I42" s="107" t="str">
        <v>9Y</v>
      </c>
      <c r="J42" s="106" t="str">
        <f>IF(LEN(I42)&gt;0,IF((MID(I42,4,1)=" "),#REF!,IF((LEN(I42)=8),DATE("20" &amp; RIGHT(I42,2),MID(I42,4,2),LEFT(I42,2)),SimplifyTenor(I42))),"")</f>
        <v>108M</v>
      </c>
      <c r="K42" s="448">
        <f>_xll.qlCalendarAdvance("TARGET",SettlementDate,J42)</f>
        <v>45985</v>
      </c>
      <c r="M42" s="99" t="str">
        <v>9Y</v>
      </c>
      <c r="N42" s="465">
        <v>63790.485970177724</v>
      </c>
      <c r="P42" s="106" t="b">
        <f t="shared" si="7"/>
        <v>0</v>
      </c>
      <c r="Q42" s="460">
        <f t="array" ref="Q42:CC42">C42*ForwardToZero(OisBuckets,E42,F42,G42)</f>
        <v>0</v>
      </c>
      <c r="R42" s="460">
        <v>0</v>
      </c>
      <c r="S42" s="460">
        <v>0</v>
      </c>
      <c r="T42" s="460">
        <v>0</v>
      </c>
      <c r="U42" s="460">
        <v>0</v>
      </c>
      <c r="V42" s="460">
        <v>0</v>
      </c>
      <c r="W42" s="460">
        <v>0</v>
      </c>
      <c r="X42" s="460">
        <v>0</v>
      </c>
      <c r="Y42" s="460">
        <v>0</v>
      </c>
      <c r="Z42" s="460">
        <v>0</v>
      </c>
      <c r="AA42" s="460">
        <v>0</v>
      </c>
      <c r="AB42" s="460">
        <v>0</v>
      </c>
      <c r="AC42" s="460">
        <v>0</v>
      </c>
      <c r="AD42" s="460">
        <v>0</v>
      </c>
      <c r="AE42" s="460">
        <v>0</v>
      </c>
      <c r="AF42" s="460">
        <v>0</v>
      </c>
      <c r="AG42" s="460">
        <v>0</v>
      </c>
      <c r="AH42" s="460">
        <v>0</v>
      </c>
      <c r="AI42" s="460">
        <v>0</v>
      </c>
      <c r="AJ42" s="460">
        <v>0</v>
      </c>
      <c r="AK42" s="460">
        <v>0</v>
      </c>
      <c r="AL42" s="460">
        <v>0</v>
      </c>
      <c r="AM42" s="460">
        <v>0</v>
      </c>
      <c r="AN42" s="460">
        <v>0</v>
      </c>
      <c r="AO42" s="460">
        <v>0</v>
      </c>
      <c r="AP42" s="460">
        <v>0</v>
      </c>
      <c r="AQ42" s="460">
        <v>0</v>
      </c>
      <c r="AR42" s="460">
        <v>0</v>
      </c>
      <c r="AS42" s="460">
        <v>0</v>
      </c>
      <c r="AT42" s="460">
        <v>0</v>
      </c>
      <c r="AU42" s="460">
        <v>0</v>
      </c>
      <c r="AV42" s="460">
        <v>0</v>
      </c>
      <c r="AW42" s="460">
        <v>0</v>
      </c>
      <c r="AX42" s="460">
        <v>0</v>
      </c>
      <c r="AY42" s="460">
        <v>0</v>
      </c>
      <c r="AZ42" s="460">
        <v>0</v>
      </c>
      <c r="BA42" s="460">
        <v>0</v>
      </c>
      <c r="BB42" s="460">
        <v>-24008.646657417859</v>
      </c>
      <c r="BC42" s="460">
        <v>0</v>
      </c>
      <c r="BD42" s="460">
        <v>0</v>
      </c>
      <c r="BE42" s="460">
        <v>0</v>
      </c>
      <c r="BF42" s="460">
        <v>0</v>
      </c>
      <c r="BG42" s="460">
        <v>0</v>
      </c>
      <c r="BH42" s="460">
        <v>0</v>
      </c>
      <c r="BI42" s="460">
        <v>0</v>
      </c>
      <c r="BJ42" s="460">
        <v>0</v>
      </c>
      <c r="BK42" s="460">
        <v>0</v>
      </c>
      <c r="BL42" s="460">
        <v>0</v>
      </c>
      <c r="BM42" s="460">
        <v>0</v>
      </c>
      <c r="BN42" s="460">
        <v>0</v>
      </c>
      <c r="BO42" s="460">
        <v>0</v>
      </c>
      <c r="BP42" s="460">
        <v>0</v>
      </c>
      <c r="BQ42" s="460">
        <v>0</v>
      </c>
      <c r="BR42" s="460">
        <v>0</v>
      </c>
      <c r="BS42" s="460">
        <v>0</v>
      </c>
      <c r="BT42" s="460">
        <v>0</v>
      </c>
      <c r="BU42" s="460">
        <v>0</v>
      </c>
      <c r="BV42" s="460">
        <v>0</v>
      </c>
      <c r="BW42" s="460">
        <v>0</v>
      </c>
      <c r="BX42" s="460">
        <v>0</v>
      </c>
      <c r="BY42" s="460">
        <v>0</v>
      </c>
      <c r="BZ42" s="460">
        <v>0</v>
      </c>
      <c r="CA42" s="460" t="e">
        <v>#N/A</v>
      </c>
      <c r="CB42" s="460" t="e">
        <v>#N/A</v>
      </c>
      <c r="CC42" s="460" t="e">
        <v>#N/A</v>
      </c>
    </row>
    <row r="43" spans="1:81" ht="12.75" customHeight="1">
      <c r="A43" s="105">
        <v>38</v>
      </c>
      <c r="B43" s="458" t="str">
        <v>11Y</v>
      </c>
      <c r="C43" s="465">
        <f>'eur disaggregated'!W54</f>
        <v>-78624.231505126038</v>
      </c>
      <c r="D43" s="111" t="str">
        <f t="shared" si="6"/>
        <v>132M</v>
      </c>
      <c r="E43" s="441">
        <f t="shared" si="5"/>
        <v>42696</v>
      </c>
      <c r="F43" s="441">
        <f>IF(AND(NOT(ISNA(MATCH(RIGHT(B43,2),$I$6:$I$67,0))),LEN(B43)&lt;6,RIGHT(B43,1)="M"),INDEX($K$6:$K$67,MATCH(RIGHT(B43,2),$I$6:$I$67,0)),IF(AND(NOT(ISNA(MATCH((IF(RIGHT(B43,3)="24M","2Y",IF(RIGHT(B43,3)="12M", "1Y", RIGHT(B43,3)))),$I$6:$I$67,0))),LEN(B43)&gt;=6,RIGHT(B43,1)="M"),INDEX($K$6:$K$67,MATCH((IF(RIGHT(B43,3)="24M","2Y",IF(RIGHT(B43,3)="12M", "1Y", RIGHT(B43,3)))),$I$6:$I$67,0)),_xll.qlCalendarAdvance(Calendar,E43,D43)))</f>
        <v>46713</v>
      </c>
      <c r="G43" s="462">
        <f t="shared" si="2"/>
        <v>7.5771047999999997E-3</v>
      </c>
      <c r="H43" s="453">
        <v>0.75771047999999996</v>
      </c>
      <c r="I43" s="107" t="str">
        <v>10Y</v>
      </c>
      <c r="J43" s="106" t="str">
        <f>IF(LEN(I43)&gt;0,IF((MID(I43,4,1)=" "),#REF!,IF((LEN(I43)=8),DATE("20" &amp; RIGHT(I43,2),MID(I43,4,2),LEFT(I43,2)),SimplifyTenor(I43))),"")</f>
        <v>120M</v>
      </c>
      <c r="K43" s="448">
        <f>_xll.qlCalendarAdvance("TARGET",SettlementDate,J43)</f>
        <v>46349</v>
      </c>
      <c r="M43" s="99" t="str">
        <v>10Y</v>
      </c>
      <c r="N43" s="465">
        <v>-24008.646657417859</v>
      </c>
      <c r="P43" s="106" t="b">
        <f t="shared" si="7"/>
        <v>0</v>
      </c>
      <c r="Q43" s="460">
        <f t="array" ref="Q43:CC43">C43*ForwardToZero(OisBuckets,E43,F43,G43)</f>
        <v>0</v>
      </c>
      <c r="R43" s="460">
        <v>0</v>
      </c>
      <c r="S43" s="460">
        <v>0</v>
      </c>
      <c r="T43" s="460">
        <v>0</v>
      </c>
      <c r="U43" s="460">
        <v>0</v>
      </c>
      <c r="V43" s="460">
        <v>0</v>
      </c>
      <c r="W43" s="460">
        <v>0</v>
      </c>
      <c r="X43" s="460">
        <v>0</v>
      </c>
      <c r="Y43" s="460">
        <v>0</v>
      </c>
      <c r="Z43" s="460">
        <v>0</v>
      </c>
      <c r="AA43" s="460">
        <v>0</v>
      </c>
      <c r="AB43" s="460">
        <v>0</v>
      </c>
      <c r="AC43" s="460">
        <v>0</v>
      </c>
      <c r="AD43" s="460">
        <v>0</v>
      </c>
      <c r="AE43" s="460">
        <v>0</v>
      </c>
      <c r="AF43" s="460">
        <v>0</v>
      </c>
      <c r="AG43" s="460">
        <v>0</v>
      </c>
      <c r="AH43" s="460">
        <v>0</v>
      </c>
      <c r="AI43" s="460">
        <v>0</v>
      </c>
      <c r="AJ43" s="460">
        <v>0</v>
      </c>
      <c r="AK43" s="460">
        <v>0</v>
      </c>
      <c r="AL43" s="460">
        <v>0</v>
      </c>
      <c r="AM43" s="460">
        <v>0</v>
      </c>
      <c r="AN43" s="460">
        <v>0</v>
      </c>
      <c r="AO43" s="460">
        <v>0</v>
      </c>
      <c r="AP43" s="460">
        <v>0</v>
      </c>
      <c r="AQ43" s="460">
        <v>0</v>
      </c>
      <c r="AR43" s="460">
        <v>0</v>
      </c>
      <c r="AS43" s="460">
        <v>0</v>
      </c>
      <c r="AT43" s="460">
        <v>0</v>
      </c>
      <c r="AU43" s="460">
        <v>0</v>
      </c>
      <c r="AV43" s="460">
        <v>0</v>
      </c>
      <c r="AW43" s="460">
        <v>0</v>
      </c>
      <c r="AX43" s="460">
        <v>0</v>
      </c>
      <c r="AY43" s="460">
        <v>0</v>
      </c>
      <c r="AZ43" s="460">
        <v>0</v>
      </c>
      <c r="BA43" s="460">
        <v>0</v>
      </c>
      <c r="BB43" s="460">
        <v>0</v>
      </c>
      <c r="BC43" s="460">
        <v>-78624.231505126038</v>
      </c>
      <c r="BD43" s="460">
        <v>0</v>
      </c>
      <c r="BE43" s="460">
        <v>0</v>
      </c>
      <c r="BF43" s="460">
        <v>0</v>
      </c>
      <c r="BG43" s="460">
        <v>0</v>
      </c>
      <c r="BH43" s="460">
        <v>0</v>
      </c>
      <c r="BI43" s="460">
        <v>0</v>
      </c>
      <c r="BJ43" s="460">
        <v>0</v>
      </c>
      <c r="BK43" s="460">
        <v>0</v>
      </c>
      <c r="BL43" s="460">
        <v>0</v>
      </c>
      <c r="BM43" s="460">
        <v>0</v>
      </c>
      <c r="BN43" s="460">
        <v>0</v>
      </c>
      <c r="BO43" s="460">
        <v>0</v>
      </c>
      <c r="BP43" s="460">
        <v>0</v>
      </c>
      <c r="BQ43" s="460">
        <v>0</v>
      </c>
      <c r="BR43" s="460">
        <v>0</v>
      </c>
      <c r="BS43" s="460">
        <v>0</v>
      </c>
      <c r="BT43" s="460">
        <v>0</v>
      </c>
      <c r="BU43" s="460">
        <v>0</v>
      </c>
      <c r="BV43" s="460">
        <v>0</v>
      </c>
      <c r="BW43" s="460">
        <v>0</v>
      </c>
      <c r="BX43" s="460">
        <v>0</v>
      </c>
      <c r="BY43" s="460">
        <v>0</v>
      </c>
      <c r="BZ43" s="460">
        <v>0</v>
      </c>
      <c r="CA43" s="460" t="e">
        <v>#N/A</v>
      </c>
      <c r="CB43" s="460" t="e">
        <v>#N/A</v>
      </c>
      <c r="CC43" s="460" t="e">
        <v>#N/A</v>
      </c>
    </row>
    <row r="44" spans="1:81" ht="12.75" customHeight="1">
      <c r="A44" s="105">
        <v>39</v>
      </c>
      <c r="B44" s="458" t="str">
        <v>12Y</v>
      </c>
      <c r="C44" s="465">
        <f>'eur disaggregated'!W55</f>
        <v>27059.639833235597</v>
      </c>
      <c r="D44" s="111" t="str">
        <f t="shared" si="6"/>
        <v>144M</v>
      </c>
      <c r="E44" s="441">
        <f t="shared" si="5"/>
        <v>42696</v>
      </c>
      <c r="F44" s="441">
        <f>IF(AND(NOT(ISNA(MATCH(RIGHT(B44,2),$I$6:$I$67,0))),LEN(B44)&lt;6,RIGHT(B44,1)="M"),INDEX($K$6:$K$67,MATCH(RIGHT(B44,2),$I$6:$I$67,0)),IF(AND(NOT(ISNA(MATCH((IF(RIGHT(B44,3)="24M","2Y",IF(RIGHT(B44,3)="12M", "1Y", RIGHT(B44,3)))),$I$6:$I$67,0))),LEN(B44)&gt;=6,RIGHT(B44,1)="M"),INDEX($K$6:$K$67,MATCH((IF(RIGHT(B44,3)="24M","2Y",IF(RIGHT(B44,3)="12M", "1Y", RIGHT(B44,3)))),$I$6:$I$67,0)),_xll.qlCalendarAdvance(Calendar,E44,D44)))</f>
        <v>47079</v>
      </c>
      <c r="G44" s="462">
        <f t="shared" si="2"/>
        <v>8.3499999999999998E-3</v>
      </c>
      <c r="H44" s="453">
        <v>0.83499999999999996</v>
      </c>
      <c r="I44" s="107" t="str">
        <v>11Y</v>
      </c>
      <c r="J44" s="106" t="str">
        <f>IF(LEN(I44)&gt;0,IF((MID(I44,4,1)=" "),#REF!,IF((LEN(I44)=8),DATE("20" &amp; RIGHT(I44,2),MID(I44,4,2),LEFT(I44,2)),SimplifyTenor(I44))),"")</f>
        <v>132M</v>
      </c>
      <c r="K44" s="448">
        <f>_xll.qlCalendarAdvance("TARGET",SettlementDate,J44)</f>
        <v>46713</v>
      </c>
      <c r="M44" s="99" t="str">
        <v>11Y</v>
      </c>
      <c r="N44" s="465">
        <v>-78624.231505126038</v>
      </c>
      <c r="P44" s="106" t="b">
        <f t="shared" si="7"/>
        <v>0</v>
      </c>
      <c r="Q44" s="460">
        <f t="array" ref="Q44:CC44">C44*ForwardToZero(OisBuckets,E44,F44,G44)</f>
        <v>0</v>
      </c>
      <c r="R44" s="460">
        <v>0</v>
      </c>
      <c r="S44" s="460">
        <v>0</v>
      </c>
      <c r="T44" s="460">
        <v>0</v>
      </c>
      <c r="U44" s="460">
        <v>0</v>
      </c>
      <c r="V44" s="460">
        <v>0</v>
      </c>
      <c r="W44" s="460">
        <v>0</v>
      </c>
      <c r="X44" s="460">
        <v>0</v>
      </c>
      <c r="Y44" s="460">
        <v>0</v>
      </c>
      <c r="Z44" s="460">
        <v>0</v>
      </c>
      <c r="AA44" s="460">
        <v>0</v>
      </c>
      <c r="AB44" s="460">
        <v>0</v>
      </c>
      <c r="AC44" s="460">
        <v>0</v>
      </c>
      <c r="AD44" s="460">
        <v>0</v>
      </c>
      <c r="AE44" s="460">
        <v>0</v>
      </c>
      <c r="AF44" s="460">
        <v>0</v>
      </c>
      <c r="AG44" s="460">
        <v>0</v>
      </c>
      <c r="AH44" s="460">
        <v>0</v>
      </c>
      <c r="AI44" s="460">
        <v>0</v>
      </c>
      <c r="AJ44" s="460">
        <v>0</v>
      </c>
      <c r="AK44" s="460">
        <v>0</v>
      </c>
      <c r="AL44" s="460">
        <v>0</v>
      </c>
      <c r="AM44" s="460">
        <v>0</v>
      </c>
      <c r="AN44" s="460">
        <v>0</v>
      </c>
      <c r="AO44" s="460">
        <v>0</v>
      </c>
      <c r="AP44" s="460">
        <v>0</v>
      </c>
      <c r="AQ44" s="460">
        <v>0</v>
      </c>
      <c r="AR44" s="460">
        <v>0</v>
      </c>
      <c r="AS44" s="460">
        <v>0</v>
      </c>
      <c r="AT44" s="460">
        <v>0</v>
      </c>
      <c r="AU44" s="460">
        <v>0</v>
      </c>
      <c r="AV44" s="460">
        <v>0</v>
      </c>
      <c r="AW44" s="460">
        <v>0</v>
      </c>
      <c r="AX44" s="460">
        <v>0</v>
      </c>
      <c r="AY44" s="460">
        <v>0</v>
      </c>
      <c r="AZ44" s="460">
        <v>0</v>
      </c>
      <c r="BA44" s="460">
        <v>0</v>
      </c>
      <c r="BB44" s="460">
        <v>0</v>
      </c>
      <c r="BC44" s="460">
        <v>0</v>
      </c>
      <c r="BD44" s="460">
        <v>27059.639833235597</v>
      </c>
      <c r="BE44" s="460">
        <v>0</v>
      </c>
      <c r="BF44" s="460">
        <v>0</v>
      </c>
      <c r="BG44" s="460">
        <v>0</v>
      </c>
      <c r="BH44" s="460">
        <v>0</v>
      </c>
      <c r="BI44" s="460">
        <v>0</v>
      </c>
      <c r="BJ44" s="460">
        <v>0</v>
      </c>
      <c r="BK44" s="460">
        <v>0</v>
      </c>
      <c r="BL44" s="460">
        <v>0</v>
      </c>
      <c r="BM44" s="460">
        <v>0</v>
      </c>
      <c r="BN44" s="460">
        <v>0</v>
      </c>
      <c r="BO44" s="460">
        <v>0</v>
      </c>
      <c r="BP44" s="460">
        <v>0</v>
      </c>
      <c r="BQ44" s="460">
        <v>0</v>
      </c>
      <c r="BR44" s="460">
        <v>0</v>
      </c>
      <c r="BS44" s="460">
        <v>0</v>
      </c>
      <c r="BT44" s="460">
        <v>0</v>
      </c>
      <c r="BU44" s="460">
        <v>0</v>
      </c>
      <c r="BV44" s="460">
        <v>0</v>
      </c>
      <c r="BW44" s="460">
        <v>0</v>
      </c>
      <c r="BX44" s="460">
        <v>0</v>
      </c>
      <c r="BY44" s="460">
        <v>0</v>
      </c>
      <c r="BZ44" s="460">
        <v>0</v>
      </c>
      <c r="CA44" s="460" t="e">
        <v>#N/A</v>
      </c>
      <c r="CB44" s="460" t="e">
        <v>#N/A</v>
      </c>
      <c r="CC44" s="460" t="e">
        <v>#N/A</v>
      </c>
    </row>
    <row r="45" spans="1:81" ht="12.75" customHeight="1">
      <c r="A45" s="105">
        <v>40</v>
      </c>
      <c r="B45" s="458" t="str">
        <v>13Y</v>
      </c>
      <c r="C45" s="465">
        <f>'eur disaggregated'!W56</f>
        <v>26896.672790558787</v>
      </c>
      <c r="D45" s="111" t="str">
        <f t="shared" si="6"/>
        <v>156M</v>
      </c>
      <c r="E45" s="441">
        <f t="shared" si="5"/>
        <v>42696</v>
      </c>
      <c r="F45" s="441">
        <f>IF(AND(NOT(ISNA(MATCH(RIGHT(B45,2),$I$6:$I$67,0))),LEN(B45)&lt;6,RIGHT(B45,1)="M"),INDEX($K$6:$K$67,MATCH(RIGHT(B45,2),$I$6:$I$67,0)),IF(AND(NOT(ISNA(MATCH((IF(RIGHT(B45,3)="24M","2Y",IF(RIGHT(B45,3)="12M", "1Y", RIGHT(B45,3)))),$I$6:$I$67,0))),LEN(B45)&gt;=6,RIGHT(B45,1)="M"),INDEX($K$6:$K$67,MATCH((IF(RIGHT(B45,3)="24M","2Y",IF(RIGHT(B45,3)="12M", "1Y", RIGHT(B45,3)))),$I$6:$I$67,0)),_xll.qlCalendarAdvance(Calendar,E45,D45)))</f>
        <v>47444</v>
      </c>
      <c r="G45" s="462">
        <f t="shared" si="2"/>
        <v>9.0110858099999996E-3</v>
      </c>
      <c r="H45" s="453">
        <v>0.90110858100000002</v>
      </c>
      <c r="I45" s="107" t="str">
        <v>12Y</v>
      </c>
      <c r="J45" s="106" t="str">
        <f>IF(LEN(I45)&gt;0,IF((MID(I45,4,1)=" "),#REF!,IF((LEN(I45)=8),DATE("20" &amp; RIGHT(I45,2),MID(I45,4,2),LEFT(I45,2)),SimplifyTenor(I45))),"")</f>
        <v>144M</v>
      </c>
      <c r="K45" s="448">
        <f>_xll.qlCalendarAdvance("TARGET",SettlementDate,J45)</f>
        <v>47079</v>
      </c>
      <c r="M45" s="99" t="str">
        <v>12Y</v>
      </c>
      <c r="N45" s="465">
        <v>27059.639833235597</v>
      </c>
      <c r="P45" s="106" t="b">
        <f t="shared" si="7"/>
        <v>0</v>
      </c>
      <c r="Q45" s="460">
        <f t="array" ref="Q45:CC45">C45*ForwardToZero(OisBuckets,E45,F45,G45)</f>
        <v>0</v>
      </c>
      <c r="R45" s="460">
        <v>0</v>
      </c>
      <c r="S45" s="460">
        <v>0</v>
      </c>
      <c r="T45" s="460">
        <v>0</v>
      </c>
      <c r="U45" s="460">
        <v>0</v>
      </c>
      <c r="V45" s="460">
        <v>0</v>
      </c>
      <c r="W45" s="460">
        <v>0</v>
      </c>
      <c r="X45" s="460">
        <v>0</v>
      </c>
      <c r="Y45" s="460">
        <v>0</v>
      </c>
      <c r="Z45" s="460">
        <v>0</v>
      </c>
      <c r="AA45" s="460">
        <v>0</v>
      </c>
      <c r="AB45" s="460">
        <v>0</v>
      </c>
      <c r="AC45" s="460">
        <v>0</v>
      </c>
      <c r="AD45" s="460">
        <v>0</v>
      </c>
      <c r="AE45" s="460">
        <v>0</v>
      </c>
      <c r="AF45" s="460">
        <v>0</v>
      </c>
      <c r="AG45" s="460">
        <v>0</v>
      </c>
      <c r="AH45" s="460">
        <v>0</v>
      </c>
      <c r="AI45" s="460">
        <v>0</v>
      </c>
      <c r="AJ45" s="460">
        <v>0</v>
      </c>
      <c r="AK45" s="460">
        <v>0</v>
      </c>
      <c r="AL45" s="460">
        <v>0</v>
      </c>
      <c r="AM45" s="460">
        <v>0</v>
      </c>
      <c r="AN45" s="460">
        <v>0</v>
      </c>
      <c r="AO45" s="460">
        <v>0</v>
      </c>
      <c r="AP45" s="460">
        <v>0</v>
      </c>
      <c r="AQ45" s="460">
        <v>0</v>
      </c>
      <c r="AR45" s="460">
        <v>0</v>
      </c>
      <c r="AS45" s="460">
        <v>0</v>
      </c>
      <c r="AT45" s="460">
        <v>0</v>
      </c>
      <c r="AU45" s="460">
        <v>0</v>
      </c>
      <c r="AV45" s="460">
        <v>0</v>
      </c>
      <c r="AW45" s="460">
        <v>0</v>
      </c>
      <c r="AX45" s="460">
        <v>0</v>
      </c>
      <c r="AY45" s="460">
        <v>0</v>
      </c>
      <c r="AZ45" s="460">
        <v>0</v>
      </c>
      <c r="BA45" s="460">
        <v>0</v>
      </c>
      <c r="BB45" s="460">
        <v>0</v>
      </c>
      <c r="BC45" s="460">
        <v>0</v>
      </c>
      <c r="BD45" s="460">
        <v>0</v>
      </c>
      <c r="BE45" s="460">
        <v>26896.672790558787</v>
      </c>
      <c r="BF45" s="460">
        <v>0</v>
      </c>
      <c r="BG45" s="460">
        <v>0</v>
      </c>
      <c r="BH45" s="460">
        <v>0</v>
      </c>
      <c r="BI45" s="460">
        <v>0</v>
      </c>
      <c r="BJ45" s="460">
        <v>0</v>
      </c>
      <c r="BK45" s="460">
        <v>0</v>
      </c>
      <c r="BL45" s="460">
        <v>0</v>
      </c>
      <c r="BM45" s="460">
        <v>0</v>
      </c>
      <c r="BN45" s="460">
        <v>0</v>
      </c>
      <c r="BO45" s="460">
        <v>0</v>
      </c>
      <c r="BP45" s="460">
        <v>0</v>
      </c>
      <c r="BQ45" s="460">
        <v>0</v>
      </c>
      <c r="BR45" s="460">
        <v>0</v>
      </c>
      <c r="BS45" s="460">
        <v>0</v>
      </c>
      <c r="BT45" s="460">
        <v>0</v>
      </c>
      <c r="BU45" s="460">
        <v>0</v>
      </c>
      <c r="BV45" s="460">
        <v>0</v>
      </c>
      <c r="BW45" s="460">
        <v>0</v>
      </c>
      <c r="BX45" s="460">
        <v>0</v>
      </c>
      <c r="BY45" s="460">
        <v>0</v>
      </c>
      <c r="BZ45" s="460">
        <v>0</v>
      </c>
      <c r="CA45" s="460" t="e">
        <v>#N/A</v>
      </c>
      <c r="CB45" s="460" t="e">
        <v>#N/A</v>
      </c>
      <c r="CC45" s="460" t="e">
        <v>#N/A</v>
      </c>
    </row>
    <row r="46" spans="1:81" ht="12.75" customHeight="1">
      <c r="A46" s="105">
        <v>41</v>
      </c>
      <c r="B46" s="458" t="str">
        <v>14Y</v>
      </c>
      <c r="C46" s="465">
        <f>'eur disaggregated'!W57</f>
        <v>113.9888506572663</v>
      </c>
      <c r="D46" s="111" t="str">
        <f t="shared" si="6"/>
        <v>168M</v>
      </c>
      <c r="E46" s="441">
        <f t="shared" si="5"/>
        <v>42696</v>
      </c>
      <c r="F46" s="441">
        <f>IF(AND(NOT(ISNA(MATCH(RIGHT(B46,2),$I$6:$I$67,0))),LEN(B46)&lt;6,RIGHT(B46,1)="M"),INDEX($K$6:$K$67,MATCH(RIGHT(B46,2),$I$6:$I$67,0)),IF(AND(NOT(ISNA(MATCH((IF(RIGHT(B46,3)="24M","2Y",IF(RIGHT(B46,3)="12M", "1Y", RIGHT(B46,3)))),$I$6:$I$67,0))),LEN(B46)&gt;=6,RIGHT(B46,1)="M"),INDEX($K$6:$K$67,MATCH((IF(RIGHT(B46,3)="24M","2Y",IF(RIGHT(B46,3)="12M", "1Y", RIGHT(B46,3)))),$I$6:$I$67,0)),_xll.qlCalendarAdvance(Calendar,E46,D46)))</f>
        <v>47809</v>
      </c>
      <c r="G46" s="462">
        <f t="shared" si="2"/>
        <v>9.5755458199999997E-3</v>
      </c>
      <c r="H46" s="453">
        <v>0.95755458199999999</v>
      </c>
      <c r="I46" s="107" t="str">
        <v>13Y</v>
      </c>
      <c r="J46" s="106" t="str">
        <f>IF(LEN(I46)&gt;0,IF((MID(I46,4,1)=" "),#REF!,IF((LEN(I46)=8),DATE("20" &amp; RIGHT(I46,2),MID(I46,4,2),LEFT(I46,2)),SimplifyTenor(I46))),"")</f>
        <v>156M</v>
      </c>
      <c r="K46" s="448">
        <f>_xll.qlCalendarAdvance("TARGET",SettlementDate,J46)</f>
        <v>47444</v>
      </c>
      <c r="M46" s="99" t="str">
        <v>13Y</v>
      </c>
      <c r="N46" s="465">
        <v>26896.672790558787</v>
      </c>
      <c r="P46" s="106" t="b">
        <f t="shared" si="7"/>
        <v>0</v>
      </c>
      <c r="Q46" s="460">
        <f t="array" ref="Q46:CC46">C46*ForwardToZero(OisBuckets,E46,F46,G46)</f>
        <v>0</v>
      </c>
      <c r="R46" s="460">
        <v>0</v>
      </c>
      <c r="S46" s="460">
        <v>0</v>
      </c>
      <c r="T46" s="460">
        <v>0</v>
      </c>
      <c r="U46" s="460">
        <v>0</v>
      </c>
      <c r="V46" s="460">
        <v>0</v>
      </c>
      <c r="W46" s="460">
        <v>0</v>
      </c>
      <c r="X46" s="460">
        <v>0</v>
      </c>
      <c r="Y46" s="460">
        <v>0</v>
      </c>
      <c r="Z46" s="460">
        <v>0</v>
      </c>
      <c r="AA46" s="460">
        <v>0</v>
      </c>
      <c r="AB46" s="460">
        <v>0</v>
      </c>
      <c r="AC46" s="460">
        <v>0</v>
      </c>
      <c r="AD46" s="460">
        <v>0</v>
      </c>
      <c r="AE46" s="460">
        <v>0</v>
      </c>
      <c r="AF46" s="460">
        <v>0</v>
      </c>
      <c r="AG46" s="460">
        <v>0</v>
      </c>
      <c r="AH46" s="460">
        <v>0</v>
      </c>
      <c r="AI46" s="460">
        <v>0</v>
      </c>
      <c r="AJ46" s="460">
        <v>0</v>
      </c>
      <c r="AK46" s="460">
        <v>0</v>
      </c>
      <c r="AL46" s="460">
        <v>0</v>
      </c>
      <c r="AM46" s="460">
        <v>0</v>
      </c>
      <c r="AN46" s="460">
        <v>0</v>
      </c>
      <c r="AO46" s="460">
        <v>0</v>
      </c>
      <c r="AP46" s="460">
        <v>0</v>
      </c>
      <c r="AQ46" s="460">
        <v>0</v>
      </c>
      <c r="AR46" s="460">
        <v>0</v>
      </c>
      <c r="AS46" s="460">
        <v>0</v>
      </c>
      <c r="AT46" s="460">
        <v>0</v>
      </c>
      <c r="AU46" s="460">
        <v>0</v>
      </c>
      <c r="AV46" s="460">
        <v>0</v>
      </c>
      <c r="AW46" s="460">
        <v>0</v>
      </c>
      <c r="AX46" s="460">
        <v>0</v>
      </c>
      <c r="AY46" s="460">
        <v>0</v>
      </c>
      <c r="AZ46" s="460">
        <v>0</v>
      </c>
      <c r="BA46" s="460">
        <v>0</v>
      </c>
      <c r="BB46" s="460">
        <v>0</v>
      </c>
      <c r="BC46" s="460">
        <v>0</v>
      </c>
      <c r="BD46" s="460">
        <v>0</v>
      </c>
      <c r="BE46" s="460">
        <v>0</v>
      </c>
      <c r="BF46" s="460">
        <v>113.9888506572663</v>
      </c>
      <c r="BG46" s="460">
        <v>0</v>
      </c>
      <c r="BH46" s="460">
        <v>0</v>
      </c>
      <c r="BI46" s="460">
        <v>0</v>
      </c>
      <c r="BJ46" s="460">
        <v>0</v>
      </c>
      <c r="BK46" s="460">
        <v>0</v>
      </c>
      <c r="BL46" s="460">
        <v>0</v>
      </c>
      <c r="BM46" s="460">
        <v>0</v>
      </c>
      <c r="BN46" s="460">
        <v>0</v>
      </c>
      <c r="BO46" s="460">
        <v>0</v>
      </c>
      <c r="BP46" s="460">
        <v>0</v>
      </c>
      <c r="BQ46" s="460">
        <v>0</v>
      </c>
      <c r="BR46" s="460">
        <v>0</v>
      </c>
      <c r="BS46" s="460">
        <v>0</v>
      </c>
      <c r="BT46" s="460">
        <v>0</v>
      </c>
      <c r="BU46" s="460">
        <v>0</v>
      </c>
      <c r="BV46" s="460">
        <v>0</v>
      </c>
      <c r="BW46" s="460">
        <v>0</v>
      </c>
      <c r="BX46" s="460">
        <v>0</v>
      </c>
      <c r="BY46" s="460">
        <v>0</v>
      </c>
      <c r="BZ46" s="460">
        <v>0</v>
      </c>
      <c r="CA46" s="460" t="e">
        <v>#N/A</v>
      </c>
      <c r="CB46" s="460" t="e">
        <v>#N/A</v>
      </c>
      <c r="CC46" s="460" t="e">
        <v>#N/A</v>
      </c>
    </row>
    <row r="47" spans="1:81" ht="12.75" customHeight="1">
      <c r="A47" s="105">
        <v>42</v>
      </c>
      <c r="B47" s="458" t="str">
        <v>15Y</v>
      </c>
      <c r="C47" s="465">
        <f>'eur disaggregated'!W58</f>
        <v>36015.355574990739</v>
      </c>
      <c r="D47" s="111" t="str">
        <f t="shared" si="6"/>
        <v>180M</v>
      </c>
      <c r="E47" s="441">
        <f t="shared" si="5"/>
        <v>42696</v>
      </c>
      <c r="F47" s="441">
        <f>IF(AND(NOT(ISNA(MATCH(RIGHT(B47,2),$I$6:$I$67,0))),LEN(B47)&lt;6,RIGHT(B47,1)="M"),INDEX($K$6:$K$67,MATCH(RIGHT(B47,2),$I$6:$I$67,0)),IF(AND(NOT(ISNA(MATCH((IF(RIGHT(B47,3)="24M","2Y",IF(RIGHT(B47,3)="12M", "1Y", RIGHT(B47,3)))),$I$6:$I$67,0))),LEN(B47)&gt;=6,RIGHT(B47,1)="M"),INDEX($K$6:$K$67,MATCH((IF(RIGHT(B47,3)="24M","2Y",IF(RIGHT(B47,3)="12M", "1Y", RIGHT(B47,3)))),$I$6:$I$67,0)),_xll.qlCalendarAdvance(Calendar,E47,D47)))</f>
        <v>48176</v>
      </c>
      <c r="G47" s="462">
        <f t="shared" si="2"/>
        <v>1.0049999999999998E-2</v>
      </c>
      <c r="H47" s="453">
        <v>1.0049999999999999</v>
      </c>
      <c r="I47" s="107" t="str">
        <v>14Y</v>
      </c>
      <c r="J47" s="106" t="str">
        <f>IF(LEN(I47)&gt;0,IF((MID(I47,4,1)=" "),#REF!,IF((LEN(I47)=8),DATE("20" &amp; RIGHT(I47,2),MID(I47,4,2),LEFT(I47,2)),SimplifyTenor(I47))),"")</f>
        <v>168M</v>
      </c>
      <c r="K47" s="448">
        <f>_xll.qlCalendarAdvance("TARGET",SettlementDate,J47)</f>
        <v>47809</v>
      </c>
      <c r="M47" s="99" t="str">
        <v>14Y</v>
      </c>
      <c r="N47" s="465">
        <v>113.9888506572663</v>
      </c>
      <c r="P47" s="106" t="b">
        <f t="shared" si="7"/>
        <v>0</v>
      </c>
      <c r="Q47" s="460">
        <f t="array" ref="Q47:CC47">C47*ForwardToZero(OisBuckets,E47,F47,G47)</f>
        <v>0</v>
      </c>
      <c r="R47" s="460">
        <v>0</v>
      </c>
      <c r="S47" s="460">
        <v>0</v>
      </c>
      <c r="T47" s="460">
        <v>0</v>
      </c>
      <c r="U47" s="460">
        <v>0</v>
      </c>
      <c r="V47" s="460">
        <v>0</v>
      </c>
      <c r="W47" s="460">
        <v>0</v>
      </c>
      <c r="X47" s="460">
        <v>0</v>
      </c>
      <c r="Y47" s="460">
        <v>0</v>
      </c>
      <c r="Z47" s="460">
        <v>0</v>
      </c>
      <c r="AA47" s="460">
        <v>0</v>
      </c>
      <c r="AB47" s="460">
        <v>0</v>
      </c>
      <c r="AC47" s="460">
        <v>0</v>
      </c>
      <c r="AD47" s="460">
        <v>0</v>
      </c>
      <c r="AE47" s="460">
        <v>0</v>
      </c>
      <c r="AF47" s="460">
        <v>0</v>
      </c>
      <c r="AG47" s="460">
        <v>0</v>
      </c>
      <c r="AH47" s="460">
        <v>0</v>
      </c>
      <c r="AI47" s="460">
        <v>0</v>
      </c>
      <c r="AJ47" s="460">
        <v>0</v>
      </c>
      <c r="AK47" s="460">
        <v>0</v>
      </c>
      <c r="AL47" s="460">
        <v>0</v>
      </c>
      <c r="AM47" s="460">
        <v>0</v>
      </c>
      <c r="AN47" s="460">
        <v>0</v>
      </c>
      <c r="AO47" s="460">
        <v>0</v>
      </c>
      <c r="AP47" s="460">
        <v>0</v>
      </c>
      <c r="AQ47" s="460">
        <v>0</v>
      </c>
      <c r="AR47" s="460">
        <v>0</v>
      </c>
      <c r="AS47" s="460">
        <v>0</v>
      </c>
      <c r="AT47" s="460">
        <v>0</v>
      </c>
      <c r="AU47" s="460">
        <v>0</v>
      </c>
      <c r="AV47" s="460">
        <v>0</v>
      </c>
      <c r="AW47" s="460">
        <v>0</v>
      </c>
      <c r="AX47" s="460">
        <v>0</v>
      </c>
      <c r="AY47" s="460">
        <v>0</v>
      </c>
      <c r="AZ47" s="460">
        <v>0</v>
      </c>
      <c r="BA47" s="460">
        <v>0</v>
      </c>
      <c r="BB47" s="460">
        <v>0</v>
      </c>
      <c r="BC47" s="460">
        <v>0</v>
      </c>
      <c r="BD47" s="460">
        <v>0</v>
      </c>
      <c r="BE47" s="460">
        <v>0</v>
      </c>
      <c r="BF47" s="460">
        <v>0</v>
      </c>
      <c r="BG47" s="460">
        <v>36015.355574990739</v>
      </c>
      <c r="BH47" s="460">
        <v>0</v>
      </c>
      <c r="BI47" s="460">
        <v>0</v>
      </c>
      <c r="BJ47" s="460">
        <v>0</v>
      </c>
      <c r="BK47" s="460">
        <v>0</v>
      </c>
      <c r="BL47" s="460">
        <v>0</v>
      </c>
      <c r="BM47" s="460">
        <v>0</v>
      </c>
      <c r="BN47" s="460">
        <v>0</v>
      </c>
      <c r="BO47" s="460">
        <v>0</v>
      </c>
      <c r="BP47" s="460">
        <v>0</v>
      </c>
      <c r="BQ47" s="460">
        <v>0</v>
      </c>
      <c r="BR47" s="460">
        <v>0</v>
      </c>
      <c r="BS47" s="460">
        <v>0</v>
      </c>
      <c r="BT47" s="460">
        <v>0</v>
      </c>
      <c r="BU47" s="460">
        <v>0</v>
      </c>
      <c r="BV47" s="460">
        <v>0</v>
      </c>
      <c r="BW47" s="460">
        <v>0</v>
      </c>
      <c r="BX47" s="460">
        <v>0</v>
      </c>
      <c r="BY47" s="460">
        <v>0</v>
      </c>
      <c r="BZ47" s="460">
        <v>0</v>
      </c>
      <c r="CA47" s="460" t="e">
        <v>#N/A</v>
      </c>
      <c r="CB47" s="460" t="e">
        <v>#N/A</v>
      </c>
      <c r="CC47" s="460" t="e">
        <v>#N/A</v>
      </c>
    </row>
    <row r="48" spans="1:81" ht="12.75" customHeight="1">
      <c r="A48" s="105">
        <v>43</v>
      </c>
      <c r="B48" s="458" t="str">
        <v>16Y</v>
      </c>
      <c r="C48" s="465">
        <f>'eur disaggregated'!W59</f>
        <v>7638.9835626476615</v>
      </c>
      <c r="D48" s="111" t="str">
        <f t="shared" si="6"/>
        <v>192M</v>
      </c>
      <c r="E48" s="441">
        <f t="shared" si="5"/>
        <v>42696</v>
      </c>
      <c r="F48" s="441">
        <f>IF(AND(NOT(ISNA(MATCH(RIGHT(B48,2),$I$6:$I$67,0))),LEN(B48)&lt;6,RIGHT(B48,1)="M"),INDEX($K$6:$K$67,MATCH(RIGHT(B48,2),$I$6:$I$67,0)),IF(AND(NOT(ISNA(MATCH((IF(RIGHT(B48,3)="24M","2Y",IF(RIGHT(B48,3)="12M", "1Y", RIGHT(B48,3)))),$I$6:$I$67,0))),LEN(B48)&gt;=6,RIGHT(B48,1)="M"),INDEX($K$6:$K$67,MATCH((IF(RIGHT(B48,3)="24M","2Y",IF(RIGHT(B48,3)="12M", "1Y", RIGHT(B48,3)))),$I$6:$I$67,0)),_xll.qlCalendarAdvance(Calendar,E48,D48)))</f>
        <v>48540</v>
      </c>
      <c r="G48" s="462">
        <f t="shared" si="2"/>
        <v>1.044168547E-2</v>
      </c>
      <c r="H48" s="453">
        <v>1.0441685469999999</v>
      </c>
      <c r="I48" s="107" t="str">
        <v>15Y</v>
      </c>
      <c r="J48" s="106" t="str">
        <f>IF(LEN(I48)&gt;0,IF((MID(I48,4,1)=" "),#REF!,IF((LEN(I48)=8),DATE("20" &amp; RIGHT(I48,2),MID(I48,4,2),LEFT(I48,2)),SimplifyTenor(I48))),"")</f>
        <v>180M</v>
      </c>
      <c r="K48" s="448">
        <f>_xll.qlCalendarAdvance("TARGET",SettlementDate,J48)</f>
        <v>48176</v>
      </c>
      <c r="M48" s="99" t="str">
        <v>15Y</v>
      </c>
      <c r="N48" s="465">
        <v>36015.355574990739</v>
      </c>
      <c r="P48" s="106" t="b">
        <f t="shared" si="7"/>
        <v>0</v>
      </c>
      <c r="Q48" s="460">
        <f t="array" ref="Q48:CC48">C48*ForwardToZero(OisBuckets,E48,F48,G48)</f>
        <v>0</v>
      </c>
      <c r="R48" s="460">
        <v>0</v>
      </c>
      <c r="S48" s="460">
        <v>0</v>
      </c>
      <c r="T48" s="460">
        <v>0</v>
      </c>
      <c r="U48" s="460">
        <v>0</v>
      </c>
      <c r="V48" s="460">
        <v>0</v>
      </c>
      <c r="W48" s="460">
        <v>0</v>
      </c>
      <c r="X48" s="460">
        <v>0</v>
      </c>
      <c r="Y48" s="460">
        <v>0</v>
      </c>
      <c r="Z48" s="460">
        <v>0</v>
      </c>
      <c r="AA48" s="460">
        <v>0</v>
      </c>
      <c r="AB48" s="460">
        <v>0</v>
      </c>
      <c r="AC48" s="460">
        <v>0</v>
      </c>
      <c r="AD48" s="460">
        <v>0</v>
      </c>
      <c r="AE48" s="460">
        <v>0</v>
      </c>
      <c r="AF48" s="460">
        <v>0</v>
      </c>
      <c r="AG48" s="460">
        <v>0</v>
      </c>
      <c r="AH48" s="460">
        <v>0</v>
      </c>
      <c r="AI48" s="460">
        <v>0</v>
      </c>
      <c r="AJ48" s="460">
        <v>0</v>
      </c>
      <c r="AK48" s="460">
        <v>0</v>
      </c>
      <c r="AL48" s="460">
        <v>0</v>
      </c>
      <c r="AM48" s="460">
        <v>0</v>
      </c>
      <c r="AN48" s="460">
        <v>0</v>
      </c>
      <c r="AO48" s="460">
        <v>0</v>
      </c>
      <c r="AP48" s="460">
        <v>0</v>
      </c>
      <c r="AQ48" s="460">
        <v>0</v>
      </c>
      <c r="AR48" s="460">
        <v>0</v>
      </c>
      <c r="AS48" s="460">
        <v>0</v>
      </c>
      <c r="AT48" s="460">
        <v>0</v>
      </c>
      <c r="AU48" s="460">
        <v>0</v>
      </c>
      <c r="AV48" s="460">
        <v>0</v>
      </c>
      <c r="AW48" s="460">
        <v>0</v>
      </c>
      <c r="AX48" s="460">
        <v>0</v>
      </c>
      <c r="AY48" s="460">
        <v>0</v>
      </c>
      <c r="AZ48" s="460">
        <v>0</v>
      </c>
      <c r="BA48" s="460">
        <v>0</v>
      </c>
      <c r="BB48" s="460">
        <v>0</v>
      </c>
      <c r="BC48" s="460">
        <v>0</v>
      </c>
      <c r="BD48" s="460">
        <v>0</v>
      </c>
      <c r="BE48" s="460">
        <v>0</v>
      </c>
      <c r="BF48" s="460">
        <v>0</v>
      </c>
      <c r="BG48" s="460">
        <v>0</v>
      </c>
      <c r="BH48" s="460">
        <v>7638.9835626476615</v>
      </c>
      <c r="BI48" s="460">
        <v>0</v>
      </c>
      <c r="BJ48" s="460">
        <v>0</v>
      </c>
      <c r="BK48" s="460">
        <v>0</v>
      </c>
      <c r="BL48" s="460">
        <v>0</v>
      </c>
      <c r="BM48" s="460">
        <v>0</v>
      </c>
      <c r="BN48" s="460">
        <v>0</v>
      </c>
      <c r="BO48" s="460">
        <v>0</v>
      </c>
      <c r="BP48" s="460">
        <v>0</v>
      </c>
      <c r="BQ48" s="460">
        <v>0</v>
      </c>
      <c r="BR48" s="460">
        <v>0</v>
      </c>
      <c r="BS48" s="460">
        <v>0</v>
      </c>
      <c r="BT48" s="460">
        <v>0</v>
      </c>
      <c r="BU48" s="460">
        <v>0</v>
      </c>
      <c r="BV48" s="460">
        <v>0</v>
      </c>
      <c r="BW48" s="460">
        <v>0</v>
      </c>
      <c r="BX48" s="460">
        <v>0</v>
      </c>
      <c r="BY48" s="460">
        <v>0</v>
      </c>
      <c r="BZ48" s="460">
        <v>0</v>
      </c>
      <c r="CA48" s="460" t="e">
        <v>#N/A</v>
      </c>
      <c r="CB48" s="460" t="e">
        <v>#N/A</v>
      </c>
      <c r="CC48" s="460" t="e">
        <v>#N/A</v>
      </c>
    </row>
    <row r="49" spans="1:81" ht="12.75" customHeight="1">
      <c r="A49" s="105">
        <v>44</v>
      </c>
      <c r="B49" s="458" t="str">
        <v>17Y</v>
      </c>
      <c r="C49" s="465">
        <f>'eur disaggregated'!W60</f>
        <v>-2697.4076907168514</v>
      </c>
      <c r="D49" s="111" t="str">
        <f t="shared" si="6"/>
        <v>204M</v>
      </c>
      <c r="E49" s="441">
        <f t="shared" si="5"/>
        <v>42696</v>
      </c>
      <c r="F49" s="441">
        <f>IF(AND(NOT(ISNA(MATCH(RIGHT(B49,2),$I$6:$I$67,0))),LEN(B49)&lt;6,RIGHT(B49,1)="M"),INDEX($K$6:$K$67,MATCH(RIGHT(B49,2),$I$6:$I$67,0)),IF(AND(NOT(ISNA(MATCH((IF(RIGHT(B49,3)="24M","2Y",IF(RIGHT(B49,3)="12M", "1Y", RIGHT(B49,3)))),$I$6:$I$67,0))),LEN(B49)&gt;=6,RIGHT(B49,1)="M"),INDEX($K$6:$K$67,MATCH((IF(RIGHT(B49,3)="24M","2Y",IF(RIGHT(B49,3)="12M", "1Y", RIGHT(B49,3)))),$I$6:$I$67,0)),_xll.qlCalendarAdvance(Calendar,E49,D49)))</f>
        <v>48905</v>
      </c>
      <c r="G49" s="462">
        <f t="shared" si="2"/>
        <v>1.0755175340000001E-2</v>
      </c>
      <c r="H49" s="453">
        <v>1.0755175340000001</v>
      </c>
      <c r="I49" s="107" t="str">
        <v>16Y</v>
      </c>
      <c r="J49" s="106" t="str">
        <f>IF(LEN(I49)&gt;0,IF((MID(I49,4,1)=" "),#REF!,IF((LEN(I49)=8),DATE("20" &amp; RIGHT(I49,2),MID(I49,4,2),LEFT(I49,2)),SimplifyTenor(I49))),"")</f>
        <v>192M</v>
      </c>
      <c r="K49" s="448">
        <f>_xll.qlCalendarAdvance("TARGET",SettlementDate,J49)</f>
        <v>48540</v>
      </c>
      <c r="M49" s="99" t="str">
        <v>16Y</v>
      </c>
      <c r="N49" s="465">
        <v>7638.9835626476615</v>
      </c>
      <c r="P49" s="106" t="b">
        <f t="shared" si="7"/>
        <v>0</v>
      </c>
      <c r="Q49" s="460">
        <f t="array" ref="Q49:CC49">C49*ForwardToZero(OisBuckets,E49,F49,G49)</f>
        <v>0</v>
      </c>
      <c r="R49" s="460">
        <v>0</v>
      </c>
      <c r="S49" s="460">
        <v>0</v>
      </c>
      <c r="T49" s="460">
        <v>0</v>
      </c>
      <c r="U49" s="460">
        <v>0</v>
      </c>
      <c r="V49" s="460">
        <v>0</v>
      </c>
      <c r="W49" s="460">
        <v>0</v>
      </c>
      <c r="X49" s="460">
        <v>0</v>
      </c>
      <c r="Y49" s="460">
        <v>0</v>
      </c>
      <c r="Z49" s="460">
        <v>0</v>
      </c>
      <c r="AA49" s="460">
        <v>0</v>
      </c>
      <c r="AB49" s="460">
        <v>0</v>
      </c>
      <c r="AC49" s="460">
        <v>0</v>
      </c>
      <c r="AD49" s="460">
        <v>0</v>
      </c>
      <c r="AE49" s="460">
        <v>0</v>
      </c>
      <c r="AF49" s="460">
        <v>0</v>
      </c>
      <c r="AG49" s="460">
        <v>0</v>
      </c>
      <c r="AH49" s="460">
        <v>0</v>
      </c>
      <c r="AI49" s="460">
        <v>0</v>
      </c>
      <c r="AJ49" s="460">
        <v>0</v>
      </c>
      <c r="AK49" s="460">
        <v>0</v>
      </c>
      <c r="AL49" s="460">
        <v>0</v>
      </c>
      <c r="AM49" s="460">
        <v>0</v>
      </c>
      <c r="AN49" s="460">
        <v>0</v>
      </c>
      <c r="AO49" s="460">
        <v>0</v>
      </c>
      <c r="AP49" s="460">
        <v>0</v>
      </c>
      <c r="AQ49" s="460">
        <v>0</v>
      </c>
      <c r="AR49" s="460">
        <v>0</v>
      </c>
      <c r="AS49" s="460">
        <v>0</v>
      </c>
      <c r="AT49" s="460">
        <v>0</v>
      </c>
      <c r="AU49" s="460">
        <v>0</v>
      </c>
      <c r="AV49" s="460">
        <v>0</v>
      </c>
      <c r="AW49" s="460">
        <v>0</v>
      </c>
      <c r="AX49" s="460">
        <v>0</v>
      </c>
      <c r="AY49" s="460">
        <v>0</v>
      </c>
      <c r="AZ49" s="460">
        <v>0</v>
      </c>
      <c r="BA49" s="460">
        <v>0</v>
      </c>
      <c r="BB49" s="460">
        <v>0</v>
      </c>
      <c r="BC49" s="460">
        <v>0</v>
      </c>
      <c r="BD49" s="460">
        <v>0</v>
      </c>
      <c r="BE49" s="460">
        <v>0</v>
      </c>
      <c r="BF49" s="460">
        <v>0</v>
      </c>
      <c r="BG49" s="460">
        <v>0</v>
      </c>
      <c r="BH49" s="460">
        <v>0</v>
      </c>
      <c r="BI49" s="460">
        <v>-2697.4076907168514</v>
      </c>
      <c r="BJ49" s="460">
        <v>0</v>
      </c>
      <c r="BK49" s="460">
        <v>0</v>
      </c>
      <c r="BL49" s="460">
        <v>0</v>
      </c>
      <c r="BM49" s="460">
        <v>0</v>
      </c>
      <c r="BN49" s="460">
        <v>0</v>
      </c>
      <c r="BO49" s="460">
        <v>0</v>
      </c>
      <c r="BP49" s="460">
        <v>0</v>
      </c>
      <c r="BQ49" s="460">
        <v>0</v>
      </c>
      <c r="BR49" s="460">
        <v>0</v>
      </c>
      <c r="BS49" s="460">
        <v>0</v>
      </c>
      <c r="BT49" s="460">
        <v>0</v>
      </c>
      <c r="BU49" s="460">
        <v>0</v>
      </c>
      <c r="BV49" s="460">
        <v>0</v>
      </c>
      <c r="BW49" s="460">
        <v>0</v>
      </c>
      <c r="BX49" s="460">
        <v>0</v>
      </c>
      <c r="BY49" s="460">
        <v>0</v>
      </c>
      <c r="BZ49" s="460">
        <v>0</v>
      </c>
      <c r="CA49" s="460" t="e">
        <v>#N/A</v>
      </c>
      <c r="CB49" s="460" t="e">
        <v>#N/A</v>
      </c>
      <c r="CC49" s="460" t="e">
        <v>#N/A</v>
      </c>
    </row>
    <row r="50" spans="1:81" ht="12.75" customHeight="1">
      <c r="A50" s="105">
        <v>45</v>
      </c>
      <c r="B50" s="458" t="str">
        <v>18Y</v>
      </c>
      <c r="C50" s="465">
        <f>'eur disaggregated'!W61</f>
        <v>108932.50467986638</v>
      </c>
      <c r="D50" s="111" t="str">
        <f t="shared" si="6"/>
        <v>216M</v>
      </c>
      <c r="E50" s="441">
        <f t="shared" si="5"/>
        <v>42696</v>
      </c>
      <c r="F50" s="441">
        <f>IF(AND(NOT(ISNA(MATCH(RIGHT(B50,2),$I$6:$I$67,0))),LEN(B50)&lt;6,RIGHT(B50,1)="M"),INDEX($K$6:$K$67,MATCH(RIGHT(B50,2),$I$6:$I$67,0)),IF(AND(NOT(ISNA(MATCH((IF(RIGHT(B50,3)="24M","2Y",IF(RIGHT(B50,3)="12M", "1Y", RIGHT(B50,3)))),$I$6:$I$67,0))),LEN(B50)&gt;=6,RIGHT(B50,1)="M"),INDEX($K$6:$K$67,MATCH((IF(RIGHT(B50,3)="24M","2Y",IF(RIGHT(B50,3)="12M", "1Y", RIGHT(B50,3)))),$I$6:$I$67,0)),_xll.qlCalendarAdvance(Calendar,E50,D50)))</f>
        <v>49270</v>
      </c>
      <c r="G50" s="462">
        <f t="shared" si="2"/>
        <v>1.100512243E-2</v>
      </c>
      <c r="H50" s="453">
        <v>1.1005122430000001</v>
      </c>
      <c r="I50" s="107" t="str">
        <v>17Y</v>
      </c>
      <c r="J50" s="106" t="str">
        <f>IF(LEN(I50)&gt;0,IF((MID(I50,4,1)=" "),#REF!,IF((LEN(I50)=8),DATE("20" &amp; RIGHT(I50,2),MID(I50,4,2),LEFT(I50,2)),SimplifyTenor(I50))),"")</f>
        <v>204M</v>
      </c>
      <c r="K50" s="448">
        <f>_xll.qlCalendarAdvance("TARGET",SettlementDate,J50)</f>
        <v>48905</v>
      </c>
      <c r="M50" s="99" t="str">
        <v>17Y</v>
      </c>
      <c r="N50" s="465">
        <v>-2697.4076907168514</v>
      </c>
      <c r="P50" s="106" t="b">
        <f t="shared" si="7"/>
        <v>0</v>
      </c>
      <c r="Q50" s="460">
        <f t="array" ref="Q50:CC50">C50*ForwardToZero(OisBuckets,E50,F50,G50)</f>
        <v>0</v>
      </c>
      <c r="R50" s="460">
        <v>0</v>
      </c>
      <c r="S50" s="460">
        <v>0</v>
      </c>
      <c r="T50" s="460">
        <v>0</v>
      </c>
      <c r="U50" s="460">
        <v>0</v>
      </c>
      <c r="V50" s="460">
        <v>0</v>
      </c>
      <c r="W50" s="460">
        <v>0</v>
      </c>
      <c r="X50" s="460">
        <v>0</v>
      </c>
      <c r="Y50" s="460">
        <v>0</v>
      </c>
      <c r="Z50" s="460">
        <v>0</v>
      </c>
      <c r="AA50" s="460">
        <v>0</v>
      </c>
      <c r="AB50" s="460">
        <v>0</v>
      </c>
      <c r="AC50" s="460">
        <v>0</v>
      </c>
      <c r="AD50" s="460">
        <v>0</v>
      </c>
      <c r="AE50" s="460">
        <v>0</v>
      </c>
      <c r="AF50" s="460">
        <v>0</v>
      </c>
      <c r="AG50" s="460">
        <v>0</v>
      </c>
      <c r="AH50" s="460">
        <v>0</v>
      </c>
      <c r="AI50" s="460">
        <v>0</v>
      </c>
      <c r="AJ50" s="460">
        <v>0</v>
      </c>
      <c r="AK50" s="460">
        <v>0</v>
      </c>
      <c r="AL50" s="460">
        <v>0</v>
      </c>
      <c r="AM50" s="460">
        <v>0</v>
      </c>
      <c r="AN50" s="460">
        <v>0</v>
      </c>
      <c r="AO50" s="460">
        <v>0</v>
      </c>
      <c r="AP50" s="460">
        <v>0</v>
      </c>
      <c r="AQ50" s="460">
        <v>0</v>
      </c>
      <c r="AR50" s="460">
        <v>0</v>
      </c>
      <c r="AS50" s="460">
        <v>0</v>
      </c>
      <c r="AT50" s="460">
        <v>0</v>
      </c>
      <c r="AU50" s="460">
        <v>0</v>
      </c>
      <c r="AV50" s="460">
        <v>0</v>
      </c>
      <c r="AW50" s="460">
        <v>0</v>
      </c>
      <c r="AX50" s="460">
        <v>0</v>
      </c>
      <c r="AY50" s="460">
        <v>0</v>
      </c>
      <c r="AZ50" s="460">
        <v>0</v>
      </c>
      <c r="BA50" s="460">
        <v>0</v>
      </c>
      <c r="BB50" s="460">
        <v>0</v>
      </c>
      <c r="BC50" s="460">
        <v>0</v>
      </c>
      <c r="BD50" s="460">
        <v>0</v>
      </c>
      <c r="BE50" s="460">
        <v>0</v>
      </c>
      <c r="BF50" s="460">
        <v>0</v>
      </c>
      <c r="BG50" s="460">
        <v>0</v>
      </c>
      <c r="BH50" s="460">
        <v>0</v>
      </c>
      <c r="BI50" s="460">
        <v>0</v>
      </c>
      <c r="BJ50" s="460">
        <v>108932.50467986638</v>
      </c>
      <c r="BK50" s="460">
        <v>0</v>
      </c>
      <c r="BL50" s="460">
        <v>0</v>
      </c>
      <c r="BM50" s="460">
        <v>0</v>
      </c>
      <c r="BN50" s="460">
        <v>0</v>
      </c>
      <c r="BO50" s="460">
        <v>0</v>
      </c>
      <c r="BP50" s="460">
        <v>0</v>
      </c>
      <c r="BQ50" s="460">
        <v>0</v>
      </c>
      <c r="BR50" s="460">
        <v>0</v>
      </c>
      <c r="BS50" s="460">
        <v>0</v>
      </c>
      <c r="BT50" s="460">
        <v>0</v>
      </c>
      <c r="BU50" s="460">
        <v>0</v>
      </c>
      <c r="BV50" s="460">
        <v>0</v>
      </c>
      <c r="BW50" s="460">
        <v>0</v>
      </c>
      <c r="BX50" s="460">
        <v>0</v>
      </c>
      <c r="BY50" s="460">
        <v>0</v>
      </c>
      <c r="BZ50" s="460">
        <v>0</v>
      </c>
      <c r="CA50" s="460" t="e">
        <v>#N/A</v>
      </c>
      <c r="CB50" s="460" t="e">
        <v>#N/A</v>
      </c>
      <c r="CC50" s="460" t="e">
        <v>#N/A</v>
      </c>
    </row>
    <row r="51" spans="1:81" ht="12.75" customHeight="1">
      <c r="A51" s="105">
        <v>46</v>
      </c>
      <c r="B51" s="458" t="str">
        <v>19Y</v>
      </c>
      <c r="C51" s="465">
        <f>'eur disaggregated'!W62</f>
        <v>-399597.78638039599</v>
      </c>
      <c r="D51" s="111" t="str">
        <f t="shared" si="6"/>
        <v>228M</v>
      </c>
      <c r="E51" s="441">
        <f t="shared" si="5"/>
        <v>42696</v>
      </c>
      <c r="F51" s="441">
        <f>IF(AND(NOT(ISNA(MATCH(RIGHT(B51,2),$I$6:$I$67,0))),LEN(B51)&lt;6,RIGHT(B51,1)="M"),INDEX($K$6:$K$67,MATCH(RIGHT(B51,2),$I$6:$I$67,0)),IF(AND(NOT(ISNA(MATCH((IF(RIGHT(B51,3)="24M","2Y",IF(RIGHT(B51,3)="12M", "1Y", RIGHT(B51,3)))),$I$6:$I$67,0))),LEN(B51)&gt;=6,RIGHT(B51,1)="M"),INDEX($K$6:$K$67,MATCH((IF(RIGHT(B51,3)="24M","2Y",IF(RIGHT(B51,3)="12M", "1Y", RIGHT(B51,3)))),$I$6:$I$67,0)),_xll.qlCalendarAdvance(Calendar,E51,D51)))</f>
        <v>49635</v>
      </c>
      <c r="G51" s="462">
        <f t="shared" si="2"/>
        <v>1.119874706E-2</v>
      </c>
      <c r="H51" s="453">
        <v>1.1198747060000001</v>
      </c>
      <c r="I51" s="107" t="str">
        <v>18Y</v>
      </c>
      <c r="J51" s="106" t="str">
        <f>IF(LEN(I51)&gt;0,IF((MID(I51,4,1)=" "),#REF!,IF((LEN(I51)=8),DATE("20" &amp; RIGHT(I51,2),MID(I51,4,2),LEFT(I51,2)),SimplifyTenor(I51))),"")</f>
        <v>216M</v>
      </c>
      <c r="K51" s="448">
        <f>_xll.qlCalendarAdvance("TARGET",SettlementDate,J51)</f>
        <v>49270</v>
      </c>
      <c r="M51" s="99" t="str">
        <v>18Y</v>
      </c>
      <c r="N51" s="465">
        <v>108932.50467986638</v>
      </c>
      <c r="P51" s="106" t="b">
        <f t="shared" si="7"/>
        <v>0</v>
      </c>
      <c r="Q51" s="460">
        <f t="array" ref="Q51:CC51">C51*ForwardToZero(OisBuckets,E51,F51,G51)</f>
        <v>0</v>
      </c>
      <c r="R51" s="460">
        <v>0</v>
      </c>
      <c r="S51" s="460">
        <v>0</v>
      </c>
      <c r="T51" s="460">
        <v>0</v>
      </c>
      <c r="U51" s="460">
        <v>0</v>
      </c>
      <c r="V51" s="460">
        <v>0</v>
      </c>
      <c r="W51" s="460">
        <v>0</v>
      </c>
      <c r="X51" s="460">
        <v>0</v>
      </c>
      <c r="Y51" s="460">
        <v>0</v>
      </c>
      <c r="Z51" s="460">
        <v>0</v>
      </c>
      <c r="AA51" s="460">
        <v>0</v>
      </c>
      <c r="AB51" s="460">
        <v>0</v>
      </c>
      <c r="AC51" s="460">
        <v>0</v>
      </c>
      <c r="AD51" s="460">
        <v>0</v>
      </c>
      <c r="AE51" s="460">
        <v>0</v>
      </c>
      <c r="AF51" s="460">
        <v>0</v>
      </c>
      <c r="AG51" s="460">
        <v>0</v>
      </c>
      <c r="AH51" s="460">
        <v>0</v>
      </c>
      <c r="AI51" s="460">
        <v>0</v>
      </c>
      <c r="AJ51" s="460">
        <v>0</v>
      </c>
      <c r="AK51" s="460">
        <v>0</v>
      </c>
      <c r="AL51" s="460">
        <v>0</v>
      </c>
      <c r="AM51" s="460">
        <v>0</v>
      </c>
      <c r="AN51" s="460">
        <v>0</v>
      </c>
      <c r="AO51" s="460">
        <v>0</v>
      </c>
      <c r="AP51" s="460">
        <v>0</v>
      </c>
      <c r="AQ51" s="460">
        <v>0</v>
      </c>
      <c r="AR51" s="460">
        <v>0</v>
      </c>
      <c r="AS51" s="460">
        <v>0</v>
      </c>
      <c r="AT51" s="460">
        <v>0</v>
      </c>
      <c r="AU51" s="460">
        <v>0</v>
      </c>
      <c r="AV51" s="460">
        <v>0</v>
      </c>
      <c r="AW51" s="460">
        <v>0</v>
      </c>
      <c r="AX51" s="460">
        <v>0</v>
      </c>
      <c r="AY51" s="460">
        <v>0</v>
      </c>
      <c r="AZ51" s="460">
        <v>0</v>
      </c>
      <c r="BA51" s="460">
        <v>0</v>
      </c>
      <c r="BB51" s="460">
        <v>0</v>
      </c>
      <c r="BC51" s="460">
        <v>0</v>
      </c>
      <c r="BD51" s="460">
        <v>0</v>
      </c>
      <c r="BE51" s="460">
        <v>0</v>
      </c>
      <c r="BF51" s="460">
        <v>0</v>
      </c>
      <c r="BG51" s="460">
        <v>0</v>
      </c>
      <c r="BH51" s="460">
        <v>0</v>
      </c>
      <c r="BI51" s="460">
        <v>0</v>
      </c>
      <c r="BJ51" s="460">
        <v>0</v>
      </c>
      <c r="BK51" s="460">
        <v>-399597.78638039599</v>
      </c>
      <c r="BL51" s="460">
        <v>0</v>
      </c>
      <c r="BM51" s="460">
        <v>0</v>
      </c>
      <c r="BN51" s="460">
        <v>0</v>
      </c>
      <c r="BO51" s="460">
        <v>0</v>
      </c>
      <c r="BP51" s="460">
        <v>0</v>
      </c>
      <c r="BQ51" s="460">
        <v>0</v>
      </c>
      <c r="BR51" s="460">
        <v>0</v>
      </c>
      <c r="BS51" s="460">
        <v>0</v>
      </c>
      <c r="BT51" s="460">
        <v>0</v>
      </c>
      <c r="BU51" s="460">
        <v>0</v>
      </c>
      <c r="BV51" s="460">
        <v>0</v>
      </c>
      <c r="BW51" s="460">
        <v>0</v>
      </c>
      <c r="BX51" s="460">
        <v>0</v>
      </c>
      <c r="BY51" s="460">
        <v>0</v>
      </c>
      <c r="BZ51" s="460">
        <v>0</v>
      </c>
      <c r="CA51" s="460" t="e">
        <v>#N/A</v>
      </c>
      <c r="CB51" s="460" t="e">
        <v>#N/A</v>
      </c>
      <c r="CC51" s="460" t="e">
        <v>#N/A</v>
      </c>
    </row>
    <row r="52" spans="1:81" ht="12.75" customHeight="1">
      <c r="A52" s="105">
        <v>47</v>
      </c>
      <c r="B52" s="458" t="str">
        <v>20Y</v>
      </c>
      <c r="C52" s="465">
        <f>'eur disaggregated'!W63</f>
        <v>34165.02898271865</v>
      </c>
      <c r="D52" s="111" t="str">
        <f t="shared" si="6"/>
        <v>240M</v>
      </c>
      <c r="E52" s="441">
        <f t="shared" si="5"/>
        <v>42696</v>
      </c>
      <c r="F52" s="441">
        <f>IF(AND(NOT(ISNA(MATCH(RIGHT(B52,2),$I$6:$I$67,0))),LEN(B52)&lt;6,RIGHT(B52,1)="M"),INDEX($K$6:$K$67,MATCH(RIGHT(B52,2),$I$6:$I$67,0)),IF(AND(NOT(ISNA(MATCH((IF(RIGHT(B52,3)="24M","2Y",IF(RIGHT(B52,3)="12M", "1Y", RIGHT(B52,3)))),$I$6:$I$67,0))),LEN(B52)&gt;=6,RIGHT(B52,1)="M"),INDEX($K$6:$K$67,MATCH((IF(RIGHT(B52,3)="24M","2Y",IF(RIGHT(B52,3)="12M", "1Y", RIGHT(B52,3)))),$I$6:$I$67,0)),_xll.qlCalendarAdvance(Calendar,E52,D52)))</f>
        <v>50003</v>
      </c>
      <c r="G52" s="462">
        <f t="shared" si="2"/>
        <v>1.1350000000000001E-2</v>
      </c>
      <c r="H52" s="453">
        <v>1.135</v>
      </c>
      <c r="I52" s="107" t="str">
        <v>19Y</v>
      </c>
      <c r="J52" s="106" t="str">
        <f>IF(LEN(I52)&gt;0,IF((MID(I52,4,1)=" "),#REF!,IF((LEN(I52)=8),DATE("20" &amp; RIGHT(I52,2),MID(I52,4,2),LEFT(I52,2)),SimplifyTenor(I52))),"")</f>
        <v>228M</v>
      </c>
      <c r="K52" s="448">
        <f>_xll.qlCalendarAdvance("TARGET",SettlementDate,J52)</f>
        <v>49635</v>
      </c>
      <c r="M52" s="99" t="str">
        <v>19Y</v>
      </c>
      <c r="N52" s="465">
        <v>-399597.78638039599</v>
      </c>
      <c r="P52" s="106" t="b">
        <f t="shared" si="7"/>
        <v>0</v>
      </c>
      <c r="Q52" s="460">
        <f t="array" ref="Q52:CC52">C52*ForwardToZero(OisBuckets,E52,F52,G52)</f>
        <v>0</v>
      </c>
      <c r="R52" s="460">
        <v>0</v>
      </c>
      <c r="S52" s="460">
        <v>0</v>
      </c>
      <c r="T52" s="460">
        <v>0</v>
      </c>
      <c r="U52" s="460">
        <v>0</v>
      </c>
      <c r="V52" s="460">
        <v>0</v>
      </c>
      <c r="W52" s="460">
        <v>0</v>
      </c>
      <c r="X52" s="460">
        <v>0</v>
      </c>
      <c r="Y52" s="460">
        <v>0</v>
      </c>
      <c r="Z52" s="460">
        <v>0</v>
      </c>
      <c r="AA52" s="460">
        <v>0</v>
      </c>
      <c r="AB52" s="460">
        <v>0</v>
      </c>
      <c r="AC52" s="460">
        <v>0</v>
      </c>
      <c r="AD52" s="460">
        <v>0</v>
      </c>
      <c r="AE52" s="460">
        <v>0</v>
      </c>
      <c r="AF52" s="460">
        <v>0</v>
      </c>
      <c r="AG52" s="460">
        <v>0</v>
      </c>
      <c r="AH52" s="460">
        <v>0</v>
      </c>
      <c r="AI52" s="460">
        <v>0</v>
      </c>
      <c r="AJ52" s="460">
        <v>0</v>
      </c>
      <c r="AK52" s="460">
        <v>0</v>
      </c>
      <c r="AL52" s="460">
        <v>0</v>
      </c>
      <c r="AM52" s="460">
        <v>0</v>
      </c>
      <c r="AN52" s="460">
        <v>0</v>
      </c>
      <c r="AO52" s="460">
        <v>0</v>
      </c>
      <c r="AP52" s="460">
        <v>0</v>
      </c>
      <c r="AQ52" s="460">
        <v>0</v>
      </c>
      <c r="AR52" s="460">
        <v>0</v>
      </c>
      <c r="AS52" s="460">
        <v>0</v>
      </c>
      <c r="AT52" s="460">
        <v>0</v>
      </c>
      <c r="AU52" s="460">
        <v>0</v>
      </c>
      <c r="AV52" s="460">
        <v>0</v>
      </c>
      <c r="AW52" s="460">
        <v>0</v>
      </c>
      <c r="AX52" s="460">
        <v>0</v>
      </c>
      <c r="AY52" s="460">
        <v>0</v>
      </c>
      <c r="AZ52" s="460">
        <v>0</v>
      </c>
      <c r="BA52" s="460">
        <v>0</v>
      </c>
      <c r="BB52" s="460">
        <v>0</v>
      </c>
      <c r="BC52" s="460">
        <v>0</v>
      </c>
      <c r="BD52" s="460">
        <v>0</v>
      </c>
      <c r="BE52" s="460">
        <v>0</v>
      </c>
      <c r="BF52" s="460">
        <v>0</v>
      </c>
      <c r="BG52" s="460">
        <v>0</v>
      </c>
      <c r="BH52" s="460">
        <v>0</v>
      </c>
      <c r="BI52" s="460">
        <v>0</v>
      </c>
      <c r="BJ52" s="460">
        <v>0</v>
      </c>
      <c r="BK52" s="460">
        <v>0</v>
      </c>
      <c r="BL52" s="460">
        <v>34165.02898271865</v>
      </c>
      <c r="BM52" s="460">
        <v>0</v>
      </c>
      <c r="BN52" s="460">
        <v>0</v>
      </c>
      <c r="BO52" s="460">
        <v>0</v>
      </c>
      <c r="BP52" s="460">
        <v>0</v>
      </c>
      <c r="BQ52" s="460">
        <v>0</v>
      </c>
      <c r="BR52" s="460">
        <v>0</v>
      </c>
      <c r="BS52" s="460">
        <v>0</v>
      </c>
      <c r="BT52" s="460">
        <v>0</v>
      </c>
      <c r="BU52" s="460">
        <v>0</v>
      </c>
      <c r="BV52" s="460">
        <v>0</v>
      </c>
      <c r="BW52" s="460">
        <v>0</v>
      </c>
      <c r="BX52" s="460">
        <v>0</v>
      </c>
      <c r="BY52" s="460">
        <v>0</v>
      </c>
      <c r="BZ52" s="460">
        <v>0</v>
      </c>
      <c r="CA52" s="460" t="e">
        <v>#N/A</v>
      </c>
      <c r="CB52" s="460" t="e">
        <v>#N/A</v>
      </c>
      <c r="CC52" s="460" t="e">
        <v>#N/A</v>
      </c>
    </row>
    <row r="53" spans="1:81" ht="12.75" customHeight="1">
      <c r="A53" s="105">
        <v>48</v>
      </c>
      <c r="B53" s="458" t="str">
        <v>21Y</v>
      </c>
      <c r="C53" s="465">
        <f>'eur disaggregated'!W64</f>
        <v>101774.55982355469</v>
      </c>
      <c r="D53" s="111" t="str">
        <f t="shared" si="6"/>
        <v>252M</v>
      </c>
      <c r="E53" s="441">
        <f t="shared" si="5"/>
        <v>42696</v>
      </c>
      <c r="F53" s="441">
        <f>IF(AND(NOT(ISNA(MATCH(RIGHT(B53,2),$I$6:$I$67,0))),LEN(B53)&lt;6,RIGHT(B53,1)="M"),INDEX($K$6:$K$67,MATCH(RIGHT(B53,2),$I$6:$I$67,0)),IF(AND(NOT(ISNA(MATCH((IF(RIGHT(B53,3)="24M","2Y",IF(RIGHT(B53,3)="12M", "1Y", RIGHT(B53,3)))),$I$6:$I$67,0))),LEN(B53)&gt;=6,RIGHT(B53,1)="M"),INDEX($K$6:$K$67,MATCH((IF(RIGHT(B53,3)="24M","2Y",IF(RIGHT(B53,3)="12M", "1Y", RIGHT(B53,3)))),$I$6:$I$67,0)),_xll.qlCalendarAdvance(Calendar,E53,D53)))</f>
        <v>50367</v>
      </c>
      <c r="G53" s="462">
        <f t="shared" si="2"/>
        <v>1.1464710229999999E-2</v>
      </c>
      <c r="H53" s="453">
        <v>1.1464710229999999</v>
      </c>
      <c r="I53" s="107" t="str">
        <v>20Y</v>
      </c>
      <c r="J53" s="106" t="str">
        <f>IF(LEN(I53)&gt;0,IF((MID(I53,4,1)=" "),#REF!,IF((LEN(I53)=8),DATE("20" &amp; RIGHT(I53,2),MID(I53,4,2),LEFT(I53,2)),SimplifyTenor(I53))),"")</f>
        <v>240M</v>
      </c>
      <c r="K53" s="448">
        <f>_xll.qlCalendarAdvance("TARGET",SettlementDate,J53)</f>
        <v>50003</v>
      </c>
      <c r="M53" s="99" t="str">
        <v>20Y</v>
      </c>
      <c r="N53" s="465">
        <v>34165.02898271865</v>
      </c>
      <c r="P53" s="106" t="b">
        <f t="shared" si="7"/>
        <v>0</v>
      </c>
      <c r="Q53" s="460">
        <f t="array" ref="Q53:CC53">C53*ForwardToZero(OisBuckets,E53,F53,G53)</f>
        <v>0</v>
      </c>
      <c r="R53" s="460">
        <v>0</v>
      </c>
      <c r="S53" s="460">
        <v>0</v>
      </c>
      <c r="T53" s="460">
        <v>0</v>
      </c>
      <c r="U53" s="460">
        <v>0</v>
      </c>
      <c r="V53" s="460">
        <v>0</v>
      </c>
      <c r="W53" s="460">
        <v>0</v>
      </c>
      <c r="X53" s="460">
        <v>0</v>
      </c>
      <c r="Y53" s="460">
        <v>0</v>
      </c>
      <c r="Z53" s="460">
        <v>0</v>
      </c>
      <c r="AA53" s="460">
        <v>0</v>
      </c>
      <c r="AB53" s="460">
        <v>0</v>
      </c>
      <c r="AC53" s="460">
        <v>0</v>
      </c>
      <c r="AD53" s="460">
        <v>0</v>
      </c>
      <c r="AE53" s="460">
        <v>0</v>
      </c>
      <c r="AF53" s="460">
        <v>0</v>
      </c>
      <c r="AG53" s="460">
        <v>0</v>
      </c>
      <c r="AH53" s="460">
        <v>0</v>
      </c>
      <c r="AI53" s="460">
        <v>0</v>
      </c>
      <c r="AJ53" s="460">
        <v>0</v>
      </c>
      <c r="AK53" s="460">
        <v>0</v>
      </c>
      <c r="AL53" s="460">
        <v>0</v>
      </c>
      <c r="AM53" s="460">
        <v>0</v>
      </c>
      <c r="AN53" s="460">
        <v>0</v>
      </c>
      <c r="AO53" s="460">
        <v>0</v>
      </c>
      <c r="AP53" s="460">
        <v>0</v>
      </c>
      <c r="AQ53" s="460">
        <v>0</v>
      </c>
      <c r="AR53" s="460">
        <v>0</v>
      </c>
      <c r="AS53" s="460">
        <v>0</v>
      </c>
      <c r="AT53" s="460">
        <v>0</v>
      </c>
      <c r="AU53" s="460">
        <v>0</v>
      </c>
      <c r="AV53" s="460">
        <v>0</v>
      </c>
      <c r="AW53" s="460">
        <v>0</v>
      </c>
      <c r="AX53" s="460">
        <v>0</v>
      </c>
      <c r="AY53" s="460">
        <v>0</v>
      </c>
      <c r="AZ53" s="460">
        <v>0</v>
      </c>
      <c r="BA53" s="460">
        <v>0</v>
      </c>
      <c r="BB53" s="460">
        <v>0</v>
      </c>
      <c r="BC53" s="460">
        <v>0</v>
      </c>
      <c r="BD53" s="460">
        <v>0</v>
      </c>
      <c r="BE53" s="460">
        <v>0</v>
      </c>
      <c r="BF53" s="460">
        <v>0</v>
      </c>
      <c r="BG53" s="460">
        <v>0</v>
      </c>
      <c r="BH53" s="460">
        <v>0</v>
      </c>
      <c r="BI53" s="460">
        <v>0</v>
      </c>
      <c r="BJ53" s="460">
        <v>0</v>
      </c>
      <c r="BK53" s="460">
        <v>0</v>
      </c>
      <c r="BL53" s="460">
        <v>0</v>
      </c>
      <c r="BM53" s="460">
        <v>101774.55982355469</v>
      </c>
      <c r="BN53" s="460">
        <v>0</v>
      </c>
      <c r="BO53" s="460">
        <v>0</v>
      </c>
      <c r="BP53" s="460">
        <v>0</v>
      </c>
      <c r="BQ53" s="460">
        <v>0</v>
      </c>
      <c r="BR53" s="460">
        <v>0</v>
      </c>
      <c r="BS53" s="460">
        <v>0</v>
      </c>
      <c r="BT53" s="460">
        <v>0</v>
      </c>
      <c r="BU53" s="460">
        <v>0</v>
      </c>
      <c r="BV53" s="460">
        <v>0</v>
      </c>
      <c r="BW53" s="460">
        <v>0</v>
      </c>
      <c r="BX53" s="460">
        <v>0</v>
      </c>
      <c r="BY53" s="460">
        <v>0</v>
      </c>
      <c r="BZ53" s="460">
        <v>0</v>
      </c>
      <c r="CA53" s="460" t="e">
        <v>#N/A</v>
      </c>
      <c r="CB53" s="460" t="e">
        <v>#N/A</v>
      </c>
      <c r="CC53" s="460" t="e">
        <v>#N/A</v>
      </c>
    </row>
    <row r="54" spans="1:81" ht="12.75" customHeight="1">
      <c r="A54" s="105">
        <v>49</v>
      </c>
      <c r="B54" s="458" t="str">
        <v>22Y</v>
      </c>
      <c r="C54" s="465">
        <f>'eur disaggregated'!W65</f>
        <v>98465.681912517175</v>
      </c>
      <c r="D54" s="111" t="str">
        <f t="shared" si="6"/>
        <v>264M</v>
      </c>
      <c r="E54" s="441">
        <f t="shared" si="5"/>
        <v>42696</v>
      </c>
      <c r="F54" s="441">
        <f>IF(AND(NOT(ISNA(MATCH(RIGHT(B54,2),$I$6:$I$67,0))),LEN(B54)&lt;6,RIGHT(B54,1)="M"),INDEX($K$6:$K$67,MATCH(RIGHT(B54,2),$I$6:$I$67,0)),IF(AND(NOT(ISNA(MATCH((IF(RIGHT(B54,3)="24M","2Y",IF(RIGHT(B54,3)="12M", "1Y", RIGHT(B54,3)))),$I$6:$I$67,0))),LEN(B54)&gt;=6,RIGHT(B54,1)="M"),INDEX($K$6:$K$67,MATCH((IF(RIGHT(B54,3)="24M","2Y",IF(RIGHT(B54,3)="12M", "1Y", RIGHT(B54,3)))),$I$6:$I$67,0)),_xll.qlCalendarAdvance(Calendar,E54,D54)))</f>
        <v>50731</v>
      </c>
      <c r="G54" s="462">
        <f t="shared" si="2"/>
        <v>1.155100557E-2</v>
      </c>
      <c r="H54" s="453">
        <v>1.1551005569999999</v>
      </c>
      <c r="I54" s="107" t="str">
        <v>21Y</v>
      </c>
      <c r="J54" s="106" t="str">
        <f>IF(LEN(I54)&gt;0,IF((MID(I54,4,1)=" "),#REF!,IF((LEN(I54)=8),DATE("20" &amp; RIGHT(I54,2),MID(I54,4,2),LEFT(I54,2)),SimplifyTenor(I54))),"")</f>
        <v>252M</v>
      </c>
      <c r="K54" s="448">
        <f>_xll.qlCalendarAdvance("TARGET",SettlementDate,J54)</f>
        <v>50367</v>
      </c>
      <c r="M54" s="99" t="str">
        <v>21Y</v>
      </c>
      <c r="N54" s="465">
        <v>101774.55982355469</v>
      </c>
      <c r="P54" s="106" t="b">
        <f t="shared" si="7"/>
        <v>0</v>
      </c>
      <c r="Q54" s="460">
        <f t="array" ref="Q54:CC54">C54*ForwardToZero(OisBuckets,E54,F54,G54)</f>
        <v>0</v>
      </c>
      <c r="R54" s="460">
        <v>0</v>
      </c>
      <c r="S54" s="460">
        <v>0</v>
      </c>
      <c r="T54" s="460">
        <v>0</v>
      </c>
      <c r="U54" s="460">
        <v>0</v>
      </c>
      <c r="V54" s="460">
        <v>0</v>
      </c>
      <c r="W54" s="460">
        <v>0</v>
      </c>
      <c r="X54" s="460">
        <v>0</v>
      </c>
      <c r="Y54" s="460">
        <v>0</v>
      </c>
      <c r="Z54" s="460">
        <v>0</v>
      </c>
      <c r="AA54" s="460">
        <v>0</v>
      </c>
      <c r="AB54" s="460">
        <v>0</v>
      </c>
      <c r="AC54" s="460">
        <v>0</v>
      </c>
      <c r="AD54" s="460">
        <v>0</v>
      </c>
      <c r="AE54" s="460">
        <v>0</v>
      </c>
      <c r="AF54" s="460">
        <v>0</v>
      </c>
      <c r="AG54" s="460">
        <v>0</v>
      </c>
      <c r="AH54" s="460">
        <v>0</v>
      </c>
      <c r="AI54" s="460">
        <v>0</v>
      </c>
      <c r="AJ54" s="460">
        <v>0</v>
      </c>
      <c r="AK54" s="460">
        <v>0</v>
      </c>
      <c r="AL54" s="460">
        <v>0</v>
      </c>
      <c r="AM54" s="460">
        <v>0</v>
      </c>
      <c r="AN54" s="460">
        <v>0</v>
      </c>
      <c r="AO54" s="460">
        <v>0</v>
      </c>
      <c r="AP54" s="460">
        <v>0</v>
      </c>
      <c r="AQ54" s="460">
        <v>0</v>
      </c>
      <c r="AR54" s="460">
        <v>0</v>
      </c>
      <c r="AS54" s="460">
        <v>0</v>
      </c>
      <c r="AT54" s="460">
        <v>0</v>
      </c>
      <c r="AU54" s="460">
        <v>0</v>
      </c>
      <c r="AV54" s="460">
        <v>0</v>
      </c>
      <c r="AW54" s="460">
        <v>0</v>
      </c>
      <c r="AX54" s="460">
        <v>0</v>
      </c>
      <c r="AY54" s="460">
        <v>0</v>
      </c>
      <c r="AZ54" s="460">
        <v>0</v>
      </c>
      <c r="BA54" s="460">
        <v>0</v>
      </c>
      <c r="BB54" s="460">
        <v>0</v>
      </c>
      <c r="BC54" s="460">
        <v>0</v>
      </c>
      <c r="BD54" s="460">
        <v>0</v>
      </c>
      <c r="BE54" s="460">
        <v>0</v>
      </c>
      <c r="BF54" s="460">
        <v>0</v>
      </c>
      <c r="BG54" s="460">
        <v>0</v>
      </c>
      <c r="BH54" s="460">
        <v>0</v>
      </c>
      <c r="BI54" s="460">
        <v>0</v>
      </c>
      <c r="BJ54" s="460">
        <v>0</v>
      </c>
      <c r="BK54" s="460">
        <v>0</v>
      </c>
      <c r="BL54" s="460">
        <v>0</v>
      </c>
      <c r="BM54" s="460">
        <v>0</v>
      </c>
      <c r="BN54" s="460">
        <v>98465.681912517175</v>
      </c>
      <c r="BO54" s="460">
        <v>0</v>
      </c>
      <c r="BP54" s="460">
        <v>0</v>
      </c>
      <c r="BQ54" s="460">
        <v>0</v>
      </c>
      <c r="BR54" s="460">
        <v>0</v>
      </c>
      <c r="BS54" s="460">
        <v>0</v>
      </c>
      <c r="BT54" s="460">
        <v>0</v>
      </c>
      <c r="BU54" s="460">
        <v>0</v>
      </c>
      <c r="BV54" s="460">
        <v>0</v>
      </c>
      <c r="BW54" s="460">
        <v>0</v>
      </c>
      <c r="BX54" s="460">
        <v>0</v>
      </c>
      <c r="BY54" s="460">
        <v>0</v>
      </c>
      <c r="BZ54" s="460">
        <v>0</v>
      </c>
      <c r="CA54" s="460" t="e">
        <v>#N/A</v>
      </c>
      <c r="CB54" s="460" t="e">
        <v>#N/A</v>
      </c>
      <c r="CC54" s="460" t="e">
        <v>#N/A</v>
      </c>
    </row>
    <row r="55" spans="1:81" ht="12.75" customHeight="1">
      <c r="A55" s="105">
        <v>50</v>
      </c>
      <c r="B55" s="458" t="str">
        <v>23Y</v>
      </c>
      <c r="C55" s="465">
        <f>'eur disaggregated'!W66</f>
        <v>9800.5529406788555</v>
      </c>
      <c r="D55" s="111" t="str">
        <f t="shared" si="6"/>
        <v>276M</v>
      </c>
      <c r="E55" s="441">
        <f t="shared" si="5"/>
        <v>42696</v>
      </c>
      <c r="F55" s="441">
        <f>IF(AND(NOT(ISNA(MATCH(RIGHT(B55,2),$I$6:$I$67,0))),LEN(B55)&lt;6,RIGHT(B55,1)="M"),INDEX($K$6:$K$67,MATCH(RIGHT(B55,2),$I$6:$I$67,0)),IF(AND(NOT(ISNA(MATCH((IF(RIGHT(B55,3)="24M","2Y",IF(RIGHT(B55,3)="12M", "1Y", RIGHT(B55,3)))),$I$6:$I$67,0))),LEN(B55)&gt;=6,RIGHT(B55,1)="M"),INDEX($K$6:$K$67,MATCH((IF(RIGHT(B55,3)="24M","2Y",IF(RIGHT(B55,3)="12M", "1Y", RIGHT(B55,3)))),$I$6:$I$67,0)),_xll.qlCalendarAdvance(Calendar,E55,D55)))</f>
        <v>51096</v>
      </c>
      <c r="G55" s="462">
        <f t="shared" si="2"/>
        <v>1.1614880880000001E-2</v>
      </c>
      <c r="H55" s="453">
        <v>1.161488088</v>
      </c>
      <c r="I55" s="107" t="str">
        <v>22Y</v>
      </c>
      <c r="J55" s="106" t="str">
        <f>IF(LEN(I55)&gt;0,IF((MID(I55,4,1)=" "),#REF!,IF((LEN(I55)=8),DATE("20" &amp; RIGHT(I55,2),MID(I55,4,2),LEFT(I55,2)),SimplifyTenor(I55))),"")</f>
        <v>264M</v>
      </c>
      <c r="K55" s="448">
        <f>_xll.qlCalendarAdvance("TARGET",SettlementDate,J55)</f>
        <v>50731</v>
      </c>
      <c r="M55" s="99" t="str">
        <v>22Y</v>
      </c>
      <c r="N55" s="465">
        <v>98465.681912517175</v>
      </c>
      <c r="P55" s="106" t="b">
        <f t="shared" si="7"/>
        <v>0</v>
      </c>
      <c r="Q55" s="460">
        <f t="array" ref="Q55:CC55">C55*ForwardToZero(OisBuckets,E55,F55,G55)</f>
        <v>0</v>
      </c>
      <c r="R55" s="460">
        <v>0</v>
      </c>
      <c r="S55" s="460">
        <v>0</v>
      </c>
      <c r="T55" s="460">
        <v>0</v>
      </c>
      <c r="U55" s="460">
        <v>0</v>
      </c>
      <c r="V55" s="460">
        <v>0</v>
      </c>
      <c r="W55" s="460">
        <v>0</v>
      </c>
      <c r="X55" s="460">
        <v>0</v>
      </c>
      <c r="Y55" s="460">
        <v>0</v>
      </c>
      <c r="Z55" s="460">
        <v>0</v>
      </c>
      <c r="AA55" s="460">
        <v>0</v>
      </c>
      <c r="AB55" s="460">
        <v>0</v>
      </c>
      <c r="AC55" s="460">
        <v>0</v>
      </c>
      <c r="AD55" s="460">
        <v>0</v>
      </c>
      <c r="AE55" s="460">
        <v>0</v>
      </c>
      <c r="AF55" s="460">
        <v>0</v>
      </c>
      <c r="AG55" s="460">
        <v>0</v>
      </c>
      <c r="AH55" s="460">
        <v>0</v>
      </c>
      <c r="AI55" s="460">
        <v>0</v>
      </c>
      <c r="AJ55" s="460">
        <v>0</v>
      </c>
      <c r="AK55" s="460">
        <v>0</v>
      </c>
      <c r="AL55" s="460">
        <v>0</v>
      </c>
      <c r="AM55" s="460">
        <v>0</v>
      </c>
      <c r="AN55" s="460">
        <v>0</v>
      </c>
      <c r="AO55" s="460">
        <v>0</v>
      </c>
      <c r="AP55" s="460">
        <v>0</v>
      </c>
      <c r="AQ55" s="460">
        <v>0</v>
      </c>
      <c r="AR55" s="460">
        <v>0</v>
      </c>
      <c r="AS55" s="460">
        <v>0</v>
      </c>
      <c r="AT55" s="460">
        <v>0</v>
      </c>
      <c r="AU55" s="460">
        <v>0</v>
      </c>
      <c r="AV55" s="460">
        <v>0</v>
      </c>
      <c r="AW55" s="460">
        <v>0</v>
      </c>
      <c r="AX55" s="460">
        <v>0</v>
      </c>
      <c r="AY55" s="460">
        <v>0</v>
      </c>
      <c r="AZ55" s="460">
        <v>0</v>
      </c>
      <c r="BA55" s="460">
        <v>0</v>
      </c>
      <c r="BB55" s="460">
        <v>0</v>
      </c>
      <c r="BC55" s="460">
        <v>0</v>
      </c>
      <c r="BD55" s="460">
        <v>0</v>
      </c>
      <c r="BE55" s="460">
        <v>0</v>
      </c>
      <c r="BF55" s="460">
        <v>0</v>
      </c>
      <c r="BG55" s="460">
        <v>0</v>
      </c>
      <c r="BH55" s="460">
        <v>0</v>
      </c>
      <c r="BI55" s="460">
        <v>0</v>
      </c>
      <c r="BJ55" s="460">
        <v>0</v>
      </c>
      <c r="BK55" s="460">
        <v>0</v>
      </c>
      <c r="BL55" s="460">
        <v>0</v>
      </c>
      <c r="BM55" s="460">
        <v>0</v>
      </c>
      <c r="BN55" s="460">
        <v>0</v>
      </c>
      <c r="BO55" s="460">
        <v>9800.5529406788555</v>
      </c>
      <c r="BP55" s="460">
        <v>0</v>
      </c>
      <c r="BQ55" s="460">
        <v>0</v>
      </c>
      <c r="BR55" s="460">
        <v>0</v>
      </c>
      <c r="BS55" s="460">
        <v>0</v>
      </c>
      <c r="BT55" s="460">
        <v>0</v>
      </c>
      <c r="BU55" s="460">
        <v>0</v>
      </c>
      <c r="BV55" s="460">
        <v>0</v>
      </c>
      <c r="BW55" s="460">
        <v>0</v>
      </c>
      <c r="BX55" s="460">
        <v>0</v>
      </c>
      <c r="BY55" s="460">
        <v>0</v>
      </c>
      <c r="BZ55" s="460">
        <v>0</v>
      </c>
      <c r="CA55" s="460" t="e">
        <v>#N/A</v>
      </c>
      <c r="CB55" s="460" t="e">
        <v>#N/A</v>
      </c>
      <c r="CC55" s="460" t="e">
        <v>#N/A</v>
      </c>
    </row>
    <row r="56" spans="1:81" ht="12.75" customHeight="1">
      <c r="A56" s="105">
        <v>51</v>
      </c>
      <c r="B56" s="458" t="str">
        <v>24Y</v>
      </c>
      <c r="C56" s="465">
        <f>'eur disaggregated'!W67</f>
        <v>27789.624610198927</v>
      </c>
      <c r="D56" s="111" t="str">
        <f t="shared" si="6"/>
        <v>288M</v>
      </c>
      <c r="E56" s="441">
        <f t="shared" si="5"/>
        <v>42696</v>
      </c>
      <c r="F56" s="441">
        <f>IF(AND(NOT(ISNA(MATCH(RIGHT(B56,2),$I$6:$I$67,0))),LEN(B56)&lt;6,RIGHT(B56,1)="M"),INDEX($K$6:$K$67,MATCH(RIGHT(B56,2),$I$6:$I$67,0)),IF(AND(NOT(ISNA(MATCH((IF(RIGHT(B56,3)="24M","2Y",IF(RIGHT(B56,3)="12M", "1Y", RIGHT(B56,3)))),$I$6:$I$67,0))),LEN(B56)&gt;=6,RIGHT(B56,1)="M"),INDEX($K$6:$K$67,MATCH((IF(RIGHT(B56,3)="24M","2Y",IF(RIGHT(B56,3)="12M", "1Y", RIGHT(B56,3)))),$I$6:$I$67,0)),_xll.qlCalendarAdvance(Calendar,E56,D56)))</f>
        <v>51462</v>
      </c>
      <c r="G56" s="462">
        <f t="shared" si="2"/>
        <v>1.166357398E-2</v>
      </c>
      <c r="H56" s="453">
        <v>1.1663573979999999</v>
      </c>
      <c r="I56" s="107" t="str">
        <v>23Y</v>
      </c>
      <c r="J56" s="106" t="str">
        <f>IF(LEN(I56)&gt;0,IF((MID(I56,4,1)=" "),#REF!,IF((LEN(I56)=8),DATE("20" &amp; RIGHT(I56,2),MID(I56,4,2),LEFT(I56,2)),SimplifyTenor(I56))),"")</f>
        <v>276M</v>
      </c>
      <c r="K56" s="448">
        <f>_xll.qlCalendarAdvance("TARGET",SettlementDate,J56)</f>
        <v>51096</v>
      </c>
      <c r="M56" s="99" t="str">
        <v>23Y</v>
      </c>
      <c r="N56" s="465">
        <v>9800.5529406788555</v>
      </c>
      <c r="P56" s="106" t="b">
        <f t="shared" si="7"/>
        <v>0</v>
      </c>
      <c r="Q56" s="460">
        <f t="array" ref="Q56:CC56">C56*ForwardToZero(OisBuckets,E56,F56,G56)</f>
        <v>0</v>
      </c>
      <c r="R56" s="460">
        <v>0</v>
      </c>
      <c r="S56" s="460">
        <v>0</v>
      </c>
      <c r="T56" s="460">
        <v>0</v>
      </c>
      <c r="U56" s="460">
        <v>0</v>
      </c>
      <c r="V56" s="460">
        <v>0</v>
      </c>
      <c r="W56" s="460">
        <v>0</v>
      </c>
      <c r="X56" s="460">
        <v>0</v>
      </c>
      <c r="Y56" s="460">
        <v>0</v>
      </c>
      <c r="Z56" s="460">
        <v>0</v>
      </c>
      <c r="AA56" s="460">
        <v>0</v>
      </c>
      <c r="AB56" s="460">
        <v>0</v>
      </c>
      <c r="AC56" s="460">
        <v>0</v>
      </c>
      <c r="AD56" s="460">
        <v>0</v>
      </c>
      <c r="AE56" s="460">
        <v>0</v>
      </c>
      <c r="AF56" s="460">
        <v>0</v>
      </c>
      <c r="AG56" s="460">
        <v>0</v>
      </c>
      <c r="AH56" s="460">
        <v>0</v>
      </c>
      <c r="AI56" s="460">
        <v>0</v>
      </c>
      <c r="AJ56" s="460">
        <v>0</v>
      </c>
      <c r="AK56" s="460">
        <v>0</v>
      </c>
      <c r="AL56" s="460">
        <v>0</v>
      </c>
      <c r="AM56" s="460">
        <v>0</v>
      </c>
      <c r="AN56" s="460">
        <v>0</v>
      </c>
      <c r="AO56" s="460">
        <v>0</v>
      </c>
      <c r="AP56" s="460">
        <v>0</v>
      </c>
      <c r="AQ56" s="460">
        <v>0</v>
      </c>
      <c r="AR56" s="460">
        <v>0</v>
      </c>
      <c r="AS56" s="460">
        <v>0</v>
      </c>
      <c r="AT56" s="460">
        <v>0</v>
      </c>
      <c r="AU56" s="460">
        <v>0</v>
      </c>
      <c r="AV56" s="460">
        <v>0</v>
      </c>
      <c r="AW56" s="460">
        <v>0</v>
      </c>
      <c r="AX56" s="460">
        <v>0</v>
      </c>
      <c r="AY56" s="460">
        <v>0</v>
      </c>
      <c r="AZ56" s="460">
        <v>0</v>
      </c>
      <c r="BA56" s="460">
        <v>0</v>
      </c>
      <c r="BB56" s="460">
        <v>0</v>
      </c>
      <c r="BC56" s="460">
        <v>0</v>
      </c>
      <c r="BD56" s="460">
        <v>0</v>
      </c>
      <c r="BE56" s="460">
        <v>0</v>
      </c>
      <c r="BF56" s="460">
        <v>0</v>
      </c>
      <c r="BG56" s="460">
        <v>0</v>
      </c>
      <c r="BH56" s="460">
        <v>0</v>
      </c>
      <c r="BI56" s="460">
        <v>0</v>
      </c>
      <c r="BJ56" s="460">
        <v>0</v>
      </c>
      <c r="BK56" s="460">
        <v>0</v>
      </c>
      <c r="BL56" s="460">
        <v>0</v>
      </c>
      <c r="BM56" s="460">
        <v>0</v>
      </c>
      <c r="BN56" s="460">
        <v>0</v>
      </c>
      <c r="BO56" s="460">
        <v>0</v>
      </c>
      <c r="BP56" s="460">
        <v>27789.624610198927</v>
      </c>
      <c r="BQ56" s="460">
        <v>0</v>
      </c>
      <c r="BR56" s="460">
        <v>0</v>
      </c>
      <c r="BS56" s="460">
        <v>0</v>
      </c>
      <c r="BT56" s="460">
        <v>0</v>
      </c>
      <c r="BU56" s="460">
        <v>0</v>
      </c>
      <c r="BV56" s="460">
        <v>0</v>
      </c>
      <c r="BW56" s="460">
        <v>0</v>
      </c>
      <c r="BX56" s="460">
        <v>0</v>
      </c>
      <c r="BY56" s="460">
        <v>0</v>
      </c>
      <c r="BZ56" s="460">
        <v>0</v>
      </c>
      <c r="CA56" s="460" t="e">
        <v>#N/A</v>
      </c>
      <c r="CB56" s="460" t="e">
        <v>#N/A</v>
      </c>
      <c r="CC56" s="460" t="e">
        <v>#N/A</v>
      </c>
    </row>
    <row r="57" spans="1:81" ht="12.75" customHeight="1">
      <c r="A57" s="105">
        <v>52</v>
      </c>
      <c r="B57" s="458" t="str">
        <v>25Y</v>
      </c>
      <c r="C57" s="465">
        <f>'eur disaggregated'!W68</f>
        <v>-26086.850324685813</v>
      </c>
      <c r="D57" s="111" t="str">
        <f t="shared" si="6"/>
        <v>300M</v>
      </c>
      <c r="E57" s="441">
        <f t="shared" si="5"/>
        <v>42696</v>
      </c>
      <c r="F57" s="441">
        <f>IF(AND(NOT(ISNA(MATCH(RIGHT(B57,2),$I$6:$I$67,0))),LEN(B57)&lt;6,RIGHT(B57,1)="M"),INDEX($K$6:$K$67,MATCH(RIGHT(B57,2),$I$6:$I$67,0)),IF(AND(NOT(ISNA(MATCH((IF(RIGHT(B57,3)="24M","2Y",IF(RIGHT(B57,3)="12M", "1Y", RIGHT(B57,3)))),$I$6:$I$67,0))),LEN(B57)&gt;=6,RIGHT(B57,1)="M"),INDEX($K$6:$K$67,MATCH((IF(RIGHT(B57,3)="24M","2Y",IF(RIGHT(B57,3)="12M", "1Y", RIGHT(B57,3)))),$I$6:$I$67,0)),_xll.qlCalendarAdvance(Calendar,E57,D57)))</f>
        <v>51827</v>
      </c>
      <c r="G57" s="462">
        <f t="shared" si="2"/>
        <v>1.1699999999999999E-2</v>
      </c>
      <c r="H57" s="453">
        <v>1.17</v>
      </c>
      <c r="I57" s="107" t="str">
        <v>24Y</v>
      </c>
      <c r="J57" s="106" t="str">
        <f>IF(LEN(I57)&gt;0,IF((MID(I57,4,1)=" "),#REF!,IF((LEN(I57)=8),DATE("20" &amp; RIGHT(I57,2),MID(I57,4,2),LEFT(I57,2)),SimplifyTenor(I57))),"")</f>
        <v>288M</v>
      </c>
      <c r="K57" s="448">
        <f>_xll.qlCalendarAdvance("TARGET",SettlementDate,J57)</f>
        <v>51462</v>
      </c>
      <c r="M57" s="99" t="str">
        <v>24Y</v>
      </c>
      <c r="N57" s="465">
        <v>27789.624610198927</v>
      </c>
      <c r="P57" s="106" t="b">
        <f t="shared" si="7"/>
        <v>0</v>
      </c>
      <c r="Q57" s="460">
        <f t="array" ref="Q57:CC57">C57*ForwardToZero(OisBuckets,E57,F57,G57)</f>
        <v>0</v>
      </c>
      <c r="R57" s="460">
        <v>0</v>
      </c>
      <c r="S57" s="460">
        <v>0</v>
      </c>
      <c r="T57" s="460">
        <v>0</v>
      </c>
      <c r="U57" s="460">
        <v>0</v>
      </c>
      <c r="V57" s="460">
        <v>0</v>
      </c>
      <c r="W57" s="460">
        <v>0</v>
      </c>
      <c r="X57" s="460">
        <v>0</v>
      </c>
      <c r="Y57" s="460">
        <v>0</v>
      </c>
      <c r="Z57" s="460">
        <v>0</v>
      </c>
      <c r="AA57" s="460">
        <v>0</v>
      </c>
      <c r="AB57" s="460">
        <v>0</v>
      </c>
      <c r="AC57" s="460">
        <v>0</v>
      </c>
      <c r="AD57" s="460">
        <v>0</v>
      </c>
      <c r="AE57" s="460">
        <v>0</v>
      </c>
      <c r="AF57" s="460">
        <v>0</v>
      </c>
      <c r="AG57" s="460">
        <v>0</v>
      </c>
      <c r="AH57" s="460">
        <v>0</v>
      </c>
      <c r="AI57" s="460">
        <v>0</v>
      </c>
      <c r="AJ57" s="460">
        <v>0</v>
      </c>
      <c r="AK57" s="460">
        <v>0</v>
      </c>
      <c r="AL57" s="460">
        <v>0</v>
      </c>
      <c r="AM57" s="460">
        <v>0</v>
      </c>
      <c r="AN57" s="460">
        <v>0</v>
      </c>
      <c r="AO57" s="460">
        <v>0</v>
      </c>
      <c r="AP57" s="460">
        <v>0</v>
      </c>
      <c r="AQ57" s="460">
        <v>0</v>
      </c>
      <c r="AR57" s="460">
        <v>0</v>
      </c>
      <c r="AS57" s="460">
        <v>0</v>
      </c>
      <c r="AT57" s="460">
        <v>0</v>
      </c>
      <c r="AU57" s="460">
        <v>0</v>
      </c>
      <c r="AV57" s="460">
        <v>0</v>
      </c>
      <c r="AW57" s="460">
        <v>0</v>
      </c>
      <c r="AX57" s="460">
        <v>0</v>
      </c>
      <c r="AY57" s="460">
        <v>0</v>
      </c>
      <c r="AZ57" s="460">
        <v>0</v>
      </c>
      <c r="BA57" s="460">
        <v>0</v>
      </c>
      <c r="BB57" s="460">
        <v>0</v>
      </c>
      <c r="BC57" s="460">
        <v>0</v>
      </c>
      <c r="BD57" s="460">
        <v>0</v>
      </c>
      <c r="BE57" s="460">
        <v>0</v>
      </c>
      <c r="BF57" s="460">
        <v>0</v>
      </c>
      <c r="BG57" s="460">
        <v>0</v>
      </c>
      <c r="BH57" s="460">
        <v>0</v>
      </c>
      <c r="BI57" s="460">
        <v>0</v>
      </c>
      <c r="BJ57" s="460">
        <v>0</v>
      </c>
      <c r="BK57" s="460">
        <v>0</v>
      </c>
      <c r="BL57" s="460">
        <v>0</v>
      </c>
      <c r="BM57" s="460">
        <v>0</v>
      </c>
      <c r="BN57" s="460">
        <v>0</v>
      </c>
      <c r="BO57" s="460">
        <v>0</v>
      </c>
      <c r="BP57" s="460">
        <v>0</v>
      </c>
      <c r="BQ57" s="460">
        <v>-26086.850324685813</v>
      </c>
      <c r="BR57" s="460">
        <v>0</v>
      </c>
      <c r="BS57" s="460">
        <v>0</v>
      </c>
      <c r="BT57" s="460">
        <v>0</v>
      </c>
      <c r="BU57" s="460">
        <v>0</v>
      </c>
      <c r="BV57" s="460">
        <v>0</v>
      </c>
      <c r="BW57" s="460">
        <v>0</v>
      </c>
      <c r="BX57" s="460">
        <v>0</v>
      </c>
      <c r="BY57" s="460">
        <v>0</v>
      </c>
      <c r="BZ57" s="460">
        <v>0</v>
      </c>
      <c r="CA57" s="460" t="e">
        <v>#N/A</v>
      </c>
      <c r="CB57" s="460" t="e">
        <v>#N/A</v>
      </c>
      <c r="CC57" s="460" t="e">
        <v>#N/A</v>
      </c>
    </row>
    <row r="58" spans="1:81">
      <c r="A58" s="105">
        <v>53</v>
      </c>
      <c r="B58" s="458" t="str">
        <v>26Y</v>
      </c>
      <c r="C58" s="465">
        <f>'eur disaggregated'!W69</f>
        <v>4512.9941925996027</v>
      </c>
      <c r="D58" s="111" t="str">
        <f t="shared" si="6"/>
        <v>312M</v>
      </c>
      <c r="E58" s="441">
        <f t="shared" si="5"/>
        <v>42696</v>
      </c>
      <c r="F58" s="441">
        <f>IF(AND(NOT(ISNA(MATCH(RIGHT(B58,2),$I$6:$I$67,0))),LEN(B58)&lt;6,RIGHT(B58,1)="M"),INDEX($K$6:$K$67,MATCH(RIGHT(B58,2),$I$6:$I$67,0)),IF(AND(NOT(ISNA(MATCH((IF(RIGHT(B58,3)="24M","2Y",IF(RIGHT(B58,3)="12M", "1Y", RIGHT(B58,3)))),$I$6:$I$67,0))),LEN(B58)&gt;=6,RIGHT(B58,1)="M"),INDEX($K$6:$K$67,MATCH((IF(RIGHT(B58,3)="24M","2Y",IF(RIGHT(B58,3)="12M", "1Y", RIGHT(B58,3)))),$I$6:$I$67,0)),_xll.qlCalendarAdvance(Calendar,E58,D58)))</f>
        <v>52194</v>
      </c>
      <c r="G58" s="462">
        <f t="shared" si="2"/>
        <v>1.1730526349999999E-2</v>
      </c>
      <c r="H58" s="453">
        <v>1.1730526349999999</v>
      </c>
      <c r="I58" s="107" t="str">
        <v>25Y</v>
      </c>
      <c r="J58" s="106" t="str">
        <f>IF(LEN(I58)&gt;0,IF((MID(I58,4,1)=" "),#REF!,IF((LEN(I58)=8),DATE("20" &amp; RIGHT(I58,2),MID(I58,4,2),LEFT(I58,2)),SimplifyTenor(I58))),"")</f>
        <v>300M</v>
      </c>
      <c r="K58" s="448">
        <f>_xll.qlCalendarAdvance("TARGET",SettlementDate,J58)</f>
        <v>51827</v>
      </c>
      <c r="M58" s="99" t="str">
        <v>25Y</v>
      </c>
      <c r="N58" s="465">
        <v>-26086.850324685813</v>
      </c>
      <c r="P58" s="106" t="b">
        <f t="shared" si="7"/>
        <v>0</v>
      </c>
      <c r="Q58" s="460">
        <f t="array" ref="Q58:CC58">C58*ForwardToZero(OisBuckets,E58,F58,G58)</f>
        <v>0</v>
      </c>
      <c r="R58" s="460">
        <v>0</v>
      </c>
      <c r="S58" s="460">
        <v>0</v>
      </c>
      <c r="T58" s="460">
        <v>0</v>
      </c>
      <c r="U58" s="460">
        <v>0</v>
      </c>
      <c r="V58" s="460">
        <v>0</v>
      </c>
      <c r="W58" s="460">
        <v>0</v>
      </c>
      <c r="X58" s="460">
        <v>0</v>
      </c>
      <c r="Y58" s="460">
        <v>0</v>
      </c>
      <c r="Z58" s="460">
        <v>0</v>
      </c>
      <c r="AA58" s="460">
        <v>0</v>
      </c>
      <c r="AB58" s="460">
        <v>0</v>
      </c>
      <c r="AC58" s="460">
        <v>0</v>
      </c>
      <c r="AD58" s="460">
        <v>0</v>
      </c>
      <c r="AE58" s="460">
        <v>0</v>
      </c>
      <c r="AF58" s="460">
        <v>0</v>
      </c>
      <c r="AG58" s="460">
        <v>0</v>
      </c>
      <c r="AH58" s="460">
        <v>0</v>
      </c>
      <c r="AI58" s="460">
        <v>0</v>
      </c>
      <c r="AJ58" s="460">
        <v>0</v>
      </c>
      <c r="AK58" s="460">
        <v>0</v>
      </c>
      <c r="AL58" s="460">
        <v>0</v>
      </c>
      <c r="AM58" s="460">
        <v>0</v>
      </c>
      <c r="AN58" s="460">
        <v>0</v>
      </c>
      <c r="AO58" s="460">
        <v>0</v>
      </c>
      <c r="AP58" s="460">
        <v>0</v>
      </c>
      <c r="AQ58" s="460">
        <v>0</v>
      </c>
      <c r="AR58" s="460">
        <v>0</v>
      </c>
      <c r="AS58" s="460">
        <v>0</v>
      </c>
      <c r="AT58" s="460">
        <v>0</v>
      </c>
      <c r="AU58" s="460">
        <v>0</v>
      </c>
      <c r="AV58" s="460">
        <v>0</v>
      </c>
      <c r="AW58" s="460">
        <v>0</v>
      </c>
      <c r="AX58" s="460">
        <v>0</v>
      </c>
      <c r="AY58" s="460">
        <v>0</v>
      </c>
      <c r="AZ58" s="460">
        <v>0</v>
      </c>
      <c r="BA58" s="460">
        <v>0</v>
      </c>
      <c r="BB58" s="460">
        <v>0</v>
      </c>
      <c r="BC58" s="460">
        <v>0</v>
      </c>
      <c r="BD58" s="460">
        <v>0</v>
      </c>
      <c r="BE58" s="460">
        <v>0</v>
      </c>
      <c r="BF58" s="460">
        <v>0</v>
      </c>
      <c r="BG58" s="460">
        <v>0</v>
      </c>
      <c r="BH58" s="460">
        <v>0</v>
      </c>
      <c r="BI58" s="460">
        <v>0</v>
      </c>
      <c r="BJ58" s="460">
        <v>0</v>
      </c>
      <c r="BK58" s="460">
        <v>0</v>
      </c>
      <c r="BL58" s="460">
        <v>0</v>
      </c>
      <c r="BM58" s="460">
        <v>0</v>
      </c>
      <c r="BN58" s="460">
        <v>0</v>
      </c>
      <c r="BO58" s="460">
        <v>0</v>
      </c>
      <c r="BP58" s="460">
        <v>0</v>
      </c>
      <c r="BQ58" s="460">
        <v>0</v>
      </c>
      <c r="BR58" s="460">
        <v>4512.9941925996027</v>
      </c>
      <c r="BS58" s="460">
        <v>0</v>
      </c>
      <c r="BT58" s="460">
        <v>0</v>
      </c>
      <c r="BU58" s="460">
        <v>0</v>
      </c>
      <c r="BV58" s="460">
        <v>0</v>
      </c>
      <c r="BW58" s="460">
        <v>0</v>
      </c>
      <c r="BX58" s="460">
        <v>0</v>
      </c>
      <c r="BY58" s="460">
        <v>0</v>
      </c>
      <c r="BZ58" s="460">
        <v>0</v>
      </c>
      <c r="CA58" s="460" t="e">
        <v>#N/A</v>
      </c>
      <c r="CB58" s="460" t="e">
        <v>#N/A</v>
      </c>
      <c r="CC58" s="460" t="e">
        <v>#N/A</v>
      </c>
    </row>
    <row r="59" spans="1:81" ht="12.75" customHeight="1">
      <c r="A59" s="105">
        <v>54</v>
      </c>
      <c r="B59" s="458" t="str">
        <v>27Y</v>
      </c>
      <c r="C59" s="465">
        <f>'eur disaggregated'!W70</f>
        <v>1508.5126188608497</v>
      </c>
      <c r="D59" s="111" t="str">
        <f t="shared" si="6"/>
        <v>324M</v>
      </c>
      <c r="E59" s="441">
        <f t="shared" si="5"/>
        <v>42696</v>
      </c>
      <c r="F59" s="441">
        <f>IF(AND(NOT(ISNA(MATCH(RIGHT(B59,2),$I$6:$I$67,0))),LEN(B59)&lt;6,RIGHT(B59,1)="M"),INDEX($K$6:$K$67,MATCH(RIGHT(B59,2),$I$6:$I$67,0)),IF(AND(NOT(ISNA(MATCH((IF(RIGHT(B59,3)="24M","2Y",IF(RIGHT(B59,3)="12M", "1Y", RIGHT(B59,3)))),$I$6:$I$67,0))),LEN(B59)&gt;=6,RIGHT(B59,1)="M"),INDEX($K$6:$K$67,MATCH((IF(RIGHT(B59,3)="24M","2Y",IF(RIGHT(B59,3)="12M", "1Y", RIGHT(B59,3)))),$I$6:$I$67,0)),_xll.qlCalendarAdvance(Calendar,E59,D59)))</f>
        <v>52558</v>
      </c>
      <c r="G59" s="462">
        <f t="shared" si="2"/>
        <v>1.1755861329999999E-2</v>
      </c>
      <c r="H59" s="453">
        <v>1.1755861329999999</v>
      </c>
      <c r="I59" s="107" t="str">
        <v>26Y</v>
      </c>
      <c r="J59" s="106" t="str">
        <f>IF(LEN(I59)&gt;0,IF((MID(I59,4,1)=" "),#REF!,IF((LEN(I59)=8),DATE("20" &amp; RIGHT(I59,2),MID(I59,4,2),LEFT(I59,2)),SimplifyTenor(I59))),"")</f>
        <v>312M</v>
      </c>
      <c r="K59" s="448">
        <f>_xll.qlCalendarAdvance("TARGET",SettlementDate,J59)</f>
        <v>52194</v>
      </c>
      <c r="M59" s="99" t="str">
        <v>26Y</v>
      </c>
      <c r="N59" s="465">
        <v>4512.9941925996027</v>
      </c>
      <c r="P59" s="106" t="b">
        <f t="shared" si="7"/>
        <v>0</v>
      </c>
      <c r="Q59" s="460">
        <f t="array" ref="Q59:CC59">C59*ForwardToZero(OisBuckets,E59,F59,G59)</f>
        <v>0</v>
      </c>
      <c r="R59" s="460">
        <v>0</v>
      </c>
      <c r="S59" s="460">
        <v>0</v>
      </c>
      <c r="T59" s="460">
        <v>0</v>
      </c>
      <c r="U59" s="460">
        <v>0</v>
      </c>
      <c r="V59" s="460">
        <v>0</v>
      </c>
      <c r="W59" s="460">
        <v>0</v>
      </c>
      <c r="X59" s="460">
        <v>0</v>
      </c>
      <c r="Y59" s="460">
        <v>0</v>
      </c>
      <c r="Z59" s="460">
        <v>0</v>
      </c>
      <c r="AA59" s="460">
        <v>0</v>
      </c>
      <c r="AB59" s="460">
        <v>0</v>
      </c>
      <c r="AC59" s="460">
        <v>0</v>
      </c>
      <c r="AD59" s="460">
        <v>0</v>
      </c>
      <c r="AE59" s="460">
        <v>0</v>
      </c>
      <c r="AF59" s="460">
        <v>0</v>
      </c>
      <c r="AG59" s="460">
        <v>0</v>
      </c>
      <c r="AH59" s="460">
        <v>0</v>
      </c>
      <c r="AI59" s="460">
        <v>0</v>
      </c>
      <c r="AJ59" s="460">
        <v>0</v>
      </c>
      <c r="AK59" s="460">
        <v>0</v>
      </c>
      <c r="AL59" s="460">
        <v>0</v>
      </c>
      <c r="AM59" s="460">
        <v>0</v>
      </c>
      <c r="AN59" s="460">
        <v>0</v>
      </c>
      <c r="AO59" s="460">
        <v>0</v>
      </c>
      <c r="AP59" s="460">
        <v>0</v>
      </c>
      <c r="AQ59" s="460">
        <v>0</v>
      </c>
      <c r="AR59" s="460">
        <v>0</v>
      </c>
      <c r="AS59" s="460">
        <v>0</v>
      </c>
      <c r="AT59" s="460">
        <v>0</v>
      </c>
      <c r="AU59" s="460">
        <v>0</v>
      </c>
      <c r="AV59" s="460">
        <v>0</v>
      </c>
      <c r="AW59" s="460">
        <v>0</v>
      </c>
      <c r="AX59" s="460">
        <v>0</v>
      </c>
      <c r="AY59" s="460">
        <v>0</v>
      </c>
      <c r="AZ59" s="460">
        <v>0</v>
      </c>
      <c r="BA59" s="460">
        <v>0</v>
      </c>
      <c r="BB59" s="460">
        <v>0</v>
      </c>
      <c r="BC59" s="460">
        <v>0</v>
      </c>
      <c r="BD59" s="460">
        <v>0</v>
      </c>
      <c r="BE59" s="460">
        <v>0</v>
      </c>
      <c r="BF59" s="460">
        <v>0</v>
      </c>
      <c r="BG59" s="460">
        <v>0</v>
      </c>
      <c r="BH59" s="460">
        <v>0</v>
      </c>
      <c r="BI59" s="460">
        <v>0</v>
      </c>
      <c r="BJ59" s="460">
        <v>0</v>
      </c>
      <c r="BK59" s="460">
        <v>0</v>
      </c>
      <c r="BL59" s="460">
        <v>0</v>
      </c>
      <c r="BM59" s="460">
        <v>0</v>
      </c>
      <c r="BN59" s="460">
        <v>0</v>
      </c>
      <c r="BO59" s="460">
        <v>0</v>
      </c>
      <c r="BP59" s="460">
        <v>0</v>
      </c>
      <c r="BQ59" s="460">
        <v>0</v>
      </c>
      <c r="BR59" s="460">
        <v>0</v>
      </c>
      <c r="BS59" s="460">
        <v>1508.5126188608497</v>
      </c>
      <c r="BT59" s="460">
        <v>0</v>
      </c>
      <c r="BU59" s="460">
        <v>0</v>
      </c>
      <c r="BV59" s="460">
        <v>0</v>
      </c>
      <c r="BW59" s="460">
        <v>0</v>
      </c>
      <c r="BX59" s="460">
        <v>0</v>
      </c>
      <c r="BY59" s="460">
        <v>0</v>
      </c>
      <c r="BZ59" s="460">
        <v>0</v>
      </c>
      <c r="CA59" s="460" t="e">
        <v>#N/A</v>
      </c>
      <c r="CB59" s="460" t="e">
        <v>#N/A</v>
      </c>
      <c r="CC59" s="460" t="e">
        <v>#N/A</v>
      </c>
    </row>
    <row r="60" spans="1:81" ht="12.75" customHeight="1">
      <c r="A60" s="105">
        <v>55</v>
      </c>
      <c r="B60" s="458" t="str">
        <v>28Y</v>
      </c>
      <c r="C60" s="465">
        <f>'eur disaggregated'!W71</f>
        <v>1518.1921429421677</v>
      </c>
      <c r="D60" s="111" t="str">
        <f t="shared" si="6"/>
        <v>336M</v>
      </c>
      <c r="E60" s="441">
        <f t="shared" si="5"/>
        <v>42696</v>
      </c>
      <c r="F60" s="441">
        <f>IF(AND(NOT(ISNA(MATCH(RIGHT(B60,2),$I$6:$I$67,0))),LEN(B60)&lt;6,RIGHT(B60,1)="M"),INDEX($K$6:$K$67,MATCH(RIGHT(B60,2),$I$6:$I$67,0)),IF(AND(NOT(ISNA(MATCH((IF(RIGHT(B60,3)="24M","2Y",IF(RIGHT(B60,3)="12M", "1Y", RIGHT(B60,3)))),$I$6:$I$67,0))),LEN(B60)&gt;=6,RIGHT(B60,1)="M"),INDEX($K$6:$K$67,MATCH((IF(RIGHT(B60,3)="24M","2Y",IF(RIGHT(B60,3)="12M", "1Y", RIGHT(B60,3)))),$I$6:$I$67,0)),_xll.qlCalendarAdvance(Calendar,E60,D60)))</f>
        <v>52923</v>
      </c>
      <c r="G60" s="462">
        <f t="shared" si="2"/>
        <v>1.1786851419999999E-2</v>
      </c>
      <c r="H60" s="453">
        <v>1.178685142</v>
      </c>
      <c r="I60" s="107" t="str">
        <v>27Y</v>
      </c>
      <c r="J60" s="106" t="str">
        <f>IF(LEN(I60)&gt;0,IF((MID(I60,4,1)=" "),#REF!,IF((LEN(I60)=8),DATE("20" &amp; RIGHT(I60,2),MID(I60,4,2),LEFT(I60,2)),SimplifyTenor(I60))),"")</f>
        <v>324M</v>
      </c>
      <c r="K60" s="448">
        <f>_xll.qlCalendarAdvance("TARGET",SettlementDate,J60)</f>
        <v>52558</v>
      </c>
      <c r="M60" s="99" t="str">
        <v>27Y</v>
      </c>
      <c r="N60" s="465">
        <v>1508.5126188608497</v>
      </c>
      <c r="P60" s="106" t="b">
        <f t="shared" si="7"/>
        <v>0</v>
      </c>
      <c r="Q60" s="460">
        <f t="array" ref="Q60:CC60">C60*ForwardToZero(OisBuckets,E60,F60,G60)</f>
        <v>0</v>
      </c>
      <c r="R60" s="460">
        <v>0</v>
      </c>
      <c r="S60" s="460">
        <v>0</v>
      </c>
      <c r="T60" s="460">
        <v>0</v>
      </c>
      <c r="U60" s="460">
        <v>0</v>
      </c>
      <c r="V60" s="460">
        <v>0</v>
      </c>
      <c r="W60" s="460">
        <v>0</v>
      </c>
      <c r="X60" s="460">
        <v>0</v>
      </c>
      <c r="Y60" s="460">
        <v>0</v>
      </c>
      <c r="Z60" s="460">
        <v>0</v>
      </c>
      <c r="AA60" s="460">
        <v>0</v>
      </c>
      <c r="AB60" s="460">
        <v>0</v>
      </c>
      <c r="AC60" s="460">
        <v>0</v>
      </c>
      <c r="AD60" s="460">
        <v>0</v>
      </c>
      <c r="AE60" s="460">
        <v>0</v>
      </c>
      <c r="AF60" s="460">
        <v>0</v>
      </c>
      <c r="AG60" s="460">
        <v>0</v>
      </c>
      <c r="AH60" s="460">
        <v>0</v>
      </c>
      <c r="AI60" s="460">
        <v>0</v>
      </c>
      <c r="AJ60" s="460">
        <v>0</v>
      </c>
      <c r="AK60" s="460">
        <v>0</v>
      </c>
      <c r="AL60" s="460">
        <v>0</v>
      </c>
      <c r="AM60" s="460">
        <v>0</v>
      </c>
      <c r="AN60" s="460">
        <v>0</v>
      </c>
      <c r="AO60" s="460">
        <v>0</v>
      </c>
      <c r="AP60" s="460">
        <v>0</v>
      </c>
      <c r="AQ60" s="460">
        <v>0</v>
      </c>
      <c r="AR60" s="460">
        <v>0</v>
      </c>
      <c r="AS60" s="460">
        <v>0</v>
      </c>
      <c r="AT60" s="460">
        <v>0</v>
      </c>
      <c r="AU60" s="460">
        <v>0</v>
      </c>
      <c r="AV60" s="460">
        <v>0</v>
      </c>
      <c r="AW60" s="460">
        <v>0</v>
      </c>
      <c r="AX60" s="460">
        <v>0</v>
      </c>
      <c r="AY60" s="460">
        <v>0</v>
      </c>
      <c r="AZ60" s="460">
        <v>0</v>
      </c>
      <c r="BA60" s="460">
        <v>0</v>
      </c>
      <c r="BB60" s="460">
        <v>0</v>
      </c>
      <c r="BC60" s="460">
        <v>0</v>
      </c>
      <c r="BD60" s="460">
        <v>0</v>
      </c>
      <c r="BE60" s="460">
        <v>0</v>
      </c>
      <c r="BF60" s="460">
        <v>0</v>
      </c>
      <c r="BG60" s="460">
        <v>0</v>
      </c>
      <c r="BH60" s="460">
        <v>0</v>
      </c>
      <c r="BI60" s="460">
        <v>0</v>
      </c>
      <c r="BJ60" s="460">
        <v>0</v>
      </c>
      <c r="BK60" s="460">
        <v>0</v>
      </c>
      <c r="BL60" s="460">
        <v>0</v>
      </c>
      <c r="BM60" s="460">
        <v>0</v>
      </c>
      <c r="BN60" s="460">
        <v>0</v>
      </c>
      <c r="BO60" s="460">
        <v>0</v>
      </c>
      <c r="BP60" s="460">
        <v>0</v>
      </c>
      <c r="BQ60" s="460">
        <v>0</v>
      </c>
      <c r="BR60" s="460">
        <v>0</v>
      </c>
      <c r="BS60" s="460">
        <v>0</v>
      </c>
      <c r="BT60" s="460">
        <v>1518.1921429421677</v>
      </c>
      <c r="BU60" s="460">
        <v>0</v>
      </c>
      <c r="BV60" s="460">
        <v>0</v>
      </c>
      <c r="BW60" s="460">
        <v>0</v>
      </c>
      <c r="BX60" s="460">
        <v>0</v>
      </c>
      <c r="BY60" s="460">
        <v>0</v>
      </c>
      <c r="BZ60" s="460">
        <v>0</v>
      </c>
      <c r="CA60" s="460" t="e">
        <v>#N/A</v>
      </c>
      <c r="CB60" s="460" t="e">
        <v>#N/A</v>
      </c>
      <c r="CC60" s="460" t="e">
        <v>#N/A</v>
      </c>
    </row>
    <row r="61" spans="1:81" ht="12.75" customHeight="1">
      <c r="A61" s="105">
        <v>56</v>
      </c>
      <c r="B61" s="458" t="str">
        <v>29Y</v>
      </c>
      <c r="C61" s="465">
        <f>'eur disaggregated'!W72</f>
        <v>1847.7133500147984</v>
      </c>
      <c r="D61" s="111" t="str">
        <f t="shared" si="6"/>
        <v>348M</v>
      </c>
      <c r="E61" s="441">
        <f t="shared" si="5"/>
        <v>42696</v>
      </c>
      <c r="F61" s="441">
        <f>IF(AND(NOT(ISNA(MATCH(RIGHT(B61,2),$I$6:$I$67,0))),LEN(B61)&lt;6,RIGHT(B61,1)="M"),INDEX($K$6:$K$67,MATCH(RIGHT(B61,2),$I$6:$I$67,0)),IF(AND(NOT(ISNA(MATCH((IF(RIGHT(B61,3)="24M","2Y",IF(RIGHT(B61,3)="12M", "1Y", RIGHT(B61,3)))),$I$6:$I$67,0))),LEN(B61)&gt;=6,RIGHT(B61,1)="M"),INDEX($K$6:$K$67,MATCH((IF(RIGHT(B61,3)="24M","2Y",IF(RIGHT(B61,3)="12M", "1Y", RIGHT(B61,3)))),$I$6:$I$67,0)),_xll.qlCalendarAdvance(Calendar,E61,D61)))</f>
        <v>53288</v>
      </c>
      <c r="G61" s="462">
        <f t="shared" si="2"/>
        <v>1.1791316860000001E-2</v>
      </c>
      <c r="H61" s="453">
        <v>1.1791316860000001</v>
      </c>
      <c r="I61" s="107" t="str">
        <v>28Y</v>
      </c>
      <c r="J61" s="106" t="str">
        <f>IF(LEN(I61)&gt;0,IF((MID(I61,4,1)=" "),#REF!,IF((LEN(I61)=8),DATE("20" &amp; RIGHT(I61,2),MID(I61,4,2),LEFT(I61,2)),SimplifyTenor(I61))),"")</f>
        <v>336M</v>
      </c>
      <c r="K61" s="448">
        <f>_xll.qlCalendarAdvance("TARGET",SettlementDate,J61)</f>
        <v>52923</v>
      </c>
      <c r="M61" s="99" t="str">
        <v>28Y</v>
      </c>
      <c r="N61" s="465">
        <v>1518.1921429421677</v>
      </c>
      <c r="P61" s="106" t="b">
        <f t="shared" si="7"/>
        <v>0</v>
      </c>
      <c r="Q61" s="460">
        <f t="array" ref="Q61:CC61">C61*ForwardToZero(OisBuckets,E61,F61,G61)</f>
        <v>0</v>
      </c>
      <c r="R61" s="460">
        <v>0</v>
      </c>
      <c r="S61" s="460">
        <v>0</v>
      </c>
      <c r="T61" s="460">
        <v>0</v>
      </c>
      <c r="U61" s="460">
        <v>0</v>
      </c>
      <c r="V61" s="460">
        <v>0</v>
      </c>
      <c r="W61" s="460">
        <v>0</v>
      </c>
      <c r="X61" s="460">
        <v>0</v>
      </c>
      <c r="Y61" s="460">
        <v>0</v>
      </c>
      <c r="Z61" s="460">
        <v>0</v>
      </c>
      <c r="AA61" s="460">
        <v>0</v>
      </c>
      <c r="AB61" s="460">
        <v>0</v>
      </c>
      <c r="AC61" s="460">
        <v>0</v>
      </c>
      <c r="AD61" s="460">
        <v>0</v>
      </c>
      <c r="AE61" s="460">
        <v>0</v>
      </c>
      <c r="AF61" s="460">
        <v>0</v>
      </c>
      <c r="AG61" s="460">
        <v>0</v>
      </c>
      <c r="AH61" s="460">
        <v>0</v>
      </c>
      <c r="AI61" s="460">
        <v>0</v>
      </c>
      <c r="AJ61" s="460">
        <v>0</v>
      </c>
      <c r="AK61" s="460">
        <v>0</v>
      </c>
      <c r="AL61" s="460">
        <v>0</v>
      </c>
      <c r="AM61" s="460">
        <v>0</v>
      </c>
      <c r="AN61" s="460">
        <v>0</v>
      </c>
      <c r="AO61" s="460">
        <v>0</v>
      </c>
      <c r="AP61" s="460">
        <v>0</v>
      </c>
      <c r="AQ61" s="460">
        <v>0</v>
      </c>
      <c r="AR61" s="460">
        <v>0</v>
      </c>
      <c r="AS61" s="460">
        <v>0</v>
      </c>
      <c r="AT61" s="460">
        <v>0</v>
      </c>
      <c r="AU61" s="460">
        <v>0</v>
      </c>
      <c r="AV61" s="460">
        <v>0</v>
      </c>
      <c r="AW61" s="460">
        <v>0</v>
      </c>
      <c r="AX61" s="460">
        <v>0</v>
      </c>
      <c r="AY61" s="460">
        <v>0</v>
      </c>
      <c r="AZ61" s="460">
        <v>0</v>
      </c>
      <c r="BA61" s="460">
        <v>0</v>
      </c>
      <c r="BB61" s="460">
        <v>0</v>
      </c>
      <c r="BC61" s="460">
        <v>0</v>
      </c>
      <c r="BD61" s="460">
        <v>0</v>
      </c>
      <c r="BE61" s="460">
        <v>0</v>
      </c>
      <c r="BF61" s="460">
        <v>0</v>
      </c>
      <c r="BG61" s="460">
        <v>0</v>
      </c>
      <c r="BH61" s="460">
        <v>0</v>
      </c>
      <c r="BI61" s="460">
        <v>0</v>
      </c>
      <c r="BJ61" s="460">
        <v>0</v>
      </c>
      <c r="BK61" s="460">
        <v>0</v>
      </c>
      <c r="BL61" s="460">
        <v>0</v>
      </c>
      <c r="BM61" s="460">
        <v>0</v>
      </c>
      <c r="BN61" s="460">
        <v>0</v>
      </c>
      <c r="BO61" s="460">
        <v>0</v>
      </c>
      <c r="BP61" s="460">
        <v>0</v>
      </c>
      <c r="BQ61" s="460">
        <v>0</v>
      </c>
      <c r="BR61" s="460">
        <v>0</v>
      </c>
      <c r="BS61" s="460">
        <v>0</v>
      </c>
      <c r="BT61" s="460">
        <v>0</v>
      </c>
      <c r="BU61" s="460">
        <v>1847.7133500147984</v>
      </c>
      <c r="BV61" s="460">
        <v>0</v>
      </c>
      <c r="BW61" s="460">
        <v>0</v>
      </c>
      <c r="BX61" s="460">
        <v>0</v>
      </c>
      <c r="BY61" s="460">
        <v>0</v>
      </c>
      <c r="BZ61" s="460">
        <v>0</v>
      </c>
      <c r="CA61" s="460" t="e">
        <v>#N/A</v>
      </c>
      <c r="CB61" s="460" t="e">
        <v>#N/A</v>
      </c>
      <c r="CC61" s="460" t="e">
        <v>#N/A</v>
      </c>
    </row>
    <row r="62" spans="1:81" ht="12.75" customHeight="1">
      <c r="A62" s="105">
        <v>57</v>
      </c>
      <c r="B62" s="458" t="str">
        <v>30Y</v>
      </c>
      <c r="C62" s="465">
        <f>'eur disaggregated'!W73</f>
        <v>2020.0801038291859</v>
      </c>
      <c r="D62" s="111" t="str">
        <f t="shared" si="6"/>
        <v>360M</v>
      </c>
      <c r="E62" s="441">
        <f t="shared" si="5"/>
        <v>42696</v>
      </c>
      <c r="F62" s="441">
        <f>IF(AND(NOT(ISNA(MATCH(RIGHT(B62,2),$I$6:$I$67,0))),LEN(B62)&lt;6,RIGHT(B62,1)="M"),INDEX($K$6:$K$67,MATCH(RIGHT(B62,2),$I$6:$I$67,0)),IF(AND(NOT(ISNA(MATCH((IF(RIGHT(B62,3)="24M","2Y",IF(RIGHT(B62,3)="12M", "1Y", RIGHT(B62,3)))),$I$6:$I$67,0))),LEN(B62)&gt;=6,RIGHT(B62,1)="M"),INDEX($K$6:$K$67,MATCH((IF(RIGHT(B62,3)="24M","2Y",IF(RIGHT(B62,3)="12M", "1Y", RIGHT(B62,3)))),$I$6:$I$67,0)),_xll.qlCalendarAdvance(Calendar,E62,D62)))</f>
        <v>53653</v>
      </c>
      <c r="G62" s="462">
        <f t="shared" si="2"/>
        <v>1.18E-2</v>
      </c>
      <c r="H62" s="453">
        <v>1.18</v>
      </c>
      <c r="I62" s="107" t="str">
        <v>29Y</v>
      </c>
      <c r="J62" s="106" t="str">
        <f>IF(LEN(I62)&gt;0,IF((MID(I62,4,1)=" "),#REF!,IF((LEN(I62)=8),DATE("20" &amp; RIGHT(I62,2),MID(I62,4,2),LEFT(I62,2)),SimplifyTenor(I62))),"")</f>
        <v>348M</v>
      </c>
      <c r="K62" s="448">
        <f>_xll.qlCalendarAdvance("TARGET",SettlementDate,J62)</f>
        <v>53288</v>
      </c>
      <c r="M62" s="99" t="str">
        <v>29Y</v>
      </c>
      <c r="N62" s="465">
        <v>1847.7133500147984</v>
      </c>
      <c r="P62" s="106" t="b">
        <f t="shared" si="7"/>
        <v>0</v>
      </c>
      <c r="Q62" s="460">
        <f t="array" ref="Q62:CC62">C62*ForwardToZero(OisBuckets,E62,F62,G62)</f>
        <v>0</v>
      </c>
      <c r="R62" s="460">
        <v>0</v>
      </c>
      <c r="S62" s="460">
        <v>0</v>
      </c>
      <c r="T62" s="460">
        <v>0</v>
      </c>
      <c r="U62" s="460">
        <v>0</v>
      </c>
      <c r="V62" s="460">
        <v>0</v>
      </c>
      <c r="W62" s="460">
        <v>0</v>
      </c>
      <c r="X62" s="460">
        <v>0</v>
      </c>
      <c r="Y62" s="460">
        <v>0</v>
      </c>
      <c r="Z62" s="460">
        <v>0</v>
      </c>
      <c r="AA62" s="460">
        <v>0</v>
      </c>
      <c r="AB62" s="460">
        <v>0</v>
      </c>
      <c r="AC62" s="460">
        <v>0</v>
      </c>
      <c r="AD62" s="460">
        <v>0</v>
      </c>
      <c r="AE62" s="460">
        <v>0</v>
      </c>
      <c r="AF62" s="460">
        <v>0</v>
      </c>
      <c r="AG62" s="460">
        <v>0</v>
      </c>
      <c r="AH62" s="460">
        <v>0</v>
      </c>
      <c r="AI62" s="460">
        <v>0</v>
      </c>
      <c r="AJ62" s="460">
        <v>0</v>
      </c>
      <c r="AK62" s="460">
        <v>0</v>
      </c>
      <c r="AL62" s="460">
        <v>0</v>
      </c>
      <c r="AM62" s="460">
        <v>0</v>
      </c>
      <c r="AN62" s="460">
        <v>0</v>
      </c>
      <c r="AO62" s="460">
        <v>0</v>
      </c>
      <c r="AP62" s="460">
        <v>0</v>
      </c>
      <c r="AQ62" s="460">
        <v>0</v>
      </c>
      <c r="AR62" s="460">
        <v>0</v>
      </c>
      <c r="AS62" s="460">
        <v>0</v>
      </c>
      <c r="AT62" s="460">
        <v>0</v>
      </c>
      <c r="AU62" s="460">
        <v>0</v>
      </c>
      <c r="AV62" s="460">
        <v>0</v>
      </c>
      <c r="AW62" s="460">
        <v>0</v>
      </c>
      <c r="AX62" s="460">
        <v>0</v>
      </c>
      <c r="AY62" s="460">
        <v>0</v>
      </c>
      <c r="AZ62" s="460">
        <v>0</v>
      </c>
      <c r="BA62" s="460">
        <v>0</v>
      </c>
      <c r="BB62" s="460">
        <v>0</v>
      </c>
      <c r="BC62" s="460">
        <v>0</v>
      </c>
      <c r="BD62" s="460">
        <v>0</v>
      </c>
      <c r="BE62" s="460">
        <v>0</v>
      </c>
      <c r="BF62" s="460">
        <v>0</v>
      </c>
      <c r="BG62" s="460">
        <v>0</v>
      </c>
      <c r="BH62" s="460">
        <v>0</v>
      </c>
      <c r="BI62" s="460">
        <v>0</v>
      </c>
      <c r="BJ62" s="460">
        <v>0</v>
      </c>
      <c r="BK62" s="460">
        <v>0</v>
      </c>
      <c r="BL62" s="460">
        <v>0</v>
      </c>
      <c r="BM62" s="460">
        <v>0</v>
      </c>
      <c r="BN62" s="460">
        <v>0</v>
      </c>
      <c r="BO62" s="460">
        <v>0</v>
      </c>
      <c r="BP62" s="460">
        <v>0</v>
      </c>
      <c r="BQ62" s="460">
        <v>0</v>
      </c>
      <c r="BR62" s="460">
        <v>0</v>
      </c>
      <c r="BS62" s="460">
        <v>0</v>
      </c>
      <c r="BT62" s="460">
        <v>0</v>
      </c>
      <c r="BU62" s="460">
        <v>0</v>
      </c>
      <c r="BV62" s="460">
        <v>2020.0801038291859</v>
      </c>
      <c r="BW62" s="460">
        <v>0</v>
      </c>
      <c r="BX62" s="460">
        <v>0</v>
      </c>
      <c r="BY62" s="460">
        <v>0</v>
      </c>
      <c r="BZ62" s="460">
        <v>0</v>
      </c>
      <c r="CA62" s="460" t="e">
        <v>#N/A</v>
      </c>
      <c r="CB62" s="460" t="e">
        <v>#N/A</v>
      </c>
      <c r="CC62" s="460" t="e">
        <v>#N/A</v>
      </c>
    </row>
    <row r="63" spans="1:81" ht="12.75" customHeight="1">
      <c r="A63" s="105">
        <v>58</v>
      </c>
      <c r="B63" s="458" t="str">
        <v>31Y</v>
      </c>
      <c r="C63" s="465">
        <f>'eur disaggregated'!W74</f>
        <v>2393.0744044575381</v>
      </c>
      <c r="D63" s="111" t="str">
        <f t="shared" si="6"/>
        <v>372M</v>
      </c>
      <c r="E63" s="441">
        <f t="shared" si="5"/>
        <v>42696</v>
      </c>
      <c r="F63" s="441">
        <f>IF(AND(NOT(ISNA(MATCH(RIGHT(B63,2),$I$6:$I$67,0))),LEN(B63)&lt;6,RIGHT(B63,1)="M"),INDEX($K$6:$K$67,MATCH(RIGHT(B63,2),$I$6:$I$67,0)),IF(AND(NOT(ISNA(MATCH((IF(RIGHT(B63,3)="24M","2Y",IF(RIGHT(B63,3)="12M", "1Y", RIGHT(B63,3)))),$I$6:$I$67,0))),LEN(B63)&gt;=6,RIGHT(B63,1)="M"),INDEX($K$6:$K$67,MATCH((IF(RIGHT(B63,3)="24M","2Y",IF(RIGHT(B63,3)="12M", "1Y", RIGHT(B63,3)))),$I$6:$I$67,0)),_xll.qlCalendarAdvance(Calendar,E63,D63)))</f>
        <v>54018</v>
      </c>
      <c r="G63" s="462">
        <f t="shared" si="2"/>
        <v>1.18029864E-2</v>
      </c>
      <c r="H63" s="453">
        <v>1.18029864</v>
      </c>
      <c r="I63" s="107" t="str">
        <v>30Y</v>
      </c>
      <c r="J63" s="106" t="str">
        <f>IF(LEN(I63)&gt;0,IF((MID(I63,4,1)=" "),#REF!,IF((LEN(I63)=8),DATE("20" &amp; RIGHT(I63,2),MID(I63,4,2),LEFT(I63,2)),SimplifyTenor(I63))),"")</f>
        <v>360M</v>
      </c>
      <c r="K63" s="448">
        <f>_xll.qlCalendarAdvance("TARGET",SettlementDate,J63)</f>
        <v>53653</v>
      </c>
      <c r="M63" s="99" t="str">
        <v>30Y</v>
      </c>
      <c r="N63" s="465">
        <v>4503.7413492964333</v>
      </c>
      <c r="P63" s="106" t="b">
        <f t="shared" si="7"/>
        <v>0</v>
      </c>
      <c r="Q63" s="460">
        <f t="array" ref="Q63:CC63">C63*ForwardToZero(OisBuckets,E63,F63,G63)</f>
        <v>0</v>
      </c>
      <c r="R63" s="460">
        <v>0</v>
      </c>
      <c r="S63" s="460">
        <v>0</v>
      </c>
      <c r="T63" s="460">
        <v>0</v>
      </c>
      <c r="U63" s="460">
        <v>0</v>
      </c>
      <c r="V63" s="460">
        <v>0</v>
      </c>
      <c r="W63" s="460">
        <v>0</v>
      </c>
      <c r="X63" s="460">
        <v>0</v>
      </c>
      <c r="Y63" s="460">
        <v>0</v>
      </c>
      <c r="Z63" s="460">
        <v>0</v>
      </c>
      <c r="AA63" s="460">
        <v>0</v>
      </c>
      <c r="AB63" s="460">
        <v>0</v>
      </c>
      <c r="AC63" s="460">
        <v>0</v>
      </c>
      <c r="AD63" s="460">
        <v>0</v>
      </c>
      <c r="AE63" s="460">
        <v>0</v>
      </c>
      <c r="AF63" s="460">
        <v>0</v>
      </c>
      <c r="AG63" s="460">
        <v>0</v>
      </c>
      <c r="AH63" s="460">
        <v>0</v>
      </c>
      <c r="AI63" s="460">
        <v>0</v>
      </c>
      <c r="AJ63" s="460">
        <v>0</v>
      </c>
      <c r="AK63" s="460">
        <v>0</v>
      </c>
      <c r="AL63" s="460">
        <v>0</v>
      </c>
      <c r="AM63" s="460">
        <v>0</v>
      </c>
      <c r="AN63" s="460">
        <v>0</v>
      </c>
      <c r="AO63" s="460">
        <v>0</v>
      </c>
      <c r="AP63" s="460">
        <v>0</v>
      </c>
      <c r="AQ63" s="460">
        <v>0</v>
      </c>
      <c r="AR63" s="460">
        <v>0</v>
      </c>
      <c r="AS63" s="460">
        <v>0</v>
      </c>
      <c r="AT63" s="460">
        <v>0</v>
      </c>
      <c r="AU63" s="460">
        <v>0</v>
      </c>
      <c r="AV63" s="460">
        <v>0</v>
      </c>
      <c r="AW63" s="460">
        <v>0</v>
      </c>
      <c r="AX63" s="460">
        <v>0</v>
      </c>
      <c r="AY63" s="460">
        <v>0</v>
      </c>
      <c r="AZ63" s="460">
        <v>0</v>
      </c>
      <c r="BA63" s="460">
        <v>0</v>
      </c>
      <c r="BB63" s="460">
        <v>0</v>
      </c>
      <c r="BC63" s="460">
        <v>0</v>
      </c>
      <c r="BD63" s="460">
        <v>0</v>
      </c>
      <c r="BE63" s="460">
        <v>0</v>
      </c>
      <c r="BF63" s="460">
        <v>0</v>
      </c>
      <c r="BG63" s="460">
        <v>0</v>
      </c>
      <c r="BH63" s="460">
        <v>0</v>
      </c>
      <c r="BI63" s="460">
        <v>0</v>
      </c>
      <c r="BJ63" s="460">
        <v>0</v>
      </c>
      <c r="BK63" s="460">
        <v>0</v>
      </c>
      <c r="BL63" s="460">
        <v>0</v>
      </c>
      <c r="BM63" s="460">
        <v>0</v>
      </c>
      <c r="BN63" s="460">
        <v>0</v>
      </c>
      <c r="BO63" s="460">
        <v>0</v>
      </c>
      <c r="BP63" s="460">
        <v>0</v>
      </c>
      <c r="BQ63" s="460">
        <v>0</v>
      </c>
      <c r="BR63" s="460">
        <v>0</v>
      </c>
      <c r="BS63" s="460">
        <v>0</v>
      </c>
      <c r="BT63" s="460">
        <v>0</v>
      </c>
      <c r="BU63" s="460">
        <v>0</v>
      </c>
      <c r="BV63" s="460">
        <v>1914.7216346727616</v>
      </c>
      <c r="BW63" s="460">
        <v>478.3527697847764</v>
      </c>
      <c r="BX63" s="460">
        <v>0</v>
      </c>
      <c r="BY63" s="460">
        <v>0</v>
      </c>
      <c r="BZ63" s="460">
        <v>0</v>
      </c>
      <c r="CA63" s="460" t="e">
        <v>#N/A</v>
      </c>
      <c r="CB63" s="460" t="e">
        <v>#N/A</v>
      </c>
      <c r="CC63" s="460" t="e">
        <v>#N/A</v>
      </c>
    </row>
    <row r="64" spans="1:81" ht="12.75" customHeight="1">
      <c r="A64" s="105">
        <v>59</v>
      </c>
      <c r="B64" s="458" t="str">
        <v>32Y</v>
      </c>
      <c r="C64" s="465">
        <f>'eur disaggregated'!W75</f>
        <v>949.6194966277252</v>
      </c>
      <c r="D64" s="111" t="str">
        <f t="shared" si="6"/>
        <v>384M</v>
      </c>
      <c r="E64" s="441">
        <f t="shared" si="5"/>
        <v>42696</v>
      </c>
      <c r="F64" s="441">
        <f>IF(AND(NOT(ISNA(MATCH(RIGHT(B64,2),$I$6:$I$67,0))),LEN(B64)&lt;6,RIGHT(B64,1)="M"),INDEX($K$6:$K$67,MATCH(RIGHT(B64,2),$I$6:$I$67,0)),IF(AND(NOT(ISNA(MATCH((IF(RIGHT(B64,3)="24M","2Y",IF(RIGHT(B64,3)="12M", "1Y", RIGHT(B64,3)))),$I$6:$I$67,0))),LEN(B64)&gt;=6,RIGHT(B64,1)="M"),INDEX($K$6:$K$67,MATCH((IF(RIGHT(B64,3)="24M","2Y",IF(RIGHT(B64,3)="12M", "1Y", RIGHT(B64,3)))),$I$6:$I$67,0)),_xll.qlCalendarAdvance(Calendar,E64,D64)))</f>
        <v>54385</v>
      </c>
      <c r="G64" s="462">
        <f t="shared" si="2"/>
        <v>1.1801586959999999E-2</v>
      </c>
      <c r="H64" s="453">
        <v>1.1801586959999999</v>
      </c>
      <c r="I64" s="107" t="str">
        <v>35Y</v>
      </c>
      <c r="J64" s="106" t="str">
        <f>IF(LEN(I64)&gt;0,IF((MID(I64,4,1)=" "),#REF!,IF((LEN(I64)=8),DATE("20" &amp; RIGHT(I64,2),MID(I64,4,2),LEFT(I64,2)),SimplifyTenor(I64))),"")</f>
        <v>420M</v>
      </c>
      <c r="K64" s="448">
        <f>_xll.qlCalendarAdvance("TARGET",SettlementDate,J64)</f>
        <v>55479</v>
      </c>
      <c r="M64" s="99" t="str">
        <v>35Y</v>
      </c>
      <c r="N64" s="465">
        <v>859.03265561801607</v>
      </c>
      <c r="P64" s="106" t="b">
        <f t="shared" si="7"/>
        <v>0</v>
      </c>
      <c r="Q64" s="460">
        <f t="array" ref="Q64:CC64">C64*ForwardToZero(OisBuckets,E64,F64,G64)</f>
        <v>0</v>
      </c>
      <c r="R64" s="460">
        <v>0</v>
      </c>
      <c r="S64" s="460">
        <v>0</v>
      </c>
      <c r="T64" s="460">
        <v>0</v>
      </c>
      <c r="U64" s="460">
        <v>0</v>
      </c>
      <c r="V64" s="460">
        <v>0</v>
      </c>
      <c r="W64" s="460">
        <v>0</v>
      </c>
      <c r="X64" s="460">
        <v>0</v>
      </c>
      <c r="Y64" s="460">
        <v>0</v>
      </c>
      <c r="Z64" s="460">
        <v>0</v>
      </c>
      <c r="AA64" s="460">
        <v>0</v>
      </c>
      <c r="AB64" s="460">
        <v>0</v>
      </c>
      <c r="AC64" s="460">
        <v>0</v>
      </c>
      <c r="AD64" s="460">
        <v>0</v>
      </c>
      <c r="AE64" s="460">
        <v>0</v>
      </c>
      <c r="AF64" s="460">
        <v>0</v>
      </c>
      <c r="AG64" s="460">
        <v>0</v>
      </c>
      <c r="AH64" s="460">
        <v>0</v>
      </c>
      <c r="AI64" s="460">
        <v>0</v>
      </c>
      <c r="AJ64" s="460">
        <v>0</v>
      </c>
      <c r="AK64" s="460">
        <v>0</v>
      </c>
      <c r="AL64" s="460">
        <v>0</v>
      </c>
      <c r="AM64" s="460">
        <v>0</v>
      </c>
      <c r="AN64" s="460">
        <v>0</v>
      </c>
      <c r="AO64" s="460">
        <v>0</v>
      </c>
      <c r="AP64" s="460">
        <v>0</v>
      </c>
      <c r="AQ64" s="460">
        <v>0</v>
      </c>
      <c r="AR64" s="460">
        <v>0</v>
      </c>
      <c r="AS64" s="460">
        <v>0</v>
      </c>
      <c r="AT64" s="460">
        <v>0</v>
      </c>
      <c r="AU64" s="460">
        <v>0</v>
      </c>
      <c r="AV64" s="460">
        <v>0</v>
      </c>
      <c r="AW64" s="460">
        <v>0</v>
      </c>
      <c r="AX64" s="460">
        <v>0</v>
      </c>
      <c r="AY64" s="460">
        <v>0</v>
      </c>
      <c r="AZ64" s="460">
        <v>0</v>
      </c>
      <c r="BA64" s="460">
        <v>0</v>
      </c>
      <c r="BB64" s="460">
        <v>0</v>
      </c>
      <c r="BC64" s="460">
        <v>0</v>
      </c>
      <c r="BD64" s="460">
        <v>0</v>
      </c>
      <c r="BE64" s="460">
        <v>0</v>
      </c>
      <c r="BF64" s="460">
        <v>0</v>
      </c>
      <c r="BG64" s="460">
        <v>0</v>
      </c>
      <c r="BH64" s="460">
        <v>0</v>
      </c>
      <c r="BI64" s="460">
        <v>0</v>
      </c>
      <c r="BJ64" s="460">
        <v>0</v>
      </c>
      <c r="BK64" s="460">
        <v>0</v>
      </c>
      <c r="BL64" s="460">
        <v>0</v>
      </c>
      <c r="BM64" s="460">
        <v>0</v>
      </c>
      <c r="BN64" s="460">
        <v>0</v>
      </c>
      <c r="BO64" s="460">
        <v>0</v>
      </c>
      <c r="BP64" s="460">
        <v>0</v>
      </c>
      <c r="BQ64" s="460">
        <v>0</v>
      </c>
      <c r="BR64" s="460">
        <v>0</v>
      </c>
      <c r="BS64" s="460">
        <v>0</v>
      </c>
      <c r="BT64" s="460">
        <v>0</v>
      </c>
      <c r="BU64" s="460">
        <v>0</v>
      </c>
      <c r="BV64" s="460">
        <v>568.93961079448547</v>
      </c>
      <c r="BW64" s="460">
        <v>380.67988583323967</v>
      </c>
      <c r="BX64" s="460">
        <v>0</v>
      </c>
      <c r="BY64" s="460">
        <v>0</v>
      </c>
      <c r="BZ64" s="460">
        <v>0</v>
      </c>
      <c r="CA64" s="460" t="e">
        <v>#N/A</v>
      </c>
      <c r="CB64" s="460" t="e">
        <v>#N/A</v>
      </c>
      <c r="CC64" s="460" t="e">
        <v>#N/A</v>
      </c>
    </row>
    <row r="65" spans="1:81" ht="12.75" customHeight="1">
      <c r="A65" s="105">
        <v>60</v>
      </c>
      <c r="B65" s="458" t="str">
        <v>33Y</v>
      </c>
      <c r="C65" s="465">
        <f>'eur disaggregated'!W76</f>
        <v>0</v>
      </c>
      <c r="D65" s="111" t="str">
        <f t="shared" si="6"/>
        <v>396M</v>
      </c>
      <c r="E65" s="441">
        <f t="shared" si="5"/>
        <v>42696</v>
      </c>
      <c r="F65" s="441">
        <f>IF(AND(NOT(ISNA(MATCH(RIGHT(B65,2),$I$6:$I$67,0))),LEN(B65)&lt;6,RIGHT(B65,1)="M"),INDEX($K$6:$K$67,MATCH(RIGHT(B65,2),$I$6:$I$67,0)),IF(AND(NOT(ISNA(MATCH((IF(RIGHT(B65,3)="24M","2Y",IF(RIGHT(B65,3)="12M", "1Y", RIGHT(B65,3)))),$I$6:$I$67,0))),LEN(B65)&gt;=6,RIGHT(B65,1)="M"),INDEX($K$6:$K$67,MATCH((IF(RIGHT(B65,3)="24M","2Y",IF(RIGHT(B65,3)="12M", "1Y", RIGHT(B65,3)))),$I$6:$I$67,0)),_xll.qlCalendarAdvance(Calendar,E65,D65)))</f>
        <v>54749</v>
      </c>
      <c r="G65" s="462">
        <f t="shared" si="2"/>
        <v>1.179478961E-2</v>
      </c>
      <c r="H65" s="453">
        <v>1.179478961</v>
      </c>
      <c r="I65" s="107" t="str">
        <v>40Y</v>
      </c>
      <c r="J65" s="106" t="str">
        <f>IF(LEN(I65)&gt;0,IF((MID(I65,4,1)=" "),#REF!,IF((LEN(I65)=8),DATE("20" &amp; RIGHT(I65,2),MID(I65,4,2),LEFT(I65,2)),SimplifyTenor(I65))),"")</f>
        <v>480M</v>
      </c>
      <c r="K65" s="448">
        <f>_xll.qlCalendarAdvance("TARGET",SettlementDate,J65)</f>
        <v>57306</v>
      </c>
      <c r="M65" s="99" t="str">
        <v>40Y</v>
      </c>
      <c r="N65" s="465">
        <v>0</v>
      </c>
      <c r="P65" s="106" t="b">
        <f t="shared" si="7"/>
        <v>0</v>
      </c>
      <c r="Q65" s="460">
        <f t="array" ref="Q65:CC65">C65*ForwardToZero(OisBuckets,E65,F65,G65)</f>
        <v>0</v>
      </c>
      <c r="R65" s="460">
        <v>0</v>
      </c>
      <c r="S65" s="460">
        <v>0</v>
      </c>
      <c r="T65" s="460">
        <v>0</v>
      </c>
      <c r="U65" s="460">
        <v>0</v>
      </c>
      <c r="V65" s="460">
        <v>0</v>
      </c>
      <c r="W65" s="460">
        <v>0</v>
      </c>
      <c r="X65" s="460">
        <v>0</v>
      </c>
      <c r="Y65" s="460">
        <v>0</v>
      </c>
      <c r="Z65" s="460">
        <v>0</v>
      </c>
      <c r="AA65" s="460">
        <v>0</v>
      </c>
      <c r="AB65" s="460">
        <v>0</v>
      </c>
      <c r="AC65" s="460">
        <v>0</v>
      </c>
      <c r="AD65" s="460">
        <v>0</v>
      </c>
      <c r="AE65" s="460">
        <v>0</v>
      </c>
      <c r="AF65" s="460">
        <v>0</v>
      </c>
      <c r="AG65" s="460">
        <v>0</v>
      </c>
      <c r="AH65" s="460">
        <v>0</v>
      </c>
      <c r="AI65" s="460">
        <v>0</v>
      </c>
      <c r="AJ65" s="460">
        <v>0</v>
      </c>
      <c r="AK65" s="460">
        <v>0</v>
      </c>
      <c r="AL65" s="460">
        <v>0</v>
      </c>
      <c r="AM65" s="460">
        <v>0</v>
      </c>
      <c r="AN65" s="460">
        <v>0</v>
      </c>
      <c r="AO65" s="460">
        <v>0</v>
      </c>
      <c r="AP65" s="460">
        <v>0</v>
      </c>
      <c r="AQ65" s="460">
        <v>0</v>
      </c>
      <c r="AR65" s="460">
        <v>0</v>
      </c>
      <c r="AS65" s="460">
        <v>0</v>
      </c>
      <c r="AT65" s="460">
        <v>0</v>
      </c>
      <c r="AU65" s="460">
        <v>0</v>
      </c>
      <c r="AV65" s="460">
        <v>0</v>
      </c>
      <c r="AW65" s="460">
        <v>0</v>
      </c>
      <c r="AX65" s="460">
        <v>0</v>
      </c>
      <c r="AY65" s="460">
        <v>0</v>
      </c>
      <c r="AZ65" s="460">
        <v>0</v>
      </c>
      <c r="BA65" s="460">
        <v>0</v>
      </c>
      <c r="BB65" s="460">
        <v>0</v>
      </c>
      <c r="BC65" s="460">
        <v>0</v>
      </c>
      <c r="BD65" s="460">
        <v>0</v>
      </c>
      <c r="BE65" s="460">
        <v>0</v>
      </c>
      <c r="BF65" s="460">
        <v>0</v>
      </c>
      <c r="BG65" s="460">
        <v>0</v>
      </c>
      <c r="BH65" s="460">
        <v>0</v>
      </c>
      <c r="BI65" s="460">
        <v>0</v>
      </c>
      <c r="BJ65" s="460">
        <v>0</v>
      </c>
      <c r="BK65" s="460">
        <v>0</v>
      </c>
      <c r="BL65" s="460">
        <v>0</v>
      </c>
      <c r="BM65" s="460">
        <v>0</v>
      </c>
      <c r="BN65" s="460">
        <v>0</v>
      </c>
      <c r="BO65" s="460">
        <v>0</v>
      </c>
      <c r="BP65" s="460">
        <v>0</v>
      </c>
      <c r="BQ65" s="460">
        <v>0</v>
      </c>
      <c r="BR65" s="460">
        <v>0</v>
      </c>
      <c r="BS65" s="460">
        <v>0</v>
      </c>
      <c r="BT65" s="460">
        <v>0</v>
      </c>
      <c r="BU65" s="460">
        <v>0</v>
      </c>
      <c r="BV65" s="460">
        <v>0</v>
      </c>
      <c r="BW65" s="460">
        <v>0</v>
      </c>
      <c r="BX65" s="460">
        <v>0</v>
      </c>
      <c r="BY65" s="460">
        <v>0</v>
      </c>
      <c r="BZ65" s="460">
        <v>0</v>
      </c>
      <c r="CA65" s="460" t="e">
        <v>#N/A</v>
      </c>
      <c r="CB65" s="460" t="e">
        <v>#N/A</v>
      </c>
      <c r="CC65" s="460" t="e">
        <v>#N/A</v>
      </c>
    </row>
    <row r="66" spans="1:81" ht="12.75" customHeight="1">
      <c r="A66" s="105">
        <v>61</v>
      </c>
      <c r="B66" s="458" t="str">
        <v>34Y</v>
      </c>
      <c r="C66" s="465">
        <f>'eur disaggregated'!W77</f>
        <v>0</v>
      </c>
      <c r="D66" s="111" t="str">
        <f t="shared" si="6"/>
        <v>408M</v>
      </c>
      <c r="E66" s="441">
        <f t="shared" si="5"/>
        <v>42696</v>
      </c>
      <c r="F66" s="441">
        <f>IF(AND(NOT(ISNA(MATCH(RIGHT(B66,2),$I$6:$I$67,0))),LEN(B66)&lt;6,RIGHT(B66,1)="M"),INDEX($K$6:$K$67,MATCH(RIGHT(B66,2),$I$6:$I$67,0)),IF(AND(NOT(ISNA(MATCH((IF(RIGHT(B66,3)="24M","2Y",IF(RIGHT(B66,3)="12M", "1Y", RIGHT(B66,3)))),$I$6:$I$67,0))),LEN(B66)&gt;=6,RIGHT(B66,1)="M"),INDEX($K$6:$K$67,MATCH((IF(RIGHT(B66,3)="24M","2Y",IF(RIGHT(B66,3)="12M", "1Y", RIGHT(B66,3)))),$I$6:$I$67,0)),_xll.qlCalendarAdvance(Calendar,E66,D66)))</f>
        <v>55114</v>
      </c>
      <c r="G66" s="462">
        <f t="shared" si="2"/>
        <v>1.178408268E-2</v>
      </c>
      <c r="H66" s="453">
        <v>1.1784082680000001</v>
      </c>
      <c r="I66" s="107" t="str">
        <v>50Y</v>
      </c>
      <c r="J66" s="106" t="str">
        <f>IF(LEN(I66)&gt;0,IF((MID(I66,4,1)=" "),#REF!,IF((LEN(I66)=8),DATE("20" &amp; RIGHT(I66,2),MID(I66,4,2),LEFT(I66,2)),SimplifyTenor(I66))),"")</f>
        <v>600M</v>
      </c>
      <c r="K66" s="448">
        <f>_xll.qlCalendarAdvance("TARGET",SettlementDate,J66)</f>
        <v>60958</v>
      </c>
      <c r="M66" s="99" t="str">
        <v>50Y</v>
      </c>
      <c r="N66" s="465">
        <v>0</v>
      </c>
      <c r="P66" s="106" t="b">
        <f t="shared" si="7"/>
        <v>0</v>
      </c>
      <c r="Q66" s="460">
        <f t="array" ref="Q66:CC66">C66*ForwardToZero(OisBuckets,E66,F66,G66)</f>
        <v>0</v>
      </c>
      <c r="R66" s="460">
        <v>0</v>
      </c>
      <c r="S66" s="460">
        <v>0</v>
      </c>
      <c r="T66" s="460">
        <v>0</v>
      </c>
      <c r="U66" s="460">
        <v>0</v>
      </c>
      <c r="V66" s="460">
        <v>0</v>
      </c>
      <c r="W66" s="460">
        <v>0</v>
      </c>
      <c r="X66" s="460">
        <v>0</v>
      </c>
      <c r="Y66" s="460">
        <v>0</v>
      </c>
      <c r="Z66" s="460">
        <v>0</v>
      </c>
      <c r="AA66" s="460">
        <v>0</v>
      </c>
      <c r="AB66" s="460">
        <v>0</v>
      </c>
      <c r="AC66" s="460">
        <v>0</v>
      </c>
      <c r="AD66" s="460">
        <v>0</v>
      </c>
      <c r="AE66" s="460">
        <v>0</v>
      </c>
      <c r="AF66" s="460">
        <v>0</v>
      </c>
      <c r="AG66" s="460">
        <v>0</v>
      </c>
      <c r="AH66" s="460">
        <v>0</v>
      </c>
      <c r="AI66" s="460">
        <v>0</v>
      </c>
      <c r="AJ66" s="460">
        <v>0</v>
      </c>
      <c r="AK66" s="460">
        <v>0</v>
      </c>
      <c r="AL66" s="460">
        <v>0</v>
      </c>
      <c r="AM66" s="460">
        <v>0</v>
      </c>
      <c r="AN66" s="460">
        <v>0</v>
      </c>
      <c r="AO66" s="460">
        <v>0</v>
      </c>
      <c r="AP66" s="460">
        <v>0</v>
      </c>
      <c r="AQ66" s="460">
        <v>0</v>
      </c>
      <c r="AR66" s="460">
        <v>0</v>
      </c>
      <c r="AS66" s="460">
        <v>0</v>
      </c>
      <c r="AT66" s="460">
        <v>0</v>
      </c>
      <c r="AU66" s="460">
        <v>0</v>
      </c>
      <c r="AV66" s="460">
        <v>0</v>
      </c>
      <c r="AW66" s="460">
        <v>0</v>
      </c>
      <c r="AX66" s="460">
        <v>0</v>
      </c>
      <c r="AY66" s="460">
        <v>0</v>
      </c>
      <c r="AZ66" s="460">
        <v>0</v>
      </c>
      <c r="BA66" s="460">
        <v>0</v>
      </c>
      <c r="BB66" s="460">
        <v>0</v>
      </c>
      <c r="BC66" s="460">
        <v>0</v>
      </c>
      <c r="BD66" s="460">
        <v>0</v>
      </c>
      <c r="BE66" s="460">
        <v>0</v>
      </c>
      <c r="BF66" s="460">
        <v>0</v>
      </c>
      <c r="BG66" s="460">
        <v>0</v>
      </c>
      <c r="BH66" s="460">
        <v>0</v>
      </c>
      <c r="BI66" s="460">
        <v>0</v>
      </c>
      <c r="BJ66" s="460">
        <v>0</v>
      </c>
      <c r="BK66" s="460">
        <v>0</v>
      </c>
      <c r="BL66" s="460">
        <v>0</v>
      </c>
      <c r="BM66" s="460">
        <v>0</v>
      </c>
      <c r="BN66" s="460">
        <v>0</v>
      </c>
      <c r="BO66" s="460">
        <v>0</v>
      </c>
      <c r="BP66" s="460">
        <v>0</v>
      </c>
      <c r="BQ66" s="460">
        <v>0</v>
      </c>
      <c r="BR66" s="460">
        <v>0</v>
      </c>
      <c r="BS66" s="460">
        <v>0</v>
      </c>
      <c r="BT66" s="460">
        <v>0</v>
      </c>
      <c r="BU66" s="460">
        <v>0</v>
      </c>
      <c r="BV66" s="460">
        <v>0</v>
      </c>
      <c r="BW66" s="460">
        <v>0</v>
      </c>
      <c r="BX66" s="460">
        <v>0</v>
      </c>
      <c r="BY66" s="460">
        <v>0</v>
      </c>
      <c r="BZ66" s="460">
        <v>0</v>
      </c>
      <c r="CA66" s="460" t="e">
        <v>#N/A</v>
      </c>
      <c r="CB66" s="460" t="e">
        <v>#N/A</v>
      </c>
      <c r="CC66" s="460" t="e">
        <v>#N/A</v>
      </c>
    </row>
    <row r="67" spans="1:81" ht="12.75" customHeight="1">
      <c r="A67" s="105">
        <v>62</v>
      </c>
      <c r="B67" s="458" t="str">
        <v>35Y</v>
      </c>
      <c r="C67" s="465">
        <f>'eur disaggregated'!W78</f>
        <v>0</v>
      </c>
      <c r="D67" s="111" t="str">
        <f t="shared" si="6"/>
        <v>420M</v>
      </c>
      <c r="E67" s="441">
        <f t="shared" si="5"/>
        <v>42696</v>
      </c>
      <c r="F67" s="441">
        <f>IF(AND(NOT(ISNA(MATCH(RIGHT(B67,2),$I$6:$I$67,0))),LEN(B67)&lt;6,RIGHT(B67,1)="M"),INDEX($K$6:$K$67,MATCH(RIGHT(B67,2),$I$6:$I$67,0)),IF(AND(NOT(ISNA(MATCH((IF(RIGHT(B67,3)="24M","2Y",IF(RIGHT(B67,3)="12M", "1Y", RIGHT(B67,3)))),$I$6:$I$67,0))),LEN(B67)&gt;=6,RIGHT(B67,1)="M"),INDEX($K$6:$K$67,MATCH((IF(RIGHT(B67,3)="24M","2Y",IF(RIGHT(B67,3)="12M", "1Y", RIGHT(B67,3)))),$I$6:$I$67,0)),_xll.qlCalendarAdvance(Calendar,E67,D67)))</f>
        <v>55479</v>
      </c>
      <c r="G67" s="462">
        <f t="shared" si="2"/>
        <v>1.1770000000000001E-2</v>
      </c>
      <c r="H67" s="453">
        <v>1.177</v>
      </c>
      <c r="I67" s="107" t="str">
        <v>60Y</v>
      </c>
      <c r="J67" s="106" t="str">
        <f>IF(LEN(I67)&gt;0,IF((MID(I67,4,1)=" "),#REF!,IF((LEN(I67)=8),DATE("20" &amp; RIGHT(I67,2),MID(I67,4,2),LEFT(I67,2)),SimplifyTenor(I67))),"")</f>
        <v>720M</v>
      </c>
      <c r="K67" s="448">
        <f>_xll.qlCalendarAdvance("TARGET",SettlementDate,J67)</f>
        <v>64612</v>
      </c>
      <c r="M67" s="99" t="str">
        <v>60Y</v>
      </c>
      <c r="N67" s="465">
        <v>0</v>
      </c>
      <c r="P67" s="106" t="b">
        <f t="shared" si="7"/>
        <v>0</v>
      </c>
      <c r="Q67" s="460">
        <f t="array" ref="Q67:CC67">C67*ForwardToZero(OisBuckets,E67,F67,G67)</f>
        <v>0</v>
      </c>
      <c r="R67" s="460">
        <v>0</v>
      </c>
      <c r="S67" s="460">
        <v>0</v>
      </c>
      <c r="T67" s="460">
        <v>0</v>
      </c>
      <c r="U67" s="460">
        <v>0</v>
      </c>
      <c r="V67" s="460">
        <v>0</v>
      </c>
      <c r="W67" s="460">
        <v>0</v>
      </c>
      <c r="X67" s="460">
        <v>0</v>
      </c>
      <c r="Y67" s="460">
        <v>0</v>
      </c>
      <c r="Z67" s="460">
        <v>0</v>
      </c>
      <c r="AA67" s="460">
        <v>0</v>
      </c>
      <c r="AB67" s="460">
        <v>0</v>
      </c>
      <c r="AC67" s="460">
        <v>0</v>
      </c>
      <c r="AD67" s="460">
        <v>0</v>
      </c>
      <c r="AE67" s="460">
        <v>0</v>
      </c>
      <c r="AF67" s="460">
        <v>0</v>
      </c>
      <c r="AG67" s="460">
        <v>0</v>
      </c>
      <c r="AH67" s="460">
        <v>0</v>
      </c>
      <c r="AI67" s="460">
        <v>0</v>
      </c>
      <c r="AJ67" s="460">
        <v>0</v>
      </c>
      <c r="AK67" s="460">
        <v>0</v>
      </c>
      <c r="AL67" s="460">
        <v>0</v>
      </c>
      <c r="AM67" s="460">
        <v>0</v>
      </c>
      <c r="AN67" s="460">
        <v>0</v>
      </c>
      <c r="AO67" s="460">
        <v>0</v>
      </c>
      <c r="AP67" s="460">
        <v>0</v>
      </c>
      <c r="AQ67" s="460">
        <v>0</v>
      </c>
      <c r="AR67" s="460">
        <v>0</v>
      </c>
      <c r="AS67" s="460">
        <v>0</v>
      </c>
      <c r="AT67" s="460">
        <v>0</v>
      </c>
      <c r="AU67" s="460">
        <v>0</v>
      </c>
      <c r="AV67" s="460">
        <v>0</v>
      </c>
      <c r="AW67" s="460">
        <v>0</v>
      </c>
      <c r="AX67" s="460">
        <v>0</v>
      </c>
      <c r="AY67" s="460">
        <v>0</v>
      </c>
      <c r="AZ67" s="460">
        <v>0</v>
      </c>
      <c r="BA67" s="460">
        <v>0</v>
      </c>
      <c r="BB67" s="460">
        <v>0</v>
      </c>
      <c r="BC67" s="460">
        <v>0</v>
      </c>
      <c r="BD67" s="460">
        <v>0</v>
      </c>
      <c r="BE67" s="460">
        <v>0</v>
      </c>
      <c r="BF67" s="460">
        <v>0</v>
      </c>
      <c r="BG67" s="460">
        <v>0</v>
      </c>
      <c r="BH67" s="460">
        <v>0</v>
      </c>
      <c r="BI67" s="460">
        <v>0</v>
      </c>
      <c r="BJ67" s="460">
        <v>0</v>
      </c>
      <c r="BK67" s="460">
        <v>0</v>
      </c>
      <c r="BL67" s="460">
        <v>0</v>
      </c>
      <c r="BM67" s="460">
        <v>0</v>
      </c>
      <c r="BN67" s="460">
        <v>0</v>
      </c>
      <c r="BO67" s="460">
        <v>0</v>
      </c>
      <c r="BP67" s="460">
        <v>0</v>
      </c>
      <c r="BQ67" s="460">
        <v>0</v>
      </c>
      <c r="BR67" s="460">
        <v>0</v>
      </c>
      <c r="BS67" s="460">
        <v>0</v>
      </c>
      <c r="BT67" s="460">
        <v>0</v>
      </c>
      <c r="BU67" s="460">
        <v>0</v>
      </c>
      <c r="BV67" s="460">
        <v>0</v>
      </c>
      <c r="BW67" s="460">
        <v>0</v>
      </c>
      <c r="BX67" s="460">
        <v>0</v>
      </c>
      <c r="BY67" s="460">
        <v>0</v>
      </c>
      <c r="BZ67" s="460">
        <v>0</v>
      </c>
      <c r="CA67" s="460" t="e">
        <v>#N/A</v>
      </c>
      <c r="CB67" s="460" t="e">
        <v>#N/A</v>
      </c>
      <c r="CC67" s="460" t="e">
        <v>#N/A</v>
      </c>
    </row>
    <row r="68" spans="1:81" ht="12.75" customHeight="1">
      <c r="A68" s="105">
        <v>63</v>
      </c>
      <c r="B68" s="458" t="str">
        <v>36Y</v>
      </c>
      <c r="C68" s="465">
        <f>'eur disaggregated'!W79</f>
        <v>0</v>
      </c>
      <c r="D68" s="111" t="str">
        <f t="shared" si="6"/>
        <v>432M</v>
      </c>
      <c r="E68" s="441">
        <f t="shared" si="5"/>
        <v>42696</v>
      </c>
      <c r="F68" s="441">
        <f>IF(AND(NOT(ISNA(MATCH(RIGHT(B68,2),$I$6:$I$67,0))),LEN(B68)&lt;6,RIGHT(B68,1)="M"),INDEX($K$6:$K$67,MATCH(RIGHT(B68,2),$I$6:$I$67,0)),IF(AND(NOT(ISNA(MATCH((IF(RIGHT(B68,3)="24M","2Y",IF(RIGHT(B68,3)="12M", "1Y", RIGHT(B68,3)))),$I$6:$I$67,0))),LEN(B68)&gt;=6,RIGHT(B68,1)="M"),INDEX($K$6:$K$67,MATCH((IF(RIGHT(B68,3)="24M","2Y",IF(RIGHT(B68,3)="12M", "1Y", RIGHT(B68,3)))),$I$6:$I$67,0)),_xll.qlCalendarAdvance(Calendar,E68,D68)))</f>
        <v>55845</v>
      </c>
      <c r="G68" s="462">
        <f t="shared" si="2"/>
        <v>1.1753930500000001E-2</v>
      </c>
      <c r="H68" s="453">
        <v>1.1753930500000001</v>
      </c>
      <c r="I68" s="107" t="e">
        <v>#N/A</v>
      </c>
      <c r="J68" s="106" t="e">
        <f>IF(LEN(I68)&gt;0,IF((MID(I68,4,1)=" "),#REF!,IF((LEN(I68)=8),DATE("20" &amp; RIGHT(I68,2),MID(I68,4,2),LEFT(I68,2)),SimplifyTenor(I68))),"")</f>
        <v>#N/A</v>
      </c>
      <c r="K68" s="448" t="e">
        <f>_xll.qlCalendarAdvance("TARGET",SettlementDate,J68)</f>
        <v>#NUM!</v>
      </c>
      <c r="M68" s="99" t="e">
        <v>#N/A</v>
      </c>
      <c r="N68" s="465" t="e">
        <v>#N/A</v>
      </c>
      <c r="P68" s="106" t="b">
        <f t="shared" si="7"/>
        <v>0</v>
      </c>
      <c r="Q68" s="460">
        <f t="array" ref="Q68:CC68">C68*ForwardToZero(OisBuckets,E68,F68,G68)</f>
        <v>0</v>
      </c>
      <c r="R68" s="460">
        <v>0</v>
      </c>
      <c r="S68" s="460">
        <v>0</v>
      </c>
      <c r="T68" s="460">
        <v>0</v>
      </c>
      <c r="U68" s="460">
        <v>0</v>
      </c>
      <c r="V68" s="460">
        <v>0</v>
      </c>
      <c r="W68" s="460">
        <v>0</v>
      </c>
      <c r="X68" s="460">
        <v>0</v>
      </c>
      <c r="Y68" s="460">
        <v>0</v>
      </c>
      <c r="Z68" s="460">
        <v>0</v>
      </c>
      <c r="AA68" s="460">
        <v>0</v>
      </c>
      <c r="AB68" s="460">
        <v>0</v>
      </c>
      <c r="AC68" s="460">
        <v>0</v>
      </c>
      <c r="AD68" s="460">
        <v>0</v>
      </c>
      <c r="AE68" s="460">
        <v>0</v>
      </c>
      <c r="AF68" s="460">
        <v>0</v>
      </c>
      <c r="AG68" s="460">
        <v>0</v>
      </c>
      <c r="AH68" s="460">
        <v>0</v>
      </c>
      <c r="AI68" s="460">
        <v>0</v>
      </c>
      <c r="AJ68" s="460">
        <v>0</v>
      </c>
      <c r="AK68" s="460">
        <v>0</v>
      </c>
      <c r="AL68" s="460">
        <v>0</v>
      </c>
      <c r="AM68" s="460">
        <v>0</v>
      </c>
      <c r="AN68" s="460">
        <v>0</v>
      </c>
      <c r="AO68" s="460">
        <v>0</v>
      </c>
      <c r="AP68" s="460">
        <v>0</v>
      </c>
      <c r="AQ68" s="460">
        <v>0</v>
      </c>
      <c r="AR68" s="460">
        <v>0</v>
      </c>
      <c r="AS68" s="460">
        <v>0</v>
      </c>
      <c r="AT68" s="460">
        <v>0</v>
      </c>
      <c r="AU68" s="460">
        <v>0</v>
      </c>
      <c r="AV68" s="460">
        <v>0</v>
      </c>
      <c r="AW68" s="460">
        <v>0</v>
      </c>
      <c r="AX68" s="460">
        <v>0</v>
      </c>
      <c r="AY68" s="460">
        <v>0</v>
      </c>
      <c r="AZ68" s="460">
        <v>0</v>
      </c>
      <c r="BA68" s="460">
        <v>0</v>
      </c>
      <c r="BB68" s="460">
        <v>0</v>
      </c>
      <c r="BC68" s="460">
        <v>0</v>
      </c>
      <c r="BD68" s="460">
        <v>0</v>
      </c>
      <c r="BE68" s="460">
        <v>0</v>
      </c>
      <c r="BF68" s="460">
        <v>0</v>
      </c>
      <c r="BG68" s="460">
        <v>0</v>
      </c>
      <c r="BH68" s="460">
        <v>0</v>
      </c>
      <c r="BI68" s="460">
        <v>0</v>
      </c>
      <c r="BJ68" s="460">
        <v>0</v>
      </c>
      <c r="BK68" s="460">
        <v>0</v>
      </c>
      <c r="BL68" s="460">
        <v>0</v>
      </c>
      <c r="BM68" s="460">
        <v>0</v>
      </c>
      <c r="BN68" s="460">
        <v>0</v>
      </c>
      <c r="BO68" s="460">
        <v>0</v>
      </c>
      <c r="BP68" s="460">
        <v>0</v>
      </c>
      <c r="BQ68" s="460">
        <v>0</v>
      </c>
      <c r="BR68" s="460">
        <v>0</v>
      </c>
      <c r="BS68" s="460">
        <v>0</v>
      </c>
      <c r="BT68" s="460">
        <v>0</v>
      </c>
      <c r="BU68" s="460">
        <v>0</v>
      </c>
      <c r="BV68" s="460">
        <v>0</v>
      </c>
      <c r="BW68" s="460">
        <v>0</v>
      </c>
      <c r="BX68" s="460">
        <v>0</v>
      </c>
      <c r="BY68" s="460">
        <v>0</v>
      </c>
      <c r="BZ68" s="460">
        <v>0</v>
      </c>
      <c r="CA68" s="460" t="e">
        <v>#N/A</v>
      </c>
      <c r="CB68" s="460" t="e">
        <v>#N/A</v>
      </c>
      <c r="CC68" s="460" t="e">
        <v>#N/A</v>
      </c>
    </row>
    <row r="69" spans="1:81" ht="12.75" customHeight="1">
      <c r="A69" s="105">
        <v>64</v>
      </c>
      <c r="B69" s="458" t="str">
        <v>37Y</v>
      </c>
      <c r="C69" s="465">
        <f>'eur disaggregated'!W80</f>
        <v>0</v>
      </c>
      <c r="D69" s="111" t="str">
        <f t="shared" si="6"/>
        <v>444M</v>
      </c>
      <c r="E69" s="441">
        <f t="shared" si="5"/>
        <v>42696</v>
      </c>
      <c r="F69" s="441">
        <f>IF(AND(NOT(ISNA(MATCH(RIGHT(B69,2),$I$6:$I$67,0))),LEN(B69)&lt;6,RIGHT(B69,1)="M"),INDEX($K$6:$K$67,MATCH(RIGHT(B69,2),$I$6:$I$67,0)),IF(AND(NOT(ISNA(MATCH((IF(RIGHT(B69,3)="24M","2Y",IF(RIGHT(B69,3)="12M", "1Y", RIGHT(B69,3)))),$I$6:$I$67,0))),LEN(B69)&gt;=6,RIGHT(B69,1)="M"),INDEX($K$6:$K$67,MATCH((IF(RIGHT(B69,3)="24M","2Y",IF(RIGHT(B69,3)="12M", "1Y", RIGHT(B69,3)))),$I$6:$I$67,0)),_xll.qlCalendarAdvance(Calendar,E69,D69)))</f>
        <v>56212</v>
      </c>
      <c r="G69" s="462">
        <f t="shared" si="2"/>
        <v>1.1733906919999999E-2</v>
      </c>
      <c r="H69" s="453">
        <v>1.1733906919999999</v>
      </c>
      <c r="I69" s="107" t="e">
        <v>#N/A</v>
      </c>
      <c r="J69" s="106" t="e">
        <f>IF(LEN(I69)&gt;0,IF((MID(I69,4,1)=" "),#REF!,IF((LEN(I69)=8),DATE("20" &amp; RIGHT(I69,2),MID(I69,4,2),LEFT(I69,2)),SimplifyTenor(I69))),"")</f>
        <v>#N/A</v>
      </c>
      <c r="K69" s="448" t="e">
        <f>_xll.qlCalendarAdvance("TARGET",SettlementDate,J69)</f>
        <v>#NUM!</v>
      </c>
      <c r="M69" s="99" t="e">
        <v>#N/A</v>
      </c>
      <c r="N69" s="465" t="e">
        <v>#N/A</v>
      </c>
      <c r="P69" s="106" t="b">
        <f t="shared" si="7"/>
        <v>0</v>
      </c>
      <c r="Q69" s="460">
        <f t="array" ref="Q69:CC69">C69*ForwardToZero(OisBuckets,E69,F69,G69)</f>
        <v>0</v>
      </c>
      <c r="R69" s="460">
        <v>0</v>
      </c>
      <c r="S69" s="460">
        <v>0</v>
      </c>
      <c r="T69" s="460">
        <v>0</v>
      </c>
      <c r="U69" s="460">
        <v>0</v>
      </c>
      <c r="V69" s="460">
        <v>0</v>
      </c>
      <c r="W69" s="460">
        <v>0</v>
      </c>
      <c r="X69" s="460">
        <v>0</v>
      </c>
      <c r="Y69" s="460">
        <v>0</v>
      </c>
      <c r="Z69" s="460">
        <v>0</v>
      </c>
      <c r="AA69" s="460">
        <v>0</v>
      </c>
      <c r="AB69" s="460">
        <v>0</v>
      </c>
      <c r="AC69" s="460">
        <v>0</v>
      </c>
      <c r="AD69" s="460">
        <v>0</v>
      </c>
      <c r="AE69" s="460">
        <v>0</v>
      </c>
      <c r="AF69" s="460">
        <v>0</v>
      </c>
      <c r="AG69" s="460">
        <v>0</v>
      </c>
      <c r="AH69" s="460">
        <v>0</v>
      </c>
      <c r="AI69" s="460">
        <v>0</v>
      </c>
      <c r="AJ69" s="460">
        <v>0</v>
      </c>
      <c r="AK69" s="460">
        <v>0</v>
      </c>
      <c r="AL69" s="460">
        <v>0</v>
      </c>
      <c r="AM69" s="460">
        <v>0</v>
      </c>
      <c r="AN69" s="460">
        <v>0</v>
      </c>
      <c r="AO69" s="460">
        <v>0</v>
      </c>
      <c r="AP69" s="460">
        <v>0</v>
      </c>
      <c r="AQ69" s="460">
        <v>0</v>
      </c>
      <c r="AR69" s="460">
        <v>0</v>
      </c>
      <c r="AS69" s="460">
        <v>0</v>
      </c>
      <c r="AT69" s="460">
        <v>0</v>
      </c>
      <c r="AU69" s="460">
        <v>0</v>
      </c>
      <c r="AV69" s="460">
        <v>0</v>
      </c>
      <c r="AW69" s="460">
        <v>0</v>
      </c>
      <c r="AX69" s="460">
        <v>0</v>
      </c>
      <c r="AY69" s="460">
        <v>0</v>
      </c>
      <c r="AZ69" s="460">
        <v>0</v>
      </c>
      <c r="BA69" s="460">
        <v>0</v>
      </c>
      <c r="BB69" s="460">
        <v>0</v>
      </c>
      <c r="BC69" s="460">
        <v>0</v>
      </c>
      <c r="BD69" s="460">
        <v>0</v>
      </c>
      <c r="BE69" s="460">
        <v>0</v>
      </c>
      <c r="BF69" s="460">
        <v>0</v>
      </c>
      <c r="BG69" s="460">
        <v>0</v>
      </c>
      <c r="BH69" s="460">
        <v>0</v>
      </c>
      <c r="BI69" s="460">
        <v>0</v>
      </c>
      <c r="BJ69" s="460">
        <v>0</v>
      </c>
      <c r="BK69" s="460">
        <v>0</v>
      </c>
      <c r="BL69" s="460">
        <v>0</v>
      </c>
      <c r="BM69" s="460">
        <v>0</v>
      </c>
      <c r="BN69" s="460">
        <v>0</v>
      </c>
      <c r="BO69" s="460">
        <v>0</v>
      </c>
      <c r="BP69" s="460">
        <v>0</v>
      </c>
      <c r="BQ69" s="460">
        <v>0</v>
      </c>
      <c r="BR69" s="460">
        <v>0</v>
      </c>
      <c r="BS69" s="460">
        <v>0</v>
      </c>
      <c r="BT69" s="460">
        <v>0</v>
      </c>
      <c r="BU69" s="460">
        <v>0</v>
      </c>
      <c r="BV69" s="460">
        <v>0</v>
      </c>
      <c r="BW69" s="460">
        <v>0</v>
      </c>
      <c r="BX69" s="460">
        <v>0</v>
      </c>
      <c r="BY69" s="460">
        <v>0</v>
      </c>
      <c r="BZ69" s="460">
        <v>0</v>
      </c>
      <c r="CA69" s="460" t="e">
        <v>#N/A</v>
      </c>
      <c r="CB69" s="460" t="e">
        <v>#N/A</v>
      </c>
      <c r="CC69" s="460" t="e">
        <v>#N/A</v>
      </c>
    </row>
    <row r="70" spans="1:81" ht="12.75" customHeight="1">
      <c r="A70" s="105">
        <v>65</v>
      </c>
      <c r="B70" s="458" t="str">
        <v>38Y</v>
      </c>
      <c r="C70" s="465">
        <f>'eur disaggregated'!W81</f>
        <v>0</v>
      </c>
      <c r="D70" s="111" t="str">
        <f t="shared" si="6"/>
        <v>456M</v>
      </c>
      <c r="E70" s="441">
        <f t="shared" si="5"/>
        <v>42696</v>
      </c>
      <c r="F70" s="441">
        <f>IF(AND(NOT(ISNA(MATCH(RIGHT(B70,2),$I$6:$I$67,0))),LEN(B70)&lt;6,RIGHT(B70,1)="M"),INDEX($K$6:$K$67,MATCH(RIGHT(B70,2),$I$6:$I$67,0)),IF(AND(NOT(ISNA(MATCH((IF(RIGHT(B70,3)="24M","2Y",IF(RIGHT(B70,3)="12M", "1Y", RIGHT(B70,3)))),$I$6:$I$67,0))),LEN(B70)&gt;=6,RIGHT(B70,1)="M"),INDEX($K$6:$K$67,MATCH((IF(RIGHT(B70,3)="24M","2Y",IF(RIGHT(B70,3)="12M", "1Y", RIGHT(B70,3)))),$I$6:$I$67,0)),_xll.qlCalendarAdvance(Calendar,E70,D70)))</f>
        <v>56576</v>
      </c>
      <c r="G70" s="462">
        <f t="shared" si="2"/>
        <v>1.171020008E-2</v>
      </c>
      <c r="H70" s="453">
        <v>1.1710200079999999</v>
      </c>
      <c r="I70" s="107" t="e">
        <v>#N/A</v>
      </c>
      <c r="J70" s="106" t="e">
        <f>IF(LEN(I70)&gt;0,IF((MID(I70,4,1)=" "),#REF!,IF((LEN(I70)=8),DATE("20" &amp; RIGHT(I70,2),MID(I70,4,2),LEFT(I70,2)),SimplifyTenor(I70))),"")</f>
        <v>#N/A</v>
      </c>
      <c r="K70" s="448" t="e">
        <f>_xll.qlCalendarAdvance("TARGET",SettlementDate,J70)</f>
        <v>#NUM!</v>
      </c>
      <c r="M70" s="99" t="e">
        <v>#N/A</v>
      </c>
      <c r="N70" s="465" t="e">
        <v>#N/A</v>
      </c>
      <c r="P70" s="106" t="b">
        <f t="shared" si="7"/>
        <v>0</v>
      </c>
      <c r="Q70" s="460">
        <f t="array" ref="Q70:CC70">C70*ForwardToZero(OisBuckets,E70,F70,G70)</f>
        <v>0</v>
      </c>
      <c r="R70" s="460">
        <v>0</v>
      </c>
      <c r="S70" s="460">
        <v>0</v>
      </c>
      <c r="T70" s="460">
        <v>0</v>
      </c>
      <c r="U70" s="460">
        <v>0</v>
      </c>
      <c r="V70" s="460">
        <v>0</v>
      </c>
      <c r="W70" s="460">
        <v>0</v>
      </c>
      <c r="X70" s="460">
        <v>0</v>
      </c>
      <c r="Y70" s="460">
        <v>0</v>
      </c>
      <c r="Z70" s="460">
        <v>0</v>
      </c>
      <c r="AA70" s="460">
        <v>0</v>
      </c>
      <c r="AB70" s="460">
        <v>0</v>
      </c>
      <c r="AC70" s="460">
        <v>0</v>
      </c>
      <c r="AD70" s="460">
        <v>0</v>
      </c>
      <c r="AE70" s="460">
        <v>0</v>
      </c>
      <c r="AF70" s="460">
        <v>0</v>
      </c>
      <c r="AG70" s="460">
        <v>0</v>
      </c>
      <c r="AH70" s="460">
        <v>0</v>
      </c>
      <c r="AI70" s="460">
        <v>0</v>
      </c>
      <c r="AJ70" s="460">
        <v>0</v>
      </c>
      <c r="AK70" s="460">
        <v>0</v>
      </c>
      <c r="AL70" s="460">
        <v>0</v>
      </c>
      <c r="AM70" s="460">
        <v>0</v>
      </c>
      <c r="AN70" s="460">
        <v>0</v>
      </c>
      <c r="AO70" s="460">
        <v>0</v>
      </c>
      <c r="AP70" s="460">
        <v>0</v>
      </c>
      <c r="AQ70" s="460">
        <v>0</v>
      </c>
      <c r="AR70" s="460">
        <v>0</v>
      </c>
      <c r="AS70" s="460">
        <v>0</v>
      </c>
      <c r="AT70" s="460">
        <v>0</v>
      </c>
      <c r="AU70" s="460">
        <v>0</v>
      </c>
      <c r="AV70" s="460">
        <v>0</v>
      </c>
      <c r="AW70" s="460">
        <v>0</v>
      </c>
      <c r="AX70" s="460">
        <v>0</v>
      </c>
      <c r="AY70" s="460">
        <v>0</v>
      </c>
      <c r="AZ70" s="460">
        <v>0</v>
      </c>
      <c r="BA70" s="460">
        <v>0</v>
      </c>
      <c r="BB70" s="460">
        <v>0</v>
      </c>
      <c r="BC70" s="460">
        <v>0</v>
      </c>
      <c r="BD70" s="460">
        <v>0</v>
      </c>
      <c r="BE70" s="460">
        <v>0</v>
      </c>
      <c r="BF70" s="460">
        <v>0</v>
      </c>
      <c r="BG70" s="460">
        <v>0</v>
      </c>
      <c r="BH70" s="460">
        <v>0</v>
      </c>
      <c r="BI70" s="460">
        <v>0</v>
      </c>
      <c r="BJ70" s="460">
        <v>0</v>
      </c>
      <c r="BK70" s="460">
        <v>0</v>
      </c>
      <c r="BL70" s="460">
        <v>0</v>
      </c>
      <c r="BM70" s="460">
        <v>0</v>
      </c>
      <c r="BN70" s="460">
        <v>0</v>
      </c>
      <c r="BO70" s="460">
        <v>0</v>
      </c>
      <c r="BP70" s="460">
        <v>0</v>
      </c>
      <c r="BQ70" s="460">
        <v>0</v>
      </c>
      <c r="BR70" s="460">
        <v>0</v>
      </c>
      <c r="BS70" s="460">
        <v>0</v>
      </c>
      <c r="BT70" s="460">
        <v>0</v>
      </c>
      <c r="BU70" s="460">
        <v>0</v>
      </c>
      <c r="BV70" s="460">
        <v>0</v>
      </c>
      <c r="BW70" s="460">
        <v>0</v>
      </c>
      <c r="BX70" s="460">
        <v>0</v>
      </c>
      <c r="BY70" s="460">
        <v>0</v>
      </c>
      <c r="BZ70" s="460">
        <v>0</v>
      </c>
      <c r="CA70" s="460" t="e">
        <v>#N/A</v>
      </c>
      <c r="CB70" s="460" t="e">
        <v>#N/A</v>
      </c>
      <c r="CC70" s="460" t="e">
        <v>#N/A</v>
      </c>
    </row>
    <row r="71" spans="1:81" ht="12.75" customHeight="1">
      <c r="A71" s="458">
        <v>66</v>
      </c>
      <c r="B71" s="458" t="str">
        <v>39Y</v>
      </c>
      <c r="C71" s="465">
        <f>'eur disaggregated'!W82</f>
        <v>0</v>
      </c>
      <c r="D71" s="111" t="str">
        <f t="shared" si="6"/>
        <v>468M</v>
      </c>
      <c r="E71" s="441">
        <f t="shared" si="5"/>
        <v>42696</v>
      </c>
      <c r="F71" s="441">
        <f>IF(AND(NOT(ISNA(MATCH(RIGHT(B71,2),$I$6:$I$67,0))),LEN(B71)&lt;6,RIGHT(B71,1)="M"),INDEX($K$6:$K$67,MATCH(RIGHT(B71,2),$I$6:$I$67,0)),IF(AND(NOT(ISNA(MATCH((IF(RIGHT(B71,3)="24M","2Y",IF(RIGHT(B71,3)="12M", "1Y", RIGHT(B71,3)))),$I$6:$I$67,0))),LEN(B71)&gt;=6,RIGHT(B71,1)="M"),INDEX($K$6:$K$67,MATCH((IF(RIGHT(B71,3)="24M","2Y",IF(RIGHT(B71,3)="12M", "1Y", RIGHT(B71,3)))),$I$6:$I$67,0)),_xll.qlCalendarAdvance(Calendar,E71,D71)))</f>
        <v>56940</v>
      </c>
      <c r="G71" s="462">
        <f t="shared" ref="G71:G74" si="8">IF(AND(70&lt;H71, H71&lt;130),(100-H71)/100,H71/100)</f>
        <v>1.1682294879999999E-2</v>
      </c>
      <c r="H71" s="453">
        <v>1.1682294879999999</v>
      </c>
      <c r="I71" s="481"/>
      <c r="J71" s="481"/>
      <c r="K71" s="482"/>
      <c r="M71" s="481"/>
      <c r="N71" s="481"/>
      <c r="P71" s="106" t="b">
        <f t="shared" ref="P71:P74" si="9">MID(B71,4,1)=" "</f>
        <v>0</v>
      </c>
      <c r="Q71" s="460">
        <f t="array" ref="Q71:CC71">C71*ForwardToZero(OisBuckets,E71,F71,G71)</f>
        <v>0</v>
      </c>
      <c r="R71" s="460">
        <v>0</v>
      </c>
      <c r="S71" s="460">
        <v>0</v>
      </c>
      <c r="T71" s="460">
        <v>0</v>
      </c>
      <c r="U71" s="460">
        <v>0</v>
      </c>
      <c r="V71" s="460">
        <v>0</v>
      </c>
      <c r="W71" s="460">
        <v>0</v>
      </c>
      <c r="X71" s="460">
        <v>0</v>
      </c>
      <c r="Y71" s="460">
        <v>0</v>
      </c>
      <c r="Z71" s="460">
        <v>0</v>
      </c>
      <c r="AA71" s="460">
        <v>0</v>
      </c>
      <c r="AB71" s="460">
        <v>0</v>
      </c>
      <c r="AC71" s="460">
        <v>0</v>
      </c>
      <c r="AD71" s="460">
        <v>0</v>
      </c>
      <c r="AE71" s="460">
        <v>0</v>
      </c>
      <c r="AF71" s="460">
        <v>0</v>
      </c>
      <c r="AG71" s="460">
        <v>0</v>
      </c>
      <c r="AH71" s="460">
        <v>0</v>
      </c>
      <c r="AI71" s="460">
        <v>0</v>
      </c>
      <c r="AJ71" s="460">
        <v>0</v>
      </c>
      <c r="AK71" s="460">
        <v>0</v>
      </c>
      <c r="AL71" s="460">
        <v>0</v>
      </c>
      <c r="AM71" s="460">
        <v>0</v>
      </c>
      <c r="AN71" s="460">
        <v>0</v>
      </c>
      <c r="AO71" s="460">
        <v>0</v>
      </c>
      <c r="AP71" s="460">
        <v>0</v>
      </c>
      <c r="AQ71" s="460">
        <v>0</v>
      </c>
      <c r="AR71" s="460">
        <v>0</v>
      </c>
      <c r="AS71" s="460">
        <v>0</v>
      </c>
      <c r="AT71" s="460">
        <v>0</v>
      </c>
      <c r="AU71" s="460">
        <v>0</v>
      </c>
      <c r="AV71" s="460">
        <v>0</v>
      </c>
      <c r="AW71" s="460">
        <v>0</v>
      </c>
      <c r="AX71" s="460">
        <v>0</v>
      </c>
      <c r="AY71" s="460">
        <v>0</v>
      </c>
      <c r="AZ71" s="460">
        <v>0</v>
      </c>
      <c r="BA71" s="460">
        <v>0</v>
      </c>
      <c r="BB71" s="460">
        <v>0</v>
      </c>
      <c r="BC71" s="460">
        <v>0</v>
      </c>
      <c r="BD71" s="460">
        <v>0</v>
      </c>
      <c r="BE71" s="460">
        <v>0</v>
      </c>
      <c r="BF71" s="460">
        <v>0</v>
      </c>
      <c r="BG71" s="460">
        <v>0</v>
      </c>
      <c r="BH71" s="460">
        <v>0</v>
      </c>
      <c r="BI71" s="460">
        <v>0</v>
      </c>
      <c r="BJ71" s="460">
        <v>0</v>
      </c>
      <c r="BK71" s="460">
        <v>0</v>
      </c>
      <c r="BL71" s="460">
        <v>0</v>
      </c>
      <c r="BM71" s="460">
        <v>0</v>
      </c>
      <c r="BN71" s="460">
        <v>0</v>
      </c>
      <c r="BO71" s="460">
        <v>0</v>
      </c>
      <c r="BP71" s="460">
        <v>0</v>
      </c>
      <c r="BQ71" s="460">
        <v>0</v>
      </c>
      <c r="BR71" s="460">
        <v>0</v>
      </c>
      <c r="BS71" s="460">
        <v>0</v>
      </c>
      <c r="BT71" s="460">
        <v>0</v>
      </c>
      <c r="BU71" s="460">
        <v>0</v>
      </c>
      <c r="BV71" s="460">
        <v>0</v>
      </c>
      <c r="BW71" s="460">
        <v>0</v>
      </c>
      <c r="BX71" s="460">
        <v>0</v>
      </c>
      <c r="BY71" s="460">
        <v>0</v>
      </c>
      <c r="BZ71" s="460">
        <v>0</v>
      </c>
      <c r="CA71" s="460" t="e">
        <v>#N/A</v>
      </c>
      <c r="CB71" s="460" t="e">
        <v>#N/A</v>
      </c>
      <c r="CC71" s="460" t="e">
        <v>#N/A</v>
      </c>
    </row>
    <row r="72" spans="1:81" ht="12.75" customHeight="1">
      <c r="A72" s="458">
        <v>67</v>
      </c>
      <c r="B72" s="458" t="str">
        <v>40Y</v>
      </c>
      <c r="C72" s="465">
        <f>'eur disaggregated'!W83</f>
        <v>0</v>
      </c>
      <c r="D72" s="111" t="str">
        <f t="shared" si="6"/>
        <v>480M</v>
      </c>
      <c r="E72" s="441">
        <f t="shared" si="5"/>
        <v>42696</v>
      </c>
      <c r="F72" s="441">
        <f>IF(AND(NOT(ISNA(MATCH(RIGHT(B72,2),$I$6:$I$67,0))),LEN(B72)&lt;6,RIGHT(B72,1)="M"),INDEX($K$6:$K$67,MATCH(RIGHT(B72,2),$I$6:$I$67,0)),IF(AND(NOT(ISNA(MATCH((IF(RIGHT(B72,3)="24M","2Y",IF(RIGHT(B72,3)="12M", "1Y", RIGHT(B72,3)))),$I$6:$I$67,0))),LEN(B72)&gt;=6,RIGHT(B72,1)="M"),INDEX($K$6:$K$67,MATCH((IF(RIGHT(B72,3)="24M","2Y",IF(RIGHT(B72,3)="12M", "1Y", RIGHT(B72,3)))),$I$6:$I$67,0)),_xll.qlCalendarAdvance(Calendar,E72,D72)))</f>
        <v>57306</v>
      </c>
      <c r="G72" s="462">
        <f t="shared" si="8"/>
        <v>1.1650000000000001E-2</v>
      </c>
      <c r="H72" s="453">
        <v>1.165</v>
      </c>
      <c r="I72" s="481"/>
      <c r="J72" s="481"/>
      <c r="K72" s="482"/>
      <c r="M72" s="481"/>
      <c r="N72" s="481"/>
      <c r="P72" s="106" t="b">
        <f t="shared" si="9"/>
        <v>0</v>
      </c>
      <c r="Q72" s="460">
        <f t="array" ref="Q72:CC72">C72*ForwardToZero(OisBuckets,E72,F72,G72)</f>
        <v>0</v>
      </c>
      <c r="R72" s="460">
        <v>0</v>
      </c>
      <c r="S72" s="460">
        <v>0</v>
      </c>
      <c r="T72" s="460">
        <v>0</v>
      </c>
      <c r="U72" s="460">
        <v>0</v>
      </c>
      <c r="V72" s="460">
        <v>0</v>
      </c>
      <c r="W72" s="460">
        <v>0</v>
      </c>
      <c r="X72" s="460">
        <v>0</v>
      </c>
      <c r="Y72" s="460">
        <v>0</v>
      </c>
      <c r="Z72" s="460">
        <v>0</v>
      </c>
      <c r="AA72" s="460">
        <v>0</v>
      </c>
      <c r="AB72" s="460">
        <v>0</v>
      </c>
      <c r="AC72" s="460">
        <v>0</v>
      </c>
      <c r="AD72" s="460">
        <v>0</v>
      </c>
      <c r="AE72" s="460">
        <v>0</v>
      </c>
      <c r="AF72" s="460">
        <v>0</v>
      </c>
      <c r="AG72" s="460">
        <v>0</v>
      </c>
      <c r="AH72" s="460">
        <v>0</v>
      </c>
      <c r="AI72" s="460">
        <v>0</v>
      </c>
      <c r="AJ72" s="460">
        <v>0</v>
      </c>
      <c r="AK72" s="460">
        <v>0</v>
      </c>
      <c r="AL72" s="460">
        <v>0</v>
      </c>
      <c r="AM72" s="460">
        <v>0</v>
      </c>
      <c r="AN72" s="460">
        <v>0</v>
      </c>
      <c r="AO72" s="460">
        <v>0</v>
      </c>
      <c r="AP72" s="460">
        <v>0</v>
      </c>
      <c r="AQ72" s="460">
        <v>0</v>
      </c>
      <c r="AR72" s="460">
        <v>0</v>
      </c>
      <c r="AS72" s="460">
        <v>0</v>
      </c>
      <c r="AT72" s="460">
        <v>0</v>
      </c>
      <c r="AU72" s="460">
        <v>0</v>
      </c>
      <c r="AV72" s="460">
        <v>0</v>
      </c>
      <c r="AW72" s="460">
        <v>0</v>
      </c>
      <c r="AX72" s="460">
        <v>0</v>
      </c>
      <c r="AY72" s="460">
        <v>0</v>
      </c>
      <c r="AZ72" s="460">
        <v>0</v>
      </c>
      <c r="BA72" s="460">
        <v>0</v>
      </c>
      <c r="BB72" s="460">
        <v>0</v>
      </c>
      <c r="BC72" s="460">
        <v>0</v>
      </c>
      <c r="BD72" s="460">
        <v>0</v>
      </c>
      <c r="BE72" s="460">
        <v>0</v>
      </c>
      <c r="BF72" s="460">
        <v>0</v>
      </c>
      <c r="BG72" s="460">
        <v>0</v>
      </c>
      <c r="BH72" s="460">
        <v>0</v>
      </c>
      <c r="BI72" s="460">
        <v>0</v>
      </c>
      <c r="BJ72" s="460">
        <v>0</v>
      </c>
      <c r="BK72" s="460">
        <v>0</v>
      </c>
      <c r="BL72" s="460">
        <v>0</v>
      </c>
      <c r="BM72" s="460">
        <v>0</v>
      </c>
      <c r="BN72" s="460">
        <v>0</v>
      </c>
      <c r="BO72" s="460">
        <v>0</v>
      </c>
      <c r="BP72" s="460">
        <v>0</v>
      </c>
      <c r="BQ72" s="460">
        <v>0</v>
      </c>
      <c r="BR72" s="460">
        <v>0</v>
      </c>
      <c r="BS72" s="460">
        <v>0</v>
      </c>
      <c r="BT72" s="460">
        <v>0</v>
      </c>
      <c r="BU72" s="460">
        <v>0</v>
      </c>
      <c r="BV72" s="460">
        <v>0</v>
      </c>
      <c r="BW72" s="460">
        <v>0</v>
      </c>
      <c r="BX72" s="460">
        <v>0</v>
      </c>
      <c r="BY72" s="460">
        <v>0</v>
      </c>
      <c r="BZ72" s="460">
        <v>0</v>
      </c>
      <c r="CA72" s="460" t="e">
        <v>#N/A</v>
      </c>
      <c r="CB72" s="460" t="e">
        <v>#N/A</v>
      </c>
      <c r="CC72" s="460" t="e">
        <v>#N/A</v>
      </c>
    </row>
    <row r="73" spans="1:81" ht="12.75" customHeight="1">
      <c r="A73" s="458">
        <v>68</v>
      </c>
      <c r="B73" s="458" t="str">
        <v>50Y</v>
      </c>
      <c r="C73" s="465">
        <f>'eur disaggregated'!W84</f>
        <v>0</v>
      </c>
      <c r="D73" s="111" t="str">
        <f t="shared" si="6"/>
        <v>600M</v>
      </c>
      <c r="E73" s="441">
        <f t="shared" si="5"/>
        <v>42696</v>
      </c>
      <c r="F73" s="441">
        <f>IF(AND(NOT(ISNA(MATCH(RIGHT(B73,2),$I$6:$I$67,0))),LEN(B73)&lt;6,RIGHT(B73,1)="M"),INDEX($K$6:$K$67,MATCH(RIGHT(B73,2),$I$6:$I$67,0)),IF(AND(NOT(ISNA(MATCH((IF(RIGHT(B73,3)="24M","2Y",IF(RIGHT(B73,3)="12M", "1Y", RIGHT(B73,3)))),$I$6:$I$67,0))),LEN(B73)&gt;=6,RIGHT(B73,1)="M"),INDEX($K$6:$K$67,MATCH((IF(RIGHT(B73,3)="24M","2Y",IF(RIGHT(B73,3)="12M", "1Y", RIGHT(B73,3)))),$I$6:$I$67,0)),_xll.qlCalendarAdvance(Calendar,E73,D73)))</f>
        <v>60958</v>
      </c>
      <c r="G73" s="462">
        <f t="shared" si="8"/>
        <v>1.111E-2</v>
      </c>
      <c r="H73" s="453">
        <v>1.111</v>
      </c>
      <c r="I73" s="481"/>
      <c r="J73" s="481"/>
      <c r="K73" s="482"/>
      <c r="M73" s="481"/>
      <c r="N73" s="481"/>
      <c r="P73" s="106" t="b">
        <f t="shared" si="9"/>
        <v>0</v>
      </c>
      <c r="Q73" s="460">
        <f t="array" ref="Q73:CC73">C73*ForwardToZero(OisBuckets,E73,F73,G73)</f>
        <v>0</v>
      </c>
      <c r="R73" s="460">
        <v>0</v>
      </c>
      <c r="S73" s="460">
        <v>0</v>
      </c>
      <c r="T73" s="460">
        <v>0</v>
      </c>
      <c r="U73" s="460">
        <v>0</v>
      </c>
      <c r="V73" s="460">
        <v>0</v>
      </c>
      <c r="W73" s="460">
        <v>0</v>
      </c>
      <c r="X73" s="460">
        <v>0</v>
      </c>
      <c r="Y73" s="460">
        <v>0</v>
      </c>
      <c r="Z73" s="460">
        <v>0</v>
      </c>
      <c r="AA73" s="460">
        <v>0</v>
      </c>
      <c r="AB73" s="460">
        <v>0</v>
      </c>
      <c r="AC73" s="460">
        <v>0</v>
      </c>
      <c r="AD73" s="460">
        <v>0</v>
      </c>
      <c r="AE73" s="460">
        <v>0</v>
      </c>
      <c r="AF73" s="460">
        <v>0</v>
      </c>
      <c r="AG73" s="460">
        <v>0</v>
      </c>
      <c r="AH73" s="460">
        <v>0</v>
      </c>
      <c r="AI73" s="460">
        <v>0</v>
      </c>
      <c r="AJ73" s="460">
        <v>0</v>
      </c>
      <c r="AK73" s="460">
        <v>0</v>
      </c>
      <c r="AL73" s="460">
        <v>0</v>
      </c>
      <c r="AM73" s="460">
        <v>0</v>
      </c>
      <c r="AN73" s="460">
        <v>0</v>
      </c>
      <c r="AO73" s="460">
        <v>0</v>
      </c>
      <c r="AP73" s="460">
        <v>0</v>
      </c>
      <c r="AQ73" s="460">
        <v>0</v>
      </c>
      <c r="AR73" s="460">
        <v>0</v>
      </c>
      <c r="AS73" s="460">
        <v>0</v>
      </c>
      <c r="AT73" s="460">
        <v>0</v>
      </c>
      <c r="AU73" s="460">
        <v>0</v>
      </c>
      <c r="AV73" s="460">
        <v>0</v>
      </c>
      <c r="AW73" s="460">
        <v>0</v>
      </c>
      <c r="AX73" s="460">
        <v>0</v>
      </c>
      <c r="AY73" s="460">
        <v>0</v>
      </c>
      <c r="AZ73" s="460">
        <v>0</v>
      </c>
      <c r="BA73" s="460">
        <v>0</v>
      </c>
      <c r="BB73" s="460">
        <v>0</v>
      </c>
      <c r="BC73" s="460">
        <v>0</v>
      </c>
      <c r="BD73" s="460">
        <v>0</v>
      </c>
      <c r="BE73" s="460">
        <v>0</v>
      </c>
      <c r="BF73" s="460">
        <v>0</v>
      </c>
      <c r="BG73" s="460">
        <v>0</v>
      </c>
      <c r="BH73" s="460">
        <v>0</v>
      </c>
      <c r="BI73" s="460">
        <v>0</v>
      </c>
      <c r="BJ73" s="460">
        <v>0</v>
      </c>
      <c r="BK73" s="460">
        <v>0</v>
      </c>
      <c r="BL73" s="460">
        <v>0</v>
      </c>
      <c r="BM73" s="460">
        <v>0</v>
      </c>
      <c r="BN73" s="460">
        <v>0</v>
      </c>
      <c r="BO73" s="460">
        <v>0</v>
      </c>
      <c r="BP73" s="460">
        <v>0</v>
      </c>
      <c r="BQ73" s="460">
        <v>0</v>
      </c>
      <c r="BR73" s="460">
        <v>0</v>
      </c>
      <c r="BS73" s="460">
        <v>0</v>
      </c>
      <c r="BT73" s="460">
        <v>0</v>
      </c>
      <c r="BU73" s="460">
        <v>0</v>
      </c>
      <c r="BV73" s="460">
        <v>0</v>
      </c>
      <c r="BW73" s="460">
        <v>0</v>
      </c>
      <c r="BX73" s="460">
        <v>0</v>
      </c>
      <c r="BY73" s="460">
        <v>0</v>
      </c>
      <c r="BZ73" s="460">
        <v>0</v>
      </c>
      <c r="CA73" s="460" t="e">
        <v>#N/A</v>
      </c>
      <c r="CB73" s="460" t="e">
        <v>#N/A</v>
      </c>
      <c r="CC73" s="460" t="e">
        <v>#N/A</v>
      </c>
    </row>
    <row r="74" spans="1:81" ht="12.75" customHeight="1">
      <c r="A74" s="458">
        <v>69</v>
      </c>
      <c r="B74" s="458" t="str">
        <v>60Y</v>
      </c>
      <c r="C74" s="465">
        <f>'eur disaggregated'!W85</f>
        <v>0</v>
      </c>
      <c r="D74" s="111" t="str">
        <f t="shared" si="6"/>
        <v>720M</v>
      </c>
      <c r="E74" s="441">
        <f t="shared" si="5"/>
        <v>42696</v>
      </c>
      <c r="F74" s="441">
        <f>IF(AND(NOT(ISNA(MATCH(RIGHT(B74,2),$I$6:$I$67,0))),LEN(B74)&lt;6,RIGHT(B74,1)="M"),INDEX($K$6:$K$67,MATCH(RIGHT(B74,2),$I$6:$I$67,0)),IF(AND(NOT(ISNA(MATCH((IF(RIGHT(B74,3)="24M","2Y",IF(RIGHT(B74,3)="12M", "1Y", RIGHT(B74,3)))),$I$6:$I$67,0))),LEN(B74)&gt;=6,RIGHT(B74,1)="M"),INDEX($K$6:$K$67,MATCH((IF(RIGHT(B74,3)="24M","2Y",IF(RIGHT(B74,3)="12M", "1Y", RIGHT(B74,3)))),$I$6:$I$67,0)),_xll.qlCalendarAdvance(Calendar,E74,D74)))</f>
        <v>64612</v>
      </c>
      <c r="G74" s="462">
        <f t="shared" si="8"/>
        <v>1.076E-2</v>
      </c>
      <c r="H74" s="453">
        <v>1.0760000000000001</v>
      </c>
      <c r="I74" s="481"/>
      <c r="J74" s="481"/>
      <c r="K74" s="482"/>
      <c r="M74" s="481"/>
      <c r="N74" s="481"/>
      <c r="P74" s="106" t="b">
        <f t="shared" si="9"/>
        <v>0</v>
      </c>
      <c r="Q74" s="483"/>
      <c r="R74" s="483"/>
      <c r="S74" s="483"/>
      <c r="T74" s="483"/>
      <c r="U74" s="483"/>
      <c r="V74" s="483"/>
      <c r="W74" s="483"/>
      <c r="X74" s="483"/>
      <c r="Y74" s="483"/>
      <c r="Z74" s="483"/>
      <c r="AA74" s="483"/>
      <c r="AB74" s="483"/>
      <c r="AC74" s="483"/>
      <c r="AD74" s="483"/>
      <c r="AE74" s="483"/>
      <c r="AF74" s="483"/>
      <c r="AG74" s="483"/>
      <c r="AH74" s="483"/>
      <c r="AI74" s="483"/>
      <c r="AJ74" s="483"/>
      <c r="AK74" s="483"/>
      <c r="AL74" s="483"/>
      <c r="AM74" s="483"/>
      <c r="AN74" s="483"/>
      <c r="AO74" s="483"/>
      <c r="AP74" s="483"/>
      <c r="AQ74" s="483"/>
      <c r="AR74" s="483"/>
      <c r="AS74" s="483"/>
      <c r="AT74" s="483"/>
      <c r="AU74" s="483"/>
      <c r="AV74" s="483"/>
      <c r="AW74" s="483"/>
      <c r="AX74" s="483"/>
      <c r="AY74" s="483"/>
      <c r="AZ74" s="483"/>
      <c r="BA74" s="483"/>
      <c r="BB74" s="483"/>
      <c r="BC74" s="483"/>
      <c r="BD74" s="483"/>
      <c r="BE74" s="483"/>
      <c r="BF74" s="483"/>
      <c r="BG74" s="483"/>
      <c r="BH74" s="483"/>
      <c r="BI74" s="483"/>
      <c r="BJ74" s="483"/>
      <c r="BK74" s="483"/>
      <c r="BL74" s="483"/>
      <c r="BM74" s="483"/>
      <c r="BN74" s="483"/>
      <c r="BO74" s="483"/>
      <c r="BP74" s="483"/>
      <c r="BQ74" s="483"/>
      <c r="BR74" s="483"/>
      <c r="BS74" s="483"/>
      <c r="BT74" s="483"/>
      <c r="BU74" s="483"/>
      <c r="BV74" s="483"/>
      <c r="BW74" s="483"/>
      <c r="BX74" s="483"/>
      <c r="BY74" s="483"/>
      <c r="BZ74" s="483"/>
      <c r="CA74" s="483"/>
      <c r="CB74" s="483"/>
      <c r="CC74" s="483"/>
    </row>
    <row r="75" spans="1:81" ht="12.75" customHeight="1">
      <c r="A75" s="335"/>
      <c r="B75" s="335"/>
      <c r="C75" s="335"/>
      <c r="D75" s="335"/>
      <c r="E75" s="335"/>
      <c r="F75" s="335"/>
      <c r="G75" s="335"/>
      <c r="H75" s="335"/>
      <c r="I75" s="335"/>
      <c r="J75" s="335"/>
      <c r="K75" s="335"/>
      <c r="M75" s="335"/>
      <c r="N75" s="335"/>
      <c r="P75" s="335"/>
      <c r="Q75" s="335"/>
      <c r="R75" s="335"/>
      <c r="S75" s="335"/>
      <c r="T75" s="335"/>
      <c r="U75" s="335"/>
      <c r="V75" s="335"/>
      <c r="W75" s="335"/>
      <c r="X75" s="335"/>
      <c r="Y75" s="335"/>
      <c r="Z75" s="335"/>
      <c r="AA75" s="335"/>
      <c r="AB75" s="335"/>
      <c r="AC75" s="335"/>
      <c r="AD75" s="335"/>
      <c r="AE75" s="335"/>
      <c r="AF75" s="335"/>
      <c r="AG75" s="335"/>
      <c r="AH75" s="335"/>
      <c r="AI75" s="335"/>
      <c r="AJ75" s="335"/>
      <c r="AK75" s="335"/>
      <c r="AL75" s="335"/>
      <c r="AM75" s="335"/>
      <c r="AN75" s="335"/>
      <c r="AO75" s="335"/>
      <c r="AP75" s="335"/>
      <c r="AQ75" s="335"/>
      <c r="AR75" s="335"/>
      <c r="AS75" s="335"/>
      <c r="AT75" s="335"/>
      <c r="AU75" s="335"/>
      <c r="AV75" s="335"/>
      <c r="AW75" s="335"/>
      <c r="AX75" s="335"/>
      <c r="AY75" s="335"/>
      <c r="AZ75" s="335"/>
      <c r="BA75" s="335"/>
      <c r="BB75" s="335"/>
      <c r="BC75" s="335"/>
      <c r="BD75" s="335"/>
      <c r="BE75" s="335"/>
      <c r="BF75" s="335"/>
      <c r="BG75" s="335"/>
      <c r="BH75" s="335"/>
      <c r="BI75" s="335"/>
      <c r="BJ75" s="335"/>
      <c r="BK75" s="335"/>
      <c r="BL75" s="335"/>
      <c r="BM75" s="335"/>
      <c r="BN75" s="335"/>
      <c r="BO75" s="335"/>
      <c r="BP75" s="335"/>
      <c r="BQ75" s="335"/>
      <c r="BR75" s="335"/>
      <c r="BS75" s="335"/>
      <c r="BT75" s="335"/>
      <c r="BU75" s="335"/>
      <c r="BV75" s="335"/>
      <c r="BW75" s="335"/>
      <c r="BX75" s="335"/>
      <c r="BY75" s="335"/>
      <c r="BZ75" s="335"/>
      <c r="CA75" s="335"/>
      <c r="CB75" s="335"/>
      <c r="CC75" s="335"/>
    </row>
    <row r="76" spans="1:81" ht="12.75" customHeight="1" thickBot="1">
      <c r="P76" s="99" t="s">
        <v>5155</v>
      </c>
      <c r="Q76" s="465">
        <f>SUM(Q6:Q70)</f>
        <v>0</v>
      </c>
      <c r="R76" s="465">
        <f t="shared" ref="R76:CC76" si="10">SUM(R6:R70)</f>
        <v>0</v>
      </c>
      <c r="S76" s="465">
        <f t="shared" si="10"/>
        <v>48.521829919969733</v>
      </c>
      <c r="T76" s="465">
        <f t="shared" si="10"/>
        <v>-96.780863640176349</v>
      </c>
      <c r="U76" s="465">
        <f t="shared" si="10"/>
        <v>-115.79138310911112</v>
      </c>
      <c r="V76" s="465">
        <f t="shared" si="10"/>
        <v>-40.224526826003881</v>
      </c>
      <c r="W76" s="465">
        <f t="shared" si="10"/>
        <v>1398.3265716927331</v>
      </c>
      <c r="X76" s="465">
        <f t="shared" si="10"/>
        <v>636.55482937134127</v>
      </c>
      <c r="Y76" s="465">
        <f t="shared" si="10"/>
        <v>-137.9436905542438</v>
      </c>
      <c r="Z76" s="465">
        <f t="shared" si="10"/>
        <v>-847.15308462387748</v>
      </c>
      <c r="AA76" s="465">
        <f t="shared" si="10"/>
        <v>-275.39794389777978</v>
      </c>
      <c r="AB76" s="465">
        <f t="shared" si="10"/>
        <v>1079.1102211027112</v>
      </c>
      <c r="AC76" s="465">
        <f t="shared" si="10"/>
        <v>-273.99659771350309</v>
      </c>
      <c r="AD76" s="465">
        <f t="shared" si="10"/>
        <v>-367.26398806012617</v>
      </c>
      <c r="AE76" s="465">
        <f t="shared" si="10"/>
        <v>-1393.4555434755025</v>
      </c>
      <c r="AF76" s="465">
        <f t="shared" si="10"/>
        <v>-1359.9276888465515</v>
      </c>
      <c r="AG76" s="465">
        <f t="shared" si="10"/>
        <v>1814.9602235740697</v>
      </c>
      <c r="AH76" s="465">
        <f t="shared" si="10"/>
        <v>-287.06407559976446</v>
      </c>
      <c r="AI76" s="465">
        <f t="shared" si="10"/>
        <v>328.09295393634852</v>
      </c>
      <c r="AJ76" s="465">
        <f t="shared" si="10"/>
        <v>141.11858114677699</v>
      </c>
      <c r="AK76" s="465">
        <f t="shared" si="10"/>
        <v>1776.6574210666997</v>
      </c>
      <c r="AL76" s="465">
        <f t="shared" si="10"/>
        <v>6255.6016089375698</v>
      </c>
      <c r="AM76" s="465">
        <f t="shared" si="10"/>
        <v>-4070.9743355751862</v>
      </c>
      <c r="AN76" s="465">
        <f t="shared" si="10"/>
        <v>-2723.3854337107259</v>
      </c>
      <c r="AO76" s="465">
        <f t="shared" si="10"/>
        <v>2398.0622797335127</v>
      </c>
      <c r="AP76" s="465">
        <f t="shared" si="10"/>
        <v>417.64646586852359</v>
      </c>
      <c r="AQ76" s="465">
        <f t="shared" si="10"/>
        <v>0</v>
      </c>
      <c r="AR76" s="465">
        <f t="shared" si="10"/>
        <v>-1043.1530819435654</v>
      </c>
      <c r="AS76" s="465">
        <f t="shared" si="10"/>
        <v>485.11808839532864</v>
      </c>
      <c r="AT76" s="465">
        <f t="shared" si="10"/>
        <v>2014.2552140665396</v>
      </c>
      <c r="AU76" s="465">
        <f t="shared" si="10"/>
        <v>1533.9326027819013</v>
      </c>
      <c r="AV76" s="465">
        <f t="shared" si="10"/>
        <v>-695.39602641856004</v>
      </c>
      <c r="AW76" s="465">
        <f t="shared" si="10"/>
        <v>-2119.1114548274841</v>
      </c>
      <c r="AX76" s="465">
        <f t="shared" si="10"/>
        <v>-9327.664475420328</v>
      </c>
      <c r="AY76" s="465">
        <f t="shared" si="10"/>
        <v>11033.128719564129</v>
      </c>
      <c r="AZ76" s="465">
        <f t="shared" si="10"/>
        <v>-7650.3760629800763</v>
      </c>
      <c r="BA76" s="465">
        <f t="shared" si="10"/>
        <v>63790.485970177724</v>
      </c>
      <c r="BB76" s="465">
        <f t="shared" si="10"/>
        <v>-24008.646657417859</v>
      </c>
      <c r="BC76" s="465">
        <f t="shared" si="10"/>
        <v>-78624.231505126038</v>
      </c>
      <c r="BD76" s="465">
        <f t="shared" si="10"/>
        <v>27059.639833235597</v>
      </c>
      <c r="BE76" s="465">
        <f t="shared" si="10"/>
        <v>26896.672790558787</v>
      </c>
      <c r="BF76" s="465">
        <f t="shared" si="10"/>
        <v>113.9888506572663</v>
      </c>
      <c r="BG76" s="465">
        <f t="shared" si="10"/>
        <v>36015.355574990739</v>
      </c>
      <c r="BH76" s="465">
        <f t="shared" si="10"/>
        <v>7638.9835626476615</v>
      </c>
      <c r="BI76" s="465">
        <f t="shared" si="10"/>
        <v>-2697.4076907168514</v>
      </c>
      <c r="BJ76" s="465">
        <f t="shared" si="10"/>
        <v>108932.50467986638</v>
      </c>
      <c r="BK76" s="465">
        <f t="shared" si="10"/>
        <v>-399597.78638039599</v>
      </c>
      <c r="BL76" s="465">
        <f t="shared" si="10"/>
        <v>34165.02898271865</v>
      </c>
      <c r="BM76" s="465">
        <f t="shared" si="10"/>
        <v>101774.55982355469</v>
      </c>
      <c r="BN76" s="465">
        <f t="shared" si="10"/>
        <v>98465.681912517175</v>
      </c>
      <c r="BO76" s="465">
        <f t="shared" si="10"/>
        <v>9800.5529406788555</v>
      </c>
      <c r="BP76" s="465">
        <f t="shared" si="10"/>
        <v>27789.624610198927</v>
      </c>
      <c r="BQ76" s="465">
        <f t="shared" si="10"/>
        <v>-26086.850324685813</v>
      </c>
      <c r="BR76" s="465">
        <f t="shared" si="10"/>
        <v>4512.9941925996027</v>
      </c>
      <c r="BS76" s="465">
        <f t="shared" si="10"/>
        <v>1508.5126188608497</v>
      </c>
      <c r="BT76" s="465">
        <f t="shared" si="10"/>
        <v>1518.1921429421677</v>
      </c>
      <c r="BU76" s="465">
        <f t="shared" si="10"/>
        <v>1847.7133500147984</v>
      </c>
      <c r="BV76" s="465">
        <f t="shared" si="10"/>
        <v>4503.7413492964333</v>
      </c>
      <c r="BW76" s="465">
        <f t="shared" si="10"/>
        <v>859.03265561801607</v>
      </c>
      <c r="BX76" s="465">
        <f t="shared" si="10"/>
        <v>0</v>
      </c>
      <c r="BY76" s="465">
        <f t="shared" si="10"/>
        <v>0</v>
      </c>
      <c r="BZ76" s="465">
        <f t="shared" si="10"/>
        <v>0</v>
      </c>
      <c r="CA76" s="465" t="e">
        <f t="shared" si="10"/>
        <v>#N/A</v>
      </c>
      <c r="CB76" s="465" t="e">
        <f t="shared" si="10"/>
        <v>#N/A</v>
      </c>
      <c r="CC76" s="465" t="e">
        <f t="shared" si="10"/>
        <v>#N/A</v>
      </c>
    </row>
    <row r="77" spans="1:81" ht="45" customHeight="1" thickBot="1">
      <c r="B77" s="478" t="s">
        <v>5146</v>
      </c>
      <c r="C77" s="477">
        <f>SUM(C6:INDEX(C6:C70,COUNT(C6:C70)))</f>
        <v>24714.370636727344</v>
      </c>
      <c r="N77" s="477">
        <f>SUM(N6:INDEX(N6:N70,COUNT(N6:N70)))</f>
        <v>24714.370636727344</v>
      </c>
    </row>
    <row r="80" spans="1:81" ht="12.75" customHeight="1">
      <c r="H80" s="52"/>
    </row>
  </sheetData>
  <mergeCells count="4">
    <mergeCell ref="B3:K3"/>
    <mergeCell ref="B4:H4"/>
    <mergeCell ref="I4:K4"/>
    <mergeCell ref="N4:N5"/>
  </mergeCells>
  <conditionalFormatting sqref="P6:CC70">
    <cfRule type="expression" dxfId="15" priority="1">
      <formula>OR(LEN($I6)=0,LEN(P$4)=0)</formula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>
    <tabColor theme="3" tint="0.59999389629810485"/>
  </sheetPr>
  <dimension ref="A1:CC80"/>
  <sheetViews>
    <sheetView showGridLines="0" workbookViewId="0">
      <selection activeCell="C1" sqref="C1"/>
    </sheetView>
  </sheetViews>
  <sheetFormatPr defaultRowHeight="12.75" customHeight="1" outlineLevelCol="1"/>
  <cols>
    <col min="1" max="1" width="2.7109375" style="414" customWidth="1"/>
    <col min="2" max="2" width="11.5703125" style="414" customWidth="1"/>
    <col min="3" max="3" width="12.7109375" style="414" customWidth="1"/>
    <col min="4" max="4" width="10.85546875" style="414" hidden="1" customWidth="1" outlineLevel="1"/>
    <col min="5" max="5" width="12.28515625" style="414" hidden="1" customWidth="1" outlineLevel="1"/>
    <col min="6" max="6" width="9.42578125" style="414" hidden="1" customWidth="1" outlineLevel="1"/>
    <col min="7" max="7" width="13.28515625" style="414" hidden="1" customWidth="1" outlineLevel="1"/>
    <col min="8" max="8" width="9.85546875" style="414" hidden="1" customWidth="1" outlineLevel="1"/>
    <col min="9" max="9" width="10.140625" style="414" hidden="1" customWidth="1" outlineLevel="1"/>
    <col min="10" max="10" width="9.140625" style="414" hidden="1" customWidth="1" outlineLevel="1"/>
    <col min="11" max="11" width="11.28515625" style="414" hidden="1" customWidth="1" outlineLevel="1"/>
    <col min="12" max="12" width="2.7109375" style="414" customWidth="1" collapsed="1"/>
    <col min="13" max="13" width="5.28515625" style="414" customWidth="1"/>
    <col min="14" max="14" width="14.5703125" style="414" customWidth="1"/>
    <col min="15" max="15" width="2.7109375" style="414" customWidth="1"/>
    <col min="16" max="16" width="8.42578125" style="414" bestFit="1" customWidth="1"/>
    <col min="17" max="29" width="8.7109375" style="414" customWidth="1"/>
    <col min="30" max="30" width="9.140625" style="414" bestFit="1" customWidth="1"/>
    <col min="31" max="31" width="9.28515625" style="414" bestFit="1" customWidth="1"/>
    <col min="32" max="32" width="8.7109375" style="414" customWidth="1"/>
    <col min="33" max="34" width="9.28515625" style="414" bestFit="1" customWidth="1"/>
    <col min="35" max="35" width="9.5703125" style="414" bestFit="1" customWidth="1"/>
    <col min="36" max="37" width="9.28515625" style="414" bestFit="1" customWidth="1"/>
    <col min="38" max="38" width="9.140625" style="414" bestFit="1" customWidth="1"/>
    <col min="39" max="39" width="9.28515625" style="414" bestFit="1" customWidth="1"/>
    <col min="40" max="42" width="10" style="414" bestFit="1" customWidth="1"/>
    <col min="43" max="43" width="9.140625" style="414" bestFit="1" customWidth="1"/>
    <col min="44" max="44" width="8.7109375" style="414" customWidth="1"/>
    <col min="45" max="45" width="9.7109375" style="414" bestFit="1" customWidth="1"/>
    <col min="46" max="46" width="10.85546875" style="414" bestFit="1" customWidth="1"/>
    <col min="47" max="47" width="10" style="414" bestFit="1" customWidth="1"/>
    <col min="48" max="48" width="10.140625" style="414" bestFit="1" customWidth="1"/>
    <col min="49" max="49" width="9.7109375" style="414" bestFit="1" customWidth="1"/>
    <col min="50" max="50" width="10" style="414" bestFit="1" customWidth="1"/>
    <col min="51" max="51" width="11.28515625" style="414" bestFit="1" customWidth="1"/>
    <col min="52" max="52" width="9.5703125" style="414" bestFit="1" customWidth="1"/>
    <col min="53" max="53" width="9.28515625" style="414" bestFit="1" customWidth="1"/>
    <col min="54" max="56" width="11.28515625" style="414" bestFit="1" customWidth="1"/>
    <col min="57" max="57" width="9.28515625" style="414" bestFit="1" customWidth="1"/>
    <col min="58" max="58" width="10.85546875" style="414" bestFit="1" customWidth="1"/>
    <col min="59" max="59" width="9.7109375" style="414" bestFit="1" customWidth="1"/>
    <col min="60" max="60" width="11.28515625" style="414" bestFit="1" customWidth="1"/>
    <col min="61" max="61" width="10.85546875" style="414" bestFit="1" customWidth="1"/>
    <col min="62" max="62" width="9.5703125" style="414" bestFit="1" customWidth="1"/>
    <col min="63" max="63" width="11.28515625" style="414" bestFit="1" customWidth="1"/>
    <col min="64" max="64" width="10.140625" style="414" bestFit="1" customWidth="1"/>
    <col min="65" max="65" width="10.85546875" style="414" bestFit="1" customWidth="1"/>
    <col min="66" max="66" width="9.7109375" style="414" bestFit="1" customWidth="1"/>
    <col min="67" max="67" width="11.28515625" style="414" bestFit="1" customWidth="1"/>
    <col min="68" max="68" width="9.5703125" style="414" bestFit="1" customWidth="1"/>
    <col min="69" max="69" width="9.140625" style="414" bestFit="1" customWidth="1"/>
    <col min="70" max="86" width="8.7109375" style="414" customWidth="1"/>
    <col min="87" max="257" width="9.140625" style="414"/>
    <col min="258" max="258" width="2.7109375" style="414" customWidth="1"/>
    <col min="259" max="260" width="11.5703125" style="414" customWidth="1"/>
    <col min="261" max="261" width="7.28515625" style="414" customWidth="1"/>
    <col min="262" max="262" width="9.85546875" style="414" customWidth="1"/>
    <col min="263" max="263" width="10.140625" style="414" customWidth="1"/>
    <col min="264" max="264" width="11.28515625" style="414" customWidth="1"/>
    <col min="265" max="265" width="2.7109375" style="414" customWidth="1"/>
    <col min="266" max="266" width="9.42578125" style="414" customWidth="1"/>
    <col min="267" max="267" width="2.7109375" style="414" customWidth="1"/>
    <col min="268" max="271" width="0" style="414" hidden="1" customWidth="1"/>
    <col min="272" max="272" width="10" style="414" customWidth="1"/>
    <col min="273" max="342" width="6.7109375" style="414" customWidth="1"/>
    <col min="343" max="513" width="9.140625" style="414"/>
    <col min="514" max="514" width="2.7109375" style="414" customWidth="1"/>
    <col min="515" max="516" width="11.5703125" style="414" customWidth="1"/>
    <col min="517" max="517" width="7.28515625" style="414" customWidth="1"/>
    <col min="518" max="518" width="9.85546875" style="414" customWidth="1"/>
    <col min="519" max="519" width="10.140625" style="414" customWidth="1"/>
    <col min="520" max="520" width="11.28515625" style="414" customWidth="1"/>
    <col min="521" max="521" width="2.7109375" style="414" customWidth="1"/>
    <col min="522" max="522" width="9.42578125" style="414" customWidth="1"/>
    <col min="523" max="523" width="2.7109375" style="414" customWidth="1"/>
    <col min="524" max="527" width="0" style="414" hidden="1" customWidth="1"/>
    <col min="528" max="528" width="10" style="414" customWidth="1"/>
    <col min="529" max="598" width="6.7109375" style="414" customWidth="1"/>
    <col min="599" max="769" width="9.140625" style="414"/>
    <col min="770" max="770" width="2.7109375" style="414" customWidth="1"/>
    <col min="771" max="772" width="11.5703125" style="414" customWidth="1"/>
    <col min="773" max="773" width="7.28515625" style="414" customWidth="1"/>
    <col min="774" max="774" width="9.85546875" style="414" customWidth="1"/>
    <col min="775" max="775" width="10.140625" style="414" customWidth="1"/>
    <col min="776" max="776" width="11.28515625" style="414" customWidth="1"/>
    <col min="777" max="777" width="2.7109375" style="414" customWidth="1"/>
    <col min="778" max="778" width="9.42578125" style="414" customWidth="1"/>
    <col min="779" max="779" width="2.7109375" style="414" customWidth="1"/>
    <col min="780" max="783" width="0" style="414" hidden="1" customWidth="1"/>
    <col min="784" max="784" width="10" style="414" customWidth="1"/>
    <col min="785" max="854" width="6.7109375" style="414" customWidth="1"/>
    <col min="855" max="1025" width="9.140625" style="414"/>
    <col min="1026" max="1026" width="2.7109375" style="414" customWidth="1"/>
    <col min="1027" max="1028" width="11.5703125" style="414" customWidth="1"/>
    <col min="1029" max="1029" width="7.28515625" style="414" customWidth="1"/>
    <col min="1030" max="1030" width="9.85546875" style="414" customWidth="1"/>
    <col min="1031" max="1031" width="10.140625" style="414" customWidth="1"/>
    <col min="1032" max="1032" width="11.28515625" style="414" customWidth="1"/>
    <col min="1033" max="1033" width="2.7109375" style="414" customWidth="1"/>
    <col min="1034" max="1034" width="9.42578125" style="414" customWidth="1"/>
    <col min="1035" max="1035" width="2.7109375" style="414" customWidth="1"/>
    <col min="1036" max="1039" width="0" style="414" hidden="1" customWidth="1"/>
    <col min="1040" max="1040" width="10" style="414" customWidth="1"/>
    <col min="1041" max="1110" width="6.7109375" style="414" customWidth="1"/>
    <col min="1111" max="1281" width="9.140625" style="414"/>
    <col min="1282" max="1282" width="2.7109375" style="414" customWidth="1"/>
    <col min="1283" max="1284" width="11.5703125" style="414" customWidth="1"/>
    <col min="1285" max="1285" width="7.28515625" style="414" customWidth="1"/>
    <col min="1286" max="1286" width="9.85546875" style="414" customWidth="1"/>
    <col min="1287" max="1287" width="10.140625" style="414" customWidth="1"/>
    <col min="1288" max="1288" width="11.28515625" style="414" customWidth="1"/>
    <col min="1289" max="1289" width="2.7109375" style="414" customWidth="1"/>
    <col min="1290" max="1290" width="9.42578125" style="414" customWidth="1"/>
    <col min="1291" max="1291" width="2.7109375" style="414" customWidth="1"/>
    <col min="1292" max="1295" width="0" style="414" hidden="1" customWidth="1"/>
    <col min="1296" max="1296" width="10" style="414" customWidth="1"/>
    <col min="1297" max="1366" width="6.7109375" style="414" customWidth="1"/>
    <col min="1367" max="1537" width="9.140625" style="414"/>
    <col min="1538" max="1538" width="2.7109375" style="414" customWidth="1"/>
    <col min="1539" max="1540" width="11.5703125" style="414" customWidth="1"/>
    <col min="1541" max="1541" width="7.28515625" style="414" customWidth="1"/>
    <col min="1542" max="1542" width="9.85546875" style="414" customWidth="1"/>
    <col min="1543" max="1543" width="10.140625" style="414" customWidth="1"/>
    <col min="1544" max="1544" width="11.28515625" style="414" customWidth="1"/>
    <col min="1545" max="1545" width="2.7109375" style="414" customWidth="1"/>
    <col min="1546" max="1546" width="9.42578125" style="414" customWidth="1"/>
    <col min="1547" max="1547" width="2.7109375" style="414" customWidth="1"/>
    <col min="1548" max="1551" width="0" style="414" hidden="1" customWidth="1"/>
    <col min="1552" max="1552" width="10" style="414" customWidth="1"/>
    <col min="1553" max="1622" width="6.7109375" style="414" customWidth="1"/>
    <col min="1623" max="1793" width="9.140625" style="414"/>
    <col min="1794" max="1794" width="2.7109375" style="414" customWidth="1"/>
    <col min="1795" max="1796" width="11.5703125" style="414" customWidth="1"/>
    <col min="1797" max="1797" width="7.28515625" style="414" customWidth="1"/>
    <col min="1798" max="1798" width="9.85546875" style="414" customWidth="1"/>
    <col min="1799" max="1799" width="10.140625" style="414" customWidth="1"/>
    <col min="1800" max="1800" width="11.28515625" style="414" customWidth="1"/>
    <col min="1801" max="1801" width="2.7109375" style="414" customWidth="1"/>
    <col min="1802" max="1802" width="9.42578125" style="414" customWidth="1"/>
    <col min="1803" max="1803" width="2.7109375" style="414" customWidth="1"/>
    <col min="1804" max="1807" width="0" style="414" hidden="1" customWidth="1"/>
    <col min="1808" max="1808" width="10" style="414" customWidth="1"/>
    <col min="1809" max="1878" width="6.7109375" style="414" customWidth="1"/>
    <col min="1879" max="2049" width="9.140625" style="414"/>
    <col min="2050" max="2050" width="2.7109375" style="414" customWidth="1"/>
    <col min="2051" max="2052" width="11.5703125" style="414" customWidth="1"/>
    <col min="2053" max="2053" width="7.28515625" style="414" customWidth="1"/>
    <col min="2054" max="2054" width="9.85546875" style="414" customWidth="1"/>
    <col min="2055" max="2055" width="10.140625" style="414" customWidth="1"/>
    <col min="2056" max="2056" width="11.28515625" style="414" customWidth="1"/>
    <col min="2057" max="2057" width="2.7109375" style="414" customWidth="1"/>
    <col min="2058" max="2058" width="9.42578125" style="414" customWidth="1"/>
    <col min="2059" max="2059" width="2.7109375" style="414" customWidth="1"/>
    <col min="2060" max="2063" width="0" style="414" hidden="1" customWidth="1"/>
    <col min="2064" max="2064" width="10" style="414" customWidth="1"/>
    <col min="2065" max="2134" width="6.7109375" style="414" customWidth="1"/>
    <col min="2135" max="2305" width="9.140625" style="414"/>
    <col min="2306" max="2306" width="2.7109375" style="414" customWidth="1"/>
    <col min="2307" max="2308" width="11.5703125" style="414" customWidth="1"/>
    <col min="2309" max="2309" width="7.28515625" style="414" customWidth="1"/>
    <col min="2310" max="2310" width="9.85546875" style="414" customWidth="1"/>
    <col min="2311" max="2311" width="10.140625" style="414" customWidth="1"/>
    <col min="2312" max="2312" width="11.28515625" style="414" customWidth="1"/>
    <col min="2313" max="2313" width="2.7109375" style="414" customWidth="1"/>
    <col min="2314" max="2314" width="9.42578125" style="414" customWidth="1"/>
    <col min="2315" max="2315" width="2.7109375" style="414" customWidth="1"/>
    <col min="2316" max="2319" width="0" style="414" hidden="1" customWidth="1"/>
    <col min="2320" max="2320" width="10" style="414" customWidth="1"/>
    <col min="2321" max="2390" width="6.7109375" style="414" customWidth="1"/>
    <col min="2391" max="2561" width="9.140625" style="414"/>
    <col min="2562" max="2562" width="2.7109375" style="414" customWidth="1"/>
    <col min="2563" max="2564" width="11.5703125" style="414" customWidth="1"/>
    <col min="2565" max="2565" width="7.28515625" style="414" customWidth="1"/>
    <col min="2566" max="2566" width="9.85546875" style="414" customWidth="1"/>
    <col min="2567" max="2567" width="10.140625" style="414" customWidth="1"/>
    <col min="2568" max="2568" width="11.28515625" style="414" customWidth="1"/>
    <col min="2569" max="2569" width="2.7109375" style="414" customWidth="1"/>
    <col min="2570" max="2570" width="9.42578125" style="414" customWidth="1"/>
    <col min="2571" max="2571" width="2.7109375" style="414" customWidth="1"/>
    <col min="2572" max="2575" width="0" style="414" hidden="1" customWidth="1"/>
    <col min="2576" max="2576" width="10" style="414" customWidth="1"/>
    <col min="2577" max="2646" width="6.7109375" style="414" customWidth="1"/>
    <col min="2647" max="2817" width="9.140625" style="414"/>
    <col min="2818" max="2818" width="2.7109375" style="414" customWidth="1"/>
    <col min="2819" max="2820" width="11.5703125" style="414" customWidth="1"/>
    <col min="2821" max="2821" width="7.28515625" style="414" customWidth="1"/>
    <col min="2822" max="2822" width="9.85546875" style="414" customWidth="1"/>
    <col min="2823" max="2823" width="10.140625" style="414" customWidth="1"/>
    <col min="2824" max="2824" width="11.28515625" style="414" customWidth="1"/>
    <col min="2825" max="2825" width="2.7109375" style="414" customWidth="1"/>
    <col min="2826" max="2826" width="9.42578125" style="414" customWidth="1"/>
    <col min="2827" max="2827" width="2.7109375" style="414" customWidth="1"/>
    <col min="2828" max="2831" width="0" style="414" hidden="1" customWidth="1"/>
    <col min="2832" max="2832" width="10" style="414" customWidth="1"/>
    <col min="2833" max="2902" width="6.7109375" style="414" customWidth="1"/>
    <col min="2903" max="3073" width="9.140625" style="414"/>
    <col min="3074" max="3074" width="2.7109375" style="414" customWidth="1"/>
    <col min="3075" max="3076" width="11.5703125" style="414" customWidth="1"/>
    <col min="3077" max="3077" width="7.28515625" style="414" customWidth="1"/>
    <col min="3078" max="3078" width="9.85546875" style="414" customWidth="1"/>
    <col min="3079" max="3079" width="10.140625" style="414" customWidth="1"/>
    <col min="3080" max="3080" width="11.28515625" style="414" customWidth="1"/>
    <col min="3081" max="3081" width="2.7109375" style="414" customWidth="1"/>
    <col min="3082" max="3082" width="9.42578125" style="414" customWidth="1"/>
    <col min="3083" max="3083" width="2.7109375" style="414" customWidth="1"/>
    <col min="3084" max="3087" width="0" style="414" hidden="1" customWidth="1"/>
    <col min="3088" max="3088" width="10" style="414" customWidth="1"/>
    <col min="3089" max="3158" width="6.7109375" style="414" customWidth="1"/>
    <col min="3159" max="3329" width="9.140625" style="414"/>
    <col min="3330" max="3330" width="2.7109375" style="414" customWidth="1"/>
    <col min="3331" max="3332" width="11.5703125" style="414" customWidth="1"/>
    <col min="3333" max="3333" width="7.28515625" style="414" customWidth="1"/>
    <col min="3334" max="3334" width="9.85546875" style="414" customWidth="1"/>
    <col min="3335" max="3335" width="10.140625" style="414" customWidth="1"/>
    <col min="3336" max="3336" width="11.28515625" style="414" customWidth="1"/>
    <col min="3337" max="3337" width="2.7109375" style="414" customWidth="1"/>
    <col min="3338" max="3338" width="9.42578125" style="414" customWidth="1"/>
    <col min="3339" max="3339" width="2.7109375" style="414" customWidth="1"/>
    <col min="3340" max="3343" width="0" style="414" hidden="1" customWidth="1"/>
    <col min="3344" max="3344" width="10" style="414" customWidth="1"/>
    <col min="3345" max="3414" width="6.7109375" style="414" customWidth="1"/>
    <col min="3415" max="3585" width="9.140625" style="414"/>
    <col min="3586" max="3586" width="2.7109375" style="414" customWidth="1"/>
    <col min="3587" max="3588" width="11.5703125" style="414" customWidth="1"/>
    <col min="3589" max="3589" width="7.28515625" style="414" customWidth="1"/>
    <col min="3590" max="3590" width="9.85546875" style="414" customWidth="1"/>
    <col min="3591" max="3591" width="10.140625" style="414" customWidth="1"/>
    <col min="3592" max="3592" width="11.28515625" style="414" customWidth="1"/>
    <col min="3593" max="3593" width="2.7109375" style="414" customWidth="1"/>
    <col min="3594" max="3594" width="9.42578125" style="414" customWidth="1"/>
    <col min="3595" max="3595" width="2.7109375" style="414" customWidth="1"/>
    <col min="3596" max="3599" width="0" style="414" hidden="1" customWidth="1"/>
    <col min="3600" max="3600" width="10" style="414" customWidth="1"/>
    <col min="3601" max="3670" width="6.7109375" style="414" customWidth="1"/>
    <col min="3671" max="3841" width="9.140625" style="414"/>
    <col min="3842" max="3842" width="2.7109375" style="414" customWidth="1"/>
    <col min="3843" max="3844" width="11.5703125" style="414" customWidth="1"/>
    <col min="3845" max="3845" width="7.28515625" style="414" customWidth="1"/>
    <col min="3846" max="3846" width="9.85546875" style="414" customWidth="1"/>
    <col min="3847" max="3847" width="10.140625" style="414" customWidth="1"/>
    <col min="3848" max="3848" width="11.28515625" style="414" customWidth="1"/>
    <col min="3849" max="3849" width="2.7109375" style="414" customWidth="1"/>
    <col min="3850" max="3850" width="9.42578125" style="414" customWidth="1"/>
    <col min="3851" max="3851" width="2.7109375" style="414" customWidth="1"/>
    <col min="3852" max="3855" width="0" style="414" hidden="1" customWidth="1"/>
    <col min="3856" max="3856" width="10" style="414" customWidth="1"/>
    <col min="3857" max="3926" width="6.7109375" style="414" customWidth="1"/>
    <col min="3927" max="4097" width="9.140625" style="414"/>
    <col min="4098" max="4098" width="2.7109375" style="414" customWidth="1"/>
    <col min="4099" max="4100" width="11.5703125" style="414" customWidth="1"/>
    <col min="4101" max="4101" width="7.28515625" style="414" customWidth="1"/>
    <col min="4102" max="4102" width="9.85546875" style="414" customWidth="1"/>
    <col min="4103" max="4103" width="10.140625" style="414" customWidth="1"/>
    <col min="4104" max="4104" width="11.28515625" style="414" customWidth="1"/>
    <col min="4105" max="4105" width="2.7109375" style="414" customWidth="1"/>
    <col min="4106" max="4106" width="9.42578125" style="414" customWidth="1"/>
    <col min="4107" max="4107" width="2.7109375" style="414" customWidth="1"/>
    <col min="4108" max="4111" width="0" style="414" hidden="1" customWidth="1"/>
    <col min="4112" max="4112" width="10" style="414" customWidth="1"/>
    <col min="4113" max="4182" width="6.7109375" style="414" customWidth="1"/>
    <col min="4183" max="4353" width="9.140625" style="414"/>
    <col min="4354" max="4354" width="2.7109375" style="414" customWidth="1"/>
    <col min="4355" max="4356" width="11.5703125" style="414" customWidth="1"/>
    <col min="4357" max="4357" width="7.28515625" style="414" customWidth="1"/>
    <col min="4358" max="4358" width="9.85546875" style="414" customWidth="1"/>
    <col min="4359" max="4359" width="10.140625" style="414" customWidth="1"/>
    <col min="4360" max="4360" width="11.28515625" style="414" customWidth="1"/>
    <col min="4361" max="4361" width="2.7109375" style="414" customWidth="1"/>
    <col min="4362" max="4362" width="9.42578125" style="414" customWidth="1"/>
    <col min="4363" max="4363" width="2.7109375" style="414" customWidth="1"/>
    <col min="4364" max="4367" width="0" style="414" hidden="1" customWidth="1"/>
    <col min="4368" max="4368" width="10" style="414" customWidth="1"/>
    <col min="4369" max="4438" width="6.7109375" style="414" customWidth="1"/>
    <col min="4439" max="4609" width="9.140625" style="414"/>
    <col min="4610" max="4610" width="2.7109375" style="414" customWidth="1"/>
    <col min="4611" max="4612" width="11.5703125" style="414" customWidth="1"/>
    <col min="4613" max="4613" width="7.28515625" style="414" customWidth="1"/>
    <col min="4614" max="4614" width="9.85546875" style="414" customWidth="1"/>
    <col min="4615" max="4615" width="10.140625" style="414" customWidth="1"/>
    <col min="4616" max="4616" width="11.28515625" style="414" customWidth="1"/>
    <col min="4617" max="4617" width="2.7109375" style="414" customWidth="1"/>
    <col min="4618" max="4618" width="9.42578125" style="414" customWidth="1"/>
    <col min="4619" max="4619" width="2.7109375" style="414" customWidth="1"/>
    <col min="4620" max="4623" width="0" style="414" hidden="1" customWidth="1"/>
    <col min="4624" max="4624" width="10" style="414" customWidth="1"/>
    <col min="4625" max="4694" width="6.7109375" style="414" customWidth="1"/>
    <col min="4695" max="4865" width="9.140625" style="414"/>
    <col min="4866" max="4866" width="2.7109375" style="414" customWidth="1"/>
    <col min="4867" max="4868" width="11.5703125" style="414" customWidth="1"/>
    <col min="4869" max="4869" width="7.28515625" style="414" customWidth="1"/>
    <col min="4870" max="4870" width="9.85546875" style="414" customWidth="1"/>
    <col min="4871" max="4871" width="10.140625" style="414" customWidth="1"/>
    <col min="4872" max="4872" width="11.28515625" style="414" customWidth="1"/>
    <col min="4873" max="4873" width="2.7109375" style="414" customWidth="1"/>
    <col min="4874" max="4874" width="9.42578125" style="414" customWidth="1"/>
    <col min="4875" max="4875" width="2.7109375" style="414" customWidth="1"/>
    <col min="4876" max="4879" width="0" style="414" hidden="1" customWidth="1"/>
    <col min="4880" max="4880" width="10" style="414" customWidth="1"/>
    <col min="4881" max="4950" width="6.7109375" style="414" customWidth="1"/>
    <col min="4951" max="5121" width="9.140625" style="414"/>
    <col min="5122" max="5122" width="2.7109375" style="414" customWidth="1"/>
    <col min="5123" max="5124" width="11.5703125" style="414" customWidth="1"/>
    <col min="5125" max="5125" width="7.28515625" style="414" customWidth="1"/>
    <col min="5126" max="5126" width="9.85546875" style="414" customWidth="1"/>
    <col min="5127" max="5127" width="10.140625" style="414" customWidth="1"/>
    <col min="5128" max="5128" width="11.28515625" style="414" customWidth="1"/>
    <col min="5129" max="5129" width="2.7109375" style="414" customWidth="1"/>
    <col min="5130" max="5130" width="9.42578125" style="414" customWidth="1"/>
    <col min="5131" max="5131" width="2.7109375" style="414" customWidth="1"/>
    <col min="5132" max="5135" width="0" style="414" hidden="1" customWidth="1"/>
    <col min="5136" max="5136" width="10" style="414" customWidth="1"/>
    <col min="5137" max="5206" width="6.7109375" style="414" customWidth="1"/>
    <col min="5207" max="5377" width="9.140625" style="414"/>
    <col min="5378" max="5378" width="2.7109375" style="414" customWidth="1"/>
    <col min="5379" max="5380" width="11.5703125" style="414" customWidth="1"/>
    <col min="5381" max="5381" width="7.28515625" style="414" customWidth="1"/>
    <col min="5382" max="5382" width="9.85546875" style="414" customWidth="1"/>
    <col min="5383" max="5383" width="10.140625" style="414" customWidth="1"/>
    <col min="5384" max="5384" width="11.28515625" style="414" customWidth="1"/>
    <col min="5385" max="5385" width="2.7109375" style="414" customWidth="1"/>
    <col min="5386" max="5386" width="9.42578125" style="414" customWidth="1"/>
    <col min="5387" max="5387" width="2.7109375" style="414" customWidth="1"/>
    <col min="5388" max="5391" width="0" style="414" hidden="1" customWidth="1"/>
    <col min="5392" max="5392" width="10" style="414" customWidth="1"/>
    <col min="5393" max="5462" width="6.7109375" style="414" customWidth="1"/>
    <col min="5463" max="5633" width="9.140625" style="414"/>
    <col min="5634" max="5634" width="2.7109375" style="414" customWidth="1"/>
    <col min="5635" max="5636" width="11.5703125" style="414" customWidth="1"/>
    <col min="5637" max="5637" width="7.28515625" style="414" customWidth="1"/>
    <col min="5638" max="5638" width="9.85546875" style="414" customWidth="1"/>
    <col min="5639" max="5639" width="10.140625" style="414" customWidth="1"/>
    <col min="5640" max="5640" width="11.28515625" style="414" customWidth="1"/>
    <col min="5641" max="5641" width="2.7109375" style="414" customWidth="1"/>
    <col min="5642" max="5642" width="9.42578125" style="414" customWidth="1"/>
    <col min="5643" max="5643" width="2.7109375" style="414" customWidth="1"/>
    <col min="5644" max="5647" width="0" style="414" hidden="1" customWidth="1"/>
    <col min="5648" max="5648" width="10" style="414" customWidth="1"/>
    <col min="5649" max="5718" width="6.7109375" style="414" customWidth="1"/>
    <col min="5719" max="5889" width="9.140625" style="414"/>
    <col min="5890" max="5890" width="2.7109375" style="414" customWidth="1"/>
    <col min="5891" max="5892" width="11.5703125" style="414" customWidth="1"/>
    <col min="5893" max="5893" width="7.28515625" style="414" customWidth="1"/>
    <col min="5894" max="5894" width="9.85546875" style="414" customWidth="1"/>
    <col min="5895" max="5895" width="10.140625" style="414" customWidth="1"/>
    <col min="5896" max="5896" width="11.28515625" style="414" customWidth="1"/>
    <col min="5897" max="5897" width="2.7109375" style="414" customWidth="1"/>
    <col min="5898" max="5898" width="9.42578125" style="414" customWidth="1"/>
    <col min="5899" max="5899" width="2.7109375" style="414" customWidth="1"/>
    <col min="5900" max="5903" width="0" style="414" hidden="1" customWidth="1"/>
    <col min="5904" max="5904" width="10" style="414" customWidth="1"/>
    <col min="5905" max="5974" width="6.7109375" style="414" customWidth="1"/>
    <col min="5975" max="6145" width="9.140625" style="414"/>
    <col min="6146" max="6146" width="2.7109375" style="414" customWidth="1"/>
    <col min="6147" max="6148" width="11.5703125" style="414" customWidth="1"/>
    <col min="6149" max="6149" width="7.28515625" style="414" customWidth="1"/>
    <col min="6150" max="6150" width="9.85546875" style="414" customWidth="1"/>
    <col min="6151" max="6151" width="10.140625" style="414" customWidth="1"/>
    <col min="6152" max="6152" width="11.28515625" style="414" customWidth="1"/>
    <col min="6153" max="6153" width="2.7109375" style="414" customWidth="1"/>
    <col min="6154" max="6154" width="9.42578125" style="414" customWidth="1"/>
    <col min="6155" max="6155" width="2.7109375" style="414" customWidth="1"/>
    <col min="6156" max="6159" width="0" style="414" hidden="1" customWidth="1"/>
    <col min="6160" max="6160" width="10" style="414" customWidth="1"/>
    <col min="6161" max="6230" width="6.7109375" style="414" customWidth="1"/>
    <col min="6231" max="6401" width="9.140625" style="414"/>
    <col min="6402" max="6402" width="2.7109375" style="414" customWidth="1"/>
    <col min="6403" max="6404" width="11.5703125" style="414" customWidth="1"/>
    <col min="6405" max="6405" width="7.28515625" style="414" customWidth="1"/>
    <col min="6406" max="6406" width="9.85546875" style="414" customWidth="1"/>
    <col min="6407" max="6407" width="10.140625" style="414" customWidth="1"/>
    <col min="6408" max="6408" width="11.28515625" style="414" customWidth="1"/>
    <col min="6409" max="6409" width="2.7109375" style="414" customWidth="1"/>
    <col min="6410" max="6410" width="9.42578125" style="414" customWidth="1"/>
    <col min="6411" max="6411" width="2.7109375" style="414" customWidth="1"/>
    <col min="6412" max="6415" width="0" style="414" hidden="1" customWidth="1"/>
    <col min="6416" max="6416" width="10" style="414" customWidth="1"/>
    <col min="6417" max="6486" width="6.7109375" style="414" customWidth="1"/>
    <col min="6487" max="6657" width="9.140625" style="414"/>
    <col min="6658" max="6658" width="2.7109375" style="414" customWidth="1"/>
    <col min="6659" max="6660" width="11.5703125" style="414" customWidth="1"/>
    <col min="6661" max="6661" width="7.28515625" style="414" customWidth="1"/>
    <col min="6662" max="6662" width="9.85546875" style="414" customWidth="1"/>
    <col min="6663" max="6663" width="10.140625" style="414" customWidth="1"/>
    <col min="6664" max="6664" width="11.28515625" style="414" customWidth="1"/>
    <col min="6665" max="6665" width="2.7109375" style="414" customWidth="1"/>
    <col min="6666" max="6666" width="9.42578125" style="414" customWidth="1"/>
    <col min="6667" max="6667" width="2.7109375" style="414" customWidth="1"/>
    <col min="6668" max="6671" width="0" style="414" hidden="1" customWidth="1"/>
    <col min="6672" max="6672" width="10" style="414" customWidth="1"/>
    <col min="6673" max="6742" width="6.7109375" style="414" customWidth="1"/>
    <col min="6743" max="6913" width="9.140625" style="414"/>
    <col min="6914" max="6914" width="2.7109375" style="414" customWidth="1"/>
    <col min="6915" max="6916" width="11.5703125" style="414" customWidth="1"/>
    <col min="6917" max="6917" width="7.28515625" style="414" customWidth="1"/>
    <col min="6918" max="6918" width="9.85546875" style="414" customWidth="1"/>
    <col min="6919" max="6919" width="10.140625" style="414" customWidth="1"/>
    <col min="6920" max="6920" width="11.28515625" style="414" customWidth="1"/>
    <col min="6921" max="6921" width="2.7109375" style="414" customWidth="1"/>
    <col min="6922" max="6922" width="9.42578125" style="414" customWidth="1"/>
    <col min="6923" max="6923" width="2.7109375" style="414" customWidth="1"/>
    <col min="6924" max="6927" width="0" style="414" hidden="1" customWidth="1"/>
    <col min="6928" max="6928" width="10" style="414" customWidth="1"/>
    <col min="6929" max="6998" width="6.7109375" style="414" customWidth="1"/>
    <col min="6999" max="7169" width="9.140625" style="414"/>
    <col min="7170" max="7170" width="2.7109375" style="414" customWidth="1"/>
    <col min="7171" max="7172" width="11.5703125" style="414" customWidth="1"/>
    <col min="7173" max="7173" width="7.28515625" style="414" customWidth="1"/>
    <col min="7174" max="7174" width="9.85546875" style="414" customWidth="1"/>
    <col min="7175" max="7175" width="10.140625" style="414" customWidth="1"/>
    <col min="7176" max="7176" width="11.28515625" style="414" customWidth="1"/>
    <col min="7177" max="7177" width="2.7109375" style="414" customWidth="1"/>
    <col min="7178" max="7178" width="9.42578125" style="414" customWidth="1"/>
    <col min="7179" max="7179" width="2.7109375" style="414" customWidth="1"/>
    <col min="7180" max="7183" width="0" style="414" hidden="1" customWidth="1"/>
    <col min="7184" max="7184" width="10" style="414" customWidth="1"/>
    <col min="7185" max="7254" width="6.7109375" style="414" customWidth="1"/>
    <col min="7255" max="7425" width="9.140625" style="414"/>
    <col min="7426" max="7426" width="2.7109375" style="414" customWidth="1"/>
    <col min="7427" max="7428" width="11.5703125" style="414" customWidth="1"/>
    <col min="7429" max="7429" width="7.28515625" style="414" customWidth="1"/>
    <col min="7430" max="7430" width="9.85546875" style="414" customWidth="1"/>
    <col min="7431" max="7431" width="10.140625" style="414" customWidth="1"/>
    <col min="7432" max="7432" width="11.28515625" style="414" customWidth="1"/>
    <col min="7433" max="7433" width="2.7109375" style="414" customWidth="1"/>
    <col min="7434" max="7434" width="9.42578125" style="414" customWidth="1"/>
    <col min="7435" max="7435" width="2.7109375" style="414" customWidth="1"/>
    <col min="7436" max="7439" width="0" style="414" hidden="1" customWidth="1"/>
    <col min="7440" max="7440" width="10" style="414" customWidth="1"/>
    <col min="7441" max="7510" width="6.7109375" style="414" customWidth="1"/>
    <col min="7511" max="7681" width="9.140625" style="414"/>
    <col min="7682" max="7682" width="2.7109375" style="414" customWidth="1"/>
    <col min="7683" max="7684" width="11.5703125" style="414" customWidth="1"/>
    <col min="7685" max="7685" width="7.28515625" style="414" customWidth="1"/>
    <col min="7686" max="7686" width="9.85546875" style="414" customWidth="1"/>
    <col min="7687" max="7687" width="10.140625" style="414" customWidth="1"/>
    <col min="7688" max="7688" width="11.28515625" style="414" customWidth="1"/>
    <col min="7689" max="7689" width="2.7109375" style="414" customWidth="1"/>
    <col min="7690" max="7690" width="9.42578125" style="414" customWidth="1"/>
    <col min="7691" max="7691" width="2.7109375" style="414" customWidth="1"/>
    <col min="7692" max="7695" width="0" style="414" hidden="1" customWidth="1"/>
    <col min="7696" max="7696" width="10" style="414" customWidth="1"/>
    <col min="7697" max="7766" width="6.7109375" style="414" customWidth="1"/>
    <col min="7767" max="7937" width="9.140625" style="414"/>
    <col min="7938" max="7938" width="2.7109375" style="414" customWidth="1"/>
    <col min="7939" max="7940" width="11.5703125" style="414" customWidth="1"/>
    <col min="7941" max="7941" width="7.28515625" style="414" customWidth="1"/>
    <col min="7942" max="7942" width="9.85546875" style="414" customWidth="1"/>
    <col min="7943" max="7943" width="10.140625" style="414" customWidth="1"/>
    <col min="7944" max="7944" width="11.28515625" style="414" customWidth="1"/>
    <col min="7945" max="7945" width="2.7109375" style="414" customWidth="1"/>
    <col min="7946" max="7946" width="9.42578125" style="414" customWidth="1"/>
    <col min="7947" max="7947" width="2.7109375" style="414" customWidth="1"/>
    <col min="7948" max="7951" width="0" style="414" hidden="1" customWidth="1"/>
    <col min="7952" max="7952" width="10" style="414" customWidth="1"/>
    <col min="7953" max="8022" width="6.7109375" style="414" customWidth="1"/>
    <col min="8023" max="8193" width="9.140625" style="414"/>
    <col min="8194" max="8194" width="2.7109375" style="414" customWidth="1"/>
    <col min="8195" max="8196" width="11.5703125" style="414" customWidth="1"/>
    <col min="8197" max="8197" width="7.28515625" style="414" customWidth="1"/>
    <col min="8198" max="8198" width="9.85546875" style="414" customWidth="1"/>
    <col min="8199" max="8199" width="10.140625" style="414" customWidth="1"/>
    <col min="8200" max="8200" width="11.28515625" style="414" customWidth="1"/>
    <col min="8201" max="8201" width="2.7109375" style="414" customWidth="1"/>
    <col min="8202" max="8202" width="9.42578125" style="414" customWidth="1"/>
    <col min="8203" max="8203" width="2.7109375" style="414" customWidth="1"/>
    <col min="8204" max="8207" width="0" style="414" hidden="1" customWidth="1"/>
    <col min="8208" max="8208" width="10" style="414" customWidth="1"/>
    <col min="8209" max="8278" width="6.7109375" style="414" customWidth="1"/>
    <col min="8279" max="8449" width="9.140625" style="414"/>
    <col min="8450" max="8450" width="2.7109375" style="414" customWidth="1"/>
    <col min="8451" max="8452" width="11.5703125" style="414" customWidth="1"/>
    <col min="8453" max="8453" width="7.28515625" style="414" customWidth="1"/>
    <col min="8454" max="8454" width="9.85546875" style="414" customWidth="1"/>
    <col min="8455" max="8455" width="10.140625" style="414" customWidth="1"/>
    <col min="8456" max="8456" width="11.28515625" style="414" customWidth="1"/>
    <col min="8457" max="8457" width="2.7109375" style="414" customWidth="1"/>
    <col min="8458" max="8458" width="9.42578125" style="414" customWidth="1"/>
    <col min="8459" max="8459" width="2.7109375" style="414" customWidth="1"/>
    <col min="8460" max="8463" width="0" style="414" hidden="1" customWidth="1"/>
    <col min="8464" max="8464" width="10" style="414" customWidth="1"/>
    <col min="8465" max="8534" width="6.7109375" style="414" customWidth="1"/>
    <col min="8535" max="8705" width="9.140625" style="414"/>
    <col min="8706" max="8706" width="2.7109375" style="414" customWidth="1"/>
    <col min="8707" max="8708" width="11.5703125" style="414" customWidth="1"/>
    <col min="8709" max="8709" width="7.28515625" style="414" customWidth="1"/>
    <col min="8710" max="8710" width="9.85546875" style="414" customWidth="1"/>
    <col min="8711" max="8711" width="10.140625" style="414" customWidth="1"/>
    <col min="8712" max="8712" width="11.28515625" style="414" customWidth="1"/>
    <col min="8713" max="8713" width="2.7109375" style="414" customWidth="1"/>
    <col min="8714" max="8714" width="9.42578125" style="414" customWidth="1"/>
    <col min="8715" max="8715" width="2.7109375" style="414" customWidth="1"/>
    <col min="8716" max="8719" width="0" style="414" hidden="1" customWidth="1"/>
    <col min="8720" max="8720" width="10" style="414" customWidth="1"/>
    <col min="8721" max="8790" width="6.7109375" style="414" customWidth="1"/>
    <col min="8791" max="8961" width="9.140625" style="414"/>
    <col min="8962" max="8962" width="2.7109375" style="414" customWidth="1"/>
    <col min="8963" max="8964" width="11.5703125" style="414" customWidth="1"/>
    <col min="8965" max="8965" width="7.28515625" style="414" customWidth="1"/>
    <col min="8966" max="8966" width="9.85546875" style="414" customWidth="1"/>
    <col min="8967" max="8967" width="10.140625" style="414" customWidth="1"/>
    <col min="8968" max="8968" width="11.28515625" style="414" customWidth="1"/>
    <col min="8969" max="8969" width="2.7109375" style="414" customWidth="1"/>
    <col min="8970" max="8970" width="9.42578125" style="414" customWidth="1"/>
    <col min="8971" max="8971" width="2.7109375" style="414" customWidth="1"/>
    <col min="8972" max="8975" width="0" style="414" hidden="1" customWidth="1"/>
    <col min="8976" max="8976" width="10" style="414" customWidth="1"/>
    <col min="8977" max="9046" width="6.7109375" style="414" customWidth="1"/>
    <col min="9047" max="9217" width="9.140625" style="414"/>
    <col min="9218" max="9218" width="2.7109375" style="414" customWidth="1"/>
    <col min="9219" max="9220" width="11.5703125" style="414" customWidth="1"/>
    <col min="9221" max="9221" width="7.28515625" style="414" customWidth="1"/>
    <col min="9222" max="9222" width="9.85546875" style="414" customWidth="1"/>
    <col min="9223" max="9223" width="10.140625" style="414" customWidth="1"/>
    <col min="9224" max="9224" width="11.28515625" style="414" customWidth="1"/>
    <col min="9225" max="9225" width="2.7109375" style="414" customWidth="1"/>
    <col min="9226" max="9226" width="9.42578125" style="414" customWidth="1"/>
    <col min="9227" max="9227" width="2.7109375" style="414" customWidth="1"/>
    <col min="9228" max="9231" width="0" style="414" hidden="1" customWidth="1"/>
    <col min="9232" max="9232" width="10" style="414" customWidth="1"/>
    <col min="9233" max="9302" width="6.7109375" style="414" customWidth="1"/>
    <col min="9303" max="9473" width="9.140625" style="414"/>
    <col min="9474" max="9474" width="2.7109375" style="414" customWidth="1"/>
    <col min="9475" max="9476" width="11.5703125" style="414" customWidth="1"/>
    <col min="9477" max="9477" width="7.28515625" style="414" customWidth="1"/>
    <col min="9478" max="9478" width="9.85546875" style="414" customWidth="1"/>
    <col min="9479" max="9479" width="10.140625" style="414" customWidth="1"/>
    <col min="9480" max="9480" width="11.28515625" style="414" customWidth="1"/>
    <col min="9481" max="9481" width="2.7109375" style="414" customWidth="1"/>
    <col min="9482" max="9482" width="9.42578125" style="414" customWidth="1"/>
    <col min="9483" max="9483" width="2.7109375" style="414" customWidth="1"/>
    <col min="9484" max="9487" width="0" style="414" hidden="1" customWidth="1"/>
    <col min="9488" max="9488" width="10" style="414" customWidth="1"/>
    <col min="9489" max="9558" width="6.7109375" style="414" customWidth="1"/>
    <col min="9559" max="9729" width="9.140625" style="414"/>
    <col min="9730" max="9730" width="2.7109375" style="414" customWidth="1"/>
    <col min="9731" max="9732" width="11.5703125" style="414" customWidth="1"/>
    <col min="9733" max="9733" width="7.28515625" style="414" customWidth="1"/>
    <col min="9734" max="9734" width="9.85546875" style="414" customWidth="1"/>
    <col min="9735" max="9735" width="10.140625" style="414" customWidth="1"/>
    <col min="9736" max="9736" width="11.28515625" style="414" customWidth="1"/>
    <col min="9737" max="9737" width="2.7109375" style="414" customWidth="1"/>
    <col min="9738" max="9738" width="9.42578125" style="414" customWidth="1"/>
    <col min="9739" max="9739" width="2.7109375" style="414" customWidth="1"/>
    <col min="9740" max="9743" width="0" style="414" hidden="1" customWidth="1"/>
    <col min="9744" max="9744" width="10" style="414" customWidth="1"/>
    <col min="9745" max="9814" width="6.7109375" style="414" customWidth="1"/>
    <col min="9815" max="9985" width="9.140625" style="414"/>
    <col min="9986" max="9986" width="2.7109375" style="414" customWidth="1"/>
    <col min="9987" max="9988" width="11.5703125" style="414" customWidth="1"/>
    <col min="9989" max="9989" width="7.28515625" style="414" customWidth="1"/>
    <col min="9990" max="9990" width="9.85546875" style="414" customWidth="1"/>
    <col min="9991" max="9991" width="10.140625" style="414" customWidth="1"/>
    <col min="9992" max="9992" width="11.28515625" style="414" customWidth="1"/>
    <col min="9993" max="9993" width="2.7109375" style="414" customWidth="1"/>
    <col min="9994" max="9994" width="9.42578125" style="414" customWidth="1"/>
    <col min="9995" max="9995" width="2.7109375" style="414" customWidth="1"/>
    <col min="9996" max="9999" width="0" style="414" hidden="1" customWidth="1"/>
    <col min="10000" max="10000" width="10" style="414" customWidth="1"/>
    <col min="10001" max="10070" width="6.7109375" style="414" customWidth="1"/>
    <col min="10071" max="10241" width="9.140625" style="414"/>
    <col min="10242" max="10242" width="2.7109375" style="414" customWidth="1"/>
    <col min="10243" max="10244" width="11.5703125" style="414" customWidth="1"/>
    <col min="10245" max="10245" width="7.28515625" style="414" customWidth="1"/>
    <col min="10246" max="10246" width="9.85546875" style="414" customWidth="1"/>
    <col min="10247" max="10247" width="10.140625" style="414" customWidth="1"/>
    <col min="10248" max="10248" width="11.28515625" style="414" customWidth="1"/>
    <col min="10249" max="10249" width="2.7109375" style="414" customWidth="1"/>
    <col min="10250" max="10250" width="9.42578125" style="414" customWidth="1"/>
    <col min="10251" max="10251" width="2.7109375" style="414" customWidth="1"/>
    <col min="10252" max="10255" width="0" style="414" hidden="1" customWidth="1"/>
    <col min="10256" max="10256" width="10" style="414" customWidth="1"/>
    <col min="10257" max="10326" width="6.7109375" style="414" customWidth="1"/>
    <col min="10327" max="10497" width="9.140625" style="414"/>
    <col min="10498" max="10498" width="2.7109375" style="414" customWidth="1"/>
    <col min="10499" max="10500" width="11.5703125" style="414" customWidth="1"/>
    <col min="10501" max="10501" width="7.28515625" style="414" customWidth="1"/>
    <col min="10502" max="10502" width="9.85546875" style="414" customWidth="1"/>
    <col min="10503" max="10503" width="10.140625" style="414" customWidth="1"/>
    <col min="10504" max="10504" width="11.28515625" style="414" customWidth="1"/>
    <col min="10505" max="10505" width="2.7109375" style="414" customWidth="1"/>
    <col min="10506" max="10506" width="9.42578125" style="414" customWidth="1"/>
    <col min="10507" max="10507" width="2.7109375" style="414" customWidth="1"/>
    <col min="10508" max="10511" width="0" style="414" hidden="1" customWidth="1"/>
    <col min="10512" max="10512" width="10" style="414" customWidth="1"/>
    <col min="10513" max="10582" width="6.7109375" style="414" customWidth="1"/>
    <col min="10583" max="10753" width="9.140625" style="414"/>
    <col min="10754" max="10754" width="2.7109375" style="414" customWidth="1"/>
    <col min="10755" max="10756" width="11.5703125" style="414" customWidth="1"/>
    <col min="10757" max="10757" width="7.28515625" style="414" customWidth="1"/>
    <col min="10758" max="10758" width="9.85546875" style="414" customWidth="1"/>
    <col min="10759" max="10759" width="10.140625" style="414" customWidth="1"/>
    <col min="10760" max="10760" width="11.28515625" style="414" customWidth="1"/>
    <col min="10761" max="10761" width="2.7109375" style="414" customWidth="1"/>
    <col min="10762" max="10762" width="9.42578125" style="414" customWidth="1"/>
    <col min="10763" max="10763" width="2.7109375" style="414" customWidth="1"/>
    <col min="10764" max="10767" width="0" style="414" hidden="1" customWidth="1"/>
    <col min="10768" max="10768" width="10" style="414" customWidth="1"/>
    <col min="10769" max="10838" width="6.7109375" style="414" customWidth="1"/>
    <col min="10839" max="11009" width="9.140625" style="414"/>
    <col min="11010" max="11010" width="2.7109375" style="414" customWidth="1"/>
    <col min="11011" max="11012" width="11.5703125" style="414" customWidth="1"/>
    <col min="11013" max="11013" width="7.28515625" style="414" customWidth="1"/>
    <col min="11014" max="11014" width="9.85546875" style="414" customWidth="1"/>
    <col min="11015" max="11015" width="10.140625" style="414" customWidth="1"/>
    <col min="11016" max="11016" width="11.28515625" style="414" customWidth="1"/>
    <col min="11017" max="11017" width="2.7109375" style="414" customWidth="1"/>
    <col min="11018" max="11018" width="9.42578125" style="414" customWidth="1"/>
    <col min="11019" max="11019" width="2.7109375" style="414" customWidth="1"/>
    <col min="11020" max="11023" width="0" style="414" hidden="1" customWidth="1"/>
    <col min="11024" max="11024" width="10" style="414" customWidth="1"/>
    <col min="11025" max="11094" width="6.7109375" style="414" customWidth="1"/>
    <col min="11095" max="11265" width="9.140625" style="414"/>
    <col min="11266" max="11266" width="2.7109375" style="414" customWidth="1"/>
    <col min="11267" max="11268" width="11.5703125" style="414" customWidth="1"/>
    <col min="11269" max="11269" width="7.28515625" style="414" customWidth="1"/>
    <col min="11270" max="11270" width="9.85546875" style="414" customWidth="1"/>
    <col min="11271" max="11271" width="10.140625" style="414" customWidth="1"/>
    <col min="11272" max="11272" width="11.28515625" style="414" customWidth="1"/>
    <col min="11273" max="11273" width="2.7109375" style="414" customWidth="1"/>
    <col min="11274" max="11274" width="9.42578125" style="414" customWidth="1"/>
    <col min="11275" max="11275" width="2.7109375" style="414" customWidth="1"/>
    <col min="11276" max="11279" width="0" style="414" hidden="1" customWidth="1"/>
    <col min="11280" max="11280" width="10" style="414" customWidth="1"/>
    <col min="11281" max="11350" width="6.7109375" style="414" customWidth="1"/>
    <col min="11351" max="11521" width="9.140625" style="414"/>
    <col min="11522" max="11522" width="2.7109375" style="414" customWidth="1"/>
    <col min="11523" max="11524" width="11.5703125" style="414" customWidth="1"/>
    <col min="11525" max="11525" width="7.28515625" style="414" customWidth="1"/>
    <col min="11526" max="11526" width="9.85546875" style="414" customWidth="1"/>
    <col min="11527" max="11527" width="10.140625" style="414" customWidth="1"/>
    <col min="11528" max="11528" width="11.28515625" style="414" customWidth="1"/>
    <col min="11529" max="11529" width="2.7109375" style="414" customWidth="1"/>
    <col min="11530" max="11530" width="9.42578125" style="414" customWidth="1"/>
    <col min="11531" max="11531" width="2.7109375" style="414" customWidth="1"/>
    <col min="11532" max="11535" width="0" style="414" hidden="1" customWidth="1"/>
    <col min="11536" max="11536" width="10" style="414" customWidth="1"/>
    <col min="11537" max="11606" width="6.7109375" style="414" customWidth="1"/>
    <col min="11607" max="11777" width="9.140625" style="414"/>
    <col min="11778" max="11778" width="2.7109375" style="414" customWidth="1"/>
    <col min="11779" max="11780" width="11.5703125" style="414" customWidth="1"/>
    <col min="11781" max="11781" width="7.28515625" style="414" customWidth="1"/>
    <col min="11782" max="11782" width="9.85546875" style="414" customWidth="1"/>
    <col min="11783" max="11783" width="10.140625" style="414" customWidth="1"/>
    <col min="11784" max="11784" width="11.28515625" style="414" customWidth="1"/>
    <col min="11785" max="11785" width="2.7109375" style="414" customWidth="1"/>
    <col min="11786" max="11786" width="9.42578125" style="414" customWidth="1"/>
    <col min="11787" max="11787" width="2.7109375" style="414" customWidth="1"/>
    <col min="11788" max="11791" width="0" style="414" hidden="1" customWidth="1"/>
    <col min="11792" max="11792" width="10" style="414" customWidth="1"/>
    <col min="11793" max="11862" width="6.7109375" style="414" customWidth="1"/>
    <col min="11863" max="12033" width="9.140625" style="414"/>
    <col min="12034" max="12034" width="2.7109375" style="414" customWidth="1"/>
    <col min="12035" max="12036" width="11.5703125" style="414" customWidth="1"/>
    <col min="12037" max="12037" width="7.28515625" style="414" customWidth="1"/>
    <col min="12038" max="12038" width="9.85546875" style="414" customWidth="1"/>
    <col min="12039" max="12039" width="10.140625" style="414" customWidth="1"/>
    <col min="12040" max="12040" width="11.28515625" style="414" customWidth="1"/>
    <col min="12041" max="12041" width="2.7109375" style="414" customWidth="1"/>
    <col min="12042" max="12042" width="9.42578125" style="414" customWidth="1"/>
    <col min="12043" max="12043" width="2.7109375" style="414" customWidth="1"/>
    <col min="12044" max="12047" width="0" style="414" hidden="1" customWidth="1"/>
    <col min="12048" max="12048" width="10" style="414" customWidth="1"/>
    <col min="12049" max="12118" width="6.7109375" style="414" customWidth="1"/>
    <col min="12119" max="12289" width="9.140625" style="414"/>
    <col min="12290" max="12290" width="2.7109375" style="414" customWidth="1"/>
    <col min="12291" max="12292" width="11.5703125" style="414" customWidth="1"/>
    <col min="12293" max="12293" width="7.28515625" style="414" customWidth="1"/>
    <col min="12294" max="12294" width="9.85546875" style="414" customWidth="1"/>
    <col min="12295" max="12295" width="10.140625" style="414" customWidth="1"/>
    <col min="12296" max="12296" width="11.28515625" style="414" customWidth="1"/>
    <col min="12297" max="12297" width="2.7109375" style="414" customWidth="1"/>
    <col min="12298" max="12298" width="9.42578125" style="414" customWidth="1"/>
    <col min="12299" max="12299" width="2.7109375" style="414" customWidth="1"/>
    <col min="12300" max="12303" width="0" style="414" hidden="1" customWidth="1"/>
    <col min="12304" max="12304" width="10" style="414" customWidth="1"/>
    <col min="12305" max="12374" width="6.7109375" style="414" customWidth="1"/>
    <col min="12375" max="12545" width="9.140625" style="414"/>
    <col min="12546" max="12546" width="2.7109375" style="414" customWidth="1"/>
    <col min="12547" max="12548" width="11.5703125" style="414" customWidth="1"/>
    <col min="12549" max="12549" width="7.28515625" style="414" customWidth="1"/>
    <col min="12550" max="12550" width="9.85546875" style="414" customWidth="1"/>
    <col min="12551" max="12551" width="10.140625" style="414" customWidth="1"/>
    <col min="12552" max="12552" width="11.28515625" style="414" customWidth="1"/>
    <col min="12553" max="12553" width="2.7109375" style="414" customWidth="1"/>
    <col min="12554" max="12554" width="9.42578125" style="414" customWidth="1"/>
    <col min="12555" max="12555" width="2.7109375" style="414" customWidth="1"/>
    <col min="12556" max="12559" width="0" style="414" hidden="1" customWidth="1"/>
    <col min="12560" max="12560" width="10" style="414" customWidth="1"/>
    <col min="12561" max="12630" width="6.7109375" style="414" customWidth="1"/>
    <col min="12631" max="12801" width="9.140625" style="414"/>
    <col min="12802" max="12802" width="2.7109375" style="414" customWidth="1"/>
    <col min="12803" max="12804" width="11.5703125" style="414" customWidth="1"/>
    <col min="12805" max="12805" width="7.28515625" style="414" customWidth="1"/>
    <col min="12806" max="12806" width="9.85546875" style="414" customWidth="1"/>
    <col min="12807" max="12807" width="10.140625" style="414" customWidth="1"/>
    <col min="12808" max="12808" width="11.28515625" style="414" customWidth="1"/>
    <col min="12809" max="12809" width="2.7109375" style="414" customWidth="1"/>
    <col min="12810" max="12810" width="9.42578125" style="414" customWidth="1"/>
    <col min="12811" max="12811" width="2.7109375" style="414" customWidth="1"/>
    <col min="12812" max="12815" width="0" style="414" hidden="1" customWidth="1"/>
    <col min="12816" max="12816" width="10" style="414" customWidth="1"/>
    <col min="12817" max="12886" width="6.7109375" style="414" customWidth="1"/>
    <col min="12887" max="13057" width="9.140625" style="414"/>
    <col min="13058" max="13058" width="2.7109375" style="414" customWidth="1"/>
    <col min="13059" max="13060" width="11.5703125" style="414" customWidth="1"/>
    <col min="13061" max="13061" width="7.28515625" style="414" customWidth="1"/>
    <col min="13062" max="13062" width="9.85546875" style="414" customWidth="1"/>
    <col min="13063" max="13063" width="10.140625" style="414" customWidth="1"/>
    <col min="13064" max="13064" width="11.28515625" style="414" customWidth="1"/>
    <col min="13065" max="13065" width="2.7109375" style="414" customWidth="1"/>
    <col min="13066" max="13066" width="9.42578125" style="414" customWidth="1"/>
    <col min="13067" max="13067" width="2.7109375" style="414" customWidth="1"/>
    <col min="13068" max="13071" width="0" style="414" hidden="1" customWidth="1"/>
    <col min="13072" max="13072" width="10" style="414" customWidth="1"/>
    <col min="13073" max="13142" width="6.7109375" style="414" customWidth="1"/>
    <col min="13143" max="13313" width="9.140625" style="414"/>
    <col min="13314" max="13314" width="2.7109375" style="414" customWidth="1"/>
    <col min="13315" max="13316" width="11.5703125" style="414" customWidth="1"/>
    <col min="13317" max="13317" width="7.28515625" style="414" customWidth="1"/>
    <col min="13318" max="13318" width="9.85546875" style="414" customWidth="1"/>
    <col min="13319" max="13319" width="10.140625" style="414" customWidth="1"/>
    <col min="13320" max="13320" width="11.28515625" style="414" customWidth="1"/>
    <col min="13321" max="13321" width="2.7109375" style="414" customWidth="1"/>
    <col min="13322" max="13322" width="9.42578125" style="414" customWidth="1"/>
    <col min="13323" max="13323" width="2.7109375" style="414" customWidth="1"/>
    <col min="13324" max="13327" width="0" style="414" hidden="1" customWidth="1"/>
    <col min="13328" max="13328" width="10" style="414" customWidth="1"/>
    <col min="13329" max="13398" width="6.7109375" style="414" customWidth="1"/>
    <col min="13399" max="13569" width="9.140625" style="414"/>
    <col min="13570" max="13570" width="2.7109375" style="414" customWidth="1"/>
    <col min="13571" max="13572" width="11.5703125" style="414" customWidth="1"/>
    <col min="13573" max="13573" width="7.28515625" style="414" customWidth="1"/>
    <col min="13574" max="13574" width="9.85546875" style="414" customWidth="1"/>
    <col min="13575" max="13575" width="10.140625" style="414" customWidth="1"/>
    <col min="13576" max="13576" width="11.28515625" style="414" customWidth="1"/>
    <col min="13577" max="13577" width="2.7109375" style="414" customWidth="1"/>
    <col min="13578" max="13578" width="9.42578125" style="414" customWidth="1"/>
    <col min="13579" max="13579" width="2.7109375" style="414" customWidth="1"/>
    <col min="13580" max="13583" width="0" style="414" hidden="1" customWidth="1"/>
    <col min="13584" max="13584" width="10" style="414" customWidth="1"/>
    <col min="13585" max="13654" width="6.7109375" style="414" customWidth="1"/>
    <col min="13655" max="13825" width="9.140625" style="414"/>
    <col min="13826" max="13826" width="2.7109375" style="414" customWidth="1"/>
    <col min="13827" max="13828" width="11.5703125" style="414" customWidth="1"/>
    <col min="13829" max="13829" width="7.28515625" style="414" customWidth="1"/>
    <col min="13830" max="13830" width="9.85546875" style="414" customWidth="1"/>
    <col min="13831" max="13831" width="10.140625" style="414" customWidth="1"/>
    <col min="13832" max="13832" width="11.28515625" style="414" customWidth="1"/>
    <col min="13833" max="13833" width="2.7109375" style="414" customWidth="1"/>
    <col min="13834" max="13834" width="9.42578125" style="414" customWidth="1"/>
    <col min="13835" max="13835" width="2.7109375" style="414" customWidth="1"/>
    <col min="13836" max="13839" width="0" style="414" hidden="1" customWidth="1"/>
    <col min="13840" max="13840" width="10" style="414" customWidth="1"/>
    <col min="13841" max="13910" width="6.7109375" style="414" customWidth="1"/>
    <col min="13911" max="14081" width="9.140625" style="414"/>
    <col min="14082" max="14082" width="2.7109375" style="414" customWidth="1"/>
    <col min="14083" max="14084" width="11.5703125" style="414" customWidth="1"/>
    <col min="14085" max="14085" width="7.28515625" style="414" customWidth="1"/>
    <col min="14086" max="14086" width="9.85546875" style="414" customWidth="1"/>
    <col min="14087" max="14087" width="10.140625" style="414" customWidth="1"/>
    <col min="14088" max="14088" width="11.28515625" style="414" customWidth="1"/>
    <col min="14089" max="14089" width="2.7109375" style="414" customWidth="1"/>
    <col min="14090" max="14090" width="9.42578125" style="414" customWidth="1"/>
    <col min="14091" max="14091" width="2.7109375" style="414" customWidth="1"/>
    <col min="14092" max="14095" width="0" style="414" hidden="1" customWidth="1"/>
    <col min="14096" max="14096" width="10" style="414" customWidth="1"/>
    <col min="14097" max="14166" width="6.7109375" style="414" customWidth="1"/>
    <col min="14167" max="14337" width="9.140625" style="414"/>
    <col min="14338" max="14338" width="2.7109375" style="414" customWidth="1"/>
    <col min="14339" max="14340" width="11.5703125" style="414" customWidth="1"/>
    <col min="14341" max="14341" width="7.28515625" style="414" customWidth="1"/>
    <col min="14342" max="14342" width="9.85546875" style="414" customWidth="1"/>
    <col min="14343" max="14343" width="10.140625" style="414" customWidth="1"/>
    <col min="14344" max="14344" width="11.28515625" style="414" customWidth="1"/>
    <col min="14345" max="14345" width="2.7109375" style="414" customWidth="1"/>
    <col min="14346" max="14346" width="9.42578125" style="414" customWidth="1"/>
    <col min="14347" max="14347" width="2.7109375" style="414" customWidth="1"/>
    <col min="14348" max="14351" width="0" style="414" hidden="1" customWidth="1"/>
    <col min="14352" max="14352" width="10" style="414" customWidth="1"/>
    <col min="14353" max="14422" width="6.7109375" style="414" customWidth="1"/>
    <col min="14423" max="14593" width="9.140625" style="414"/>
    <col min="14594" max="14594" width="2.7109375" style="414" customWidth="1"/>
    <col min="14595" max="14596" width="11.5703125" style="414" customWidth="1"/>
    <col min="14597" max="14597" width="7.28515625" style="414" customWidth="1"/>
    <col min="14598" max="14598" width="9.85546875" style="414" customWidth="1"/>
    <col min="14599" max="14599" width="10.140625" style="414" customWidth="1"/>
    <col min="14600" max="14600" width="11.28515625" style="414" customWidth="1"/>
    <col min="14601" max="14601" width="2.7109375" style="414" customWidth="1"/>
    <col min="14602" max="14602" width="9.42578125" style="414" customWidth="1"/>
    <col min="14603" max="14603" width="2.7109375" style="414" customWidth="1"/>
    <col min="14604" max="14607" width="0" style="414" hidden="1" customWidth="1"/>
    <col min="14608" max="14608" width="10" style="414" customWidth="1"/>
    <col min="14609" max="14678" width="6.7109375" style="414" customWidth="1"/>
    <col min="14679" max="14849" width="9.140625" style="414"/>
    <col min="14850" max="14850" width="2.7109375" style="414" customWidth="1"/>
    <col min="14851" max="14852" width="11.5703125" style="414" customWidth="1"/>
    <col min="14853" max="14853" width="7.28515625" style="414" customWidth="1"/>
    <col min="14854" max="14854" width="9.85546875" style="414" customWidth="1"/>
    <col min="14855" max="14855" width="10.140625" style="414" customWidth="1"/>
    <col min="14856" max="14856" width="11.28515625" style="414" customWidth="1"/>
    <col min="14857" max="14857" width="2.7109375" style="414" customWidth="1"/>
    <col min="14858" max="14858" width="9.42578125" style="414" customWidth="1"/>
    <col min="14859" max="14859" width="2.7109375" style="414" customWidth="1"/>
    <col min="14860" max="14863" width="0" style="414" hidden="1" customWidth="1"/>
    <col min="14864" max="14864" width="10" style="414" customWidth="1"/>
    <col min="14865" max="14934" width="6.7109375" style="414" customWidth="1"/>
    <col min="14935" max="15105" width="9.140625" style="414"/>
    <col min="15106" max="15106" width="2.7109375" style="414" customWidth="1"/>
    <col min="15107" max="15108" width="11.5703125" style="414" customWidth="1"/>
    <col min="15109" max="15109" width="7.28515625" style="414" customWidth="1"/>
    <col min="15110" max="15110" width="9.85546875" style="414" customWidth="1"/>
    <col min="15111" max="15111" width="10.140625" style="414" customWidth="1"/>
    <col min="15112" max="15112" width="11.28515625" style="414" customWidth="1"/>
    <col min="15113" max="15113" width="2.7109375" style="414" customWidth="1"/>
    <col min="15114" max="15114" width="9.42578125" style="414" customWidth="1"/>
    <col min="15115" max="15115" width="2.7109375" style="414" customWidth="1"/>
    <col min="15116" max="15119" width="0" style="414" hidden="1" customWidth="1"/>
    <col min="15120" max="15120" width="10" style="414" customWidth="1"/>
    <col min="15121" max="15190" width="6.7109375" style="414" customWidth="1"/>
    <col min="15191" max="15361" width="9.140625" style="414"/>
    <col min="15362" max="15362" width="2.7109375" style="414" customWidth="1"/>
    <col min="15363" max="15364" width="11.5703125" style="414" customWidth="1"/>
    <col min="15365" max="15365" width="7.28515625" style="414" customWidth="1"/>
    <col min="15366" max="15366" width="9.85546875" style="414" customWidth="1"/>
    <col min="15367" max="15367" width="10.140625" style="414" customWidth="1"/>
    <col min="15368" max="15368" width="11.28515625" style="414" customWidth="1"/>
    <col min="15369" max="15369" width="2.7109375" style="414" customWidth="1"/>
    <col min="15370" max="15370" width="9.42578125" style="414" customWidth="1"/>
    <col min="15371" max="15371" width="2.7109375" style="414" customWidth="1"/>
    <col min="15372" max="15375" width="0" style="414" hidden="1" customWidth="1"/>
    <col min="15376" max="15376" width="10" style="414" customWidth="1"/>
    <col min="15377" max="15446" width="6.7109375" style="414" customWidth="1"/>
    <col min="15447" max="15617" width="9.140625" style="414"/>
    <col min="15618" max="15618" width="2.7109375" style="414" customWidth="1"/>
    <col min="15619" max="15620" width="11.5703125" style="414" customWidth="1"/>
    <col min="15621" max="15621" width="7.28515625" style="414" customWidth="1"/>
    <col min="15622" max="15622" width="9.85546875" style="414" customWidth="1"/>
    <col min="15623" max="15623" width="10.140625" style="414" customWidth="1"/>
    <col min="15624" max="15624" width="11.28515625" style="414" customWidth="1"/>
    <col min="15625" max="15625" width="2.7109375" style="414" customWidth="1"/>
    <col min="15626" max="15626" width="9.42578125" style="414" customWidth="1"/>
    <col min="15627" max="15627" width="2.7109375" style="414" customWidth="1"/>
    <col min="15628" max="15631" width="0" style="414" hidden="1" customWidth="1"/>
    <col min="15632" max="15632" width="10" style="414" customWidth="1"/>
    <col min="15633" max="15702" width="6.7109375" style="414" customWidth="1"/>
    <col min="15703" max="15873" width="9.140625" style="414"/>
    <col min="15874" max="15874" width="2.7109375" style="414" customWidth="1"/>
    <col min="15875" max="15876" width="11.5703125" style="414" customWidth="1"/>
    <col min="15877" max="15877" width="7.28515625" style="414" customWidth="1"/>
    <col min="15878" max="15878" width="9.85546875" style="414" customWidth="1"/>
    <col min="15879" max="15879" width="10.140625" style="414" customWidth="1"/>
    <col min="15880" max="15880" width="11.28515625" style="414" customWidth="1"/>
    <col min="15881" max="15881" width="2.7109375" style="414" customWidth="1"/>
    <col min="15882" max="15882" width="9.42578125" style="414" customWidth="1"/>
    <col min="15883" max="15883" width="2.7109375" style="414" customWidth="1"/>
    <col min="15884" max="15887" width="0" style="414" hidden="1" customWidth="1"/>
    <col min="15888" max="15888" width="10" style="414" customWidth="1"/>
    <col min="15889" max="15958" width="6.7109375" style="414" customWidth="1"/>
    <col min="15959" max="16129" width="9.140625" style="414"/>
    <col min="16130" max="16130" width="2.7109375" style="414" customWidth="1"/>
    <col min="16131" max="16132" width="11.5703125" style="414" customWidth="1"/>
    <col min="16133" max="16133" width="7.28515625" style="414" customWidth="1"/>
    <col min="16134" max="16134" width="9.85546875" style="414" customWidth="1"/>
    <col min="16135" max="16135" width="10.140625" style="414" customWidth="1"/>
    <col min="16136" max="16136" width="11.28515625" style="414" customWidth="1"/>
    <col min="16137" max="16137" width="2.7109375" style="414" customWidth="1"/>
    <col min="16138" max="16138" width="9.42578125" style="414" customWidth="1"/>
    <col min="16139" max="16139" width="2.7109375" style="414" customWidth="1"/>
    <col min="16140" max="16143" width="0" style="414" hidden="1" customWidth="1"/>
    <col min="16144" max="16144" width="10" style="414" customWidth="1"/>
    <col min="16145" max="16214" width="6.7109375" style="414" customWidth="1"/>
    <col min="16215" max="16384" width="9.140625" style="414"/>
  </cols>
  <sheetData>
    <row r="1" spans="1:81" ht="12.75" customHeight="1">
      <c r="B1" s="95" t="s">
        <v>748</v>
      </c>
      <c r="C1" s="441">
        <f>ROUND(ValueDate,0)</f>
        <v>42696</v>
      </c>
      <c r="D1" s="95" t="s">
        <v>623</v>
      </c>
      <c r="E1" s="441">
        <f>ROUND(today,0)</f>
        <v>42692</v>
      </c>
      <c r="F1" s="95" t="s">
        <v>5149</v>
      </c>
      <c r="G1" s="473" t="s">
        <v>5150</v>
      </c>
      <c r="I1" s="94"/>
      <c r="K1" s="484"/>
      <c r="S1" s="294"/>
      <c r="T1" s="456"/>
      <c r="AO1" s="53"/>
    </row>
    <row r="3" spans="1:81" ht="18">
      <c r="A3" s="108"/>
      <c r="B3" s="587" t="s">
        <v>232</v>
      </c>
      <c r="C3" s="587"/>
      <c r="D3" s="587"/>
      <c r="E3" s="587"/>
      <c r="F3" s="587"/>
      <c r="G3" s="587"/>
      <c r="H3" s="587"/>
      <c r="I3" s="587"/>
      <c r="J3" s="587"/>
      <c r="K3" s="587"/>
      <c r="M3" s="474"/>
      <c r="N3" s="470" t="s">
        <v>239</v>
      </c>
    </row>
    <row r="4" spans="1:81" ht="12.75" customHeight="1">
      <c r="A4" s="108"/>
      <c r="B4" s="588" t="s">
        <v>233</v>
      </c>
      <c r="C4" s="589"/>
      <c r="D4" s="589"/>
      <c r="E4" s="589"/>
      <c r="F4" s="589"/>
      <c r="G4" s="589"/>
      <c r="H4" s="590"/>
      <c r="I4" s="589" t="s">
        <v>234</v>
      </c>
      <c r="J4" s="589"/>
      <c r="K4" s="589"/>
      <c r="M4" s="475"/>
      <c r="N4" s="591" t="s">
        <v>5154</v>
      </c>
      <c r="P4" s="98" t="s">
        <v>235</v>
      </c>
      <c r="Q4" s="99" t="str">
        <f t="array" ref="Q4:CC4">TRANSPOSE(I6:I70&amp;"")</f>
        <v>O/N</v>
      </c>
      <c r="R4" s="99" t="str">
        <v>T/N</v>
      </c>
      <c r="S4" s="99" t="str">
        <v>S/N</v>
      </c>
      <c r="T4" s="99" t="str">
        <v>1W</v>
      </c>
      <c r="U4" s="99" t="str">
        <v>2W</v>
      </c>
      <c r="V4" s="99" t="str">
        <v>3W</v>
      </c>
      <c r="W4" s="99" t="str">
        <v>1M</v>
      </c>
      <c r="X4" s="99" t="str">
        <v>2M</v>
      </c>
      <c r="Y4" s="99" t="str">
        <v>3M</v>
      </c>
      <c r="Z4" s="99" t="str">
        <v>4M</v>
      </c>
      <c r="AA4" s="99" t="str">
        <v>5M</v>
      </c>
      <c r="AB4" s="99" t="str">
        <v>6M</v>
      </c>
      <c r="AC4" s="99" t="str">
        <v>7M</v>
      </c>
      <c r="AD4" s="99" t="str">
        <v>8M</v>
      </c>
      <c r="AE4" s="99" t="str">
        <v>9M</v>
      </c>
      <c r="AF4" s="99" t="str">
        <v>10M</v>
      </c>
      <c r="AG4" s="99" t="str">
        <v>11M</v>
      </c>
      <c r="AH4" s="99" t="str">
        <v>1Y</v>
      </c>
      <c r="AI4" s="99" t="str">
        <v>13M</v>
      </c>
      <c r="AJ4" s="99" t="str">
        <v>14M</v>
      </c>
      <c r="AK4" s="99" t="str">
        <v>15M</v>
      </c>
      <c r="AL4" s="99" t="str">
        <v>16M</v>
      </c>
      <c r="AM4" s="99" t="str">
        <v>17M</v>
      </c>
      <c r="AN4" s="99" t="str">
        <v>18M</v>
      </c>
      <c r="AO4" s="99" t="str">
        <v>19M</v>
      </c>
      <c r="AP4" s="99" t="str">
        <v>20M</v>
      </c>
      <c r="AQ4" s="99" t="str">
        <v>21M</v>
      </c>
      <c r="AR4" s="99" t="str">
        <v>22M</v>
      </c>
      <c r="AS4" s="99" t="str">
        <v>23M</v>
      </c>
      <c r="AT4" s="99" t="str">
        <v>2Y</v>
      </c>
      <c r="AU4" s="99" t="str">
        <v>3Y</v>
      </c>
      <c r="AV4" s="99" t="str">
        <v>4Y</v>
      </c>
      <c r="AW4" s="99" t="str">
        <v>5Y</v>
      </c>
      <c r="AX4" s="99" t="str">
        <v>6Y</v>
      </c>
      <c r="AY4" s="99" t="str">
        <v>7Y</v>
      </c>
      <c r="AZ4" s="99" t="str">
        <v>8Y</v>
      </c>
      <c r="BA4" s="99" t="str">
        <v>9Y</v>
      </c>
      <c r="BB4" s="99" t="str">
        <v>10Y</v>
      </c>
      <c r="BC4" s="99" t="str">
        <v>11Y</v>
      </c>
      <c r="BD4" s="99" t="str">
        <v>12Y</v>
      </c>
      <c r="BE4" s="99" t="str">
        <v>13Y</v>
      </c>
      <c r="BF4" s="99" t="str">
        <v>14Y</v>
      </c>
      <c r="BG4" s="99" t="str">
        <v>15Y</v>
      </c>
      <c r="BH4" s="99" t="str">
        <v>16Y</v>
      </c>
      <c r="BI4" s="99" t="str">
        <v>17Y</v>
      </c>
      <c r="BJ4" s="99" t="str">
        <v>18Y</v>
      </c>
      <c r="BK4" s="99" t="str">
        <v>19Y</v>
      </c>
      <c r="BL4" s="99" t="str">
        <v>20Y</v>
      </c>
      <c r="BM4" s="99" t="str">
        <v>21Y</v>
      </c>
      <c r="BN4" s="99" t="str">
        <v>22Y</v>
      </c>
      <c r="BO4" s="99" t="str">
        <v>23Y</v>
      </c>
      <c r="BP4" s="99" t="str">
        <v>24Y</v>
      </c>
      <c r="BQ4" s="99" t="str">
        <v>25Y</v>
      </c>
      <c r="BR4" s="99" t="str">
        <v>26Y</v>
      </c>
      <c r="BS4" s="99" t="str">
        <v>27Y</v>
      </c>
      <c r="BT4" s="99" t="str">
        <v>28Y</v>
      </c>
      <c r="BU4" s="99" t="str">
        <v>29Y</v>
      </c>
      <c r="BV4" s="99" t="str">
        <v>30Y</v>
      </c>
      <c r="BW4" s="99" t="str">
        <v>35Y</v>
      </c>
      <c r="BX4" s="99" t="str">
        <v>40Y</v>
      </c>
      <c r="BY4" s="99" t="str">
        <v>50Y</v>
      </c>
      <c r="BZ4" s="99" t="str">
        <v>60Y</v>
      </c>
      <c r="CA4" s="99" t="e">
        <v>#N/A</v>
      </c>
      <c r="CB4" s="99" t="e">
        <v>#N/A</v>
      </c>
      <c r="CC4" s="99" t="e">
        <v>#N/A</v>
      </c>
    </row>
    <row r="5" spans="1:81" ht="44.25">
      <c r="A5" s="108" t="s">
        <v>236</v>
      </c>
      <c r="B5" s="263" t="s">
        <v>89</v>
      </c>
      <c r="C5" s="471" t="s">
        <v>237</v>
      </c>
      <c r="D5" s="101" t="s">
        <v>240</v>
      </c>
      <c r="E5" s="101" t="s">
        <v>5144</v>
      </c>
      <c r="F5" s="101" t="s">
        <v>5143</v>
      </c>
      <c r="G5" s="101" t="s">
        <v>5151</v>
      </c>
      <c r="H5" s="101" t="s">
        <v>5145</v>
      </c>
      <c r="I5" s="472" t="s">
        <v>5142</v>
      </c>
      <c r="J5" s="109" t="s">
        <v>240</v>
      </c>
      <c r="K5" s="101" t="s">
        <v>231</v>
      </c>
      <c r="M5" s="476"/>
      <c r="N5" s="591"/>
      <c r="P5" s="469" t="b">
        <v>0</v>
      </c>
      <c r="Q5" s="104">
        <f t="array" ref="Q5:CC5">TRANSPOSE(K6:K70)</f>
        <v>42695</v>
      </c>
      <c r="R5" s="104">
        <v>42696</v>
      </c>
      <c r="S5" s="104">
        <v>42697</v>
      </c>
      <c r="T5" s="104">
        <v>42703</v>
      </c>
      <c r="U5" s="104">
        <v>42710</v>
      </c>
      <c r="V5" s="104">
        <v>42717</v>
      </c>
      <c r="W5" s="104">
        <v>42726</v>
      </c>
      <c r="X5" s="104">
        <v>42758</v>
      </c>
      <c r="Y5" s="104">
        <v>42788</v>
      </c>
      <c r="Z5" s="104">
        <v>42816</v>
      </c>
      <c r="AA5" s="104">
        <v>42849</v>
      </c>
      <c r="AB5" s="104">
        <v>42877</v>
      </c>
      <c r="AC5" s="104">
        <v>42908</v>
      </c>
      <c r="AD5" s="104">
        <v>42940</v>
      </c>
      <c r="AE5" s="104">
        <v>42969</v>
      </c>
      <c r="AF5" s="104">
        <v>43000</v>
      </c>
      <c r="AG5" s="104">
        <v>43031</v>
      </c>
      <c r="AH5" s="104">
        <v>43061</v>
      </c>
      <c r="AI5" s="104">
        <v>43091</v>
      </c>
      <c r="AJ5" s="104">
        <v>43122</v>
      </c>
      <c r="AK5" s="104">
        <v>43153</v>
      </c>
      <c r="AL5" s="104">
        <v>43181</v>
      </c>
      <c r="AM5" s="104">
        <v>43213</v>
      </c>
      <c r="AN5" s="104">
        <v>43242</v>
      </c>
      <c r="AO5" s="104">
        <v>43273</v>
      </c>
      <c r="AP5" s="104">
        <v>43304</v>
      </c>
      <c r="AQ5" s="104">
        <v>43334</v>
      </c>
      <c r="AR5" s="104">
        <v>43367</v>
      </c>
      <c r="AS5" s="104">
        <v>43395</v>
      </c>
      <c r="AT5" s="104">
        <v>43426</v>
      </c>
      <c r="AU5" s="104">
        <v>43791</v>
      </c>
      <c r="AV5" s="104">
        <v>44158</v>
      </c>
      <c r="AW5" s="104">
        <v>44522</v>
      </c>
      <c r="AX5" s="104">
        <v>44887</v>
      </c>
      <c r="AY5" s="104">
        <v>45252</v>
      </c>
      <c r="AZ5" s="104">
        <v>45618</v>
      </c>
      <c r="BA5" s="104">
        <v>45985</v>
      </c>
      <c r="BB5" s="104">
        <v>46349</v>
      </c>
      <c r="BC5" s="104">
        <v>46713</v>
      </c>
      <c r="BD5" s="104">
        <v>47079</v>
      </c>
      <c r="BE5" s="104">
        <v>47444</v>
      </c>
      <c r="BF5" s="104">
        <v>47809</v>
      </c>
      <c r="BG5" s="104">
        <v>48176</v>
      </c>
      <c r="BH5" s="104">
        <v>48540</v>
      </c>
      <c r="BI5" s="104">
        <v>48905</v>
      </c>
      <c r="BJ5" s="104">
        <v>49270</v>
      </c>
      <c r="BK5" s="104">
        <v>49635</v>
      </c>
      <c r="BL5" s="104">
        <v>50003</v>
      </c>
      <c r="BM5" s="104">
        <v>50367</v>
      </c>
      <c r="BN5" s="104">
        <v>50731</v>
      </c>
      <c r="BO5" s="104">
        <v>51096</v>
      </c>
      <c r="BP5" s="104">
        <v>51462</v>
      </c>
      <c r="BQ5" s="104">
        <v>51827</v>
      </c>
      <c r="BR5" s="104">
        <v>52194</v>
      </c>
      <c r="BS5" s="104">
        <v>52558</v>
      </c>
      <c r="BT5" s="104">
        <v>52923</v>
      </c>
      <c r="BU5" s="104">
        <v>53288</v>
      </c>
      <c r="BV5" s="104">
        <v>53653</v>
      </c>
      <c r="BW5" s="104">
        <v>55479</v>
      </c>
      <c r="BX5" s="104">
        <v>57306</v>
      </c>
      <c r="BY5" s="104">
        <v>60958</v>
      </c>
      <c r="BZ5" s="104">
        <v>64612</v>
      </c>
      <c r="CA5" s="104" t="e">
        <v>#NUM!</v>
      </c>
      <c r="CB5" s="104" t="e">
        <v>#NUM!</v>
      </c>
      <c r="CC5" s="104" t="e">
        <v>#NUM!</v>
      </c>
    </row>
    <row r="6" spans="1:81" ht="12.75" customHeight="1">
      <c r="A6" s="105">
        <v>1</v>
      </c>
      <c r="B6" s="457" t="str">
        <f t="array" ref="B6:B74">[0]!Bucket6M</f>
        <v>S/N</v>
      </c>
      <c r="C6" s="262">
        <f>'eur disaggregated'!U17</f>
        <v>234.998829990037</v>
      </c>
      <c r="D6" s="111" t="s">
        <v>484</v>
      </c>
      <c r="E6" s="441">
        <f>BktEur6mPL!E6</f>
        <v>42696</v>
      </c>
      <c r="F6" s="441">
        <f>BktEur6mPL!F6</f>
        <v>42697</v>
      </c>
      <c r="G6" s="462">
        <f>IF(AND(70&lt;H6, H6&lt;130),(100-H6)/100,H6/100)</f>
        <v>-2.37666914E-3</v>
      </c>
      <c r="H6" s="453">
        <f>BktEur6mPL!H6</f>
        <v>-0.23766691400000001</v>
      </c>
      <c r="I6" s="107" t="str">
        <f t="array" ref="I6:I70">[0]!BucketOIS</f>
        <v>O/N</v>
      </c>
      <c r="J6" s="441" t="str">
        <f>IF(
      LEN(I6)&gt;0,
      IF(
          (MID(I6,4,1)=" "),#REF!+
          0*TYPE("FUTURE Terzo mercoledì del mese calcolato sulla maturity"),
          IF(
               (LEN(I6)=8),
               DATE("20" &amp; RIGHT(I6,2),MID(I6,4,2),LEFT(I6,2))+0*TYPE("STUB"),
               SimplifyTenor(I6)
          )
      ),
      ""
   )</f>
        <v>1D</v>
      </c>
      <c r="K6" s="448">
        <f>_xll.qlCalendarAdvance("TARGET",EvaluationDate,J6)</f>
        <v>42695</v>
      </c>
      <c r="M6" s="99" t="str">
        <f t="array" ref="M6:M70">I6:I70</f>
        <v>O/N</v>
      </c>
      <c r="N6" s="465">
        <f t="array" ref="N6:N70">TRANSPOSE(Q76:CC76)</f>
        <v>0</v>
      </c>
      <c r="P6" s="106" t="b">
        <f t="shared" ref="P6:P37" si="0">MID(B6,4,1)=" "</f>
        <v>0</v>
      </c>
      <c r="Q6" s="460">
        <f t="array" ref="Q6:CC6">C6*ForwardToZero(OisBuckets,E6,F6,G6)</f>
        <v>0</v>
      </c>
      <c r="R6" s="460">
        <v>0</v>
      </c>
      <c r="S6" s="460">
        <v>234.998829990037</v>
      </c>
      <c r="T6" s="460">
        <v>0</v>
      </c>
      <c r="U6" s="460">
        <v>0</v>
      </c>
      <c r="V6" s="460">
        <v>0</v>
      </c>
      <c r="W6" s="460">
        <v>0</v>
      </c>
      <c r="X6" s="460">
        <v>0</v>
      </c>
      <c r="Y6" s="460">
        <v>0</v>
      </c>
      <c r="Z6" s="460">
        <v>0</v>
      </c>
      <c r="AA6" s="460">
        <v>0</v>
      </c>
      <c r="AB6" s="460">
        <v>0</v>
      </c>
      <c r="AC6" s="460">
        <v>0</v>
      </c>
      <c r="AD6" s="460">
        <v>0</v>
      </c>
      <c r="AE6" s="460">
        <v>0</v>
      </c>
      <c r="AF6" s="460">
        <v>0</v>
      </c>
      <c r="AG6" s="460">
        <v>0</v>
      </c>
      <c r="AH6" s="460">
        <v>0</v>
      </c>
      <c r="AI6" s="460">
        <v>0</v>
      </c>
      <c r="AJ6" s="460">
        <v>0</v>
      </c>
      <c r="AK6" s="460">
        <v>0</v>
      </c>
      <c r="AL6" s="460">
        <v>0</v>
      </c>
      <c r="AM6" s="460">
        <v>0</v>
      </c>
      <c r="AN6" s="460">
        <v>0</v>
      </c>
      <c r="AO6" s="460">
        <v>0</v>
      </c>
      <c r="AP6" s="460">
        <v>0</v>
      </c>
      <c r="AQ6" s="460">
        <v>0</v>
      </c>
      <c r="AR6" s="460">
        <v>0</v>
      </c>
      <c r="AS6" s="460">
        <v>0</v>
      </c>
      <c r="AT6" s="460">
        <v>0</v>
      </c>
      <c r="AU6" s="460">
        <v>0</v>
      </c>
      <c r="AV6" s="460">
        <v>0</v>
      </c>
      <c r="AW6" s="460">
        <v>0</v>
      </c>
      <c r="AX6" s="460">
        <v>0</v>
      </c>
      <c r="AY6" s="460">
        <v>0</v>
      </c>
      <c r="AZ6" s="460">
        <v>0</v>
      </c>
      <c r="BA6" s="460">
        <v>0</v>
      </c>
      <c r="BB6" s="460">
        <v>0</v>
      </c>
      <c r="BC6" s="460">
        <v>0</v>
      </c>
      <c r="BD6" s="460">
        <v>0</v>
      </c>
      <c r="BE6" s="460">
        <v>0</v>
      </c>
      <c r="BF6" s="460">
        <v>0</v>
      </c>
      <c r="BG6" s="460">
        <v>0</v>
      </c>
      <c r="BH6" s="460">
        <v>0</v>
      </c>
      <c r="BI6" s="460">
        <v>0</v>
      </c>
      <c r="BJ6" s="460">
        <v>0</v>
      </c>
      <c r="BK6" s="460">
        <v>0</v>
      </c>
      <c r="BL6" s="460">
        <v>0</v>
      </c>
      <c r="BM6" s="460">
        <v>0</v>
      </c>
      <c r="BN6" s="460">
        <v>0</v>
      </c>
      <c r="BO6" s="460">
        <v>0</v>
      </c>
      <c r="BP6" s="460">
        <v>0</v>
      </c>
      <c r="BQ6" s="460">
        <v>0</v>
      </c>
      <c r="BR6" s="460">
        <v>0</v>
      </c>
      <c r="BS6" s="460">
        <v>0</v>
      </c>
      <c r="BT6" s="460">
        <v>0</v>
      </c>
      <c r="BU6" s="460">
        <v>0</v>
      </c>
      <c r="BV6" s="460">
        <v>0</v>
      </c>
      <c r="BW6" s="460">
        <v>0</v>
      </c>
      <c r="BX6" s="460">
        <v>0</v>
      </c>
      <c r="BY6" s="460">
        <v>0</v>
      </c>
      <c r="BZ6" s="460">
        <v>0</v>
      </c>
      <c r="CA6" s="460" t="e">
        <v>#N/A</v>
      </c>
      <c r="CB6" s="460" t="e">
        <v>#N/A</v>
      </c>
      <c r="CC6" s="460" t="e">
        <v>#N/A</v>
      </c>
    </row>
    <row r="7" spans="1:81" ht="12.75" customHeight="1">
      <c r="A7" s="105">
        <v>2</v>
      </c>
      <c r="B7" s="458" t="str">
        <v>1W</v>
      </c>
      <c r="C7" s="262">
        <f>'eur disaggregated'!U18</f>
        <v>-468.387347944505</v>
      </c>
      <c r="D7" s="111" t="str">
        <f>IF(LEN(B7)&gt;3, "6M",IF(LEN(B7)&gt;0,SimplifyTenor(B7),""))</f>
        <v>1W</v>
      </c>
      <c r="E7" s="441">
        <f>BktEur6mPL!E7</f>
        <v>42696</v>
      </c>
      <c r="F7" s="441">
        <f>BktEur6mPL!F7</f>
        <v>42703</v>
      </c>
      <c r="G7" s="462">
        <f t="shared" ref="G7:G70" si="1">IF(AND(70&lt;H7, H7&lt;130),(100-H7)/100,H7/100)</f>
        <v>-2.37663776E-3</v>
      </c>
      <c r="H7" s="453">
        <f>BktEur6mPL!H7</f>
        <v>-0.23766377599999999</v>
      </c>
      <c r="I7" s="107" t="str">
        <v>T/N</v>
      </c>
      <c r="J7" s="106" t="str">
        <f>IF(LEN(I7)&gt;0,IF((MID(I7,4,1)=" "),#REF!,IF((LEN(I7)=8),DATE("20" &amp; RIGHT(I7,2),MID(I7,4,2),LEFT(I7,2)),SimplifyTenor(I7))),"")</f>
        <v>2D</v>
      </c>
      <c r="K7" s="448">
        <f>_xll.qlCalendarAdvance("TARGET",EvaluationDate,J7)</f>
        <v>42696</v>
      </c>
      <c r="M7" s="99" t="str">
        <v>T/N</v>
      </c>
      <c r="N7" s="465">
        <v>0</v>
      </c>
      <c r="P7" s="106" t="b">
        <f t="shared" si="0"/>
        <v>0</v>
      </c>
      <c r="Q7" s="460">
        <f t="array" ref="Q7:CC7">C7*ForwardToZero(OisBuckets,E7,F7,G7)</f>
        <v>0</v>
      </c>
      <c r="R7" s="460">
        <v>0</v>
      </c>
      <c r="S7" s="460">
        <v>0</v>
      </c>
      <c r="T7" s="460">
        <v>-468.387347944505</v>
      </c>
      <c r="U7" s="460">
        <v>0</v>
      </c>
      <c r="V7" s="460">
        <v>0</v>
      </c>
      <c r="W7" s="460">
        <v>0</v>
      </c>
      <c r="X7" s="460">
        <v>0</v>
      </c>
      <c r="Y7" s="460">
        <v>0</v>
      </c>
      <c r="Z7" s="460">
        <v>0</v>
      </c>
      <c r="AA7" s="460">
        <v>0</v>
      </c>
      <c r="AB7" s="460">
        <v>0</v>
      </c>
      <c r="AC7" s="460">
        <v>0</v>
      </c>
      <c r="AD7" s="460">
        <v>0</v>
      </c>
      <c r="AE7" s="460">
        <v>0</v>
      </c>
      <c r="AF7" s="460">
        <v>0</v>
      </c>
      <c r="AG7" s="460">
        <v>0</v>
      </c>
      <c r="AH7" s="460">
        <v>0</v>
      </c>
      <c r="AI7" s="460">
        <v>0</v>
      </c>
      <c r="AJ7" s="460">
        <v>0</v>
      </c>
      <c r="AK7" s="460">
        <v>0</v>
      </c>
      <c r="AL7" s="460">
        <v>0</v>
      </c>
      <c r="AM7" s="460">
        <v>0</v>
      </c>
      <c r="AN7" s="460">
        <v>0</v>
      </c>
      <c r="AO7" s="460">
        <v>0</v>
      </c>
      <c r="AP7" s="460">
        <v>0</v>
      </c>
      <c r="AQ7" s="460">
        <v>0</v>
      </c>
      <c r="AR7" s="460">
        <v>0</v>
      </c>
      <c r="AS7" s="460">
        <v>0</v>
      </c>
      <c r="AT7" s="460">
        <v>0</v>
      </c>
      <c r="AU7" s="460">
        <v>0</v>
      </c>
      <c r="AV7" s="460">
        <v>0</v>
      </c>
      <c r="AW7" s="460">
        <v>0</v>
      </c>
      <c r="AX7" s="460">
        <v>0</v>
      </c>
      <c r="AY7" s="460">
        <v>0</v>
      </c>
      <c r="AZ7" s="460">
        <v>0</v>
      </c>
      <c r="BA7" s="460">
        <v>0</v>
      </c>
      <c r="BB7" s="460">
        <v>0</v>
      </c>
      <c r="BC7" s="460">
        <v>0</v>
      </c>
      <c r="BD7" s="460">
        <v>0</v>
      </c>
      <c r="BE7" s="460">
        <v>0</v>
      </c>
      <c r="BF7" s="460">
        <v>0</v>
      </c>
      <c r="BG7" s="460">
        <v>0</v>
      </c>
      <c r="BH7" s="460">
        <v>0</v>
      </c>
      <c r="BI7" s="460">
        <v>0</v>
      </c>
      <c r="BJ7" s="460">
        <v>0</v>
      </c>
      <c r="BK7" s="460">
        <v>0</v>
      </c>
      <c r="BL7" s="460">
        <v>0</v>
      </c>
      <c r="BM7" s="460">
        <v>0</v>
      </c>
      <c r="BN7" s="460">
        <v>0</v>
      </c>
      <c r="BO7" s="460">
        <v>0</v>
      </c>
      <c r="BP7" s="460">
        <v>0</v>
      </c>
      <c r="BQ7" s="460">
        <v>0</v>
      </c>
      <c r="BR7" s="460">
        <v>0</v>
      </c>
      <c r="BS7" s="460">
        <v>0</v>
      </c>
      <c r="BT7" s="460">
        <v>0</v>
      </c>
      <c r="BU7" s="460">
        <v>0</v>
      </c>
      <c r="BV7" s="460">
        <v>0</v>
      </c>
      <c r="BW7" s="460">
        <v>0</v>
      </c>
      <c r="BX7" s="460">
        <v>0</v>
      </c>
      <c r="BY7" s="460">
        <v>0</v>
      </c>
      <c r="BZ7" s="460">
        <v>0</v>
      </c>
      <c r="CA7" s="460" t="e">
        <v>#N/A</v>
      </c>
      <c r="CB7" s="460" t="e">
        <v>#N/A</v>
      </c>
      <c r="CC7" s="460" t="e">
        <v>#N/A</v>
      </c>
    </row>
    <row r="8" spans="1:81" ht="12.75" customHeight="1">
      <c r="A8" s="105">
        <v>3</v>
      </c>
      <c r="B8" s="458" t="str">
        <v>2W</v>
      </c>
      <c r="C8" s="262">
        <f>'eur disaggregated'!U19</f>
        <v>-560.41746517148999</v>
      </c>
      <c r="D8" s="111" t="str">
        <f t="shared" ref="D8:D34" si="2">IF(LEN(B8)&gt;3, "6M",IF(LEN(B8)&gt;0,SimplifyTenor(B8),""))</f>
        <v>2W</v>
      </c>
      <c r="E8" s="441">
        <f>BktEur6mPL!E8</f>
        <v>42696</v>
      </c>
      <c r="F8" s="441">
        <f>BktEur6mPL!F8</f>
        <v>42710</v>
      </c>
      <c r="G8" s="462">
        <f t="shared" si="1"/>
        <v>-2.3534420999999999E-3</v>
      </c>
      <c r="H8" s="453">
        <f>BktEur6mPL!H8</f>
        <v>-0.23534421</v>
      </c>
      <c r="I8" s="107" t="str">
        <v>S/N</v>
      </c>
      <c r="J8" s="106" t="str">
        <f>IF(LEN(I8)&gt;0,IF((MID(I8,4,1)=" "),#REF!,IF((LEN(I8)=8),DATE("20" &amp; RIGHT(I8,2),MID(I8,4,2),LEFT(I8,2)),SimplifyTenor(I8))),"")</f>
        <v>3D</v>
      </c>
      <c r="K8" s="448">
        <f t="shared" ref="K8" si="3">F6</f>
        <v>42697</v>
      </c>
      <c r="M8" s="99" t="str">
        <v>S/N</v>
      </c>
      <c r="N8" s="465">
        <v>234.998829990037</v>
      </c>
      <c r="P8" s="106" t="b">
        <f t="shared" si="0"/>
        <v>0</v>
      </c>
      <c r="Q8" s="460">
        <f t="array" ref="Q8:CC8">C8*ForwardToZero(OisBuckets,E8,F8,G8)</f>
        <v>0</v>
      </c>
      <c r="R8" s="460">
        <v>0</v>
      </c>
      <c r="S8" s="460">
        <v>0</v>
      </c>
      <c r="T8" s="460">
        <v>0</v>
      </c>
      <c r="U8" s="460">
        <v>-560.41746517148999</v>
      </c>
      <c r="V8" s="460">
        <v>0</v>
      </c>
      <c r="W8" s="460">
        <v>0</v>
      </c>
      <c r="X8" s="460">
        <v>0</v>
      </c>
      <c r="Y8" s="460">
        <v>0</v>
      </c>
      <c r="Z8" s="460">
        <v>0</v>
      </c>
      <c r="AA8" s="460">
        <v>0</v>
      </c>
      <c r="AB8" s="460">
        <v>0</v>
      </c>
      <c r="AC8" s="460">
        <v>0</v>
      </c>
      <c r="AD8" s="460">
        <v>0</v>
      </c>
      <c r="AE8" s="460">
        <v>0</v>
      </c>
      <c r="AF8" s="460">
        <v>0</v>
      </c>
      <c r="AG8" s="460">
        <v>0</v>
      </c>
      <c r="AH8" s="460">
        <v>0</v>
      </c>
      <c r="AI8" s="460">
        <v>0</v>
      </c>
      <c r="AJ8" s="460">
        <v>0</v>
      </c>
      <c r="AK8" s="460">
        <v>0</v>
      </c>
      <c r="AL8" s="460">
        <v>0</v>
      </c>
      <c r="AM8" s="460">
        <v>0</v>
      </c>
      <c r="AN8" s="460">
        <v>0</v>
      </c>
      <c r="AO8" s="460">
        <v>0</v>
      </c>
      <c r="AP8" s="460">
        <v>0</v>
      </c>
      <c r="AQ8" s="460">
        <v>0</v>
      </c>
      <c r="AR8" s="460">
        <v>0</v>
      </c>
      <c r="AS8" s="460">
        <v>0</v>
      </c>
      <c r="AT8" s="460">
        <v>0</v>
      </c>
      <c r="AU8" s="460">
        <v>0</v>
      </c>
      <c r="AV8" s="460">
        <v>0</v>
      </c>
      <c r="AW8" s="460">
        <v>0</v>
      </c>
      <c r="AX8" s="460">
        <v>0</v>
      </c>
      <c r="AY8" s="460">
        <v>0</v>
      </c>
      <c r="AZ8" s="460">
        <v>0</v>
      </c>
      <c r="BA8" s="460">
        <v>0</v>
      </c>
      <c r="BB8" s="460">
        <v>0</v>
      </c>
      <c r="BC8" s="460">
        <v>0</v>
      </c>
      <c r="BD8" s="460">
        <v>0</v>
      </c>
      <c r="BE8" s="460">
        <v>0</v>
      </c>
      <c r="BF8" s="460">
        <v>0</v>
      </c>
      <c r="BG8" s="460">
        <v>0</v>
      </c>
      <c r="BH8" s="460">
        <v>0</v>
      </c>
      <c r="BI8" s="460">
        <v>0</v>
      </c>
      <c r="BJ8" s="460">
        <v>0</v>
      </c>
      <c r="BK8" s="460">
        <v>0</v>
      </c>
      <c r="BL8" s="460">
        <v>0</v>
      </c>
      <c r="BM8" s="460">
        <v>0</v>
      </c>
      <c r="BN8" s="460">
        <v>0</v>
      </c>
      <c r="BO8" s="460">
        <v>0</v>
      </c>
      <c r="BP8" s="460">
        <v>0</v>
      </c>
      <c r="BQ8" s="460">
        <v>0</v>
      </c>
      <c r="BR8" s="460">
        <v>0</v>
      </c>
      <c r="BS8" s="460">
        <v>0</v>
      </c>
      <c r="BT8" s="460">
        <v>0</v>
      </c>
      <c r="BU8" s="460">
        <v>0</v>
      </c>
      <c r="BV8" s="460">
        <v>0</v>
      </c>
      <c r="BW8" s="460">
        <v>0</v>
      </c>
      <c r="BX8" s="460">
        <v>0</v>
      </c>
      <c r="BY8" s="460">
        <v>0</v>
      </c>
      <c r="BZ8" s="460">
        <v>0</v>
      </c>
      <c r="CA8" s="460" t="e">
        <v>#N/A</v>
      </c>
      <c r="CB8" s="460" t="e">
        <v>#N/A</v>
      </c>
      <c r="CC8" s="460" t="e">
        <v>#N/A</v>
      </c>
    </row>
    <row r="9" spans="1:81" ht="12.75" customHeight="1">
      <c r="A9" s="105">
        <v>4</v>
      </c>
      <c r="B9" s="458" t="str">
        <v>3W</v>
      </c>
      <c r="C9" s="262">
        <f>'eur disaggregated'!U20</f>
        <v>-194.69120486839901</v>
      </c>
      <c r="D9" s="111" t="str">
        <f t="shared" si="2"/>
        <v>3W</v>
      </c>
      <c r="E9" s="441">
        <f>BktEur6mPL!E9</f>
        <v>42696</v>
      </c>
      <c r="F9" s="441">
        <f>BktEur6mPL!F9</f>
        <v>42717</v>
      </c>
      <c r="G9" s="462">
        <f t="shared" si="1"/>
        <v>-2.3611014799999998E-3</v>
      </c>
      <c r="H9" s="453">
        <f>BktEur6mPL!H9</f>
        <v>-0.23611014799999999</v>
      </c>
      <c r="I9" s="107" t="str">
        <v>1W</v>
      </c>
      <c r="J9" s="106" t="str">
        <f>IF(LEN(I9)&gt;0,IF((MID(I9,4,1)=" "),#REF!,IF((LEN(I9)=8),DATE("20" &amp; RIGHT(I9,2),MID(I9,4,2),LEFT(I9,2)),SimplifyTenor(I9))),"")</f>
        <v>1W</v>
      </c>
      <c r="K9" s="448">
        <f>_xll.qlCalendarAdvance("TARGET",SettlementDate,J9)</f>
        <v>42703</v>
      </c>
      <c r="M9" s="99" t="str">
        <v>1W</v>
      </c>
      <c r="N9" s="465">
        <v>-468.387347944505</v>
      </c>
      <c r="P9" s="106" t="b">
        <f t="shared" si="0"/>
        <v>0</v>
      </c>
      <c r="Q9" s="460">
        <f t="array" ref="Q9:CC9">C9*ForwardToZero(OisBuckets,E9,F9,G9)</f>
        <v>0</v>
      </c>
      <c r="R9" s="460">
        <v>0</v>
      </c>
      <c r="S9" s="460">
        <v>0</v>
      </c>
      <c r="T9" s="460">
        <v>0</v>
      </c>
      <c r="U9" s="460">
        <v>0</v>
      </c>
      <c r="V9" s="460">
        <v>-194.69120486839901</v>
      </c>
      <c r="W9" s="460">
        <v>0</v>
      </c>
      <c r="X9" s="460">
        <v>0</v>
      </c>
      <c r="Y9" s="460">
        <v>0</v>
      </c>
      <c r="Z9" s="460">
        <v>0</v>
      </c>
      <c r="AA9" s="460">
        <v>0</v>
      </c>
      <c r="AB9" s="460">
        <v>0</v>
      </c>
      <c r="AC9" s="460">
        <v>0</v>
      </c>
      <c r="AD9" s="460">
        <v>0</v>
      </c>
      <c r="AE9" s="460">
        <v>0</v>
      </c>
      <c r="AF9" s="460">
        <v>0</v>
      </c>
      <c r="AG9" s="460">
        <v>0</v>
      </c>
      <c r="AH9" s="460">
        <v>0</v>
      </c>
      <c r="AI9" s="460">
        <v>0</v>
      </c>
      <c r="AJ9" s="460">
        <v>0</v>
      </c>
      <c r="AK9" s="460">
        <v>0</v>
      </c>
      <c r="AL9" s="460">
        <v>0</v>
      </c>
      <c r="AM9" s="460">
        <v>0</v>
      </c>
      <c r="AN9" s="460">
        <v>0</v>
      </c>
      <c r="AO9" s="460">
        <v>0</v>
      </c>
      <c r="AP9" s="460">
        <v>0</v>
      </c>
      <c r="AQ9" s="460">
        <v>0</v>
      </c>
      <c r="AR9" s="460">
        <v>0</v>
      </c>
      <c r="AS9" s="460">
        <v>0</v>
      </c>
      <c r="AT9" s="460">
        <v>0</v>
      </c>
      <c r="AU9" s="460">
        <v>0</v>
      </c>
      <c r="AV9" s="460">
        <v>0</v>
      </c>
      <c r="AW9" s="460">
        <v>0</v>
      </c>
      <c r="AX9" s="460">
        <v>0</v>
      </c>
      <c r="AY9" s="460">
        <v>0</v>
      </c>
      <c r="AZ9" s="460">
        <v>0</v>
      </c>
      <c r="BA9" s="460">
        <v>0</v>
      </c>
      <c r="BB9" s="460">
        <v>0</v>
      </c>
      <c r="BC9" s="460">
        <v>0</v>
      </c>
      <c r="BD9" s="460">
        <v>0</v>
      </c>
      <c r="BE9" s="460">
        <v>0</v>
      </c>
      <c r="BF9" s="460">
        <v>0</v>
      </c>
      <c r="BG9" s="460">
        <v>0</v>
      </c>
      <c r="BH9" s="460">
        <v>0</v>
      </c>
      <c r="BI9" s="460">
        <v>0</v>
      </c>
      <c r="BJ9" s="460">
        <v>0</v>
      </c>
      <c r="BK9" s="460">
        <v>0</v>
      </c>
      <c r="BL9" s="460">
        <v>0</v>
      </c>
      <c r="BM9" s="460">
        <v>0</v>
      </c>
      <c r="BN9" s="460">
        <v>0</v>
      </c>
      <c r="BO9" s="460">
        <v>0</v>
      </c>
      <c r="BP9" s="460">
        <v>0</v>
      </c>
      <c r="BQ9" s="460">
        <v>0</v>
      </c>
      <c r="BR9" s="460">
        <v>0</v>
      </c>
      <c r="BS9" s="460">
        <v>0</v>
      </c>
      <c r="BT9" s="460">
        <v>0</v>
      </c>
      <c r="BU9" s="460">
        <v>0</v>
      </c>
      <c r="BV9" s="460">
        <v>0</v>
      </c>
      <c r="BW9" s="460">
        <v>0</v>
      </c>
      <c r="BX9" s="460">
        <v>0</v>
      </c>
      <c r="BY9" s="460">
        <v>0</v>
      </c>
      <c r="BZ9" s="460">
        <v>0</v>
      </c>
      <c r="CA9" s="460" t="e">
        <v>#N/A</v>
      </c>
      <c r="CB9" s="460" t="e">
        <v>#N/A</v>
      </c>
      <c r="CC9" s="460" t="e">
        <v>#N/A</v>
      </c>
    </row>
    <row r="10" spans="1:81" ht="12.75" customHeight="1">
      <c r="A10" s="105">
        <v>5</v>
      </c>
      <c r="B10" s="458" t="str">
        <v>1M</v>
      </c>
      <c r="C10" s="262">
        <f>'eur disaggregated'!U21</f>
        <v>7254.71134521371</v>
      </c>
      <c r="D10" s="111" t="str">
        <f t="shared" si="2"/>
        <v>1M</v>
      </c>
      <c r="E10" s="441">
        <f>BktEur6mPL!E10</f>
        <v>42696</v>
      </c>
      <c r="F10" s="441">
        <f>BktEur6mPL!F10</f>
        <v>42726</v>
      </c>
      <c r="G10" s="462">
        <f t="shared" si="1"/>
        <v>-2.366E-3</v>
      </c>
      <c r="H10" s="453">
        <f>BktEur6mPL!H10</f>
        <v>-0.2366</v>
      </c>
      <c r="I10" s="107" t="str">
        <v>2W</v>
      </c>
      <c r="J10" s="106" t="str">
        <f>IF(LEN(I10)&gt;0,IF((MID(I10,4,1)=" "),#REF!,IF((LEN(I10)=8),DATE("20" &amp; RIGHT(I10,2),MID(I10,4,2),LEFT(I10,2)),SimplifyTenor(I10))),"")</f>
        <v>2W</v>
      </c>
      <c r="K10" s="448">
        <f>_xll.qlCalendarAdvance("TARGET",SettlementDate,J10)</f>
        <v>42710</v>
      </c>
      <c r="M10" s="99" t="str">
        <v>2W</v>
      </c>
      <c r="N10" s="465">
        <v>-560.41746517148999</v>
      </c>
      <c r="P10" s="106" t="b">
        <f t="shared" si="0"/>
        <v>0</v>
      </c>
      <c r="Q10" s="460">
        <f t="array" ref="Q10:CC10">C10*ForwardToZero(OisBuckets,E10,F10,G10)</f>
        <v>0</v>
      </c>
      <c r="R10" s="460">
        <v>0</v>
      </c>
      <c r="S10" s="460">
        <v>0</v>
      </c>
      <c r="T10" s="460">
        <v>0</v>
      </c>
      <c r="U10" s="460">
        <v>0</v>
      </c>
      <c r="V10" s="460">
        <v>0</v>
      </c>
      <c r="W10" s="460">
        <v>7254.71134521371</v>
      </c>
      <c r="X10" s="460">
        <v>0</v>
      </c>
      <c r="Y10" s="460">
        <v>0</v>
      </c>
      <c r="Z10" s="460">
        <v>0</v>
      </c>
      <c r="AA10" s="460">
        <v>0</v>
      </c>
      <c r="AB10" s="460">
        <v>0</v>
      </c>
      <c r="AC10" s="460">
        <v>0</v>
      </c>
      <c r="AD10" s="460">
        <v>0</v>
      </c>
      <c r="AE10" s="460">
        <v>0</v>
      </c>
      <c r="AF10" s="460">
        <v>0</v>
      </c>
      <c r="AG10" s="460">
        <v>0</v>
      </c>
      <c r="AH10" s="460">
        <v>0</v>
      </c>
      <c r="AI10" s="460">
        <v>0</v>
      </c>
      <c r="AJ10" s="460">
        <v>0</v>
      </c>
      <c r="AK10" s="460">
        <v>0</v>
      </c>
      <c r="AL10" s="460">
        <v>0</v>
      </c>
      <c r="AM10" s="460">
        <v>0</v>
      </c>
      <c r="AN10" s="460">
        <v>0</v>
      </c>
      <c r="AO10" s="460">
        <v>0</v>
      </c>
      <c r="AP10" s="460">
        <v>0</v>
      </c>
      <c r="AQ10" s="460">
        <v>0</v>
      </c>
      <c r="AR10" s="460">
        <v>0</v>
      </c>
      <c r="AS10" s="460">
        <v>0</v>
      </c>
      <c r="AT10" s="460">
        <v>0</v>
      </c>
      <c r="AU10" s="460">
        <v>0</v>
      </c>
      <c r="AV10" s="460">
        <v>0</v>
      </c>
      <c r="AW10" s="460">
        <v>0</v>
      </c>
      <c r="AX10" s="460">
        <v>0</v>
      </c>
      <c r="AY10" s="460">
        <v>0</v>
      </c>
      <c r="AZ10" s="460">
        <v>0</v>
      </c>
      <c r="BA10" s="460">
        <v>0</v>
      </c>
      <c r="BB10" s="460">
        <v>0</v>
      </c>
      <c r="BC10" s="460">
        <v>0</v>
      </c>
      <c r="BD10" s="460">
        <v>0</v>
      </c>
      <c r="BE10" s="460">
        <v>0</v>
      </c>
      <c r="BF10" s="460">
        <v>0</v>
      </c>
      <c r="BG10" s="460">
        <v>0</v>
      </c>
      <c r="BH10" s="460">
        <v>0</v>
      </c>
      <c r="BI10" s="460">
        <v>0</v>
      </c>
      <c r="BJ10" s="460">
        <v>0</v>
      </c>
      <c r="BK10" s="460">
        <v>0</v>
      </c>
      <c r="BL10" s="460">
        <v>0</v>
      </c>
      <c r="BM10" s="460">
        <v>0</v>
      </c>
      <c r="BN10" s="460">
        <v>0</v>
      </c>
      <c r="BO10" s="460">
        <v>0</v>
      </c>
      <c r="BP10" s="460">
        <v>0</v>
      </c>
      <c r="BQ10" s="460">
        <v>0</v>
      </c>
      <c r="BR10" s="460">
        <v>0</v>
      </c>
      <c r="BS10" s="460">
        <v>0</v>
      </c>
      <c r="BT10" s="460">
        <v>0</v>
      </c>
      <c r="BU10" s="460">
        <v>0</v>
      </c>
      <c r="BV10" s="460">
        <v>0</v>
      </c>
      <c r="BW10" s="460">
        <v>0</v>
      </c>
      <c r="BX10" s="460">
        <v>0</v>
      </c>
      <c r="BY10" s="460">
        <v>0</v>
      </c>
      <c r="BZ10" s="460">
        <v>0</v>
      </c>
      <c r="CA10" s="460" t="e">
        <v>#N/A</v>
      </c>
      <c r="CB10" s="460" t="e">
        <v>#N/A</v>
      </c>
      <c r="CC10" s="460" t="e">
        <v>#N/A</v>
      </c>
    </row>
    <row r="11" spans="1:81" ht="12.75" customHeight="1">
      <c r="A11" s="105">
        <v>6</v>
      </c>
      <c r="B11" s="458" t="str">
        <v>2M</v>
      </c>
      <c r="C11" s="262">
        <f>'eur disaggregated'!U22</f>
        <v>6055.1558608064197</v>
      </c>
      <c r="D11" s="111" t="str">
        <f t="shared" si="2"/>
        <v>2M</v>
      </c>
      <c r="E11" s="441">
        <f>BktEur6mPL!E11</f>
        <v>42696</v>
      </c>
      <c r="F11" s="441">
        <f>BktEur6mPL!F11</f>
        <v>42758</v>
      </c>
      <c r="G11" s="462">
        <f t="shared" si="1"/>
        <v>-2.2959999999999999E-3</v>
      </c>
      <c r="H11" s="453">
        <f>BktEur6mPL!H11</f>
        <v>-0.2296</v>
      </c>
      <c r="I11" s="107" t="str">
        <v>3W</v>
      </c>
      <c r="J11" s="106" t="str">
        <f>IF(LEN(I11)&gt;0,IF((MID(I11,4,1)=" "),#REF!,IF((LEN(I11)=8),DATE("20" &amp; RIGHT(I11,2),MID(I11,4,2),LEFT(I11,2)),SimplifyTenor(I11))),"")</f>
        <v>3W</v>
      </c>
      <c r="K11" s="448">
        <f>_xll.qlCalendarAdvance("TARGET",SettlementDate,J11)</f>
        <v>42717</v>
      </c>
      <c r="M11" s="99" t="str">
        <v>3W</v>
      </c>
      <c r="N11" s="465">
        <v>-194.69120486839901</v>
      </c>
      <c r="P11" s="106" t="b">
        <f t="shared" si="0"/>
        <v>0</v>
      </c>
      <c r="Q11" s="460">
        <f t="array" ref="Q11:CC11">C11*ForwardToZero(OisBuckets,E11,F11,G11)</f>
        <v>0</v>
      </c>
      <c r="R11" s="460">
        <v>0</v>
      </c>
      <c r="S11" s="460">
        <v>0</v>
      </c>
      <c r="T11" s="460">
        <v>0</v>
      </c>
      <c r="U11" s="460">
        <v>0</v>
      </c>
      <c r="V11" s="460">
        <v>0</v>
      </c>
      <c r="W11" s="460">
        <v>0</v>
      </c>
      <c r="X11" s="460">
        <v>6055.1558608064197</v>
      </c>
      <c r="Y11" s="460">
        <v>0</v>
      </c>
      <c r="Z11" s="460">
        <v>0</v>
      </c>
      <c r="AA11" s="460">
        <v>0</v>
      </c>
      <c r="AB11" s="460">
        <v>0</v>
      </c>
      <c r="AC11" s="460">
        <v>0</v>
      </c>
      <c r="AD11" s="460">
        <v>0</v>
      </c>
      <c r="AE11" s="460">
        <v>0</v>
      </c>
      <c r="AF11" s="460">
        <v>0</v>
      </c>
      <c r="AG11" s="460">
        <v>0</v>
      </c>
      <c r="AH11" s="460">
        <v>0</v>
      </c>
      <c r="AI11" s="460">
        <v>0</v>
      </c>
      <c r="AJ11" s="460">
        <v>0</v>
      </c>
      <c r="AK11" s="460">
        <v>0</v>
      </c>
      <c r="AL11" s="460">
        <v>0</v>
      </c>
      <c r="AM11" s="460">
        <v>0</v>
      </c>
      <c r="AN11" s="460">
        <v>0</v>
      </c>
      <c r="AO11" s="460">
        <v>0</v>
      </c>
      <c r="AP11" s="460">
        <v>0</v>
      </c>
      <c r="AQ11" s="460">
        <v>0</v>
      </c>
      <c r="AR11" s="460">
        <v>0</v>
      </c>
      <c r="AS11" s="460">
        <v>0</v>
      </c>
      <c r="AT11" s="460">
        <v>0</v>
      </c>
      <c r="AU11" s="460">
        <v>0</v>
      </c>
      <c r="AV11" s="460">
        <v>0</v>
      </c>
      <c r="AW11" s="460">
        <v>0</v>
      </c>
      <c r="AX11" s="460">
        <v>0</v>
      </c>
      <c r="AY11" s="460">
        <v>0</v>
      </c>
      <c r="AZ11" s="460">
        <v>0</v>
      </c>
      <c r="BA11" s="460">
        <v>0</v>
      </c>
      <c r="BB11" s="460">
        <v>0</v>
      </c>
      <c r="BC11" s="460">
        <v>0</v>
      </c>
      <c r="BD11" s="460">
        <v>0</v>
      </c>
      <c r="BE11" s="460">
        <v>0</v>
      </c>
      <c r="BF11" s="460">
        <v>0</v>
      </c>
      <c r="BG11" s="460">
        <v>0</v>
      </c>
      <c r="BH11" s="460">
        <v>0</v>
      </c>
      <c r="BI11" s="460">
        <v>0</v>
      </c>
      <c r="BJ11" s="460">
        <v>0</v>
      </c>
      <c r="BK11" s="460">
        <v>0</v>
      </c>
      <c r="BL11" s="460">
        <v>0</v>
      </c>
      <c r="BM11" s="460">
        <v>0</v>
      </c>
      <c r="BN11" s="460">
        <v>0</v>
      </c>
      <c r="BO11" s="460">
        <v>0</v>
      </c>
      <c r="BP11" s="460">
        <v>0</v>
      </c>
      <c r="BQ11" s="460">
        <v>0</v>
      </c>
      <c r="BR11" s="460">
        <v>0</v>
      </c>
      <c r="BS11" s="460">
        <v>0</v>
      </c>
      <c r="BT11" s="460">
        <v>0</v>
      </c>
      <c r="BU11" s="460">
        <v>0</v>
      </c>
      <c r="BV11" s="460">
        <v>0</v>
      </c>
      <c r="BW11" s="460">
        <v>0</v>
      </c>
      <c r="BX11" s="460">
        <v>0</v>
      </c>
      <c r="BY11" s="460">
        <v>0</v>
      </c>
      <c r="BZ11" s="460">
        <v>0</v>
      </c>
      <c r="CA11" s="460" t="e">
        <v>#N/A</v>
      </c>
      <c r="CB11" s="460" t="e">
        <v>#N/A</v>
      </c>
      <c r="CC11" s="460" t="e">
        <v>#N/A</v>
      </c>
    </row>
    <row r="12" spans="1:81" ht="12.75" customHeight="1">
      <c r="A12" s="105">
        <v>7</v>
      </c>
      <c r="B12" s="458" t="str">
        <v>3M</v>
      </c>
      <c r="C12" s="262">
        <f>'eur disaggregated'!U23</f>
        <v>-1792.12677799522</v>
      </c>
      <c r="D12" s="111" t="str">
        <f t="shared" si="2"/>
        <v>3M</v>
      </c>
      <c r="E12" s="441">
        <f>BktEur6mPL!E12</f>
        <v>42696</v>
      </c>
      <c r="F12" s="441">
        <f>BktEur6mPL!F12</f>
        <v>42788</v>
      </c>
      <c r="G12" s="462">
        <f t="shared" si="1"/>
        <v>-2.258E-3</v>
      </c>
      <c r="H12" s="453">
        <f>BktEur6mPL!H12</f>
        <v>-0.2258</v>
      </c>
      <c r="I12" s="107" t="str">
        <v>1M</v>
      </c>
      <c r="J12" s="106" t="str">
        <f>IF(LEN(I12)&gt;0,IF((MID(I12,4,1)=" "),#REF!,IF((LEN(I12)=8),DATE("20" &amp; RIGHT(I12,2),MID(I12,4,2),LEFT(I12,2)),SimplifyTenor(I12))),"")</f>
        <v>1M</v>
      </c>
      <c r="K12" s="448">
        <f>_xll.qlCalendarAdvance("TARGET",SettlementDate,J12)</f>
        <v>42726</v>
      </c>
      <c r="M12" s="99" t="str">
        <v>1M</v>
      </c>
      <c r="N12" s="465">
        <v>8506.3394532350667</v>
      </c>
      <c r="P12" s="106" t="b">
        <f t="shared" si="0"/>
        <v>0</v>
      </c>
      <c r="Q12" s="460">
        <f t="array" ref="Q12:CC12">C12*ForwardToZero(OisBuckets,E12,F12,G12)</f>
        <v>0</v>
      </c>
      <c r="R12" s="460">
        <v>0</v>
      </c>
      <c r="S12" s="460">
        <v>0</v>
      </c>
      <c r="T12" s="460">
        <v>0</v>
      </c>
      <c r="U12" s="460">
        <v>0</v>
      </c>
      <c r="V12" s="460">
        <v>0</v>
      </c>
      <c r="W12" s="460">
        <v>0</v>
      </c>
      <c r="X12" s="460">
        <v>0</v>
      </c>
      <c r="Y12" s="460">
        <v>-1792.12677799522</v>
      </c>
      <c r="Z12" s="460">
        <v>0</v>
      </c>
      <c r="AA12" s="460">
        <v>0</v>
      </c>
      <c r="AB12" s="460">
        <v>0</v>
      </c>
      <c r="AC12" s="460">
        <v>0</v>
      </c>
      <c r="AD12" s="460">
        <v>0</v>
      </c>
      <c r="AE12" s="460">
        <v>0</v>
      </c>
      <c r="AF12" s="460">
        <v>0</v>
      </c>
      <c r="AG12" s="460">
        <v>0</v>
      </c>
      <c r="AH12" s="460">
        <v>0</v>
      </c>
      <c r="AI12" s="460">
        <v>0</v>
      </c>
      <c r="AJ12" s="460">
        <v>0</v>
      </c>
      <c r="AK12" s="460">
        <v>0</v>
      </c>
      <c r="AL12" s="460">
        <v>0</v>
      </c>
      <c r="AM12" s="460">
        <v>0</v>
      </c>
      <c r="AN12" s="460">
        <v>0</v>
      </c>
      <c r="AO12" s="460">
        <v>0</v>
      </c>
      <c r="AP12" s="460">
        <v>0</v>
      </c>
      <c r="AQ12" s="460">
        <v>0</v>
      </c>
      <c r="AR12" s="460">
        <v>0</v>
      </c>
      <c r="AS12" s="460">
        <v>0</v>
      </c>
      <c r="AT12" s="460">
        <v>0</v>
      </c>
      <c r="AU12" s="460">
        <v>0</v>
      </c>
      <c r="AV12" s="460">
        <v>0</v>
      </c>
      <c r="AW12" s="460">
        <v>0</v>
      </c>
      <c r="AX12" s="460">
        <v>0</v>
      </c>
      <c r="AY12" s="460">
        <v>0</v>
      </c>
      <c r="AZ12" s="460">
        <v>0</v>
      </c>
      <c r="BA12" s="460">
        <v>0</v>
      </c>
      <c r="BB12" s="460">
        <v>0</v>
      </c>
      <c r="BC12" s="460">
        <v>0</v>
      </c>
      <c r="BD12" s="460">
        <v>0</v>
      </c>
      <c r="BE12" s="460">
        <v>0</v>
      </c>
      <c r="BF12" s="460">
        <v>0</v>
      </c>
      <c r="BG12" s="460">
        <v>0</v>
      </c>
      <c r="BH12" s="460">
        <v>0</v>
      </c>
      <c r="BI12" s="460">
        <v>0</v>
      </c>
      <c r="BJ12" s="460">
        <v>0</v>
      </c>
      <c r="BK12" s="460">
        <v>0</v>
      </c>
      <c r="BL12" s="460">
        <v>0</v>
      </c>
      <c r="BM12" s="460">
        <v>0</v>
      </c>
      <c r="BN12" s="460">
        <v>0</v>
      </c>
      <c r="BO12" s="460">
        <v>0</v>
      </c>
      <c r="BP12" s="460">
        <v>0</v>
      </c>
      <c r="BQ12" s="460">
        <v>0</v>
      </c>
      <c r="BR12" s="460">
        <v>0</v>
      </c>
      <c r="BS12" s="460">
        <v>0</v>
      </c>
      <c r="BT12" s="460">
        <v>0</v>
      </c>
      <c r="BU12" s="460">
        <v>0</v>
      </c>
      <c r="BV12" s="460">
        <v>0</v>
      </c>
      <c r="BW12" s="460">
        <v>0</v>
      </c>
      <c r="BX12" s="460">
        <v>0</v>
      </c>
      <c r="BY12" s="460">
        <v>0</v>
      </c>
      <c r="BZ12" s="460">
        <v>0</v>
      </c>
      <c r="CA12" s="460" t="e">
        <v>#N/A</v>
      </c>
      <c r="CB12" s="460" t="e">
        <v>#N/A</v>
      </c>
      <c r="CC12" s="460" t="e">
        <v>#N/A</v>
      </c>
    </row>
    <row r="13" spans="1:81">
      <c r="A13" s="105">
        <v>8</v>
      </c>
      <c r="B13" s="458" t="str">
        <v>4M</v>
      </c>
      <c r="C13" s="262">
        <f>'eur disaggregated'!U24</f>
        <v>-4499.5137539850602</v>
      </c>
      <c r="D13" s="111" t="str">
        <f t="shared" si="2"/>
        <v>4M</v>
      </c>
      <c r="E13" s="441">
        <f>BktEur6mPL!E13</f>
        <v>42696</v>
      </c>
      <c r="F13" s="441">
        <f>BktEur6mPL!F13</f>
        <v>42816</v>
      </c>
      <c r="G13" s="462">
        <f t="shared" si="1"/>
        <v>-2.2160000000000001E-3</v>
      </c>
      <c r="H13" s="453">
        <f>BktEur6mPL!H13</f>
        <v>-0.22159999999999999</v>
      </c>
      <c r="I13" s="107" t="str">
        <v>2M</v>
      </c>
      <c r="J13" s="106" t="str">
        <f>IF(LEN(I13)&gt;0,IF((MID(I13,4,1)=" "),#REF!,IF((LEN(I13)=8),DATE("20" &amp; RIGHT(I13,2),MID(I13,4,2),LEFT(I13,2)),SimplifyTenor(I13))),"")</f>
        <v>2M</v>
      </c>
      <c r="K13" s="448">
        <f>_xll.qlCalendarAdvance("TARGET",SettlementDate,J13)</f>
        <v>42758</v>
      </c>
      <c r="M13" s="99" t="str">
        <v>2M</v>
      </c>
      <c r="N13" s="465">
        <v>5744.7634278994319</v>
      </c>
      <c r="P13" s="106" t="b">
        <f t="shared" si="0"/>
        <v>0</v>
      </c>
      <c r="Q13" s="460">
        <f t="array" ref="Q13:CC13">C13*ForwardToZero(OisBuckets,E13,F13,G13)</f>
        <v>0</v>
      </c>
      <c r="R13" s="460">
        <v>0</v>
      </c>
      <c r="S13" s="460">
        <v>0</v>
      </c>
      <c r="T13" s="460">
        <v>0</v>
      </c>
      <c r="U13" s="460">
        <v>0</v>
      </c>
      <c r="V13" s="460">
        <v>0</v>
      </c>
      <c r="W13" s="460">
        <v>0</v>
      </c>
      <c r="X13" s="460">
        <v>0</v>
      </c>
      <c r="Y13" s="460">
        <v>0</v>
      </c>
      <c r="Z13" s="460">
        <v>-4499.5137539850602</v>
      </c>
      <c r="AA13" s="460">
        <v>0</v>
      </c>
      <c r="AB13" s="460">
        <v>0</v>
      </c>
      <c r="AC13" s="460">
        <v>0</v>
      </c>
      <c r="AD13" s="460">
        <v>0</v>
      </c>
      <c r="AE13" s="460">
        <v>0</v>
      </c>
      <c r="AF13" s="460">
        <v>0</v>
      </c>
      <c r="AG13" s="460">
        <v>0</v>
      </c>
      <c r="AH13" s="460">
        <v>0</v>
      </c>
      <c r="AI13" s="460">
        <v>0</v>
      </c>
      <c r="AJ13" s="460">
        <v>0</v>
      </c>
      <c r="AK13" s="460">
        <v>0</v>
      </c>
      <c r="AL13" s="460">
        <v>0</v>
      </c>
      <c r="AM13" s="460">
        <v>0</v>
      </c>
      <c r="AN13" s="460">
        <v>0</v>
      </c>
      <c r="AO13" s="460">
        <v>0</v>
      </c>
      <c r="AP13" s="460">
        <v>0</v>
      </c>
      <c r="AQ13" s="460">
        <v>0</v>
      </c>
      <c r="AR13" s="460">
        <v>0</v>
      </c>
      <c r="AS13" s="460">
        <v>0</v>
      </c>
      <c r="AT13" s="460">
        <v>0</v>
      </c>
      <c r="AU13" s="460">
        <v>0</v>
      </c>
      <c r="AV13" s="460">
        <v>0</v>
      </c>
      <c r="AW13" s="460">
        <v>0</v>
      </c>
      <c r="AX13" s="460">
        <v>0</v>
      </c>
      <c r="AY13" s="460">
        <v>0</v>
      </c>
      <c r="AZ13" s="460">
        <v>0</v>
      </c>
      <c r="BA13" s="460">
        <v>0</v>
      </c>
      <c r="BB13" s="460">
        <v>0</v>
      </c>
      <c r="BC13" s="460">
        <v>0</v>
      </c>
      <c r="BD13" s="460">
        <v>0</v>
      </c>
      <c r="BE13" s="460">
        <v>0</v>
      </c>
      <c r="BF13" s="460">
        <v>0</v>
      </c>
      <c r="BG13" s="460">
        <v>0</v>
      </c>
      <c r="BH13" s="460">
        <v>0</v>
      </c>
      <c r="BI13" s="460">
        <v>0</v>
      </c>
      <c r="BJ13" s="460">
        <v>0</v>
      </c>
      <c r="BK13" s="460">
        <v>0</v>
      </c>
      <c r="BL13" s="460">
        <v>0</v>
      </c>
      <c r="BM13" s="460">
        <v>0</v>
      </c>
      <c r="BN13" s="460">
        <v>0</v>
      </c>
      <c r="BO13" s="460">
        <v>0</v>
      </c>
      <c r="BP13" s="460">
        <v>0</v>
      </c>
      <c r="BQ13" s="460">
        <v>0</v>
      </c>
      <c r="BR13" s="460">
        <v>0</v>
      </c>
      <c r="BS13" s="460">
        <v>0</v>
      </c>
      <c r="BT13" s="460">
        <v>0</v>
      </c>
      <c r="BU13" s="460">
        <v>0</v>
      </c>
      <c r="BV13" s="460">
        <v>0</v>
      </c>
      <c r="BW13" s="460">
        <v>0</v>
      </c>
      <c r="BX13" s="460">
        <v>0</v>
      </c>
      <c r="BY13" s="460">
        <v>0</v>
      </c>
      <c r="BZ13" s="460">
        <v>0</v>
      </c>
      <c r="CA13" s="460" t="e">
        <v>#N/A</v>
      </c>
      <c r="CB13" s="460" t="e">
        <v>#N/A</v>
      </c>
      <c r="CC13" s="460" t="e">
        <v>#N/A</v>
      </c>
    </row>
    <row r="14" spans="1:81" ht="12.75" customHeight="1">
      <c r="A14" s="105">
        <v>9</v>
      </c>
      <c r="B14" s="458" t="str">
        <v>5M</v>
      </c>
      <c r="C14" s="262">
        <f>'eur disaggregated'!U25</f>
        <v>-18442.078152361799</v>
      </c>
      <c r="D14" s="111" t="str">
        <f t="shared" si="2"/>
        <v>5M</v>
      </c>
      <c r="E14" s="441">
        <f>BktEur6mPL!E14</f>
        <v>42696</v>
      </c>
      <c r="F14" s="441">
        <f>BktEur6mPL!F14</f>
        <v>42849</v>
      </c>
      <c r="G14" s="462">
        <f t="shared" si="1"/>
        <v>-2.1800000000000001E-3</v>
      </c>
      <c r="H14" s="453">
        <f>BktEur6mPL!H14</f>
        <v>-0.218</v>
      </c>
      <c r="I14" s="107" t="str">
        <v>3M</v>
      </c>
      <c r="J14" s="106" t="str">
        <f>IF(LEN(I14)&gt;0,IF((MID(I14,4,1)=" "),#REF!,IF((LEN(I14)=8),DATE("20" &amp; RIGHT(I14,2),MID(I14,4,2),LEFT(I14,2)),SimplifyTenor(I14))),"")</f>
        <v>3M</v>
      </c>
      <c r="K14" s="448">
        <f>_xll.qlCalendarAdvance("TARGET",SettlementDate,J14)</f>
        <v>42788</v>
      </c>
      <c r="M14" s="99" t="str">
        <v>3M</v>
      </c>
      <c r="N14" s="465">
        <v>-2921.6673616460612</v>
      </c>
      <c r="P14" s="106" t="b">
        <f t="shared" si="0"/>
        <v>0</v>
      </c>
      <c r="Q14" s="460">
        <f t="array" ref="Q14:CC14">C14*ForwardToZero(OisBuckets,E14,F14,G14)</f>
        <v>0</v>
      </c>
      <c r="R14" s="460">
        <v>0</v>
      </c>
      <c r="S14" s="460">
        <v>0</v>
      </c>
      <c r="T14" s="460">
        <v>0</v>
      </c>
      <c r="U14" s="460">
        <v>0</v>
      </c>
      <c r="V14" s="460">
        <v>0</v>
      </c>
      <c r="W14" s="460">
        <v>0</v>
      </c>
      <c r="X14" s="460">
        <v>0</v>
      </c>
      <c r="Y14" s="460">
        <v>0</v>
      </c>
      <c r="Z14" s="460">
        <v>0</v>
      </c>
      <c r="AA14" s="460">
        <v>-18442.078152361799</v>
      </c>
      <c r="AB14" s="460">
        <v>0</v>
      </c>
      <c r="AC14" s="460">
        <v>0</v>
      </c>
      <c r="AD14" s="460">
        <v>0</v>
      </c>
      <c r="AE14" s="460">
        <v>0</v>
      </c>
      <c r="AF14" s="460">
        <v>0</v>
      </c>
      <c r="AG14" s="460">
        <v>0</v>
      </c>
      <c r="AH14" s="460">
        <v>0</v>
      </c>
      <c r="AI14" s="460">
        <v>0</v>
      </c>
      <c r="AJ14" s="460">
        <v>0</v>
      </c>
      <c r="AK14" s="460">
        <v>0</v>
      </c>
      <c r="AL14" s="460">
        <v>0</v>
      </c>
      <c r="AM14" s="460">
        <v>0</v>
      </c>
      <c r="AN14" s="460">
        <v>0</v>
      </c>
      <c r="AO14" s="460">
        <v>0</v>
      </c>
      <c r="AP14" s="460">
        <v>0</v>
      </c>
      <c r="AQ14" s="460">
        <v>0</v>
      </c>
      <c r="AR14" s="460">
        <v>0</v>
      </c>
      <c r="AS14" s="460">
        <v>0</v>
      </c>
      <c r="AT14" s="460">
        <v>0</v>
      </c>
      <c r="AU14" s="460">
        <v>0</v>
      </c>
      <c r="AV14" s="460">
        <v>0</v>
      </c>
      <c r="AW14" s="460">
        <v>0</v>
      </c>
      <c r="AX14" s="460">
        <v>0</v>
      </c>
      <c r="AY14" s="460">
        <v>0</v>
      </c>
      <c r="AZ14" s="460">
        <v>0</v>
      </c>
      <c r="BA14" s="460">
        <v>0</v>
      </c>
      <c r="BB14" s="460">
        <v>0</v>
      </c>
      <c r="BC14" s="460">
        <v>0</v>
      </c>
      <c r="BD14" s="460">
        <v>0</v>
      </c>
      <c r="BE14" s="460">
        <v>0</v>
      </c>
      <c r="BF14" s="460">
        <v>0</v>
      </c>
      <c r="BG14" s="460">
        <v>0</v>
      </c>
      <c r="BH14" s="460">
        <v>0</v>
      </c>
      <c r="BI14" s="460">
        <v>0</v>
      </c>
      <c r="BJ14" s="460">
        <v>0</v>
      </c>
      <c r="BK14" s="460">
        <v>0</v>
      </c>
      <c r="BL14" s="460">
        <v>0</v>
      </c>
      <c r="BM14" s="460">
        <v>0</v>
      </c>
      <c r="BN14" s="460">
        <v>0</v>
      </c>
      <c r="BO14" s="460">
        <v>0</v>
      </c>
      <c r="BP14" s="460">
        <v>0</v>
      </c>
      <c r="BQ14" s="460">
        <v>0</v>
      </c>
      <c r="BR14" s="460">
        <v>0</v>
      </c>
      <c r="BS14" s="460">
        <v>0</v>
      </c>
      <c r="BT14" s="460">
        <v>0</v>
      </c>
      <c r="BU14" s="460">
        <v>0</v>
      </c>
      <c r="BV14" s="460">
        <v>0</v>
      </c>
      <c r="BW14" s="460">
        <v>0</v>
      </c>
      <c r="BX14" s="460">
        <v>0</v>
      </c>
      <c r="BY14" s="460">
        <v>0</v>
      </c>
      <c r="BZ14" s="460">
        <v>0</v>
      </c>
      <c r="CA14" s="460" t="e">
        <v>#N/A</v>
      </c>
      <c r="CB14" s="460" t="e">
        <v>#N/A</v>
      </c>
      <c r="CC14" s="460" t="e">
        <v>#N/A</v>
      </c>
    </row>
    <row r="15" spans="1:81" ht="12.75" customHeight="1">
      <c r="A15" s="105">
        <v>10</v>
      </c>
      <c r="B15" s="458" t="str">
        <v>6M</v>
      </c>
      <c r="C15" s="262">
        <f>'eur disaggregated'!U26</f>
        <v>-7008.4466786688399</v>
      </c>
      <c r="D15" s="111" t="str">
        <f t="shared" si="2"/>
        <v>6M</v>
      </c>
      <c r="E15" s="441">
        <f>BktEur6mPL!E15</f>
        <v>42696</v>
      </c>
      <c r="F15" s="441">
        <f>BktEur6mPL!F15</f>
        <v>42877</v>
      </c>
      <c r="G15" s="462">
        <f t="shared" si="1"/>
        <v>-2.1449999999999998E-3</v>
      </c>
      <c r="H15" s="453">
        <f>BktEur6mPL!H15</f>
        <v>-0.2145</v>
      </c>
      <c r="I15" s="107" t="str">
        <v>4M</v>
      </c>
      <c r="J15" s="106" t="str">
        <f>IF(LEN(I15)&gt;0,IF((MID(I15,4,1)=" "),#REF!,IF((LEN(I15)=8),DATE("20" &amp; RIGHT(I15,2),MID(I15,4,2),LEFT(I15,2)),SimplifyTenor(I15))),"")</f>
        <v>4M</v>
      </c>
      <c r="K15" s="448">
        <f>_xll.qlCalendarAdvance("TARGET",SettlementDate,J15)</f>
        <v>42816</v>
      </c>
      <c r="M15" s="99" t="str">
        <v>4M</v>
      </c>
      <c r="N15" s="465">
        <v>-263.74833086561466</v>
      </c>
      <c r="P15" s="106" t="b">
        <f t="shared" si="0"/>
        <v>0</v>
      </c>
      <c r="Q15" s="460">
        <f t="array" ref="Q15:CC15">C15*ForwardToZero(OisBuckets,E15,F15,G15)</f>
        <v>0</v>
      </c>
      <c r="R15" s="460">
        <v>0</v>
      </c>
      <c r="S15" s="460">
        <v>0</v>
      </c>
      <c r="T15" s="460">
        <v>0</v>
      </c>
      <c r="U15" s="460">
        <v>0</v>
      </c>
      <c r="V15" s="460">
        <v>0</v>
      </c>
      <c r="W15" s="460">
        <v>0</v>
      </c>
      <c r="X15" s="460">
        <v>0</v>
      </c>
      <c r="Y15" s="460">
        <v>0</v>
      </c>
      <c r="Z15" s="460">
        <v>0</v>
      </c>
      <c r="AA15" s="460">
        <v>0</v>
      </c>
      <c r="AB15" s="460">
        <v>-7008.4466786688399</v>
      </c>
      <c r="AC15" s="460">
        <v>0</v>
      </c>
      <c r="AD15" s="460">
        <v>0</v>
      </c>
      <c r="AE15" s="460">
        <v>0</v>
      </c>
      <c r="AF15" s="460">
        <v>0</v>
      </c>
      <c r="AG15" s="460">
        <v>0</v>
      </c>
      <c r="AH15" s="460">
        <v>0</v>
      </c>
      <c r="AI15" s="460">
        <v>0</v>
      </c>
      <c r="AJ15" s="460">
        <v>0</v>
      </c>
      <c r="AK15" s="460">
        <v>0</v>
      </c>
      <c r="AL15" s="460">
        <v>0</v>
      </c>
      <c r="AM15" s="460">
        <v>0</v>
      </c>
      <c r="AN15" s="460">
        <v>0</v>
      </c>
      <c r="AO15" s="460">
        <v>0</v>
      </c>
      <c r="AP15" s="460">
        <v>0</v>
      </c>
      <c r="AQ15" s="460">
        <v>0</v>
      </c>
      <c r="AR15" s="460">
        <v>0</v>
      </c>
      <c r="AS15" s="460">
        <v>0</v>
      </c>
      <c r="AT15" s="460">
        <v>0</v>
      </c>
      <c r="AU15" s="460">
        <v>0</v>
      </c>
      <c r="AV15" s="460">
        <v>0</v>
      </c>
      <c r="AW15" s="460">
        <v>0</v>
      </c>
      <c r="AX15" s="460">
        <v>0</v>
      </c>
      <c r="AY15" s="460">
        <v>0</v>
      </c>
      <c r="AZ15" s="460">
        <v>0</v>
      </c>
      <c r="BA15" s="460">
        <v>0</v>
      </c>
      <c r="BB15" s="460">
        <v>0</v>
      </c>
      <c r="BC15" s="460">
        <v>0</v>
      </c>
      <c r="BD15" s="460">
        <v>0</v>
      </c>
      <c r="BE15" s="460">
        <v>0</v>
      </c>
      <c r="BF15" s="460">
        <v>0</v>
      </c>
      <c r="BG15" s="460">
        <v>0</v>
      </c>
      <c r="BH15" s="460">
        <v>0</v>
      </c>
      <c r="BI15" s="460">
        <v>0</v>
      </c>
      <c r="BJ15" s="460">
        <v>0</v>
      </c>
      <c r="BK15" s="460">
        <v>0</v>
      </c>
      <c r="BL15" s="460">
        <v>0</v>
      </c>
      <c r="BM15" s="460">
        <v>0</v>
      </c>
      <c r="BN15" s="460">
        <v>0</v>
      </c>
      <c r="BO15" s="460">
        <v>0</v>
      </c>
      <c r="BP15" s="460">
        <v>0</v>
      </c>
      <c r="BQ15" s="460">
        <v>0</v>
      </c>
      <c r="BR15" s="460">
        <v>0</v>
      </c>
      <c r="BS15" s="460">
        <v>0</v>
      </c>
      <c r="BT15" s="460">
        <v>0</v>
      </c>
      <c r="BU15" s="460">
        <v>0</v>
      </c>
      <c r="BV15" s="460">
        <v>0</v>
      </c>
      <c r="BW15" s="460">
        <v>0</v>
      </c>
      <c r="BX15" s="460">
        <v>0</v>
      </c>
      <c r="BY15" s="460">
        <v>0</v>
      </c>
      <c r="BZ15" s="460">
        <v>0</v>
      </c>
      <c r="CA15" s="460" t="e">
        <v>#N/A</v>
      </c>
      <c r="CB15" s="460" t="e">
        <v>#N/A</v>
      </c>
      <c r="CC15" s="460" t="e">
        <v>#N/A</v>
      </c>
    </row>
    <row r="16" spans="1:81" ht="12.75" customHeight="1">
      <c r="A16" s="105">
        <v>11</v>
      </c>
      <c r="B16" s="458" t="str">
        <v>1M-7M</v>
      </c>
      <c r="C16" s="262">
        <f>'eur disaggregated'!U27</f>
        <v>-6699.8916370554998</v>
      </c>
      <c r="D16" s="111" t="str">
        <f t="shared" si="2"/>
        <v>6M</v>
      </c>
      <c r="E16" s="441">
        <f>BktEur6mPL!E16</f>
        <v>42726</v>
      </c>
      <c r="F16" s="441">
        <f>BktEur6mPL!F16</f>
        <v>42908</v>
      </c>
      <c r="G16" s="462">
        <f t="shared" si="1"/>
        <v>-2.0599999999999998E-3</v>
      </c>
      <c r="H16" s="453">
        <f>BktEur6mPL!H16</f>
        <v>-0.20599999999999999</v>
      </c>
      <c r="I16" s="107" t="str">
        <v>5M</v>
      </c>
      <c r="J16" s="106" t="str">
        <f>IF(LEN(I16)&gt;0,IF((MID(I16,4,1)=" "),#REF!,IF((LEN(I16)=8),DATE("20" &amp; RIGHT(I16,2),MID(I16,4,2),LEFT(I16,2)),SimplifyTenor(I16))),"")</f>
        <v>5M</v>
      </c>
      <c r="K16" s="448">
        <f>_xll.qlCalendarAdvance("TARGET",SettlementDate,J16)</f>
        <v>42849</v>
      </c>
      <c r="M16" s="99" t="str">
        <v>5M</v>
      </c>
      <c r="N16" s="465">
        <v>-21220.722159092442</v>
      </c>
      <c r="P16" s="106" t="b">
        <f t="shared" si="0"/>
        <v>0</v>
      </c>
      <c r="Q16" s="460">
        <f t="array" ref="Q16:CC16">C16*ForwardToZero(OisBuckets,E16,F16,G16)</f>
        <v>0</v>
      </c>
      <c r="R16" s="460">
        <v>0</v>
      </c>
      <c r="S16" s="460">
        <v>0</v>
      </c>
      <c r="T16" s="460">
        <v>0</v>
      </c>
      <c r="U16" s="460">
        <v>0</v>
      </c>
      <c r="V16" s="460">
        <v>0</v>
      </c>
      <c r="W16" s="460">
        <v>1251.6281080213573</v>
      </c>
      <c r="X16" s="460">
        <v>0</v>
      </c>
      <c r="Y16" s="460">
        <v>0</v>
      </c>
      <c r="Z16" s="460">
        <v>0</v>
      </c>
      <c r="AA16" s="460">
        <v>0</v>
      </c>
      <c r="AB16" s="460">
        <v>0</v>
      </c>
      <c r="AC16" s="460">
        <v>-7951.5197450768574</v>
      </c>
      <c r="AD16" s="460">
        <v>0</v>
      </c>
      <c r="AE16" s="460">
        <v>0</v>
      </c>
      <c r="AF16" s="460">
        <v>0</v>
      </c>
      <c r="AG16" s="460">
        <v>0</v>
      </c>
      <c r="AH16" s="460">
        <v>0</v>
      </c>
      <c r="AI16" s="460">
        <v>0</v>
      </c>
      <c r="AJ16" s="460">
        <v>0</v>
      </c>
      <c r="AK16" s="460">
        <v>0</v>
      </c>
      <c r="AL16" s="460">
        <v>0</v>
      </c>
      <c r="AM16" s="460">
        <v>0</v>
      </c>
      <c r="AN16" s="460">
        <v>0</v>
      </c>
      <c r="AO16" s="460">
        <v>0</v>
      </c>
      <c r="AP16" s="460">
        <v>0</v>
      </c>
      <c r="AQ16" s="460">
        <v>0</v>
      </c>
      <c r="AR16" s="460">
        <v>0</v>
      </c>
      <c r="AS16" s="460">
        <v>0</v>
      </c>
      <c r="AT16" s="460">
        <v>0</v>
      </c>
      <c r="AU16" s="460">
        <v>0</v>
      </c>
      <c r="AV16" s="460">
        <v>0</v>
      </c>
      <c r="AW16" s="460">
        <v>0</v>
      </c>
      <c r="AX16" s="460">
        <v>0</v>
      </c>
      <c r="AY16" s="460">
        <v>0</v>
      </c>
      <c r="AZ16" s="460">
        <v>0</v>
      </c>
      <c r="BA16" s="460">
        <v>0</v>
      </c>
      <c r="BB16" s="460">
        <v>0</v>
      </c>
      <c r="BC16" s="460">
        <v>0</v>
      </c>
      <c r="BD16" s="460">
        <v>0</v>
      </c>
      <c r="BE16" s="460">
        <v>0</v>
      </c>
      <c r="BF16" s="460">
        <v>0</v>
      </c>
      <c r="BG16" s="460">
        <v>0</v>
      </c>
      <c r="BH16" s="460">
        <v>0</v>
      </c>
      <c r="BI16" s="460">
        <v>0</v>
      </c>
      <c r="BJ16" s="460">
        <v>0</v>
      </c>
      <c r="BK16" s="460">
        <v>0</v>
      </c>
      <c r="BL16" s="460">
        <v>0</v>
      </c>
      <c r="BM16" s="460">
        <v>0</v>
      </c>
      <c r="BN16" s="460">
        <v>0</v>
      </c>
      <c r="BO16" s="460">
        <v>0</v>
      </c>
      <c r="BP16" s="460">
        <v>0</v>
      </c>
      <c r="BQ16" s="460">
        <v>0</v>
      </c>
      <c r="BR16" s="460">
        <v>0</v>
      </c>
      <c r="BS16" s="460">
        <v>0</v>
      </c>
      <c r="BT16" s="460">
        <v>0</v>
      </c>
      <c r="BU16" s="460">
        <v>0</v>
      </c>
      <c r="BV16" s="460">
        <v>0</v>
      </c>
      <c r="BW16" s="460">
        <v>0</v>
      </c>
      <c r="BX16" s="460">
        <v>0</v>
      </c>
      <c r="BY16" s="460">
        <v>0</v>
      </c>
      <c r="BZ16" s="460">
        <v>0</v>
      </c>
      <c r="CA16" s="460" t="e">
        <v>#N/A</v>
      </c>
      <c r="CB16" s="460" t="e">
        <v>#N/A</v>
      </c>
      <c r="CC16" s="460" t="e">
        <v>#N/A</v>
      </c>
    </row>
    <row r="17" spans="1:81" ht="12.75" customHeight="1">
      <c r="A17" s="105">
        <v>12</v>
      </c>
      <c r="B17" s="458" t="str">
        <v>2M-8M</v>
      </c>
      <c r="C17" s="262">
        <f>'eur disaggregated'!U28</f>
        <v>855.93064831926995</v>
      </c>
      <c r="D17" s="111" t="str">
        <f t="shared" si="2"/>
        <v>6M</v>
      </c>
      <c r="E17" s="441">
        <f>BktEur6mPL!E17</f>
        <v>42758</v>
      </c>
      <c r="F17" s="441">
        <f>BktEur6mPL!F17</f>
        <v>42940</v>
      </c>
      <c r="G17" s="462">
        <f t="shared" si="1"/>
        <v>-1.98E-3</v>
      </c>
      <c r="H17" s="453">
        <f>BktEur6mPL!H17</f>
        <v>-0.19800000000000001</v>
      </c>
      <c r="I17" s="107" t="str">
        <v>6M</v>
      </c>
      <c r="J17" s="106" t="str">
        <f>IF(LEN(I17)&gt;0,IF((MID(I17,4,1)=" "),#REF!,IF((LEN(I17)=8),DATE("20" &amp; RIGHT(I17,2),MID(I17,4,2),LEFT(I17,2)),SimplifyTenor(I17))),"")</f>
        <v>6M</v>
      </c>
      <c r="K17" s="448">
        <f>_xll.qlCalendarAdvance("TARGET",SettlementDate,J17)</f>
        <v>42877</v>
      </c>
      <c r="M17" s="99" t="str">
        <v>6M</v>
      </c>
      <c r="N17" s="465">
        <v>-12403.997784182295</v>
      </c>
      <c r="P17" s="106" t="b">
        <f t="shared" si="0"/>
        <v>0</v>
      </c>
      <c r="Q17" s="460">
        <f t="array" ref="Q17:CC17">C17*ForwardToZero(OisBuckets,E17,F17,G17)</f>
        <v>0</v>
      </c>
      <c r="R17" s="460">
        <v>0</v>
      </c>
      <c r="S17" s="460">
        <v>0</v>
      </c>
      <c r="T17" s="460">
        <v>0</v>
      </c>
      <c r="U17" s="460">
        <v>0</v>
      </c>
      <c r="V17" s="460">
        <v>0</v>
      </c>
      <c r="W17" s="460">
        <v>0</v>
      </c>
      <c r="X17" s="460">
        <v>-310.39243290698801</v>
      </c>
      <c r="Y17" s="460">
        <v>0</v>
      </c>
      <c r="Z17" s="460">
        <v>0</v>
      </c>
      <c r="AA17" s="460">
        <v>0</v>
      </c>
      <c r="AB17" s="460">
        <v>0</v>
      </c>
      <c r="AC17" s="460">
        <v>0</v>
      </c>
      <c r="AD17" s="460">
        <v>1166.323081226258</v>
      </c>
      <c r="AE17" s="460">
        <v>0</v>
      </c>
      <c r="AF17" s="460">
        <v>0</v>
      </c>
      <c r="AG17" s="460">
        <v>0</v>
      </c>
      <c r="AH17" s="460">
        <v>0</v>
      </c>
      <c r="AI17" s="460">
        <v>0</v>
      </c>
      <c r="AJ17" s="460">
        <v>0</v>
      </c>
      <c r="AK17" s="460">
        <v>0</v>
      </c>
      <c r="AL17" s="460">
        <v>0</v>
      </c>
      <c r="AM17" s="460">
        <v>0</v>
      </c>
      <c r="AN17" s="460">
        <v>0</v>
      </c>
      <c r="AO17" s="460">
        <v>0</v>
      </c>
      <c r="AP17" s="460">
        <v>0</v>
      </c>
      <c r="AQ17" s="460">
        <v>0</v>
      </c>
      <c r="AR17" s="460">
        <v>0</v>
      </c>
      <c r="AS17" s="460">
        <v>0</v>
      </c>
      <c r="AT17" s="460">
        <v>0</v>
      </c>
      <c r="AU17" s="460">
        <v>0</v>
      </c>
      <c r="AV17" s="460">
        <v>0</v>
      </c>
      <c r="AW17" s="460">
        <v>0</v>
      </c>
      <c r="AX17" s="460">
        <v>0</v>
      </c>
      <c r="AY17" s="460">
        <v>0</v>
      </c>
      <c r="AZ17" s="460">
        <v>0</v>
      </c>
      <c r="BA17" s="460">
        <v>0</v>
      </c>
      <c r="BB17" s="460">
        <v>0</v>
      </c>
      <c r="BC17" s="460">
        <v>0</v>
      </c>
      <c r="BD17" s="460">
        <v>0</v>
      </c>
      <c r="BE17" s="460">
        <v>0</v>
      </c>
      <c r="BF17" s="460">
        <v>0</v>
      </c>
      <c r="BG17" s="460">
        <v>0</v>
      </c>
      <c r="BH17" s="460">
        <v>0</v>
      </c>
      <c r="BI17" s="460">
        <v>0</v>
      </c>
      <c r="BJ17" s="460">
        <v>0</v>
      </c>
      <c r="BK17" s="460">
        <v>0</v>
      </c>
      <c r="BL17" s="460">
        <v>0</v>
      </c>
      <c r="BM17" s="460">
        <v>0</v>
      </c>
      <c r="BN17" s="460">
        <v>0</v>
      </c>
      <c r="BO17" s="460">
        <v>0</v>
      </c>
      <c r="BP17" s="460">
        <v>0</v>
      </c>
      <c r="BQ17" s="460">
        <v>0</v>
      </c>
      <c r="BR17" s="460">
        <v>0</v>
      </c>
      <c r="BS17" s="460">
        <v>0</v>
      </c>
      <c r="BT17" s="460">
        <v>0</v>
      </c>
      <c r="BU17" s="460">
        <v>0</v>
      </c>
      <c r="BV17" s="460">
        <v>0</v>
      </c>
      <c r="BW17" s="460">
        <v>0</v>
      </c>
      <c r="BX17" s="460">
        <v>0</v>
      </c>
      <c r="BY17" s="460">
        <v>0</v>
      </c>
      <c r="BZ17" s="460">
        <v>0</v>
      </c>
      <c r="CA17" s="460" t="e">
        <v>#N/A</v>
      </c>
      <c r="CB17" s="460" t="e">
        <v>#N/A</v>
      </c>
      <c r="CC17" s="460" t="e">
        <v>#N/A</v>
      </c>
    </row>
    <row r="18" spans="1:81" ht="12.75" customHeight="1">
      <c r="A18" s="105">
        <v>13</v>
      </c>
      <c r="B18" s="458" t="str">
        <v>3M-9M</v>
      </c>
      <c r="C18" s="262">
        <f>'eur disaggregated'!U29</f>
        <v>2129.6546420916902</v>
      </c>
      <c r="D18" s="111" t="str">
        <f t="shared" si="2"/>
        <v>6M</v>
      </c>
      <c r="E18" s="441">
        <f>BktEur6mPL!E18</f>
        <v>42788</v>
      </c>
      <c r="F18" s="441">
        <f>BktEur6mPL!F18</f>
        <v>42969</v>
      </c>
      <c r="G18" s="462">
        <f t="shared" si="1"/>
        <v>-1.91E-3</v>
      </c>
      <c r="H18" s="453">
        <f>BktEur6mPL!H18</f>
        <v>-0.191</v>
      </c>
      <c r="I18" s="107" t="str">
        <v>7M</v>
      </c>
      <c r="J18" s="106" t="str">
        <f>IF(LEN(I18)&gt;0,IF((MID(I18,4,1)=" "),#REF!,IF((LEN(I18)=8),DATE("20" &amp; RIGHT(I18,2),MID(I18,4,2),LEFT(I18,2)),SimplifyTenor(I18))),"")</f>
        <v>7M</v>
      </c>
      <c r="K18" s="448">
        <f>_xll.qlCalendarAdvance("TARGET",SettlementDate,J18)</f>
        <v>42908</v>
      </c>
      <c r="M18" s="99" t="str">
        <v>7M</v>
      </c>
      <c r="N18" s="465">
        <v>2739.965977135249</v>
      </c>
      <c r="P18" s="106" t="b">
        <f t="shared" si="0"/>
        <v>0</v>
      </c>
      <c r="Q18" s="460">
        <f t="array" ref="Q18:CC18">C18*ForwardToZero(OisBuckets,E18,F18,G18)</f>
        <v>0</v>
      </c>
      <c r="R18" s="460">
        <v>0</v>
      </c>
      <c r="S18" s="460">
        <v>0</v>
      </c>
      <c r="T18" s="460">
        <v>0</v>
      </c>
      <c r="U18" s="460">
        <v>0</v>
      </c>
      <c r="V18" s="460">
        <v>0</v>
      </c>
      <c r="W18" s="460">
        <v>0</v>
      </c>
      <c r="X18" s="460">
        <v>0</v>
      </c>
      <c r="Y18" s="460">
        <v>-1129.5405836508412</v>
      </c>
      <c r="Z18" s="460">
        <v>0</v>
      </c>
      <c r="AA18" s="460">
        <v>0</v>
      </c>
      <c r="AB18" s="460">
        <v>0</v>
      </c>
      <c r="AC18" s="460">
        <v>0</v>
      </c>
      <c r="AD18" s="460">
        <v>0</v>
      </c>
      <c r="AE18" s="460">
        <v>3259.1952257425314</v>
      </c>
      <c r="AF18" s="460">
        <v>0</v>
      </c>
      <c r="AG18" s="460">
        <v>0</v>
      </c>
      <c r="AH18" s="460">
        <v>0</v>
      </c>
      <c r="AI18" s="460">
        <v>0</v>
      </c>
      <c r="AJ18" s="460">
        <v>0</v>
      </c>
      <c r="AK18" s="460">
        <v>0</v>
      </c>
      <c r="AL18" s="460">
        <v>0</v>
      </c>
      <c r="AM18" s="460">
        <v>0</v>
      </c>
      <c r="AN18" s="460">
        <v>0</v>
      </c>
      <c r="AO18" s="460">
        <v>0</v>
      </c>
      <c r="AP18" s="460">
        <v>0</v>
      </c>
      <c r="AQ18" s="460">
        <v>0</v>
      </c>
      <c r="AR18" s="460">
        <v>0</v>
      </c>
      <c r="AS18" s="460">
        <v>0</v>
      </c>
      <c r="AT18" s="460">
        <v>0</v>
      </c>
      <c r="AU18" s="460">
        <v>0</v>
      </c>
      <c r="AV18" s="460">
        <v>0</v>
      </c>
      <c r="AW18" s="460">
        <v>0</v>
      </c>
      <c r="AX18" s="460">
        <v>0</v>
      </c>
      <c r="AY18" s="460">
        <v>0</v>
      </c>
      <c r="AZ18" s="460">
        <v>0</v>
      </c>
      <c r="BA18" s="460">
        <v>0</v>
      </c>
      <c r="BB18" s="460">
        <v>0</v>
      </c>
      <c r="BC18" s="460">
        <v>0</v>
      </c>
      <c r="BD18" s="460">
        <v>0</v>
      </c>
      <c r="BE18" s="460">
        <v>0</v>
      </c>
      <c r="BF18" s="460">
        <v>0</v>
      </c>
      <c r="BG18" s="460">
        <v>0</v>
      </c>
      <c r="BH18" s="460">
        <v>0</v>
      </c>
      <c r="BI18" s="460">
        <v>0</v>
      </c>
      <c r="BJ18" s="460">
        <v>0</v>
      </c>
      <c r="BK18" s="460">
        <v>0</v>
      </c>
      <c r="BL18" s="460">
        <v>0</v>
      </c>
      <c r="BM18" s="460">
        <v>0</v>
      </c>
      <c r="BN18" s="460">
        <v>0</v>
      </c>
      <c r="BO18" s="460">
        <v>0</v>
      </c>
      <c r="BP18" s="460">
        <v>0</v>
      </c>
      <c r="BQ18" s="460">
        <v>0</v>
      </c>
      <c r="BR18" s="460">
        <v>0</v>
      </c>
      <c r="BS18" s="460">
        <v>0</v>
      </c>
      <c r="BT18" s="460">
        <v>0</v>
      </c>
      <c r="BU18" s="460">
        <v>0</v>
      </c>
      <c r="BV18" s="460">
        <v>0</v>
      </c>
      <c r="BW18" s="460">
        <v>0</v>
      </c>
      <c r="BX18" s="460">
        <v>0</v>
      </c>
      <c r="BY18" s="460">
        <v>0</v>
      </c>
      <c r="BZ18" s="460">
        <v>0</v>
      </c>
      <c r="CA18" s="460" t="e">
        <v>#N/A</v>
      </c>
      <c r="CB18" s="460" t="e">
        <v>#N/A</v>
      </c>
      <c r="CC18" s="460" t="e">
        <v>#N/A</v>
      </c>
    </row>
    <row r="19" spans="1:81" ht="12.75" customHeight="1">
      <c r="A19" s="105">
        <v>14</v>
      </c>
      <c r="B19" s="458" t="str">
        <v>4M-10M</v>
      </c>
      <c r="C19" s="262">
        <f>'eur disaggregated'!U30</f>
        <v>-6285.32933753208</v>
      </c>
      <c r="D19" s="111" t="str">
        <f t="shared" si="2"/>
        <v>6M</v>
      </c>
      <c r="E19" s="441">
        <f>BktEur6mPL!E19</f>
        <v>42816</v>
      </c>
      <c r="F19" s="441">
        <f>BktEur6mPL!F19</f>
        <v>43000</v>
      </c>
      <c r="G19" s="462">
        <f t="shared" si="1"/>
        <v>-1.83E-3</v>
      </c>
      <c r="H19" s="453">
        <f>BktEur6mPL!H19</f>
        <v>-0.183</v>
      </c>
      <c r="I19" s="107" t="str">
        <v>8M</v>
      </c>
      <c r="J19" s="106" t="str">
        <f>IF(LEN(I19)&gt;0,IF((MID(I19,4,1)=" "),#REF!,IF((LEN(I19)=8),DATE("20" &amp; RIGHT(I19,2),MID(I19,4,2),LEFT(I19,2)),SimplifyTenor(I19))),"")</f>
        <v>8M</v>
      </c>
      <c r="K19" s="448">
        <f>_xll.qlCalendarAdvance("TARGET",SettlementDate,J19)</f>
        <v>42940</v>
      </c>
      <c r="M19" s="99" t="str">
        <v>8M</v>
      </c>
      <c r="N19" s="465">
        <v>2419.4814809137583</v>
      </c>
      <c r="P19" s="106" t="b">
        <f t="shared" si="0"/>
        <v>0</v>
      </c>
      <c r="Q19" s="460">
        <f t="array" ref="Q19:CC19">C19*ForwardToZero(OisBuckets,E19,F19,G19)</f>
        <v>0</v>
      </c>
      <c r="R19" s="460">
        <v>0</v>
      </c>
      <c r="S19" s="460">
        <v>0</v>
      </c>
      <c r="T19" s="460">
        <v>0</v>
      </c>
      <c r="U19" s="460">
        <v>0</v>
      </c>
      <c r="V19" s="460">
        <v>0</v>
      </c>
      <c r="W19" s="460">
        <v>0</v>
      </c>
      <c r="X19" s="460">
        <v>0</v>
      </c>
      <c r="Y19" s="460">
        <v>0</v>
      </c>
      <c r="Z19" s="460">
        <v>4235.7654231194456</v>
      </c>
      <c r="AA19" s="460">
        <v>0</v>
      </c>
      <c r="AB19" s="460">
        <v>0</v>
      </c>
      <c r="AC19" s="460">
        <v>0</v>
      </c>
      <c r="AD19" s="460">
        <v>0</v>
      </c>
      <c r="AE19" s="460">
        <v>0</v>
      </c>
      <c r="AF19" s="460">
        <v>-10521.094760651526</v>
      </c>
      <c r="AG19" s="460">
        <v>0</v>
      </c>
      <c r="AH19" s="460">
        <v>0</v>
      </c>
      <c r="AI19" s="460">
        <v>0</v>
      </c>
      <c r="AJ19" s="460">
        <v>0</v>
      </c>
      <c r="AK19" s="460">
        <v>0</v>
      </c>
      <c r="AL19" s="460">
        <v>0</v>
      </c>
      <c r="AM19" s="460">
        <v>0</v>
      </c>
      <c r="AN19" s="460">
        <v>0</v>
      </c>
      <c r="AO19" s="460">
        <v>0</v>
      </c>
      <c r="AP19" s="460">
        <v>0</v>
      </c>
      <c r="AQ19" s="460">
        <v>0</v>
      </c>
      <c r="AR19" s="460">
        <v>0</v>
      </c>
      <c r="AS19" s="460">
        <v>0</v>
      </c>
      <c r="AT19" s="460">
        <v>0</v>
      </c>
      <c r="AU19" s="460">
        <v>0</v>
      </c>
      <c r="AV19" s="460">
        <v>0</v>
      </c>
      <c r="AW19" s="460">
        <v>0</v>
      </c>
      <c r="AX19" s="460">
        <v>0</v>
      </c>
      <c r="AY19" s="460">
        <v>0</v>
      </c>
      <c r="AZ19" s="460">
        <v>0</v>
      </c>
      <c r="BA19" s="460">
        <v>0</v>
      </c>
      <c r="BB19" s="460">
        <v>0</v>
      </c>
      <c r="BC19" s="460">
        <v>0</v>
      </c>
      <c r="BD19" s="460">
        <v>0</v>
      </c>
      <c r="BE19" s="460">
        <v>0</v>
      </c>
      <c r="BF19" s="460">
        <v>0</v>
      </c>
      <c r="BG19" s="460">
        <v>0</v>
      </c>
      <c r="BH19" s="460">
        <v>0</v>
      </c>
      <c r="BI19" s="460">
        <v>0</v>
      </c>
      <c r="BJ19" s="460">
        <v>0</v>
      </c>
      <c r="BK19" s="460">
        <v>0</v>
      </c>
      <c r="BL19" s="460">
        <v>0</v>
      </c>
      <c r="BM19" s="460">
        <v>0</v>
      </c>
      <c r="BN19" s="460">
        <v>0</v>
      </c>
      <c r="BO19" s="460">
        <v>0</v>
      </c>
      <c r="BP19" s="460">
        <v>0</v>
      </c>
      <c r="BQ19" s="460">
        <v>0</v>
      </c>
      <c r="BR19" s="460">
        <v>0</v>
      </c>
      <c r="BS19" s="460">
        <v>0</v>
      </c>
      <c r="BT19" s="460">
        <v>0</v>
      </c>
      <c r="BU19" s="460">
        <v>0</v>
      </c>
      <c r="BV19" s="460">
        <v>0</v>
      </c>
      <c r="BW19" s="460">
        <v>0</v>
      </c>
      <c r="BX19" s="460">
        <v>0</v>
      </c>
      <c r="BY19" s="460">
        <v>0</v>
      </c>
      <c r="BZ19" s="460">
        <v>0</v>
      </c>
      <c r="CA19" s="460" t="e">
        <v>#N/A</v>
      </c>
      <c r="CB19" s="460" t="e">
        <v>#N/A</v>
      </c>
      <c r="CC19" s="460" t="e">
        <v>#N/A</v>
      </c>
    </row>
    <row r="20" spans="1:81" ht="12.75" customHeight="1">
      <c r="A20" s="105">
        <v>15</v>
      </c>
      <c r="B20" s="458" t="str">
        <v>5M-11M</v>
      </c>
      <c r="C20" s="262">
        <f>'eur disaggregated'!U31</f>
        <v>3221.1032434711901</v>
      </c>
      <c r="D20" s="111" t="str">
        <f t="shared" si="2"/>
        <v>6M</v>
      </c>
      <c r="E20" s="441">
        <f>BktEur6mPL!E20</f>
        <v>42849</v>
      </c>
      <c r="F20" s="441">
        <f>BktEur6mPL!F20</f>
        <v>43031</v>
      </c>
      <c r="G20" s="462">
        <f t="shared" si="1"/>
        <v>-1.7499999999999998E-3</v>
      </c>
      <c r="H20" s="453">
        <f>BktEur6mPL!H20</f>
        <v>-0.17499999999999999</v>
      </c>
      <c r="I20" s="107" t="str">
        <v>9M</v>
      </c>
      <c r="J20" s="106" t="str">
        <f>IF(LEN(I20)&gt;0,IF((MID(I20,4,1)=" "),#REF!,IF((LEN(I20)=8),DATE("20" &amp; RIGHT(I20,2),MID(I20,4,2),LEFT(I20,2)),SimplifyTenor(I20))),"")</f>
        <v>9M</v>
      </c>
      <c r="K20" s="448">
        <f>_xll.qlCalendarAdvance("TARGET",SettlementDate,J20)</f>
        <v>42969</v>
      </c>
      <c r="M20" s="99" t="str">
        <v>9M</v>
      </c>
      <c r="N20" s="465">
        <v>6817.6486287466923</v>
      </c>
      <c r="P20" s="106" t="b">
        <f t="shared" si="0"/>
        <v>0</v>
      </c>
      <c r="Q20" s="460">
        <f t="array" ref="Q20:CC20">C20*ForwardToZero(OisBuckets,E20,F20,G20)</f>
        <v>0</v>
      </c>
      <c r="R20" s="460">
        <v>0</v>
      </c>
      <c r="S20" s="460">
        <v>0</v>
      </c>
      <c r="T20" s="460">
        <v>0</v>
      </c>
      <c r="U20" s="460">
        <v>0</v>
      </c>
      <c r="V20" s="460">
        <v>0</v>
      </c>
      <c r="W20" s="460">
        <v>0</v>
      </c>
      <c r="X20" s="460">
        <v>0</v>
      </c>
      <c r="Y20" s="460">
        <v>0</v>
      </c>
      <c r="Z20" s="460">
        <v>0</v>
      </c>
      <c r="AA20" s="460">
        <v>-2778.6440067306421</v>
      </c>
      <c r="AB20" s="460">
        <v>0</v>
      </c>
      <c r="AC20" s="460">
        <v>0</v>
      </c>
      <c r="AD20" s="460">
        <v>0</v>
      </c>
      <c r="AE20" s="460">
        <v>0</v>
      </c>
      <c r="AF20" s="460">
        <v>0</v>
      </c>
      <c r="AG20" s="460">
        <v>5999.7472502018327</v>
      </c>
      <c r="AH20" s="460">
        <v>0</v>
      </c>
      <c r="AI20" s="460">
        <v>0</v>
      </c>
      <c r="AJ20" s="460">
        <v>0</v>
      </c>
      <c r="AK20" s="460">
        <v>0</v>
      </c>
      <c r="AL20" s="460">
        <v>0</v>
      </c>
      <c r="AM20" s="460">
        <v>0</v>
      </c>
      <c r="AN20" s="460">
        <v>0</v>
      </c>
      <c r="AO20" s="460">
        <v>0</v>
      </c>
      <c r="AP20" s="460">
        <v>0</v>
      </c>
      <c r="AQ20" s="460">
        <v>0</v>
      </c>
      <c r="AR20" s="460">
        <v>0</v>
      </c>
      <c r="AS20" s="460">
        <v>0</v>
      </c>
      <c r="AT20" s="460">
        <v>0</v>
      </c>
      <c r="AU20" s="460">
        <v>0</v>
      </c>
      <c r="AV20" s="460">
        <v>0</v>
      </c>
      <c r="AW20" s="460">
        <v>0</v>
      </c>
      <c r="AX20" s="460">
        <v>0</v>
      </c>
      <c r="AY20" s="460">
        <v>0</v>
      </c>
      <c r="AZ20" s="460">
        <v>0</v>
      </c>
      <c r="BA20" s="460">
        <v>0</v>
      </c>
      <c r="BB20" s="460">
        <v>0</v>
      </c>
      <c r="BC20" s="460">
        <v>0</v>
      </c>
      <c r="BD20" s="460">
        <v>0</v>
      </c>
      <c r="BE20" s="460">
        <v>0</v>
      </c>
      <c r="BF20" s="460">
        <v>0</v>
      </c>
      <c r="BG20" s="460">
        <v>0</v>
      </c>
      <c r="BH20" s="460">
        <v>0</v>
      </c>
      <c r="BI20" s="460">
        <v>0</v>
      </c>
      <c r="BJ20" s="460">
        <v>0</v>
      </c>
      <c r="BK20" s="460">
        <v>0</v>
      </c>
      <c r="BL20" s="460">
        <v>0</v>
      </c>
      <c r="BM20" s="460">
        <v>0</v>
      </c>
      <c r="BN20" s="460">
        <v>0</v>
      </c>
      <c r="BO20" s="460">
        <v>0</v>
      </c>
      <c r="BP20" s="460">
        <v>0</v>
      </c>
      <c r="BQ20" s="460">
        <v>0</v>
      </c>
      <c r="BR20" s="460">
        <v>0</v>
      </c>
      <c r="BS20" s="460">
        <v>0</v>
      </c>
      <c r="BT20" s="460">
        <v>0</v>
      </c>
      <c r="BU20" s="460">
        <v>0</v>
      </c>
      <c r="BV20" s="460">
        <v>0</v>
      </c>
      <c r="BW20" s="460">
        <v>0</v>
      </c>
      <c r="BX20" s="460">
        <v>0</v>
      </c>
      <c r="BY20" s="460">
        <v>0</v>
      </c>
      <c r="BZ20" s="460">
        <v>0</v>
      </c>
      <c r="CA20" s="460" t="e">
        <v>#N/A</v>
      </c>
      <c r="CB20" s="460" t="e">
        <v>#N/A</v>
      </c>
      <c r="CC20" s="460" t="e">
        <v>#N/A</v>
      </c>
    </row>
    <row r="21" spans="1:81" ht="12.75" customHeight="1">
      <c r="A21" s="105">
        <v>16</v>
      </c>
      <c r="B21" s="458" t="str">
        <v>6M-12M</v>
      </c>
      <c r="C21" s="262">
        <f>'eur disaggregated'!U32</f>
        <v>5366.3859644025697</v>
      </c>
      <c r="D21" s="111" t="str">
        <f t="shared" si="2"/>
        <v>6M</v>
      </c>
      <c r="E21" s="441">
        <f>BktEur6mPL!E21</f>
        <v>42877</v>
      </c>
      <c r="F21" s="441">
        <f>BktEur6mPL!F21</f>
        <v>43061</v>
      </c>
      <c r="G21" s="462">
        <f t="shared" si="1"/>
        <v>-1.67E-3</v>
      </c>
      <c r="H21" s="453">
        <f>BktEur6mPL!H21</f>
        <v>-0.16700000000000001</v>
      </c>
      <c r="I21" s="107" t="str">
        <v>10M</v>
      </c>
      <c r="J21" s="106" t="str">
        <f>IF(LEN(I21)&gt;0,IF((MID(I21,4,1)=" "),#REF!,IF((LEN(I21)=8),DATE("20" &amp; RIGHT(I21,2),MID(I21,4,2),LEFT(I21,2)),SimplifyTenor(I21))),"")</f>
        <v>10M</v>
      </c>
      <c r="K21" s="448">
        <f>_xll.qlCalendarAdvance("TARGET",SettlementDate,J21)</f>
        <v>43000</v>
      </c>
      <c r="M21" s="99" t="str">
        <v>10M</v>
      </c>
      <c r="N21" s="465">
        <v>1026.0607092713253</v>
      </c>
      <c r="P21" s="106" t="b">
        <f t="shared" si="0"/>
        <v>0</v>
      </c>
      <c r="Q21" s="460">
        <f t="array" ref="Q21:CC21">C21*ForwardToZero(OisBuckets,E21,F21,G21)</f>
        <v>0</v>
      </c>
      <c r="R21" s="460">
        <v>0</v>
      </c>
      <c r="S21" s="460">
        <v>0</v>
      </c>
      <c r="T21" s="460">
        <v>0</v>
      </c>
      <c r="U21" s="460">
        <v>0</v>
      </c>
      <c r="V21" s="460">
        <v>0</v>
      </c>
      <c r="W21" s="460">
        <v>0</v>
      </c>
      <c r="X21" s="460">
        <v>0</v>
      </c>
      <c r="Y21" s="460">
        <v>0</v>
      </c>
      <c r="Z21" s="460">
        <v>0</v>
      </c>
      <c r="AA21" s="460">
        <v>0</v>
      </c>
      <c r="AB21" s="460">
        <v>-5395.5511055134539</v>
      </c>
      <c r="AC21" s="460">
        <v>0</v>
      </c>
      <c r="AD21" s="460">
        <v>0</v>
      </c>
      <c r="AE21" s="460">
        <v>0</v>
      </c>
      <c r="AF21" s="460">
        <v>0</v>
      </c>
      <c r="AG21" s="460">
        <v>0</v>
      </c>
      <c r="AH21" s="460">
        <v>10761.937069916024</v>
      </c>
      <c r="AI21" s="460">
        <v>0</v>
      </c>
      <c r="AJ21" s="460">
        <v>0</v>
      </c>
      <c r="AK21" s="460">
        <v>0</v>
      </c>
      <c r="AL21" s="460">
        <v>0</v>
      </c>
      <c r="AM21" s="460">
        <v>0</v>
      </c>
      <c r="AN21" s="460">
        <v>0</v>
      </c>
      <c r="AO21" s="460">
        <v>0</v>
      </c>
      <c r="AP21" s="460">
        <v>0</v>
      </c>
      <c r="AQ21" s="460">
        <v>0</v>
      </c>
      <c r="AR21" s="460">
        <v>0</v>
      </c>
      <c r="AS21" s="460">
        <v>0</v>
      </c>
      <c r="AT21" s="460">
        <v>0</v>
      </c>
      <c r="AU21" s="460">
        <v>0</v>
      </c>
      <c r="AV21" s="460">
        <v>0</v>
      </c>
      <c r="AW21" s="460">
        <v>0</v>
      </c>
      <c r="AX21" s="460">
        <v>0</v>
      </c>
      <c r="AY21" s="460">
        <v>0</v>
      </c>
      <c r="AZ21" s="460">
        <v>0</v>
      </c>
      <c r="BA21" s="460">
        <v>0</v>
      </c>
      <c r="BB21" s="460">
        <v>0</v>
      </c>
      <c r="BC21" s="460">
        <v>0</v>
      </c>
      <c r="BD21" s="460">
        <v>0</v>
      </c>
      <c r="BE21" s="460">
        <v>0</v>
      </c>
      <c r="BF21" s="460">
        <v>0</v>
      </c>
      <c r="BG21" s="460">
        <v>0</v>
      </c>
      <c r="BH21" s="460">
        <v>0</v>
      </c>
      <c r="BI21" s="460">
        <v>0</v>
      </c>
      <c r="BJ21" s="460">
        <v>0</v>
      </c>
      <c r="BK21" s="460">
        <v>0</v>
      </c>
      <c r="BL21" s="460">
        <v>0</v>
      </c>
      <c r="BM21" s="460">
        <v>0</v>
      </c>
      <c r="BN21" s="460">
        <v>0</v>
      </c>
      <c r="BO21" s="460">
        <v>0</v>
      </c>
      <c r="BP21" s="460">
        <v>0</v>
      </c>
      <c r="BQ21" s="460">
        <v>0</v>
      </c>
      <c r="BR21" s="460">
        <v>0</v>
      </c>
      <c r="BS21" s="460">
        <v>0</v>
      </c>
      <c r="BT21" s="460">
        <v>0</v>
      </c>
      <c r="BU21" s="460">
        <v>0</v>
      </c>
      <c r="BV21" s="460">
        <v>0</v>
      </c>
      <c r="BW21" s="460">
        <v>0</v>
      </c>
      <c r="BX21" s="460">
        <v>0</v>
      </c>
      <c r="BY21" s="460">
        <v>0</v>
      </c>
      <c r="BZ21" s="460">
        <v>0</v>
      </c>
      <c r="CA21" s="460" t="e">
        <v>#N/A</v>
      </c>
      <c r="CB21" s="460" t="e">
        <v>#N/A</v>
      </c>
      <c r="CC21" s="460" t="e">
        <v>#N/A</v>
      </c>
    </row>
    <row r="22" spans="1:81" ht="12.75" customHeight="1">
      <c r="A22" s="105">
        <v>17</v>
      </c>
      <c r="B22" s="458" t="str">
        <v>7M-13M</v>
      </c>
      <c r="C22" s="262">
        <f>'eur disaggregated'!U33</f>
        <v>-9058.0642924297008</v>
      </c>
      <c r="D22" s="111" t="str">
        <f t="shared" si="2"/>
        <v>6M</v>
      </c>
      <c r="E22" s="441">
        <f>BktEur6mPL!E22</f>
        <v>42908</v>
      </c>
      <c r="F22" s="441">
        <f>BktEur6mPL!F22</f>
        <v>43091</v>
      </c>
      <c r="G22" s="462">
        <f t="shared" si="1"/>
        <v>-1.6000000000000001E-3</v>
      </c>
      <c r="H22" s="453">
        <f>BktEur6mPL!H22</f>
        <v>-0.16</v>
      </c>
      <c r="I22" s="107" t="str">
        <v>11M</v>
      </c>
      <c r="J22" s="106" t="str">
        <f>IF(LEN(I22)&gt;0,IF((MID(I22,4,1)=" "),#REF!,IF((LEN(I22)=8),DATE("20" &amp; RIGHT(I22,2),MID(I22,4,2),LEFT(I22,2)),SimplifyTenor(I22))),"")</f>
        <v>11M</v>
      </c>
      <c r="K22" s="448">
        <f>_xll.qlCalendarAdvance("TARGET",SettlementDate,J22)</f>
        <v>43031</v>
      </c>
      <c r="M22" s="99" t="str">
        <v>11M</v>
      </c>
      <c r="N22" s="465">
        <v>-2050.0359117790058</v>
      </c>
      <c r="P22" s="106" t="b">
        <f t="shared" si="0"/>
        <v>0</v>
      </c>
      <c r="Q22" s="460">
        <f t="array" ref="Q22:CC22">C22*ForwardToZero(OisBuckets,E22,F22,G22)</f>
        <v>0</v>
      </c>
      <c r="R22" s="460">
        <v>0</v>
      </c>
      <c r="S22" s="460">
        <v>0</v>
      </c>
      <c r="T22" s="460">
        <v>0</v>
      </c>
      <c r="U22" s="460">
        <v>0</v>
      </c>
      <c r="V22" s="460">
        <v>0</v>
      </c>
      <c r="W22" s="460">
        <v>0</v>
      </c>
      <c r="X22" s="460">
        <v>0</v>
      </c>
      <c r="Y22" s="460">
        <v>0</v>
      </c>
      <c r="Z22" s="460">
        <v>0</v>
      </c>
      <c r="AA22" s="460">
        <v>0</v>
      </c>
      <c r="AB22" s="460">
        <v>0</v>
      </c>
      <c r="AC22" s="460">
        <v>10691.485722212106</v>
      </c>
      <c r="AD22" s="460">
        <v>0</v>
      </c>
      <c r="AE22" s="460">
        <v>0</v>
      </c>
      <c r="AF22" s="460">
        <v>0</v>
      </c>
      <c r="AG22" s="460">
        <v>0</v>
      </c>
      <c r="AH22" s="460">
        <v>0</v>
      </c>
      <c r="AI22" s="460">
        <v>-19749.550014641805</v>
      </c>
      <c r="AJ22" s="460">
        <v>0</v>
      </c>
      <c r="AK22" s="460">
        <v>0</v>
      </c>
      <c r="AL22" s="460">
        <v>0</v>
      </c>
      <c r="AM22" s="460">
        <v>0</v>
      </c>
      <c r="AN22" s="460">
        <v>0</v>
      </c>
      <c r="AO22" s="460">
        <v>0</v>
      </c>
      <c r="AP22" s="460">
        <v>0</v>
      </c>
      <c r="AQ22" s="460">
        <v>0</v>
      </c>
      <c r="AR22" s="460">
        <v>0</v>
      </c>
      <c r="AS22" s="460">
        <v>0</v>
      </c>
      <c r="AT22" s="460">
        <v>0</v>
      </c>
      <c r="AU22" s="460">
        <v>0</v>
      </c>
      <c r="AV22" s="460">
        <v>0</v>
      </c>
      <c r="AW22" s="460">
        <v>0</v>
      </c>
      <c r="AX22" s="460">
        <v>0</v>
      </c>
      <c r="AY22" s="460">
        <v>0</v>
      </c>
      <c r="AZ22" s="460">
        <v>0</v>
      </c>
      <c r="BA22" s="460">
        <v>0</v>
      </c>
      <c r="BB22" s="460">
        <v>0</v>
      </c>
      <c r="BC22" s="460">
        <v>0</v>
      </c>
      <c r="BD22" s="460">
        <v>0</v>
      </c>
      <c r="BE22" s="460">
        <v>0</v>
      </c>
      <c r="BF22" s="460">
        <v>0</v>
      </c>
      <c r="BG22" s="460">
        <v>0</v>
      </c>
      <c r="BH22" s="460">
        <v>0</v>
      </c>
      <c r="BI22" s="460">
        <v>0</v>
      </c>
      <c r="BJ22" s="460">
        <v>0</v>
      </c>
      <c r="BK22" s="460">
        <v>0</v>
      </c>
      <c r="BL22" s="460">
        <v>0</v>
      </c>
      <c r="BM22" s="460">
        <v>0</v>
      </c>
      <c r="BN22" s="460">
        <v>0</v>
      </c>
      <c r="BO22" s="460">
        <v>0</v>
      </c>
      <c r="BP22" s="460">
        <v>0</v>
      </c>
      <c r="BQ22" s="460">
        <v>0</v>
      </c>
      <c r="BR22" s="460">
        <v>0</v>
      </c>
      <c r="BS22" s="460">
        <v>0</v>
      </c>
      <c r="BT22" s="460">
        <v>0</v>
      </c>
      <c r="BU22" s="460">
        <v>0</v>
      </c>
      <c r="BV22" s="460">
        <v>0</v>
      </c>
      <c r="BW22" s="460">
        <v>0</v>
      </c>
      <c r="BX22" s="460">
        <v>0</v>
      </c>
      <c r="BY22" s="460">
        <v>0</v>
      </c>
      <c r="BZ22" s="460">
        <v>0</v>
      </c>
      <c r="CA22" s="460" t="e">
        <v>#N/A</v>
      </c>
      <c r="CB22" s="460" t="e">
        <v>#N/A</v>
      </c>
      <c r="CC22" s="460" t="e">
        <v>#N/A</v>
      </c>
    </row>
    <row r="23" spans="1:81" ht="12.75" customHeight="1">
      <c r="A23" s="105">
        <v>18</v>
      </c>
      <c r="B23" s="458" t="str">
        <v>8M-14M</v>
      </c>
      <c r="C23" s="262">
        <f>'eur disaggregated'!U34</f>
        <v>-919.65656751260099</v>
      </c>
      <c r="D23" s="111" t="str">
        <f t="shared" si="2"/>
        <v>6M</v>
      </c>
      <c r="E23" s="441">
        <f>BktEur6mPL!E23</f>
        <v>42940</v>
      </c>
      <c r="F23" s="441">
        <f>BktEur6mPL!F23</f>
        <v>43122</v>
      </c>
      <c r="G23" s="462">
        <f t="shared" si="1"/>
        <v>-1.5E-3</v>
      </c>
      <c r="H23" s="453">
        <f>BktEur6mPL!H23</f>
        <v>-0.15</v>
      </c>
      <c r="I23" s="107" t="str">
        <v>1Y</v>
      </c>
      <c r="J23" s="106" t="str">
        <f>IF(LEN(I23)&gt;0,IF((MID(I23,4,1)=" "),#REF!,IF((LEN(I23)=8),DATE("20" &amp; RIGHT(I23,2),MID(I23,4,2),LEFT(I23,2)),SimplifyTenor(I23))),"")</f>
        <v>12M</v>
      </c>
      <c r="K23" s="448">
        <f>_xll.qlCalendarAdvance("TARGET",SettlementDate,J23)</f>
        <v>43061</v>
      </c>
      <c r="M23" s="99" t="str">
        <v>1Y</v>
      </c>
      <c r="N23" s="465">
        <v>1435.3203779988235</v>
      </c>
      <c r="P23" s="106" t="b">
        <f t="shared" si="0"/>
        <v>0</v>
      </c>
      <c r="Q23" s="460">
        <f t="array" ref="Q23:CC23">C23*ForwardToZero(OisBuckets,E23,F23,G23)</f>
        <v>0</v>
      </c>
      <c r="R23" s="460">
        <v>0</v>
      </c>
      <c r="S23" s="460">
        <v>0</v>
      </c>
      <c r="T23" s="460">
        <v>0</v>
      </c>
      <c r="U23" s="460">
        <v>0</v>
      </c>
      <c r="V23" s="460">
        <v>0</v>
      </c>
      <c r="W23" s="460">
        <v>0</v>
      </c>
      <c r="X23" s="460">
        <v>0</v>
      </c>
      <c r="Y23" s="460">
        <v>0</v>
      </c>
      <c r="Z23" s="460">
        <v>0</v>
      </c>
      <c r="AA23" s="460">
        <v>0</v>
      </c>
      <c r="AB23" s="460">
        <v>0</v>
      </c>
      <c r="AC23" s="460">
        <v>0</v>
      </c>
      <c r="AD23" s="460">
        <v>1253.1583996875004</v>
      </c>
      <c r="AE23" s="460">
        <v>0</v>
      </c>
      <c r="AF23" s="460">
        <v>0</v>
      </c>
      <c r="AG23" s="460">
        <v>0</v>
      </c>
      <c r="AH23" s="460">
        <v>0</v>
      </c>
      <c r="AI23" s="460">
        <v>0</v>
      </c>
      <c r="AJ23" s="460">
        <v>-2172.8149672001014</v>
      </c>
      <c r="AK23" s="460">
        <v>0</v>
      </c>
      <c r="AL23" s="460">
        <v>0</v>
      </c>
      <c r="AM23" s="460">
        <v>0</v>
      </c>
      <c r="AN23" s="460">
        <v>0</v>
      </c>
      <c r="AO23" s="460">
        <v>0</v>
      </c>
      <c r="AP23" s="460">
        <v>0</v>
      </c>
      <c r="AQ23" s="460">
        <v>0</v>
      </c>
      <c r="AR23" s="460">
        <v>0</v>
      </c>
      <c r="AS23" s="460">
        <v>0</v>
      </c>
      <c r="AT23" s="460">
        <v>0</v>
      </c>
      <c r="AU23" s="460">
        <v>0</v>
      </c>
      <c r="AV23" s="460">
        <v>0</v>
      </c>
      <c r="AW23" s="460">
        <v>0</v>
      </c>
      <c r="AX23" s="460">
        <v>0</v>
      </c>
      <c r="AY23" s="460">
        <v>0</v>
      </c>
      <c r="AZ23" s="460">
        <v>0</v>
      </c>
      <c r="BA23" s="460">
        <v>0</v>
      </c>
      <c r="BB23" s="460">
        <v>0</v>
      </c>
      <c r="BC23" s="460">
        <v>0</v>
      </c>
      <c r="BD23" s="460">
        <v>0</v>
      </c>
      <c r="BE23" s="460">
        <v>0</v>
      </c>
      <c r="BF23" s="460">
        <v>0</v>
      </c>
      <c r="BG23" s="460">
        <v>0</v>
      </c>
      <c r="BH23" s="460">
        <v>0</v>
      </c>
      <c r="BI23" s="460">
        <v>0</v>
      </c>
      <c r="BJ23" s="460">
        <v>0</v>
      </c>
      <c r="BK23" s="460">
        <v>0</v>
      </c>
      <c r="BL23" s="460">
        <v>0</v>
      </c>
      <c r="BM23" s="460">
        <v>0</v>
      </c>
      <c r="BN23" s="460">
        <v>0</v>
      </c>
      <c r="BO23" s="460">
        <v>0</v>
      </c>
      <c r="BP23" s="460">
        <v>0</v>
      </c>
      <c r="BQ23" s="460">
        <v>0</v>
      </c>
      <c r="BR23" s="460">
        <v>0</v>
      </c>
      <c r="BS23" s="460">
        <v>0</v>
      </c>
      <c r="BT23" s="460">
        <v>0</v>
      </c>
      <c r="BU23" s="460">
        <v>0</v>
      </c>
      <c r="BV23" s="460">
        <v>0</v>
      </c>
      <c r="BW23" s="460">
        <v>0</v>
      </c>
      <c r="BX23" s="460">
        <v>0</v>
      </c>
      <c r="BY23" s="460">
        <v>0</v>
      </c>
      <c r="BZ23" s="460">
        <v>0</v>
      </c>
      <c r="CA23" s="460" t="e">
        <v>#N/A</v>
      </c>
      <c r="CB23" s="460" t="e">
        <v>#N/A</v>
      </c>
      <c r="CC23" s="460" t="e">
        <v>#N/A</v>
      </c>
    </row>
    <row r="24" spans="1:81" ht="12.75" customHeight="1">
      <c r="A24" s="105">
        <v>19</v>
      </c>
      <c r="B24" s="458" t="str">
        <v>9M-15M</v>
      </c>
      <c r="C24" s="262">
        <f>'eur disaggregated'!U35</f>
        <v>-2363.7380005515001</v>
      </c>
      <c r="D24" s="111" t="str">
        <f t="shared" si="2"/>
        <v>6M</v>
      </c>
      <c r="E24" s="441">
        <f>BktEur6mPL!E24</f>
        <v>42969</v>
      </c>
      <c r="F24" s="441">
        <f>BktEur6mPL!F24</f>
        <v>43153</v>
      </c>
      <c r="G24" s="462">
        <f t="shared" si="1"/>
        <v>-1.4199999999999998E-3</v>
      </c>
      <c r="H24" s="453">
        <f>BktEur6mPL!H24</f>
        <v>-0.14199999999999999</v>
      </c>
      <c r="I24" s="107" t="str">
        <v>13M</v>
      </c>
      <c r="J24" s="106" t="str">
        <f>IF(LEN(I24)&gt;0,IF((MID(I24,4,1)=" "),#REF!,IF((LEN(I24)=8),DATE("20" &amp; RIGHT(I24,2),MID(I24,4,2),LEFT(I24,2)),SimplifyTenor(I24))),"")</f>
        <v>13M</v>
      </c>
      <c r="K24" s="448">
        <f>_xll.qlCalendarAdvance("TARGET",SettlementDate,J24)</f>
        <v>43091</v>
      </c>
      <c r="M24" s="99" t="str">
        <v>13M</v>
      </c>
      <c r="N24" s="465">
        <v>-11515.239777002642</v>
      </c>
      <c r="P24" s="106" t="b">
        <f t="shared" si="0"/>
        <v>0</v>
      </c>
      <c r="Q24" s="460">
        <f t="array" ref="Q24:CC24">C24*ForwardToZero(OisBuckets,E24,F24,G24)</f>
        <v>0</v>
      </c>
      <c r="R24" s="460">
        <v>0</v>
      </c>
      <c r="S24" s="460">
        <v>0</v>
      </c>
      <c r="T24" s="460">
        <v>0</v>
      </c>
      <c r="U24" s="460">
        <v>0</v>
      </c>
      <c r="V24" s="460">
        <v>0</v>
      </c>
      <c r="W24" s="460">
        <v>0</v>
      </c>
      <c r="X24" s="460">
        <v>0</v>
      </c>
      <c r="Y24" s="460">
        <v>0</v>
      </c>
      <c r="Z24" s="460">
        <v>0</v>
      </c>
      <c r="AA24" s="460">
        <v>0</v>
      </c>
      <c r="AB24" s="460">
        <v>0</v>
      </c>
      <c r="AC24" s="460">
        <v>0</v>
      </c>
      <c r="AD24" s="460">
        <v>0</v>
      </c>
      <c r="AE24" s="460">
        <v>3558.4534030041605</v>
      </c>
      <c r="AF24" s="460">
        <v>0</v>
      </c>
      <c r="AG24" s="460">
        <v>0</v>
      </c>
      <c r="AH24" s="460">
        <v>0</v>
      </c>
      <c r="AI24" s="460">
        <v>0</v>
      </c>
      <c r="AJ24" s="460">
        <v>0</v>
      </c>
      <c r="AK24" s="460">
        <v>-5922.1914035556601</v>
      </c>
      <c r="AL24" s="460">
        <v>0</v>
      </c>
      <c r="AM24" s="460">
        <v>0</v>
      </c>
      <c r="AN24" s="460">
        <v>0</v>
      </c>
      <c r="AO24" s="460">
        <v>0</v>
      </c>
      <c r="AP24" s="460">
        <v>0</v>
      </c>
      <c r="AQ24" s="460">
        <v>0</v>
      </c>
      <c r="AR24" s="460">
        <v>0</v>
      </c>
      <c r="AS24" s="460">
        <v>0</v>
      </c>
      <c r="AT24" s="460">
        <v>0</v>
      </c>
      <c r="AU24" s="460">
        <v>0</v>
      </c>
      <c r="AV24" s="460">
        <v>0</v>
      </c>
      <c r="AW24" s="460">
        <v>0</v>
      </c>
      <c r="AX24" s="460">
        <v>0</v>
      </c>
      <c r="AY24" s="460">
        <v>0</v>
      </c>
      <c r="AZ24" s="460">
        <v>0</v>
      </c>
      <c r="BA24" s="460">
        <v>0</v>
      </c>
      <c r="BB24" s="460">
        <v>0</v>
      </c>
      <c r="BC24" s="460">
        <v>0</v>
      </c>
      <c r="BD24" s="460">
        <v>0</v>
      </c>
      <c r="BE24" s="460">
        <v>0</v>
      </c>
      <c r="BF24" s="460">
        <v>0</v>
      </c>
      <c r="BG24" s="460">
        <v>0</v>
      </c>
      <c r="BH24" s="460">
        <v>0</v>
      </c>
      <c r="BI24" s="460">
        <v>0</v>
      </c>
      <c r="BJ24" s="460">
        <v>0</v>
      </c>
      <c r="BK24" s="460">
        <v>0</v>
      </c>
      <c r="BL24" s="460">
        <v>0</v>
      </c>
      <c r="BM24" s="460">
        <v>0</v>
      </c>
      <c r="BN24" s="460">
        <v>0</v>
      </c>
      <c r="BO24" s="460">
        <v>0</v>
      </c>
      <c r="BP24" s="460">
        <v>0</v>
      </c>
      <c r="BQ24" s="460">
        <v>0</v>
      </c>
      <c r="BR24" s="460">
        <v>0</v>
      </c>
      <c r="BS24" s="460">
        <v>0</v>
      </c>
      <c r="BT24" s="460">
        <v>0</v>
      </c>
      <c r="BU24" s="460">
        <v>0</v>
      </c>
      <c r="BV24" s="460">
        <v>0</v>
      </c>
      <c r="BW24" s="460">
        <v>0</v>
      </c>
      <c r="BX24" s="460">
        <v>0</v>
      </c>
      <c r="BY24" s="460">
        <v>0</v>
      </c>
      <c r="BZ24" s="460">
        <v>0</v>
      </c>
      <c r="CA24" s="460" t="e">
        <v>#N/A</v>
      </c>
      <c r="CB24" s="460" t="e">
        <v>#N/A</v>
      </c>
      <c r="CC24" s="460" t="e">
        <v>#N/A</v>
      </c>
    </row>
    <row r="25" spans="1:81" ht="12.75" customHeight="1">
      <c r="A25" s="111">
        <v>20</v>
      </c>
      <c r="B25" s="458" t="str">
        <v>10M-16M</v>
      </c>
      <c r="C25" s="262">
        <f>'eur disaggregated'!U36</f>
        <v>-6785.8283768053097</v>
      </c>
      <c r="D25" s="111" t="str">
        <f t="shared" si="2"/>
        <v>6M</v>
      </c>
      <c r="E25" s="441">
        <f>BktEur6mPL!E25</f>
        <v>43000</v>
      </c>
      <c r="F25" s="441">
        <f>BktEur6mPL!F25</f>
        <v>43181</v>
      </c>
      <c r="G25" s="462">
        <f t="shared" si="1"/>
        <v>-1.34E-3</v>
      </c>
      <c r="H25" s="453">
        <f>BktEur6mPL!H25</f>
        <v>-0.13400000000000001</v>
      </c>
      <c r="I25" s="107" t="str">
        <v>14M</v>
      </c>
      <c r="J25" s="441" t="str">
        <f>IF(LEN(I25)&gt;0,IF((MID(I25,4,1)=" "),#REF!,IF((LEN(I25)=8),DATE("20" &amp; RIGHT(I25,2),MID(I25,4,2),LEFT(I25,2)),SimplifyTenor(I25))),"")</f>
        <v>14M</v>
      </c>
      <c r="K25" s="448">
        <f>_xll.qlCalendarAdvance("TARGET",SettlementDate,J25)</f>
        <v>43122</v>
      </c>
      <c r="L25" s="89"/>
      <c r="M25" s="99" t="str">
        <v>14M</v>
      </c>
      <c r="N25" s="465">
        <v>-705.59290573388421</v>
      </c>
      <c r="P25" s="106" t="b">
        <f t="shared" si="0"/>
        <v>0</v>
      </c>
      <c r="Q25" s="460">
        <f t="array" ref="Q25:CC25">C25*ForwardToZero(OisBuckets,E25,F25,G25)</f>
        <v>0</v>
      </c>
      <c r="R25" s="460">
        <v>0</v>
      </c>
      <c r="S25" s="460">
        <v>0</v>
      </c>
      <c r="T25" s="460">
        <v>0</v>
      </c>
      <c r="U25" s="460">
        <v>0</v>
      </c>
      <c r="V25" s="460">
        <v>0</v>
      </c>
      <c r="W25" s="460">
        <v>0</v>
      </c>
      <c r="X25" s="460">
        <v>0</v>
      </c>
      <c r="Y25" s="460">
        <v>0</v>
      </c>
      <c r="Z25" s="460">
        <v>0</v>
      </c>
      <c r="AA25" s="460">
        <v>0</v>
      </c>
      <c r="AB25" s="460">
        <v>0</v>
      </c>
      <c r="AC25" s="460">
        <v>0</v>
      </c>
      <c r="AD25" s="460">
        <v>0</v>
      </c>
      <c r="AE25" s="460">
        <v>0</v>
      </c>
      <c r="AF25" s="460">
        <v>11547.155469922851</v>
      </c>
      <c r="AG25" s="460">
        <v>0</v>
      </c>
      <c r="AH25" s="460">
        <v>0</v>
      </c>
      <c r="AI25" s="460">
        <v>0</v>
      </c>
      <c r="AJ25" s="460">
        <v>0</v>
      </c>
      <c r="AK25" s="460">
        <v>0</v>
      </c>
      <c r="AL25" s="460">
        <v>-18332.983846728162</v>
      </c>
      <c r="AM25" s="460">
        <v>0</v>
      </c>
      <c r="AN25" s="460">
        <v>0</v>
      </c>
      <c r="AO25" s="460">
        <v>0</v>
      </c>
      <c r="AP25" s="460">
        <v>0</v>
      </c>
      <c r="AQ25" s="460">
        <v>0</v>
      </c>
      <c r="AR25" s="460">
        <v>0</v>
      </c>
      <c r="AS25" s="460">
        <v>0</v>
      </c>
      <c r="AT25" s="460">
        <v>0</v>
      </c>
      <c r="AU25" s="460">
        <v>0</v>
      </c>
      <c r="AV25" s="460">
        <v>0</v>
      </c>
      <c r="AW25" s="460">
        <v>0</v>
      </c>
      <c r="AX25" s="460">
        <v>0</v>
      </c>
      <c r="AY25" s="460">
        <v>0</v>
      </c>
      <c r="AZ25" s="460">
        <v>0</v>
      </c>
      <c r="BA25" s="460">
        <v>0</v>
      </c>
      <c r="BB25" s="460">
        <v>0</v>
      </c>
      <c r="BC25" s="460">
        <v>0</v>
      </c>
      <c r="BD25" s="460">
        <v>0</v>
      </c>
      <c r="BE25" s="460">
        <v>0</v>
      </c>
      <c r="BF25" s="460">
        <v>0</v>
      </c>
      <c r="BG25" s="460">
        <v>0</v>
      </c>
      <c r="BH25" s="460">
        <v>0</v>
      </c>
      <c r="BI25" s="460">
        <v>0</v>
      </c>
      <c r="BJ25" s="460">
        <v>0</v>
      </c>
      <c r="BK25" s="460">
        <v>0</v>
      </c>
      <c r="BL25" s="460">
        <v>0</v>
      </c>
      <c r="BM25" s="460">
        <v>0</v>
      </c>
      <c r="BN25" s="460">
        <v>0</v>
      </c>
      <c r="BO25" s="460">
        <v>0</v>
      </c>
      <c r="BP25" s="460">
        <v>0</v>
      </c>
      <c r="BQ25" s="460">
        <v>0</v>
      </c>
      <c r="BR25" s="460">
        <v>0</v>
      </c>
      <c r="BS25" s="460">
        <v>0</v>
      </c>
      <c r="BT25" s="460">
        <v>0</v>
      </c>
      <c r="BU25" s="460">
        <v>0</v>
      </c>
      <c r="BV25" s="460">
        <v>0</v>
      </c>
      <c r="BW25" s="460">
        <v>0</v>
      </c>
      <c r="BX25" s="460">
        <v>0</v>
      </c>
      <c r="BY25" s="460">
        <v>0</v>
      </c>
      <c r="BZ25" s="460">
        <v>0</v>
      </c>
      <c r="CA25" s="460" t="e">
        <v>#N/A</v>
      </c>
      <c r="CB25" s="460" t="e">
        <v>#N/A</v>
      </c>
      <c r="CC25" s="460" t="e">
        <v>#N/A</v>
      </c>
    </row>
    <row r="26" spans="1:81" ht="12.75" customHeight="1">
      <c r="A26" s="111">
        <v>21</v>
      </c>
      <c r="B26" s="458" t="str">
        <v>11M-17M</v>
      </c>
      <c r="C26" s="262">
        <f>'eur disaggregated'!U37</f>
        <v>4321.7124940428102</v>
      </c>
      <c r="D26" s="111" t="str">
        <f t="shared" si="2"/>
        <v>6M</v>
      </c>
      <c r="E26" s="441">
        <f>BktEur6mPL!E26</f>
        <v>43031</v>
      </c>
      <c r="F26" s="441">
        <f>BktEur6mPL!F26</f>
        <v>43213</v>
      </c>
      <c r="G26" s="462">
        <f t="shared" si="1"/>
        <v>-1.23E-3</v>
      </c>
      <c r="H26" s="453">
        <f>BktEur6mPL!H26</f>
        <v>-0.123</v>
      </c>
      <c r="I26" s="107" t="str">
        <v>15M</v>
      </c>
      <c r="J26" s="441" t="str">
        <f>IF(LEN(I26)&gt;0,IF((MID(I26,4,1)=" "),#REF!,IF((LEN(I26)=8),DATE("20" &amp; RIGHT(I26,2),MID(I26,4,2),LEFT(I26,2)),SimplifyTenor(I26))),"")</f>
        <v>15M</v>
      </c>
      <c r="K26" s="448">
        <f>_xll.qlCalendarAdvance("TARGET",SettlementDate,J26)</f>
        <v>43153</v>
      </c>
      <c r="L26" s="89"/>
      <c r="M26" s="99" t="str">
        <v>15M</v>
      </c>
      <c r="N26" s="465">
        <v>-3452.1194427345145</v>
      </c>
      <c r="P26" s="106" t="b">
        <f t="shared" si="0"/>
        <v>0</v>
      </c>
      <c r="Q26" s="460">
        <f t="array" ref="Q26:CC26">C26*ForwardToZero(OisBuckets,E26,F26,G26)</f>
        <v>0</v>
      </c>
      <c r="R26" s="460">
        <v>0</v>
      </c>
      <c r="S26" s="460">
        <v>0</v>
      </c>
      <c r="T26" s="460">
        <v>0</v>
      </c>
      <c r="U26" s="460">
        <v>0</v>
      </c>
      <c r="V26" s="460">
        <v>0</v>
      </c>
      <c r="W26" s="460">
        <v>0</v>
      </c>
      <c r="X26" s="460">
        <v>0</v>
      </c>
      <c r="Y26" s="460">
        <v>0</v>
      </c>
      <c r="Z26" s="460">
        <v>0</v>
      </c>
      <c r="AA26" s="460">
        <v>0</v>
      </c>
      <c r="AB26" s="460">
        <v>0</v>
      </c>
      <c r="AC26" s="460">
        <v>0</v>
      </c>
      <c r="AD26" s="460">
        <v>0</v>
      </c>
      <c r="AE26" s="460">
        <v>0</v>
      </c>
      <c r="AF26" s="460">
        <v>0</v>
      </c>
      <c r="AG26" s="460">
        <v>-8049.7831619808385</v>
      </c>
      <c r="AH26" s="460">
        <v>0</v>
      </c>
      <c r="AI26" s="460">
        <v>0</v>
      </c>
      <c r="AJ26" s="460">
        <v>0</v>
      </c>
      <c r="AK26" s="460">
        <v>0</v>
      </c>
      <c r="AL26" s="460">
        <v>0</v>
      </c>
      <c r="AM26" s="460">
        <v>12371.49565602365</v>
      </c>
      <c r="AN26" s="460">
        <v>0</v>
      </c>
      <c r="AO26" s="460">
        <v>0</v>
      </c>
      <c r="AP26" s="460">
        <v>0</v>
      </c>
      <c r="AQ26" s="460">
        <v>0</v>
      </c>
      <c r="AR26" s="460">
        <v>0</v>
      </c>
      <c r="AS26" s="460">
        <v>0</v>
      </c>
      <c r="AT26" s="460">
        <v>0</v>
      </c>
      <c r="AU26" s="460">
        <v>0</v>
      </c>
      <c r="AV26" s="460">
        <v>0</v>
      </c>
      <c r="AW26" s="460">
        <v>0</v>
      </c>
      <c r="AX26" s="460">
        <v>0</v>
      </c>
      <c r="AY26" s="460">
        <v>0</v>
      </c>
      <c r="AZ26" s="460">
        <v>0</v>
      </c>
      <c r="BA26" s="460">
        <v>0</v>
      </c>
      <c r="BB26" s="460">
        <v>0</v>
      </c>
      <c r="BC26" s="460">
        <v>0</v>
      </c>
      <c r="BD26" s="460">
        <v>0</v>
      </c>
      <c r="BE26" s="460">
        <v>0</v>
      </c>
      <c r="BF26" s="460">
        <v>0</v>
      </c>
      <c r="BG26" s="460">
        <v>0</v>
      </c>
      <c r="BH26" s="460">
        <v>0</v>
      </c>
      <c r="BI26" s="460">
        <v>0</v>
      </c>
      <c r="BJ26" s="460">
        <v>0</v>
      </c>
      <c r="BK26" s="460">
        <v>0</v>
      </c>
      <c r="BL26" s="460">
        <v>0</v>
      </c>
      <c r="BM26" s="460">
        <v>0</v>
      </c>
      <c r="BN26" s="460">
        <v>0</v>
      </c>
      <c r="BO26" s="460">
        <v>0</v>
      </c>
      <c r="BP26" s="460">
        <v>0</v>
      </c>
      <c r="BQ26" s="460">
        <v>0</v>
      </c>
      <c r="BR26" s="460">
        <v>0</v>
      </c>
      <c r="BS26" s="460">
        <v>0</v>
      </c>
      <c r="BT26" s="460">
        <v>0</v>
      </c>
      <c r="BU26" s="460">
        <v>0</v>
      </c>
      <c r="BV26" s="460">
        <v>0</v>
      </c>
      <c r="BW26" s="460">
        <v>0</v>
      </c>
      <c r="BX26" s="460">
        <v>0</v>
      </c>
      <c r="BY26" s="460">
        <v>0</v>
      </c>
      <c r="BZ26" s="460">
        <v>0</v>
      </c>
      <c r="CA26" s="460" t="e">
        <v>#N/A</v>
      </c>
      <c r="CB26" s="460" t="e">
        <v>#N/A</v>
      </c>
      <c r="CC26" s="460" t="e">
        <v>#N/A</v>
      </c>
    </row>
    <row r="27" spans="1:81" ht="12.75" customHeight="1">
      <c r="A27" s="111">
        <v>22</v>
      </c>
      <c r="B27" s="458" t="str">
        <v>12M-18M</v>
      </c>
      <c r="C27" s="262">
        <f>'eur disaggregated'!U38</f>
        <v>4574.8445019973296</v>
      </c>
      <c r="D27" s="111" t="str">
        <f t="shared" si="2"/>
        <v>6M</v>
      </c>
      <c r="E27" s="441">
        <f>BktEur6mPL!E27</f>
        <v>43061</v>
      </c>
      <c r="F27" s="441">
        <f>BktEur6mPL!F27</f>
        <v>43242</v>
      </c>
      <c r="G27" s="462">
        <f t="shared" si="1"/>
        <v>-1.14E-3</v>
      </c>
      <c r="H27" s="453">
        <f>BktEur6mPL!H27</f>
        <v>-0.114</v>
      </c>
      <c r="I27" s="107" t="str">
        <v>16M</v>
      </c>
      <c r="J27" s="441" t="str">
        <f>IF(LEN(I27)&gt;0,IF((MID(I27,4,1)=" "),#REF!,IF((LEN(I27)=8),DATE("20" &amp; RIGHT(I27,2),MID(I27,4,2),LEFT(I27,2)),SimplifyTenor(I27))),"")</f>
        <v>16M</v>
      </c>
      <c r="K27" s="448">
        <f>_xll.qlCalendarAdvance("TARGET",SettlementDate,J27)</f>
        <v>43181</v>
      </c>
      <c r="L27" s="89"/>
      <c r="M27" s="99" t="str">
        <v>16M</v>
      </c>
      <c r="N27" s="465">
        <v>-10775.919297537008</v>
      </c>
      <c r="P27" s="106" t="b">
        <f t="shared" si="0"/>
        <v>0</v>
      </c>
      <c r="Q27" s="460">
        <f t="array" ref="Q27:CC27">C27*ForwardToZero(OisBuckets,E27,F27,G27)</f>
        <v>0</v>
      </c>
      <c r="R27" s="460">
        <v>0</v>
      </c>
      <c r="S27" s="460">
        <v>0</v>
      </c>
      <c r="T27" s="460">
        <v>0</v>
      </c>
      <c r="U27" s="460">
        <v>0</v>
      </c>
      <c r="V27" s="460">
        <v>0</v>
      </c>
      <c r="W27" s="460">
        <v>0</v>
      </c>
      <c r="X27" s="460">
        <v>0</v>
      </c>
      <c r="Y27" s="460">
        <v>0</v>
      </c>
      <c r="Z27" s="460">
        <v>0</v>
      </c>
      <c r="AA27" s="460">
        <v>0</v>
      </c>
      <c r="AB27" s="460">
        <v>0</v>
      </c>
      <c r="AC27" s="460">
        <v>0</v>
      </c>
      <c r="AD27" s="460">
        <v>0</v>
      </c>
      <c r="AE27" s="460">
        <v>0</v>
      </c>
      <c r="AF27" s="460">
        <v>0</v>
      </c>
      <c r="AG27" s="460">
        <v>0</v>
      </c>
      <c r="AH27" s="460">
        <v>-9326.616691917201</v>
      </c>
      <c r="AI27" s="460">
        <v>0</v>
      </c>
      <c r="AJ27" s="460">
        <v>0</v>
      </c>
      <c r="AK27" s="460">
        <v>0</v>
      </c>
      <c r="AL27" s="460">
        <v>0</v>
      </c>
      <c r="AM27" s="460">
        <v>0</v>
      </c>
      <c r="AN27" s="460">
        <v>13901.461193914531</v>
      </c>
      <c r="AO27" s="460">
        <v>0</v>
      </c>
      <c r="AP27" s="460">
        <v>0</v>
      </c>
      <c r="AQ27" s="460">
        <v>0</v>
      </c>
      <c r="AR27" s="460">
        <v>0</v>
      </c>
      <c r="AS27" s="460">
        <v>0</v>
      </c>
      <c r="AT27" s="460">
        <v>0</v>
      </c>
      <c r="AU27" s="460">
        <v>0</v>
      </c>
      <c r="AV27" s="460">
        <v>0</v>
      </c>
      <c r="AW27" s="460">
        <v>0</v>
      </c>
      <c r="AX27" s="460">
        <v>0</v>
      </c>
      <c r="AY27" s="460">
        <v>0</v>
      </c>
      <c r="AZ27" s="460">
        <v>0</v>
      </c>
      <c r="BA27" s="460">
        <v>0</v>
      </c>
      <c r="BB27" s="460">
        <v>0</v>
      </c>
      <c r="BC27" s="460">
        <v>0</v>
      </c>
      <c r="BD27" s="460">
        <v>0</v>
      </c>
      <c r="BE27" s="460">
        <v>0</v>
      </c>
      <c r="BF27" s="460">
        <v>0</v>
      </c>
      <c r="BG27" s="460">
        <v>0</v>
      </c>
      <c r="BH27" s="460">
        <v>0</v>
      </c>
      <c r="BI27" s="460">
        <v>0</v>
      </c>
      <c r="BJ27" s="460">
        <v>0</v>
      </c>
      <c r="BK27" s="460">
        <v>0</v>
      </c>
      <c r="BL27" s="460">
        <v>0</v>
      </c>
      <c r="BM27" s="460">
        <v>0</v>
      </c>
      <c r="BN27" s="460">
        <v>0</v>
      </c>
      <c r="BO27" s="460">
        <v>0</v>
      </c>
      <c r="BP27" s="460">
        <v>0</v>
      </c>
      <c r="BQ27" s="460">
        <v>0</v>
      </c>
      <c r="BR27" s="460">
        <v>0</v>
      </c>
      <c r="BS27" s="460">
        <v>0</v>
      </c>
      <c r="BT27" s="460">
        <v>0</v>
      </c>
      <c r="BU27" s="460">
        <v>0</v>
      </c>
      <c r="BV27" s="460">
        <v>0</v>
      </c>
      <c r="BW27" s="460">
        <v>0</v>
      </c>
      <c r="BX27" s="460">
        <v>0</v>
      </c>
      <c r="BY27" s="460">
        <v>0</v>
      </c>
      <c r="BZ27" s="460">
        <v>0</v>
      </c>
      <c r="CA27" s="460" t="e">
        <v>#N/A</v>
      </c>
      <c r="CB27" s="460" t="e">
        <v>#N/A</v>
      </c>
      <c r="CC27" s="460" t="e">
        <v>#N/A</v>
      </c>
    </row>
    <row r="28" spans="1:81" ht="12.75" customHeight="1">
      <c r="A28" s="111">
        <v>23</v>
      </c>
      <c r="B28" s="458" t="str">
        <v>13M-19M</v>
      </c>
      <c r="C28" s="262">
        <f>'eur disaggregated'!U39</f>
        <v>-3756.00116102839</v>
      </c>
      <c r="D28" s="111" t="str">
        <f t="shared" si="2"/>
        <v>6M</v>
      </c>
      <c r="E28" s="441">
        <f>BktEur6mPL!E28</f>
        <v>43091</v>
      </c>
      <c r="F28" s="441">
        <f>BktEur6mPL!F28</f>
        <v>43273</v>
      </c>
      <c r="G28" s="462">
        <f t="shared" si="1"/>
        <v>-1.0399999999999999E-3</v>
      </c>
      <c r="H28" s="453">
        <f>BktEur6mPL!H28</f>
        <v>-0.104</v>
      </c>
      <c r="I28" s="107" t="str">
        <v>17M</v>
      </c>
      <c r="J28" s="441" t="str">
        <f>IF(LEN(I28)&gt;0,IF((MID(I28,4,1)=" "),#REF!,IF((LEN(I28)=8),DATE("20" &amp; RIGHT(I28,2),MID(I28,4,2),LEFT(I28,2)),SimplifyTenor(I28))),"")</f>
        <v>17M</v>
      </c>
      <c r="K28" s="448">
        <f>_xll.qlCalendarAdvance("TARGET",SettlementDate,J28)</f>
        <v>43213</v>
      </c>
      <c r="L28" s="89"/>
      <c r="M28" s="99" t="str">
        <v>17M</v>
      </c>
      <c r="N28" s="465">
        <v>8776.2392683427679</v>
      </c>
      <c r="P28" s="106" t="b">
        <f t="shared" si="0"/>
        <v>0</v>
      </c>
      <c r="Q28" s="460">
        <f t="array" ref="Q28:CC28">C28*ForwardToZero(OisBuckets,E28,F28,G28)</f>
        <v>0</v>
      </c>
      <c r="R28" s="460">
        <v>0</v>
      </c>
      <c r="S28" s="460">
        <v>0</v>
      </c>
      <c r="T28" s="460">
        <v>0</v>
      </c>
      <c r="U28" s="460">
        <v>0</v>
      </c>
      <c r="V28" s="460">
        <v>0</v>
      </c>
      <c r="W28" s="460">
        <v>0</v>
      </c>
      <c r="X28" s="460">
        <v>0</v>
      </c>
      <c r="Y28" s="460">
        <v>0</v>
      </c>
      <c r="Z28" s="460">
        <v>0</v>
      </c>
      <c r="AA28" s="460">
        <v>0</v>
      </c>
      <c r="AB28" s="460">
        <v>0</v>
      </c>
      <c r="AC28" s="460">
        <v>0</v>
      </c>
      <c r="AD28" s="460">
        <v>0</v>
      </c>
      <c r="AE28" s="460">
        <v>0</v>
      </c>
      <c r="AF28" s="460">
        <v>0</v>
      </c>
      <c r="AG28" s="460">
        <v>0</v>
      </c>
      <c r="AH28" s="460">
        <v>0</v>
      </c>
      <c r="AI28" s="460">
        <v>8234.3102376391635</v>
      </c>
      <c r="AJ28" s="460">
        <v>0</v>
      </c>
      <c r="AK28" s="460">
        <v>0</v>
      </c>
      <c r="AL28" s="460">
        <v>0</v>
      </c>
      <c r="AM28" s="460">
        <v>0</v>
      </c>
      <c r="AN28" s="460">
        <v>0</v>
      </c>
      <c r="AO28" s="460">
        <v>-11990.311398667554</v>
      </c>
      <c r="AP28" s="460">
        <v>0</v>
      </c>
      <c r="AQ28" s="460">
        <v>0</v>
      </c>
      <c r="AR28" s="460">
        <v>0</v>
      </c>
      <c r="AS28" s="460">
        <v>0</v>
      </c>
      <c r="AT28" s="460">
        <v>0</v>
      </c>
      <c r="AU28" s="460">
        <v>0</v>
      </c>
      <c r="AV28" s="460">
        <v>0</v>
      </c>
      <c r="AW28" s="460">
        <v>0</v>
      </c>
      <c r="AX28" s="460">
        <v>0</v>
      </c>
      <c r="AY28" s="460">
        <v>0</v>
      </c>
      <c r="AZ28" s="460">
        <v>0</v>
      </c>
      <c r="BA28" s="460">
        <v>0</v>
      </c>
      <c r="BB28" s="460">
        <v>0</v>
      </c>
      <c r="BC28" s="460">
        <v>0</v>
      </c>
      <c r="BD28" s="460">
        <v>0</v>
      </c>
      <c r="BE28" s="460">
        <v>0</v>
      </c>
      <c r="BF28" s="460">
        <v>0</v>
      </c>
      <c r="BG28" s="460">
        <v>0</v>
      </c>
      <c r="BH28" s="460">
        <v>0</v>
      </c>
      <c r="BI28" s="460">
        <v>0</v>
      </c>
      <c r="BJ28" s="460">
        <v>0</v>
      </c>
      <c r="BK28" s="460">
        <v>0</v>
      </c>
      <c r="BL28" s="460">
        <v>0</v>
      </c>
      <c r="BM28" s="460">
        <v>0</v>
      </c>
      <c r="BN28" s="460">
        <v>0</v>
      </c>
      <c r="BO28" s="460">
        <v>0</v>
      </c>
      <c r="BP28" s="460">
        <v>0</v>
      </c>
      <c r="BQ28" s="460">
        <v>0</v>
      </c>
      <c r="BR28" s="460">
        <v>0</v>
      </c>
      <c r="BS28" s="460">
        <v>0</v>
      </c>
      <c r="BT28" s="460">
        <v>0</v>
      </c>
      <c r="BU28" s="460">
        <v>0</v>
      </c>
      <c r="BV28" s="460">
        <v>0</v>
      </c>
      <c r="BW28" s="460">
        <v>0</v>
      </c>
      <c r="BX28" s="460">
        <v>0</v>
      </c>
      <c r="BY28" s="460">
        <v>0</v>
      </c>
      <c r="BZ28" s="460">
        <v>0</v>
      </c>
      <c r="CA28" s="460" t="e">
        <v>#N/A</v>
      </c>
      <c r="CB28" s="460" t="e">
        <v>#N/A</v>
      </c>
      <c r="CC28" s="460" t="e">
        <v>#N/A</v>
      </c>
    </row>
    <row r="29" spans="1:81" ht="12.75" customHeight="1">
      <c r="A29" s="111">
        <v>24</v>
      </c>
      <c r="B29" s="458" t="str">
        <v>14M-20M</v>
      </c>
      <c r="C29" s="262">
        <f>'eur disaggregated'!U40</f>
        <v>-621.01026787639898</v>
      </c>
      <c r="D29" s="111" t="str">
        <f t="shared" si="2"/>
        <v>6M</v>
      </c>
      <c r="E29" s="441">
        <f>BktEur6mPL!E29</f>
        <v>43122</v>
      </c>
      <c r="F29" s="441">
        <f>BktEur6mPL!F29</f>
        <v>43304</v>
      </c>
      <c r="G29" s="462">
        <f t="shared" si="1"/>
        <v>-9.2000000000000003E-4</v>
      </c>
      <c r="H29" s="453">
        <f>BktEur6mPL!H29</f>
        <v>-9.1999999999999998E-2</v>
      </c>
      <c r="I29" s="107" t="str">
        <v>18M</v>
      </c>
      <c r="J29" s="441" t="str">
        <f>IF(LEN(I29)&gt;0,IF((MID(I29,4,1)=" "),#REF!,IF((LEN(I29)=8),DATE("20" &amp; RIGHT(I29,2),MID(I29,4,2),LEFT(I29,2)),SimplifyTenor(I29))),"")</f>
        <v>18M</v>
      </c>
      <c r="K29" s="448">
        <f>_xll.qlCalendarAdvance("TARGET",SettlementDate,J29)</f>
        <v>43242</v>
      </c>
      <c r="L29" s="89"/>
      <c r="M29" s="99" t="str">
        <v>18M</v>
      </c>
      <c r="N29" s="465">
        <v>14470.529244636362</v>
      </c>
      <c r="P29" s="106" t="b">
        <f t="shared" si="0"/>
        <v>0</v>
      </c>
      <c r="Q29" s="460">
        <f t="array" ref="Q29:CC29">C29*ForwardToZero(OisBuckets,E29,F29,G29)</f>
        <v>0</v>
      </c>
      <c r="R29" s="460">
        <v>0</v>
      </c>
      <c r="S29" s="460">
        <v>0</v>
      </c>
      <c r="T29" s="460">
        <v>0</v>
      </c>
      <c r="U29" s="460">
        <v>0</v>
      </c>
      <c r="V29" s="460">
        <v>0</v>
      </c>
      <c r="W29" s="460">
        <v>0</v>
      </c>
      <c r="X29" s="460">
        <v>0</v>
      </c>
      <c r="Y29" s="460">
        <v>0</v>
      </c>
      <c r="Z29" s="460">
        <v>0</v>
      </c>
      <c r="AA29" s="460">
        <v>0</v>
      </c>
      <c r="AB29" s="460">
        <v>0</v>
      </c>
      <c r="AC29" s="460">
        <v>0</v>
      </c>
      <c r="AD29" s="460">
        <v>0</v>
      </c>
      <c r="AE29" s="460">
        <v>0</v>
      </c>
      <c r="AF29" s="460">
        <v>0</v>
      </c>
      <c r="AG29" s="460">
        <v>0</v>
      </c>
      <c r="AH29" s="460">
        <v>0</v>
      </c>
      <c r="AI29" s="460">
        <v>0</v>
      </c>
      <c r="AJ29" s="460">
        <v>1467.2220614662172</v>
      </c>
      <c r="AK29" s="460">
        <v>0</v>
      </c>
      <c r="AL29" s="460">
        <v>0</v>
      </c>
      <c r="AM29" s="460">
        <v>0</v>
      </c>
      <c r="AN29" s="460">
        <v>0</v>
      </c>
      <c r="AO29" s="460">
        <v>0</v>
      </c>
      <c r="AP29" s="460">
        <v>-2088.2323293426161</v>
      </c>
      <c r="AQ29" s="460">
        <v>0</v>
      </c>
      <c r="AR29" s="460">
        <v>0</v>
      </c>
      <c r="AS29" s="460">
        <v>0</v>
      </c>
      <c r="AT29" s="460">
        <v>0</v>
      </c>
      <c r="AU29" s="460">
        <v>0</v>
      </c>
      <c r="AV29" s="460">
        <v>0</v>
      </c>
      <c r="AW29" s="460">
        <v>0</v>
      </c>
      <c r="AX29" s="460">
        <v>0</v>
      </c>
      <c r="AY29" s="460">
        <v>0</v>
      </c>
      <c r="AZ29" s="460">
        <v>0</v>
      </c>
      <c r="BA29" s="460">
        <v>0</v>
      </c>
      <c r="BB29" s="460">
        <v>0</v>
      </c>
      <c r="BC29" s="460">
        <v>0</v>
      </c>
      <c r="BD29" s="460">
        <v>0</v>
      </c>
      <c r="BE29" s="460">
        <v>0</v>
      </c>
      <c r="BF29" s="460">
        <v>0</v>
      </c>
      <c r="BG29" s="460">
        <v>0</v>
      </c>
      <c r="BH29" s="460">
        <v>0</v>
      </c>
      <c r="BI29" s="460">
        <v>0</v>
      </c>
      <c r="BJ29" s="460">
        <v>0</v>
      </c>
      <c r="BK29" s="460">
        <v>0</v>
      </c>
      <c r="BL29" s="460">
        <v>0</v>
      </c>
      <c r="BM29" s="460">
        <v>0</v>
      </c>
      <c r="BN29" s="460">
        <v>0</v>
      </c>
      <c r="BO29" s="460">
        <v>0</v>
      </c>
      <c r="BP29" s="460">
        <v>0</v>
      </c>
      <c r="BQ29" s="460">
        <v>0</v>
      </c>
      <c r="BR29" s="460">
        <v>0</v>
      </c>
      <c r="BS29" s="460">
        <v>0</v>
      </c>
      <c r="BT29" s="460">
        <v>0</v>
      </c>
      <c r="BU29" s="460">
        <v>0</v>
      </c>
      <c r="BV29" s="460">
        <v>0</v>
      </c>
      <c r="BW29" s="460">
        <v>0</v>
      </c>
      <c r="BX29" s="460">
        <v>0</v>
      </c>
      <c r="BY29" s="460">
        <v>0</v>
      </c>
      <c r="BZ29" s="460">
        <v>0</v>
      </c>
      <c r="CA29" s="460" t="e">
        <v>#N/A</v>
      </c>
      <c r="CB29" s="460" t="e">
        <v>#N/A</v>
      </c>
      <c r="CC29" s="460" t="e">
        <v>#N/A</v>
      </c>
    </row>
    <row r="30" spans="1:81" ht="12.75" customHeight="1">
      <c r="A30" s="111">
        <v>25</v>
      </c>
      <c r="B30" s="458" t="str">
        <v>15M-21M</v>
      </c>
      <c r="C30" s="262">
        <f>'eur disaggregated'!U41</f>
        <v>-969.81133385819396</v>
      </c>
      <c r="D30" s="111" t="str">
        <f t="shared" si="2"/>
        <v>6M</v>
      </c>
      <c r="E30" s="441">
        <f>BktEur6mPL!E30</f>
        <v>43153</v>
      </c>
      <c r="F30" s="441">
        <f>BktEur6mPL!F30</f>
        <v>43334</v>
      </c>
      <c r="G30" s="462">
        <f t="shared" si="1"/>
        <v>-8.1000000000000006E-4</v>
      </c>
      <c r="H30" s="453">
        <f>BktEur6mPL!H30</f>
        <v>-8.1000000000000003E-2</v>
      </c>
      <c r="I30" s="107" t="str">
        <v>19M</v>
      </c>
      <c r="J30" s="441" t="str">
        <f>IF(LEN(I30)&gt;0,IF((MID(I30,4,1)=" "),#REF!,IF((LEN(I30)=8),DATE("20" &amp; RIGHT(I30,2),MID(I30,4,2),LEFT(I30,2)),SimplifyTenor(I30))),"")</f>
        <v>19M</v>
      </c>
      <c r="K30" s="448">
        <f>_xll.qlCalendarAdvance("TARGET",SettlementDate,J30)</f>
        <v>43273</v>
      </c>
      <c r="L30" s="89"/>
      <c r="M30" s="99" t="str">
        <v>19M</v>
      </c>
      <c r="N30" s="465">
        <v>-11990.311398667554</v>
      </c>
      <c r="P30" s="106" t="b">
        <f t="shared" si="0"/>
        <v>0</v>
      </c>
      <c r="Q30" s="460">
        <f t="array" ref="Q30:CC30">C30*ForwardToZero(OisBuckets,E30,F30,G30)</f>
        <v>0</v>
      </c>
      <c r="R30" s="460">
        <v>0</v>
      </c>
      <c r="S30" s="460">
        <v>0</v>
      </c>
      <c r="T30" s="460">
        <v>0</v>
      </c>
      <c r="U30" s="460">
        <v>0</v>
      </c>
      <c r="V30" s="460">
        <v>0</v>
      </c>
      <c r="W30" s="460">
        <v>0</v>
      </c>
      <c r="X30" s="460">
        <v>0</v>
      </c>
      <c r="Y30" s="460">
        <v>0</v>
      </c>
      <c r="Z30" s="460">
        <v>0</v>
      </c>
      <c r="AA30" s="460">
        <v>0</v>
      </c>
      <c r="AB30" s="460">
        <v>0</v>
      </c>
      <c r="AC30" s="460">
        <v>0</v>
      </c>
      <c r="AD30" s="460">
        <v>0</v>
      </c>
      <c r="AE30" s="460">
        <v>0</v>
      </c>
      <c r="AF30" s="460">
        <v>0</v>
      </c>
      <c r="AG30" s="460">
        <v>0</v>
      </c>
      <c r="AH30" s="460">
        <v>0</v>
      </c>
      <c r="AI30" s="460">
        <v>0</v>
      </c>
      <c r="AJ30" s="460">
        <v>0</v>
      </c>
      <c r="AK30" s="460">
        <v>2470.0719608211457</v>
      </c>
      <c r="AL30" s="460">
        <v>0</v>
      </c>
      <c r="AM30" s="460">
        <v>0</v>
      </c>
      <c r="AN30" s="460">
        <v>0</v>
      </c>
      <c r="AO30" s="460">
        <v>0</v>
      </c>
      <c r="AP30" s="460">
        <v>0</v>
      </c>
      <c r="AQ30" s="460">
        <v>-3439.8832946793395</v>
      </c>
      <c r="AR30" s="460">
        <v>0</v>
      </c>
      <c r="AS30" s="460">
        <v>0</v>
      </c>
      <c r="AT30" s="460">
        <v>0</v>
      </c>
      <c r="AU30" s="460">
        <v>0</v>
      </c>
      <c r="AV30" s="460">
        <v>0</v>
      </c>
      <c r="AW30" s="460">
        <v>0</v>
      </c>
      <c r="AX30" s="460">
        <v>0</v>
      </c>
      <c r="AY30" s="460">
        <v>0</v>
      </c>
      <c r="AZ30" s="460">
        <v>0</v>
      </c>
      <c r="BA30" s="460">
        <v>0</v>
      </c>
      <c r="BB30" s="460">
        <v>0</v>
      </c>
      <c r="BC30" s="460">
        <v>0</v>
      </c>
      <c r="BD30" s="460">
        <v>0</v>
      </c>
      <c r="BE30" s="460">
        <v>0</v>
      </c>
      <c r="BF30" s="460">
        <v>0</v>
      </c>
      <c r="BG30" s="460">
        <v>0</v>
      </c>
      <c r="BH30" s="460">
        <v>0</v>
      </c>
      <c r="BI30" s="460">
        <v>0</v>
      </c>
      <c r="BJ30" s="460">
        <v>0</v>
      </c>
      <c r="BK30" s="460">
        <v>0</v>
      </c>
      <c r="BL30" s="460">
        <v>0</v>
      </c>
      <c r="BM30" s="460">
        <v>0</v>
      </c>
      <c r="BN30" s="460">
        <v>0</v>
      </c>
      <c r="BO30" s="460">
        <v>0</v>
      </c>
      <c r="BP30" s="460">
        <v>0</v>
      </c>
      <c r="BQ30" s="460">
        <v>0</v>
      </c>
      <c r="BR30" s="460">
        <v>0</v>
      </c>
      <c r="BS30" s="460">
        <v>0</v>
      </c>
      <c r="BT30" s="460">
        <v>0</v>
      </c>
      <c r="BU30" s="460">
        <v>0</v>
      </c>
      <c r="BV30" s="460">
        <v>0</v>
      </c>
      <c r="BW30" s="460">
        <v>0</v>
      </c>
      <c r="BX30" s="460">
        <v>0</v>
      </c>
      <c r="BY30" s="460">
        <v>0</v>
      </c>
      <c r="BZ30" s="460">
        <v>0</v>
      </c>
      <c r="CA30" s="460" t="e">
        <v>#N/A</v>
      </c>
      <c r="CB30" s="460" t="e">
        <v>#N/A</v>
      </c>
      <c r="CC30" s="460" t="e">
        <v>#N/A</v>
      </c>
    </row>
    <row r="31" spans="1:81" ht="12.75" customHeight="1">
      <c r="A31" s="105">
        <v>26</v>
      </c>
      <c r="B31" s="458" t="str">
        <v>16M-22M</v>
      </c>
      <c r="C31" s="262">
        <f>'eur disaggregated'!U42</f>
        <v>-2874.4662702444898</v>
      </c>
      <c r="D31" s="111" t="str">
        <f t="shared" si="2"/>
        <v>6M</v>
      </c>
      <c r="E31" s="441">
        <f>BktEur6mPL!E31</f>
        <v>43181</v>
      </c>
      <c r="F31" s="441">
        <f>BktEur6mPL!F31</f>
        <v>43367</v>
      </c>
      <c r="G31" s="462">
        <f t="shared" si="1"/>
        <v>-7.000000000000001E-4</v>
      </c>
      <c r="H31" s="453">
        <f>BktEur6mPL!H31</f>
        <v>-7.0000000000000007E-2</v>
      </c>
      <c r="I31" s="107" t="str">
        <v>20M</v>
      </c>
      <c r="J31" s="106" t="str">
        <f>IF(LEN(I31)&gt;0,IF((MID(I31,4,1)=" "),#REF!,IF((LEN(I31)=8),DATE("20" &amp; RIGHT(I31,2),MID(I31,4,2),LEFT(I31,2)),SimplifyTenor(I31))),"")</f>
        <v>20M</v>
      </c>
      <c r="K31" s="448">
        <f>_xll.qlCalendarAdvance("TARGET",SettlementDate,J31)</f>
        <v>43304</v>
      </c>
      <c r="M31" s="99" t="str">
        <v>20M</v>
      </c>
      <c r="N31" s="465">
        <v>-2088.2323293426161</v>
      </c>
      <c r="P31" s="106" t="b">
        <f t="shared" si="0"/>
        <v>0</v>
      </c>
      <c r="Q31" s="460">
        <f t="array" ref="Q31:CC31">C31*ForwardToZero(OisBuckets,E31,F31,G31)</f>
        <v>0</v>
      </c>
      <c r="R31" s="460">
        <v>0</v>
      </c>
      <c r="S31" s="460">
        <v>0</v>
      </c>
      <c r="T31" s="460">
        <v>0</v>
      </c>
      <c r="U31" s="460">
        <v>0</v>
      </c>
      <c r="V31" s="460">
        <v>0</v>
      </c>
      <c r="W31" s="460">
        <v>0</v>
      </c>
      <c r="X31" s="460">
        <v>0</v>
      </c>
      <c r="Y31" s="460">
        <v>0</v>
      </c>
      <c r="Z31" s="460">
        <v>0</v>
      </c>
      <c r="AA31" s="460">
        <v>0</v>
      </c>
      <c r="AB31" s="460">
        <v>0</v>
      </c>
      <c r="AC31" s="460">
        <v>0</v>
      </c>
      <c r="AD31" s="460">
        <v>0</v>
      </c>
      <c r="AE31" s="460">
        <v>0</v>
      </c>
      <c r="AF31" s="460">
        <v>0</v>
      </c>
      <c r="AG31" s="460">
        <v>0</v>
      </c>
      <c r="AH31" s="460">
        <v>0</v>
      </c>
      <c r="AI31" s="460">
        <v>0</v>
      </c>
      <c r="AJ31" s="460">
        <v>0</v>
      </c>
      <c r="AK31" s="460">
        <v>0</v>
      </c>
      <c r="AL31" s="460">
        <v>7557.0645491911546</v>
      </c>
      <c r="AM31" s="460">
        <v>0</v>
      </c>
      <c r="AN31" s="460">
        <v>0</v>
      </c>
      <c r="AO31" s="460">
        <v>0</v>
      </c>
      <c r="AP31" s="460">
        <v>0</v>
      </c>
      <c r="AQ31" s="460">
        <v>0</v>
      </c>
      <c r="AR31" s="460">
        <v>-10431.530819435644</v>
      </c>
      <c r="AS31" s="460">
        <v>0</v>
      </c>
      <c r="AT31" s="460">
        <v>0</v>
      </c>
      <c r="AU31" s="460">
        <v>0</v>
      </c>
      <c r="AV31" s="460">
        <v>0</v>
      </c>
      <c r="AW31" s="460">
        <v>0</v>
      </c>
      <c r="AX31" s="460">
        <v>0</v>
      </c>
      <c r="AY31" s="460">
        <v>0</v>
      </c>
      <c r="AZ31" s="460">
        <v>0</v>
      </c>
      <c r="BA31" s="460">
        <v>0</v>
      </c>
      <c r="BB31" s="460">
        <v>0</v>
      </c>
      <c r="BC31" s="460">
        <v>0</v>
      </c>
      <c r="BD31" s="460">
        <v>0</v>
      </c>
      <c r="BE31" s="460">
        <v>0</v>
      </c>
      <c r="BF31" s="460">
        <v>0</v>
      </c>
      <c r="BG31" s="460">
        <v>0</v>
      </c>
      <c r="BH31" s="460">
        <v>0</v>
      </c>
      <c r="BI31" s="460">
        <v>0</v>
      </c>
      <c r="BJ31" s="460">
        <v>0</v>
      </c>
      <c r="BK31" s="460">
        <v>0</v>
      </c>
      <c r="BL31" s="460">
        <v>0</v>
      </c>
      <c r="BM31" s="460">
        <v>0</v>
      </c>
      <c r="BN31" s="460">
        <v>0</v>
      </c>
      <c r="BO31" s="460">
        <v>0</v>
      </c>
      <c r="BP31" s="460">
        <v>0</v>
      </c>
      <c r="BQ31" s="460">
        <v>0</v>
      </c>
      <c r="BR31" s="460">
        <v>0</v>
      </c>
      <c r="BS31" s="460">
        <v>0</v>
      </c>
      <c r="BT31" s="460">
        <v>0</v>
      </c>
      <c r="BU31" s="460">
        <v>0</v>
      </c>
      <c r="BV31" s="460">
        <v>0</v>
      </c>
      <c r="BW31" s="460">
        <v>0</v>
      </c>
      <c r="BX31" s="460">
        <v>0</v>
      </c>
      <c r="BY31" s="460">
        <v>0</v>
      </c>
      <c r="BZ31" s="460">
        <v>0</v>
      </c>
      <c r="CA31" s="460" t="e">
        <v>#N/A</v>
      </c>
      <c r="CB31" s="460" t="e">
        <v>#N/A</v>
      </c>
      <c r="CC31" s="460" t="e">
        <v>#N/A</v>
      </c>
    </row>
    <row r="32" spans="1:81" ht="12.75" customHeight="1">
      <c r="A32" s="105">
        <v>27</v>
      </c>
      <c r="B32" s="458" t="str">
        <v>17M-23M</v>
      </c>
      <c r="C32" s="262">
        <f>'eur disaggregated'!U43</f>
        <v>1255.9244962723999</v>
      </c>
      <c r="D32" s="111" t="str">
        <f t="shared" si="2"/>
        <v>6M</v>
      </c>
      <c r="E32" s="441">
        <f>BktEur6mPL!E32</f>
        <v>43213</v>
      </c>
      <c r="F32" s="441">
        <f>BktEur6mPL!F32</f>
        <v>43395</v>
      </c>
      <c r="G32" s="462">
        <f t="shared" si="1"/>
        <v>-5.6000000000000006E-4</v>
      </c>
      <c r="H32" s="453">
        <f>BktEur6mPL!H32</f>
        <v>-5.6000000000000001E-2</v>
      </c>
      <c r="I32" s="107" t="str">
        <v>21M</v>
      </c>
      <c r="J32" s="106" t="str">
        <f>IF(LEN(I32)&gt;0,IF((MID(I32,4,1)=" "),#REF!,IF((LEN(I32)=8),DATE("20" &amp; RIGHT(I32,2),MID(I32,4,2),LEFT(I32,2)),SimplifyTenor(I32))),"")</f>
        <v>21M</v>
      </c>
      <c r="K32" s="448">
        <f>_xll.qlCalendarAdvance("TARGET",SettlementDate,J32)</f>
        <v>43334</v>
      </c>
      <c r="M32" s="99" t="str">
        <v>21M</v>
      </c>
      <c r="N32" s="465">
        <v>-3439.8832946793395</v>
      </c>
      <c r="P32" s="106" t="b">
        <f t="shared" si="0"/>
        <v>0</v>
      </c>
      <c r="Q32" s="460">
        <f t="array" ref="Q32:CC32">C32*ForwardToZero(OisBuckets,E32,F32,G32)</f>
        <v>0</v>
      </c>
      <c r="R32" s="460">
        <v>0</v>
      </c>
      <c r="S32" s="460">
        <v>0</v>
      </c>
      <c r="T32" s="460">
        <v>0</v>
      </c>
      <c r="U32" s="460">
        <v>0</v>
      </c>
      <c r="V32" s="460">
        <v>0</v>
      </c>
      <c r="W32" s="460">
        <v>0</v>
      </c>
      <c r="X32" s="460">
        <v>0</v>
      </c>
      <c r="Y32" s="460">
        <v>0</v>
      </c>
      <c r="Z32" s="460">
        <v>0</v>
      </c>
      <c r="AA32" s="460">
        <v>0</v>
      </c>
      <c r="AB32" s="460">
        <v>0</v>
      </c>
      <c r="AC32" s="460">
        <v>0</v>
      </c>
      <c r="AD32" s="460">
        <v>0</v>
      </c>
      <c r="AE32" s="460">
        <v>0</v>
      </c>
      <c r="AF32" s="460">
        <v>0</v>
      </c>
      <c r="AG32" s="460">
        <v>0</v>
      </c>
      <c r="AH32" s="460">
        <v>0</v>
      </c>
      <c r="AI32" s="460">
        <v>0</v>
      </c>
      <c r="AJ32" s="460">
        <v>0</v>
      </c>
      <c r="AK32" s="460">
        <v>0</v>
      </c>
      <c r="AL32" s="460">
        <v>0</v>
      </c>
      <c r="AM32" s="460">
        <v>-3595.2563876808822</v>
      </c>
      <c r="AN32" s="460">
        <v>0</v>
      </c>
      <c r="AO32" s="460">
        <v>0</v>
      </c>
      <c r="AP32" s="460">
        <v>0</v>
      </c>
      <c r="AQ32" s="460">
        <v>0</v>
      </c>
      <c r="AR32" s="460">
        <v>0</v>
      </c>
      <c r="AS32" s="460">
        <v>4851.1808839532823</v>
      </c>
      <c r="AT32" s="460">
        <v>0</v>
      </c>
      <c r="AU32" s="460">
        <v>0</v>
      </c>
      <c r="AV32" s="460">
        <v>0</v>
      </c>
      <c r="AW32" s="460">
        <v>0</v>
      </c>
      <c r="AX32" s="460">
        <v>0</v>
      </c>
      <c r="AY32" s="460">
        <v>0</v>
      </c>
      <c r="AZ32" s="460">
        <v>0</v>
      </c>
      <c r="BA32" s="460">
        <v>0</v>
      </c>
      <c r="BB32" s="460">
        <v>0</v>
      </c>
      <c r="BC32" s="460">
        <v>0</v>
      </c>
      <c r="BD32" s="460">
        <v>0</v>
      </c>
      <c r="BE32" s="460">
        <v>0</v>
      </c>
      <c r="BF32" s="460">
        <v>0</v>
      </c>
      <c r="BG32" s="460">
        <v>0</v>
      </c>
      <c r="BH32" s="460">
        <v>0</v>
      </c>
      <c r="BI32" s="460">
        <v>0</v>
      </c>
      <c r="BJ32" s="460">
        <v>0</v>
      </c>
      <c r="BK32" s="460">
        <v>0</v>
      </c>
      <c r="BL32" s="460">
        <v>0</v>
      </c>
      <c r="BM32" s="460">
        <v>0</v>
      </c>
      <c r="BN32" s="460">
        <v>0</v>
      </c>
      <c r="BO32" s="460">
        <v>0</v>
      </c>
      <c r="BP32" s="460">
        <v>0</v>
      </c>
      <c r="BQ32" s="460">
        <v>0</v>
      </c>
      <c r="BR32" s="460">
        <v>0</v>
      </c>
      <c r="BS32" s="460">
        <v>0</v>
      </c>
      <c r="BT32" s="460">
        <v>0</v>
      </c>
      <c r="BU32" s="460">
        <v>0</v>
      </c>
      <c r="BV32" s="460">
        <v>0</v>
      </c>
      <c r="BW32" s="460">
        <v>0</v>
      </c>
      <c r="BX32" s="460">
        <v>0</v>
      </c>
      <c r="BY32" s="460">
        <v>0</v>
      </c>
      <c r="BZ32" s="460">
        <v>0</v>
      </c>
      <c r="CA32" s="460" t="e">
        <v>#N/A</v>
      </c>
      <c r="CB32" s="460" t="e">
        <v>#N/A</v>
      </c>
      <c r="CC32" s="460" t="e">
        <v>#N/A</v>
      </c>
    </row>
    <row r="33" spans="1:81" ht="12.75" customHeight="1">
      <c r="A33" s="105">
        <v>28</v>
      </c>
      <c r="B33" s="458" t="str">
        <v>18M-24M</v>
      </c>
      <c r="C33" s="262">
        <f>'eur disaggregated'!U44</f>
        <v>-190.37912969603099</v>
      </c>
      <c r="D33" s="111" t="str">
        <f t="shared" si="2"/>
        <v>6M</v>
      </c>
      <c r="E33" s="441">
        <f>BktEur6mPL!E33</f>
        <v>43242</v>
      </c>
      <c r="F33" s="441">
        <f>BktEur6mPL!F33</f>
        <v>43426</v>
      </c>
      <c r="G33" s="462">
        <f t="shared" si="1"/>
        <v>-4.2999999999999999E-4</v>
      </c>
      <c r="H33" s="453">
        <f>BktEur6mPL!H33</f>
        <v>-4.2999999999999997E-2</v>
      </c>
      <c r="I33" s="107" t="str">
        <v>22M</v>
      </c>
      <c r="J33" s="106" t="str">
        <f>IF(LEN(I33)&gt;0,IF((MID(I33,4,1)=" "),#REF!,IF((LEN(I33)=8),DATE("20" &amp; RIGHT(I33,2),MID(I33,4,2),LEFT(I33,2)),SimplifyTenor(I33))),"")</f>
        <v>22M</v>
      </c>
      <c r="K33" s="448">
        <f>_xll.qlCalendarAdvance("TARGET",SettlementDate,J33)</f>
        <v>43367</v>
      </c>
      <c r="M33" s="99" t="str">
        <v>22M</v>
      </c>
      <c r="N33" s="465">
        <v>-10431.530819435644</v>
      </c>
      <c r="P33" s="106" t="b">
        <f t="shared" si="0"/>
        <v>0</v>
      </c>
      <c r="Q33" s="460">
        <f t="array" ref="Q33:CC33">C33*ForwardToZero(OisBuckets,E33,F33,G33)</f>
        <v>0</v>
      </c>
      <c r="R33" s="460">
        <v>0</v>
      </c>
      <c r="S33" s="460">
        <v>0</v>
      </c>
      <c r="T33" s="460">
        <v>0</v>
      </c>
      <c r="U33" s="460">
        <v>0</v>
      </c>
      <c r="V33" s="460">
        <v>0</v>
      </c>
      <c r="W33" s="460">
        <v>0</v>
      </c>
      <c r="X33" s="460">
        <v>0</v>
      </c>
      <c r="Y33" s="460">
        <v>0</v>
      </c>
      <c r="Z33" s="460">
        <v>0</v>
      </c>
      <c r="AA33" s="460">
        <v>0</v>
      </c>
      <c r="AB33" s="460">
        <v>0</v>
      </c>
      <c r="AC33" s="460">
        <v>0</v>
      </c>
      <c r="AD33" s="460">
        <v>0</v>
      </c>
      <c r="AE33" s="460">
        <v>0</v>
      </c>
      <c r="AF33" s="460">
        <v>0</v>
      </c>
      <c r="AG33" s="460">
        <v>0</v>
      </c>
      <c r="AH33" s="460">
        <v>0</v>
      </c>
      <c r="AI33" s="460">
        <v>0</v>
      </c>
      <c r="AJ33" s="460">
        <v>0</v>
      </c>
      <c r="AK33" s="460">
        <v>0</v>
      </c>
      <c r="AL33" s="460">
        <v>0</v>
      </c>
      <c r="AM33" s="460">
        <v>0</v>
      </c>
      <c r="AN33" s="460">
        <v>569.06805072183181</v>
      </c>
      <c r="AO33" s="460">
        <v>0</v>
      </c>
      <c r="AP33" s="460">
        <v>0</v>
      </c>
      <c r="AQ33" s="460">
        <v>0</v>
      </c>
      <c r="AR33" s="460">
        <v>0</v>
      </c>
      <c r="AS33" s="460">
        <v>0</v>
      </c>
      <c r="AT33" s="460">
        <v>-759.4471804178628</v>
      </c>
      <c r="AU33" s="460">
        <v>0</v>
      </c>
      <c r="AV33" s="460">
        <v>0</v>
      </c>
      <c r="AW33" s="460">
        <v>0</v>
      </c>
      <c r="AX33" s="460">
        <v>0</v>
      </c>
      <c r="AY33" s="460">
        <v>0</v>
      </c>
      <c r="AZ33" s="460">
        <v>0</v>
      </c>
      <c r="BA33" s="460">
        <v>0</v>
      </c>
      <c r="BB33" s="460">
        <v>0</v>
      </c>
      <c r="BC33" s="460">
        <v>0</v>
      </c>
      <c r="BD33" s="460">
        <v>0</v>
      </c>
      <c r="BE33" s="460">
        <v>0</v>
      </c>
      <c r="BF33" s="460">
        <v>0</v>
      </c>
      <c r="BG33" s="460">
        <v>0</v>
      </c>
      <c r="BH33" s="460">
        <v>0</v>
      </c>
      <c r="BI33" s="460">
        <v>0</v>
      </c>
      <c r="BJ33" s="460">
        <v>0</v>
      </c>
      <c r="BK33" s="460">
        <v>0</v>
      </c>
      <c r="BL33" s="460">
        <v>0</v>
      </c>
      <c r="BM33" s="460">
        <v>0</v>
      </c>
      <c r="BN33" s="460">
        <v>0</v>
      </c>
      <c r="BO33" s="460">
        <v>0</v>
      </c>
      <c r="BP33" s="460">
        <v>0</v>
      </c>
      <c r="BQ33" s="460">
        <v>0</v>
      </c>
      <c r="BR33" s="460">
        <v>0</v>
      </c>
      <c r="BS33" s="460">
        <v>0</v>
      </c>
      <c r="BT33" s="460">
        <v>0</v>
      </c>
      <c r="BU33" s="460">
        <v>0</v>
      </c>
      <c r="BV33" s="460">
        <v>0</v>
      </c>
      <c r="BW33" s="460">
        <v>0</v>
      </c>
      <c r="BX33" s="460">
        <v>0</v>
      </c>
      <c r="BY33" s="460">
        <v>0</v>
      </c>
      <c r="BZ33" s="460">
        <v>0</v>
      </c>
      <c r="CA33" s="460" t="e">
        <v>#N/A</v>
      </c>
      <c r="CB33" s="460" t="e">
        <v>#N/A</v>
      </c>
      <c r="CC33" s="460" t="e">
        <v>#N/A</v>
      </c>
    </row>
    <row r="34" spans="1:81" ht="12.75" customHeight="1">
      <c r="A34" s="105">
        <v>29</v>
      </c>
      <c r="B34" s="458" t="str">
        <v>24M-30M</v>
      </c>
      <c r="C34" s="262">
        <f>'eur disaggregated'!U45</f>
        <v>2306.9750758037299</v>
      </c>
      <c r="D34" s="111" t="str">
        <f t="shared" si="2"/>
        <v>6M</v>
      </c>
      <c r="E34" s="441">
        <f>BktEur6mPL!E34</f>
        <v>43426</v>
      </c>
      <c r="F34" s="441">
        <f>BktEur6mPL!F34</f>
        <v>43607</v>
      </c>
      <c r="G34" s="462">
        <f t="shared" si="1"/>
        <v>3.2045966000000001E-4</v>
      </c>
      <c r="H34" s="453">
        <f>BktEur6mPL!H34</f>
        <v>3.2045966000000002E-2</v>
      </c>
      <c r="I34" s="107" t="str">
        <v>23M</v>
      </c>
      <c r="J34" s="106" t="str">
        <f>IF(LEN(I34)&gt;0,IF((MID(I34,4,1)=" "),#REF!,IF((LEN(I34)=8),DATE("20" &amp; RIGHT(I34,2),MID(I34,4,2),LEFT(I34,2)),SimplifyTenor(I34))),"")</f>
        <v>23M</v>
      </c>
      <c r="K34" s="448">
        <f>_xll.qlCalendarAdvance("TARGET",SettlementDate,J34)</f>
        <v>43395</v>
      </c>
      <c r="M34" s="99" t="str">
        <v>23M</v>
      </c>
      <c r="N34" s="465">
        <v>4851.1808839532823</v>
      </c>
      <c r="P34" s="106" t="b">
        <f t="shared" si="0"/>
        <v>0</v>
      </c>
      <c r="Q34" s="460">
        <f t="array" ref="Q34:CC34">C34*ForwardToZero(OisBuckets,E34,F34,G34)</f>
        <v>0</v>
      </c>
      <c r="R34" s="460">
        <v>0</v>
      </c>
      <c r="S34" s="460">
        <v>0</v>
      </c>
      <c r="T34" s="460">
        <v>0</v>
      </c>
      <c r="U34" s="460">
        <v>0</v>
      </c>
      <c r="V34" s="460">
        <v>0</v>
      </c>
      <c r="W34" s="460">
        <v>0</v>
      </c>
      <c r="X34" s="460">
        <v>0</v>
      </c>
      <c r="Y34" s="460">
        <v>0</v>
      </c>
      <c r="Z34" s="460">
        <v>0</v>
      </c>
      <c r="AA34" s="460">
        <v>0</v>
      </c>
      <c r="AB34" s="460">
        <v>0</v>
      </c>
      <c r="AC34" s="460">
        <v>0</v>
      </c>
      <c r="AD34" s="460">
        <v>0</v>
      </c>
      <c r="AE34" s="460">
        <v>0</v>
      </c>
      <c r="AF34" s="460">
        <v>0</v>
      </c>
      <c r="AG34" s="460">
        <v>0</v>
      </c>
      <c r="AH34" s="460">
        <v>0</v>
      </c>
      <c r="AI34" s="460">
        <v>0</v>
      </c>
      <c r="AJ34" s="460">
        <v>0</v>
      </c>
      <c r="AK34" s="460">
        <v>0</v>
      </c>
      <c r="AL34" s="460">
        <v>0</v>
      </c>
      <c r="AM34" s="460">
        <v>0</v>
      </c>
      <c r="AN34" s="460">
        <v>0</v>
      </c>
      <c r="AO34" s="460">
        <v>0</v>
      </c>
      <c r="AP34" s="460">
        <v>0</v>
      </c>
      <c r="AQ34" s="460">
        <v>0</v>
      </c>
      <c r="AR34" s="460">
        <v>0</v>
      </c>
      <c r="AS34" s="460">
        <v>0</v>
      </c>
      <c r="AT34" s="460">
        <v>2306.9750758037299</v>
      </c>
      <c r="AU34" s="460">
        <v>0</v>
      </c>
      <c r="AV34" s="460">
        <v>0</v>
      </c>
      <c r="AW34" s="460">
        <v>0</v>
      </c>
      <c r="AX34" s="460">
        <v>0</v>
      </c>
      <c r="AY34" s="460">
        <v>0</v>
      </c>
      <c r="AZ34" s="460">
        <v>0</v>
      </c>
      <c r="BA34" s="460">
        <v>0</v>
      </c>
      <c r="BB34" s="460">
        <v>0</v>
      </c>
      <c r="BC34" s="460">
        <v>0</v>
      </c>
      <c r="BD34" s="460">
        <v>0</v>
      </c>
      <c r="BE34" s="460">
        <v>0</v>
      </c>
      <c r="BF34" s="460">
        <v>0</v>
      </c>
      <c r="BG34" s="460">
        <v>0</v>
      </c>
      <c r="BH34" s="460">
        <v>0</v>
      </c>
      <c r="BI34" s="460">
        <v>0</v>
      </c>
      <c r="BJ34" s="460">
        <v>0</v>
      </c>
      <c r="BK34" s="460">
        <v>0</v>
      </c>
      <c r="BL34" s="460">
        <v>0</v>
      </c>
      <c r="BM34" s="460">
        <v>0</v>
      </c>
      <c r="BN34" s="460">
        <v>0</v>
      </c>
      <c r="BO34" s="460">
        <v>0</v>
      </c>
      <c r="BP34" s="460">
        <v>0</v>
      </c>
      <c r="BQ34" s="460">
        <v>0</v>
      </c>
      <c r="BR34" s="460">
        <v>0</v>
      </c>
      <c r="BS34" s="460">
        <v>0</v>
      </c>
      <c r="BT34" s="460">
        <v>0</v>
      </c>
      <c r="BU34" s="460">
        <v>0</v>
      </c>
      <c r="BV34" s="460">
        <v>0</v>
      </c>
      <c r="BW34" s="460">
        <v>0</v>
      </c>
      <c r="BX34" s="460">
        <v>0</v>
      </c>
      <c r="BY34" s="460">
        <v>0</v>
      </c>
      <c r="BZ34" s="460">
        <v>0</v>
      </c>
      <c r="CA34" s="460" t="e">
        <v>#N/A</v>
      </c>
      <c r="CB34" s="460" t="e">
        <v>#N/A</v>
      </c>
      <c r="CC34" s="460" t="e">
        <v>#N/A</v>
      </c>
    </row>
    <row r="35" spans="1:81" ht="12.75" customHeight="1">
      <c r="A35" s="105">
        <v>30</v>
      </c>
      <c r="B35" s="458" t="str">
        <v>3Y</v>
      </c>
      <c r="C35" s="262">
        <f>'eur disaggregated'!U46</f>
        <v>15339.326027818999</v>
      </c>
      <c r="D35" s="111" t="str">
        <f>IF(LEN(B35)&gt;3, "6M",IF(LEN(B35)&gt;0,SimplifyTenor(B35),""))</f>
        <v>36M</v>
      </c>
      <c r="E35" s="441">
        <f>BktEur6mPL!E35</f>
        <v>42696</v>
      </c>
      <c r="F35" s="441">
        <f>BktEur6mPL!F35</f>
        <v>43791</v>
      </c>
      <c r="G35" s="462">
        <f t="shared" si="1"/>
        <v>-6.0999999999999997E-4</v>
      </c>
      <c r="H35" s="453">
        <f>BktEur6mPL!H35</f>
        <v>-6.0999999999999999E-2</v>
      </c>
      <c r="I35" s="107" t="str">
        <v>2Y</v>
      </c>
      <c r="J35" s="106" t="str">
        <f>IF(LEN(I35)&gt;0,IF((MID(I35,4,1)=" "),#REF!,IF((LEN(I35)=8),DATE("20" &amp; RIGHT(I35,2),MID(I35,4,2),LEFT(I35,2)),SimplifyTenor(I35))),"")</f>
        <v>24M</v>
      </c>
      <c r="K35" s="448">
        <f>_xll.qlCalendarAdvance("TARGET",SettlementDate,J35)</f>
        <v>43426</v>
      </c>
      <c r="M35" s="99" t="str">
        <v>2Y</v>
      </c>
      <c r="N35" s="465">
        <v>1547.5278953858669</v>
      </c>
      <c r="P35" s="106" t="b">
        <f t="shared" si="0"/>
        <v>0</v>
      </c>
      <c r="Q35" s="460">
        <f t="array" ref="Q35:CC35">C35*ForwardToZero(OisBuckets,E35,F35,G35)</f>
        <v>0</v>
      </c>
      <c r="R35" s="460">
        <v>0</v>
      </c>
      <c r="S35" s="460">
        <v>0</v>
      </c>
      <c r="T35" s="460">
        <v>0</v>
      </c>
      <c r="U35" s="460">
        <v>0</v>
      </c>
      <c r="V35" s="460">
        <v>0</v>
      </c>
      <c r="W35" s="460">
        <v>0</v>
      </c>
      <c r="X35" s="460">
        <v>0</v>
      </c>
      <c r="Y35" s="460">
        <v>0</v>
      </c>
      <c r="Z35" s="460">
        <v>0</v>
      </c>
      <c r="AA35" s="460">
        <v>0</v>
      </c>
      <c r="AB35" s="460">
        <v>0</v>
      </c>
      <c r="AC35" s="460">
        <v>0</v>
      </c>
      <c r="AD35" s="460">
        <v>0</v>
      </c>
      <c r="AE35" s="460">
        <v>0</v>
      </c>
      <c r="AF35" s="460">
        <v>0</v>
      </c>
      <c r="AG35" s="460">
        <v>0</v>
      </c>
      <c r="AH35" s="460">
        <v>0</v>
      </c>
      <c r="AI35" s="460">
        <v>0</v>
      </c>
      <c r="AJ35" s="460">
        <v>0</v>
      </c>
      <c r="AK35" s="460">
        <v>0</v>
      </c>
      <c r="AL35" s="460">
        <v>0</v>
      </c>
      <c r="AM35" s="460">
        <v>0</v>
      </c>
      <c r="AN35" s="460">
        <v>0</v>
      </c>
      <c r="AO35" s="460">
        <v>0</v>
      </c>
      <c r="AP35" s="460">
        <v>0</v>
      </c>
      <c r="AQ35" s="460">
        <v>0</v>
      </c>
      <c r="AR35" s="460">
        <v>0</v>
      </c>
      <c r="AS35" s="460">
        <v>0</v>
      </c>
      <c r="AT35" s="460">
        <v>0</v>
      </c>
      <c r="AU35" s="460">
        <v>15339.326027818999</v>
      </c>
      <c r="AV35" s="460">
        <v>0</v>
      </c>
      <c r="AW35" s="460">
        <v>0</v>
      </c>
      <c r="AX35" s="460">
        <v>0</v>
      </c>
      <c r="AY35" s="460">
        <v>0</v>
      </c>
      <c r="AZ35" s="460">
        <v>0</v>
      </c>
      <c r="BA35" s="460">
        <v>0</v>
      </c>
      <c r="BB35" s="460">
        <v>0</v>
      </c>
      <c r="BC35" s="460">
        <v>0</v>
      </c>
      <c r="BD35" s="460">
        <v>0</v>
      </c>
      <c r="BE35" s="460">
        <v>0</v>
      </c>
      <c r="BF35" s="460">
        <v>0</v>
      </c>
      <c r="BG35" s="460">
        <v>0</v>
      </c>
      <c r="BH35" s="460">
        <v>0</v>
      </c>
      <c r="BI35" s="460">
        <v>0</v>
      </c>
      <c r="BJ35" s="460">
        <v>0</v>
      </c>
      <c r="BK35" s="460">
        <v>0</v>
      </c>
      <c r="BL35" s="460">
        <v>0</v>
      </c>
      <c r="BM35" s="460">
        <v>0</v>
      </c>
      <c r="BN35" s="460">
        <v>0</v>
      </c>
      <c r="BO35" s="460">
        <v>0</v>
      </c>
      <c r="BP35" s="460">
        <v>0</v>
      </c>
      <c r="BQ35" s="460">
        <v>0</v>
      </c>
      <c r="BR35" s="460">
        <v>0</v>
      </c>
      <c r="BS35" s="460">
        <v>0</v>
      </c>
      <c r="BT35" s="460">
        <v>0</v>
      </c>
      <c r="BU35" s="460">
        <v>0</v>
      </c>
      <c r="BV35" s="460">
        <v>0</v>
      </c>
      <c r="BW35" s="460">
        <v>0</v>
      </c>
      <c r="BX35" s="460">
        <v>0</v>
      </c>
      <c r="BY35" s="460">
        <v>0</v>
      </c>
      <c r="BZ35" s="460">
        <v>0</v>
      </c>
      <c r="CA35" s="460" t="e">
        <v>#N/A</v>
      </c>
      <c r="CB35" s="460" t="e">
        <v>#N/A</v>
      </c>
      <c r="CC35" s="460" t="e">
        <v>#N/A</v>
      </c>
    </row>
    <row r="36" spans="1:81" ht="12.75" customHeight="1">
      <c r="A36" s="105">
        <v>31</v>
      </c>
      <c r="B36" s="458" t="str">
        <v>4Y</v>
      </c>
      <c r="C36" s="262">
        <f>'eur disaggregated'!U47</f>
        <v>-1738.4900660464</v>
      </c>
      <c r="D36" s="111" t="str">
        <f t="shared" ref="D36:D74" si="4">IF(LEN(B36)&gt;3, "6M",IF(LEN(B36)&gt;0,SimplifyTenor(B36),""))</f>
        <v>48M</v>
      </c>
      <c r="E36" s="441">
        <f>BktEur6mPL!E36</f>
        <v>42696</v>
      </c>
      <c r="F36" s="441">
        <f>BktEur6mPL!F36</f>
        <v>44158</v>
      </c>
      <c r="G36" s="462">
        <f t="shared" si="1"/>
        <v>2.8000000000000003E-4</v>
      </c>
      <c r="H36" s="453">
        <f>BktEur6mPL!H36</f>
        <v>2.8000000000000001E-2</v>
      </c>
      <c r="I36" s="107" t="str">
        <v>3Y</v>
      </c>
      <c r="J36" s="106" t="str">
        <f>IF(LEN(I36)&gt;0,IF((MID(I36,4,1)=" "),#REF!,IF((LEN(I36)=8),DATE("20" &amp; RIGHT(I36,2),MID(I36,4,2),LEFT(I36,2)),SimplifyTenor(I36))),"")</f>
        <v>36M</v>
      </c>
      <c r="K36" s="448">
        <f>_xll.qlCalendarAdvance("TARGET",SettlementDate,J36)</f>
        <v>43791</v>
      </c>
      <c r="M36" s="99" t="str">
        <v>3Y</v>
      </c>
      <c r="N36" s="465">
        <v>15339.326027818999</v>
      </c>
      <c r="P36" s="106" t="b">
        <f t="shared" si="0"/>
        <v>0</v>
      </c>
      <c r="Q36" s="460">
        <f t="array" ref="Q36:CC36">C36*ForwardToZero(OisBuckets,E36,F36,G36)</f>
        <v>0</v>
      </c>
      <c r="R36" s="460">
        <v>0</v>
      </c>
      <c r="S36" s="460">
        <v>0</v>
      </c>
      <c r="T36" s="460">
        <v>0</v>
      </c>
      <c r="U36" s="460">
        <v>0</v>
      </c>
      <c r="V36" s="460">
        <v>0</v>
      </c>
      <c r="W36" s="460">
        <v>0</v>
      </c>
      <c r="X36" s="460">
        <v>0</v>
      </c>
      <c r="Y36" s="460">
        <v>0</v>
      </c>
      <c r="Z36" s="460">
        <v>0</v>
      </c>
      <c r="AA36" s="460">
        <v>0</v>
      </c>
      <c r="AB36" s="460">
        <v>0</v>
      </c>
      <c r="AC36" s="460">
        <v>0</v>
      </c>
      <c r="AD36" s="460">
        <v>0</v>
      </c>
      <c r="AE36" s="460">
        <v>0</v>
      </c>
      <c r="AF36" s="460">
        <v>0</v>
      </c>
      <c r="AG36" s="460">
        <v>0</v>
      </c>
      <c r="AH36" s="460">
        <v>0</v>
      </c>
      <c r="AI36" s="460">
        <v>0</v>
      </c>
      <c r="AJ36" s="460">
        <v>0</v>
      </c>
      <c r="AK36" s="460">
        <v>0</v>
      </c>
      <c r="AL36" s="460">
        <v>0</v>
      </c>
      <c r="AM36" s="460">
        <v>0</v>
      </c>
      <c r="AN36" s="460">
        <v>0</v>
      </c>
      <c r="AO36" s="460">
        <v>0</v>
      </c>
      <c r="AP36" s="460">
        <v>0</v>
      </c>
      <c r="AQ36" s="460">
        <v>0</v>
      </c>
      <c r="AR36" s="460">
        <v>0</v>
      </c>
      <c r="AS36" s="460">
        <v>0</v>
      </c>
      <c r="AT36" s="460">
        <v>0</v>
      </c>
      <c r="AU36" s="460">
        <v>0</v>
      </c>
      <c r="AV36" s="460">
        <v>-1738.4900660464</v>
      </c>
      <c r="AW36" s="460">
        <v>0</v>
      </c>
      <c r="AX36" s="460">
        <v>0</v>
      </c>
      <c r="AY36" s="460">
        <v>0</v>
      </c>
      <c r="AZ36" s="460">
        <v>0</v>
      </c>
      <c r="BA36" s="460">
        <v>0</v>
      </c>
      <c r="BB36" s="460">
        <v>0</v>
      </c>
      <c r="BC36" s="460">
        <v>0</v>
      </c>
      <c r="BD36" s="460">
        <v>0</v>
      </c>
      <c r="BE36" s="460">
        <v>0</v>
      </c>
      <c r="BF36" s="460">
        <v>0</v>
      </c>
      <c r="BG36" s="460">
        <v>0</v>
      </c>
      <c r="BH36" s="460">
        <v>0</v>
      </c>
      <c r="BI36" s="460">
        <v>0</v>
      </c>
      <c r="BJ36" s="460">
        <v>0</v>
      </c>
      <c r="BK36" s="460">
        <v>0</v>
      </c>
      <c r="BL36" s="460">
        <v>0</v>
      </c>
      <c r="BM36" s="460">
        <v>0</v>
      </c>
      <c r="BN36" s="460">
        <v>0</v>
      </c>
      <c r="BO36" s="460">
        <v>0</v>
      </c>
      <c r="BP36" s="460">
        <v>0</v>
      </c>
      <c r="BQ36" s="460">
        <v>0</v>
      </c>
      <c r="BR36" s="460">
        <v>0</v>
      </c>
      <c r="BS36" s="460">
        <v>0</v>
      </c>
      <c r="BT36" s="460">
        <v>0</v>
      </c>
      <c r="BU36" s="460">
        <v>0</v>
      </c>
      <c r="BV36" s="460">
        <v>0</v>
      </c>
      <c r="BW36" s="460">
        <v>0</v>
      </c>
      <c r="BX36" s="460">
        <v>0</v>
      </c>
      <c r="BY36" s="460">
        <v>0</v>
      </c>
      <c r="BZ36" s="460">
        <v>0</v>
      </c>
      <c r="CA36" s="460" t="e">
        <v>#N/A</v>
      </c>
      <c r="CB36" s="460" t="e">
        <v>#N/A</v>
      </c>
      <c r="CC36" s="460" t="e">
        <v>#N/A</v>
      </c>
    </row>
    <row r="37" spans="1:81" ht="12.75" customHeight="1">
      <c r="A37" s="105">
        <v>32</v>
      </c>
      <c r="B37" s="458" t="str">
        <v>5Y</v>
      </c>
      <c r="C37" s="262">
        <f>'eur disaggregated'!U48</f>
        <v>-3531.8524247124701</v>
      </c>
      <c r="D37" s="111" t="str">
        <f t="shared" si="4"/>
        <v>60M</v>
      </c>
      <c r="E37" s="441">
        <f>BktEur6mPL!E37</f>
        <v>42696</v>
      </c>
      <c r="F37" s="441">
        <f>BktEur6mPL!F37</f>
        <v>44522</v>
      </c>
      <c r="G37" s="462">
        <f t="shared" si="1"/>
        <v>1.32E-3</v>
      </c>
      <c r="H37" s="453">
        <f>BktEur6mPL!H37</f>
        <v>0.13200000000000001</v>
      </c>
      <c r="I37" s="107" t="str">
        <v>4Y</v>
      </c>
      <c r="J37" s="106" t="str">
        <f>IF(LEN(I37)&gt;0,IF((MID(I37,4,1)=" "),#REF!,IF((LEN(I37)=8),DATE("20" &amp; RIGHT(I37,2),MID(I37,4,2),LEFT(I37,2)),SimplifyTenor(I37))),"")</f>
        <v>48M</v>
      </c>
      <c r="K37" s="448">
        <f>_xll.qlCalendarAdvance("TARGET",SettlementDate,J37)</f>
        <v>44158</v>
      </c>
      <c r="M37" s="99" t="str">
        <v>4Y</v>
      </c>
      <c r="N37" s="465">
        <v>-1738.4900660464</v>
      </c>
      <c r="P37" s="106" t="b">
        <f t="shared" si="0"/>
        <v>0</v>
      </c>
      <c r="Q37" s="460">
        <f t="array" ref="Q37:CC37">C37*ForwardToZero(OisBuckets,E37,F37,G37)</f>
        <v>0</v>
      </c>
      <c r="R37" s="460">
        <v>0</v>
      </c>
      <c r="S37" s="460">
        <v>0</v>
      </c>
      <c r="T37" s="460">
        <v>0</v>
      </c>
      <c r="U37" s="460">
        <v>0</v>
      </c>
      <c r="V37" s="460">
        <v>0</v>
      </c>
      <c r="W37" s="460">
        <v>0</v>
      </c>
      <c r="X37" s="460">
        <v>0</v>
      </c>
      <c r="Y37" s="460">
        <v>0</v>
      </c>
      <c r="Z37" s="460">
        <v>0</v>
      </c>
      <c r="AA37" s="460">
        <v>0</v>
      </c>
      <c r="AB37" s="460">
        <v>0</v>
      </c>
      <c r="AC37" s="460">
        <v>0</v>
      </c>
      <c r="AD37" s="460">
        <v>0</v>
      </c>
      <c r="AE37" s="460">
        <v>0</v>
      </c>
      <c r="AF37" s="460">
        <v>0</v>
      </c>
      <c r="AG37" s="460">
        <v>0</v>
      </c>
      <c r="AH37" s="460">
        <v>0</v>
      </c>
      <c r="AI37" s="460">
        <v>0</v>
      </c>
      <c r="AJ37" s="460">
        <v>0</v>
      </c>
      <c r="AK37" s="460">
        <v>0</v>
      </c>
      <c r="AL37" s="460">
        <v>0</v>
      </c>
      <c r="AM37" s="460">
        <v>0</v>
      </c>
      <c r="AN37" s="460">
        <v>0</v>
      </c>
      <c r="AO37" s="460">
        <v>0</v>
      </c>
      <c r="AP37" s="460">
        <v>0</v>
      </c>
      <c r="AQ37" s="460">
        <v>0</v>
      </c>
      <c r="AR37" s="460">
        <v>0</v>
      </c>
      <c r="AS37" s="460">
        <v>0</v>
      </c>
      <c r="AT37" s="460">
        <v>0</v>
      </c>
      <c r="AU37" s="460">
        <v>0</v>
      </c>
      <c r="AV37" s="460">
        <v>0</v>
      </c>
      <c r="AW37" s="460">
        <v>-3531.8524247124701</v>
      </c>
      <c r="AX37" s="460">
        <v>0</v>
      </c>
      <c r="AY37" s="460">
        <v>0</v>
      </c>
      <c r="AZ37" s="460">
        <v>0</v>
      </c>
      <c r="BA37" s="460">
        <v>0</v>
      </c>
      <c r="BB37" s="460">
        <v>0</v>
      </c>
      <c r="BC37" s="460">
        <v>0</v>
      </c>
      <c r="BD37" s="460">
        <v>0</v>
      </c>
      <c r="BE37" s="460">
        <v>0</v>
      </c>
      <c r="BF37" s="460">
        <v>0</v>
      </c>
      <c r="BG37" s="460">
        <v>0</v>
      </c>
      <c r="BH37" s="460">
        <v>0</v>
      </c>
      <c r="BI37" s="460">
        <v>0</v>
      </c>
      <c r="BJ37" s="460">
        <v>0</v>
      </c>
      <c r="BK37" s="460">
        <v>0</v>
      </c>
      <c r="BL37" s="460">
        <v>0</v>
      </c>
      <c r="BM37" s="460">
        <v>0</v>
      </c>
      <c r="BN37" s="460">
        <v>0</v>
      </c>
      <c r="BO37" s="460">
        <v>0</v>
      </c>
      <c r="BP37" s="460">
        <v>0</v>
      </c>
      <c r="BQ37" s="460">
        <v>0</v>
      </c>
      <c r="BR37" s="460">
        <v>0</v>
      </c>
      <c r="BS37" s="460">
        <v>0</v>
      </c>
      <c r="BT37" s="460">
        <v>0</v>
      </c>
      <c r="BU37" s="460">
        <v>0</v>
      </c>
      <c r="BV37" s="460">
        <v>0</v>
      </c>
      <c r="BW37" s="460">
        <v>0</v>
      </c>
      <c r="BX37" s="460">
        <v>0</v>
      </c>
      <c r="BY37" s="460">
        <v>0</v>
      </c>
      <c r="BZ37" s="460">
        <v>0</v>
      </c>
      <c r="CA37" s="460" t="e">
        <v>#N/A</v>
      </c>
      <c r="CB37" s="460" t="e">
        <v>#N/A</v>
      </c>
      <c r="CC37" s="460" t="e">
        <v>#N/A</v>
      </c>
    </row>
    <row r="38" spans="1:81" ht="12.75" customHeight="1">
      <c r="A38" s="105">
        <v>33</v>
      </c>
      <c r="B38" s="458" t="str">
        <v>6Y</v>
      </c>
      <c r="C38" s="262">
        <f>'eur disaggregated'!U49</f>
        <v>-11659.5805942754</v>
      </c>
      <c r="D38" s="111" t="str">
        <f t="shared" si="4"/>
        <v>72M</v>
      </c>
      <c r="E38" s="441">
        <f>BktEur6mPL!E38</f>
        <v>42696</v>
      </c>
      <c r="F38" s="441">
        <f>BktEur6mPL!F38</f>
        <v>44887</v>
      </c>
      <c r="G38" s="462">
        <f t="shared" si="1"/>
        <v>2.4199999999999998E-3</v>
      </c>
      <c r="H38" s="453">
        <f>BktEur6mPL!H38</f>
        <v>0.24199999999999999</v>
      </c>
      <c r="I38" s="107" t="str">
        <v>5Y</v>
      </c>
      <c r="J38" s="106" t="str">
        <f>IF(LEN(I38)&gt;0,IF((MID(I38,4,1)=" "),#REF!,IF((LEN(I38)=8),DATE("20" &amp; RIGHT(I38,2),MID(I38,4,2),LEFT(I38,2)),SimplifyTenor(I38))),"")</f>
        <v>60M</v>
      </c>
      <c r="K38" s="448">
        <f>_xll.qlCalendarAdvance("TARGET",SettlementDate,J38)</f>
        <v>44522</v>
      </c>
      <c r="M38" s="99" t="str">
        <v>5Y</v>
      </c>
      <c r="N38" s="465">
        <v>-3531.8524247124701</v>
      </c>
      <c r="P38" s="106" t="b">
        <f t="shared" ref="P38:P70" si="5">MID(B38,4,1)=" "</f>
        <v>0</v>
      </c>
      <c r="Q38" s="460">
        <f t="array" ref="Q38:CC38">C38*ForwardToZero(OisBuckets,E38,F38,G38)</f>
        <v>0</v>
      </c>
      <c r="R38" s="460">
        <v>0</v>
      </c>
      <c r="S38" s="460">
        <v>0</v>
      </c>
      <c r="T38" s="460">
        <v>0</v>
      </c>
      <c r="U38" s="460">
        <v>0</v>
      </c>
      <c r="V38" s="460">
        <v>0</v>
      </c>
      <c r="W38" s="460">
        <v>0</v>
      </c>
      <c r="X38" s="460">
        <v>0</v>
      </c>
      <c r="Y38" s="460">
        <v>0</v>
      </c>
      <c r="Z38" s="460">
        <v>0</v>
      </c>
      <c r="AA38" s="460">
        <v>0</v>
      </c>
      <c r="AB38" s="460">
        <v>0</v>
      </c>
      <c r="AC38" s="460">
        <v>0</v>
      </c>
      <c r="AD38" s="460">
        <v>0</v>
      </c>
      <c r="AE38" s="460">
        <v>0</v>
      </c>
      <c r="AF38" s="460">
        <v>0</v>
      </c>
      <c r="AG38" s="460">
        <v>0</v>
      </c>
      <c r="AH38" s="460">
        <v>0</v>
      </c>
      <c r="AI38" s="460">
        <v>0</v>
      </c>
      <c r="AJ38" s="460">
        <v>0</v>
      </c>
      <c r="AK38" s="460">
        <v>0</v>
      </c>
      <c r="AL38" s="460">
        <v>0</v>
      </c>
      <c r="AM38" s="460">
        <v>0</v>
      </c>
      <c r="AN38" s="460">
        <v>0</v>
      </c>
      <c r="AO38" s="460">
        <v>0</v>
      </c>
      <c r="AP38" s="460">
        <v>0</v>
      </c>
      <c r="AQ38" s="460">
        <v>0</v>
      </c>
      <c r="AR38" s="460">
        <v>0</v>
      </c>
      <c r="AS38" s="460">
        <v>0</v>
      </c>
      <c r="AT38" s="460">
        <v>0</v>
      </c>
      <c r="AU38" s="460">
        <v>0</v>
      </c>
      <c r="AV38" s="460">
        <v>0</v>
      </c>
      <c r="AW38" s="460">
        <v>0</v>
      </c>
      <c r="AX38" s="460">
        <v>-11659.5805942754</v>
      </c>
      <c r="AY38" s="460">
        <v>0</v>
      </c>
      <c r="AZ38" s="460">
        <v>0</v>
      </c>
      <c r="BA38" s="460">
        <v>0</v>
      </c>
      <c r="BB38" s="460">
        <v>0</v>
      </c>
      <c r="BC38" s="460">
        <v>0</v>
      </c>
      <c r="BD38" s="460">
        <v>0</v>
      </c>
      <c r="BE38" s="460">
        <v>0</v>
      </c>
      <c r="BF38" s="460">
        <v>0</v>
      </c>
      <c r="BG38" s="460">
        <v>0</v>
      </c>
      <c r="BH38" s="460">
        <v>0</v>
      </c>
      <c r="BI38" s="460">
        <v>0</v>
      </c>
      <c r="BJ38" s="460">
        <v>0</v>
      </c>
      <c r="BK38" s="460">
        <v>0</v>
      </c>
      <c r="BL38" s="460">
        <v>0</v>
      </c>
      <c r="BM38" s="460">
        <v>0</v>
      </c>
      <c r="BN38" s="460">
        <v>0</v>
      </c>
      <c r="BO38" s="460">
        <v>0</v>
      </c>
      <c r="BP38" s="460">
        <v>0</v>
      </c>
      <c r="BQ38" s="460">
        <v>0</v>
      </c>
      <c r="BR38" s="460">
        <v>0</v>
      </c>
      <c r="BS38" s="460">
        <v>0</v>
      </c>
      <c r="BT38" s="460">
        <v>0</v>
      </c>
      <c r="BU38" s="460">
        <v>0</v>
      </c>
      <c r="BV38" s="460">
        <v>0</v>
      </c>
      <c r="BW38" s="460">
        <v>0</v>
      </c>
      <c r="BX38" s="460">
        <v>0</v>
      </c>
      <c r="BY38" s="460">
        <v>0</v>
      </c>
      <c r="BZ38" s="460">
        <v>0</v>
      </c>
      <c r="CA38" s="460" t="e">
        <v>#N/A</v>
      </c>
      <c r="CB38" s="460" t="e">
        <v>#N/A</v>
      </c>
      <c r="CC38" s="460" t="e">
        <v>#N/A</v>
      </c>
    </row>
    <row r="39" spans="1:81" ht="12.75" customHeight="1">
      <c r="A39" s="105">
        <v>34</v>
      </c>
      <c r="B39" s="458" t="str">
        <v>7Y</v>
      </c>
      <c r="C39" s="262">
        <f>'eur disaggregated'!U50</f>
        <v>12259.0319106268</v>
      </c>
      <c r="D39" s="111" t="str">
        <f t="shared" si="4"/>
        <v>84M</v>
      </c>
      <c r="E39" s="441">
        <f>BktEur6mPL!E39</f>
        <v>42696</v>
      </c>
      <c r="F39" s="441">
        <f>BktEur6mPL!F39</f>
        <v>45252</v>
      </c>
      <c r="G39" s="462">
        <f t="shared" si="1"/>
        <v>3.5499999999999998E-3</v>
      </c>
      <c r="H39" s="453">
        <f>BktEur6mPL!H39</f>
        <v>0.35499999999999998</v>
      </c>
      <c r="I39" s="107" t="str">
        <v>6Y</v>
      </c>
      <c r="J39" s="106" t="str">
        <f>IF(LEN(I39)&gt;0,IF((MID(I39,4,1)=" "),#REF!,IF((LEN(I39)=8),DATE("20" &amp; RIGHT(I39,2),MID(I39,4,2),LEFT(I39,2)),SimplifyTenor(I39))),"")</f>
        <v>72M</v>
      </c>
      <c r="K39" s="448">
        <f>_xll.qlCalendarAdvance("TARGET",SettlementDate,J39)</f>
        <v>44887</v>
      </c>
      <c r="M39" s="99" t="str">
        <v>6Y</v>
      </c>
      <c r="N39" s="465">
        <v>-11659.5805942754</v>
      </c>
      <c r="P39" s="106" t="b">
        <f t="shared" si="5"/>
        <v>0</v>
      </c>
      <c r="Q39" s="460">
        <f t="array" ref="Q39:CC39">C39*ForwardToZero(OisBuckets,E39,F39,G39)</f>
        <v>0</v>
      </c>
      <c r="R39" s="460">
        <v>0</v>
      </c>
      <c r="S39" s="460">
        <v>0</v>
      </c>
      <c r="T39" s="460">
        <v>0</v>
      </c>
      <c r="U39" s="460">
        <v>0</v>
      </c>
      <c r="V39" s="460">
        <v>0</v>
      </c>
      <c r="W39" s="460">
        <v>0</v>
      </c>
      <c r="X39" s="460">
        <v>0</v>
      </c>
      <c r="Y39" s="460">
        <v>0</v>
      </c>
      <c r="Z39" s="460">
        <v>0</v>
      </c>
      <c r="AA39" s="460">
        <v>0</v>
      </c>
      <c r="AB39" s="460">
        <v>0</v>
      </c>
      <c r="AC39" s="460">
        <v>0</v>
      </c>
      <c r="AD39" s="460">
        <v>0</v>
      </c>
      <c r="AE39" s="460">
        <v>0</v>
      </c>
      <c r="AF39" s="460">
        <v>0</v>
      </c>
      <c r="AG39" s="460">
        <v>0</v>
      </c>
      <c r="AH39" s="460">
        <v>0</v>
      </c>
      <c r="AI39" s="460">
        <v>0</v>
      </c>
      <c r="AJ39" s="460">
        <v>0</v>
      </c>
      <c r="AK39" s="460">
        <v>0</v>
      </c>
      <c r="AL39" s="460">
        <v>0</v>
      </c>
      <c r="AM39" s="460">
        <v>0</v>
      </c>
      <c r="AN39" s="460">
        <v>0</v>
      </c>
      <c r="AO39" s="460">
        <v>0</v>
      </c>
      <c r="AP39" s="460">
        <v>0</v>
      </c>
      <c r="AQ39" s="460">
        <v>0</v>
      </c>
      <c r="AR39" s="460">
        <v>0</v>
      </c>
      <c r="AS39" s="460">
        <v>0</v>
      </c>
      <c r="AT39" s="460">
        <v>0</v>
      </c>
      <c r="AU39" s="460">
        <v>0</v>
      </c>
      <c r="AV39" s="460">
        <v>0</v>
      </c>
      <c r="AW39" s="460">
        <v>0</v>
      </c>
      <c r="AX39" s="460">
        <v>0</v>
      </c>
      <c r="AY39" s="460">
        <v>12259.0319106268</v>
      </c>
      <c r="AZ39" s="460">
        <v>0</v>
      </c>
      <c r="BA39" s="460">
        <v>0</v>
      </c>
      <c r="BB39" s="460">
        <v>0</v>
      </c>
      <c r="BC39" s="460">
        <v>0</v>
      </c>
      <c r="BD39" s="460">
        <v>0</v>
      </c>
      <c r="BE39" s="460">
        <v>0</v>
      </c>
      <c r="BF39" s="460">
        <v>0</v>
      </c>
      <c r="BG39" s="460">
        <v>0</v>
      </c>
      <c r="BH39" s="460">
        <v>0</v>
      </c>
      <c r="BI39" s="460">
        <v>0</v>
      </c>
      <c r="BJ39" s="460">
        <v>0</v>
      </c>
      <c r="BK39" s="460">
        <v>0</v>
      </c>
      <c r="BL39" s="460">
        <v>0</v>
      </c>
      <c r="BM39" s="460">
        <v>0</v>
      </c>
      <c r="BN39" s="460">
        <v>0</v>
      </c>
      <c r="BO39" s="460">
        <v>0</v>
      </c>
      <c r="BP39" s="460">
        <v>0</v>
      </c>
      <c r="BQ39" s="460">
        <v>0</v>
      </c>
      <c r="BR39" s="460">
        <v>0</v>
      </c>
      <c r="BS39" s="460">
        <v>0</v>
      </c>
      <c r="BT39" s="460">
        <v>0</v>
      </c>
      <c r="BU39" s="460">
        <v>0</v>
      </c>
      <c r="BV39" s="460">
        <v>0</v>
      </c>
      <c r="BW39" s="460">
        <v>0</v>
      </c>
      <c r="BX39" s="460">
        <v>0</v>
      </c>
      <c r="BY39" s="460">
        <v>0</v>
      </c>
      <c r="BZ39" s="460">
        <v>0</v>
      </c>
      <c r="CA39" s="460" t="e">
        <v>#N/A</v>
      </c>
      <c r="CB39" s="460" t="e">
        <v>#N/A</v>
      </c>
      <c r="CC39" s="460" t="e">
        <v>#N/A</v>
      </c>
    </row>
    <row r="40" spans="1:81" ht="12.75" customHeight="1">
      <c r="A40" s="105">
        <v>35</v>
      </c>
      <c r="B40" s="458" t="str">
        <v>8Y</v>
      </c>
      <c r="C40" s="262">
        <f>'eur disaggregated'!U51</f>
        <v>-7650.3760629800699</v>
      </c>
      <c r="D40" s="111" t="str">
        <f t="shared" si="4"/>
        <v>96M</v>
      </c>
      <c r="E40" s="441">
        <f>BktEur6mPL!E40</f>
        <v>42696</v>
      </c>
      <c r="F40" s="441">
        <f>BktEur6mPL!F40</f>
        <v>45618</v>
      </c>
      <c r="G40" s="462">
        <f t="shared" si="1"/>
        <v>4.6700000000000005E-3</v>
      </c>
      <c r="H40" s="453">
        <f>BktEur6mPL!H40</f>
        <v>0.46700000000000003</v>
      </c>
      <c r="I40" s="107" t="str">
        <v>7Y</v>
      </c>
      <c r="J40" s="106" t="str">
        <f>IF(LEN(I40)&gt;0,IF((MID(I40,4,1)=" "),#REF!,IF((LEN(I40)=8),DATE("20" &amp; RIGHT(I40,2),MID(I40,4,2),LEFT(I40,2)),SimplifyTenor(I40))),"")</f>
        <v>84M</v>
      </c>
      <c r="K40" s="448">
        <f>_xll.qlCalendarAdvance("TARGET",SettlementDate,J40)</f>
        <v>45252</v>
      </c>
      <c r="M40" s="99" t="str">
        <v>7Y</v>
      </c>
      <c r="N40" s="465">
        <v>12259.0319106268</v>
      </c>
      <c r="P40" s="106" t="b">
        <f t="shared" si="5"/>
        <v>0</v>
      </c>
      <c r="Q40" s="460">
        <f t="array" ref="Q40:CC40">C40*ForwardToZero(OisBuckets,E40,F40,G40)</f>
        <v>0</v>
      </c>
      <c r="R40" s="460">
        <v>0</v>
      </c>
      <c r="S40" s="460">
        <v>0</v>
      </c>
      <c r="T40" s="460">
        <v>0</v>
      </c>
      <c r="U40" s="460">
        <v>0</v>
      </c>
      <c r="V40" s="460">
        <v>0</v>
      </c>
      <c r="W40" s="460">
        <v>0</v>
      </c>
      <c r="X40" s="460">
        <v>0</v>
      </c>
      <c r="Y40" s="460">
        <v>0</v>
      </c>
      <c r="Z40" s="460">
        <v>0</v>
      </c>
      <c r="AA40" s="460">
        <v>0</v>
      </c>
      <c r="AB40" s="460">
        <v>0</v>
      </c>
      <c r="AC40" s="460">
        <v>0</v>
      </c>
      <c r="AD40" s="460">
        <v>0</v>
      </c>
      <c r="AE40" s="460">
        <v>0</v>
      </c>
      <c r="AF40" s="460">
        <v>0</v>
      </c>
      <c r="AG40" s="460">
        <v>0</v>
      </c>
      <c r="AH40" s="460">
        <v>0</v>
      </c>
      <c r="AI40" s="460">
        <v>0</v>
      </c>
      <c r="AJ40" s="460">
        <v>0</v>
      </c>
      <c r="AK40" s="460">
        <v>0</v>
      </c>
      <c r="AL40" s="460">
        <v>0</v>
      </c>
      <c r="AM40" s="460">
        <v>0</v>
      </c>
      <c r="AN40" s="460">
        <v>0</v>
      </c>
      <c r="AO40" s="460">
        <v>0</v>
      </c>
      <c r="AP40" s="460">
        <v>0</v>
      </c>
      <c r="AQ40" s="460">
        <v>0</v>
      </c>
      <c r="AR40" s="460">
        <v>0</v>
      </c>
      <c r="AS40" s="460">
        <v>0</v>
      </c>
      <c r="AT40" s="460">
        <v>0</v>
      </c>
      <c r="AU40" s="460">
        <v>0</v>
      </c>
      <c r="AV40" s="460">
        <v>0</v>
      </c>
      <c r="AW40" s="460">
        <v>0</v>
      </c>
      <c r="AX40" s="460">
        <v>0</v>
      </c>
      <c r="AY40" s="460">
        <v>0</v>
      </c>
      <c r="AZ40" s="460">
        <v>-7650.3760629800699</v>
      </c>
      <c r="BA40" s="460">
        <v>0</v>
      </c>
      <c r="BB40" s="460">
        <v>0</v>
      </c>
      <c r="BC40" s="460">
        <v>0</v>
      </c>
      <c r="BD40" s="460">
        <v>0</v>
      </c>
      <c r="BE40" s="460">
        <v>0</v>
      </c>
      <c r="BF40" s="460">
        <v>0</v>
      </c>
      <c r="BG40" s="460">
        <v>0</v>
      </c>
      <c r="BH40" s="460">
        <v>0</v>
      </c>
      <c r="BI40" s="460">
        <v>0</v>
      </c>
      <c r="BJ40" s="460">
        <v>0</v>
      </c>
      <c r="BK40" s="460">
        <v>0</v>
      </c>
      <c r="BL40" s="460">
        <v>0</v>
      </c>
      <c r="BM40" s="460">
        <v>0</v>
      </c>
      <c r="BN40" s="460">
        <v>0</v>
      </c>
      <c r="BO40" s="460">
        <v>0</v>
      </c>
      <c r="BP40" s="460">
        <v>0</v>
      </c>
      <c r="BQ40" s="460">
        <v>0</v>
      </c>
      <c r="BR40" s="460">
        <v>0</v>
      </c>
      <c r="BS40" s="460">
        <v>0</v>
      </c>
      <c r="BT40" s="460">
        <v>0</v>
      </c>
      <c r="BU40" s="460">
        <v>0</v>
      </c>
      <c r="BV40" s="460">
        <v>0</v>
      </c>
      <c r="BW40" s="460">
        <v>0</v>
      </c>
      <c r="BX40" s="460">
        <v>0</v>
      </c>
      <c r="BY40" s="460">
        <v>0</v>
      </c>
      <c r="BZ40" s="460">
        <v>0</v>
      </c>
      <c r="CA40" s="460" t="e">
        <v>#N/A</v>
      </c>
      <c r="CB40" s="460" t="e">
        <v>#N/A</v>
      </c>
      <c r="CC40" s="460" t="e">
        <v>#N/A</v>
      </c>
    </row>
    <row r="41" spans="1:81" ht="12.75" customHeight="1">
      <c r="A41" s="105">
        <v>36</v>
      </c>
      <c r="B41" s="458" t="str">
        <v>9Y</v>
      </c>
      <c r="C41" s="262">
        <f>'eur disaggregated'!U52</f>
        <v>57991.350881979699</v>
      </c>
      <c r="D41" s="111" t="str">
        <f t="shared" si="4"/>
        <v>108M</v>
      </c>
      <c r="E41" s="441">
        <f>BktEur6mPL!E41</f>
        <v>42696</v>
      </c>
      <c r="F41" s="441">
        <f>BktEur6mPL!F41</f>
        <v>45985</v>
      </c>
      <c r="G41" s="462">
        <f t="shared" si="1"/>
        <v>5.7399999999999994E-3</v>
      </c>
      <c r="H41" s="453">
        <f>BktEur6mPL!H41</f>
        <v>0.57399999999999995</v>
      </c>
      <c r="I41" s="107" t="str">
        <v>8Y</v>
      </c>
      <c r="J41" s="106" t="str">
        <f>IF(LEN(I41)&gt;0,IF((MID(I41,4,1)=" "),#REF!,IF((LEN(I41)=8),DATE("20" &amp; RIGHT(I41,2),MID(I41,4,2),LEFT(I41,2)),SimplifyTenor(I41))),"")</f>
        <v>96M</v>
      </c>
      <c r="K41" s="448">
        <f>_xll.qlCalendarAdvance("TARGET",SettlementDate,J41)</f>
        <v>45618</v>
      </c>
      <c r="M41" s="99" t="str">
        <v>8Y</v>
      </c>
      <c r="N41" s="465">
        <v>-7650.3760629800699</v>
      </c>
      <c r="P41" s="106" t="b">
        <f t="shared" si="5"/>
        <v>0</v>
      </c>
      <c r="Q41" s="460">
        <f t="array" ref="Q41:CC41">C41*ForwardToZero(OisBuckets,E41,F41,G41)</f>
        <v>0</v>
      </c>
      <c r="R41" s="460">
        <v>0</v>
      </c>
      <c r="S41" s="460">
        <v>0</v>
      </c>
      <c r="T41" s="460">
        <v>0</v>
      </c>
      <c r="U41" s="460">
        <v>0</v>
      </c>
      <c r="V41" s="460">
        <v>0</v>
      </c>
      <c r="W41" s="460">
        <v>0</v>
      </c>
      <c r="X41" s="460">
        <v>0</v>
      </c>
      <c r="Y41" s="460">
        <v>0</v>
      </c>
      <c r="Z41" s="460">
        <v>0</v>
      </c>
      <c r="AA41" s="460">
        <v>0</v>
      </c>
      <c r="AB41" s="460">
        <v>0</v>
      </c>
      <c r="AC41" s="460">
        <v>0</v>
      </c>
      <c r="AD41" s="460">
        <v>0</v>
      </c>
      <c r="AE41" s="460">
        <v>0</v>
      </c>
      <c r="AF41" s="460">
        <v>0</v>
      </c>
      <c r="AG41" s="460">
        <v>0</v>
      </c>
      <c r="AH41" s="460">
        <v>0</v>
      </c>
      <c r="AI41" s="460">
        <v>0</v>
      </c>
      <c r="AJ41" s="460">
        <v>0</v>
      </c>
      <c r="AK41" s="460">
        <v>0</v>
      </c>
      <c r="AL41" s="460">
        <v>0</v>
      </c>
      <c r="AM41" s="460">
        <v>0</v>
      </c>
      <c r="AN41" s="460">
        <v>0</v>
      </c>
      <c r="AO41" s="460">
        <v>0</v>
      </c>
      <c r="AP41" s="460">
        <v>0</v>
      </c>
      <c r="AQ41" s="460">
        <v>0</v>
      </c>
      <c r="AR41" s="460">
        <v>0</v>
      </c>
      <c r="AS41" s="460">
        <v>0</v>
      </c>
      <c r="AT41" s="460">
        <v>0</v>
      </c>
      <c r="AU41" s="460">
        <v>0</v>
      </c>
      <c r="AV41" s="460">
        <v>0</v>
      </c>
      <c r="AW41" s="460">
        <v>0</v>
      </c>
      <c r="AX41" s="460">
        <v>0</v>
      </c>
      <c r="AY41" s="460">
        <v>0</v>
      </c>
      <c r="AZ41" s="460">
        <v>0</v>
      </c>
      <c r="BA41" s="460">
        <v>57991.350881979699</v>
      </c>
      <c r="BB41" s="460">
        <v>0</v>
      </c>
      <c r="BC41" s="460">
        <v>0</v>
      </c>
      <c r="BD41" s="460">
        <v>0</v>
      </c>
      <c r="BE41" s="460">
        <v>0</v>
      </c>
      <c r="BF41" s="460">
        <v>0</v>
      </c>
      <c r="BG41" s="460">
        <v>0</v>
      </c>
      <c r="BH41" s="460">
        <v>0</v>
      </c>
      <c r="BI41" s="460">
        <v>0</v>
      </c>
      <c r="BJ41" s="460">
        <v>0</v>
      </c>
      <c r="BK41" s="460">
        <v>0</v>
      </c>
      <c r="BL41" s="460">
        <v>0</v>
      </c>
      <c r="BM41" s="460">
        <v>0</v>
      </c>
      <c r="BN41" s="460">
        <v>0</v>
      </c>
      <c r="BO41" s="460">
        <v>0</v>
      </c>
      <c r="BP41" s="460">
        <v>0</v>
      </c>
      <c r="BQ41" s="460">
        <v>0</v>
      </c>
      <c r="BR41" s="460">
        <v>0</v>
      </c>
      <c r="BS41" s="460">
        <v>0</v>
      </c>
      <c r="BT41" s="460">
        <v>0</v>
      </c>
      <c r="BU41" s="460">
        <v>0</v>
      </c>
      <c r="BV41" s="460">
        <v>0</v>
      </c>
      <c r="BW41" s="460">
        <v>0</v>
      </c>
      <c r="BX41" s="460">
        <v>0</v>
      </c>
      <c r="BY41" s="460">
        <v>0</v>
      </c>
      <c r="BZ41" s="460">
        <v>0</v>
      </c>
      <c r="CA41" s="460" t="e">
        <v>#N/A</v>
      </c>
      <c r="CB41" s="460" t="e">
        <v>#N/A</v>
      </c>
      <c r="CC41" s="460" t="e">
        <v>#N/A</v>
      </c>
    </row>
    <row r="42" spans="1:81" ht="12.75" customHeight="1">
      <c r="A42" s="105">
        <v>37</v>
      </c>
      <c r="B42" s="458" t="str">
        <v>10Y</v>
      </c>
      <c r="C42" s="262">
        <f>'eur disaggregated'!U53</f>
        <v>-21826.042415834399</v>
      </c>
      <c r="D42" s="111" t="str">
        <f t="shared" si="4"/>
        <v>120M</v>
      </c>
      <c r="E42" s="441">
        <f>BktEur6mPL!E42</f>
        <v>42696</v>
      </c>
      <c r="F42" s="441">
        <f>BktEur6mPL!F42</f>
        <v>46349</v>
      </c>
      <c r="G42" s="462">
        <f t="shared" si="1"/>
        <v>6.7100000000000007E-3</v>
      </c>
      <c r="H42" s="453">
        <f>BktEur6mPL!H42</f>
        <v>0.67100000000000004</v>
      </c>
      <c r="I42" s="107" t="str">
        <v>9Y</v>
      </c>
      <c r="J42" s="106" t="str">
        <f>IF(LEN(I42)&gt;0,IF((MID(I42,4,1)=" "),#REF!,IF((LEN(I42)=8),DATE("20" &amp; RIGHT(I42,2),MID(I42,4,2),LEFT(I42,2)),SimplifyTenor(I42))),"")</f>
        <v>108M</v>
      </c>
      <c r="K42" s="448">
        <f>_xll.qlCalendarAdvance("TARGET",SettlementDate,J42)</f>
        <v>45985</v>
      </c>
      <c r="M42" s="99" t="str">
        <v>9Y</v>
      </c>
      <c r="N42" s="465">
        <v>57991.350881979699</v>
      </c>
      <c r="P42" s="106" t="b">
        <f t="shared" si="5"/>
        <v>0</v>
      </c>
      <c r="Q42" s="460">
        <f t="array" ref="Q42:CC42">C42*ForwardToZero(OisBuckets,E42,F42,G42)</f>
        <v>0</v>
      </c>
      <c r="R42" s="460">
        <v>0</v>
      </c>
      <c r="S42" s="460">
        <v>0</v>
      </c>
      <c r="T42" s="460">
        <v>0</v>
      </c>
      <c r="U42" s="460">
        <v>0</v>
      </c>
      <c r="V42" s="460">
        <v>0</v>
      </c>
      <c r="W42" s="460">
        <v>0</v>
      </c>
      <c r="X42" s="460">
        <v>0</v>
      </c>
      <c r="Y42" s="460">
        <v>0</v>
      </c>
      <c r="Z42" s="460">
        <v>0</v>
      </c>
      <c r="AA42" s="460">
        <v>0</v>
      </c>
      <c r="AB42" s="460">
        <v>0</v>
      </c>
      <c r="AC42" s="460">
        <v>0</v>
      </c>
      <c r="AD42" s="460">
        <v>0</v>
      </c>
      <c r="AE42" s="460">
        <v>0</v>
      </c>
      <c r="AF42" s="460">
        <v>0</v>
      </c>
      <c r="AG42" s="460">
        <v>0</v>
      </c>
      <c r="AH42" s="460">
        <v>0</v>
      </c>
      <c r="AI42" s="460">
        <v>0</v>
      </c>
      <c r="AJ42" s="460">
        <v>0</v>
      </c>
      <c r="AK42" s="460">
        <v>0</v>
      </c>
      <c r="AL42" s="460">
        <v>0</v>
      </c>
      <c r="AM42" s="460">
        <v>0</v>
      </c>
      <c r="AN42" s="460">
        <v>0</v>
      </c>
      <c r="AO42" s="460">
        <v>0</v>
      </c>
      <c r="AP42" s="460">
        <v>0</v>
      </c>
      <c r="AQ42" s="460">
        <v>0</v>
      </c>
      <c r="AR42" s="460">
        <v>0</v>
      </c>
      <c r="AS42" s="460">
        <v>0</v>
      </c>
      <c r="AT42" s="460">
        <v>0</v>
      </c>
      <c r="AU42" s="460">
        <v>0</v>
      </c>
      <c r="AV42" s="460">
        <v>0</v>
      </c>
      <c r="AW42" s="460">
        <v>0</v>
      </c>
      <c r="AX42" s="460">
        <v>0</v>
      </c>
      <c r="AY42" s="460">
        <v>0</v>
      </c>
      <c r="AZ42" s="460">
        <v>0</v>
      </c>
      <c r="BA42" s="460">
        <v>0</v>
      </c>
      <c r="BB42" s="460">
        <v>-21826.042415834399</v>
      </c>
      <c r="BC42" s="460">
        <v>0</v>
      </c>
      <c r="BD42" s="460">
        <v>0</v>
      </c>
      <c r="BE42" s="460">
        <v>0</v>
      </c>
      <c r="BF42" s="460">
        <v>0</v>
      </c>
      <c r="BG42" s="460">
        <v>0</v>
      </c>
      <c r="BH42" s="460">
        <v>0</v>
      </c>
      <c r="BI42" s="460">
        <v>0</v>
      </c>
      <c r="BJ42" s="460">
        <v>0</v>
      </c>
      <c r="BK42" s="460">
        <v>0</v>
      </c>
      <c r="BL42" s="460">
        <v>0</v>
      </c>
      <c r="BM42" s="460">
        <v>0</v>
      </c>
      <c r="BN42" s="460">
        <v>0</v>
      </c>
      <c r="BO42" s="460">
        <v>0</v>
      </c>
      <c r="BP42" s="460">
        <v>0</v>
      </c>
      <c r="BQ42" s="460">
        <v>0</v>
      </c>
      <c r="BR42" s="460">
        <v>0</v>
      </c>
      <c r="BS42" s="460">
        <v>0</v>
      </c>
      <c r="BT42" s="460">
        <v>0</v>
      </c>
      <c r="BU42" s="460">
        <v>0</v>
      </c>
      <c r="BV42" s="460">
        <v>0</v>
      </c>
      <c r="BW42" s="460">
        <v>0</v>
      </c>
      <c r="BX42" s="460">
        <v>0</v>
      </c>
      <c r="BY42" s="460">
        <v>0</v>
      </c>
      <c r="BZ42" s="460">
        <v>0</v>
      </c>
      <c r="CA42" s="460" t="e">
        <v>#N/A</v>
      </c>
      <c r="CB42" s="460" t="e">
        <v>#N/A</v>
      </c>
      <c r="CC42" s="460" t="e">
        <v>#N/A</v>
      </c>
    </row>
    <row r="43" spans="1:81" ht="12.75" customHeight="1">
      <c r="A43" s="105">
        <v>38</v>
      </c>
      <c r="B43" s="458" t="str">
        <v>11Y</v>
      </c>
      <c r="C43" s="262">
        <f>'eur disaggregated'!U54</f>
        <v>-70962.796994167802</v>
      </c>
      <c r="D43" s="111" t="str">
        <f t="shared" si="4"/>
        <v>132M</v>
      </c>
      <c r="E43" s="441">
        <f>BktEur6mPL!E43</f>
        <v>42696</v>
      </c>
      <c r="F43" s="441">
        <f>BktEur6mPL!F43</f>
        <v>46713</v>
      </c>
      <c r="G43" s="462">
        <f t="shared" si="1"/>
        <v>7.5771047999999997E-3</v>
      </c>
      <c r="H43" s="453">
        <f>BktEur6mPL!H43</f>
        <v>0.75771047999999996</v>
      </c>
      <c r="I43" s="107" t="str">
        <v>10Y</v>
      </c>
      <c r="J43" s="106" t="str">
        <f>IF(LEN(I43)&gt;0,IF((MID(I43,4,1)=" "),#REF!,IF((LEN(I43)=8),DATE("20" &amp; RIGHT(I43,2),MID(I43,4,2),LEFT(I43,2)),SimplifyTenor(I43))),"")</f>
        <v>120M</v>
      </c>
      <c r="K43" s="448">
        <f>_xll.qlCalendarAdvance("TARGET",SettlementDate,J43)</f>
        <v>46349</v>
      </c>
      <c r="M43" s="99" t="str">
        <v>10Y</v>
      </c>
      <c r="N43" s="465">
        <v>-21826.042415834399</v>
      </c>
      <c r="P43" s="106" t="b">
        <f t="shared" si="5"/>
        <v>0</v>
      </c>
      <c r="Q43" s="460">
        <f t="array" ref="Q43:CC43">C43*ForwardToZero(OisBuckets,E43,F43,G43)</f>
        <v>0</v>
      </c>
      <c r="R43" s="460">
        <v>0</v>
      </c>
      <c r="S43" s="460">
        <v>0</v>
      </c>
      <c r="T43" s="460">
        <v>0</v>
      </c>
      <c r="U43" s="460">
        <v>0</v>
      </c>
      <c r="V43" s="460">
        <v>0</v>
      </c>
      <c r="W43" s="460">
        <v>0</v>
      </c>
      <c r="X43" s="460">
        <v>0</v>
      </c>
      <c r="Y43" s="460">
        <v>0</v>
      </c>
      <c r="Z43" s="460">
        <v>0</v>
      </c>
      <c r="AA43" s="460">
        <v>0</v>
      </c>
      <c r="AB43" s="460">
        <v>0</v>
      </c>
      <c r="AC43" s="460">
        <v>0</v>
      </c>
      <c r="AD43" s="460">
        <v>0</v>
      </c>
      <c r="AE43" s="460">
        <v>0</v>
      </c>
      <c r="AF43" s="460">
        <v>0</v>
      </c>
      <c r="AG43" s="460">
        <v>0</v>
      </c>
      <c r="AH43" s="460">
        <v>0</v>
      </c>
      <c r="AI43" s="460">
        <v>0</v>
      </c>
      <c r="AJ43" s="460">
        <v>0</v>
      </c>
      <c r="AK43" s="460">
        <v>0</v>
      </c>
      <c r="AL43" s="460">
        <v>0</v>
      </c>
      <c r="AM43" s="460">
        <v>0</v>
      </c>
      <c r="AN43" s="460">
        <v>0</v>
      </c>
      <c r="AO43" s="460">
        <v>0</v>
      </c>
      <c r="AP43" s="460">
        <v>0</v>
      </c>
      <c r="AQ43" s="460">
        <v>0</v>
      </c>
      <c r="AR43" s="460">
        <v>0</v>
      </c>
      <c r="AS43" s="460">
        <v>0</v>
      </c>
      <c r="AT43" s="460">
        <v>0</v>
      </c>
      <c r="AU43" s="460">
        <v>0</v>
      </c>
      <c r="AV43" s="460">
        <v>0</v>
      </c>
      <c r="AW43" s="460">
        <v>0</v>
      </c>
      <c r="AX43" s="460">
        <v>0</v>
      </c>
      <c r="AY43" s="460">
        <v>0</v>
      </c>
      <c r="AZ43" s="460">
        <v>0</v>
      </c>
      <c r="BA43" s="460">
        <v>0</v>
      </c>
      <c r="BB43" s="460">
        <v>0</v>
      </c>
      <c r="BC43" s="460">
        <v>-70962.796994167802</v>
      </c>
      <c r="BD43" s="460">
        <v>0</v>
      </c>
      <c r="BE43" s="460">
        <v>0</v>
      </c>
      <c r="BF43" s="460">
        <v>0</v>
      </c>
      <c r="BG43" s="460">
        <v>0</v>
      </c>
      <c r="BH43" s="460">
        <v>0</v>
      </c>
      <c r="BI43" s="460">
        <v>0</v>
      </c>
      <c r="BJ43" s="460">
        <v>0</v>
      </c>
      <c r="BK43" s="460">
        <v>0</v>
      </c>
      <c r="BL43" s="460">
        <v>0</v>
      </c>
      <c r="BM43" s="460">
        <v>0</v>
      </c>
      <c r="BN43" s="460">
        <v>0</v>
      </c>
      <c r="BO43" s="460">
        <v>0</v>
      </c>
      <c r="BP43" s="460">
        <v>0</v>
      </c>
      <c r="BQ43" s="460">
        <v>0</v>
      </c>
      <c r="BR43" s="460">
        <v>0</v>
      </c>
      <c r="BS43" s="460">
        <v>0</v>
      </c>
      <c r="BT43" s="460">
        <v>0</v>
      </c>
      <c r="BU43" s="460">
        <v>0</v>
      </c>
      <c r="BV43" s="460">
        <v>0</v>
      </c>
      <c r="BW43" s="460">
        <v>0</v>
      </c>
      <c r="BX43" s="460">
        <v>0</v>
      </c>
      <c r="BY43" s="460">
        <v>0</v>
      </c>
      <c r="BZ43" s="460">
        <v>0</v>
      </c>
      <c r="CA43" s="460" t="e">
        <v>#N/A</v>
      </c>
      <c r="CB43" s="460" t="e">
        <v>#N/A</v>
      </c>
      <c r="CC43" s="460" t="e">
        <v>#N/A</v>
      </c>
    </row>
    <row r="44" spans="1:81" ht="12.75" customHeight="1">
      <c r="A44" s="105">
        <v>39</v>
      </c>
      <c r="B44" s="458" t="str">
        <v>12Y</v>
      </c>
      <c r="C44" s="262">
        <f>'eur disaggregated'!U55</f>
        <v>24599.672575668701</v>
      </c>
      <c r="D44" s="111" t="str">
        <f t="shared" si="4"/>
        <v>144M</v>
      </c>
      <c r="E44" s="441">
        <f>BktEur6mPL!E44</f>
        <v>42696</v>
      </c>
      <c r="F44" s="441">
        <f>BktEur6mPL!F44</f>
        <v>47079</v>
      </c>
      <c r="G44" s="462">
        <f t="shared" si="1"/>
        <v>8.3499999999999998E-3</v>
      </c>
      <c r="H44" s="453">
        <f>BktEur6mPL!H44</f>
        <v>0.83499999999999996</v>
      </c>
      <c r="I44" s="107" t="str">
        <v>11Y</v>
      </c>
      <c r="J44" s="106" t="str">
        <f>IF(LEN(I44)&gt;0,IF((MID(I44,4,1)=" "),#REF!,IF((LEN(I44)=8),DATE("20" &amp; RIGHT(I44,2),MID(I44,4,2),LEFT(I44,2)),SimplifyTenor(I44))),"")</f>
        <v>132M</v>
      </c>
      <c r="K44" s="448">
        <f>_xll.qlCalendarAdvance("TARGET",SettlementDate,J44)</f>
        <v>46713</v>
      </c>
      <c r="M44" s="99" t="str">
        <v>11Y</v>
      </c>
      <c r="N44" s="465">
        <v>-70962.796994167802</v>
      </c>
      <c r="P44" s="106" t="b">
        <f t="shared" si="5"/>
        <v>0</v>
      </c>
      <c r="Q44" s="460">
        <f t="array" ref="Q44:CC44">C44*ForwardToZero(OisBuckets,E44,F44,G44)</f>
        <v>0</v>
      </c>
      <c r="R44" s="460">
        <v>0</v>
      </c>
      <c r="S44" s="460">
        <v>0</v>
      </c>
      <c r="T44" s="460">
        <v>0</v>
      </c>
      <c r="U44" s="460">
        <v>0</v>
      </c>
      <c r="V44" s="460">
        <v>0</v>
      </c>
      <c r="W44" s="460">
        <v>0</v>
      </c>
      <c r="X44" s="460">
        <v>0</v>
      </c>
      <c r="Y44" s="460">
        <v>0</v>
      </c>
      <c r="Z44" s="460">
        <v>0</v>
      </c>
      <c r="AA44" s="460">
        <v>0</v>
      </c>
      <c r="AB44" s="460">
        <v>0</v>
      </c>
      <c r="AC44" s="460">
        <v>0</v>
      </c>
      <c r="AD44" s="460">
        <v>0</v>
      </c>
      <c r="AE44" s="460">
        <v>0</v>
      </c>
      <c r="AF44" s="460">
        <v>0</v>
      </c>
      <c r="AG44" s="460">
        <v>0</v>
      </c>
      <c r="AH44" s="460">
        <v>0</v>
      </c>
      <c r="AI44" s="460">
        <v>0</v>
      </c>
      <c r="AJ44" s="460">
        <v>0</v>
      </c>
      <c r="AK44" s="460">
        <v>0</v>
      </c>
      <c r="AL44" s="460">
        <v>0</v>
      </c>
      <c r="AM44" s="460">
        <v>0</v>
      </c>
      <c r="AN44" s="460">
        <v>0</v>
      </c>
      <c r="AO44" s="460">
        <v>0</v>
      </c>
      <c r="AP44" s="460">
        <v>0</v>
      </c>
      <c r="AQ44" s="460">
        <v>0</v>
      </c>
      <c r="AR44" s="460">
        <v>0</v>
      </c>
      <c r="AS44" s="460">
        <v>0</v>
      </c>
      <c r="AT44" s="460">
        <v>0</v>
      </c>
      <c r="AU44" s="460">
        <v>0</v>
      </c>
      <c r="AV44" s="460">
        <v>0</v>
      </c>
      <c r="AW44" s="460">
        <v>0</v>
      </c>
      <c r="AX44" s="460">
        <v>0</v>
      </c>
      <c r="AY44" s="460">
        <v>0</v>
      </c>
      <c r="AZ44" s="460">
        <v>0</v>
      </c>
      <c r="BA44" s="460">
        <v>0</v>
      </c>
      <c r="BB44" s="460">
        <v>0</v>
      </c>
      <c r="BC44" s="460">
        <v>0</v>
      </c>
      <c r="BD44" s="460">
        <v>24599.672575668701</v>
      </c>
      <c r="BE44" s="460">
        <v>0</v>
      </c>
      <c r="BF44" s="460">
        <v>0</v>
      </c>
      <c r="BG44" s="460">
        <v>0</v>
      </c>
      <c r="BH44" s="460">
        <v>0</v>
      </c>
      <c r="BI44" s="460">
        <v>0</v>
      </c>
      <c r="BJ44" s="460">
        <v>0</v>
      </c>
      <c r="BK44" s="460">
        <v>0</v>
      </c>
      <c r="BL44" s="460">
        <v>0</v>
      </c>
      <c r="BM44" s="460">
        <v>0</v>
      </c>
      <c r="BN44" s="460">
        <v>0</v>
      </c>
      <c r="BO44" s="460">
        <v>0</v>
      </c>
      <c r="BP44" s="460">
        <v>0</v>
      </c>
      <c r="BQ44" s="460">
        <v>0</v>
      </c>
      <c r="BR44" s="460">
        <v>0</v>
      </c>
      <c r="BS44" s="460">
        <v>0</v>
      </c>
      <c r="BT44" s="460">
        <v>0</v>
      </c>
      <c r="BU44" s="460">
        <v>0</v>
      </c>
      <c r="BV44" s="460">
        <v>0</v>
      </c>
      <c r="BW44" s="460">
        <v>0</v>
      </c>
      <c r="BX44" s="460">
        <v>0</v>
      </c>
      <c r="BY44" s="460">
        <v>0</v>
      </c>
      <c r="BZ44" s="460">
        <v>0</v>
      </c>
      <c r="CA44" s="460" t="e">
        <v>#N/A</v>
      </c>
      <c r="CB44" s="460" t="e">
        <v>#N/A</v>
      </c>
      <c r="CC44" s="460" t="e">
        <v>#N/A</v>
      </c>
    </row>
    <row r="45" spans="1:81" ht="12.75" customHeight="1">
      <c r="A45" s="105">
        <v>40</v>
      </c>
      <c r="B45" s="458" t="str">
        <v>13Y</v>
      </c>
      <c r="C45" s="262">
        <f>'eur disaggregated'!U56</f>
        <v>23645.940083761601</v>
      </c>
      <c r="D45" s="111" t="str">
        <f t="shared" si="4"/>
        <v>156M</v>
      </c>
      <c r="E45" s="441">
        <f>BktEur6mPL!E45</f>
        <v>42696</v>
      </c>
      <c r="F45" s="441">
        <f>BktEur6mPL!F45</f>
        <v>47444</v>
      </c>
      <c r="G45" s="462">
        <f t="shared" si="1"/>
        <v>9.0110858099999996E-3</v>
      </c>
      <c r="H45" s="453">
        <f>BktEur6mPL!H45</f>
        <v>0.90110858100000002</v>
      </c>
      <c r="I45" s="107" t="str">
        <v>12Y</v>
      </c>
      <c r="J45" s="106" t="str">
        <f>IF(LEN(I45)&gt;0,IF((MID(I45,4,1)=" "),#REF!,IF((LEN(I45)=8),DATE("20" &amp; RIGHT(I45,2),MID(I45,4,2),LEFT(I45,2)),SimplifyTenor(I45))),"")</f>
        <v>144M</v>
      </c>
      <c r="K45" s="448">
        <f>_xll.qlCalendarAdvance("TARGET",SettlementDate,J45)</f>
        <v>47079</v>
      </c>
      <c r="M45" s="99" t="str">
        <v>12Y</v>
      </c>
      <c r="N45" s="465">
        <v>24599.672575668701</v>
      </c>
      <c r="P45" s="106" t="b">
        <f t="shared" si="5"/>
        <v>0</v>
      </c>
      <c r="Q45" s="460">
        <f t="array" ref="Q45:CC45">C45*ForwardToZero(OisBuckets,E45,F45,G45)</f>
        <v>0</v>
      </c>
      <c r="R45" s="460">
        <v>0</v>
      </c>
      <c r="S45" s="460">
        <v>0</v>
      </c>
      <c r="T45" s="460">
        <v>0</v>
      </c>
      <c r="U45" s="460">
        <v>0</v>
      </c>
      <c r="V45" s="460">
        <v>0</v>
      </c>
      <c r="W45" s="460">
        <v>0</v>
      </c>
      <c r="X45" s="460">
        <v>0</v>
      </c>
      <c r="Y45" s="460">
        <v>0</v>
      </c>
      <c r="Z45" s="460">
        <v>0</v>
      </c>
      <c r="AA45" s="460">
        <v>0</v>
      </c>
      <c r="AB45" s="460">
        <v>0</v>
      </c>
      <c r="AC45" s="460">
        <v>0</v>
      </c>
      <c r="AD45" s="460">
        <v>0</v>
      </c>
      <c r="AE45" s="460">
        <v>0</v>
      </c>
      <c r="AF45" s="460">
        <v>0</v>
      </c>
      <c r="AG45" s="460">
        <v>0</v>
      </c>
      <c r="AH45" s="460">
        <v>0</v>
      </c>
      <c r="AI45" s="460">
        <v>0</v>
      </c>
      <c r="AJ45" s="460">
        <v>0</v>
      </c>
      <c r="AK45" s="460">
        <v>0</v>
      </c>
      <c r="AL45" s="460">
        <v>0</v>
      </c>
      <c r="AM45" s="460">
        <v>0</v>
      </c>
      <c r="AN45" s="460">
        <v>0</v>
      </c>
      <c r="AO45" s="460">
        <v>0</v>
      </c>
      <c r="AP45" s="460">
        <v>0</v>
      </c>
      <c r="AQ45" s="460">
        <v>0</v>
      </c>
      <c r="AR45" s="460">
        <v>0</v>
      </c>
      <c r="AS45" s="460">
        <v>0</v>
      </c>
      <c r="AT45" s="460">
        <v>0</v>
      </c>
      <c r="AU45" s="460">
        <v>0</v>
      </c>
      <c r="AV45" s="460">
        <v>0</v>
      </c>
      <c r="AW45" s="460">
        <v>0</v>
      </c>
      <c r="AX45" s="460">
        <v>0</v>
      </c>
      <c r="AY45" s="460">
        <v>0</v>
      </c>
      <c r="AZ45" s="460">
        <v>0</v>
      </c>
      <c r="BA45" s="460">
        <v>0</v>
      </c>
      <c r="BB45" s="460">
        <v>0</v>
      </c>
      <c r="BC45" s="460">
        <v>0</v>
      </c>
      <c r="BD45" s="460">
        <v>0</v>
      </c>
      <c r="BE45" s="460">
        <v>23645.940083761601</v>
      </c>
      <c r="BF45" s="460">
        <v>0</v>
      </c>
      <c r="BG45" s="460">
        <v>0</v>
      </c>
      <c r="BH45" s="460">
        <v>0</v>
      </c>
      <c r="BI45" s="460">
        <v>0</v>
      </c>
      <c r="BJ45" s="460">
        <v>0</v>
      </c>
      <c r="BK45" s="460">
        <v>0</v>
      </c>
      <c r="BL45" s="460">
        <v>0</v>
      </c>
      <c r="BM45" s="460">
        <v>0</v>
      </c>
      <c r="BN45" s="460">
        <v>0</v>
      </c>
      <c r="BO45" s="460">
        <v>0</v>
      </c>
      <c r="BP45" s="460">
        <v>0</v>
      </c>
      <c r="BQ45" s="460">
        <v>0</v>
      </c>
      <c r="BR45" s="460">
        <v>0</v>
      </c>
      <c r="BS45" s="460">
        <v>0</v>
      </c>
      <c r="BT45" s="460">
        <v>0</v>
      </c>
      <c r="BU45" s="460">
        <v>0</v>
      </c>
      <c r="BV45" s="460">
        <v>0</v>
      </c>
      <c r="BW45" s="460">
        <v>0</v>
      </c>
      <c r="BX45" s="460">
        <v>0</v>
      </c>
      <c r="BY45" s="460">
        <v>0</v>
      </c>
      <c r="BZ45" s="460">
        <v>0</v>
      </c>
      <c r="CA45" s="460" t="e">
        <v>#N/A</v>
      </c>
      <c r="CB45" s="460" t="e">
        <v>#N/A</v>
      </c>
      <c r="CC45" s="460" t="e">
        <v>#N/A</v>
      </c>
    </row>
    <row r="46" spans="1:81" ht="12.75" customHeight="1">
      <c r="A46" s="105">
        <v>41</v>
      </c>
      <c r="B46" s="458" t="str">
        <v>14Y</v>
      </c>
      <c r="C46" s="262">
        <f>'eur disaggregated'!U57</f>
        <v>98.072987599063097</v>
      </c>
      <c r="D46" s="111" t="str">
        <f t="shared" si="4"/>
        <v>168M</v>
      </c>
      <c r="E46" s="441">
        <f>BktEur6mPL!E46</f>
        <v>42696</v>
      </c>
      <c r="F46" s="441">
        <f>BktEur6mPL!F46</f>
        <v>47809</v>
      </c>
      <c r="G46" s="462">
        <f t="shared" si="1"/>
        <v>9.5755458199999997E-3</v>
      </c>
      <c r="H46" s="453">
        <f>BktEur6mPL!H46</f>
        <v>0.95755458199999999</v>
      </c>
      <c r="I46" s="107" t="str">
        <v>13Y</v>
      </c>
      <c r="J46" s="106" t="str">
        <f>IF(LEN(I46)&gt;0,IF((MID(I46,4,1)=" "),#REF!,IF((LEN(I46)=8),DATE("20" &amp; RIGHT(I46,2),MID(I46,4,2),LEFT(I46,2)),SimplifyTenor(I46))),"")</f>
        <v>156M</v>
      </c>
      <c r="K46" s="448">
        <f>_xll.qlCalendarAdvance("TARGET",SettlementDate,J46)</f>
        <v>47444</v>
      </c>
      <c r="M46" s="99" t="str">
        <v>13Y</v>
      </c>
      <c r="N46" s="465">
        <v>23645.940083761601</v>
      </c>
      <c r="P46" s="106" t="b">
        <f t="shared" si="5"/>
        <v>0</v>
      </c>
      <c r="Q46" s="460">
        <f t="array" ref="Q46:CC46">C46*ForwardToZero(OisBuckets,E46,F46,G46)</f>
        <v>0</v>
      </c>
      <c r="R46" s="460">
        <v>0</v>
      </c>
      <c r="S46" s="460">
        <v>0</v>
      </c>
      <c r="T46" s="460">
        <v>0</v>
      </c>
      <c r="U46" s="460">
        <v>0</v>
      </c>
      <c r="V46" s="460">
        <v>0</v>
      </c>
      <c r="W46" s="460">
        <v>0</v>
      </c>
      <c r="X46" s="460">
        <v>0</v>
      </c>
      <c r="Y46" s="460">
        <v>0</v>
      </c>
      <c r="Z46" s="460">
        <v>0</v>
      </c>
      <c r="AA46" s="460">
        <v>0</v>
      </c>
      <c r="AB46" s="460">
        <v>0</v>
      </c>
      <c r="AC46" s="460">
        <v>0</v>
      </c>
      <c r="AD46" s="460">
        <v>0</v>
      </c>
      <c r="AE46" s="460">
        <v>0</v>
      </c>
      <c r="AF46" s="460">
        <v>0</v>
      </c>
      <c r="AG46" s="460">
        <v>0</v>
      </c>
      <c r="AH46" s="460">
        <v>0</v>
      </c>
      <c r="AI46" s="460">
        <v>0</v>
      </c>
      <c r="AJ46" s="460">
        <v>0</v>
      </c>
      <c r="AK46" s="460">
        <v>0</v>
      </c>
      <c r="AL46" s="460">
        <v>0</v>
      </c>
      <c r="AM46" s="460">
        <v>0</v>
      </c>
      <c r="AN46" s="460">
        <v>0</v>
      </c>
      <c r="AO46" s="460">
        <v>0</v>
      </c>
      <c r="AP46" s="460">
        <v>0</v>
      </c>
      <c r="AQ46" s="460">
        <v>0</v>
      </c>
      <c r="AR46" s="460">
        <v>0</v>
      </c>
      <c r="AS46" s="460">
        <v>0</v>
      </c>
      <c r="AT46" s="460">
        <v>0</v>
      </c>
      <c r="AU46" s="460">
        <v>0</v>
      </c>
      <c r="AV46" s="460">
        <v>0</v>
      </c>
      <c r="AW46" s="460">
        <v>0</v>
      </c>
      <c r="AX46" s="460">
        <v>0</v>
      </c>
      <c r="AY46" s="460">
        <v>0</v>
      </c>
      <c r="AZ46" s="460">
        <v>0</v>
      </c>
      <c r="BA46" s="460">
        <v>0</v>
      </c>
      <c r="BB46" s="460">
        <v>0</v>
      </c>
      <c r="BC46" s="460">
        <v>0</v>
      </c>
      <c r="BD46" s="460">
        <v>0</v>
      </c>
      <c r="BE46" s="460">
        <v>0</v>
      </c>
      <c r="BF46" s="460">
        <v>98.072987599063097</v>
      </c>
      <c r="BG46" s="460">
        <v>0</v>
      </c>
      <c r="BH46" s="460">
        <v>0</v>
      </c>
      <c r="BI46" s="460">
        <v>0</v>
      </c>
      <c r="BJ46" s="460">
        <v>0</v>
      </c>
      <c r="BK46" s="460">
        <v>0</v>
      </c>
      <c r="BL46" s="460">
        <v>0</v>
      </c>
      <c r="BM46" s="460">
        <v>0</v>
      </c>
      <c r="BN46" s="460">
        <v>0</v>
      </c>
      <c r="BO46" s="460">
        <v>0</v>
      </c>
      <c r="BP46" s="460">
        <v>0</v>
      </c>
      <c r="BQ46" s="460">
        <v>0</v>
      </c>
      <c r="BR46" s="460">
        <v>0</v>
      </c>
      <c r="BS46" s="460">
        <v>0</v>
      </c>
      <c r="BT46" s="460">
        <v>0</v>
      </c>
      <c r="BU46" s="460">
        <v>0</v>
      </c>
      <c r="BV46" s="460">
        <v>0</v>
      </c>
      <c r="BW46" s="460">
        <v>0</v>
      </c>
      <c r="BX46" s="460">
        <v>0</v>
      </c>
      <c r="BY46" s="460">
        <v>0</v>
      </c>
      <c r="BZ46" s="460">
        <v>0</v>
      </c>
      <c r="CA46" s="460" t="e">
        <v>#N/A</v>
      </c>
      <c r="CB46" s="460" t="e">
        <v>#N/A</v>
      </c>
      <c r="CC46" s="460" t="e">
        <v>#N/A</v>
      </c>
    </row>
    <row r="47" spans="1:81" ht="12.75" customHeight="1">
      <c r="A47" s="105">
        <v>42</v>
      </c>
      <c r="B47" s="458" t="str">
        <v>15Y</v>
      </c>
      <c r="C47" s="262">
        <f>'eur disaggregated'!U58</f>
        <v>30012.796312491701</v>
      </c>
      <c r="D47" s="111" t="str">
        <f t="shared" si="4"/>
        <v>180M</v>
      </c>
      <c r="E47" s="441">
        <f>BktEur6mPL!E47</f>
        <v>42696</v>
      </c>
      <c r="F47" s="441">
        <f>BktEur6mPL!F47</f>
        <v>48176</v>
      </c>
      <c r="G47" s="462">
        <f t="shared" si="1"/>
        <v>1.0049999999999998E-2</v>
      </c>
      <c r="H47" s="453">
        <f>BktEur6mPL!H47</f>
        <v>1.0049999999999999</v>
      </c>
      <c r="I47" s="107" t="str">
        <v>14Y</v>
      </c>
      <c r="J47" s="106" t="str">
        <f>IF(LEN(I47)&gt;0,IF((MID(I47,4,1)=" "),#REF!,IF((LEN(I47)=8),DATE("20" &amp; RIGHT(I47,2),MID(I47,4,2),LEFT(I47,2)),SimplifyTenor(I47))),"")</f>
        <v>168M</v>
      </c>
      <c r="K47" s="448">
        <f>_xll.qlCalendarAdvance("TARGET",SettlementDate,J47)</f>
        <v>47809</v>
      </c>
      <c r="M47" s="99" t="str">
        <v>14Y</v>
      </c>
      <c r="N47" s="465">
        <v>98.072987599063097</v>
      </c>
      <c r="P47" s="106" t="b">
        <f t="shared" si="5"/>
        <v>0</v>
      </c>
      <c r="Q47" s="460">
        <f t="array" ref="Q47:CC47">C47*ForwardToZero(OisBuckets,E47,F47,G47)</f>
        <v>0</v>
      </c>
      <c r="R47" s="460">
        <v>0</v>
      </c>
      <c r="S47" s="460">
        <v>0</v>
      </c>
      <c r="T47" s="460">
        <v>0</v>
      </c>
      <c r="U47" s="460">
        <v>0</v>
      </c>
      <c r="V47" s="460">
        <v>0</v>
      </c>
      <c r="W47" s="460">
        <v>0</v>
      </c>
      <c r="X47" s="460">
        <v>0</v>
      </c>
      <c r="Y47" s="460">
        <v>0</v>
      </c>
      <c r="Z47" s="460">
        <v>0</v>
      </c>
      <c r="AA47" s="460">
        <v>0</v>
      </c>
      <c r="AB47" s="460">
        <v>0</v>
      </c>
      <c r="AC47" s="460">
        <v>0</v>
      </c>
      <c r="AD47" s="460">
        <v>0</v>
      </c>
      <c r="AE47" s="460">
        <v>0</v>
      </c>
      <c r="AF47" s="460">
        <v>0</v>
      </c>
      <c r="AG47" s="460">
        <v>0</v>
      </c>
      <c r="AH47" s="460">
        <v>0</v>
      </c>
      <c r="AI47" s="460">
        <v>0</v>
      </c>
      <c r="AJ47" s="460">
        <v>0</v>
      </c>
      <c r="AK47" s="460">
        <v>0</v>
      </c>
      <c r="AL47" s="460">
        <v>0</v>
      </c>
      <c r="AM47" s="460">
        <v>0</v>
      </c>
      <c r="AN47" s="460">
        <v>0</v>
      </c>
      <c r="AO47" s="460">
        <v>0</v>
      </c>
      <c r="AP47" s="460">
        <v>0</v>
      </c>
      <c r="AQ47" s="460">
        <v>0</v>
      </c>
      <c r="AR47" s="460">
        <v>0</v>
      </c>
      <c r="AS47" s="460">
        <v>0</v>
      </c>
      <c r="AT47" s="460">
        <v>0</v>
      </c>
      <c r="AU47" s="460">
        <v>0</v>
      </c>
      <c r="AV47" s="460">
        <v>0</v>
      </c>
      <c r="AW47" s="460">
        <v>0</v>
      </c>
      <c r="AX47" s="460">
        <v>0</v>
      </c>
      <c r="AY47" s="460">
        <v>0</v>
      </c>
      <c r="AZ47" s="460">
        <v>0</v>
      </c>
      <c r="BA47" s="460">
        <v>0</v>
      </c>
      <c r="BB47" s="460">
        <v>0</v>
      </c>
      <c r="BC47" s="460">
        <v>0</v>
      </c>
      <c r="BD47" s="460">
        <v>0</v>
      </c>
      <c r="BE47" s="460">
        <v>0</v>
      </c>
      <c r="BF47" s="460">
        <v>0</v>
      </c>
      <c r="BG47" s="460">
        <v>30012.796312491701</v>
      </c>
      <c r="BH47" s="460">
        <v>0</v>
      </c>
      <c r="BI47" s="460">
        <v>0</v>
      </c>
      <c r="BJ47" s="460">
        <v>0</v>
      </c>
      <c r="BK47" s="460">
        <v>0</v>
      </c>
      <c r="BL47" s="460">
        <v>0</v>
      </c>
      <c r="BM47" s="460">
        <v>0</v>
      </c>
      <c r="BN47" s="460">
        <v>0</v>
      </c>
      <c r="BO47" s="460">
        <v>0</v>
      </c>
      <c r="BP47" s="460">
        <v>0</v>
      </c>
      <c r="BQ47" s="460">
        <v>0</v>
      </c>
      <c r="BR47" s="460">
        <v>0</v>
      </c>
      <c r="BS47" s="460">
        <v>0</v>
      </c>
      <c r="BT47" s="460">
        <v>0</v>
      </c>
      <c r="BU47" s="460">
        <v>0</v>
      </c>
      <c r="BV47" s="460">
        <v>0</v>
      </c>
      <c r="BW47" s="460">
        <v>0</v>
      </c>
      <c r="BX47" s="460">
        <v>0</v>
      </c>
      <c r="BY47" s="460">
        <v>0</v>
      </c>
      <c r="BZ47" s="460">
        <v>0</v>
      </c>
      <c r="CA47" s="460" t="e">
        <v>#N/A</v>
      </c>
      <c r="CB47" s="460" t="e">
        <v>#N/A</v>
      </c>
      <c r="CC47" s="460" t="e">
        <v>#N/A</v>
      </c>
    </row>
    <row r="48" spans="1:81" ht="12.75" customHeight="1">
      <c r="A48" s="105">
        <v>43</v>
      </c>
      <c r="B48" s="458" t="str">
        <v>16Y</v>
      </c>
      <c r="C48" s="262">
        <f>'eur disaggregated'!U59</f>
        <v>6329.1737197025996</v>
      </c>
      <c r="D48" s="111" t="str">
        <f t="shared" si="4"/>
        <v>192M</v>
      </c>
      <c r="E48" s="441">
        <f>BktEur6mPL!E48</f>
        <v>42696</v>
      </c>
      <c r="F48" s="441">
        <f>BktEur6mPL!F48</f>
        <v>48540</v>
      </c>
      <c r="G48" s="462">
        <f t="shared" si="1"/>
        <v>1.044168547E-2</v>
      </c>
      <c r="H48" s="453">
        <f>BktEur6mPL!H48</f>
        <v>1.0441685469999999</v>
      </c>
      <c r="I48" s="107" t="str">
        <v>15Y</v>
      </c>
      <c r="J48" s="106" t="str">
        <f>IF(LEN(I48)&gt;0,IF((MID(I48,4,1)=" "),#REF!,IF((LEN(I48)=8),DATE("20" &amp; RIGHT(I48,2),MID(I48,4,2),LEFT(I48,2)),SimplifyTenor(I48))),"")</f>
        <v>180M</v>
      </c>
      <c r="K48" s="448">
        <f>_xll.qlCalendarAdvance("TARGET",SettlementDate,J48)</f>
        <v>48176</v>
      </c>
      <c r="M48" s="99" t="str">
        <v>15Y</v>
      </c>
      <c r="N48" s="465">
        <v>30012.796312491701</v>
      </c>
      <c r="P48" s="106" t="b">
        <f t="shared" si="5"/>
        <v>0</v>
      </c>
      <c r="Q48" s="460">
        <f t="array" ref="Q48:CC48">C48*ForwardToZero(OisBuckets,E48,F48,G48)</f>
        <v>0</v>
      </c>
      <c r="R48" s="460">
        <v>0</v>
      </c>
      <c r="S48" s="460">
        <v>0</v>
      </c>
      <c r="T48" s="460">
        <v>0</v>
      </c>
      <c r="U48" s="460">
        <v>0</v>
      </c>
      <c r="V48" s="460">
        <v>0</v>
      </c>
      <c r="W48" s="460">
        <v>0</v>
      </c>
      <c r="X48" s="460">
        <v>0</v>
      </c>
      <c r="Y48" s="460">
        <v>0</v>
      </c>
      <c r="Z48" s="460">
        <v>0</v>
      </c>
      <c r="AA48" s="460">
        <v>0</v>
      </c>
      <c r="AB48" s="460">
        <v>0</v>
      </c>
      <c r="AC48" s="460">
        <v>0</v>
      </c>
      <c r="AD48" s="460">
        <v>0</v>
      </c>
      <c r="AE48" s="460">
        <v>0</v>
      </c>
      <c r="AF48" s="460">
        <v>0</v>
      </c>
      <c r="AG48" s="460">
        <v>0</v>
      </c>
      <c r="AH48" s="460">
        <v>0</v>
      </c>
      <c r="AI48" s="460">
        <v>0</v>
      </c>
      <c r="AJ48" s="460">
        <v>0</v>
      </c>
      <c r="AK48" s="460">
        <v>0</v>
      </c>
      <c r="AL48" s="460">
        <v>0</v>
      </c>
      <c r="AM48" s="460">
        <v>0</v>
      </c>
      <c r="AN48" s="460">
        <v>0</v>
      </c>
      <c r="AO48" s="460">
        <v>0</v>
      </c>
      <c r="AP48" s="460">
        <v>0</v>
      </c>
      <c r="AQ48" s="460">
        <v>0</v>
      </c>
      <c r="AR48" s="460">
        <v>0</v>
      </c>
      <c r="AS48" s="460">
        <v>0</v>
      </c>
      <c r="AT48" s="460">
        <v>0</v>
      </c>
      <c r="AU48" s="460">
        <v>0</v>
      </c>
      <c r="AV48" s="460">
        <v>0</v>
      </c>
      <c r="AW48" s="460">
        <v>0</v>
      </c>
      <c r="AX48" s="460">
        <v>0</v>
      </c>
      <c r="AY48" s="460">
        <v>0</v>
      </c>
      <c r="AZ48" s="460">
        <v>0</v>
      </c>
      <c r="BA48" s="460">
        <v>0</v>
      </c>
      <c r="BB48" s="460">
        <v>0</v>
      </c>
      <c r="BC48" s="460">
        <v>0</v>
      </c>
      <c r="BD48" s="460">
        <v>0</v>
      </c>
      <c r="BE48" s="460">
        <v>0</v>
      </c>
      <c r="BF48" s="460">
        <v>0</v>
      </c>
      <c r="BG48" s="460">
        <v>0</v>
      </c>
      <c r="BH48" s="460">
        <v>6329.1737197025996</v>
      </c>
      <c r="BI48" s="460">
        <v>0</v>
      </c>
      <c r="BJ48" s="460">
        <v>0</v>
      </c>
      <c r="BK48" s="460">
        <v>0</v>
      </c>
      <c r="BL48" s="460">
        <v>0</v>
      </c>
      <c r="BM48" s="460">
        <v>0</v>
      </c>
      <c r="BN48" s="460">
        <v>0</v>
      </c>
      <c r="BO48" s="460">
        <v>0</v>
      </c>
      <c r="BP48" s="460">
        <v>0</v>
      </c>
      <c r="BQ48" s="460">
        <v>0</v>
      </c>
      <c r="BR48" s="460">
        <v>0</v>
      </c>
      <c r="BS48" s="460">
        <v>0</v>
      </c>
      <c r="BT48" s="460">
        <v>0</v>
      </c>
      <c r="BU48" s="460">
        <v>0</v>
      </c>
      <c r="BV48" s="460">
        <v>0</v>
      </c>
      <c r="BW48" s="460">
        <v>0</v>
      </c>
      <c r="BX48" s="460">
        <v>0</v>
      </c>
      <c r="BY48" s="460">
        <v>0</v>
      </c>
      <c r="BZ48" s="460">
        <v>0</v>
      </c>
      <c r="CA48" s="460" t="e">
        <v>#N/A</v>
      </c>
      <c r="CB48" s="460" t="e">
        <v>#N/A</v>
      </c>
      <c r="CC48" s="460" t="e">
        <v>#N/A</v>
      </c>
    </row>
    <row r="49" spans="1:81" ht="12.75" customHeight="1">
      <c r="A49" s="105">
        <v>44</v>
      </c>
      <c r="B49" s="458" t="str">
        <v>17Y</v>
      </c>
      <c r="C49" s="262">
        <f>'eur disaggregated'!U60</f>
        <v>-2158.0673765025999</v>
      </c>
      <c r="D49" s="111" t="str">
        <f t="shared" si="4"/>
        <v>204M</v>
      </c>
      <c r="E49" s="441">
        <f>BktEur6mPL!E49</f>
        <v>42696</v>
      </c>
      <c r="F49" s="441">
        <f>BktEur6mPL!F49</f>
        <v>48905</v>
      </c>
      <c r="G49" s="462">
        <f t="shared" si="1"/>
        <v>1.0755175340000001E-2</v>
      </c>
      <c r="H49" s="453">
        <f>BktEur6mPL!H49</f>
        <v>1.0755175340000001</v>
      </c>
      <c r="I49" s="107" t="str">
        <v>16Y</v>
      </c>
      <c r="J49" s="106" t="str">
        <f>IF(LEN(I49)&gt;0,IF((MID(I49,4,1)=" "),#REF!,IF((LEN(I49)=8),DATE("20" &amp; RIGHT(I49,2),MID(I49,4,2),LEFT(I49,2)),SimplifyTenor(I49))),"")</f>
        <v>192M</v>
      </c>
      <c r="K49" s="448">
        <f>_xll.qlCalendarAdvance("TARGET",SettlementDate,J49)</f>
        <v>48540</v>
      </c>
      <c r="M49" s="99" t="str">
        <v>16Y</v>
      </c>
      <c r="N49" s="465">
        <v>6329.1737197025996</v>
      </c>
      <c r="P49" s="106" t="b">
        <f t="shared" si="5"/>
        <v>0</v>
      </c>
      <c r="Q49" s="460">
        <f t="array" ref="Q49:CC49">C49*ForwardToZero(OisBuckets,E49,F49,G49)</f>
        <v>0</v>
      </c>
      <c r="R49" s="460">
        <v>0</v>
      </c>
      <c r="S49" s="460">
        <v>0</v>
      </c>
      <c r="T49" s="460">
        <v>0</v>
      </c>
      <c r="U49" s="460">
        <v>0</v>
      </c>
      <c r="V49" s="460">
        <v>0</v>
      </c>
      <c r="W49" s="460">
        <v>0</v>
      </c>
      <c r="X49" s="460">
        <v>0</v>
      </c>
      <c r="Y49" s="460">
        <v>0</v>
      </c>
      <c r="Z49" s="460">
        <v>0</v>
      </c>
      <c r="AA49" s="460">
        <v>0</v>
      </c>
      <c r="AB49" s="460">
        <v>0</v>
      </c>
      <c r="AC49" s="460">
        <v>0</v>
      </c>
      <c r="AD49" s="460">
        <v>0</v>
      </c>
      <c r="AE49" s="460">
        <v>0</v>
      </c>
      <c r="AF49" s="460">
        <v>0</v>
      </c>
      <c r="AG49" s="460">
        <v>0</v>
      </c>
      <c r="AH49" s="460">
        <v>0</v>
      </c>
      <c r="AI49" s="460">
        <v>0</v>
      </c>
      <c r="AJ49" s="460">
        <v>0</v>
      </c>
      <c r="AK49" s="460">
        <v>0</v>
      </c>
      <c r="AL49" s="460">
        <v>0</v>
      </c>
      <c r="AM49" s="460">
        <v>0</v>
      </c>
      <c r="AN49" s="460">
        <v>0</v>
      </c>
      <c r="AO49" s="460">
        <v>0</v>
      </c>
      <c r="AP49" s="460">
        <v>0</v>
      </c>
      <c r="AQ49" s="460">
        <v>0</v>
      </c>
      <c r="AR49" s="460">
        <v>0</v>
      </c>
      <c r="AS49" s="460">
        <v>0</v>
      </c>
      <c r="AT49" s="460">
        <v>0</v>
      </c>
      <c r="AU49" s="460">
        <v>0</v>
      </c>
      <c r="AV49" s="460">
        <v>0</v>
      </c>
      <c r="AW49" s="460">
        <v>0</v>
      </c>
      <c r="AX49" s="460">
        <v>0</v>
      </c>
      <c r="AY49" s="460">
        <v>0</v>
      </c>
      <c r="AZ49" s="460">
        <v>0</v>
      </c>
      <c r="BA49" s="460">
        <v>0</v>
      </c>
      <c r="BB49" s="460">
        <v>0</v>
      </c>
      <c r="BC49" s="460">
        <v>0</v>
      </c>
      <c r="BD49" s="460">
        <v>0</v>
      </c>
      <c r="BE49" s="460">
        <v>0</v>
      </c>
      <c r="BF49" s="460">
        <v>0</v>
      </c>
      <c r="BG49" s="460">
        <v>0</v>
      </c>
      <c r="BH49" s="460">
        <v>0</v>
      </c>
      <c r="BI49" s="460">
        <v>-2158.0673765025999</v>
      </c>
      <c r="BJ49" s="460">
        <v>0</v>
      </c>
      <c r="BK49" s="460">
        <v>0</v>
      </c>
      <c r="BL49" s="460">
        <v>0</v>
      </c>
      <c r="BM49" s="460">
        <v>0</v>
      </c>
      <c r="BN49" s="460">
        <v>0</v>
      </c>
      <c r="BO49" s="460">
        <v>0</v>
      </c>
      <c r="BP49" s="460">
        <v>0</v>
      </c>
      <c r="BQ49" s="460">
        <v>0</v>
      </c>
      <c r="BR49" s="460">
        <v>0</v>
      </c>
      <c r="BS49" s="460">
        <v>0</v>
      </c>
      <c r="BT49" s="460">
        <v>0</v>
      </c>
      <c r="BU49" s="460">
        <v>0</v>
      </c>
      <c r="BV49" s="460">
        <v>0</v>
      </c>
      <c r="BW49" s="460">
        <v>0</v>
      </c>
      <c r="BX49" s="460">
        <v>0</v>
      </c>
      <c r="BY49" s="460">
        <v>0</v>
      </c>
      <c r="BZ49" s="460">
        <v>0</v>
      </c>
      <c r="CA49" s="460" t="e">
        <v>#N/A</v>
      </c>
      <c r="CB49" s="460" t="e">
        <v>#N/A</v>
      </c>
      <c r="CC49" s="460" t="e">
        <v>#N/A</v>
      </c>
    </row>
    <row r="50" spans="1:81" ht="12.75" customHeight="1">
      <c r="A50" s="105">
        <v>45</v>
      </c>
      <c r="B50" s="458" t="str">
        <v>18Y</v>
      </c>
      <c r="C50" s="262">
        <f>'eur disaggregated'!U61</f>
        <v>84610.274432095102</v>
      </c>
      <c r="D50" s="111" t="str">
        <f t="shared" si="4"/>
        <v>216M</v>
      </c>
      <c r="E50" s="441">
        <f>BktEur6mPL!E50</f>
        <v>42696</v>
      </c>
      <c r="F50" s="441">
        <f>BktEur6mPL!F50</f>
        <v>49270</v>
      </c>
      <c r="G50" s="462">
        <f t="shared" si="1"/>
        <v>1.100512243E-2</v>
      </c>
      <c r="H50" s="453">
        <f>BktEur6mPL!H50</f>
        <v>1.1005122430000001</v>
      </c>
      <c r="I50" s="107" t="str">
        <v>17Y</v>
      </c>
      <c r="J50" s="106" t="str">
        <f>IF(LEN(I50)&gt;0,IF((MID(I50,4,1)=" "),#REF!,IF((LEN(I50)=8),DATE("20" &amp; RIGHT(I50,2),MID(I50,4,2),LEFT(I50,2)),SimplifyTenor(I50))),"")</f>
        <v>204M</v>
      </c>
      <c r="K50" s="448">
        <f>_xll.qlCalendarAdvance("TARGET",SettlementDate,J50)</f>
        <v>48905</v>
      </c>
      <c r="M50" s="99" t="str">
        <v>17Y</v>
      </c>
      <c r="N50" s="465">
        <v>-2158.0673765025999</v>
      </c>
      <c r="P50" s="106" t="b">
        <f t="shared" si="5"/>
        <v>0</v>
      </c>
      <c r="Q50" s="460">
        <f t="array" ref="Q50:CC50">C50*ForwardToZero(OisBuckets,E50,F50,G50)</f>
        <v>0</v>
      </c>
      <c r="R50" s="460">
        <v>0</v>
      </c>
      <c r="S50" s="460">
        <v>0</v>
      </c>
      <c r="T50" s="460">
        <v>0</v>
      </c>
      <c r="U50" s="460">
        <v>0</v>
      </c>
      <c r="V50" s="460">
        <v>0</v>
      </c>
      <c r="W50" s="460">
        <v>0</v>
      </c>
      <c r="X50" s="460">
        <v>0</v>
      </c>
      <c r="Y50" s="460">
        <v>0</v>
      </c>
      <c r="Z50" s="460">
        <v>0</v>
      </c>
      <c r="AA50" s="460">
        <v>0</v>
      </c>
      <c r="AB50" s="460">
        <v>0</v>
      </c>
      <c r="AC50" s="460">
        <v>0</v>
      </c>
      <c r="AD50" s="460">
        <v>0</v>
      </c>
      <c r="AE50" s="460">
        <v>0</v>
      </c>
      <c r="AF50" s="460">
        <v>0</v>
      </c>
      <c r="AG50" s="460">
        <v>0</v>
      </c>
      <c r="AH50" s="460">
        <v>0</v>
      </c>
      <c r="AI50" s="460">
        <v>0</v>
      </c>
      <c r="AJ50" s="460">
        <v>0</v>
      </c>
      <c r="AK50" s="460">
        <v>0</v>
      </c>
      <c r="AL50" s="460">
        <v>0</v>
      </c>
      <c r="AM50" s="460">
        <v>0</v>
      </c>
      <c r="AN50" s="460">
        <v>0</v>
      </c>
      <c r="AO50" s="460">
        <v>0</v>
      </c>
      <c r="AP50" s="460">
        <v>0</v>
      </c>
      <c r="AQ50" s="460">
        <v>0</v>
      </c>
      <c r="AR50" s="460">
        <v>0</v>
      </c>
      <c r="AS50" s="460">
        <v>0</v>
      </c>
      <c r="AT50" s="460">
        <v>0</v>
      </c>
      <c r="AU50" s="460">
        <v>0</v>
      </c>
      <c r="AV50" s="460">
        <v>0</v>
      </c>
      <c r="AW50" s="460">
        <v>0</v>
      </c>
      <c r="AX50" s="460">
        <v>0</v>
      </c>
      <c r="AY50" s="460">
        <v>0</v>
      </c>
      <c r="AZ50" s="460">
        <v>0</v>
      </c>
      <c r="BA50" s="460">
        <v>0</v>
      </c>
      <c r="BB50" s="460">
        <v>0</v>
      </c>
      <c r="BC50" s="460">
        <v>0</v>
      </c>
      <c r="BD50" s="460">
        <v>0</v>
      </c>
      <c r="BE50" s="460">
        <v>0</v>
      </c>
      <c r="BF50" s="460">
        <v>0</v>
      </c>
      <c r="BG50" s="460">
        <v>0</v>
      </c>
      <c r="BH50" s="460">
        <v>0</v>
      </c>
      <c r="BI50" s="460">
        <v>0</v>
      </c>
      <c r="BJ50" s="460">
        <v>84610.274432095102</v>
      </c>
      <c r="BK50" s="460">
        <v>0</v>
      </c>
      <c r="BL50" s="460">
        <v>0</v>
      </c>
      <c r="BM50" s="460">
        <v>0</v>
      </c>
      <c r="BN50" s="460">
        <v>0</v>
      </c>
      <c r="BO50" s="460">
        <v>0</v>
      </c>
      <c r="BP50" s="460">
        <v>0</v>
      </c>
      <c r="BQ50" s="460">
        <v>0</v>
      </c>
      <c r="BR50" s="460">
        <v>0</v>
      </c>
      <c r="BS50" s="460">
        <v>0</v>
      </c>
      <c r="BT50" s="460">
        <v>0</v>
      </c>
      <c r="BU50" s="460">
        <v>0</v>
      </c>
      <c r="BV50" s="460">
        <v>0</v>
      </c>
      <c r="BW50" s="460">
        <v>0</v>
      </c>
      <c r="BX50" s="460">
        <v>0</v>
      </c>
      <c r="BY50" s="460">
        <v>0</v>
      </c>
      <c r="BZ50" s="460">
        <v>0</v>
      </c>
      <c r="CA50" s="460" t="e">
        <v>#N/A</v>
      </c>
      <c r="CB50" s="460" t="e">
        <v>#N/A</v>
      </c>
      <c r="CC50" s="460" t="e">
        <v>#N/A</v>
      </c>
    </row>
    <row r="51" spans="1:81" ht="12.75" customHeight="1">
      <c r="A51" s="105">
        <v>46</v>
      </c>
      <c r="B51" s="458" t="str">
        <v>19Y</v>
      </c>
      <c r="C51" s="262">
        <f>'eur disaggregated'!U62</f>
        <v>-297245.53649835603</v>
      </c>
      <c r="D51" s="111" t="str">
        <f t="shared" si="4"/>
        <v>228M</v>
      </c>
      <c r="E51" s="441">
        <f>BktEur6mPL!E51</f>
        <v>42696</v>
      </c>
      <c r="F51" s="441">
        <f>BktEur6mPL!F51</f>
        <v>49635</v>
      </c>
      <c r="G51" s="462">
        <f t="shared" si="1"/>
        <v>1.119874706E-2</v>
      </c>
      <c r="H51" s="453">
        <f>BktEur6mPL!H51</f>
        <v>1.1198747060000001</v>
      </c>
      <c r="I51" s="107" t="str">
        <v>18Y</v>
      </c>
      <c r="J51" s="106" t="str">
        <f>IF(LEN(I51)&gt;0,IF((MID(I51,4,1)=" "),#REF!,IF((LEN(I51)=8),DATE("20" &amp; RIGHT(I51,2),MID(I51,4,2),LEFT(I51,2)),SimplifyTenor(I51))),"")</f>
        <v>216M</v>
      </c>
      <c r="K51" s="448">
        <f>_xll.qlCalendarAdvance("TARGET",SettlementDate,J51)</f>
        <v>49270</v>
      </c>
      <c r="M51" s="99" t="str">
        <v>18Y</v>
      </c>
      <c r="N51" s="465">
        <v>84610.274432095102</v>
      </c>
      <c r="P51" s="106" t="b">
        <f t="shared" si="5"/>
        <v>0</v>
      </c>
      <c r="Q51" s="460">
        <f t="array" ref="Q51:CC51">C51*ForwardToZero(OisBuckets,E51,F51,G51)</f>
        <v>0</v>
      </c>
      <c r="R51" s="460">
        <v>0</v>
      </c>
      <c r="S51" s="460">
        <v>0</v>
      </c>
      <c r="T51" s="460">
        <v>0</v>
      </c>
      <c r="U51" s="460">
        <v>0</v>
      </c>
      <c r="V51" s="460">
        <v>0</v>
      </c>
      <c r="W51" s="460">
        <v>0</v>
      </c>
      <c r="X51" s="460">
        <v>0</v>
      </c>
      <c r="Y51" s="460">
        <v>0</v>
      </c>
      <c r="Z51" s="460">
        <v>0</v>
      </c>
      <c r="AA51" s="460">
        <v>0</v>
      </c>
      <c r="AB51" s="460">
        <v>0</v>
      </c>
      <c r="AC51" s="460">
        <v>0</v>
      </c>
      <c r="AD51" s="460">
        <v>0</v>
      </c>
      <c r="AE51" s="460">
        <v>0</v>
      </c>
      <c r="AF51" s="460">
        <v>0</v>
      </c>
      <c r="AG51" s="460">
        <v>0</v>
      </c>
      <c r="AH51" s="460">
        <v>0</v>
      </c>
      <c r="AI51" s="460">
        <v>0</v>
      </c>
      <c r="AJ51" s="460">
        <v>0</v>
      </c>
      <c r="AK51" s="460">
        <v>0</v>
      </c>
      <c r="AL51" s="460">
        <v>0</v>
      </c>
      <c r="AM51" s="460">
        <v>0</v>
      </c>
      <c r="AN51" s="460">
        <v>0</v>
      </c>
      <c r="AO51" s="460">
        <v>0</v>
      </c>
      <c r="AP51" s="460">
        <v>0</v>
      </c>
      <c r="AQ51" s="460">
        <v>0</v>
      </c>
      <c r="AR51" s="460">
        <v>0</v>
      </c>
      <c r="AS51" s="460">
        <v>0</v>
      </c>
      <c r="AT51" s="460">
        <v>0</v>
      </c>
      <c r="AU51" s="460">
        <v>0</v>
      </c>
      <c r="AV51" s="460">
        <v>0</v>
      </c>
      <c r="AW51" s="460">
        <v>0</v>
      </c>
      <c r="AX51" s="460">
        <v>0</v>
      </c>
      <c r="AY51" s="460">
        <v>0</v>
      </c>
      <c r="AZ51" s="460">
        <v>0</v>
      </c>
      <c r="BA51" s="460">
        <v>0</v>
      </c>
      <c r="BB51" s="460">
        <v>0</v>
      </c>
      <c r="BC51" s="460">
        <v>0</v>
      </c>
      <c r="BD51" s="460">
        <v>0</v>
      </c>
      <c r="BE51" s="460">
        <v>0</v>
      </c>
      <c r="BF51" s="460">
        <v>0</v>
      </c>
      <c r="BG51" s="460">
        <v>0</v>
      </c>
      <c r="BH51" s="460">
        <v>0</v>
      </c>
      <c r="BI51" s="460">
        <v>0</v>
      </c>
      <c r="BJ51" s="460">
        <v>0</v>
      </c>
      <c r="BK51" s="460">
        <v>-297245.53649835603</v>
      </c>
      <c r="BL51" s="460">
        <v>0</v>
      </c>
      <c r="BM51" s="460">
        <v>0</v>
      </c>
      <c r="BN51" s="460">
        <v>0</v>
      </c>
      <c r="BO51" s="460">
        <v>0</v>
      </c>
      <c r="BP51" s="460">
        <v>0</v>
      </c>
      <c r="BQ51" s="460">
        <v>0</v>
      </c>
      <c r="BR51" s="460">
        <v>0</v>
      </c>
      <c r="BS51" s="460">
        <v>0</v>
      </c>
      <c r="BT51" s="460">
        <v>0</v>
      </c>
      <c r="BU51" s="460">
        <v>0</v>
      </c>
      <c r="BV51" s="460">
        <v>0</v>
      </c>
      <c r="BW51" s="460">
        <v>0</v>
      </c>
      <c r="BX51" s="460">
        <v>0</v>
      </c>
      <c r="BY51" s="460">
        <v>0</v>
      </c>
      <c r="BZ51" s="460">
        <v>0</v>
      </c>
      <c r="CA51" s="460" t="e">
        <v>#N/A</v>
      </c>
      <c r="CB51" s="460" t="e">
        <v>#N/A</v>
      </c>
      <c r="CC51" s="460" t="e">
        <v>#N/A</v>
      </c>
    </row>
    <row r="52" spans="1:81" ht="12.75" customHeight="1">
      <c r="A52" s="105">
        <v>47</v>
      </c>
      <c r="B52" s="458" t="str">
        <v>20Y</v>
      </c>
      <c r="C52" s="262">
        <f>'eur disaggregated'!U63</f>
        <v>24403.592130513302</v>
      </c>
      <c r="D52" s="111" t="str">
        <f t="shared" si="4"/>
        <v>240M</v>
      </c>
      <c r="E52" s="441">
        <f>BktEur6mPL!E52</f>
        <v>42696</v>
      </c>
      <c r="F52" s="441">
        <f>BktEur6mPL!F52</f>
        <v>50003</v>
      </c>
      <c r="G52" s="462">
        <f t="shared" si="1"/>
        <v>1.1350000000000001E-2</v>
      </c>
      <c r="H52" s="453">
        <f>BktEur6mPL!H52</f>
        <v>1.135</v>
      </c>
      <c r="I52" s="107" t="str">
        <v>19Y</v>
      </c>
      <c r="J52" s="106" t="str">
        <f>IF(LEN(I52)&gt;0,IF((MID(I52,4,1)=" "),#REF!,IF((LEN(I52)=8),DATE("20" &amp; RIGHT(I52,2),MID(I52,4,2),LEFT(I52,2)),SimplifyTenor(I52))),"")</f>
        <v>228M</v>
      </c>
      <c r="K52" s="448">
        <f>_xll.qlCalendarAdvance("TARGET",SettlementDate,J52)</f>
        <v>49635</v>
      </c>
      <c r="M52" s="99" t="str">
        <v>19Y</v>
      </c>
      <c r="N52" s="465">
        <v>-297245.53649835603</v>
      </c>
      <c r="P52" s="106" t="b">
        <f t="shared" si="5"/>
        <v>0</v>
      </c>
      <c r="Q52" s="460">
        <f t="array" ref="Q52:CC52">C52*ForwardToZero(OisBuckets,E52,F52,G52)</f>
        <v>0</v>
      </c>
      <c r="R52" s="460">
        <v>0</v>
      </c>
      <c r="S52" s="460">
        <v>0</v>
      </c>
      <c r="T52" s="460">
        <v>0</v>
      </c>
      <c r="U52" s="460">
        <v>0</v>
      </c>
      <c r="V52" s="460">
        <v>0</v>
      </c>
      <c r="W52" s="460">
        <v>0</v>
      </c>
      <c r="X52" s="460">
        <v>0</v>
      </c>
      <c r="Y52" s="460">
        <v>0</v>
      </c>
      <c r="Z52" s="460">
        <v>0</v>
      </c>
      <c r="AA52" s="460">
        <v>0</v>
      </c>
      <c r="AB52" s="460">
        <v>0</v>
      </c>
      <c r="AC52" s="460">
        <v>0</v>
      </c>
      <c r="AD52" s="460">
        <v>0</v>
      </c>
      <c r="AE52" s="460">
        <v>0</v>
      </c>
      <c r="AF52" s="460">
        <v>0</v>
      </c>
      <c r="AG52" s="460">
        <v>0</v>
      </c>
      <c r="AH52" s="460">
        <v>0</v>
      </c>
      <c r="AI52" s="460">
        <v>0</v>
      </c>
      <c r="AJ52" s="460">
        <v>0</v>
      </c>
      <c r="AK52" s="460">
        <v>0</v>
      </c>
      <c r="AL52" s="460">
        <v>0</v>
      </c>
      <c r="AM52" s="460">
        <v>0</v>
      </c>
      <c r="AN52" s="460">
        <v>0</v>
      </c>
      <c r="AO52" s="460">
        <v>0</v>
      </c>
      <c r="AP52" s="460">
        <v>0</v>
      </c>
      <c r="AQ52" s="460">
        <v>0</v>
      </c>
      <c r="AR52" s="460">
        <v>0</v>
      </c>
      <c r="AS52" s="460">
        <v>0</v>
      </c>
      <c r="AT52" s="460">
        <v>0</v>
      </c>
      <c r="AU52" s="460">
        <v>0</v>
      </c>
      <c r="AV52" s="460">
        <v>0</v>
      </c>
      <c r="AW52" s="460">
        <v>0</v>
      </c>
      <c r="AX52" s="460">
        <v>0</v>
      </c>
      <c r="AY52" s="460">
        <v>0</v>
      </c>
      <c r="AZ52" s="460">
        <v>0</v>
      </c>
      <c r="BA52" s="460">
        <v>0</v>
      </c>
      <c r="BB52" s="460">
        <v>0</v>
      </c>
      <c r="BC52" s="460">
        <v>0</v>
      </c>
      <c r="BD52" s="460">
        <v>0</v>
      </c>
      <c r="BE52" s="460">
        <v>0</v>
      </c>
      <c r="BF52" s="460">
        <v>0</v>
      </c>
      <c r="BG52" s="460">
        <v>0</v>
      </c>
      <c r="BH52" s="460">
        <v>0</v>
      </c>
      <c r="BI52" s="460">
        <v>0</v>
      </c>
      <c r="BJ52" s="460">
        <v>0</v>
      </c>
      <c r="BK52" s="460">
        <v>0</v>
      </c>
      <c r="BL52" s="460">
        <v>24403.592130513302</v>
      </c>
      <c r="BM52" s="460">
        <v>0</v>
      </c>
      <c r="BN52" s="460">
        <v>0</v>
      </c>
      <c r="BO52" s="460">
        <v>0</v>
      </c>
      <c r="BP52" s="460">
        <v>0</v>
      </c>
      <c r="BQ52" s="460">
        <v>0</v>
      </c>
      <c r="BR52" s="460">
        <v>0</v>
      </c>
      <c r="BS52" s="460">
        <v>0</v>
      </c>
      <c r="BT52" s="460">
        <v>0</v>
      </c>
      <c r="BU52" s="460">
        <v>0</v>
      </c>
      <c r="BV52" s="460">
        <v>0</v>
      </c>
      <c r="BW52" s="460">
        <v>0</v>
      </c>
      <c r="BX52" s="460">
        <v>0</v>
      </c>
      <c r="BY52" s="460">
        <v>0</v>
      </c>
      <c r="BZ52" s="460">
        <v>0</v>
      </c>
      <c r="CA52" s="460" t="e">
        <v>#N/A</v>
      </c>
      <c r="CB52" s="460" t="e">
        <v>#N/A</v>
      </c>
      <c r="CC52" s="460" t="e">
        <v>#N/A</v>
      </c>
    </row>
    <row r="53" spans="1:81" ht="12.75" customHeight="1">
      <c r="A53" s="105">
        <v>48</v>
      </c>
      <c r="B53" s="458" t="str">
        <v>21Y</v>
      </c>
      <c r="C53" s="262">
        <f>'eur disaggregated'!U64</f>
        <v>71238.179029862993</v>
      </c>
      <c r="D53" s="111" t="str">
        <f t="shared" si="4"/>
        <v>252M</v>
      </c>
      <c r="E53" s="441">
        <f>BktEur6mPL!E53</f>
        <v>42696</v>
      </c>
      <c r="F53" s="441">
        <f>BktEur6mPL!F53</f>
        <v>50367</v>
      </c>
      <c r="G53" s="462">
        <f t="shared" si="1"/>
        <v>1.1464710229999999E-2</v>
      </c>
      <c r="H53" s="453">
        <f>BktEur6mPL!H53</f>
        <v>1.1464710229999999</v>
      </c>
      <c r="I53" s="107" t="str">
        <v>20Y</v>
      </c>
      <c r="J53" s="106" t="str">
        <f>IF(LEN(I53)&gt;0,IF((MID(I53,4,1)=" "),#REF!,IF((LEN(I53)=8),DATE("20" &amp; RIGHT(I53,2),MID(I53,4,2),LEFT(I53,2)),SimplifyTenor(I53))),"")</f>
        <v>240M</v>
      </c>
      <c r="K53" s="448">
        <f>_xll.qlCalendarAdvance("TARGET",SettlementDate,J53)</f>
        <v>50003</v>
      </c>
      <c r="M53" s="99" t="str">
        <v>20Y</v>
      </c>
      <c r="N53" s="465">
        <v>24403.592130513302</v>
      </c>
      <c r="P53" s="106" t="b">
        <f t="shared" si="5"/>
        <v>0</v>
      </c>
      <c r="Q53" s="460">
        <f t="array" ref="Q53:CC53">C53*ForwardToZero(OisBuckets,E53,F53,G53)</f>
        <v>0</v>
      </c>
      <c r="R53" s="460">
        <v>0</v>
      </c>
      <c r="S53" s="460">
        <v>0</v>
      </c>
      <c r="T53" s="460">
        <v>0</v>
      </c>
      <c r="U53" s="460">
        <v>0</v>
      </c>
      <c r="V53" s="460">
        <v>0</v>
      </c>
      <c r="W53" s="460">
        <v>0</v>
      </c>
      <c r="X53" s="460">
        <v>0</v>
      </c>
      <c r="Y53" s="460">
        <v>0</v>
      </c>
      <c r="Z53" s="460">
        <v>0</v>
      </c>
      <c r="AA53" s="460">
        <v>0</v>
      </c>
      <c r="AB53" s="460">
        <v>0</v>
      </c>
      <c r="AC53" s="460">
        <v>0</v>
      </c>
      <c r="AD53" s="460">
        <v>0</v>
      </c>
      <c r="AE53" s="460">
        <v>0</v>
      </c>
      <c r="AF53" s="460">
        <v>0</v>
      </c>
      <c r="AG53" s="460">
        <v>0</v>
      </c>
      <c r="AH53" s="460">
        <v>0</v>
      </c>
      <c r="AI53" s="460">
        <v>0</v>
      </c>
      <c r="AJ53" s="460">
        <v>0</v>
      </c>
      <c r="AK53" s="460">
        <v>0</v>
      </c>
      <c r="AL53" s="460">
        <v>0</v>
      </c>
      <c r="AM53" s="460">
        <v>0</v>
      </c>
      <c r="AN53" s="460">
        <v>0</v>
      </c>
      <c r="AO53" s="460">
        <v>0</v>
      </c>
      <c r="AP53" s="460">
        <v>0</v>
      </c>
      <c r="AQ53" s="460">
        <v>0</v>
      </c>
      <c r="AR53" s="460">
        <v>0</v>
      </c>
      <c r="AS53" s="460">
        <v>0</v>
      </c>
      <c r="AT53" s="460">
        <v>0</v>
      </c>
      <c r="AU53" s="460">
        <v>0</v>
      </c>
      <c r="AV53" s="460">
        <v>0</v>
      </c>
      <c r="AW53" s="460">
        <v>0</v>
      </c>
      <c r="AX53" s="460">
        <v>0</v>
      </c>
      <c r="AY53" s="460">
        <v>0</v>
      </c>
      <c r="AZ53" s="460">
        <v>0</v>
      </c>
      <c r="BA53" s="460">
        <v>0</v>
      </c>
      <c r="BB53" s="460">
        <v>0</v>
      </c>
      <c r="BC53" s="460">
        <v>0</v>
      </c>
      <c r="BD53" s="460">
        <v>0</v>
      </c>
      <c r="BE53" s="460">
        <v>0</v>
      </c>
      <c r="BF53" s="460">
        <v>0</v>
      </c>
      <c r="BG53" s="460">
        <v>0</v>
      </c>
      <c r="BH53" s="460">
        <v>0</v>
      </c>
      <c r="BI53" s="460">
        <v>0</v>
      </c>
      <c r="BJ53" s="460">
        <v>0</v>
      </c>
      <c r="BK53" s="460">
        <v>0</v>
      </c>
      <c r="BL53" s="460">
        <v>0</v>
      </c>
      <c r="BM53" s="460">
        <v>71238.179029862993</v>
      </c>
      <c r="BN53" s="460">
        <v>0</v>
      </c>
      <c r="BO53" s="460">
        <v>0</v>
      </c>
      <c r="BP53" s="460">
        <v>0</v>
      </c>
      <c r="BQ53" s="460">
        <v>0</v>
      </c>
      <c r="BR53" s="460">
        <v>0</v>
      </c>
      <c r="BS53" s="460">
        <v>0</v>
      </c>
      <c r="BT53" s="460">
        <v>0</v>
      </c>
      <c r="BU53" s="460">
        <v>0</v>
      </c>
      <c r="BV53" s="460">
        <v>0</v>
      </c>
      <c r="BW53" s="460">
        <v>0</v>
      </c>
      <c r="BX53" s="460">
        <v>0</v>
      </c>
      <c r="BY53" s="460">
        <v>0</v>
      </c>
      <c r="BZ53" s="460">
        <v>0</v>
      </c>
      <c r="CA53" s="460" t="e">
        <v>#N/A</v>
      </c>
      <c r="CB53" s="460" t="e">
        <v>#N/A</v>
      </c>
      <c r="CC53" s="460" t="e">
        <v>#N/A</v>
      </c>
    </row>
    <row r="54" spans="1:81" ht="12.75" customHeight="1">
      <c r="A54" s="105">
        <v>49</v>
      </c>
      <c r="B54" s="458" t="str">
        <v>22Y</v>
      </c>
      <c r="C54" s="262">
        <f>'eur disaggregated'!U65</f>
        <v>67896.723439502195</v>
      </c>
      <c r="D54" s="111" t="str">
        <f t="shared" si="4"/>
        <v>264M</v>
      </c>
      <c r="E54" s="441">
        <f>BktEur6mPL!E54</f>
        <v>42696</v>
      </c>
      <c r="F54" s="441">
        <f>BktEur6mPL!F54</f>
        <v>50731</v>
      </c>
      <c r="G54" s="462">
        <f t="shared" si="1"/>
        <v>1.155100557E-2</v>
      </c>
      <c r="H54" s="453">
        <f>BktEur6mPL!H54</f>
        <v>1.1551005569999999</v>
      </c>
      <c r="I54" s="107" t="str">
        <v>21Y</v>
      </c>
      <c r="J54" s="106" t="str">
        <f>IF(LEN(I54)&gt;0,IF((MID(I54,4,1)=" "),#REF!,IF((LEN(I54)=8),DATE("20" &amp; RIGHT(I54,2),MID(I54,4,2),LEFT(I54,2)),SimplifyTenor(I54))),"")</f>
        <v>252M</v>
      </c>
      <c r="K54" s="448">
        <f>_xll.qlCalendarAdvance("TARGET",SettlementDate,J54)</f>
        <v>50367</v>
      </c>
      <c r="M54" s="99" t="str">
        <v>21Y</v>
      </c>
      <c r="N54" s="465">
        <v>71238.179029862993</v>
      </c>
      <c r="P54" s="106" t="b">
        <f t="shared" si="5"/>
        <v>0</v>
      </c>
      <c r="Q54" s="460">
        <f t="array" ref="Q54:CC54">C54*ForwardToZero(OisBuckets,E54,F54,G54)</f>
        <v>0</v>
      </c>
      <c r="R54" s="460">
        <v>0</v>
      </c>
      <c r="S54" s="460">
        <v>0</v>
      </c>
      <c r="T54" s="460">
        <v>0</v>
      </c>
      <c r="U54" s="460">
        <v>0</v>
      </c>
      <c r="V54" s="460">
        <v>0</v>
      </c>
      <c r="W54" s="460">
        <v>0</v>
      </c>
      <c r="X54" s="460">
        <v>0</v>
      </c>
      <c r="Y54" s="460">
        <v>0</v>
      </c>
      <c r="Z54" s="460">
        <v>0</v>
      </c>
      <c r="AA54" s="460">
        <v>0</v>
      </c>
      <c r="AB54" s="460">
        <v>0</v>
      </c>
      <c r="AC54" s="460">
        <v>0</v>
      </c>
      <c r="AD54" s="460">
        <v>0</v>
      </c>
      <c r="AE54" s="460">
        <v>0</v>
      </c>
      <c r="AF54" s="460">
        <v>0</v>
      </c>
      <c r="AG54" s="460">
        <v>0</v>
      </c>
      <c r="AH54" s="460">
        <v>0</v>
      </c>
      <c r="AI54" s="460">
        <v>0</v>
      </c>
      <c r="AJ54" s="460">
        <v>0</v>
      </c>
      <c r="AK54" s="460">
        <v>0</v>
      </c>
      <c r="AL54" s="460">
        <v>0</v>
      </c>
      <c r="AM54" s="460">
        <v>0</v>
      </c>
      <c r="AN54" s="460">
        <v>0</v>
      </c>
      <c r="AO54" s="460">
        <v>0</v>
      </c>
      <c r="AP54" s="460">
        <v>0</v>
      </c>
      <c r="AQ54" s="460">
        <v>0</v>
      </c>
      <c r="AR54" s="460">
        <v>0</v>
      </c>
      <c r="AS54" s="460">
        <v>0</v>
      </c>
      <c r="AT54" s="460">
        <v>0</v>
      </c>
      <c r="AU54" s="460">
        <v>0</v>
      </c>
      <c r="AV54" s="460">
        <v>0</v>
      </c>
      <c r="AW54" s="460">
        <v>0</v>
      </c>
      <c r="AX54" s="460">
        <v>0</v>
      </c>
      <c r="AY54" s="460">
        <v>0</v>
      </c>
      <c r="AZ54" s="460">
        <v>0</v>
      </c>
      <c r="BA54" s="460">
        <v>0</v>
      </c>
      <c r="BB54" s="460">
        <v>0</v>
      </c>
      <c r="BC54" s="460">
        <v>0</v>
      </c>
      <c r="BD54" s="460">
        <v>0</v>
      </c>
      <c r="BE54" s="460">
        <v>0</v>
      </c>
      <c r="BF54" s="460">
        <v>0</v>
      </c>
      <c r="BG54" s="460">
        <v>0</v>
      </c>
      <c r="BH54" s="460">
        <v>0</v>
      </c>
      <c r="BI54" s="460">
        <v>0</v>
      </c>
      <c r="BJ54" s="460">
        <v>0</v>
      </c>
      <c r="BK54" s="460">
        <v>0</v>
      </c>
      <c r="BL54" s="460">
        <v>0</v>
      </c>
      <c r="BM54" s="460">
        <v>0</v>
      </c>
      <c r="BN54" s="460">
        <v>67896.723439502195</v>
      </c>
      <c r="BO54" s="460">
        <v>0</v>
      </c>
      <c r="BP54" s="460">
        <v>0</v>
      </c>
      <c r="BQ54" s="460">
        <v>0</v>
      </c>
      <c r="BR54" s="460">
        <v>0</v>
      </c>
      <c r="BS54" s="460">
        <v>0</v>
      </c>
      <c r="BT54" s="460">
        <v>0</v>
      </c>
      <c r="BU54" s="460">
        <v>0</v>
      </c>
      <c r="BV54" s="460">
        <v>0</v>
      </c>
      <c r="BW54" s="460">
        <v>0</v>
      </c>
      <c r="BX54" s="460">
        <v>0</v>
      </c>
      <c r="BY54" s="460">
        <v>0</v>
      </c>
      <c r="BZ54" s="460">
        <v>0</v>
      </c>
      <c r="CA54" s="460" t="e">
        <v>#N/A</v>
      </c>
      <c r="CB54" s="460" t="e">
        <v>#N/A</v>
      </c>
      <c r="CC54" s="460" t="e">
        <v>#N/A</v>
      </c>
    </row>
    <row r="55" spans="1:81" ht="12.75" customHeight="1">
      <c r="A55" s="105">
        <v>50</v>
      </c>
      <c r="B55" s="458" t="str">
        <v>23Y</v>
      </c>
      <c r="C55" s="262">
        <f>'eur disaggregated'!U66</f>
        <v>6673.03720156701</v>
      </c>
      <c r="D55" s="111" t="str">
        <f t="shared" si="4"/>
        <v>276M</v>
      </c>
      <c r="E55" s="441">
        <f>BktEur6mPL!E55</f>
        <v>42696</v>
      </c>
      <c r="F55" s="441">
        <f>BktEur6mPL!F55</f>
        <v>51096</v>
      </c>
      <c r="G55" s="462">
        <f t="shared" si="1"/>
        <v>1.1614880880000001E-2</v>
      </c>
      <c r="H55" s="453">
        <f>BktEur6mPL!H55</f>
        <v>1.161488088</v>
      </c>
      <c r="I55" s="107" t="str">
        <v>22Y</v>
      </c>
      <c r="J55" s="106" t="str">
        <f>IF(LEN(I55)&gt;0,IF((MID(I55,4,1)=" "),#REF!,IF((LEN(I55)=8),DATE("20" &amp; RIGHT(I55,2),MID(I55,4,2),LEFT(I55,2)),SimplifyTenor(I55))),"")</f>
        <v>264M</v>
      </c>
      <c r="K55" s="448">
        <f>_xll.qlCalendarAdvance("TARGET",SettlementDate,J55)</f>
        <v>50731</v>
      </c>
      <c r="M55" s="99" t="str">
        <v>22Y</v>
      </c>
      <c r="N55" s="465">
        <v>67896.723439502195</v>
      </c>
      <c r="P55" s="106" t="b">
        <f t="shared" si="5"/>
        <v>0</v>
      </c>
      <c r="Q55" s="460">
        <f t="array" ref="Q55:CC55">C55*ForwardToZero(OisBuckets,E55,F55,G55)</f>
        <v>0</v>
      </c>
      <c r="R55" s="460">
        <v>0</v>
      </c>
      <c r="S55" s="460">
        <v>0</v>
      </c>
      <c r="T55" s="460">
        <v>0</v>
      </c>
      <c r="U55" s="460">
        <v>0</v>
      </c>
      <c r="V55" s="460">
        <v>0</v>
      </c>
      <c r="W55" s="460">
        <v>0</v>
      </c>
      <c r="X55" s="460">
        <v>0</v>
      </c>
      <c r="Y55" s="460">
        <v>0</v>
      </c>
      <c r="Z55" s="460">
        <v>0</v>
      </c>
      <c r="AA55" s="460">
        <v>0</v>
      </c>
      <c r="AB55" s="460">
        <v>0</v>
      </c>
      <c r="AC55" s="460">
        <v>0</v>
      </c>
      <c r="AD55" s="460">
        <v>0</v>
      </c>
      <c r="AE55" s="460">
        <v>0</v>
      </c>
      <c r="AF55" s="460">
        <v>0</v>
      </c>
      <c r="AG55" s="460">
        <v>0</v>
      </c>
      <c r="AH55" s="460">
        <v>0</v>
      </c>
      <c r="AI55" s="460">
        <v>0</v>
      </c>
      <c r="AJ55" s="460">
        <v>0</v>
      </c>
      <c r="AK55" s="460">
        <v>0</v>
      </c>
      <c r="AL55" s="460">
        <v>0</v>
      </c>
      <c r="AM55" s="460">
        <v>0</v>
      </c>
      <c r="AN55" s="460">
        <v>0</v>
      </c>
      <c r="AO55" s="460">
        <v>0</v>
      </c>
      <c r="AP55" s="460">
        <v>0</v>
      </c>
      <c r="AQ55" s="460">
        <v>0</v>
      </c>
      <c r="AR55" s="460">
        <v>0</v>
      </c>
      <c r="AS55" s="460">
        <v>0</v>
      </c>
      <c r="AT55" s="460">
        <v>0</v>
      </c>
      <c r="AU55" s="460">
        <v>0</v>
      </c>
      <c r="AV55" s="460">
        <v>0</v>
      </c>
      <c r="AW55" s="460">
        <v>0</v>
      </c>
      <c r="AX55" s="460">
        <v>0</v>
      </c>
      <c r="AY55" s="460">
        <v>0</v>
      </c>
      <c r="AZ55" s="460">
        <v>0</v>
      </c>
      <c r="BA55" s="460">
        <v>0</v>
      </c>
      <c r="BB55" s="460">
        <v>0</v>
      </c>
      <c r="BC55" s="460">
        <v>0</v>
      </c>
      <c r="BD55" s="460">
        <v>0</v>
      </c>
      <c r="BE55" s="460">
        <v>0</v>
      </c>
      <c r="BF55" s="460">
        <v>0</v>
      </c>
      <c r="BG55" s="460">
        <v>0</v>
      </c>
      <c r="BH55" s="460">
        <v>0</v>
      </c>
      <c r="BI55" s="460">
        <v>0</v>
      </c>
      <c r="BJ55" s="460">
        <v>0</v>
      </c>
      <c r="BK55" s="460">
        <v>0</v>
      </c>
      <c r="BL55" s="460">
        <v>0</v>
      </c>
      <c r="BM55" s="460">
        <v>0</v>
      </c>
      <c r="BN55" s="460">
        <v>0</v>
      </c>
      <c r="BO55" s="460">
        <v>6673.03720156701</v>
      </c>
      <c r="BP55" s="460">
        <v>0</v>
      </c>
      <c r="BQ55" s="460">
        <v>0</v>
      </c>
      <c r="BR55" s="460">
        <v>0</v>
      </c>
      <c r="BS55" s="460">
        <v>0</v>
      </c>
      <c r="BT55" s="460">
        <v>0</v>
      </c>
      <c r="BU55" s="460">
        <v>0</v>
      </c>
      <c r="BV55" s="460">
        <v>0</v>
      </c>
      <c r="BW55" s="460">
        <v>0</v>
      </c>
      <c r="BX55" s="460">
        <v>0</v>
      </c>
      <c r="BY55" s="460">
        <v>0</v>
      </c>
      <c r="BZ55" s="460">
        <v>0</v>
      </c>
      <c r="CA55" s="460" t="e">
        <v>#N/A</v>
      </c>
      <c r="CB55" s="460" t="e">
        <v>#N/A</v>
      </c>
      <c r="CC55" s="460" t="e">
        <v>#N/A</v>
      </c>
    </row>
    <row r="56" spans="1:81" ht="12.75" customHeight="1">
      <c r="A56" s="105">
        <v>51</v>
      </c>
      <c r="B56" s="458" t="str">
        <v>24Y</v>
      </c>
      <c r="C56" s="262">
        <f>'eur disaggregated'!U67</f>
        <v>18734.066043765899</v>
      </c>
      <c r="D56" s="111" t="str">
        <f t="shared" si="4"/>
        <v>288M</v>
      </c>
      <c r="E56" s="441">
        <f>BktEur6mPL!E56</f>
        <v>42696</v>
      </c>
      <c r="F56" s="441">
        <f>BktEur6mPL!F56</f>
        <v>51462</v>
      </c>
      <c r="G56" s="462">
        <f t="shared" si="1"/>
        <v>1.166357398E-2</v>
      </c>
      <c r="H56" s="453">
        <f>BktEur6mPL!H56</f>
        <v>1.1663573979999999</v>
      </c>
      <c r="I56" s="107" t="str">
        <v>23Y</v>
      </c>
      <c r="J56" s="106" t="str">
        <f>IF(LEN(I56)&gt;0,IF((MID(I56,4,1)=" "),#REF!,IF((LEN(I56)=8),DATE("20" &amp; RIGHT(I56,2),MID(I56,4,2),LEFT(I56,2)),SimplifyTenor(I56))),"")</f>
        <v>276M</v>
      </c>
      <c r="K56" s="448">
        <f>_xll.qlCalendarAdvance("TARGET",SettlementDate,J56)</f>
        <v>51096</v>
      </c>
      <c r="M56" s="99" t="str">
        <v>23Y</v>
      </c>
      <c r="N56" s="465">
        <v>6673.03720156701</v>
      </c>
      <c r="P56" s="106" t="b">
        <f t="shared" si="5"/>
        <v>0</v>
      </c>
      <c r="Q56" s="460">
        <f t="array" ref="Q56:CC56">C56*ForwardToZero(OisBuckets,E56,F56,G56)</f>
        <v>0</v>
      </c>
      <c r="R56" s="460">
        <v>0</v>
      </c>
      <c r="S56" s="460">
        <v>0</v>
      </c>
      <c r="T56" s="460">
        <v>0</v>
      </c>
      <c r="U56" s="460">
        <v>0</v>
      </c>
      <c r="V56" s="460">
        <v>0</v>
      </c>
      <c r="W56" s="460">
        <v>0</v>
      </c>
      <c r="X56" s="460">
        <v>0</v>
      </c>
      <c r="Y56" s="460">
        <v>0</v>
      </c>
      <c r="Z56" s="460">
        <v>0</v>
      </c>
      <c r="AA56" s="460">
        <v>0</v>
      </c>
      <c r="AB56" s="460">
        <v>0</v>
      </c>
      <c r="AC56" s="460">
        <v>0</v>
      </c>
      <c r="AD56" s="460">
        <v>0</v>
      </c>
      <c r="AE56" s="460">
        <v>0</v>
      </c>
      <c r="AF56" s="460">
        <v>0</v>
      </c>
      <c r="AG56" s="460">
        <v>0</v>
      </c>
      <c r="AH56" s="460">
        <v>0</v>
      </c>
      <c r="AI56" s="460">
        <v>0</v>
      </c>
      <c r="AJ56" s="460">
        <v>0</v>
      </c>
      <c r="AK56" s="460">
        <v>0</v>
      </c>
      <c r="AL56" s="460">
        <v>0</v>
      </c>
      <c r="AM56" s="460">
        <v>0</v>
      </c>
      <c r="AN56" s="460">
        <v>0</v>
      </c>
      <c r="AO56" s="460">
        <v>0</v>
      </c>
      <c r="AP56" s="460">
        <v>0</v>
      </c>
      <c r="AQ56" s="460">
        <v>0</v>
      </c>
      <c r="AR56" s="460">
        <v>0</v>
      </c>
      <c r="AS56" s="460">
        <v>0</v>
      </c>
      <c r="AT56" s="460">
        <v>0</v>
      </c>
      <c r="AU56" s="460">
        <v>0</v>
      </c>
      <c r="AV56" s="460">
        <v>0</v>
      </c>
      <c r="AW56" s="460">
        <v>0</v>
      </c>
      <c r="AX56" s="460">
        <v>0</v>
      </c>
      <c r="AY56" s="460">
        <v>0</v>
      </c>
      <c r="AZ56" s="460">
        <v>0</v>
      </c>
      <c r="BA56" s="460">
        <v>0</v>
      </c>
      <c r="BB56" s="460">
        <v>0</v>
      </c>
      <c r="BC56" s="460">
        <v>0</v>
      </c>
      <c r="BD56" s="460">
        <v>0</v>
      </c>
      <c r="BE56" s="460">
        <v>0</v>
      </c>
      <c r="BF56" s="460">
        <v>0</v>
      </c>
      <c r="BG56" s="460">
        <v>0</v>
      </c>
      <c r="BH56" s="460">
        <v>0</v>
      </c>
      <c r="BI56" s="460">
        <v>0</v>
      </c>
      <c r="BJ56" s="460">
        <v>0</v>
      </c>
      <c r="BK56" s="460">
        <v>0</v>
      </c>
      <c r="BL56" s="460">
        <v>0</v>
      </c>
      <c r="BM56" s="460">
        <v>0</v>
      </c>
      <c r="BN56" s="460">
        <v>0</v>
      </c>
      <c r="BO56" s="460">
        <v>0</v>
      </c>
      <c r="BP56" s="460">
        <v>18734.066043765899</v>
      </c>
      <c r="BQ56" s="460">
        <v>0</v>
      </c>
      <c r="BR56" s="460">
        <v>0</v>
      </c>
      <c r="BS56" s="460">
        <v>0</v>
      </c>
      <c r="BT56" s="460">
        <v>0</v>
      </c>
      <c r="BU56" s="460">
        <v>0</v>
      </c>
      <c r="BV56" s="460">
        <v>0</v>
      </c>
      <c r="BW56" s="460">
        <v>0</v>
      </c>
      <c r="BX56" s="460">
        <v>0</v>
      </c>
      <c r="BY56" s="460">
        <v>0</v>
      </c>
      <c r="BZ56" s="460">
        <v>0</v>
      </c>
      <c r="CA56" s="460" t="e">
        <v>#N/A</v>
      </c>
      <c r="CB56" s="460" t="e">
        <v>#N/A</v>
      </c>
      <c r="CC56" s="460" t="e">
        <v>#N/A</v>
      </c>
    </row>
    <row r="57" spans="1:81" ht="12.75" customHeight="1">
      <c r="A57" s="105">
        <v>52</v>
      </c>
      <c r="B57" s="458" t="str">
        <v>25Y</v>
      </c>
      <c r="C57" s="262">
        <f>'eur disaggregated'!U68</f>
        <v>-17391.233549790399</v>
      </c>
      <c r="D57" s="111" t="str">
        <f t="shared" si="4"/>
        <v>300M</v>
      </c>
      <c r="E57" s="441">
        <f>BktEur6mPL!E57</f>
        <v>42696</v>
      </c>
      <c r="F57" s="441">
        <f>BktEur6mPL!F57</f>
        <v>51827</v>
      </c>
      <c r="G57" s="462">
        <f t="shared" si="1"/>
        <v>1.1699999999999999E-2</v>
      </c>
      <c r="H57" s="453">
        <f>BktEur6mPL!H57</f>
        <v>1.17</v>
      </c>
      <c r="I57" s="107" t="str">
        <v>24Y</v>
      </c>
      <c r="J57" s="106" t="str">
        <f>IF(LEN(I57)&gt;0,IF((MID(I57,4,1)=" "),#REF!,IF((LEN(I57)=8),DATE("20" &amp; RIGHT(I57,2),MID(I57,4,2),LEFT(I57,2)),SimplifyTenor(I57))),"")</f>
        <v>288M</v>
      </c>
      <c r="K57" s="448">
        <f>_xll.qlCalendarAdvance("TARGET",SettlementDate,J57)</f>
        <v>51462</v>
      </c>
      <c r="M57" s="99" t="str">
        <v>24Y</v>
      </c>
      <c r="N57" s="465">
        <v>18734.066043765899</v>
      </c>
      <c r="P57" s="106" t="b">
        <f t="shared" si="5"/>
        <v>0</v>
      </c>
      <c r="Q57" s="460">
        <f t="array" ref="Q57:CC57">C57*ForwardToZero(OisBuckets,E57,F57,G57)</f>
        <v>0</v>
      </c>
      <c r="R57" s="460">
        <v>0</v>
      </c>
      <c r="S57" s="460">
        <v>0</v>
      </c>
      <c r="T57" s="460">
        <v>0</v>
      </c>
      <c r="U57" s="460">
        <v>0</v>
      </c>
      <c r="V57" s="460">
        <v>0</v>
      </c>
      <c r="W57" s="460">
        <v>0</v>
      </c>
      <c r="X57" s="460">
        <v>0</v>
      </c>
      <c r="Y57" s="460">
        <v>0</v>
      </c>
      <c r="Z57" s="460">
        <v>0</v>
      </c>
      <c r="AA57" s="460">
        <v>0</v>
      </c>
      <c r="AB57" s="460">
        <v>0</v>
      </c>
      <c r="AC57" s="460">
        <v>0</v>
      </c>
      <c r="AD57" s="460">
        <v>0</v>
      </c>
      <c r="AE57" s="460">
        <v>0</v>
      </c>
      <c r="AF57" s="460">
        <v>0</v>
      </c>
      <c r="AG57" s="460">
        <v>0</v>
      </c>
      <c r="AH57" s="460">
        <v>0</v>
      </c>
      <c r="AI57" s="460">
        <v>0</v>
      </c>
      <c r="AJ57" s="460">
        <v>0</v>
      </c>
      <c r="AK57" s="460">
        <v>0</v>
      </c>
      <c r="AL57" s="460">
        <v>0</v>
      </c>
      <c r="AM57" s="460">
        <v>0</v>
      </c>
      <c r="AN57" s="460">
        <v>0</v>
      </c>
      <c r="AO57" s="460">
        <v>0</v>
      </c>
      <c r="AP57" s="460">
        <v>0</v>
      </c>
      <c r="AQ57" s="460">
        <v>0</v>
      </c>
      <c r="AR57" s="460">
        <v>0</v>
      </c>
      <c r="AS57" s="460">
        <v>0</v>
      </c>
      <c r="AT57" s="460">
        <v>0</v>
      </c>
      <c r="AU57" s="460">
        <v>0</v>
      </c>
      <c r="AV57" s="460">
        <v>0</v>
      </c>
      <c r="AW57" s="460">
        <v>0</v>
      </c>
      <c r="AX57" s="460">
        <v>0</v>
      </c>
      <c r="AY57" s="460">
        <v>0</v>
      </c>
      <c r="AZ57" s="460">
        <v>0</v>
      </c>
      <c r="BA57" s="460">
        <v>0</v>
      </c>
      <c r="BB57" s="460">
        <v>0</v>
      </c>
      <c r="BC57" s="460">
        <v>0</v>
      </c>
      <c r="BD57" s="460">
        <v>0</v>
      </c>
      <c r="BE57" s="460">
        <v>0</v>
      </c>
      <c r="BF57" s="460">
        <v>0</v>
      </c>
      <c r="BG57" s="460">
        <v>0</v>
      </c>
      <c r="BH57" s="460">
        <v>0</v>
      </c>
      <c r="BI57" s="460">
        <v>0</v>
      </c>
      <c r="BJ57" s="460">
        <v>0</v>
      </c>
      <c r="BK57" s="460">
        <v>0</v>
      </c>
      <c r="BL57" s="460">
        <v>0</v>
      </c>
      <c r="BM57" s="460">
        <v>0</v>
      </c>
      <c r="BN57" s="460">
        <v>0</v>
      </c>
      <c r="BO57" s="460">
        <v>0</v>
      </c>
      <c r="BP57" s="460">
        <v>0</v>
      </c>
      <c r="BQ57" s="460">
        <v>-17391.233549790399</v>
      </c>
      <c r="BR57" s="460">
        <v>0</v>
      </c>
      <c r="BS57" s="460">
        <v>0</v>
      </c>
      <c r="BT57" s="460">
        <v>0</v>
      </c>
      <c r="BU57" s="460">
        <v>0</v>
      </c>
      <c r="BV57" s="460">
        <v>0</v>
      </c>
      <c r="BW57" s="460">
        <v>0</v>
      </c>
      <c r="BX57" s="460">
        <v>0</v>
      </c>
      <c r="BY57" s="460">
        <v>0</v>
      </c>
      <c r="BZ57" s="460">
        <v>0</v>
      </c>
      <c r="CA57" s="460" t="e">
        <v>#N/A</v>
      </c>
      <c r="CB57" s="460" t="e">
        <v>#N/A</v>
      </c>
      <c r="CC57" s="460" t="e">
        <v>#N/A</v>
      </c>
    </row>
    <row r="58" spans="1:81">
      <c r="A58" s="105">
        <v>53</v>
      </c>
      <c r="B58" s="458" t="str">
        <v>26Y</v>
      </c>
      <c r="C58" s="262">
        <f>'eur disaggregated'!U69</f>
        <v>2970.4112254963302</v>
      </c>
      <c r="D58" s="111" t="str">
        <f t="shared" si="4"/>
        <v>312M</v>
      </c>
      <c r="E58" s="441">
        <f>BktEur6mPL!E58</f>
        <v>42696</v>
      </c>
      <c r="F58" s="441">
        <f>BktEur6mPL!F58</f>
        <v>52194</v>
      </c>
      <c r="G58" s="462">
        <f t="shared" si="1"/>
        <v>1.1730526349999999E-2</v>
      </c>
      <c r="H58" s="453">
        <f>BktEur6mPL!H58</f>
        <v>1.1730526349999999</v>
      </c>
      <c r="I58" s="107" t="str">
        <v>25Y</v>
      </c>
      <c r="J58" s="106" t="str">
        <f>IF(LEN(I58)&gt;0,IF((MID(I58,4,1)=" "),#REF!,IF((LEN(I58)=8),DATE("20" &amp; RIGHT(I58,2),MID(I58,4,2),LEFT(I58,2)),SimplifyTenor(I58))),"")</f>
        <v>300M</v>
      </c>
      <c r="K58" s="448">
        <f>_xll.qlCalendarAdvance("TARGET",SettlementDate,J58)</f>
        <v>51827</v>
      </c>
      <c r="M58" s="99" t="str">
        <v>25Y</v>
      </c>
      <c r="N58" s="465">
        <v>-17391.233549790399</v>
      </c>
      <c r="P58" s="106" t="b">
        <f t="shared" si="5"/>
        <v>0</v>
      </c>
      <c r="Q58" s="460">
        <f t="array" ref="Q58:CC58">C58*ForwardToZero(OisBuckets,E58,F58,G58)</f>
        <v>0</v>
      </c>
      <c r="R58" s="460">
        <v>0</v>
      </c>
      <c r="S58" s="460">
        <v>0</v>
      </c>
      <c r="T58" s="460">
        <v>0</v>
      </c>
      <c r="U58" s="460">
        <v>0</v>
      </c>
      <c r="V58" s="460">
        <v>0</v>
      </c>
      <c r="W58" s="460">
        <v>0</v>
      </c>
      <c r="X58" s="460">
        <v>0</v>
      </c>
      <c r="Y58" s="460">
        <v>0</v>
      </c>
      <c r="Z58" s="460">
        <v>0</v>
      </c>
      <c r="AA58" s="460">
        <v>0</v>
      </c>
      <c r="AB58" s="460">
        <v>0</v>
      </c>
      <c r="AC58" s="460">
        <v>0</v>
      </c>
      <c r="AD58" s="460">
        <v>0</v>
      </c>
      <c r="AE58" s="460">
        <v>0</v>
      </c>
      <c r="AF58" s="460">
        <v>0</v>
      </c>
      <c r="AG58" s="460">
        <v>0</v>
      </c>
      <c r="AH58" s="460">
        <v>0</v>
      </c>
      <c r="AI58" s="460">
        <v>0</v>
      </c>
      <c r="AJ58" s="460">
        <v>0</v>
      </c>
      <c r="AK58" s="460">
        <v>0</v>
      </c>
      <c r="AL58" s="460">
        <v>0</v>
      </c>
      <c r="AM58" s="460">
        <v>0</v>
      </c>
      <c r="AN58" s="460">
        <v>0</v>
      </c>
      <c r="AO58" s="460">
        <v>0</v>
      </c>
      <c r="AP58" s="460">
        <v>0</v>
      </c>
      <c r="AQ58" s="460">
        <v>0</v>
      </c>
      <c r="AR58" s="460">
        <v>0</v>
      </c>
      <c r="AS58" s="460">
        <v>0</v>
      </c>
      <c r="AT58" s="460">
        <v>0</v>
      </c>
      <c r="AU58" s="460">
        <v>0</v>
      </c>
      <c r="AV58" s="460">
        <v>0</v>
      </c>
      <c r="AW58" s="460">
        <v>0</v>
      </c>
      <c r="AX58" s="460">
        <v>0</v>
      </c>
      <c r="AY58" s="460">
        <v>0</v>
      </c>
      <c r="AZ58" s="460">
        <v>0</v>
      </c>
      <c r="BA58" s="460">
        <v>0</v>
      </c>
      <c r="BB58" s="460">
        <v>0</v>
      </c>
      <c r="BC58" s="460">
        <v>0</v>
      </c>
      <c r="BD58" s="460">
        <v>0</v>
      </c>
      <c r="BE58" s="460">
        <v>0</v>
      </c>
      <c r="BF58" s="460">
        <v>0</v>
      </c>
      <c r="BG58" s="460">
        <v>0</v>
      </c>
      <c r="BH58" s="460">
        <v>0</v>
      </c>
      <c r="BI58" s="460">
        <v>0</v>
      </c>
      <c r="BJ58" s="460">
        <v>0</v>
      </c>
      <c r="BK58" s="460">
        <v>0</v>
      </c>
      <c r="BL58" s="460">
        <v>0</v>
      </c>
      <c r="BM58" s="460">
        <v>0</v>
      </c>
      <c r="BN58" s="460">
        <v>0</v>
      </c>
      <c r="BO58" s="460">
        <v>0</v>
      </c>
      <c r="BP58" s="460">
        <v>0</v>
      </c>
      <c r="BQ58" s="460">
        <v>0</v>
      </c>
      <c r="BR58" s="460">
        <v>2970.4112254963302</v>
      </c>
      <c r="BS58" s="460">
        <v>0</v>
      </c>
      <c r="BT58" s="460">
        <v>0</v>
      </c>
      <c r="BU58" s="460">
        <v>0</v>
      </c>
      <c r="BV58" s="460">
        <v>0</v>
      </c>
      <c r="BW58" s="460">
        <v>0</v>
      </c>
      <c r="BX58" s="460">
        <v>0</v>
      </c>
      <c r="BY58" s="460">
        <v>0</v>
      </c>
      <c r="BZ58" s="460">
        <v>0</v>
      </c>
      <c r="CA58" s="460" t="e">
        <v>#N/A</v>
      </c>
      <c r="CB58" s="460" t="e">
        <v>#N/A</v>
      </c>
      <c r="CC58" s="460" t="e">
        <v>#N/A</v>
      </c>
    </row>
    <row r="59" spans="1:81" ht="12.75" customHeight="1">
      <c r="A59" s="105">
        <v>54</v>
      </c>
      <c r="B59" s="458" t="str">
        <v>27Y</v>
      </c>
      <c r="C59" s="262">
        <f>'eur disaggregated'!U70</f>
        <v>980.67614071042703</v>
      </c>
      <c r="D59" s="111" t="str">
        <f t="shared" si="4"/>
        <v>324M</v>
      </c>
      <c r="E59" s="441">
        <f>BktEur6mPL!E59</f>
        <v>42696</v>
      </c>
      <c r="F59" s="441">
        <f>BktEur6mPL!F59</f>
        <v>52558</v>
      </c>
      <c r="G59" s="462">
        <f t="shared" si="1"/>
        <v>1.1755861329999999E-2</v>
      </c>
      <c r="H59" s="453">
        <f>BktEur6mPL!H59</f>
        <v>1.1755861329999999</v>
      </c>
      <c r="I59" s="107" t="str">
        <v>26Y</v>
      </c>
      <c r="J59" s="106" t="str">
        <f>IF(LEN(I59)&gt;0,IF((MID(I59,4,1)=" "),#REF!,IF((LEN(I59)=8),DATE("20" &amp; RIGHT(I59,2),MID(I59,4,2),LEFT(I59,2)),SimplifyTenor(I59))),"")</f>
        <v>312M</v>
      </c>
      <c r="K59" s="448">
        <f>_xll.qlCalendarAdvance("TARGET",SettlementDate,J59)</f>
        <v>52194</v>
      </c>
      <c r="M59" s="99" t="str">
        <v>26Y</v>
      </c>
      <c r="N59" s="465">
        <v>2970.4112254963302</v>
      </c>
      <c r="P59" s="106" t="b">
        <f t="shared" si="5"/>
        <v>0</v>
      </c>
      <c r="Q59" s="460">
        <f t="array" ref="Q59:CC59">C59*ForwardToZero(OisBuckets,E59,F59,G59)</f>
        <v>0</v>
      </c>
      <c r="R59" s="460">
        <v>0</v>
      </c>
      <c r="S59" s="460">
        <v>0</v>
      </c>
      <c r="T59" s="460">
        <v>0</v>
      </c>
      <c r="U59" s="460">
        <v>0</v>
      </c>
      <c r="V59" s="460">
        <v>0</v>
      </c>
      <c r="W59" s="460">
        <v>0</v>
      </c>
      <c r="X59" s="460">
        <v>0</v>
      </c>
      <c r="Y59" s="460">
        <v>0</v>
      </c>
      <c r="Z59" s="460">
        <v>0</v>
      </c>
      <c r="AA59" s="460">
        <v>0</v>
      </c>
      <c r="AB59" s="460">
        <v>0</v>
      </c>
      <c r="AC59" s="460">
        <v>0</v>
      </c>
      <c r="AD59" s="460">
        <v>0</v>
      </c>
      <c r="AE59" s="460">
        <v>0</v>
      </c>
      <c r="AF59" s="460">
        <v>0</v>
      </c>
      <c r="AG59" s="460">
        <v>0</v>
      </c>
      <c r="AH59" s="460">
        <v>0</v>
      </c>
      <c r="AI59" s="460">
        <v>0</v>
      </c>
      <c r="AJ59" s="460">
        <v>0</v>
      </c>
      <c r="AK59" s="460">
        <v>0</v>
      </c>
      <c r="AL59" s="460">
        <v>0</v>
      </c>
      <c r="AM59" s="460">
        <v>0</v>
      </c>
      <c r="AN59" s="460">
        <v>0</v>
      </c>
      <c r="AO59" s="460">
        <v>0</v>
      </c>
      <c r="AP59" s="460">
        <v>0</v>
      </c>
      <c r="AQ59" s="460">
        <v>0</v>
      </c>
      <c r="AR59" s="460">
        <v>0</v>
      </c>
      <c r="AS59" s="460">
        <v>0</v>
      </c>
      <c r="AT59" s="460">
        <v>0</v>
      </c>
      <c r="AU59" s="460">
        <v>0</v>
      </c>
      <c r="AV59" s="460">
        <v>0</v>
      </c>
      <c r="AW59" s="460">
        <v>0</v>
      </c>
      <c r="AX59" s="460">
        <v>0</v>
      </c>
      <c r="AY59" s="460">
        <v>0</v>
      </c>
      <c r="AZ59" s="460">
        <v>0</v>
      </c>
      <c r="BA59" s="460">
        <v>0</v>
      </c>
      <c r="BB59" s="460">
        <v>0</v>
      </c>
      <c r="BC59" s="460">
        <v>0</v>
      </c>
      <c r="BD59" s="460">
        <v>0</v>
      </c>
      <c r="BE59" s="460">
        <v>0</v>
      </c>
      <c r="BF59" s="460">
        <v>0</v>
      </c>
      <c r="BG59" s="460">
        <v>0</v>
      </c>
      <c r="BH59" s="460">
        <v>0</v>
      </c>
      <c r="BI59" s="460">
        <v>0</v>
      </c>
      <c r="BJ59" s="460">
        <v>0</v>
      </c>
      <c r="BK59" s="460">
        <v>0</v>
      </c>
      <c r="BL59" s="460">
        <v>0</v>
      </c>
      <c r="BM59" s="460">
        <v>0</v>
      </c>
      <c r="BN59" s="460">
        <v>0</v>
      </c>
      <c r="BO59" s="460">
        <v>0</v>
      </c>
      <c r="BP59" s="460">
        <v>0</v>
      </c>
      <c r="BQ59" s="460">
        <v>0</v>
      </c>
      <c r="BR59" s="460">
        <v>0</v>
      </c>
      <c r="BS59" s="460">
        <v>980.67614071042703</v>
      </c>
      <c r="BT59" s="460">
        <v>0</v>
      </c>
      <c r="BU59" s="460">
        <v>0</v>
      </c>
      <c r="BV59" s="460">
        <v>0</v>
      </c>
      <c r="BW59" s="460">
        <v>0</v>
      </c>
      <c r="BX59" s="460">
        <v>0</v>
      </c>
      <c r="BY59" s="460">
        <v>0</v>
      </c>
      <c r="BZ59" s="460">
        <v>0</v>
      </c>
      <c r="CA59" s="460" t="e">
        <v>#N/A</v>
      </c>
      <c r="CB59" s="460" t="e">
        <v>#N/A</v>
      </c>
      <c r="CC59" s="460" t="e">
        <v>#N/A</v>
      </c>
    </row>
    <row r="60" spans="1:81" ht="12.75" customHeight="1">
      <c r="A60" s="105">
        <v>55</v>
      </c>
      <c r="B60" s="458" t="str">
        <v>28Y</v>
      </c>
      <c r="C60" s="262">
        <f>'eur disaggregated'!U71</f>
        <v>1040.8157529548801</v>
      </c>
      <c r="D60" s="111" t="str">
        <f t="shared" si="4"/>
        <v>336M</v>
      </c>
      <c r="E60" s="441">
        <f>BktEur6mPL!E60</f>
        <v>42696</v>
      </c>
      <c r="F60" s="441">
        <f>BktEur6mPL!F60</f>
        <v>52923</v>
      </c>
      <c r="G60" s="462">
        <f t="shared" si="1"/>
        <v>1.1786851419999999E-2</v>
      </c>
      <c r="H60" s="453">
        <f>BktEur6mPL!H60</f>
        <v>1.178685142</v>
      </c>
      <c r="I60" s="107" t="str">
        <v>27Y</v>
      </c>
      <c r="J60" s="106" t="str">
        <f>IF(LEN(I60)&gt;0,IF((MID(I60,4,1)=" "),#REF!,IF((LEN(I60)=8),DATE("20" &amp; RIGHT(I60,2),MID(I60,4,2),LEFT(I60,2)),SimplifyTenor(I60))),"")</f>
        <v>324M</v>
      </c>
      <c r="K60" s="448">
        <f>_xll.qlCalendarAdvance("TARGET",SettlementDate,J60)</f>
        <v>52558</v>
      </c>
      <c r="M60" s="99" t="str">
        <v>27Y</v>
      </c>
      <c r="N60" s="465">
        <v>980.67614071042703</v>
      </c>
      <c r="P60" s="106" t="b">
        <f t="shared" si="5"/>
        <v>0</v>
      </c>
      <c r="Q60" s="460">
        <f t="array" ref="Q60:CC60">C60*ForwardToZero(OisBuckets,E60,F60,G60)</f>
        <v>0</v>
      </c>
      <c r="R60" s="460">
        <v>0</v>
      </c>
      <c r="S60" s="460">
        <v>0</v>
      </c>
      <c r="T60" s="460">
        <v>0</v>
      </c>
      <c r="U60" s="460">
        <v>0</v>
      </c>
      <c r="V60" s="460">
        <v>0</v>
      </c>
      <c r="W60" s="460">
        <v>0</v>
      </c>
      <c r="X60" s="460">
        <v>0</v>
      </c>
      <c r="Y60" s="460">
        <v>0</v>
      </c>
      <c r="Z60" s="460">
        <v>0</v>
      </c>
      <c r="AA60" s="460">
        <v>0</v>
      </c>
      <c r="AB60" s="460">
        <v>0</v>
      </c>
      <c r="AC60" s="460">
        <v>0</v>
      </c>
      <c r="AD60" s="460">
        <v>0</v>
      </c>
      <c r="AE60" s="460">
        <v>0</v>
      </c>
      <c r="AF60" s="460">
        <v>0</v>
      </c>
      <c r="AG60" s="460">
        <v>0</v>
      </c>
      <c r="AH60" s="460">
        <v>0</v>
      </c>
      <c r="AI60" s="460">
        <v>0</v>
      </c>
      <c r="AJ60" s="460">
        <v>0</v>
      </c>
      <c r="AK60" s="460">
        <v>0</v>
      </c>
      <c r="AL60" s="460">
        <v>0</v>
      </c>
      <c r="AM60" s="460">
        <v>0</v>
      </c>
      <c r="AN60" s="460">
        <v>0</v>
      </c>
      <c r="AO60" s="460">
        <v>0</v>
      </c>
      <c r="AP60" s="460">
        <v>0</v>
      </c>
      <c r="AQ60" s="460">
        <v>0</v>
      </c>
      <c r="AR60" s="460">
        <v>0</v>
      </c>
      <c r="AS60" s="460">
        <v>0</v>
      </c>
      <c r="AT60" s="460">
        <v>0</v>
      </c>
      <c r="AU60" s="460">
        <v>0</v>
      </c>
      <c r="AV60" s="460">
        <v>0</v>
      </c>
      <c r="AW60" s="460">
        <v>0</v>
      </c>
      <c r="AX60" s="460">
        <v>0</v>
      </c>
      <c r="AY60" s="460">
        <v>0</v>
      </c>
      <c r="AZ60" s="460">
        <v>0</v>
      </c>
      <c r="BA60" s="460">
        <v>0</v>
      </c>
      <c r="BB60" s="460">
        <v>0</v>
      </c>
      <c r="BC60" s="460">
        <v>0</v>
      </c>
      <c r="BD60" s="460">
        <v>0</v>
      </c>
      <c r="BE60" s="460">
        <v>0</v>
      </c>
      <c r="BF60" s="460">
        <v>0</v>
      </c>
      <c r="BG60" s="460">
        <v>0</v>
      </c>
      <c r="BH60" s="460">
        <v>0</v>
      </c>
      <c r="BI60" s="460">
        <v>0</v>
      </c>
      <c r="BJ60" s="460">
        <v>0</v>
      </c>
      <c r="BK60" s="460">
        <v>0</v>
      </c>
      <c r="BL60" s="460">
        <v>0</v>
      </c>
      <c r="BM60" s="460">
        <v>0</v>
      </c>
      <c r="BN60" s="460">
        <v>0</v>
      </c>
      <c r="BO60" s="460">
        <v>0</v>
      </c>
      <c r="BP60" s="460">
        <v>0</v>
      </c>
      <c r="BQ60" s="460">
        <v>0</v>
      </c>
      <c r="BR60" s="460">
        <v>0</v>
      </c>
      <c r="BS60" s="460">
        <v>0</v>
      </c>
      <c r="BT60" s="460">
        <v>1040.8157529548801</v>
      </c>
      <c r="BU60" s="460">
        <v>0</v>
      </c>
      <c r="BV60" s="460">
        <v>0</v>
      </c>
      <c r="BW60" s="460">
        <v>0</v>
      </c>
      <c r="BX60" s="460">
        <v>0</v>
      </c>
      <c r="BY60" s="460">
        <v>0</v>
      </c>
      <c r="BZ60" s="460">
        <v>0</v>
      </c>
      <c r="CA60" s="460" t="e">
        <v>#N/A</v>
      </c>
      <c r="CB60" s="460" t="e">
        <v>#N/A</v>
      </c>
      <c r="CC60" s="460" t="e">
        <v>#N/A</v>
      </c>
    </row>
    <row r="61" spans="1:81" ht="12.75" customHeight="1">
      <c r="A61" s="105">
        <v>56</v>
      </c>
      <c r="B61" s="458" t="str">
        <v>29Y</v>
      </c>
      <c r="C61" s="262">
        <f>'eur disaggregated'!U72</f>
        <v>1170.0179139389199</v>
      </c>
      <c r="D61" s="111" t="str">
        <f t="shared" si="4"/>
        <v>348M</v>
      </c>
      <c r="E61" s="441">
        <f>BktEur6mPL!E61</f>
        <v>42696</v>
      </c>
      <c r="F61" s="441">
        <f>BktEur6mPL!F61</f>
        <v>53288</v>
      </c>
      <c r="G61" s="462">
        <f t="shared" si="1"/>
        <v>1.1791316860000001E-2</v>
      </c>
      <c r="H61" s="453">
        <f>BktEur6mPL!H61</f>
        <v>1.1791316860000001</v>
      </c>
      <c r="I61" s="107" t="str">
        <v>28Y</v>
      </c>
      <c r="J61" s="106" t="str">
        <f>IF(LEN(I61)&gt;0,IF((MID(I61,4,1)=" "),#REF!,IF((LEN(I61)=8),DATE("20" &amp; RIGHT(I61,2),MID(I61,4,2),LEFT(I61,2)),SimplifyTenor(I61))),"")</f>
        <v>336M</v>
      </c>
      <c r="K61" s="448">
        <f>_xll.qlCalendarAdvance("TARGET",SettlementDate,J61)</f>
        <v>52923</v>
      </c>
      <c r="M61" s="99" t="str">
        <v>28Y</v>
      </c>
      <c r="N61" s="465">
        <v>1040.8157529548801</v>
      </c>
      <c r="P61" s="106" t="b">
        <f t="shared" si="5"/>
        <v>0</v>
      </c>
      <c r="Q61" s="460">
        <f t="array" ref="Q61:CC61">C61*ForwardToZero(OisBuckets,E61,F61,G61)</f>
        <v>0</v>
      </c>
      <c r="R61" s="460">
        <v>0</v>
      </c>
      <c r="S61" s="460">
        <v>0</v>
      </c>
      <c r="T61" s="460">
        <v>0</v>
      </c>
      <c r="U61" s="460">
        <v>0</v>
      </c>
      <c r="V61" s="460">
        <v>0</v>
      </c>
      <c r="W61" s="460">
        <v>0</v>
      </c>
      <c r="X61" s="460">
        <v>0</v>
      </c>
      <c r="Y61" s="460">
        <v>0</v>
      </c>
      <c r="Z61" s="460">
        <v>0</v>
      </c>
      <c r="AA61" s="460">
        <v>0</v>
      </c>
      <c r="AB61" s="460">
        <v>0</v>
      </c>
      <c r="AC61" s="460">
        <v>0</v>
      </c>
      <c r="AD61" s="460">
        <v>0</v>
      </c>
      <c r="AE61" s="460">
        <v>0</v>
      </c>
      <c r="AF61" s="460">
        <v>0</v>
      </c>
      <c r="AG61" s="460">
        <v>0</v>
      </c>
      <c r="AH61" s="460">
        <v>0</v>
      </c>
      <c r="AI61" s="460">
        <v>0</v>
      </c>
      <c r="AJ61" s="460">
        <v>0</v>
      </c>
      <c r="AK61" s="460">
        <v>0</v>
      </c>
      <c r="AL61" s="460">
        <v>0</v>
      </c>
      <c r="AM61" s="460">
        <v>0</v>
      </c>
      <c r="AN61" s="460">
        <v>0</v>
      </c>
      <c r="AO61" s="460">
        <v>0</v>
      </c>
      <c r="AP61" s="460">
        <v>0</v>
      </c>
      <c r="AQ61" s="460">
        <v>0</v>
      </c>
      <c r="AR61" s="460">
        <v>0</v>
      </c>
      <c r="AS61" s="460">
        <v>0</v>
      </c>
      <c r="AT61" s="460">
        <v>0</v>
      </c>
      <c r="AU61" s="460">
        <v>0</v>
      </c>
      <c r="AV61" s="460">
        <v>0</v>
      </c>
      <c r="AW61" s="460">
        <v>0</v>
      </c>
      <c r="AX61" s="460">
        <v>0</v>
      </c>
      <c r="AY61" s="460">
        <v>0</v>
      </c>
      <c r="AZ61" s="460">
        <v>0</v>
      </c>
      <c r="BA61" s="460">
        <v>0</v>
      </c>
      <c r="BB61" s="460">
        <v>0</v>
      </c>
      <c r="BC61" s="460">
        <v>0</v>
      </c>
      <c r="BD61" s="460">
        <v>0</v>
      </c>
      <c r="BE61" s="460">
        <v>0</v>
      </c>
      <c r="BF61" s="460">
        <v>0</v>
      </c>
      <c r="BG61" s="460">
        <v>0</v>
      </c>
      <c r="BH61" s="460">
        <v>0</v>
      </c>
      <c r="BI61" s="460">
        <v>0</v>
      </c>
      <c r="BJ61" s="460">
        <v>0</v>
      </c>
      <c r="BK61" s="460">
        <v>0</v>
      </c>
      <c r="BL61" s="460">
        <v>0</v>
      </c>
      <c r="BM61" s="460">
        <v>0</v>
      </c>
      <c r="BN61" s="460">
        <v>0</v>
      </c>
      <c r="BO61" s="460">
        <v>0</v>
      </c>
      <c r="BP61" s="460">
        <v>0</v>
      </c>
      <c r="BQ61" s="460">
        <v>0</v>
      </c>
      <c r="BR61" s="460">
        <v>0</v>
      </c>
      <c r="BS61" s="460">
        <v>0</v>
      </c>
      <c r="BT61" s="460">
        <v>0</v>
      </c>
      <c r="BU61" s="460">
        <v>1170.0179139389199</v>
      </c>
      <c r="BV61" s="460">
        <v>0</v>
      </c>
      <c r="BW61" s="460">
        <v>0</v>
      </c>
      <c r="BX61" s="460">
        <v>0</v>
      </c>
      <c r="BY61" s="460">
        <v>0</v>
      </c>
      <c r="BZ61" s="460">
        <v>0</v>
      </c>
      <c r="CA61" s="460" t="e">
        <v>#N/A</v>
      </c>
      <c r="CB61" s="460" t="e">
        <v>#N/A</v>
      </c>
      <c r="CC61" s="460" t="e">
        <v>#N/A</v>
      </c>
    </row>
    <row r="62" spans="1:81" ht="12.75" customHeight="1">
      <c r="A62" s="105">
        <v>57</v>
      </c>
      <c r="B62" s="458" t="str">
        <v>30Y</v>
      </c>
      <c r="C62" s="262">
        <f>'eur disaggregated'!U73</f>
        <v>1262.55006489324</v>
      </c>
      <c r="D62" s="111" t="str">
        <f t="shared" si="4"/>
        <v>360M</v>
      </c>
      <c r="E62" s="441">
        <f>BktEur6mPL!E62</f>
        <v>42696</v>
      </c>
      <c r="F62" s="441">
        <f>BktEur6mPL!F62</f>
        <v>53653</v>
      </c>
      <c r="G62" s="462">
        <f t="shared" si="1"/>
        <v>1.18E-2</v>
      </c>
      <c r="H62" s="453">
        <f>BktEur6mPL!H62</f>
        <v>1.18</v>
      </c>
      <c r="I62" s="107" t="str">
        <v>29Y</v>
      </c>
      <c r="J62" s="106" t="str">
        <f>IF(LEN(I62)&gt;0,IF((MID(I62,4,1)=" "),#REF!,IF((LEN(I62)=8),DATE("20" &amp; RIGHT(I62,2),MID(I62,4,2),LEFT(I62,2)),SimplifyTenor(I62))),"")</f>
        <v>348M</v>
      </c>
      <c r="K62" s="448">
        <f>_xll.qlCalendarAdvance("TARGET",SettlementDate,J62)</f>
        <v>53288</v>
      </c>
      <c r="M62" s="99" t="str">
        <v>29Y</v>
      </c>
      <c r="N62" s="465">
        <v>1170.0179139389199</v>
      </c>
      <c r="P62" s="106" t="b">
        <f t="shared" si="5"/>
        <v>0</v>
      </c>
      <c r="Q62" s="460">
        <f t="array" ref="Q62:CC62">C62*ForwardToZero(OisBuckets,E62,F62,G62)</f>
        <v>0</v>
      </c>
      <c r="R62" s="460">
        <v>0</v>
      </c>
      <c r="S62" s="460">
        <v>0</v>
      </c>
      <c r="T62" s="460">
        <v>0</v>
      </c>
      <c r="U62" s="460">
        <v>0</v>
      </c>
      <c r="V62" s="460">
        <v>0</v>
      </c>
      <c r="W62" s="460">
        <v>0</v>
      </c>
      <c r="X62" s="460">
        <v>0</v>
      </c>
      <c r="Y62" s="460">
        <v>0</v>
      </c>
      <c r="Z62" s="460">
        <v>0</v>
      </c>
      <c r="AA62" s="460">
        <v>0</v>
      </c>
      <c r="AB62" s="460">
        <v>0</v>
      </c>
      <c r="AC62" s="460">
        <v>0</v>
      </c>
      <c r="AD62" s="460">
        <v>0</v>
      </c>
      <c r="AE62" s="460">
        <v>0</v>
      </c>
      <c r="AF62" s="460">
        <v>0</v>
      </c>
      <c r="AG62" s="460">
        <v>0</v>
      </c>
      <c r="AH62" s="460">
        <v>0</v>
      </c>
      <c r="AI62" s="460">
        <v>0</v>
      </c>
      <c r="AJ62" s="460">
        <v>0</v>
      </c>
      <c r="AK62" s="460">
        <v>0</v>
      </c>
      <c r="AL62" s="460">
        <v>0</v>
      </c>
      <c r="AM62" s="460">
        <v>0</v>
      </c>
      <c r="AN62" s="460">
        <v>0</v>
      </c>
      <c r="AO62" s="460">
        <v>0</v>
      </c>
      <c r="AP62" s="460">
        <v>0</v>
      </c>
      <c r="AQ62" s="460">
        <v>0</v>
      </c>
      <c r="AR62" s="460">
        <v>0</v>
      </c>
      <c r="AS62" s="460">
        <v>0</v>
      </c>
      <c r="AT62" s="460">
        <v>0</v>
      </c>
      <c r="AU62" s="460">
        <v>0</v>
      </c>
      <c r="AV62" s="460">
        <v>0</v>
      </c>
      <c r="AW62" s="460">
        <v>0</v>
      </c>
      <c r="AX62" s="460">
        <v>0</v>
      </c>
      <c r="AY62" s="460">
        <v>0</v>
      </c>
      <c r="AZ62" s="460">
        <v>0</v>
      </c>
      <c r="BA62" s="460">
        <v>0</v>
      </c>
      <c r="BB62" s="460">
        <v>0</v>
      </c>
      <c r="BC62" s="460">
        <v>0</v>
      </c>
      <c r="BD62" s="460">
        <v>0</v>
      </c>
      <c r="BE62" s="460">
        <v>0</v>
      </c>
      <c r="BF62" s="460">
        <v>0</v>
      </c>
      <c r="BG62" s="460">
        <v>0</v>
      </c>
      <c r="BH62" s="460">
        <v>0</v>
      </c>
      <c r="BI62" s="460">
        <v>0</v>
      </c>
      <c r="BJ62" s="460">
        <v>0</v>
      </c>
      <c r="BK62" s="460">
        <v>0</v>
      </c>
      <c r="BL62" s="460">
        <v>0</v>
      </c>
      <c r="BM62" s="460">
        <v>0</v>
      </c>
      <c r="BN62" s="460">
        <v>0</v>
      </c>
      <c r="BO62" s="460">
        <v>0</v>
      </c>
      <c r="BP62" s="460">
        <v>0</v>
      </c>
      <c r="BQ62" s="460">
        <v>0</v>
      </c>
      <c r="BR62" s="460">
        <v>0</v>
      </c>
      <c r="BS62" s="460">
        <v>0</v>
      </c>
      <c r="BT62" s="460">
        <v>0</v>
      </c>
      <c r="BU62" s="460">
        <v>0</v>
      </c>
      <c r="BV62" s="460">
        <v>1262.55006489324</v>
      </c>
      <c r="BW62" s="460">
        <v>0</v>
      </c>
      <c r="BX62" s="460">
        <v>0</v>
      </c>
      <c r="BY62" s="460">
        <v>0</v>
      </c>
      <c r="BZ62" s="460">
        <v>0</v>
      </c>
      <c r="CA62" s="460" t="e">
        <v>#N/A</v>
      </c>
      <c r="CB62" s="460" t="e">
        <v>#N/A</v>
      </c>
      <c r="CC62" s="460" t="e">
        <v>#N/A</v>
      </c>
    </row>
    <row r="63" spans="1:81" ht="12.75" customHeight="1">
      <c r="A63" s="105">
        <v>58</v>
      </c>
      <c r="B63" s="458" t="str">
        <v>31Y</v>
      </c>
      <c r="C63" s="262">
        <f>'eur disaggregated'!U74</f>
        <v>1477.8877104936601</v>
      </c>
      <c r="D63" s="111" t="str">
        <f t="shared" si="4"/>
        <v>372M</v>
      </c>
      <c r="E63" s="441">
        <f>BktEur6mPL!E63</f>
        <v>42696</v>
      </c>
      <c r="F63" s="441">
        <f>BktEur6mPL!F63</f>
        <v>54018</v>
      </c>
      <c r="G63" s="462">
        <f t="shared" si="1"/>
        <v>1.18029864E-2</v>
      </c>
      <c r="H63" s="453">
        <f>BktEur6mPL!H63</f>
        <v>1.18029864</v>
      </c>
      <c r="I63" s="107" t="str">
        <v>30Y</v>
      </c>
      <c r="J63" s="106" t="str">
        <f>IF(LEN(I63)&gt;0,IF((MID(I63,4,1)=" "),#REF!,IF((LEN(I63)=8),DATE("20" &amp; RIGHT(I63,2),MID(I63,4,2),LEFT(I63,2)),SimplifyTenor(I63))),"")</f>
        <v>360M</v>
      </c>
      <c r="K63" s="448">
        <f>_xll.qlCalendarAdvance("TARGET",SettlementDate,J63)</f>
        <v>53653</v>
      </c>
      <c r="M63" s="99" t="str">
        <v>30Y</v>
      </c>
      <c r="N63" s="465">
        <v>2775.0904395196194</v>
      </c>
      <c r="P63" s="106" t="b">
        <f t="shared" si="5"/>
        <v>0</v>
      </c>
      <c r="Q63" s="460">
        <f t="array" ref="Q63:CC63">C63*ForwardToZero(OisBuckets,E63,F63,G63)</f>
        <v>0</v>
      </c>
      <c r="R63" s="460">
        <v>0</v>
      </c>
      <c r="S63" s="460">
        <v>0</v>
      </c>
      <c r="T63" s="460">
        <v>0</v>
      </c>
      <c r="U63" s="460">
        <v>0</v>
      </c>
      <c r="V63" s="460">
        <v>0</v>
      </c>
      <c r="W63" s="460">
        <v>0</v>
      </c>
      <c r="X63" s="460">
        <v>0</v>
      </c>
      <c r="Y63" s="460">
        <v>0</v>
      </c>
      <c r="Z63" s="460">
        <v>0</v>
      </c>
      <c r="AA63" s="460">
        <v>0</v>
      </c>
      <c r="AB63" s="460">
        <v>0</v>
      </c>
      <c r="AC63" s="460">
        <v>0</v>
      </c>
      <c r="AD63" s="460">
        <v>0</v>
      </c>
      <c r="AE63" s="460">
        <v>0</v>
      </c>
      <c r="AF63" s="460">
        <v>0</v>
      </c>
      <c r="AG63" s="460">
        <v>0</v>
      </c>
      <c r="AH63" s="460">
        <v>0</v>
      </c>
      <c r="AI63" s="460">
        <v>0</v>
      </c>
      <c r="AJ63" s="460">
        <v>0</v>
      </c>
      <c r="AK63" s="460">
        <v>0</v>
      </c>
      <c r="AL63" s="460">
        <v>0</v>
      </c>
      <c r="AM63" s="460">
        <v>0</v>
      </c>
      <c r="AN63" s="460">
        <v>0</v>
      </c>
      <c r="AO63" s="460">
        <v>0</v>
      </c>
      <c r="AP63" s="460">
        <v>0</v>
      </c>
      <c r="AQ63" s="460">
        <v>0</v>
      </c>
      <c r="AR63" s="460">
        <v>0</v>
      </c>
      <c r="AS63" s="460">
        <v>0</v>
      </c>
      <c r="AT63" s="460">
        <v>0</v>
      </c>
      <c r="AU63" s="460">
        <v>0</v>
      </c>
      <c r="AV63" s="460">
        <v>0</v>
      </c>
      <c r="AW63" s="460">
        <v>0</v>
      </c>
      <c r="AX63" s="460">
        <v>0</v>
      </c>
      <c r="AY63" s="460">
        <v>0</v>
      </c>
      <c r="AZ63" s="460">
        <v>0</v>
      </c>
      <c r="BA63" s="460">
        <v>0</v>
      </c>
      <c r="BB63" s="460">
        <v>0</v>
      </c>
      <c r="BC63" s="460">
        <v>0</v>
      </c>
      <c r="BD63" s="460">
        <v>0</v>
      </c>
      <c r="BE63" s="460">
        <v>0</v>
      </c>
      <c r="BF63" s="460">
        <v>0</v>
      </c>
      <c r="BG63" s="460">
        <v>0</v>
      </c>
      <c r="BH63" s="460">
        <v>0</v>
      </c>
      <c r="BI63" s="460">
        <v>0</v>
      </c>
      <c r="BJ63" s="460">
        <v>0</v>
      </c>
      <c r="BK63" s="460">
        <v>0</v>
      </c>
      <c r="BL63" s="460">
        <v>0</v>
      </c>
      <c r="BM63" s="460">
        <v>0</v>
      </c>
      <c r="BN63" s="460">
        <v>0</v>
      </c>
      <c r="BO63" s="460">
        <v>0</v>
      </c>
      <c r="BP63" s="460">
        <v>0</v>
      </c>
      <c r="BQ63" s="460">
        <v>0</v>
      </c>
      <c r="BR63" s="460">
        <v>0</v>
      </c>
      <c r="BS63" s="460">
        <v>0</v>
      </c>
      <c r="BT63" s="460">
        <v>0</v>
      </c>
      <c r="BU63" s="460">
        <v>0</v>
      </c>
      <c r="BV63" s="460">
        <v>1182.4720399952012</v>
      </c>
      <c r="BW63" s="460">
        <v>295.41567049845895</v>
      </c>
      <c r="BX63" s="460">
        <v>0</v>
      </c>
      <c r="BY63" s="460">
        <v>0</v>
      </c>
      <c r="BZ63" s="460">
        <v>0</v>
      </c>
      <c r="CA63" s="460" t="e">
        <v>#N/A</v>
      </c>
      <c r="CB63" s="460" t="e">
        <v>#N/A</v>
      </c>
      <c r="CC63" s="460" t="e">
        <v>#N/A</v>
      </c>
    </row>
    <row r="64" spans="1:81" ht="12.75" customHeight="1">
      <c r="A64" s="105">
        <v>59</v>
      </c>
      <c r="B64" s="458" t="str">
        <v>32Y</v>
      </c>
      <c r="C64" s="262">
        <f>'eur disaggregated'!U75</f>
        <v>579.80628946717798</v>
      </c>
      <c r="D64" s="111" t="str">
        <f t="shared" si="4"/>
        <v>384M</v>
      </c>
      <c r="E64" s="441">
        <f>BktEur6mPL!E64</f>
        <v>42696</v>
      </c>
      <c r="F64" s="441">
        <f>BktEur6mPL!F64</f>
        <v>54385</v>
      </c>
      <c r="G64" s="462">
        <f t="shared" si="1"/>
        <v>1.1801586959999999E-2</v>
      </c>
      <c r="H64" s="453">
        <f>BktEur6mPL!H64</f>
        <v>1.1801586959999999</v>
      </c>
      <c r="I64" s="107" t="str">
        <v>35Y</v>
      </c>
      <c r="J64" s="106" t="str">
        <f>IF(LEN(I64)&gt;0,IF((MID(I64,4,1)=" "),#REF!,IF((LEN(I64)=8),DATE("20" &amp; RIGHT(I64,2),MID(I64,4,2),LEFT(I64,2)),SimplifyTenor(I64))),"")</f>
        <v>420M</v>
      </c>
      <c r="K64" s="448">
        <f>_xll.qlCalendarAdvance("TARGET",SettlementDate,J64)</f>
        <v>55479</v>
      </c>
      <c r="M64" s="99" t="str">
        <v>35Y</v>
      </c>
      <c r="N64" s="465">
        <v>501.8908150693116</v>
      </c>
      <c r="P64" s="106" t="b">
        <f t="shared" si="5"/>
        <v>0</v>
      </c>
      <c r="Q64" s="460">
        <f t="array" ref="Q64:CC64">C64*ForwardToZero(OisBuckets,E64,F64,G64)</f>
        <v>0</v>
      </c>
      <c r="R64" s="460">
        <v>0</v>
      </c>
      <c r="S64" s="460">
        <v>0</v>
      </c>
      <c r="T64" s="460">
        <v>0</v>
      </c>
      <c r="U64" s="460">
        <v>0</v>
      </c>
      <c r="V64" s="460">
        <v>0</v>
      </c>
      <c r="W64" s="460">
        <v>0</v>
      </c>
      <c r="X64" s="460">
        <v>0</v>
      </c>
      <c r="Y64" s="460">
        <v>0</v>
      </c>
      <c r="Z64" s="460">
        <v>0</v>
      </c>
      <c r="AA64" s="460">
        <v>0</v>
      </c>
      <c r="AB64" s="460">
        <v>0</v>
      </c>
      <c r="AC64" s="460">
        <v>0</v>
      </c>
      <c r="AD64" s="460">
        <v>0</v>
      </c>
      <c r="AE64" s="460">
        <v>0</v>
      </c>
      <c r="AF64" s="460">
        <v>0</v>
      </c>
      <c r="AG64" s="460">
        <v>0</v>
      </c>
      <c r="AH64" s="460">
        <v>0</v>
      </c>
      <c r="AI64" s="460">
        <v>0</v>
      </c>
      <c r="AJ64" s="460">
        <v>0</v>
      </c>
      <c r="AK64" s="460">
        <v>0</v>
      </c>
      <c r="AL64" s="460">
        <v>0</v>
      </c>
      <c r="AM64" s="460">
        <v>0</v>
      </c>
      <c r="AN64" s="460">
        <v>0</v>
      </c>
      <c r="AO64" s="460">
        <v>0</v>
      </c>
      <c r="AP64" s="460">
        <v>0</v>
      </c>
      <c r="AQ64" s="460">
        <v>0</v>
      </c>
      <c r="AR64" s="460">
        <v>0</v>
      </c>
      <c r="AS64" s="460">
        <v>0</v>
      </c>
      <c r="AT64" s="460">
        <v>0</v>
      </c>
      <c r="AU64" s="460">
        <v>0</v>
      </c>
      <c r="AV64" s="460">
        <v>0</v>
      </c>
      <c r="AW64" s="460">
        <v>0</v>
      </c>
      <c r="AX64" s="460">
        <v>0</v>
      </c>
      <c r="AY64" s="460">
        <v>0</v>
      </c>
      <c r="AZ64" s="460">
        <v>0</v>
      </c>
      <c r="BA64" s="460">
        <v>0</v>
      </c>
      <c r="BB64" s="460">
        <v>0</v>
      </c>
      <c r="BC64" s="460">
        <v>0</v>
      </c>
      <c r="BD64" s="460">
        <v>0</v>
      </c>
      <c r="BE64" s="460">
        <v>0</v>
      </c>
      <c r="BF64" s="460">
        <v>0</v>
      </c>
      <c r="BG64" s="460">
        <v>0</v>
      </c>
      <c r="BH64" s="460">
        <v>0</v>
      </c>
      <c r="BI64" s="460">
        <v>0</v>
      </c>
      <c r="BJ64" s="460">
        <v>0</v>
      </c>
      <c r="BK64" s="460">
        <v>0</v>
      </c>
      <c r="BL64" s="460">
        <v>0</v>
      </c>
      <c r="BM64" s="460">
        <v>0</v>
      </c>
      <c r="BN64" s="460">
        <v>0</v>
      </c>
      <c r="BO64" s="460">
        <v>0</v>
      </c>
      <c r="BP64" s="460">
        <v>0</v>
      </c>
      <c r="BQ64" s="460">
        <v>0</v>
      </c>
      <c r="BR64" s="460">
        <v>0</v>
      </c>
      <c r="BS64" s="460">
        <v>0</v>
      </c>
      <c r="BT64" s="460">
        <v>0</v>
      </c>
      <c r="BU64" s="460">
        <v>0</v>
      </c>
      <c r="BV64" s="460">
        <v>347.37572873882374</v>
      </c>
      <c r="BW64" s="460">
        <v>232.43056072835418</v>
      </c>
      <c r="BX64" s="460">
        <v>0</v>
      </c>
      <c r="BY64" s="460">
        <v>0</v>
      </c>
      <c r="BZ64" s="460">
        <v>0</v>
      </c>
      <c r="CA64" s="460" t="e">
        <v>#N/A</v>
      </c>
      <c r="CB64" s="460" t="e">
        <v>#N/A</v>
      </c>
      <c r="CC64" s="460" t="e">
        <v>#N/A</v>
      </c>
    </row>
    <row r="65" spans="1:81" ht="12.75" customHeight="1">
      <c r="A65" s="105">
        <v>60</v>
      </c>
      <c r="B65" s="458" t="str">
        <v>33Y</v>
      </c>
      <c r="C65" s="262">
        <f>'eur disaggregated'!U76</f>
        <v>-43.322161870202997</v>
      </c>
      <c r="D65" s="111" t="str">
        <f t="shared" si="4"/>
        <v>396M</v>
      </c>
      <c r="E65" s="441">
        <f>BktEur6mPL!E65</f>
        <v>42696</v>
      </c>
      <c r="F65" s="441">
        <f>BktEur6mPL!F65</f>
        <v>54749</v>
      </c>
      <c r="G65" s="462">
        <f t="shared" si="1"/>
        <v>1.179478961E-2</v>
      </c>
      <c r="H65" s="453">
        <f>BktEur6mPL!H65</f>
        <v>1.179478961</v>
      </c>
      <c r="I65" s="107" t="str">
        <v>40Y</v>
      </c>
      <c r="J65" s="106" t="str">
        <f>IF(LEN(I65)&gt;0,IF((MID(I65,4,1)=" "),#REF!,IF((LEN(I65)=8),DATE("20" &amp; RIGHT(I65,2),MID(I65,4,2),LEFT(I65,2)),SimplifyTenor(I65))),"")</f>
        <v>480M</v>
      </c>
      <c r="K65" s="448">
        <f>_xll.qlCalendarAdvance("TARGET",SettlementDate,J65)</f>
        <v>57306</v>
      </c>
      <c r="M65" s="99" t="str">
        <v>40Y</v>
      </c>
      <c r="N65" s="465">
        <v>3.2569950548293231E-9</v>
      </c>
      <c r="P65" s="106" t="b">
        <f t="shared" si="5"/>
        <v>0</v>
      </c>
      <c r="Q65" s="460">
        <f t="array" ref="Q65:CC65">C65*ForwardToZero(OisBuckets,E65,F65,G65)</f>
        <v>0</v>
      </c>
      <c r="R65" s="460">
        <v>0</v>
      </c>
      <c r="S65" s="460">
        <v>0</v>
      </c>
      <c r="T65" s="460">
        <v>0</v>
      </c>
      <c r="U65" s="460">
        <v>0</v>
      </c>
      <c r="V65" s="460">
        <v>0</v>
      </c>
      <c r="W65" s="460">
        <v>0</v>
      </c>
      <c r="X65" s="460">
        <v>0</v>
      </c>
      <c r="Y65" s="460">
        <v>0</v>
      </c>
      <c r="Z65" s="460">
        <v>0</v>
      </c>
      <c r="AA65" s="460">
        <v>0</v>
      </c>
      <c r="AB65" s="460">
        <v>0</v>
      </c>
      <c r="AC65" s="460">
        <v>0</v>
      </c>
      <c r="AD65" s="460">
        <v>0</v>
      </c>
      <c r="AE65" s="460">
        <v>0</v>
      </c>
      <c r="AF65" s="460">
        <v>0</v>
      </c>
      <c r="AG65" s="460">
        <v>0</v>
      </c>
      <c r="AH65" s="460">
        <v>0</v>
      </c>
      <c r="AI65" s="460">
        <v>0</v>
      </c>
      <c r="AJ65" s="460">
        <v>0</v>
      </c>
      <c r="AK65" s="460">
        <v>0</v>
      </c>
      <c r="AL65" s="460">
        <v>0</v>
      </c>
      <c r="AM65" s="460">
        <v>0</v>
      </c>
      <c r="AN65" s="460">
        <v>0</v>
      </c>
      <c r="AO65" s="460">
        <v>0</v>
      </c>
      <c r="AP65" s="460">
        <v>0</v>
      </c>
      <c r="AQ65" s="460">
        <v>0</v>
      </c>
      <c r="AR65" s="460">
        <v>0</v>
      </c>
      <c r="AS65" s="460">
        <v>0</v>
      </c>
      <c r="AT65" s="460">
        <v>0</v>
      </c>
      <c r="AU65" s="460">
        <v>0</v>
      </c>
      <c r="AV65" s="460">
        <v>0</v>
      </c>
      <c r="AW65" s="460">
        <v>0</v>
      </c>
      <c r="AX65" s="460">
        <v>0</v>
      </c>
      <c r="AY65" s="460">
        <v>0</v>
      </c>
      <c r="AZ65" s="460">
        <v>0</v>
      </c>
      <c r="BA65" s="460">
        <v>0</v>
      </c>
      <c r="BB65" s="460">
        <v>0</v>
      </c>
      <c r="BC65" s="460">
        <v>0</v>
      </c>
      <c r="BD65" s="460">
        <v>0</v>
      </c>
      <c r="BE65" s="460">
        <v>0</v>
      </c>
      <c r="BF65" s="460">
        <v>0</v>
      </c>
      <c r="BG65" s="460">
        <v>0</v>
      </c>
      <c r="BH65" s="460">
        <v>0</v>
      </c>
      <c r="BI65" s="460">
        <v>0</v>
      </c>
      <c r="BJ65" s="460">
        <v>0</v>
      </c>
      <c r="BK65" s="460">
        <v>0</v>
      </c>
      <c r="BL65" s="460">
        <v>0</v>
      </c>
      <c r="BM65" s="460">
        <v>0</v>
      </c>
      <c r="BN65" s="460">
        <v>0</v>
      </c>
      <c r="BO65" s="460">
        <v>0</v>
      </c>
      <c r="BP65" s="460">
        <v>0</v>
      </c>
      <c r="BQ65" s="460">
        <v>0</v>
      </c>
      <c r="BR65" s="460">
        <v>0</v>
      </c>
      <c r="BS65" s="460">
        <v>0</v>
      </c>
      <c r="BT65" s="460">
        <v>0</v>
      </c>
      <c r="BU65" s="460">
        <v>0</v>
      </c>
      <c r="BV65" s="460">
        <v>-17.31937467976352</v>
      </c>
      <c r="BW65" s="460">
        <v>-26.00278719043947</v>
      </c>
      <c r="BX65" s="460">
        <v>0</v>
      </c>
      <c r="BY65" s="460">
        <v>0</v>
      </c>
      <c r="BZ65" s="460">
        <v>0</v>
      </c>
      <c r="CA65" s="460" t="e">
        <v>#N/A</v>
      </c>
      <c r="CB65" s="460" t="e">
        <v>#N/A</v>
      </c>
      <c r="CC65" s="460" t="e">
        <v>#N/A</v>
      </c>
    </row>
    <row r="66" spans="1:81" ht="12.75" customHeight="1">
      <c r="A66" s="105">
        <v>61</v>
      </c>
      <c r="B66" s="458" t="str">
        <v>34Y</v>
      </c>
      <c r="C66" s="262">
        <f>'eur disaggregated'!U77</f>
        <v>5.9935684072132803E-2</v>
      </c>
      <c r="D66" s="111" t="str">
        <f t="shared" si="4"/>
        <v>408M</v>
      </c>
      <c r="E66" s="441">
        <f>BktEur6mPL!E66</f>
        <v>42696</v>
      </c>
      <c r="F66" s="441">
        <f>BktEur6mPL!F66</f>
        <v>55114</v>
      </c>
      <c r="G66" s="462">
        <f t="shared" si="1"/>
        <v>1.178408268E-2</v>
      </c>
      <c r="H66" s="453">
        <f>BktEur6mPL!H66</f>
        <v>1.1784082680000001</v>
      </c>
      <c r="I66" s="107" t="str">
        <v>50Y</v>
      </c>
      <c r="J66" s="106" t="str">
        <f>IF(LEN(I66)&gt;0,IF((MID(I66,4,1)=" "),#REF!,IF((LEN(I66)=8),DATE("20" &amp; RIGHT(I66,2),MID(I66,4,2),LEFT(I66,2)),SimplifyTenor(I66))),"")</f>
        <v>600M</v>
      </c>
      <c r="K66" s="448">
        <f>_xll.qlCalendarAdvance("TARGET",SettlementDate,J66)</f>
        <v>60958</v>
      </c>
      <c r="M66" s="99" t="str">
        <v>50Y</v>
      </c>
      <c r="N66" s="465">
        <v>0</v>
      </c>
      <c r="P66" s="106" t="b">
        <f t="shared" si="5"/>
        <v>0</v>
      </c>
      <c r="Q66" s="460">
        <f t="array" ref="Q66:CC66">C66*ForwardToZero(OisBuckets,E66,F66,G66)</f>
        <v>0</v>
      </c>
      <c r="R66" s="460">
        <v>0</v>
      </c>
      <c r="S66" s="460">
        <v>0</v>
      </c>
      <c r="T66" s="460">
        <v>0</v>
      </c>
      <c r="U66" s="460">
        <v>0</v>
      </c>
      <c r="V66" s="460">
        <v>0</v>
      </c>
      <c r="W66" s="460">
        <v>0</v>
      </c>
      <c r="X66" s="460">
        <v>0</v>
      </c>
      <c r="Y66" s="460">
        <v>0</v>
      </c>
      <c r="Z66" s="460">
        <v>0</v>
      </c>
      <c r="AA66" s="460">
        <v>0</v>
      </c>
      <c r="AB66" s="460">
        <v>0</v>
      </c>
      <c r="AC66" s="460">
        <v>0</v>
      </c>
      <c r="AD66" s="460">
        <v>0</v>
      </c>
      <c r="AE66" s="460">
        <v>0</v>
      </c>
      <c r="AF66" s="460">
        <v>0</v>
      </c>
      <c r="AG66" s="460">
        <v>0</v>
      </c>
      <c r="AH66" s="460">
        <v>0</v>
      </c>
      <c r="AI66" s="460">
        <v>0</v>
      </c>
      <c r="AJ66" s="460">
        <v>0</v>
      </c>
      <c r="AK66" s="460">
        <v>0</v>
      </c>
      <c r="AL66" s="460">
        <v>0</v>
      </c>
      <c r="AM66" s="460">
        <v>0</v>
      </c>
      <c r="AN66" s="460">
        <v>0</v>
      </c>
      <c r="AO66" s="460">
        <v>0</v>
      </c>
      <c r="AP66" s="460">
        <v>0</v>
      </c>
      <c r="AQ66" s="460">
        <v>0</v>
      </c>
      <c r="AR66" s="460">
        <v>0</v>
      </c>
      <c r="AS66" s="460">
        <v>0</v>
      </c>
      <c r="AT66" s="460">
        <v>0</v>
      </c>
      <c r="AU66" s="460">
        <v>0</v>
      </c>
      <c r="AV66" s="460">
        <v>0</v>
      </c>
      <c r="AW66" s="460">
        <v>0</v>
      </c>
      <c r="AX66" s="460">
        <v>0</v>
      </c>
      <c r="AY66" s="460">
        <v>0</v>
      </c>
      <c r="AZ66" s="460">
        <v>0</v>
      </c>
      <c r="BA66" s="460">
        <v>0</v>
      </c>
      <c r="BB66" s="460">
        <v>0</v>
      </c>
      <c r="BC66" s="460">
        <v>0</v>
      </c>
      <c r="BD66" s="460">
        <v>0</v>
      </c>
      <c r="BE66" s="460">
        <v>0</v>
      </c>
      <c r="BF66" s="460">
        <v>0</v>
      </c>
      <c r="BG66" s="460">
        <v>0</v>
      </c>
      <c r="BH66" s="460">
        <v>0</v>
      </c>
      <c r="BI66" s="460">
        <v>0</v>
      </c>
      <c r="BJ66" s="460">
        <v>0</v>
      </c>
      <c r="BK66" s="460">
        <v>0</v>
      </c>
      <c r="BL66" s="460">
        <v>0</v>
      </c>
      <c r="BM66" s="460">
        <v>0</v>
      </c>
      <c r="BN66" s="460">
        <v>0</v>
      </c>
      <c r="BO66" s="460">
        <v>0</v>
      </c>
      <c r="BP66" s="460">
        <v>0</v>
      </c>
      <c r="BQ66" s="460">
        <v>0</v>
      </c>
      <c r="BR66" s="460">
        <v>0</v>
      </c>
      <c r="BS66" s="460">
        <v>0</v>
      </c>
      <c r="BT66" s="460">
        <v>0</v>
      </c>
      <c r="BU66" s="460">
        <v>0</v>
      </c>
      <c r="BV66" s="460">
        <v>1.1980572117375946E-2</v>
      </c>
      <c r="BW66" s="460">
        <v>4.7955111954756859E-2</v>
      </c>
      <c r="BX66" s="460">
        <v>0</v>
      </c>
      <c r="BY66" s="460">
        <v>0</v>
      </c>
      <c r="BZ66" s="460">
        <v>0</v>
      </c>
      <c r="CA66" s="460" t="e">
        <v>#N/A</v>
      </c>
      <c r="CB66" s="460" t="e">
        <v>#N/A</v>
      </c>
      <c r="CC66" s="460" t="e">
        <v>#N/A</v>
      </c>
    </row>
    <row r="67" spans="1:81" ht="12.75" customHeight="1">
      <c r="A67" s="105">
        <v>62</v>
      </c>
      <c r="B67" s="458" t="str">
        <v>35Y</v>
      </c>
      <c r="C67" s="262">
        <f>'eur disaggregated'!U78</f>
        <v>-5.8409201819987003E-4</v>
      </c>
      <c r="D67" s="111" t="str">
        <f t="shared" si="4"/>
        <v>420M</v>
      </c>
      <c r="E67" s="441">
        <f>BktEur6mPL!E67</f>
        <v>42696</v>
      </c>
      <c r="F67" s="441">
        <f>BktEur6mPL!F67</f>
        <v>55479</v>
      </c>
      <c r="G67" s="462">
        <f t="shared" si="1"/>
        <v>1.1770000000000001E-2</v>
      </c>
      <c r="H67" s="453">
        <f>BktEur6mPL!H67</f>
        <v>1.177</v>
      </c>
      <c r="I67" s="107" t="str">
        <v>60Y</v>
      </c>
      <c r="J67" s="106" t="str">
        <f>IF(LEN(I67)&gt;0,IF((MID(I67,4,1)=" "),#REF!,IF((LEN(I67)=8),DATE("20" &amp; RIGHT(I67,2),MID(I67,4,2),LEFT(I67,2)),SimplifyTenor(I67))),"")</f>
        <v>720M</v>
      </c>
      <c r="K67" s="448">
        <f>_xll.qlCalendarAdvance("TARGET",SettlementDate,J67)</f>
        <v>64612</v>
      </c>
      <c r="M67" s="99" t="str">
        <v>60Y</v>
      </c>
      <c r="N67" s="465">
        <v>0</v>
      </c>
      <c r="P67" s="106" t="b">
        <f t="shared" si="5"/>
        <v>0</v>
      </c>
      <c r="Q67" s="460">
        <f t="array" ref="Q67:CC67">C67*ForwardToZero(OisBuckets,E67,F67,G67)</f>
        <v>0</v>
      </c>
      <c r="R67" s="460">
        <v>0</v>
      </c>
      <c r="S67" s="460">
        <v>0</v>
      </c>
      <c r="T67" s="460">
        <v>0</v>
      </c>
      <c r="U67" s="460">
        <v>0</v>
      </c>
      <c r="V67" s="460">
        <v>0</v>
      </c>
      <c r="W67" s="460">
        <v>0</v>
      </c>
      <c r="X67" s="460">
        <v>0</v>
      </c>
      <c r="Y67" s="460">
        <v>0</v>
      </c>
      <c r="Z67" s="460">
        <v>0</v>
      </c>
      <c r="AA67" s="460">
        <v>0</v>
      </c>
      <c r="AB67" s="460">
        <v>0</v>
      </c>
      <c r="AC67" s="460">
        <v>0</v>
      </c>
      <c r="AD67" s="460">
        <v>0</v>
      </c>
      <c r="AE67" s="460">
        <v>0</v>
      </c>
      <c r="AF67" s="460">
        <v>0</v>
      </c>
      <c r="AG67" s="460">
        <v>0</v>
      </c>
      <c r="AH67" s="460">
        <v>0</v>
      </c>
      <c r="AI67" s="460">
        <v>0</v>
      </c>
      <c r="AJ67" s="460">
        <v>0</v>
      </c>
      <c r="AK67" s="460">
        <v>0</v>
      </c>
      <c r="AL67" s="460">
        <v>0</v>
      </c>
      <c r="AM67" s="460">
        <v>0</v>
      </c>
      <c r="AN67" s="460">
        <v>0</v>
      </c>
      <c r="AO67" s="460">
        <v>0</v>
      </c>
      <c r="AP67" s="460">
        <v>0</v>
      </c>
      <c r="AQ67" s="460">
        <v>0</v>
      </c>
      <c r="AR67" s="460">
        <v>0</v>
      </c>
      <c r="AS67" s="460">
        <v>0</v>
      </c>
      <c r="AT67" s="460">
        <v>0</v>
      </c>
      <c r="AU67" s="460">
        <v>0</v>
      </c>
      <c r="AV67" s="460">
        <v>0</v>
      </c>
      <c r="AW67" s="460">
        <v>0</v>
      </c>
      <c r="AX67" s="460">
        <v>0</v>
      </c>
      <c r="AY67" s="460">
        <v>0</v>
      </c>
      <c r="AZ67" s="460">
        <v>0</v>
      </c>
      <c r="BA67" s="460">
        <v>0</v>
      </c>
      <c r="BB67" s="460">
        <v>0</v>
      </c>
      <c r="BC67" s="460">
        <v>0</v>
      </c>
      <c r="BD67" s="460">
        <v>0</v>
      </c>
      <c r="BE67" s="460">
        <v>0</v>
      </c>
      <c r="BF67" s="460">
        <v>0</v>
      </c>
      <c r="BG67" s="460">
        <v>0</v>
      </c>
      <c r="BH67" s="460">
        <v>0</v>
      </c>
      <c r="BI67" s="460">
        <v>0</v>
      </c>
      <c r="BJ67" s="460">
        <v>0</v>
      </c>
      <c r="BK67" s="460">
        <v>0</v>
      </c>
      <c r="BL67" s="460">
        <v>0</v>
      </c>
      <c r="BM67" s="460">
        <v>0</v>
      </c>
      <c r="BN67" s="460">
        <v>0</v>
      </c>
      <c r="BO67" s="460">
        <v>0</v>
      </c>
      <c r="BP67" s="460">
        <v>0</v>
      </c>
      <c r="BQ67" s="460">
        <v>0</v>
      </c>
      <c r="BR67" s="460">
        <v>0</v>
      </c>
      <c r="BS67" s="460">
        <v>0</v>
      </c>
      <c r="BT67" s="460">
        <v>0</v>
      </c>
      <c r="BU67" s="460">
        <v>0</v>
      </c>
      <c r="BV67" s="460">
        <v>0</v>
      </c>
      <c r="BW67" s="460">
        <v>-5.8409201819987003E-4</v>
      </c>
      <c r="BX67" s="460">
        <v>0</v>
      </c>
      <c r="BY67" s="460">
        <v>0</v>
      </c>
      <c r="BZ67" s="460">
        <v>0</v>
      </c>
      <c r="CA67" s="460" t="e">
        <v>#N/A</v>
      </c>
      <c r="CB67" s="460" t="e">
        <v>#N/A</v>
      </c>
      <c r="CC67" s="460" t="e">
        <v>#N/A</v>
      </c>
    </row>
    <row r="68" spans="1:81" ht="12.75" customHeight="1">
      <c r="A68" s="105">
        <v>63</v>
      </c>
      <c r="B68" s="458" t="str">
        <v>36Y</v>
      </c>
      <c r="C68" s="262">
        <f>'eur disaggregated'!U79</f>
        <v>1.6258278593369299E-8</v>
      </c>
      <c r="D68" s="111" t="str">
        <f t="shared" si="4"/>
        <v>432M</v>
      </c>
      <c r="E68" s="441">
        <f>BktEur6mPL!E68</f>
        <v>42696</v>
      </c>
      <c r="F68" s="441">
        <f>BktEur6mPL!F68</f>
        <v>55845</v>
      </c>
      <c r="G68" s="462">
        <f t="shared" si="1"/>
        <v>1.1753930500000001E-2</v>
      </c>
      <c r="H68" s="453">
        <f>BktEur6mPL!H68</f>
        <v>1.1753930500000001</v>
      </c>
      <c r="I68" s="107" t="e">
        <v>#N/A</v>
      </c>
      <c r="J68" s="106" t="e">
        <f>IF(LEN(I68)&gt;0,IF((MID(I68,4,1)=" "),#REF!,IF((LEN(I68)=8),DATE("20" &amp; RIGHT(I68,2),MID(I68,4,2),LEFT(I68,2)),SimplifyTenor(I68))),"")</f>
        <v>#N/A</v>
      </c>
      <c r="K68" s="448" t="e">
        <f>_xll.qlCalendarAdvance("TARGET",SettlementDate,J68)</f>
        <v>#NUM!</v>
      </c>
      <c r="M68" s="99" t="e">
        <v>#N/A</v>
      </c>
      <c r="N68" s="465" t="e">
        <v>#N/A</v>
      </c>
      <c r="P68" s="106" t="b">
        <f t="shared" si="5"/>
        <v>0</v>
      </c>
      <c r="Q68" s="460">
        <f t="array" ref="Q68:CC68">C68*ForwardToZero(OisBuckets,E68,F68,G68)</f>
        <v>0</v>
      </c>
      <c r="R68" s="460">
        <v>0</v>
      </c>
      <c r="S68" s="460">
        <v>0</v>
      </c>
      <c r="T68" s="460">
        <v>0</v>
      </c>
      <c r="U68" s="460">
        <v>0</v>
      </c>
      <c r="V68" s="460">
        <v>0</v>
      </c>
      <c r="W68" s="460">
        <v>0</v>
      </c>
      <c r="X68" s="460">
        <v>0</v>
      </c>
      <c r="Y68" s="460">
        <v>0</v>
      </c>
      <c r="Z68" s="460">
        <v>0</v>
      </c>
      <c r="AA68" s="460">
        <v>0</v>
      </c>
      <c r="AB68" s="460">
        <v>0</v>
      </c>
      <c r="AC68" s="460">
        <v>0</v>
      </c>
      <c r="AD68" s="460">
        <v>0</v>
      </c>
      <c r="AE68" s="460">
        <v>0</v>
      </c>
      <c r="AF68" s="460">
        <v>0</v>
      </c>
      <c r="AG68" s="460">
        <v>0</v>
      </c>
      <c r="AH68" s="460">
        <v>0</v>
      </c>
      <c r="AI68" s="460">
        <v>0</v>
      </c>
      <c r="AJ68" s="460">
        <v>0</v>
      </c>
      <c r="AK68" s="460">
        <v>0</v>
      </c>
      <c r="AL68" s="460">
        <v>0</v>
      </c>
      <c r="AM68" s="460">
        <v>0</v>
      </c>
      <c r="AN68" s="460">
        <v>0</v>
      </c>
      <c r="AO68" s="460">
        <v>0</v>
      </c>
      <c r="AP68" s="460">
        <v>0</v>
      </c>
      <c r="AQ68" s="460">
        <v>0</v>
      </c>
      <c r="AR68" s="460">
        <v>0</v>
      </c>
      <c r="AS68" s="460">
        <v>0</v>
      </c>
      <c r="AT68" s="460">
        <v>0</v>
      </c>
      <c r="AU68" s="460">
        <v>0</v>
      </c>
      <c r="AV68" s="460">
        <v>0</v>
      </c>
      <c r="AW68" s="460">
        <v>0</v>
      </c>
      <c r="AX68" s="460">
        <v>0</v>
      </c>
      <c r="AY68" s="460">
        <v>0</v>
      </c>
      <c r="AZ68" s="460">
        <v>0</v>
      </c>
      <c r="BA68" s="460">
        <v>0</v>
      </c>
      <c r="BB68" s="460">
        <v>0</v>
      </c>
      <c r="BC68" s="460">
        <v>0</v>
      </c>
      <c r="BD68" s="460">
        <v>0</v>
      </c>
      <c r="BE68" s="460">
        <v>0</v>
      </c>
      <c r="BF68" s="460">
        <v>0</v>
      </c>
      <c r="BG68" s="460">
        <v>0</v>
      </c>
      <c r="BH68" s="460">
        <v>0</v>
      </c>
      <c r="BI68" s="460">
        <v>0</v>
      </c>
      <c r="BJ68" s="460">
        <v>0</v>
      </c>
      <c r="BK68" s="460">
        <v>0</v>
      </c>
      <c r="BL68" s="460">
        <v>0</v>
      </c>
      <c r="BM68" s="460">
        <v>0</v>
      </c>
      <c r="BN68" s="460">
        <v>0</v>
      </c>
      <c r="BO68" s="460">
        <v>0</v>
      </c>
      <c r="BP68" s="460">
        <v>0</v>
      </c>
      <c r="BQ68" s="460">
        <v>0</v>
      </c>
      <c r="BR68" s="460">
        <v>0</v>
      </c>
      <c r="BS68" s="460">
        <v>0</v>
      </c>
      <c r="BT68" s="460">
        <v>0</v>
      </c>
      <c r="BU68" s="460">
        <v>0</v>
      </c>
      <c r="BV68" s="460">
        <v>0</v>
      </c>
      <c r="BW68" s="460">
        <v>1.3001283538539975E-8</v>
      </c>
      <c r="BX68" s="460">
        <v>3.2569950548293231E-9</v>
      </c>
      <c r="BY68" s="460">
        <v>0</v>
      </c>
      <c r="BZ68" s="460">
        <v>0</v>
      </c>
      <c r="CA68" s="460" t="e">
        <v>#N/A</v>
      </c>
      <c r="CB68" s="460" t="e">
        <v>#N/A</v>
      </c>
      <c r="CC68" s="460" t="e">
        <v>#N/A</v>
      </c>
    </row>
    <row r="69" spans="1:81" ht="12.75" customHeight="1">
      <c r="A69" s="105">
        <v>64</v>
      </c>
      <c r="B69" s="458" t="str">
        <v>37Y</v>
      </c>
      <c r="C69" s="262">
        <f>'eur disaggregated'!U80</f>
        <v>0</v>
      </c>
      <c r="D69" s="111" t="str">
        <f t="shared" si="4"/>
        <v>444M</v>
      </c>
      <c r="E69" s="441">
        <f>BktEur6mPL!E69</f>
        <v>42696</v>
      </c>
      <c r="F69" s="441">
        <f>BktEur6mPL!F69</f>
        <v>56212</v>
      </c>
      <c r="G69" s="462">
        <f t="shared" si="1"/>
        <v>1.1733906919999999E-2</v>
      </c>
      <c r="H69" s="453">
        <f>BktEur6mPL!H69</f>
        <v>1.1733906919999999</v>
      </c>
      <c r="I69" s="107" t="e">
        <v>#N/A</v>
      </c>
      <c r="J69" s="106" t="e">
        <f>IF(LEN(I69)&gt;0,IF((MID(I69,4,1)=" "),#REF!,IF((LEN(I69)=8),DATE("20" &amp; RIGHT(I69,2),MID(I69,4,2),LEFT(I69,2)),SimplifyTenor(I69))),"")</f>
        <v>#N/A</v>
      </c>
      <c r="K69" s="448" t="e">
        <f>_xll.qlCalendarAdvance("TARGET",SettlementDate,J69)</f>
        <v>#NUM!</v>
      </c>
      <c r="M69" s="99" t="e">
        <v>#N/A</v>
      </c>
      <c r="N69" s="465" t="e">
        <v>#N/A</v>
      </c>
      <c r="P69" s="106" t="b">
        <f t="shared" si="5"/>
        <v>0</v>
      </c>
      <c r="Q69" s="460">
        <f t="array" ref="Q69:CC69">C69*ForwardToZero(OisBuckets,E69,F69,G69)</f>
        <v>0</v>
      </c>
      <c r="R69" s="460">
        <v>0</v>
      </c>
      <c r="S69" s="460">
        <v>0</v>
      </c>
      <c r="T69" s="460">
        <v>0</v>
      </c>
      <c r="U69" s="460">
        <v>0</v>
      </c>
      <c r="V69" s="460">
        <v>0</v>
      </c>
      <c r="W69" s="460">
        <v>0</v>
      </c>
      <c r="X69" s="460">
        <v>0</v>
      </c>
      <c r="Y69" s="460">
        <v>0</v>
      </c>
      <c r="Z69" s="460">
        <v>0</v>
      </c>
      <c r="AA69" s="460">
        <v>0</v>
      </c>
      <c r="AB69" s="460">
        <v>0</v>
      </c>
      <c r="AC69" s="460">
        <v>0</v>
      </c>
      <c r="AD69" s="460">
        <v>0</v>
      </c>
      <c r="AE69" s="460">
        <v>0</v>
      </c>
      <c r="AF69" s="460">
        <v>0</v>
      </c>
      <c r="AG69" s="460">
        <v>0</v>
      </c>
      <c r="AH69" s="460">
        <v>0</v>
      </c>
      <c r="AI69" s="460">
        <v>0</v>
      </c>
      <c r="AJ69" s="460">
        <v>0</v>
      </c>
      <c r="AK69" s="460">
        <v>0</v>
      </c>
      <c r="AL69" s="460">
        <v>0</v>
      </c>
      <c r="AM69" s="460">
        <v>0</v>
      </c>
      <c r="AN69" s="460">
        <v>0</v>
      </c>
      <c r="AO69" s="460">
        <v>0</v>
      </c>
      <c r="AP69" s="460">
        <v>0</v>
      </c>
      <c r="AQ69" s="460">
        <v>0</v>
      </c>
      <c r="AR69" s="460">
        <v>0</v>
      </c>
      <c r="AS69" s="460">
        <v>0</v>
      </c>
      <c r="AT69" s="460">
        <v>0</v>
      </c>
      <c r="AU69" s="460">
        <v>0</v>
      </c>
      <c r="AV69" s="460">
        <v>0</v>
      </c>
      <c r="AW69" s="460">
        <v>0</v>
      </c>
      <c r="AX69" s="460">
        <v>0</v>
      </c>
      <c r="AY69" s="460">
        <v>0</v>
      </c>
      <c r="AZ69" s="460">
        <v>0</v>
      </c>
      <c r="BA69" s="460">
        <v>0</v>
      </c>
      <c r="BB69" s="460">
        <v>0</v>
      </c>
      <c r="BC69" s="460">
        <v>0</v>
      </c>
      <c r="BD69" s="460">
        <v>0</v>
      </c>
      <c r="BE69" s="460">
        <v>0</v>
      </c>
      <c r="BF69" s="460">
        <v>0</v>
      </c>
      <c r="BG69" s="460">
        <v>0</v>
      </c>
      <c r="BH69" s="460">
        <v>0</v>
      </c>
      <c r="BI69" s="460">
        <v>0</v>
      </c>
      <c r="BJ69" s="460">
        <v>0</v>
      </c>
      <c r="BK69" s="460">
        <v>0</v>
      </c>
      <c r="BL69" s="460">
        <v>0</v>
      </c>
      <c r="BM69" s="460">
        <v>0</v>
      </c>
      <c r="BN69" s="460">
        <v>0</v>
      </c>
      <c r="BO69" s="460">
        <v>0</v>
      </c>
      <c r="BP69" s="460">
        <v>0</v>
      </c>
      <c r="BQ69" s="460">
        <v>0</v>
      </c>
      <c r="BR69" s="460">
        <v>0</v>
      </c>
      <c r="BS69" s="460">
        <v>0</v>
      </c>
      <c r="BT69" s="460">
        <v>0</v>
      </c>
      <c r="BU69" s="460">
        <v>0</v>
      </c>
      <c r="BV69" s="460">
        <v>0</v>
      </c>
      <c r="BW69" s="460">
        <v>0</v>
      </c>
      <c r="BX69" s="460">
        <v>0</v>
      </c>
      <c r="BY69" s="460">
        <v>0</v>
      </c>
      <c r="BZ69" s="460">
        <v>0</v>
      </c>
      <c r="CA69" s="460" t="e">
        <v>#N/A</v>
      </c>
      <c r="CB69" s="460" t="e">
        <v>#N/A</v>
      </c>
      <c r="CC69" s="460" t="e">
        <v>#N/A</v>
      </c>
    </row>
    <row r="70" spans="1:81" ht="12.75" customHeight="1">
      <c r="A70" s="105">
        <v>65</v>
      </c>
      <c r="B70" s="458" t="str">
        <v>38Y</v>
      </c>
      <c r="C70" s="262">
        <f>'eur disaggregated'!U81</f>
        <v>0</v>
      </c>
      <c r="D70" s="111" t="str">
        <f t="shared" si="4"/>
        <v>456M</v>
      </c>
      <c r="E70" s="441">
        <f>BktEur6mPL!E70</f>
        <v>42696</v>
      </c>
      <c r="F70" s="441">
        <f>BktEur6mPL!F70</f>
        <v>56576</v>
      </c>
      <c r="G70" s="462">
        <f t="shared" si="1"/>
        <v>1.171020008E-2</v>
      </c>
      <c r="H70" s="453">
        <f>BktEur6mPL!H70</f>
        <v>1.1710200079999999</v>
      </c>
      <c r="I70" s="107" t="e">
        <v>#N/A</v>
      </c>
      <c r="J70" s="106" t="e">
        <f>IF(LEN(I70)&gt;0,IF((MID(I70,4,1)=" "),#REF!,IF((LEN(I70)=8),DATE("20" &amp; RIGHT(I70,2),MID(I70,4,2),LEFT(I70,2)),SimplifyTenor(I70))),"")</f>
        <v>#N/A</v>
      </c>
      <c r="K70" s="448" t="e">
        <f>_xll.qlCalendarAdvance("TARGET",SettlementDate,J70)</f>
        <v>#NUM!</v>
      </c>
      <c r="M70" s="99" t="e">
        <v>#N/A</v>
      </c>
      <c r="N70" s="465" t="e">
        <v>#N/A</v>
      </c>
      <c r="P70" s="106" t="b">
        <f t="shared" si="5"/>
        <v>0</v>
      </c>
      <c r="Q70" s="460">
        <f t="array" ref="Q70:CC70">C70*ForwardToZero(OisBuckets,E70,F70,G70)</f>
        <v>0</v>
      </c>
      <c r="R70" s="460">
        <v>0</v>
      </c>
      <c r="S70" s="460">
        <v>0</v>
      </c>
      <c r="T70" s="460">
        <v>0</v>
      </c>
      <c r="U70" s="460">
        <v>0</v>
      </c>
      <c r="V70" s="460">
        <v>0</v>
      </c>
      <c r="W70" s="460">
        <v>0</v>
      </c>
      <c r="X70" s="460">
        <v>0</v>
      </c>
      <c r="Y70" s="460">
        <v>0</v>
      </c>
      <c r="Z70" s="460">
        <v>0</v>
      </c>
      <c r="AA70" s="460">
        <v>0</v>
      </c>
      <c r="AB70" s="460">
        <v>0</v>
      </c>
      <c r="AC70" s="460">
        <v>0</v>
      </c>
      <c r="AD70" s="460">
        <v>0</v>
      </c>
      <c r="AE70" s="460">
        <v>0</v>
      </c>
      <c r="AF70" s="460">
        <v>0</v>
      </c>
      <c r="AG70" s="460">
        <v>0</v>
      </c>
      <c r="AH70" s="460">
        <v>0</v>
      </c>
      <c r="AI70" s="460">
        <v>0</v>
      </c>
      <c r="AJ70" s="460">
        <v>0</v>
      </c>
      <c r="AK70" s="460">
        <v>0</v>
      </c>
      <c r="AL70" s="460">
        <v>0</v>
      </c>
      <c r="AM70" s="460">
        <v>0</v>
      </c>
      <c r="AN70" s="460">
        <v>0</v>
      </c>
      <c r="AO70" s="460">
        <v>0</v>
      </c>
      <c r="AP70" s="460">
        <v>0</v>
      </c>
      <c r="AQ70" s="460">
        <v>0</v>
      </c>
      <c r="AR70" s="460">
        <v>0</v>
      </c>
      <c r="AS70" s="460">
        <v>0</v>
      </c>
      <c r="AT70" s="460">
        <v>0</v>
      </c>
      <c r="AU70" s="460">
        <v>0</v>
      </c>
      <c r="AV70" s="460">
        <v>0</v>
      </c>
      <c r="AW70" s="460">
        <v>0</v>
      </c>
      <c r="AX70" s="460">
        <v>0</v>
      </c>
      <c r="AY70" s="460">
        <v>0</v>
      </c>
      <c r="AZ70" s="460">
        <v>0</v>
      </c>
      <c r="BA70" s="460">
        <v>0</v>
      </c>
      <c r="BB70" s="460">
        <v>0</v>
      </c>
      <c r="BC70" s="460">
        <v>0</v>
      </c>
      <c r="BD70" s="460">
        <v>0</v>
      </c>
      <c r="BE70" s="460">
        <v>0</v>
      </c>
      <c r="BF70" s="460">
        <v>0</v>
      </c>
      <c r="BG70" s="460">
        <v>0</v>
      </c>
      <c r="BH70" s="460">
        <v>0</v>
      </c>
      <c r="BI70" s="460">
        <v>0</v>
      </c>
      <c r="BJ70" s="460">
        <v>0</v>
      </c>
      <c r="BK70" s="460">
        <v>0</v>
      </c>
      <c r="BL70" s="460">
        <v>0</v>
      </c>
      <c r="BM70" s="460">
        <v>0</v>
      </c>
      <c r="BN70" s="460">
        <v>0</v>
      </c>
      <c r="BO70" s="460">
        <v>0</v>
      </c>
      <c r="BP70" s="460">
        <v>0</v>
      </c>
      <c r="BQ70" s="460">
        <v>0</v>
      </c>
      <c r="BR70" s="460">
        <v>0</v>
      </c>
      <c r="BS70" s="460">
        <v>0</v>
      </c>
      <c r="BT70" s="460">
        <v>0</v>
      </c>
      <c r="BU70" s="460">
        <v>0</v>
      </c>
      <c r="BV70" s="460">
        <v>0</v>
      </c>
      <c r="BW70" s="460">
        <v>0</v>
      </c>
      <c r="BX70" s="460">
        <v>0</v>
      </c>
      <c r="BY70" s="460">
        <v>0</v>
      </c>
      <c r="BZ70" s="460">
        <v>0</v>
      </c>
      <c r="CA70" s="460" t="e">
        <v>#N/A</v>
      </c>
      <c r="CB70" s="460" t="e">
        <v>#N/A</v>
      </c>
      <c r="CC70" s="460" t="e">
        <v>#N/A</v>
      </c>
    </row>
    <row r="71" spans="1:81" ht="12.75" customHeight="1">
      <c r="A71" s="458">
        <v>66</v>
      </c>
      <c r="B71" s="458" t="str">
        <v>39Y</v>
      </c>
      <c r="C71" s="262">
        <f>'eur disaggregated'!U82</f>
        <v>0</v>
      </c>
      <c r="D71" s="111" t="str">
        <f t="shared" si="4"/>
        <v>468M</v>
      </c>
      <c r="E71" s="441">
        <f>BktEur6mPL!E71</f>
        <v>42696</v>
      </c>
      <c r="F71" s="441">
        <f>BktEur6mPL!F71</f>
        <v>56940</v>
      </c>
      <c r="G71" s="462">
        <f t="shared" ref="G71:G74" si="6">IF(AND(70&lt;H71, H71&lt;130),(100-H71)/100,H71/100)</f>
        <v>1.1682294879999999E-2</v>
      </c>
      <c r="H71" s="453">
        <f>BktEur6mPL!H71</f>
        <v>1.1682294879999999</v>
      </c>
      <c r="I71" s="481"/>
      <c r="J71" s="481"/>
      <c r="K71" s="482"/>
      <c r="M71" s="481"/>
      <c r="N71" s="481"/>
      <c r="P71" s="106" t="b">
        <f t="shared" ref="P71:P74" si="7">MID(B71,4,1)=" "</f>
        <v>0</v>
      </c>
      <c r="Q71" s="460">
        <f t="array" ref="Q71:CC71">C71*ForwardToZero(OisBuckets,E71,F71,G71)</f>
        <v>0</v>
      </c>
      <c r="R71" s="460">
        <v>0</v>
      </c>
      <c r="S71" s="460">
        <v>0</v>
      </c>
      <c r="T71" s="460">
        <v>0</v>
      </c>
      <c r="U71" s="460">
        <v>0</v>
      </c>
      <c r="V71" s="460">
        <v>0</v>
      </c>
      <c r="W71" s="460">
        <v>0</v>
      </c>
      <c r="X71" s="460">
        <v>0</v>
      </c>
      <c r="Y71" s="460">
        <v>0</v>
      </c>
      <c r="Z71" s="460">
        <v>0</v>
      </c>
      <c r="AA71" s="460">
        <v>0</v>
      </c>
      <c r="AB71" s="460">
        <v>0</v>
      </c>
      <c r="AC71" s="460">
        <v>0</v>
      </c>
      <c r="AD71" s="460">
        <v>0</v>
      </c>
      <c r="AE71" s="460">
        <v>0</v>
      </c>
      <c r="AF71" s="460">
        <v>0</v>
      </c>
      <c r="AG71" s="460">
        <v>0</v>
      </c>
      <c r="AH71" s="460">
        <v>0</v>
      </c>
      <c r="AI71" s="460">
        <v>0</v>
      </c>
      <c r="AJ71" s="460">
        <v>0</v>
      </c>
      <c r="AK71" s="460">
        <v>0</v>
      </c>
      <c r="AL71" s="460">
        <v>0</v>
      </c>
      <c r="AM71" s="460">
        <v>0</v>
      </c>
      <c r="AN71" s="460">
        <v>0</v>
      </c>
      <c r="AO71" s="460">
        <v>0</v>
      </c>
      <c r="AP71" s="460">
        <v>0</v>
      </c>
      <c r="AQ71" s="460">
        <v>0</v>
      </c>
      <c r="AR71" s="460">
        <v>0</v>
      </c>
      <c r="AS71" s="460">
        <v>0</v>
      </c>
      <c r="AT71" s="460">
        <v>0</v>
      </c>
      <c r="AU71" s="460">
        <v>0</v>
      </c>
      <c r="AV71" s="460">
        <v>0</v>
      </c>
      <c r="AW71" s="460">
        <v>0</v>
      </c>
      <c r="AX71" s="460">
        <v>0</v>
      </c>
      <c r="AY71" s="460">
        <v>0</v>
      </c>
      <c r="AZ71" s="460">
        <v>0</v>
      </c>
      <c r="BA71" s="460">
        <v>0</v>
      </c>
      <c r="BB71" s="460">
        <v>0</v>
      </c>
      <c r="BC71" s="460">
        <v>0</v>
      </c>
      <c r="BD71" s="460">
        <v>0</v>
      </c>
      <c r="BE71" s="460">
        <v>0</v>
      </c>
      <c r="BF71" s="460">
        <v>0</v>
      </c>
      <c r="BG71" s="460">
        <v>0</v>
      </c>
      <c r="BH71" s="460">
        <v>0</v>
      </c>
      <c r="BI71" s="460">
        <v>0</v>
      </c>
      <c r="BJ71" s="460">
        <v>0</v>
      </c>
      <c r="BK71" s="460">
        <v>0</v>
      </c>
      <c r="BL71" s="460">
        <v>0</v>
      </c>
      <c r="BM71" s="460">
        <v>0</v>
      </c>
      <c r="BN71" s="460">
        <v>0</v>
      </c>
      <c r="BO71" s="460">
        <v>0</v>
      </c>
      <c r="BP71" s="460">
        <v>0</v>
      </c>
      <c r="BQ71" s="460">
        <v>0</v>
      </c>
      <c r="BR71" s="460">
        <v>0</v>
      </c>
      <c r="BS71" s="460">
        <v>0</v>
      </c>
      <c r="BT71" s="460">
        <v>0</v>
      </c>
      <c r="BU71" s="460">
        <v>0</v>
      </c>
      <c r="BV71" s="460">
        <v>0</v>
      </c>
      <c r="BW71" s="460">
        <v>0</v>
      </c>
      <c r="BX71" s="460">
        <v>0</v>
      </c>
      <c r="BY71" s="460">
        <v>0</v>
      </c>
      <c r="BZ71" s="460">
        <v>0</v>
      </c>
      <c r="CA71" s="460" t="e">
        <v>#N/A</v>
      </c>
      <c r="CB71" s="460" t="e">
        <v>#N/A</v>
      </c>
      <c r="CC71" s="460" t="e">
        <v>#N/A</v>
      </c>
    </row>
    <row r="72" spans="1:81" ht="12.75" customHeight="1">
      <c r="A72" s="458">
        <v>67</v>
      </c>
      <c r="B72" s="458" t="str">
        <v>40Y</v>
      </c>
      <c r="C72" s="262">
        <f>'eur disaggregated'!U83</f>
        <v>0</v>
      </c>
      <c r="D72" s="111" t="str">
        <f t="shared" si="4"/>
        <v>480M</v>
      </c>
      <c r="E72" s="441">
        <f>BktEur6mPL!E72</f>
        <v>42696</v>
      </c>
      <c r="F72" s="441">
        <f>BktEur6mPL!F72</f>
        <v>57306</v>
      </c>
      <c r="G72" s="462">
        <f t="shared" si="6"/>
        <v>1.1650000000000001E-2</v>
      </c>
      <c r="H72" s="453">
        <f>BktEur6mPL!H72</f>
        <v>1.165</v>
      </c>
      <c r="I72" s="481"/>
      <c r="J72" s="481"/>
      <c r="K72" s="482"/>
      <c r="M72" s="481"/>
      <c r="N72" s="481"/>
      <c r="P72" s="106" t="b">
        <f t="shared" si="7"/>
        <v>0</v>
      </c>
      <c r="Q72" s="460">
        <f t="array" ref="Q72:CC72">C72*ForwardToZero(OisBuckets,E72,F72,G72)</f>
        <v>0</v>
      </c>
      <c r="R72" s="460">
        <v>0</v>
      </c>
      <c r="S72" s="460">
        <v>0</v>
      </c>
      <c r="T72" s="460">
        <v>0</v>
      </c>
      <c r="U72" s="460">
        <v>0</v>
      </c>
      <c r="V72" s="460">
        <v>0</v>
      </c>
      <c r="W72" s="460">
        <v>0</v>
      </c>
      <c r="X72" s="460">
        <v>0</v>
      </c>
      <c r="Y72" s="460">
        <v>0</v>
      </c>
      <c r="Z72" s="460">
        <v>0</v>
      </c>
      <c r="AA72" s="460">
        <v>0</v>
      </c>
      <c r="AB72" s="460">
        <v>0</v>
      </c>
      <c r="AC72" s="460">
        <v>0</v>
      </c>
      <c r="AD72" s="460">
        <v>0</v>
      </c>
      <c r="AE72" s="460">
        <v>0</v>
      </c>
      <c r="AF72" s="460">
        <v>0</v>
      </c>
      <c r="AG72" s="460">
        <v>0</v>
      </c>
      <c r="AH72" s="460">
        <v>0</v>
      </c>
      <c r="AI72" s="460">
        <v>0</v>
      </c>
      <c r="AJ72" s="460">
        <v>0</v>
      </c>
      <c r="AK72" s="460">
        <v>0</v>
      </c>
      <c r="AL72" s="460">
        <v>0</v>
      </c>
      <c r="AM72" s="460">
        <v>0</v>
      </c>
      <c r="AN72" s="460">
        <v>0</v>
      </c>
      <c r="AO72" s="460">
        <v>0</v>
      </c>
      <c r="AP72" s="460">
        <v>0</v>
      </c>
      <c r="AQ72" s="460">
        <v>0</v>
      </c>
      <c r="AR72" s="460">
        <v>0</v>
      </c>
      <c r="AS72" s="460">
        <v>0</v>
      </c>
      <c r="AT72" s="460">
        <v>0</v>
      </c>
      <c r="AU72" s="460">
        <v>0</v>
      </c>
      <c r="AV72" s="460">
        <v>0</v>
      </c>
      <c r="AW72" s="460">
        <v>0</v>
      </c>
      <c r="AX72" s="460">
        <v>0</v>
      </c>
      <c r="AY72" s="460">
        <v>0</v>
      </c>
      <c r="AZ72" s="460">
        <v>0</v>
      </c>
      <c r="BA72" s="460">
        <v>0</v>
      </c>
      <c r="BB72" s="460">
        <v>0</v>
      </c>
      <c r="BC72" s="460">
        <v>0</v>
      </c>
      <c r="BD72" s="460">
        <v>0</v>
      </c>
      <c r="BE72" s="460">
        <v>0</v>
      </c>
      <c r="BF72" s="460">
        <v>0</v>
      </c>
      <c r="BG72" s="460">
        <v>0</v>
      </c>
      <c r="BH72" s="460">
        <v>0</v>
      </c>
      <c r="BI72" s="460">
        <v>0</v>
      </c>
      <c r="BJ72" s="460">
        <v>0</v>
      </c>
      <c r="BK72" s="460">
        <v>0</v>
      </c>
      <c r="BL72" s="460">
        <v>0</v>
      </c>
      <c r="BM72" s="460">
        <v>0</v>
      </c>
      <c r="BN72" s="460">
        <v>0</v>
      </c>
      <c r="BO72" s="460">
        <v>0</v>
      </c>
      <c r="BP72" s="460">
        <v>0</v>
      </c>
      <c r="BQ72" s="460">
        <v>0</v>
      </c>
      <c r="BR72" s="460">
        <v>0</v>
      </c>
      <c r="BS72" s="460">
        <v>0</v>
      </c>
      <c r="BT72" s="460">
        <v>0</v>
      </c>
      <c r="BU72" s="460">
        <v>0</v>
      </c>
      <c r="BV72" s="460">
        <v>0</v>
      </c>
      <c r="BW72" s="460">
        <v>0</v>
      </c>
      <c r="BX72" s="460">
        <v>0</v>
      </c>
      <c r="BY72" s="460">
        <v>0</v>
      </c>
      <c r="BZ72" s="460">
        <v>0</v>
      </c>
      <c r="CA72" s="460" t="e">
        <v>#N/A</v>
      </c>
      <c r="CB72" s="460" t="e">
        <v>#N/A</v>
      </c>
      <c r="CC72" s="460" t="e">
        <v>#N/A</v>
      </c>
    </row>
    <row r="73" spans="1:81" ht="12.75" customHeight="1">
      <c r="A73" s="458">
        <v>68</v>
      </c>
      <c r="B73" s="458" t="str">
        <v>50Y</v>
      </c>
      <c r="C73" s="262">
        <f>'eur disaggregated'!U84</f>
        <v>0</v>
      </c>
      <c r="D73" s="111" t="str">
        <f t="shared" si="4"/>
        <v>600M</v>
      </c>
      <c r="E73" s="441">
        <f>BktEur6mPL!E73</f>
        <v>42696</v>
      </c>
      <c r="F73" s="441">
        <f>BktEur6mPL!F73</f>
        <v>60958</v>
      </c>
      <c r="G73" s="462">
        <f t="shared" si="6"/>
        <v>1.111E-2</v>
      </c>
      <c r="H73" s="453">
        <f>BktEur6mPL!H73</f>
        <v>1.111</v>
      </c>
      <c r="I73" s="481"/>
      <c r="J73" s="481"/>
      <c r="K73" s="482"/>
      <c r="M73" s="481"/>
      <c r="N73" s="481"/>
      <c r="P73" s="106" t="b">
        <f t="shared" si="7"/>
        <v>0</v>
      </c>
      <c r="Q73" s="460">
        <f t="array" ref="Q73:CC73">C73*ForwardToZero(OisBuckets,E73,F73,G73)</f>
        <v>0</v>
      </c>
      <c r="R73" s="460">
        <v>0</v>
      </c>
      <c r="S73" s="460">
        <v>0</v>
      </c>
      <c r="T73" s="460">
        <v>0</v>
      </c>
      <c r="U73" s="460">
        <v>0</v>
      </c>
      <c r="V73" s="460">
        <v>0</v>
      </c>
      <c r="W73" s="460">
        <v>0</v>
      </c>
      <c r="X73" s="460">
        <v>0</v>
      </c>
      <c r="Y73" s="460">
        <v>0</v>
      </c>
      <c r="Z73" s="460">
        <v>0</v>
      </c>
      <c r="AA73" s="460">
        <v>0</v>
      </c>
      <c r="AB73" s="460">
        <v>0</v>
      </c>
      <c r="AC73" s="460">
        <v>0</v>
      </c>
      <c r="AD73" s="460">
        <v>0</v>
      </c>
      <c r="AE73" s="460">
        <v>0</v>
      </c>
      <c r="AF73" s="460">
        <v>0</v>
      </c>
      <c r="AG73" s="460">
        <v>0</v>
      </c>
      <c r="AH73" s="460">
        <v>0</v>
      </c>
      <c r="AI73" s="460">
        <v>0</v>
      </c>
      <c r="AJ73" s="460">
        <v>0</v>
      </c>
      <c r="AK73" s="460">
        <v>0</v>
      </c>
      <c r="AL73" s="460">
        <v>0</v>
      </c>
      <c r="AM73" s="460">
        <v>0</v>
      </c>
      <c r="AN73" s="460">
        <v>0</v>
      </c>
      <c r="AO73" s="460">
        <v>0</v>
      </c>
      <c r="AP73" s="460">
        <v>0</v>
      </c>
      <c r="AQ73" s="460">
        <v>0</v>
      </c>
      <c r="AR73" s="460">
        <v>0</v>
      </c>
      <c r="AS73" s="460">
        <v>0</v>
      </c>
      <c r="AT73" s="460">
        <v>0</v>
      </c>
      <c r="AU73" s="460">
        <v>0</v>
      </c>
      <c r="AV73" s="460">
        <v>0</v>
      </c>
      <c r="AW73" s="460">
        <v>0</v>
      </c>
      <c r="AX73" s="460">
        <v>0</v>
      </c>
      <c r="AY73" s="460">
        <v>0</v>
      </c>
      <c r="AZ73" s="460">
        <v>0</v>
      </c>
      <c r="BA73" s="460">
        <v>0</v>
      </c>
      <c r="BB73" s="460">
        <v>0</v>
      </c>
      <c r="BC73" s="460">
        <v>0</v>
      </c>
      <c r="BD73" s="460">
        <v>0</v>
      </c>
      <c r="BE73" s="460">
        <v>0</v>
      </c>
      <c r="BF73" s="460">
        <v>0</v>
      </c>
      <c r="BG73" s="460">
        <v>0</v>
      </c>
      <c r="BH73" s="460">
        <v>0</v>
      </c>
      <c r="BI73" s="460">
        <v>0</v>
      </c>
      <c r="BJ73" s="460">
        <v>0</v>
      </c>
      <c r="BK73" s="460">
        <v>0</v>
      </c>
      <c r="BL73" s="460">
        <v>0</v>
      </c>
      <c r="BM73" s="460">
        <v>0</v>
      </c>
      <c r="BN73" s="460">
        <v>0</v>
      </c>
      <c r="BO73" s="460">
        <v>0</v>
      </c>
      <c r="BP73" s="460">
        <v>0</v>
      </c>
      <c r="BQ73" s="460">
        <v>0</v>
      </c>
      <c r="BR73" s="460">
        <v>0</v>
      </c>
      <c r="BS73" s="460">
        <v>0</v>
      </c>
      <c r="BT73" s="460">
        <v>0</v>
      </c>
      <c r="BU73" s="460">
        <v>0</v>
      </c>
      <c r="BV73" s="460">
        <v>0</v>
      </c>
      <c r="BW73" s="460">
        <v>0</v>
      </c>
      <c r="BX73" s="460">
        <v>0</v>
      </c>
      <c r="BY73" s="460">
        <v>0</v>
      </c>
      <c r="BZ73" s="460">
        <v>0</v>
      </c>
      <c r="CA73" s="460" t="e">
        <v>#N/A</v>
      </c>
      <c r="CB73" s="460" t="e">
        <v>#N/A</v>
      </c>
      <c r="CC73" s="460" t="e">
        <v>#N/A</v>
      </c>
    </row>
    <row r="74" spans="1:81" ht="12.75" customHeight="1">
      <c r="A74" s="458">
        <v>69</v>
      </c>
      <c r="B74" s="458" t="str">
        <v>60Y</v>
      </c>
      <c r="C74" s="262">
        <f>'eur disaggregated'!U85</f>
        <v>0</v>
      </c>
      <c r="D74" s="111" t="str">
        <f t="shared" si="4"/>
        <v>720M</v>
      </c>
      <c r="E74" s="441">
        <f>BktEur6mPL!E74</f>
        <v>42696</v>
      </c>
      <c r="F74" s="441">
        <f>BktEur6mPL!F74</f>
        <v>64612</v>
      </c>
      <c r="G74" s="462">
        <f t="shared" si="6"/>
        <v>1.076E-2</v>
      </c>
      <c r="H74" s="453">
        <f>BktEur6mPL!H74</f>
        <v>1.0760000000000001</v>
      </c>
      <c r="I74" s="481"/>
      <c r="J74" s="481"/>
      <c r="K74" s="482"/>
      <c r="M74" s="481"/>
      <c r="N74" s="481"/>
      <c r="P74" s="106" t="b">
        <f t="shared" si="7"/>
        <v>0</v>
      </c>
      <c r="Q74" s="483"/>
      <c r="R74" s="483"/>
      <c r="S74" s="483"/>
      <c r="T74" s="483"/>
      <c r="U74" s="483"/>
      <c r="V74" s="483"/>
      <c r="W74" s="483"/>
      <c r="X74" s="483"/>
      <c r="Y74" s="483"/>
      <c r="Z74" s="483"/>
      <c r="AA74" s="483"/>
      <c r="AB74" s="483"/>
      <c r="AC74" s="483"/>
      <c r="AD74" s="483"/>
      <c r="AE74" s="483"/>
      <c r="AF74" s="483"/>
      <c r="AG74" s="483"/>
      <c r="AH74" s="483"/>
      <c r="AI74" s="483"/>
      <c r="AJ74" s="483"/>
      <c r="AK74" s="483"/>
      <c r="AL74" s="483"/>
      <c r="AM74" s="483"/>
      <c r="AN74" s="483"/>
      <c r="AO74" s="483"/>
      <c r="AP74" s="483"/>
      <c r="AQ74" s="483"/>
      <c r="AR74" s="483"/>
      <c r="AS74" s="483"/>
      <c r="AT74" s="483"/>
      <c r="AU74" s="483"/>
      <c r="AV74" s="483"/>
      <c r="AW74" s="483"/>
      <c r="AX74" s="483"/>
      <c r="AY74" s="483"/>
      <c r="AZ74" s="483"/>
      <c r="BA74" s="483"/>
      <c r="BB74" s="483"/>
      <c r="BC74" s="483"/>
      <c r="BD74" s="483"/>
      <c r="BE74" s="483"/>
      <c r="BF74" s="483"/>
      <c r="BG74" s="483"/>
      <c r="BH74" s="483"/>
      <c r="BI74" s="483"/>
      <c r="BJ74" s="483"/>
      <c r="BK74" s="483"/>
      <c r="BL74" s="483"/>
      <c r="BM74" s="483"/>
      <c r="BN74" s="483"/>
      <c r="BO74" s="483"/>
      <c r="BP74" s="483"/>
      <c r="BQ74" s="483"/>
      <c r="BR74" s="483"/>
      <c r="BS74" s="483"/>
      <c r="BT74" s="483"/>
      <c r="BU74" s="483"/>
      <c r="BV74" s="483"/>
      <c r="BW74" s="483"/>
      <c r="BX74" s="483"/>
      <c r="BY74" s="483"/>
      <c r="BZ74" s="483"/>
      <c r="CA74" s="483"/>
      <c r="CB74" s="483"/>
      <c r="CC74" s="483"/>
    </row>
    <row r="75" spans="1:81" ht="12.75" customHeight="1">
      <c r="A75" s="335"/>
      <c r="B75" s="335"/>
      <c r="C75" s="335"/>
      <c r="D75" s="335"/>
      <c r="E75" s="335"/>
      <c r="F75" s="335"/>
      <c r="G75" s="335"/>
      <c r="H75" s="335"/>
      <c r="I75" s="335"/>
      <c r="J75" s="335"/>
      <c r="K75" s="335"/>
      <c r="M75" s="335"/>
      <c r="N75" s="335"/>
      <c r="P75" s="335"/>
      <c r="Q75" s="335"/>
      <c r="R75" s="335"/>
      <c r="S75" s="335"/>
      <c r="T75" s="335"/>
      <c r="U75" s="335"/>
      <c r="V75" s="335"/>
      <c r="W75" s="335"/>
      <c r="X75" s="335"/>
      <c r="Y75" s="335"/>
      <c r="Z75" s="335"/>
      <c r="AA75" s="335"/>
      <c r="AB75" s="335"/>
      <c r="AC75" s="335"/>
      <c r="AD75" s="335"/>
      <c r="AE75" s="335"/>
      <c r="AF75" s="335"/>
      <c r="AG75" s="335"/>
      <c r="AH75" s="335"/>
      <c r="AI75" s="335"/>
      <c r="AJ75" s="335"/>
      <c r="AK75" s="335"/>
      <c r="AL75" s="335"/>
      <c r="AM75" s="335"/>
      <c r="AN75" s="335"/>
      <c r="AO75" s="335"/>
      <c r="AP75" s="335"/>
      <c r="AQ75" s="335"/>
      <c r="AR75" s="335"/>
      <c r="AS75" s="335"/>
      <c r="AT75" s="335"/>
      <c r="AU75" s="335"/>
      <c r="AV75" s="335"/>
      <c r="AW75" s="335"/>
      <c r="AX75" s="335"/>
      <c r="AY75" s="335"/>
      <c r="AZ75" s="335"/>
      <c r="BA75" s="335"/>
      <c r="BB75" s="335"/>
      <c r="BC75" s="335"/>
      <c r="BD75" s="335"/>
      <c r="BE75" s="335"/>
      <c r="BF75" s="335"/>
      <c r="BG75" s="335"/>
      <c r="BH75" s="335"/>
      <c r="BI75" s="335"/>
      <c r="BJ75" s="335"/>
      <c r="BK75" s="335"/>
      <c r="BL75" s="335"/>
      <c r="BM75" s="335"/>
      <c r="BN75" s="335"/>
      <c r="BO75" s="335"/>
      <c r="BP75" s="335"/>
      <c r="BQ75" s="335"/>
      <c r="BR75" s="335"/>
      <c r="BS75" s="335"/>
      <c r="BT75" s="335"/>
      <c r="BU75" s="335"/>
      <c r="BV75" s="335"/>
      <c r="BW75" s="335"/>
      <c r="BX75" s="335"/>
      <c r="BY75" s="335"/>
      <c r="BZ75" s="335"/>
      <c r="CA75" s="335"/>
      <c r="CB75" s="335"/>
      <c r="CC75" s="335"/>
    </row>
    <row r="76" spans="1:81" ht="12.75" customHeight="1" thickBot="1">
      <c r="P76" s="99" t="s">
        <v>5155</v>
      </c>
      <c r="Q76" s="465">
        <f>SUM(Q6:Q70)</f>
        <v>0</v>
      </c>
      <c r="R76" s="465">
        <f t="shared" ref="R76:CC76" si="8">SUM(R6:R70)</f>
        <v>0</v>
      </c>
      <c r="S76" s="465">
        <f t="shared" si="8"/>
        <v>234.998829990037</v>
      </c>
      <c r="T76" s="465">
        <f t="shared" si="8"/>
        <v>-468.387347944505</v>
      </c>
      <c r="U76" s="465">
        <f t="shared" si="8"/>
        <v>-560.41746517148999</v>
      </c>
      <c r="V76" s="465">
        <f t="shared" si="8"/>
        <v>-194.69120486839901</v>
      </c>
      <c r="W76" s="465">
        <f t="shared" si="8"/>
        <v>8506.3394532350667</v>
      </c>
      <c r="X76" s="465">
        <f t="shared" si="8"/>
        <v>5744.7634278994319</v>
      </c>
      <c r="Y76" s="465">
        <f t="shared" si="8"/>
        <v>-2921.6673616460612</v>
      </c>
      <c r="Z76" s="465">
        <f t="shared" si="8"/>
        <v>-263.74833086561466</v>
      </c>
      <c r="AA76" s="465">
        <f t="shared" si="8"/>
        <v>-21220.722159092442</v>
      </c>
      <c r="AB76" s="465">
        <f t="shared" si="8"/>
        <v>-12403.997784182295</v>
      </c>
      <c r="AC76" s="465">
        <f t="shared" si="8"/>
        <v>2739.965977135249</v>
      </c>
      <c r="AD76" s="465">
        <f t="shared" si="8"/>
        <v>2419.4814809137583</v>
      </c>
      <c r="AE76" s="465">
        <f t="shared" si="8"/>
        <v>6817.6486287466923</v>
      </c>
      <c r="AF76" s="465">
        <f t="shared" si="8"/>
        <v>1026.0607092713253</v>
      </c>
      <c r="AG76" s="465">
        <f t="shared" si="8"/>
        <v>-2050.0359117790058</v>
      </c>
      <c r="AH76" s="465">
        <f t="shared" si="8"/>
        <v>1435.3203779988235</v>
      </c>
      <c r="AI76" s="465">
        <f t="shared" si="8"/>
        <v>-11515.239777002642</v>
      </c>
      <c r="AJ76" s="465">
        <f t="shared" si="8"/>
        <v>-705.59290573388421</v>
      </c>
      <c r="AK76" s="465">
        <f t="shared" si="8"/>
        <v>-3452.1194427345145</v>
      </c>
      <c r="AL76" s="465">
        <f t="shared" si="8"/>
        <v>-10775.919297537008</v>
      </c>
      <c r="AM76" s="465">
        <f t="shared" si="8"/>
        <v>8776.2392683427679</v>
      </c>
      <c r="AN76" s="465">
        <f t="shared" si="8"/>
        <v>14470.529244636362</v>
      </c>
      <c r="AO76" s="465">
        <f t="shared" si="8"/>
        <v>-11990.311398667554</v>
      </c>
      <c r="AP76" s="465">
        <f t="shared" si="8"/>
        <v>-2088.2323293426161</v>
      </c>
      <c r="AQ76" s="465">
        <f t="shared" si="8"/>
        <v>-3439.8832946793395</v>
      </c>
      <c r="AR76" s="465">
        <f t="shared" si="8"/>
        <v>-10431.530819435644</v>
      </c>
      <c r="AS76" s="465">
        <f t="shared" si="8"/>
        <v>4851.1808839532823</v>
      </c>
      <c r="AT76" s="465">
        <f t="shared" si="8"/>
        <v>1547.5278953858669</v>
      </c>
      <c r="AU76" s="465">
        <f t="shared" si="8"/>
        <v>15339.326027818999</v>
      </c>
      <c r="AV76" s="465">
        <f t="shared" si="8"/>
        <v>-1738.4900660464</v>
      </c>
      <c r="AW76" s="465">
        <f t="shared" si="8"/>
        <v>-3531.8524247124701</v>
      </c>
      <c r="AX76" s="465">
        <f t="shared" si="8"/>
        <v>-11659.5805942754</v>
      </c>
      <c r="AY76" s="465">
        <f t="shared" si="8"/>
        <v>12259.0319106268</v>
      </c>
      <c r="AZ76" s="465">
        <f t="shared" si="8"/>
        <v>-7650.3760629800699</v>
      </c>
      <c r="BA76" s="465">
        <f t="shared" si="8"/>
        <v>57991.350881979699</v>
      </c>
      <c r="BB76" s="465">
        <f t="shared" si="8"/>
        <v>-21826.042415834399</v>
      </c>
      <c r="BC76" s="465">
        <f t="shared" si="8"/>
        <v>-70962.796994167802</v>
      </c>
      <c r="BD76" s="465">
        <f t="shared" si="8"/>
        <v>24599.672575668701</v>
      </c>
      <c r="BE76" s="465">
        <f t="shared" si="8"/>
        <v>23645.940083761601</v>
      </c>
      <c r="BF76" s="465">
        <f t="shared" si="8"/>
        <v>98.072987599063097</v>
      </c>
      <c r="BG76" s="465">
        <f t="shared" si="8"/>
        <v>30012.796312491701</v>
      </c>
      <c r="BH76" s="465">
        <f t="shared" si="8"/>
        <v>6329.1737197025996</v>
      </c>
      <c r="BI76" s="465">
        <f t="shared" si="8"/>
        <v>-2158.0673765025999</v>
      </c>
      <c r="BJ76" s="465">
        <f t="shared" si="8"/>
        <v>84610.274432095102</v>
      </c>
      <c r="BK76" s="465">
        <f t="shared" si="8"/>
        <v>-297245.53649835603</v>
      </c>
      <c r="BL76" s="465">
        <f t="shared" si="8"/>
        <v>24403.592130513302</v>
      </c>
      <c r="BM76" s="465">
        <f t="shared" si="8"/>
        <v>71238.179029862993</v>
      </c>
      <c r="BN76" s="465">
        <f t="shared" si="8"/>
        <v>67896.723439502195</v>
      </c>
      <c r="BO76" s="465">
        <f t="shared" si="8"/>
        <v>6673.03720156701</v>
      </c>
      <c r="BP76" s="465">
        <f t="shared" si="8"/>
        <v>18734.066043765899</v>
      </c>
      <c r="BQ76" s="465">
        <f t="shared" si="8"/>
        <v>-17391.233549790399</v>
      </c>
      <c r="BR76" s="465">
        <f t="shared" si="8"/>
        <v>2970.4112254963302</v>
      </c>
      <c r="BS76" s="465">
        <f t="shared" si="8"/>
        <v>980.67614071042703</v>
      </c>
      <c r="BT76" s="465">
        <f t="shared" si="8"/>
        <v>1040.8157529548801</v>
      </c>
      <c r="BU76" s="465">
        <f t="shared" si="8"/>
        <v>1170.0179139389199</v>
      </c>
      <c r="BV76" s="465">
        <f t="shared" si="8"/>
        <v>2775.0904395196194</v>
      </c>
      <c r="BW76" s="465">
        <f t="shared" si="8"/>
        <v>501.8908150693116</v>
      </c>
      <c r="BX76" s="465">
        <f t="shared" si="8"/>
        <v>3.2569950548293231E-9</v>
      </c>
      <c r="BY76" s="465">
        <f t="shared" si="8"/>
        <v>0</v>
      </c>
      <c r="BZ76" s="465">
        <f t="shared" si="8"/>
        <v>0</v>
      </c>
      <c r="CA76" s="465" t="e">
        <f t="shared" si="8"/>
        <v>#N/A</v>
      </c>
      <c r="CB76" s="465" t="e">
        <f t="shared" si="8"/>
        <v>#N/A</v>
      </c>
      <c r="CC76" s="465" t="e">
        <f t="shared" si="8"/>
        <v>#N/A</v>
      </c>
    </row>
    <row r="77" spans="1:81" ht="45" customHeight="1" thickBot="1">
      <c r="B77" s="478" t="s">
        <v>5146</v>
      </c>
      <c r="C77" s="477">
        <f>SUM(C6:INDEX(C6:C70,COUNT(C6:C70)))</f>
        <v>-16806.277571191491</v>
      </c>
      <c r="N77" s="477">
        <f>SUM(N6:INDEX(N6:N70,COUNT(N6:N70)))</f>
        <v>-16806.277571191491</v>
      </c>
    </row>
    <row r="80" spans="1:81" ht="12.75" customHeight="1">
      <c r="H80" s="52"/>
    </row>
  </sheetData>
  <mergeCells count="4">
    <mergeCell ref="B3:K3"/>
    <mergeCell ref="B4:H4"/>
    <mergeCell ref="I4:K4"/>
    <mergeCell ref="N4:N5"/>
  </mergeCells>
  <conditionalFormatting sqref="P6:CC70">
    <cfRule type="expression" dxfId="14" priority="1">
      <formula>OR(LEN($I6)=0,LEN(P$4)=0)</formula>
    </cfRule>
  </conditionalFormatting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tabColor theme="3" tint="0.59999389629810485"/>
  </sheetPr>
  <dimension ref="A1:CC79"/>
  <sheetViews>
    <sheetView showGridLines="0" workbookViewId="0">
      <selection activeCell="H6" sqref="H6:H73"/>
    </sheetView>
  </sheetViews>
  <sheetFormatPr defaultRowHeight="12.75" customHeight="1" outlineLevelCol="1"/>
  <cols>
    <col min="1" max="1" width="2.7109375" style="414" customWidth="1"/>
    <col min="2" max="2" width="11.5703125" style="414" customWidth="1"/>
    <col min="3" max="3" width="15.5703125" style="414" bestFit="1" customWidth="1"/>
    <col min="4" max="4" width="10.85546875" style="414" hidden="1" customWidth="1" outlineLevel="1"/>
    <col min="5" max="5" width="12.28515625" style="414" hidden="1" customWidth="1" outlineLevel="1"/>
    <col min="6" max="6" width="9.42578125" style="414" hidden="1" customWidth="1" outlineLevel="1"/>
    <col min="7" max="7" width="13.28515625" style="414" hidden="1" customWidth="1" outlineLevel="1"/>
    <col min="8" max="8" width="9.85546875" style="414" hidden="1" customWidth="1" outlineLevel="1"/>
    <col min="9" max="9" width="10.140625" style="414" hidden="1" customWidth="1" outlineLevel="1"/>
    <col min="10" max="10" width="9.140625" style="414" hidden="1" customWidth="1" outlineLevel="1"/>
    <col min="11" max="11" width="11.28515625" style="414" hidden="1" customWidth="1" outlineLevel="1"/>
    <col min="12" max="12" width="2.7109375" style="414" customWidth="1" collapsed="1"/>
    <col min="13" max="13" width="5.28515625" style="414" customWidth="1"/>
    <col min="14" max="14" width="15.5703125" style="414" bestFit="1" customWidth="1"/>
    <col min="15" max="15" width="2.7109375" style="414" customWidth="1"/>
    <col min="16" max="16" width="8.42578125" style="414" bestFit="1" customWidth="1"/>
    <col min="17" max="25" width="8.7109375" style="414" customWidth="1"/>
    <col min="26" max="27" width="9.140625" style="414" bestFit="1" customWidth="1"/>
    <col min="28" max="30" width="8.7109375" style="414" customWidth="1"/>
    <col min="31" max="31" width="9.28515625" style="414" bestFit="1" customWidth="1"/>
    <col min="32" max="32" width="8.7109375" style="414" customWidth="1"/>
    <col min="33" max="34" width="9.28515625" style="414" bestFit="1" customWidth="1"/>
    <col min="35" max="35" width="9.5703125" style="414" bestFit="1" customWidth="1"/>
    <col min="36" max="37" width="9.28515625" style="414" bestFit="1" customWidth="1"/>
    <col min="38" max="38" width="9.140625" style="414" bestFit="1" customWidth="1"/>
    <col min="39" max="39" width="9.28515625" style="414" bestFit="1" customWidth="1"/>
    <col min="40" max="42" width="10" style="414" bestFit="1" customWidth="1"/>
    <col min="43" max="44" width="8.7109375" style="414" customWidth="1"/>
    <col min="45" max="45" width="9.7109375" style="414" bestFit="1" customWidth="1"/>
    <col min="46" max="46" width="10.85546875" style="414" bestFit="1" customWidth="1"/>
    <col min="47" max="47" width="10" style="414" bestFit="1" customWidth="1"/>
    <col min="48" max="48" width="10.140625" style="414" bestFit="1" customWidth="1"/>
    <col min="49" max="49" width="9.7109375" style="414" bestFit="1" customWidth="1"/>
    <col min="50" max="50" width="10" style="414" bestFit="1" customWidth="1"/>
    <col min="51" max="51" width="11.28515625" style="414" bestFit="1" customWidth="1"/>
    <col min="52" max="52" width="9.5703125" style="414" bestFit="1" customWidth="1"/>
    <col min="53" max="53" width="9.28515625" style="414" bestFit="1" customWidth="1"/>
    <col min="54" max="56" width="11.28515625" style="414" bestFit="1" customWidth="1"/>
    <col min="57" max="57" width="10" style="414" bestFit="1" customWidth="1"/>
    <col min="58" max="58" width="10.85546875" style="414" bestFit="1" customWidth="1"/>
    <col min="59" max="59" width="9.7109375" style="414" bestFit="1" customWidth="1"/>
    <col min="60" max="60" width="11.28515625" style="414" bestFit="1" customWidth="1"/>
    <col min="61" max="61" width="10.85546875" style="414" bestFit="1" customWidth="1"/>
    <col min="62" max="63" width="11.28515625" style="414" bestFit="1" customWidth="1"/>
    <col min="64" max="64" width="10.85546875" style="414" bestFit="1" customWidth="1"/>
    <col min="65" max="67" width="11.28515625" style="414" bestFit="1" customWidth="1"/>
    <col min="68" max="68" width="9.5703125" style="414" bestFit="1" customWidth="1"/>
    <col min="69" max="86" width="8.7109375" style="414" customWidth="1"/>
    <col min="87" max="257" width="9.140625" style="414"/>
    <col min="258" max="258" width="2.7109375" style="414" customWidth="1"/>
    <col min="259" max="260" width="11.5703125" style="414" customWidth="1"/>
    <col min="261" max="261" width="7.28515625" style="414" customWidth="1"/>
    <col min="262" max="262" width="9.85546875" style="414" customWidth="1"/>
    <col min="263" max="263" width="10.140625" style="414" customWidth="1"/>
    <col min="264" max="264" width="11.28515625" style="414" customWidth="1"/>
    <col min="265" max="265" width="2.7109375" style="414" customWidth="1"/>
    <col min="266" max="266" width="9.42578125" style="414" customWidth="1"/>
    <col min="267" max="267" width="2.7109375" style="414" customWidth="1"/>
    <col min="268" max="271" width="0" style="414" hidden="1" customWidth="1"/>
    <col min="272" max="272" width="10" style="414" customWidth="1"/>
    <col min="273" max="342" width="6.7109375" style="414" customWidth="1"/>
    <col min="343" max="513" width="9.140625" style="414"/>
    <col min="514" max="514" width="2.7109375" style="414" customWidth="1"/>
    <col min="515" max="516" width="11.5703125" style="414" customWidth="1"/>
    <col min="517" max="517" width="7.28515625" style="414" customWidth="1"/>
    <col min="518" max="518" width="9.85546875" style="414" customWidth="1"/>
    <col min="519" max="519" width="10.140625" style="414" customWidth="1"/>
    <col min="520" max="520" width="11.28515625" style="414" customWidth="1"/>
    <col min="521" max="521" width="2.7109375" style="414" customWidth="1"/>
    <col min="522" max="522" width="9.42578125" style="414" customWidth="1"/>
    <col min="523" max="523" width="2.7109375" style="414" customWidth="1"/>
    <col min="524" max="527" width="0" style="414" hidden="1" customWidth="1"/>
    <col min="528" max="528" width="10" style="414" customWidth="1"/>
    <col min="529" max="598" width="6.7109375" style="414" customWidth="1"/>
    <col min="599" max="769" width="9.140625" style="414"/>
    <col min="770" max="770" width="2.7109375" style="414" customWidth="1"/>
    <col min="771" max="772" width="11.5703125" style="414" customWidth="1"/>
    <col min="773" max="773" width="7.28515625" style="414" customWidth="1"/>
    <col min="774" max="774" width="9.85546875" style="414" customWidth="1"/>
    <col min="775" max="775" width="10.140625" style="414" customWidth="1"/>
    <col min="776" max="776" width="11.28515625" style="414" customWidth="1"/>
    <col min="777" max="777" width="2.7109375" style="414" customWidth="1"/>
    <col min="778" max="778" width="9.42578125" style="414" customWidth="1"/>
    <col min="779" max="779" width="2.7109375" style="414" customWidth="1"/>
    <col min="780" max="783" width="0" style="414" hidden="1" customWidth="1"/>
    <col min="784" max="784" width="10" style="414" customWidth="1"/>
    <col min="785" max="854" width="6.7109375" style="414" customWidth="1"/>
    <col min="855" max="1025" width="9.140625" style="414"/>
    <col min="1026" max="1026" width="2.7109375" style="414" customWidth="1"/>
    <col min="1027" max="1028" width="11.5703125" style="414" customWidth="1"/>
    <col min="1029" max="1029" width="7.28515625" style="414" customWidth="1"/>
    <col min="1030" max="1030" width="9.85546875" style="414" customWidth="1"/>
    <col min="1031" max="1031" width="10.140625" style="414" customWidth="1"/>
    <col min="1032" max="1032" width="11.28515625" style="414" customWidth="1"/>
    <col min="1033" max="1033" width="2.7109375" style="414" customWidth="1"/>
    <col min="1034" max="1034" width="9.42578125" style="414" customWidth="1"/>
    <col min="1035" max="1035" width="2.7109375" style="414" customWidth="1"/>
    <col min="1036" max="1039" width="0" style="414" hidden="1" customWidth="1"/>
    <col min="1040" max="1040" width="10" style="414" customWidth="1"/>
    <col min="1041" max="1110" width="6.7109375" style="414" customWidth="1"/>
    <col min="1111" max="1281" width="9.140625" style="414"/>
    <col min="1282" max="1282" width="2.7109375" style="414" customWidth="1"/>
    <col min="1283" max="1284" width="11.5703125" style="414" customWidth="1"/>
    <col min="1285" max="1285" width="7.28515625" style="414" customWidth="1"/>
    <col min="1286" max="1286" width="9.85546875" style="414" customWidth="1"/>
    <col min="1287" max="1287" width="10.140625" style="414" customWidth="1"/>
    <col min="1288" max="1288" width="11.28515625" style="414" customWidth="1"/>
    <col min="1289" max="1289" width="2.7109375" style="414" customWidth="1"/>
    <col min="1290" max="1290" width="9.42578125" style="414" customWidth="1"/>
    <col min="1291" max="1291" width="2.7109375" style="414" customWidth="1"/>
    <col min="1292" max="1295" width="0" style="414" hidden="1" customWidth="1"/>
    <col min="1296" max="1296" width="10" style="414" customWidth="1"/>
    <col min="1297" max="1366" width="6.7109375" style="414" customWidth="1"/>
    <col min="1367" max="1537" width="9.140625" style="414"/>
    <col min="1538" max="1538" width="2.7109375" style="414" customWidth="1"/>
    <col min="1539" max="1540" width="11.5703125" style="414" customWidth="1"/>
    <col min="1541" max="1541" width="7.28515625" style="414" customWidth="1"/>
    <col min="1542" max="1542" width="9.85546875" style="414" customWidth="1"/>
    <col min="1543" max="1543" width="10.140625" style="414" customWidth="1"/>
    <col min="1544" max="1544" width="11.28515625" style="414" customWidth="1"/>
    <col min="1545" max="1545" width="2.7109375" style="414" customWidth="1"/>
    <col min="1546" max="1546" width="9.42578125" style="414" customWidth="1"/>
    <col min="1547" max="1547" width="2.7109375" style="414" customWidth="1"/>
    <col min="1548" max="1551" width="0" style="414" hidden="1" customWidth="1"/>
    <col min="1552" max="1552" width="10" style="414" customWidth="1"/>
    <col min="1553" max="1622" width="6.7109375" style="414" customWidth="1"/>
    <col min="1623" max="1793" width="9.140625" style="414"/>
    <col min="1794" max="1794" width="2.7109375" style="414" customWidth="1"/>
    <col min="1795" max="1796" width="11.5703125" style="414" customWidth="1"/>
    <col min="1797" max="1797" width="7.28515625" style="414" customWidth="1"/>
    <col min="1798" max="1798" width="9.85546875" style="414" customWidth="1"/>
    <col min="1799" max="1799" width="10.140625" style="414" customWidth="1"/>
    <col min="1800" max="1800" width="11.28515625" style="414" customWidth="1"/>
    <col min="1801" max="1801" width="2.7109375" style="414" customWidth="1"/>
    <col min="1802" max="1802" width="9.42578125" style="414" customWidth="1"/>
    <col min="1803" max="1803" width="2.7109375" style="414" customWidth="1"/>
    <col min="1804" max="1807" width="0" style="414" hidden="1" customWidth="1"/>
    <col min="1808" max="1808" width="10" style="414" customWidth="1"/>
    <col min="1809" max="1878" width="6.7109375" style="414" customWidth="1"/>
    <col min="1879" max="2049" width="9.140625" style="414"/>
    <col min="2050" max="2050" width="2.7109375" style="414" customWidth="1"/>
    <col min="2051" max="2052" width="11.5703125" style="414" customWidth="1"/>
    <col min="2053" max="2053" width="7.28515625" style="414" customWidth="1"/>
    <col min="2054" max="2054" width="9.85546875" style="414" customWidth="1"/>
    <col min="2055" max="2055" width="10.140625" style="414" customWidth="1"/>
    <col min="2056" max="2056" width="11.28515625" style="414" customWidth="1"/>
    <col min="2057" max="2057" width="2.7109375" style="414" customWidth="1"/>
    <col min="2058" max="2058" width="9.42578125" style="414" customWidth="1"/>
    <col min="2059" max="2059" width="2.7109375" style="414" customWidth="1"/>
    <col min="2060" max="2063" width="0" style="414" hidden="1" customWidth="1"/>
    <col min="2064" max="2064" width="10" style="414" customWidth="1"/>
    <col min="2065" max="2134" width="6.7109375" style="414" customWidth="1"/>
    <col min="2135" max="2305" width="9.140625" style="414"/>
    <col min="2306" max="2306" width="2.7109375" style="414" customWidth="1"/>
    <col min="2307" max="2308" width="11.5703125" style="414" customWidth="1"/>
    <col min="2309" max="2309" width="7.28515625" style="414" customWidth="1"/>
    <col min="2310" max="2310" width="9.85546875" style="414" customWidth="1"/>
    <col min="2311" max="2311" width="10.140625" style="414" customWidth="1"/>
    <col min="2312" max="2312" width="11.28515625" style="414" customWidth="1"/>
    <col min="2313" max="2313" width="2.7109375" style="414" customWidth="1"/>
    <col min="2314" max="2314" width="9.42578125" style="414" customWidth="1"/>
    <col min="2315" max="2315" width="2.7109375" style="414" customWidth="1"/>
    <col min="2316" max="2319" width="0" style="414" hidden="1" customWidth="1"/>
    <col min="2320" max="2320" width="10" style="414" customWidth="1"/>
    <col min="2321" max="2390" width="6.7109375" style="414" customWidth="1"/>
    <col min="2391" max="2561" width="9.140625" style="414"/>
    <col min="2562" max="2562" width="2.7109375" style="414" customWidth="1"/>
    <col min="2563" max="2564" width="11.5703125" style="414" customWidth="1"/>
    <col min="2565" max="2565" width="7.28515625" style="414" customWidth="1"/>
    <col min="2566" max="2566" width="9.85546875" style="414" customWidth="1"/>
    <col min="2567" max="2567" width="10.140625" style="414" customWidth="1"/>
    <col min="2568" max="2568" width="11.28515625" style="414" customWidth="1"/>
    <col min="2569" max="2569" width="2.7109375" style="414" customWidth="1"/>
    <col min="2570" max="2570" width="9.42578125" style="414" customWidth="1"/>
    <col min="2571" max="2571" width="2.7109375" style="414" customWidth="1"/>
    <col min="2572" max="2575" width="0" style="414" hidden="1" customWidth="1"/>
    <col min="2576" max="2576" width="10" style="414" customWidth="1"/>
    <col min="2577" max="2646" width="6.7109375" style="414" customWidth="1"/>
    <col min="2647" max="2817" width="9.140625" style="414"/>
    <col min="2818" max="2818" width="2.7109375" style="414" customWidth="1"/>
    <col min="2819" max="2820" width="11.5703125" style="414" customWidth="1"/>
    <col min="2821" max="2821" width="7.28515625" style="414" customWidth="1"/>
    <col min="2822" max="2822" width="9.85546875" style="414" customWidth="1"/>
    <col min="2823" max="2823" width="10.140625" style="414" customWidth="1"/>
    <col min="2824" max="2824" width="11.28515625" style="414" customWidth="1"/>
    <col min="2825" max="2825" width="2.7109375" style="414" customWidth="1"/>
    <col min="2826" max="2826" width="9.42578125" style="414" customWidth="1"/>
    <col min="2827" max="2827" width="2.7109375" style="414" customWidth="1"/>
    <col min="2828" max="2831" width="0" style="414" hidden="1" customWidth="1"/>
    <col min="2832" max="2832" width="10" style="414" customWidth="1"/>
    <col min="2833" max="2902" width="6.7109375" style="414" customWidth="1"/>
    <col min="2903" max="3073" width="9.140625" style="414"/>
    <col min="3074" max="3074" width="2.7109375" style="414" customWidth="1"/>
    <col min="3075" max="3076" width="11.5703125" style="414" customWidth="1"/>
    <col min="3077" max="3077" width="7.28515625" style="414" customWidth="1"/>
    <col min="3078" max="3078" width="9.85546875" style="414" customWidth="1"/>
    <col min="3079" max="3079" width="10.140625" style="414" customWidth="1"/>
    <col min="3080" max="3080" width="11.28515625" style="414" customWidth="1"/>
    <col min="3081" max="3081" width="2.7109375" style="414" customWidth="1"/>
    <col min="3082" max="3082" width="9.42578125" style="414" customWidth="1"/>
    <col min="3083" max="3083" width="2.7109375" style="414" customWidth="1"/>
    <col min="3084" max="3087" width="0" style="414" hidden="1" customWidth="1"/>
    <col min="3088" max="3088" width="10" style="414" customWidth="1"/>
    <col min="3089" max="3158" width="6.7109375" style="414" customWidth="1"/>
    <col min="3159" max="3329" width="9.140625" style="414"/>
    <col min="3330" max="3330" width="2.7109375" style="414" customWidth="1"/>
    <col min="3331" max="3332" width="11.5703125" style="414" customWidth="1"/>
    <col min="3333" max="3333" width="7.28515625" style="414" customWidth="1"/>
    <col min="3334" max="3334" width="9.85546875" style="414" customWidth="1"/>
    <col min="3335" max="3335" width="10.140625" style="414" customWidth="1"/>
    <col min="3336" max="3336" width="11.28515625" style="414" customWidth="1"/>
    <col min="3337" max="3337" width="2.7109375" style="414" customWidth="1"/>
    <col min="3338" max="3338" width="9.42578125" style="414" customWidth="1"/>
    <col min="3339" max="3339" width="2.7109375" style="414" customWidth="1"/>
    <col min="3340" max="3343" width="0" style="414" hidden="1" customWidth="1"/>
    <col min="3344" max="3344" width="10" style="414" customWidth="1"/>
    <col min="3345" max="3414" width="6.7109375" style="414" customWidth="1"/>
    <col min="3415" max="3585" width="9.140625" style="414"/>
    <col min="3586" max="3586" width="2.7109375" style="414" customWidth="1"/>
    <col min="3587" max="3588" width="11.5703125" style="414" customWidth="1"/>
    <col min="3589" max="3589" width="7.28515625" style="414" customWidth="1"/>
    <col min="3590" max="3590" width="9.85546875" style="414" customWidth="1"/>
    <col min="3591" max="3591" width="10.140625" style="414" customWidth="1"/>
    <col min="3592" max="3592" width="11.28515625" style="414" customWidth="1"/>
    <col min="3593" max="3593" width="2.7109375" style="414" customWidth="1"/>
    <col min="3594" max="3594" width="9.42578125" style="414" customWidth="1"/>
    <col min="3595" max="3595" width="2.7109375" style="414" customWidth="1"/>
    <col min="3596" max="3599" width="0" style="414" hidden="1" customWidth="1"/>
    <col min="3600" max="3600" width="10" style="414" customWidth="1"/>
    <col min="3601" max="3670" width="6.7109375" style="414" customWidth="1"/>
    <col min="3671" max="3841" width="9.140625" style="414"/>
    <col min="3842" max="3842" width="2.7109375" style="414" customWidth="1"/>
    <col min="3843" max="3844" width="11.5703125" style="414" customWidth="1"/>
    <col min="3845" max="3845" width="7.28515625" style="414" customWidth="1"/>
    <col min="3846" max="3846" width="9.85546875" style="414" customWidth="1"/>
    <col min="3847" max="3847" width="10.140625" style="414" customWidth="1"/>
    <col min="3848" max="3848" width="11.28515625" style="414" customWidth="1"/>
    <col min="3849" max="3849" width="2.7109375" style="414" customWidth="1"/>
    <col min="3850" max="3850" width="9.42578125" style="414" customWidth="1"/>
    <col min="3851" max="3851" width="2.7109375" style="414" customWidth="1"/>
    <col min="3852" max="3855" width="0" style="414" hidden="1" customWidth="1"/>
    <col min="3856" max="3856" width="10" style="414" customWidth="1"/>
    <col min="3857" max="3926" width="6.7109375" style="414" customWidth="1"/>
    <col min="3927" max="4097" width="9.140625" style="414"/>
    <col min="4098" max="4098" width="2.7109375" style="414" customWidth="1"/>
    <col min="4099" max="4100" width="11.5703125" style="414" customWidth="1"/>
    <col min="4101" max="4101" width="7.28515625" style="414" customWidth="1"/>
    <col min="4102" max="4102" width="9.85546875" style="414" customWidth="1"/>
    <col min="4103" max="4103" width="10.140625" style="414" customWidth="1"/>
    <col min="4104" max="4104" width="11.28515625" style="414" customWidth="1"/>
    <col min="4105" max="4105" width="2.7109375" style="414" customWidth="1"/>
    <col min="4106" max="4106" width="9.42578125" style="414" customWidth="1"/>
    <col min="4107" max="4107" width="2.7109375" style="414" customWidth="1"/>
    <col min="4108" max="4111" width="0" style="414" hidden="1" customWidth="1"/>
    <col min="4112" max="4112" width="10" style="414" customWidth="1"/>
    <col min="4113" max="4182" width="6.7109375" style="414" customWidth="1"/>
    <col min="4183" max="4353" width="9.140625" style="414"/>
    <col min="4354" max="4354" width="2.7109375" style="414" customWidth="1"/>
    <col min="4355" max="4356" width="11.5703125" style="414" customWidth="1"/>
    <col min="4357" max="4357" width="7.28515625" style="414" customWidth="1"/>
    <col min="4358" max="4358" width="9.85546875" style="414" customWidth="1"/>
    <col min="4359" max="4359" width="10.140625" style="414" customWidth="1"/>
    <col min="4360" max="4360" width="11.28515625" style="414" customWidth="1"/>
    <col min="4361" max="4361" width="2.7109375" style="414" customWidth="1"/>
    <col min="4362" max="4362" width="9.42578125" style="414" customWidth="1"/>
    <col min="4363" max="4363" width="2.7109375" style="414" customWidth="1"/>
    <col min="4364" max="4367" width="0" style="414" hidden="1" customWidth="1"/>
    <col min="4368" max="4368" width="10" style="414" customWidth="1"/>
    <col min="4369" max="4438" width="6.7109375" style="414" customWidth="1"/>
    <col min="4439" max="4609" width="9.140625" style="414"/>
    <col min="4610" max="4610" width="2.7109375" style="414" customWidth="1"/>
    <col min="4611" max="4612" width="11.5703125" style="414" customWidth="1"/>
    <col min="4613" max="4613" width="7.28515625" style="414" customWidth="1"/>
    <col min="4614" max="4614" width="9.85546875" style="414" customWidth="1"/>
    <col min="4615" max="4615" width="10.140625" style="414" customWidth="1"/>
    <col min="4616" max="4616" width="11.28515625" style="414" customWidth="1"/>
    <col min="4617" max="4617" width="2.7109375" style="414" customWidth="1"/>
    <col min="4618" max="4618" width="9.42578125" style="414" customWidth="1"/>
    <col min="4619" max="4619" width="2.7109375" style="414" customWidth="1"/>
    <col min="4620" max="4623" width="0" style="414" hidden="1" customWidth="1"/>
    <col min="4624" max="4624" width="10" style="414" customWidth="1"/>
    <col min="4625" max="4694" width="6.7109375" style="414" customWidth="1"/>
    <col min="4695" max="4865" width="9.140625" style="414"/>
    <col min="4866" max="4866" width="2.7109375" style="414" customWidth="1"/>
    <col min="4867" max="4868" width="11.5703125" style="414" customWidth="1"/>
    <col min="4869" max="4869" width="7.28515625" style="414" customWidth="1"/>
    <col min="4870" max="4870" width="9.85546875" style="414" customWidth="1"/>
    <col min="4871" max="4871" width="10.140625" style="414" customWidth="1"/>
    <col min="4872" max="4872" width="11.28515625" style="414" customWidth="1"/>
    <col min="4873" max="4873" width="2.7109375" style="414" customWidth="1"/>
    <col min="4874" max="4874" width="9.42578125" style="414" customWidth="1"/>
    <col min="4875" max="4875" width="2.7109375" style="414" customWidth="1"/>
    <col min="4876" max="4879" width="0" style="414" hidden="1" customWidth="1"/>
    <col min="4880" max="4880" width="10" style="414" customWidth="1"/>
    <col min="4881" max="4950" width="6.7109375" style="414" customWidth="1"/>
    <col min="4951" max="5121" width="9.140625" style="414"/>
    <col min="5122" max="5122" width="2.7109375" style="414" customWidth="1"/>
    <col min="5123" max="5124" width="11.5703125" style="414" customWidth="1"/>
    <col min="5125" max="5125" width="7.28515625" style="414" customWidth="1"/>
    <col min="5126" max="5126" width="9.85546875" style="414" customWidth="1"/>
    <col min="5127" max="5127" width="10.140625" style="414" customWidth="1"/>
    <col min="5128" max="5128" width="11.28515625" style="414" customWidth="1"/>
    <col min="5129" max="5129" width="2.7109375" style="414" customWidth="1"/>
    <col min="5130" max="5130" width="9.42578125" style="414" customWidth="1"/>
    <col min="5131" max="5131" width="2.7109375" style="414" customWidth="1"/>
    <col min="5132" max="5135" width="0" style="414" hidden="1" customWidth="1"/>
    <col min="5136" max="5136" width="10" style="414" customWidth="1"/>
    <col min="5137" max="5206" width="6.7109375" style="414" customWidth="1"/>
    <col min="5207" max="5377" width="9.140625" style="414"/>
    <col min="5378" max="5378" width="2.7109375" style="414" customWidth="1"/>
    <col min="5379" max="5380" width="11.5703125" style="414" customWidth="1"/>
    <col min="5381" max="5381" width="7.28515625" style="414" customWidth="1"/>
    <col min="5382" max="5382" width="9.85546875" style="414" customWidth="1"/>
    <col min="5383" max="5383" width="10.140625" style="414" customWidth="1"/>
    <col min="5384" max="5384" width="11.28515625" style="414" customWidth="1"/>
    <col min="5385" max="5385" width="2.7109375" style="414" customWidth="1"/>
    <col min="5386" max="5386" width="9.42578125" style="414" customWidth="1"/>
    <col min="5387" max="5387" width="2.7109375" style="414" customWidth="1"/>
    <col min="5388" max="5391" width="0" style="414" hidden="1" customWidth="1"/>
    <col min="5392" max="5392" width="10" style="414" customWidth="1"/>
    <col min="5393" max="5462" width="6.7109375" style="414" customWidth="1"/>
    <col min="5463" max="5633" width="9.140625" style="414"/>
    <col min="5634" max="5634" width="2.7109375" style="414" customWidth="1"/>
    <col min="5635" max="5636" width="11.5703125" style="414" customWidth="1"/>
    <col min="5637" max="5637" width="7.28515625" style="414" customWidth="1"/>
    <col min="5638" max="5638" width="9.85546875" style="414" customWidth="1"/>
    <col min="5639" max="5639" width="10.140625" style="414" customWidth="1"/>
    <col min="5640" max="5640" width="11.28515625" style="414" customWidth="1"/>
    <col min="5641" max="5641" width="2.7109375" style="414" customWidth="1"/>
    <col min="5642" max="5642" width="9.42578125" style="414" customWidth="1"/>
    <col min="5643" max="5643" width="2.7109375" style="414" customWidth="1"/>
    <col min="5644" max="5647" width="0" style="414" hidden="1" customWidth="1"/>
    <col min="5648" max="5648" width="10" style="414" customWidth="1"/>
    <col min="5649" max="5718" width="6.7109375" style="414" customWidth="1"/>
    <col min="5719" max="5889" width="9.140625" style="414"/>
    <col min="5890" max="5890" width="2.7109375" style="414" customWidth="1"/>
    <col min="5891" max="5892" width="11.5703125" style="414" customWidth="1"/>
    <col min="5893" max="5893" width="7.28515625" style="414" customWidth="1"/>
    <col min="5894" max="5894" width="9.85546875" style="414" customWidth="1"/>
    <col min="5895" max="5895" width="10.140625" style="414" customWidth="1"/>
    <col min="5896" max="5896" width="11.28515625" style="414" customWidth="1"/>
    <col min="5897" max="5897" width="2.7109375" style="414" customWidth="1"/>
    <col min="5898" max="5898" width="9.42578125" style="414" customWidth="1"/>
    <col min="5899" max="5899" width="2.7109375" style="414" customWidth="1"/>
    <col min="5900" max="5903" width="0" style="414" hidden="1" customWidth="1"/>
    <col min="5904" max="5904" width="10" style="414" customWidth="1"/>
    <col min="5905" max="5974" width="6.7109375" style="414" customWidth="1"/>
    <col min="5975" max="6145" width="9.140625" style="414"/>
    <col min="6146" max="6146" width="2.7109375" style="414" customWidth="1"/>
    <col min="6147" max="6148" width="11.5703125" style="414" customWidth="1"/>
    <col min="6149" max="6149" width="7.28515625" style="414" customWidth="1"/>
    <col min="6150" max="6150" width="9.85546875" style="414" customWidth="1"/>
    <col min="6151" max="6151" width="10.140625" style="414" customWidth="1"/>
    <col min="6152" max="6152" width="11.28515625" style="414" customWidth="1"/>
    <col min="6153" max="6153" width="2.7109375" style="414" customWidth="1"/>
    <col min="6154" max="6154" width="9.42578125" style="414" customWidth="1"/>
    <col min="6155" max="6155" width="2.7109375" style="414" customWidth="1"/>
    <col min="6156" max="6159" width="0" style="414" hidden="1" customWidth="1"/>
    <col min="6160" max="6160" width="10" style="414" customWidth="1"/>
    <col min="6161" max="6230" width="6.7109375" style="414" customWidth="1"/>
    <col min="6231" max="6401" width="9.140625" style="414"/>
    <col min="6402" max="6402" width="2.7109375" style="414" customWidth="1"/>
    <col min="6403" max="6404" width="11.5703125" style="414" customWidth="1"/>
    <col min="6405" max="6405" width="7.28515625" style="414" customWidth="1"/>
    <col min="6406" max="6406" width="9.85546875" style="414" customWidth="1"/>
    <col min="6407" max="6407" width="10.140625" style="414" customWidth="1"/>
    <col min="6408" max="6408" width="11.28515625" style="414" customWidth="1"/>
    <col min="6409" max="6409" width="2.7109375" style="414" customWidth="1"/>
    <col min="6410" max="6410" width="9.42578125" style="414" customWidth="1"/>
    <col min="6411" max="6411" width="2.7109375" style="414" customWidth="1"/>
    <col min="6412" max="6415" width="0" style="414" hidden="1" customWidth="1"/>
    <col min="6416" max="6416" width="10" style="414" customWidth="1"/>
    <col min="6417" max="6486" width="6.7109375" style="414" customWidth="1"/>
    <col min="6487" max="6657" width="9.140625" style="414"/>
    <col min="6658" max="6658" width="2.7109375" style="414" customWidth="1"/>
    <col min="6659" max="6660" width="11.5703125" style="414" customWidth="1"/>
    <col min="6661" max="6661" width="7.28515625" style="414" customWidth="1"/>
    <col min="6662" max="6662" width="9.85546875" style="414" customWidth="1"/>
    <col min="6663" max="6663" width="10.140625" style="414" customWidth="1"/>
    <col min="6664" max="6664" width="11.28515625" style="414" customWidth="1"/>
    <col min="6665" max="6665" width="2.7109375" style="414" customWidth="1"/>
    <col min="6666" max="6666" width="9.42578125" style="414" customWidth="1"/>
    <col min="6667" max="6667" width="2.7109375" style="414" customWidth="1"/>
    <col min="6668" max="6671" width="0" style="414" hidden="1" customWidth="1"/>
    <col min="6672" max="6672" width="10" style="414" customWidth="1"/>
    <col min="6673" max="6742" width="6.7109375" style="414" customWidth="1"/>
    <col min="6743" max="6913" width="9.140625" style="414"/>
    <col min="6914" max="6914" width="2.7109375" style="414" customWidth="1"/>
    <col min="6915" max="6916" width="11.5703125" style="414" customWidth="1"/>
    <col min="6917" max="6917" width="7.28515625" style="414" customWidth="1"/>
    <col min="6918" max="6918" width="9.85546875" style="414" customWidth="1"/>
    <col min="6919" max="6919" width="10.140625" style="414" customWidth="1"/>
    <col min="6920" max="6920" width="11.28515625" style="414" customWidth="1"/>
    <col min="6921" max="6921" width="2.7109375" style="414" customWidth="1"/>
    <col min="6922" max="6922" width="9.42578125" style="414" customWidth="1"/>
    <col min="6923" max="6923" width="2.7109375" style="414" customWidth="1"/>
    <col min="6924" max="6927" width="0" style="414" hidden="1" customWidth="1"/>
    <col min="6928" max="6928" width="10" style="414" customWidth="1"/>
    <col min="6929" max="6998" width="6.7109375" style="414" customWidth="1"/>
    <col min="6999" max="7169" width="9.140625" style="414"/>
    <col min="7170" max="7170" width="2.7109375" style="414" customWidth="1"/>
    <col min="7171" max="7172" width="11.5703125" style="414" customWidth="1"/>
    <col min="7173" max="7173" width="7.28515625" style="414" customWidth="1"/>
    <col min="7174" max="7174" width="9.85546875" style="414" customWidth="1"/>
    <col min="7175" max="7175" width="10.140625" style="414" customWidth="1"/>
    <col min="7176" max="7176" width="11.28515625" style="414" customWidth="1"/>
    <col min="7177" max="7177" width="2.7109375" style="414" customWidth="1"/>
    <col min="7178" max="7178" width="9.42578125" style="414" customWidth="1"/>
    <col min="7179" max="7179" width="2.7109375" style="414" customWidth="1"/>
    <col min="7180" max="7183" width="0" style="414" hidden="1" customWidth="1"/>
    <col min="7184" max="7184" width="10" style="414" customWidth="1"/>
    <col min="7185" max="7254" width="6.7109375" style="414" customWidth="1"/>
    <col min="7255" max="7425" width="9.140625" style="414"/>
    <col min="7426" max="7426" width="2.7109375" style="414" customWidth="1"/>
    <col min="7427" max="7428" width="11.5703125" style="414" customWidth="1"/>
    <col min="7429" max="7429" width="7.28515625" style="414" customWidth="1"/>
    <col min="7430" max="7430" width="9.85546875" style="414" customWidth="1"/>
    <col min="7431" max="7431" width="10.140625" style="414" customWidth="1"/>
    <col min="7432" max="7432" width="11.28515625" style="414" customWidth="1"/>
    <col min="7433" max="7433" width="2.7109375" style="414" customWidth="1"/>
    <col min="7434" max="7434" width="9.42578125" style="414" customWidth="1"/>
    <col min="7435" max="7435" width="2.7109375" style="414" customWidth="1"/>
    <col min="7436" max="7439" width="0" style="414" hidden="1" customWidth="1"/>
    <col min="7440" max="7440" width="10" style="414" customWidth="1"/>
    <col min="7441" max="7510" width="6.7109375" style="414" customWidth="1"/>
    <col min="7511" max="7681" width="9.140625" style="414"/>
    <col min="7682" max="7682" width="2.7109375" style="414" customWidth="1"/>
    <col min="7683" max="7684" width="11.5703125" style="414" customWidth="1"/>
    <col min="7685" max="7685" width="7.28515625" style="414" customWidth="1"/>
    <col min="7686" max="7686" width="9.85546875" style="414" customWidth="1"/>
    <col min="7687" max="7687" width="10.140625" style="414" customWidth="1"/>
    <col min="7688" max="7688" width="11.28515625" style="414" customWidth="1"/>
    <col min="7689" max="7689" width="2.7109375" style="414" customWidth="1"/>
    <col min="7690" max="7690" width="9.42578125" style="414" customWidth="1"/>
    <col min="7691" max="7691" width="2.7109375" style="414" customWidth="1"/>
    <col min="7692" max="7695" width="0" style="414" hidden="1" customWidth="1"/>
    <col min="7696" max="7696" width="10" style="414" customWidth="1"/>
    <col min="7697" max="7766" width="6.7109375" style="414" customWidth="1"/>
    <col min="7767" max="7937" width="9.140625" style="414"/>
    <col min="7938" max="7938" width="2.7109375" style="414" customWidth="1"/>
    <col min="7939" max="7940" width="11.5703125" style="414" customWidth="1"/>
    <col min="7941" max="7941" width="7.28515625" style="414" customWidth="1"/>
    <col min="7942" max="7942" width="9.85546875" style="414" customWidth="1"/>
    <col min="7943" max="7943" width="10.140625" style="414" customWidth="1"/>
    <col min="7944" max="7944" width="11.28515625" style="414" customWidth="1"/>
    <col min="7945" max="7945" width="2.7109375" style="414" customWidth="1"/>
    <col min="7946" max="7946" width="9.42578125" style="414" customWidth="1"/>
    <col min="7947" max="7947" width="2.7109375" style="414" customWidth="1"/>
    <col min="7948" max="7951" width="0" style="414" hidden="1" customWidth="1"/>
    <col min="7952" max="7952" width="10" style="414" customWidth="1"/>
    <col min="7953" max="8022" width="6.7109375" style="414" customWidth="1"/>
    <col min="8023" max="8193" width="9.140625" style="414"/>
    <col min="8194" max="8194" width="2.7109375" style="414" customWidth="1"/>
    <col min="8195" max="8196" width="11.5703125" style="414" customWidth="1"/>
    <col min="8197" max="8197" width="7.28515625" style="414" customWidth="1"/>
    <col min="8198" max="8198" width="9.85546875" style="414" customWidth="1"/>
    <col min="8199" max="8199" width="10.140625" style="414" customWidth="1"/>
    <col min="8200" max="8200" width="11.28515625" style="414" customWidth="1"/>
    <col min="8201" max="8201" width="2.7109375" style="414" customWidth="1"/>
    <col min="8202" max="8202" width="9.42578125" style="414" customWidth="1"/>
    <col min="8203" max="8203" width="2.7109375" style="414" customWidth="1"/>
    <col min="8204" max="8207" width="0" style="414" hidden="1" customWidth="1"/>
    <col min="8208" max="8208" width="10" style="414" customWidth="1"/>
    <col min="8209" max="8278" width="6.7109375" style="414" customWidth="1"/>
    <col min="8279" max="8449" width="9.140625" style="414"/>
    <col min="8450" max="8450" width="2.7109375" style="414" customWidth="1"/>
    <col min="8451" max="8452" width="11.5703125" style="414" customWidth="1"/>
    <col min="8453" max="8453" width="7.28515625" style="414" customWidth="1"/>
    <col min="8454" max="8454" width="9.85546875" style="414" customWidth="1"/>
    <col min="8455" max="8455" width="10.140625" style="414" customWidth="1"/>
    <col min="8456" max="8456" width="11.28515625" style="414" customWidth="1"/>
    <col min="8457" max="8457" width="2.7109375" style="414" customWidth="1"/>
    <col min="8458" max="8458" width="9.42578125" style="414" customWidth="1"/>
    <col min="8459" max="8459" width="2.7109375" style="414" customWidth="1"/>
    <col min="8460" max="8463" width="0" style="414" hidden="1" customWidth="1"/>
    <col min="8464" max="8464" width="10" style="414" customWidth="1"/>
    <col min="8465" max="8534" width="6.7109375" style="414" customWidth="1"/>
    <col min="8535" max="8705" width="9.140625" style="414"/>
    <col min="8706" max="8706" width="2.7109375" style="414" customWidth="1"/>
    <col min="8707" max="8708" width="11.5703125" style="414" customWidth="1"/>
    <col min="8709" max="8709" width="7.28515625" style="414" customWidth="1"/>
    <col min="8710" max="8710" width="9.85546875" style="414" customWidth="1"/>
    <col min="8711" max="8711" width="10.140625" style="414" customWidth="1"/>
    <col min="8712" max="8712" width="11.28515625" style="414" customWidth="1"/>
    <col min="8713" max="8713" width="2.7109375" style="414" customWidth="1"/>
    <col min="8714" max="8714" width="9.42578125" style="414" customWidth="1"/>
    <col min="8715" max="8715" width="2.7109375" style="414" customWidth="1"/>
    <col min="8716" max="8719" width="0" style="414" hidden="1" customWidth="1"/>
    <col min="8720" max="8720" width="10" style="414" customWidth="1"/>
    <col min="8721" max="8790" width="6.7109375" style="414" customWidth="1"/>
    <col min="8791" max="8961" width="9.140625" style="414"/>
    <col min="8962" max="8962" width="2.7109375" style="414" customWidth="1"/>
    <col min="8963" max="8964" width="11.5703125" style="414" customWidth="1"/>
    <col min="8965" max="8965" width="7.28515625" style="414" customWidth="1"/>
    <col min="8966" max="8966" width="9.85546875" style="414" customWidth="1"/>
    <col min="8967" max="8967" width="10.140625" style="414" customWidth="1"/>
    <col min="8968" max="8968" width="11.28515625" style="414" customWidth="1"/>
    <col min="8969" max="8969" width="2.7109375" style="414" customWidth="1"/>
    <col min="8970" max="8970" width="9.42578125" style="414" customWidth="1"/>
    <col min="8971" max="8971" width="2.7109375" style="414" customWidth="1"/>
    <col min="8972" max="8975" width="0" style="414" hidden="1" customWidth="1"/>
    <col min="8976" max="8976" width="10" style="414" customWidth="1"/>
    <col min="8977" max="9046" width="6.7109375" style="414" customWidth="1"/>
    <col min="9047" max="9217" width="9.140625" style="414"/>
    <col min="9218" max="9218" width="2.7109375" style="414" customWidth="1"/>
    <col min="9219" max="9220" width="11.5703125" style="414" customWidth="1"/>
    <col min="9221" max="9221" width="7.28515625" style="414" customWidth="1"/>
    <col min="9222" max="9222" width="9.85546875" style="414" customWidth="1"/>
    <col min="9223" max="9223" width="10.140625" style="414" customWidth="1"/>
    <col min="9224" max="9224" width="11.28515625" style="414" customWidth="1"/>
    <col min="9225" max="9225" width="2.7109375" style="414" customWidth="1"/>
    <col min="9226" max="9226" width="9.42578125" style="414" customWidth="1"/>
    <col min="9227" max="9227" width="2.7109375" style="414" customWidth="1"/>
    <col min="9228" max="9231" width="0" style="414" hidden="1" customWidth="1"/>
    <col min="9232" max="9232" width="10" style="414" customWidth="1"/>
    <col min="9233" max="9302" width="6.7109375" style="414" customWidth="1"/>
    <col min="9303" max="9473" width="9.140625" style="414"/>
    <col min="9474" max="9474" width="2.7109375" style="414" customWidth="1"/>
    <col min="9475" max="9476" width="11.5703125" style="414" customWidth="1"/>
    <col min="9477" max="9477" width="7.28515625" style="414" customWidth="1"/>
    <col min="9478" max="9478" width="9.85546875" style="414" customWidth="1"/>
    <col min="9479" max="9479" width="10.140625" style="414" customWidth="1"/>
    <col min="9480" max="9480" width="11.28515625" style="414" customWidth="1"/>
    <col min="9481" max="9481" width="2.7109375" style="414" customWidth="1"/>
    <col min="9482" max="9482" width="9.42578125" style="414" customWidth="1"/>
    <col min="9483" max="9483" width="2.7109375" style="414" customWidth="1"/>
    <col min="9484" max="9487" width="0" style="414" hidden="1" customWidth="1"/>
    <col min="9488" max="9488" width="10" style="414" customWidth="1"/>
    <col min="9489" max="9558" width="6.7109375" style="414" customWidth="1"/>
    <col min="9559" max="9729" width="9.140625" style="414"/>
    <col min="9730" max="9730" width="2.7109375" style="414" customWidth="1"/>
    <col min="9731" max="9732" width="11.5703125" style="414" customWidth="1"/>
    <col min="9733" max="9733" width="7.28515625" style="414" customWidth="1"/>
    <col min="9734" max="9734" width="9.85546875" style="414" customWidth="1"/>
    <col min="9735" max="9735" width="10.140625" style="414" customWidth="1"/>
    <col min="9736" max="9736" width="11.28515625" style="414" customWidth="1"/>
    <col min="9737" max="9737" width="2.7109375" style="414" customWidth="1"/>
    <col min="9738" max="9738" width="9.42578125" style="414" customWidth="1"/>
    <col min="9739" max="9739" width="2.7109375" style="414" customWidth="1"/>
    <col min="9740" max="9743" width="0" style="414" hidden="1" customWidth="1"/>
    <col min="9744" max="9744" width="10" style="414" customWidth="1"/>
    <col min="9745" max="9814" width="6.7109375" style="414" customWidth="1"/>
    <col min="9815" max="9985" width="9.140625" style="414"/>
    <col min="9986" max="9986" width="2.7109375" style="414" customWidth="1"/>
    <col min="9987" max="9988" width="11.5703125" style="414" customWidth="1"/>
    <col min="9989" max="9989" width="7.28515625" style="414" customWidth="1"/>
    <col min="9990" max="9990" width="9.85546875" style="414" customWidth="1"/>
    <col min="9991" max="9991" width="10.140625" style="414" customWidth="1"/>
    <col min="9992" max="9992" width="11.28515625" style="414" customWidth="1"/>
    <col min="9993" max="9993" width="2.7109375" style="414" customWidth="1"/>
    <col min="9994" max="9994" width="9.42578125" style="414" customWidth="1"/>
    <col min="9995" max="9995" width="2.7109375" style="414" customWidth="1"/>
    <col min="9996" max="9999" width="0" style="414" hidden="1" customWidth="1"/>
    <col min="10000" max="10000" width="10" style="414" customWidth="1"/>
    <col min="10001" max="10070" width="6.7109375" style="414" customWidth="1"/>
    <col min="10071" max="10241" width="9.140625" style="414"/>
    <col min="10242" max="10242" width="2.7109375" style="414" customWidth="1"/>
    <col min="10243" max="10244" width="11.5703125" style="414" customWidth="1"/>
    <col min="10245" max="10245" width="7.28515625" style="414" customWidth="1"/>
    <col min="10246" max="10246" width="9.85546875" style="414" customWidth="1"/>
    <col min="10247" max="10247" width="10.140625" style="414" customWidth="1"/>
    <col min="10248" max="10248" width="11.28515625" style="414" customWidth="1"/>
    <col min="10249" max="10249" width="2.7109375" style="414" customWidth="1"/>
    <col min="10250" max="10250" width="9.42578125" style="414" customWidth="1"/>
    <col min="10251" max="10251" width="2.7109375" style="414" customWidth="1"/>
    <col min="10252" max="10255" width="0" style="414" hidden="1" customWidth="1"/>
    <col min="10256" max="10256" width="10" style="414" customWidth="1"/>
    <col min="10257" max="10326" width="6.7109375" style="414" customWidth="1"/>
    <col min="10327" max="10497" width="9.140625" style="414"/>
    <col min="10498" max="10498" width="2.7109375" style="414" customWidth="1"/>
    <col min="10499" max="10500" width="11.5703125" style="414" customWidth="1"/>
    <col min="10501" max="10501" width="7.28515625" style="414" customWidth="1"/>
    <col min="10502" max="10502" width="9.85546875" style="414" customWidth="1"/>
    <col min="10503" max="10503" width="10.140625" style="414" customWidth="1"/>
    <col min="10504" max="10504" width="11.28515625" style="414" customWidth="1"/>
    <col min="10505" max="10505" width="2.7109375" style="414" customWidth="1"/>
    <col min="10506" max="10506" width="9.42578125" style="414" customWidth="1"/>
    <col min="10507" max="10507" width="2.7109375" style="414" customWidth="1"/>
    <col min="10508" max="10511" width="0" style="414" hidden="1" customWidth="1"/>
    <col min="10512" max="10512" width="10" style="414" customWidth="1"/>
    <col min="10513" max="10582" width="6.7109375" style="414" customWidth="1"/>
    <col min="10583" max="10753" width="9.140625" style="414"/>
    <col min="10754" max="10754" width="2.7109375" style="414" customWidth="1"/>
    <col min="10755" max="10756" width="11.5703125" style="414" customWidth="1"/>
    <col min="10757" max="10757" width="7.28515625" style="414" customWidth="1"/>
    <col min="10758" max="10758" width="9.85546875" style="414" customWidth="1"/>
    <col min="10759" max="10759" width="10.140625" style="414" customWidth="1"/>
    <col min="10760" max="10760" width="11.28515625" style="414" customWidth="1"/>
    <col min="10761" max="10761" width="2.7109375" style="414" customWidth="1"/>
    <col min="10762" max="10762" width="9.42578125" style="414" customWidth="1"/>
    <col min="10763" max="10763" width="2.7109375" style="414" customWidth="1"/>
    <col min="10764" max="10767" width="0" style="414" hidden="1" customWidth="1"/>
    <col min="10768" max="10768" width="10" style="414" customWidth="1"/>
    <col min="10769" max="10838" width="6.7109375" style="414" customWidth="1"/>
    <col min="10839" max="11009" width="9.140625" style="414"/>
    <col min="11010" max="11010" width="2.7109375" style="414" customWidth="1"/>
    <col min="11011" max="11012" width="11.5703125" style="414" customWidth="1"/>
    <col min="11013" max="11013" width="7.28515625" style="414" customWidth="1"/>
    <col min="11014" max="11014" width="9.85546875" style="414" customWidth="1"/>
    <col min="11015" max="11015" width="10.140625" style="414" customWidth="1"/>
    <col min="11016" max="11016" width="11.28515625" style="414" customWidth="1"/>
    <col min="11017" max="11017" width="2.7109375" style="414" customWidth="1"/>
    <col min="11018" max="11018" width="9.42578125" style="414" customWidth="1"/>
    <col min="11019" max="11019" width="2.7109375" style="414" customWidth="1"/>
    <col min="11020" max="11023" width="0" style="414" hidden="1" customWidth="1"/>
    <col min="11024" max="11024" width="10" style="414" customWidth="1"/>
    <col min="11025" max="11094" width="6.7109375" style="414" customWidth="1"/>
    <col min="11095" max="11265" width="9.140625" style="414"/>
    <col min="11266" max="11266" width="2.7109375" style="414" customWidth="1"/>
    <col min="11267" max="11268" width="11.5703125" style="414" customWidth="1"/>
    <col min="11269" max="11269" width="7.28515625" style="414" customWidth="1"/>
    <col min="11270" max="11270" width="9.85546875" style="414" customWidth="1"/>
    <col min="11271" max="11271" width="10.140625" style="414" customWidth="1"/>
    <col min="11272" max="11272" width="11.28515625" style="414" customWidth="1"/>
    <col min="11273" max="11273" width="2.7109375" style="414" customWidth="1"/>
    <col min="11274" max="11274" width="9.42578125" style="414" customWidth="1"/>
    <col min="11275" max="11275" width="2.7109375" style="414" customWidth="1"/>
    <col min="11276" max="11279" width="0" style="414" hidden="1" customWidth="1"/>
    <col min="11280" max="11280" width="10" style="414" customWidth="1"/>
    <col min="11281" max="11350" width="6.7109375" style="414" customWidth="1"/>
    <col min="11351" max="11521" width="9.140625" style="414"/>
    <col min="11522" max="11522" width="2.7109375" style="414" customWidth="1"/>
    <col min="11523" max="11524" width="11.5703125" style="414" customWidth="1"/>
    <col min="11525" max="11525" width="7.28515625" style="414" customWidth="1"/>
    <col min="11526" max="11526" width="9.85546875" style="414" customWidth="1"/>
    <col min="11527" max="11527" width="10.140625" style="414" customWidth="1"/>
    <col min="11528" max="11528" width="11.28515625" style="414" customWidth="1"/>
    <col min="11529" max="11529" width="2.7109375" style="414" customWidth="1"/>
    <col min="11530" max="11530" width="9.42578125" style="414" customWidth="1"/>
    <col min="11531" max="11531" width="2.7109375" style="414" customWidth="1"/>
    <col min="11532" max="11535" width="0" style="414" hidden="1" customWidth="1"/>
    <col min="11536" max="11536" width="10" style="414" customWidth="1"/>
    <col min="11537" max="11606" width="6.7109375" style="414" customWidth="1"/>
    <col min="11607" max="11777" width="9.140625" style="414"/>
    <col min="11778" max="11778" width="2.7109375" style="414" customWidth="1"/>
    <col min="11779" max="11780" width="11.5703125" style="414" customWidth="1"/>
    <col min="11781" max="11781" width="7.28515625" style="414" customWidth="1"/>
    <col min="11782" max="11782" width="9.85546875" style="414" customWidth="1"/>
    <col min="11783" max="11783" width="10.140625" style="414" customWidth="1"/>
    <col min="11784" max="11784" width="11.28515625" style="414" customWidth="1"/>
    <col min="11785" max="11785" width="2.7109375" style="414" customWidth="1"/>
    <col min="11786" max="11786" width="9.42578125" style="414" customWidth="1"/>
    <col min="11787" max="11787" width="2.7109375" style="414" customWidth="1"/>
    <col min="11788" max="11791" width="0" style="414" hidden="1" customWidth="1"/>
    <col min="11792" max="11792" width="10" style="414" customWidth="1"/>
    <col min="11793" max="11862" width="6.7109375" style="414" customWidth="1"/>
    <col min="11863" max="12033" width="9.140625" style="414"/>
    <col min="12034" max="12034" width="2.7109375" style="414" customWidth="1"/>
    <col min="12035" max="12036" width="11.5703125" style="414" customWidth="1"/>
    <col min="12037" max="12037" width="7.28515625" style="414" customWidth="1"/>
    <col min="12038" max="12038" width="9.85546875" style="414" customWidth="1"/>
    <col min="12039" max="12039" width="10.140625" style="414" customWidth="1"/>
    <col min="12040" max="12040" width="11.28515625" style="414" customWidth="1"/>
    <col min="12041" max="12041" width="2.7109375" style="414" customWidth="1"/>
    <col min="12042" max="12042" width="9.42578125" style="414" customWidth="1"/>
    <col min="12043" max="12043" width="2.7109375" style="414" customWidth="1"/>
    <col min="12044" max="12047" width="0" style="414" hidden="1" customWidth="1"/>
    <col min="12048" max="12048" width="10" style="414" customWidth="1"/>
    <col min="12049" max="12118" width="6.7109375" style="414" customWidth="1"/>
    <col min="12119" max="12289" width="9.140625" style="414"/>
    <col min="12290" max="12290" width="2.7109375" style="414" customWidth="1"/>
    <col min="12291" max="12292" width="11.5703125" style="414" customWidth="1"/>
    <col min="12293" max="12293" width="7.28515625" style="414" customWidth="1"/>
    <col min="12294" max="12294" width="9.85546875" style="414" customWidth="1"/>
    <col min="12295" max="12295" width="10.140625" style="414" customWidth="1"/>
    <col min="12296" max="12296" width="11.28515625" style="414" customWidth="1"/>
    <col min="12297" max="12297" width="2.7109375" style="414" customWidth="1"/>
    <col min="12298" max="12298" width="9.42578125" style="414" customWidth="1"/>
    <col min="12299" max="12299" width="2.7109375" style="414" customWidth="1"/>
    <col min="12300" max="12303" width="0" style="414" hidden="1" customWidth="1"/>
    <col min="12304" max="12304" width="10" style="414" customWidth="1"/>
    <col min="12305" max="12374" width="6.7109375" style="414" customWidth="1"/>
    <col min="12375" max="12545" width="9.140625" style="414"/>
    <col min="12546" max="12546" width="2.7109375" style="414" customWidth="1"/>
    <col min="12547" max="12548" width="11.5703125" style="414" customWidth="1"/>
    <col min="12549" max="12549" width="7.28515625" style="414" customWidth="1"/>
    <col min="12550" max="12550" width="9.85546875" style="414" customWidth="1"/>
    <col min="12551" max="12551" width="10.140625" style="414" customWidth="1"/>
    <col min="12552" max="12552" width="11.28515625" style="414" customWidth="1"/>
    <col min="12553" max="12553" width="2.7109375" style="414" customWidth="1"/>
    <col min="12554" max="12554" width="9.42578125" style="414" customWidth="1"/>
    <col min="12555" max="12555" width="2.7109375" style="414" customWidth="1"/>
    <col min="12556" max="12559" width="0" style="414" hidden="1" customWidth="1"/>
    <col min="12560" max="12560" width="10" style="414" customWidth="1"/>
    <col min="12561" max="12630" width="6.7109375" style="414" customWidth="1"/>
    <col min="12631" max="12801" width="9.140625" style="414"/>
    <col min="12802" max="12802" width="2.7109375" style="414" customWidth="1"/>
    <col min="12803" max="12804" width="11.5703125" style="414" customWidth="1"/>
    <col min="12805" max="12805" width="7.28515625" style="414" customWidth="1"/>
    <col min="12806" max="12806" width="9.85546875" style="414" customWidth="1"/>
    <col min="12807" max="12807" width="10.140625" style="414" customWidth="1"/>
    <col min="12808" max="12808" width="11.28515625" style="414" customWidth="1"/>
    <col min="12809" max="12809" width="2.7109375" style="414" customWidth="1"/>
    <col min="12810" max="12810" width="9.42578125" style="414" customWidth="1"/>
    <col min="12811" max="12811" width="2.7109375" style="414" customWidth="1"/>
    <col min="12812" max="12815" width="0" style="414" hidden="1" customWidth="1"/>
    <col min="12816" max="12816" width="10" style="414" customWidth="1"/>
    <col min="12817" max="12886" width="6.7109375" style="414" customWidth="1"/>
    <col min="12887" max="13057" width="9.140625" style="414"/>
    <col min="13058" max="13058" width="2.7109375" style="414" customWidth="1"/>
    <col min="13059" max="13060" width="11.5703125" style="414" customWidth="1"/>
    <col min="13061" max="13061" width="7.28515625" style="414" customWidth="1"/>
    <col min="13062" max="13062" width="9.85546875" style="414" customWidth="1"/>
    <col min="13063" max="13063" width="10.140625" style="414" customWidth="1"/>
    <col min="13064" max="13064" width="11.28515625" style="414" customWidth="1"/>
    <col min="13065" max="13065" width="2.7109375" style="414" customWidth="1"/>
    <col min="13066" max="13066" width="9.42578125" style="414" customWidth="1"/>
    <col min="13067" max="13067" width="2.7109375" style="414" customWidth="1"/>
    <col min="13068" max="13071" width="0" style="414" hidden="1" customWidth="1"/>
    <col min="13072" max="13072" width="10" style="414" customWidth="1"/>
    <col min="13073" max="13142" width="6.7109375" style="414" customWidth="1"/>
    <col min="13143" max="13313" width="9.140625" style="414"/>
    <col min="13314" max="13314" width="2.7109375" style="414" customWidth="1"/>
    <col min="13315" max="13316" width="11.5703125" style="414" customWidth="1"/>
    <col min="13317" max="13317" width="7.28515625" style="414" customWidth="1"/>
    <col min="13318" max="13318" width="9.85546875" style="414" customWidth="1"/>
    <col min="13319" max="13319" width="10.140625" style="414" customWidth="1"/>
    <col min="13320" max="13320" width="11.28515625" style="414" customWidth="1"/>
    <col min="13321" max="13321" width="2.7109375" style="414" customWidth="1"/>
    <col min="13322" max="13322" width="9.42578125" style="414" customWidth="1"/>
    <col min="13323" max="13323" width="2.7109375" style="414" customWidth="1"/>
    <col min="13324" max="13327" width="0" style="414" hidden="1" customWidth="1"/>
    <col min="13328" max="13328" width="10" style="414" customWidth="1"/>
    <col min="13329" max="13398" width="6.7109375" style="414" customWidth="1"/>
    <col min="13399" max="13569" width="9.140625" style="414"/>
    <col min="13570" max="13570" width="2.7109375" style="414" customWidth="1"/>
    <col min="13571" max="13572" width="11.5703125" style="414" customWidth="1"/>
    <col min="13573" max="13573" width="7.28515625" style="414" customWidth="1"/>
    <col min="13574" max="13574" width="9.85546875" style="414" customWidth="1"/>
    <col min="13575" max="13575" width="10.140625" style="414" customWidth="1"/>
    <col min="13576" max="13576" width="11.28515625" style="414" customWidth="1"/>
    <col min="13577" max="13577" width="2.7109375" style="414" customWidth="1"/>
    <col min="13578" max="13578" width="9.42578125" style="414" customWidth="1"/>
    <col min="13579" max="13579" width="2.7109375" style="414" customWidth="1"/>
    <col min="13580" max="13583" width="0" style="414" hidden="1" customWidth="1"/>
    <col min="13584" max="13584" width="10" style="414" customWidth="1"/>
    <col min="13585" max="13654" width="6.7109375" style="414" customWidth="1"/>
    <col min="13655" max="13825" width="9.140625" style="414"/>
    <col min="13826" max="13826" width="2.7109375" style="414" customWidth="1"/>
    <col min="13827" max="13828" width="11.5703125" style="414" customWidth="1"/>
    <col min="13829" max="13829" width="7.28515625" style="414" customWidth="1"/>
    <col min="13830" max="13830" width="9.85546875" style="414" customWidth="1"/>
    <col min="13831" max="13831" width="10.140625" style="414" customWidth="1"/>
    <col min="13832" max="13832" width="11.28515625" style="414" customWidth="1"/>
    <col min="13833" max="13833" width="2.7109375" style="414" customWidth="1"/>
    <col min="13834" max="13834" width="9.42578125" style="414" customWidth="1"/>
    <col min="13835" max="13835" width="2.7109375" style="414" customWidth="1"/>
    <col min="13836" max="13839" width="0" style="414" hidden="1" customWidth="1"/>
    <col min="13840" max="13840" width="10" style="414" customWidth="1"/>
    <col min="13841" max="13910" width="6.7109375" style="414" customWidth="1"/>
    <col min="13911" max="14081" width="9.140625" style="414"/>
    <col min="14082" max="14082" width="2.7109375" style="414" customWidth="1"/>
    <col min="14083" max="14084" width="11.5703125" style="414" customWidth="1"/>
    <col min="14085" max="14085" width="7.28515625" style="414" customWidth="1"/>
    <col min="14086" max="14086" width="9.85546875" style="414" customWidth="1"/>
    <col min="14087" max="14087" width="10.140625" style="414" customWidth="1"/>
    <col min="14088" max="14088" width="11.28515625" style="414" customWidth="1"/>
    <col min="14089" max="14089" width="2.7109375" style="414" customWidth="1"/>
    <col min="14090" max="14090" width="9.42578125" style="414" customWidth="1"/>
    <col min="14091" max="14091" width="2.7109375" style="414" customWidth="1"/>
    <col min="14092" max="14095" width="0" style="414" hidden="1" customWidth="1"/>
    <col min="14096" max="14096" width="10" style="414" customWidth="1"/>
    <col min="14097" max="14166" width="6.7109375" style="414" customWidth="1"/>
    <col min="14167" max="14337" width="9.140625" style="414"/>
    <col min="14338" max="14338" width="2.7109375" style="414" customWidth="1"/>
    <col min="14339" max="14340" width="11.5703125" style="414" customWidth="1"/>
    <col min="14341" max="14341" width="7.28515625" style="414" customWidth="1"/>
    <col min="14342" max="14342" width="9.85546875" style="414" customWidth="1"/>
    <col min="14343" max="14343" width="10.140625" style="414" customWidth="1"/>
    <col min="14344" max="14344" width="11.28515625" style="414" customWidth="1"/>
    <col min="14345" max="14345" width="2.7109375" style="414" customWidth="1"/>
    <col min="14346" max="14346" width="9.42578125" style="414" customWidth="1"/>
    <col min="14347" max="14347" width="2.7109375" style="414" customWidth="1"/>
    <col min="14348" max="14351" width="0" style="414" hidden="1" customWidth="1"/>
    <col min="14352" max="14352" width="10" style="414" customWidth="1"/>
    <col min="14353" max="14422" width="6.7109375" style="414" customWidth="1"/>
    <col min="14423" max="14593" width="9.140625" style="414"/>
    <col min="14594" max="14594" width="2.7109375" style="414" customWidth="1"/>
    <col min="14595" max="14596" width="11.5703125" style="414" customWidth="1"/>
    <col min="14597" max="14597" width="7.28515625" style="414" customWidth="1"/>
    <col min="14598" max="14598" width="9.85546875" style="414" customWidth="1"/>
    <col min="14599" max="14599" width="10.140625" style="414" customWidth="1"/>
    <col min="14600" max="14600" width="11.28515625" style="414" customWidth="1"/>
    <col min="14601" max="14601" width="2.7109375" style="414" customWidth="1"/>
    <col min="14602" max="14602" width="9.42578125" style="414" customWidth="1"/>
    <col min="14603" max="14603" width="2.7109375" style="414" customWidth="1"/>
    <col min="14604" max="14607" width="0" style="414" hidden="1" customWidth="1"/>
    <col min="14608" max="14608" width="10" style="414" customWidth="1"/>
    <col min="14609" max="14678" width="6.7109375" style="414" customWidth="1"/>
    <col min="14679" max="14849" width="9.140625" style="414"/>
    <col min="14850" max="14850" width="2.7109375" style="414" customWidth="1"/>
    <col min="14851" max="14852" width="11.5703125" style="414" customWidth="1"/>
    <col min="14853" max="14853" width="7.28515625" style="414" customWidth="1"/>
    <col min="14854" max="14854" width="9.85546875" style="414" customWidth="1"/>
    <col min="14855" max="14855" width="10.140625" style="414" customWidth="1"/>
    <col min="14856" max="14856" width="11.28515625" style="414" customWidth="1"/>
    <col min="14857" max="14857" width="2.7109375" style="414" customWidth="1"/>
    <col min="14858" max="14858" width="9.42578125" style="414" customWidth="1"/>
    <col min="14859" max="14859" width="2.7109375" style="414" customWidth="1"/>
    <col min="14860" max="14863" width="0" style="414" hidden="1" customWidth="1"/>
    <col min="14864" max="14864" width="10" style="414" customWidth="1"/>
    <col min="14865" max="14934" width="6.7109375" style="414" customWidth="1"/>
    <col min="14935" max="15105" width="9.140625" style="414"/>
    <col min="15106" max="15106" width="2.7109375" style="414" customWidth="1"/>
    <col min="15107" max="15108" width="11.5703125" style="414" customWidth="1"/>
    <col min="15109" max="15109" width="7.28515625" style="414" customWidth="1"/>
    <col min="15110" max="15110" width="9.85546875" style="414" customWidth="1"/>
    <col min="15111" max="15111" width="10.140625" style="414" customWidth="1"/>
    <col min="15112" max="15112" width="11.28515625" style="414" customWidth="1"/>
    <col min="15113" max="15113" width="2.7109375" style="414" customWidth="1"/>
    <col min="15114" max="15114" width="9.42578125" style="414" customWidth="1"/>
    <col min="15115" max="15115" width="2.7109375" style="414" customWidth="1"/>
    <col min="15116" max="15119" width="0" style="414" hidden="1" customWidth="1"/>
    <col min="15120" max="15120" width="10" style="414" customWidth="1"/>
    <col min="15121" max="15190" width="6.7109375" style="414" customWidth="1"/>
    <col min="15191" max="15361" width="9.140625" style="414"/>
    <col min="15362" max="15362" width="2.7109375" style="414" customWidth="1"/>
    <col min="15363" max="15364" width="11.5703125" style="414" customWidth="1"/>
    <col min="15365" max="15365" width="7.28515625" style="414" customWidth="1"/>
    <col min="15366" max="15366" width="9.85546875" style="414" customWidth="1"/>
    <col min="15367" max="15367" width="10.140625" style="414" customWidth="1"/>
    <col min="15368" max="15368" width="11.28515625" style="414" customWidth="1"/>
    <col min="15369" max="15369" width="2.7109375" style="414" customWidth="1"/>
    <col min="15370" max="15370" width="9.42578125" style="414" customWidth="1"/>
    <col min="15371" max="15371" width="2.7109375" style="414" customWidth="1"/>
    <col min="15372" max="15375" width="0" style="414" hidden="1" customWidth="1"/>
    <col min="15376" max="15376" width="10" style="414" customWidth="1"/>
    <col min="15377" max="15446" width="6.7109375" style="414" customWidth="1"/>
    <col min="15447" max="15617" width="9.140625" style="414"/>
    <col min="15618" max="15618" width="2.7109375" style="414" customWidth="1"/>
    <col min="15619" max="15620" width="11.5703125" style="414" customWidth="1"/>
    <col min="15621" max="15621" width="7.28515625" style="414" customWidth="1"/>
    <col min="15622" max="15622" width="9.85546875" style="414" customWidth="1"/>
    <col min="15623" max="15623" width="10.140625" style="414" customWidth="1"/>
    <col min="15624" max="15624" width="11.28515625" style="414" customWidth="1"/>
    <col min="15625" max="15625" width="2.7109375" style="414" customWidth="1"/>
    <col min="15626" max="15626" width="9.42578125" style="414" customWidth="1"/>
    <col min="15627" max="15627" width="2.7109375" style="414" customWidth="1"/>
    <col min="15628" max="15631" width="0" style="414" hidden="1" customWidth="1"/>
    <col min="15632" max="15632" width="10" style="414" customWidth="1"/>
    <col min="15633" max="15702" width="6.7109375" style="414" customWidth="1"/>
    <col min="15703" max="15873" width="9.140625" style="414"/>
    <col min="15874" max="15874" width="2.7109375" style="414" customWidth="1"/>
    <col min="15875" max="15876" width="11.5703125" style="414" customWidth="1"/>
    <col min="15877" max="15877" width="7.28515625" style="414" customWidth="1"/>
    <col min="15878" max="15878" width="9.85546875" style="414" customWidth="1"/>
    <col min="15879" max="15879" width="10.140625" style="414" customWidth="1"/>
    <col min="15880" max="15880" width="11.28515625" style="414" customWidth="1"/>
    <col min="15881" max="15881" width="2.7109375" style="414" customWidth="1"/>
    <col min="15882" max="15882" width="9.42578125" style="414" customWidth="1"/>
    <col min="15883" max="15883" width="2.7109375" style="414" customWidth="1"/>
    <col min="15884" max="15887" width="0" style="414" hidden="1" customWidth="1"/>
    <col min="15888" max="15888" width="10" style="414" customWidth="1"/>
    <col min="15889" max="15958" width="6.7109375" style="414" customWidth="1"/>
    <col min="15959" max="16129" width="9.140625" style="414"/>
    <col min="16130" max="16130" width="2.7109375" style="414" customWidth="1"/>
    <col min="16131" max="16132" width="11.5703125" style="414" customWidth="1"/>
    <col min="16133" max="16133" width="7.28515625" style="414" customWidth="1"/>
    <col min="16134" max="16134" width="9.85546875" style="414" customWidth="1"/>
    <col min="16135" max="16135" width="10.140625" style="414" customWidth="1"/>
    <col min="16136" max="16136" width="11.28515625" style="414" customWidth="1"/>
    <col min="16137" max="16137" width="2.7109375" style="414" customWidth="1"/>
    <col min="16138" max="16138" width="9.42578125" style="414" customWidth="1"/>
    <col min="16139" max="16139" width="2.7109375" style="414" customWidth="1"/>
    <col min="16140" max="16143" width="0" style="414" hidden="1" customWidth="1"/>
    <col min="16144" max="16144" width="10" style="414" customWidth="1"/>
    <col min="16145" max="16214" width="6.7109375" style="414" customWidth="1"/>
    <col min="16215" max="16384" width="9.140625" style="414"/>
  </cols>
  <sheetData>
    <row r="1" spans="1:81" ht="12.75" customHeight="1">
      <c r="B1" s="95" t="s">
        <v>748</v>
      </c>
      <c r="C1" s="441">
        <f>ROUND(ValueDate,0)</f>
        <v>42696</v>
      </c>
      <c r="D1" s="95" t="s">
        <v>623</v>
      </c>
      <c r="E1" s="441">
        <f>ROUND(today,0)</f>
        <v>42692</v>
      </c>
      <c r="F1" s="95" t="s">
        <v>5149</v>
      </c>
      <c r="G1" s="473" t="s">
        <v>5150</v>
      </c>
      <c r="I1" s="94"/>
      <c r="S1" s="294"/>
      <c r="T1" s="456"/>
      <c r="AO1" s="53"/>
    </row>
    <row r="3" spans="1:81" ht="18">
      <c r="A3" s="108"/>
      <c r="B3" s="587" t="s">
        <v>232</v>
      </c>
      <c r="C3" s="587"/>
      <c r="D3" s="587"/>
      <c r="E3" s="587"/>
      <c r="F3" s="587"/>
      <c r="G3" s="587"/>
      <c r="H3" s="587"/>
      <c r="I3" s="587"/>
      <c r="J3" s="587"/>
      <c r="K3" s="587"/>
      <c r="M3" s="474"/>
      <c r="N3" s="470" t="s">
        <v>239</v>
      </c>
    </row>
    <row r="4" spans="1:81" ht="12.75" customHeight="1">
      <c r="A4" s="108"/>
      <c r="B4" s="588" t="s">
        <v>233</v>
      </c>
      <c r="C4" s="589"/>
      <c r="D4" s="589"/>
      <c r="E4" s="589"/>
      <c r="F4" s="589"/>
      <c r="G4" s="589"/>
      <c r="H4" s="590"/>
      <c r="I4" s="589" t="s">
        <v>234</v>
      </c>
      <c r="J4" s="589"/>
      <c r="K4" s="589"/>
      <c r="M4" s="475"/>
      <c r="N4" s="591" t="s">
        <v>5147</v>
      </c>
      <c r="P4" s="98" t="s">
        <v>235</v>
      </c>
      <c r="Q4" s="99" t="str">
        <f t="array" ref="Q4:CC4">TRANSPOSE(I6:I70&amp;"")</f>
        <v>O/N</v>
      </c>
      <c r="R4" s="99" t="str">
        <v>T/N</v>
      </c>
      <c r="S4" s="99" t="str">
        <v>S/N</v>
      </c>
      <c r="T4" s="99" t="str">
        <v>1W</v>
      </c>
      <c r="U4" s="99" t="str">
        <v>2W</v>
      </c>
      <c r="V4" s="99" t="str">
        <v>3W</v>
      </c>
      <c r="W4" s="99" t="str">
        <v>1M</v>
      </c>
      <c r="X4" s="99" t="str">
        <v>2M</v>
      </c>
      <c r="Y4" s="99" t="str">
        <v>3M</v>
      </c>
      <c r="Z4" s="99" t="str">
        <v>4M</v>
      </c>
      <c r="AA4" s="99" t="str">
        <v>5M</v>
      </c>
      <c r="AB4" s="99" t="str">
        <v>6M</v>
      </c>
      <c r="AC4" s="99" t="str">
        <v>7M</v>
      </c>
      <c r="AD4" s="99" t="str">
        <v>8M</v>
      </c>
      <c r="AE4" s="99" t="str">
        <v>9M</v>
      </c>
      <c r="AF4" s="99" t="str">
        <v>10M</v>
      </c>
      <c r="AG4" s="99" t="str">
        <v>11M</v>
      </c>
      <c r="AH4" s="99" t="str">
        <v>1Y</v>
      </c>
      <c r="AI4" s="99" t="str">
        <v>13M</v>
      </c>
      <c r="AJ4" s="99" t="str">
        <v>14M</v>
      </c>
      <c r="AK4" s="99" t="str">
        <v>15M</v>
      </c>
      <c r="AL4" s="99" t="str">
        <v>16M</v>
      </c>
      <c r="AM4" s="99" t="str">
        <v>17M</v>
      </c>
      <c r="AN4" s="99" t="str">
        <v>18M</v>
      </c>
      <c r="AO4" s="99" t="str">
        <v>19M</v>
      </c>
      <c r="AP4" s="99" t="str">
        <v>20M</v>
      </c>
      <c r="AQ4" s="99" t="str">
        <v>21M</v>
      </c>
      <c r="AR4" s="99" t="str">
        <v>22M</v>
      </c>
      <c r="AS4" s="99" t="str">
        <v>23M</v>
      </c>
      <c r="AT4" s="99" t="str">
        <v>2Y</v>
      </c>
      <c r="AU4" s="99" t="str">
        <v>3Y</v>
      </c>
      <c r="AV4" s="99" t="str">
        <v>4Y</v>
      </c>
      <c r="AW4" s="99" t="str">
        <v>5Y</v>
      </c>
      <c r="AX4" s="99" t="str">
        <v>6Y</v>
      </c>
      <c r="AY4" s="99" t="str">
        <v>7Y</v>
      </c>
      <c r="AZ4" s="99" t="str">
        <v>8Y</v>
      </c>
      <c r="BA4" s="99" t="str">
        <v>9Y</v>
      </c>
      <c r="BB4" s="99" t="str">
        <v>10Y</v>
      </c>
      <c r="BC4" s="99" t="str">
        <v>11Y</v>
      </c>
      <c r="BD4" s="99" t="str">
        <v>12Y</v>
      </c>
      <c r="BE4" s="99" t="str">
        <v>13Y</v>
      </c>
      <c r="BF4" s="99" t="str">
        <v>14Y</v>
      </c>
      <c r="BG4" s="99" t="str">
        <v>15Y</v>
      </c>
      <c r="BH4" s="99" t="str">
        <v>16Y</v>
      </c>
      <c r="BI4" s="99" t="str">
        <v>17Y</v>
      </c>
      <c r="BJ4" s="99" t="str">
        <v>18Y</v>
      </c>
      <c r="BK4" s="99" t="str">
        <v>19Y</v>
      </c>
      <c r="BL4" s="99" t="str">
        <v>20Y</v>
      </c>
      <c r="BM4" s="99" t="str">
        <v>21Y</v>
      </c>
      <c r="BN4" s="99" t="str">
        <v>22Y</v>
      </c>
      <c r="BO4" s="99" t="str">
        <v>23Y</v>
      </c>
      <c r="BP4" s="99" t="str">
        <v>24Y</v>
      </c>
      <c r="BQ4" s="99" t="str">
        <v>25Y</v>
      </c>
      <c r="BR4" s="99" t="str">
        <v>26Y</v>
      </c>
      <c r="BS4" s="99" t="str">
        <v>27Y</v>
      </c>
      <c r="BT4" s="99" t="str">
        <v>28Y</v>
      </c>
      <c r="BU4" s="99" t="str">
        <v>29Y</v>
      </c>
      <c r="BV4" s="99" t="str">
        <v>30Y</v>
      </c>
      <c r="BW4" s="99" t="str">
        <v>35Y</v>
      </c>
      <c r="BX4" s="99" t="str">
        <v>40Y</v>
      </c>
      <c r="BY4" s="99" t="str">
        <v>50Y</v>
      </c>
      <c r="BZ4" s="99" t="str">
        <v>60Y</v>
      </c>
      <c r="CA4" s="99" t="e">
        <v>#N/A</v>
      </c>
      <c r="CB4" s="99" t="e">
        <v>#N/A</v>
      </c>
      <c r="CC4" s="99" t="e">
        <v>#N/A</v>
      </c>
    </row>
    <row r="5" spans="1:81" ht="44.25">
      <c r="A5" s="108" t="s">
        <v>236</v>
      </c>
      <c r="B5" s="263" t="s">
        <v>87</v>
      </c>
      <c r="C5" s="471" t="s">
        <v>159</v>
      </c>
      <c r="D5" s="101" t="s">
        <v>240</v>
      </c>
      <c r="E5" s="101" t="s">
        <v>5144</v>
      </c>
      <c r="F5" s="101" t="s">
        <v>5143</v>
      </c>
      <c r="G5" s="101" t="s">
        <v>5151</v>
      </c>
      <c r="H5" s="101" t="s">
        <v>5145</v>
      </c>
      <c r="I5" s="472" t="s">
        <v>5142</v>
      </c>
      <c r="J5" s="109" t="s">
        <v>240</v>
      </c>
      <c r="K5" s="101" t="s">
        <v>231</v>
      </c>
      <c r="M5" s="476"/>
      <c r="N5" s="591"/>
      <c r="P5" s="469" t="b">
        <v>0</v>
      </c>
      <c r="Q5" s="104">
        <f t="array" ref="Q5:CC5">TRANSPOSE(K6:K70)</f>
        <v>42695</v>
      </c>
      <c r="R5" s="104">
        <v>42696</v>
      </c>
      <c r="S5" s="104">
        <v>42697</v>
      </c>
      <c r="T5" s="104">
        <v>42703</v>
      </c>
      <c r="U5" s="104">
        <v>42710</v>
      </c>
      <c r="V5" s="104">
        <v>42717</v>
      </c>
      <c r="W5" s="104">
        <v>42726</v>
      </c>
      <c r="X5" s="104">
        <v>42758</v>
      </c>
      <c r="Y5" s="104">
        <v>42788</v>
      </c>
      <c r="Z5" s="104">
        <v>42816</v>
      </c>
      <c r="AA5" s="104">
        <v>42849</v>
      </c>
      <c r="AB5" s="104">
        <v>42877</v>
      </c>
      <c r="AC5" s="104">
        <v>42908</v>
      </c>
      <c r="AD5" s="104">
        <v>42940</v>
      </c>
      <c r="AE5" s="104">
        <v>42969</v>
      </c>
      <c r="AF5" s="104">
        <v>43000</v>
      </c>
      <c r="AG5" s="104">
        <v>43031</v>
      </c>
      <c r="AH5" s="104">
        <v>43061</v>
      </c>
      <c r="AI5" s="104">
        <v>43091</v>
      </c>
      <c r="AJ5" s="104">
        <v>43122</v>
      </c>
      <c r="AK5" s="104">
        <v>43153</v>
      </c>
      <c r="AL5" s="104">
        <v>43181</v>
      </c>
      <c r="AM5" s="104">
        <v>43213</v>
      </c>
      <c r="AN5" s="104">
        <v>43242</v>
      </c>
      <c r="AO5" s="104">
        <v>43273</v>
      </c>
      <c r="AP5" s="104">
        <v>43304</v>
      </c>
      <c r="AQ5" s="104">
        <v>43334</v>
      </c>
      <c r="AR5" s="104">
        <v>43367</v>
      </c>
      <c r="AS5" s="104">
        <v>43395</v>
      </c>
      <c r="AT5" s="104">
        <v>43426</v>
      </c>
      <c r="AU5" s="104">
        <v>43791</v>
      </c>
      <c r="AV5" s="104">
        <v>44158</v>
      </c>
      <c r="AW5" s="104">
        <v>44522</v>
      </c>
      <c r="AX5" s="104">
        <v>44887</v>
      </c>
      <c r="AY5" s="104">
        <v>45252</v>
      </c>
      <c r="AZ5" s="104">
        <v>45618</v>
      </c>
      <c r="BA5" s="104">
        <v>45985</v>
      </c>
      <c r="BB5" s="104">
        <v>46349</v>
      </c>
      <c r="BC5" s="104">
        <v>46713</v>
      </c>
      <c r="BD5" s="104">
        <v>47079</v>
      </c>
      <c r="BE5" s="104">
        <v>47444</v>
      </c>
      <c r="BF5" s="104">
        <v>47809</v>
      </c>
      <c r="BG5" s="104">
        <v>48176</v>
      </c>
      <c r="BH5" s="104">
        <v>48540</v>
      </c>
      <c r="BI5" s="104">
        <v>48905</v>
      </c>
      <c r="BJ5" s="104">
        <v>49270</v>
      </c>
      <c r="BK5" s="104">
        <v>49635</v>
      </c>
      <c r="BL5" s="104">
        <v>50003</v>
      </c>
      <c r="BM5" s="104">
        <v>50367</v>
      </c>
      <c r="BN5" s="104">
        <v>50731</v>
      </c>
      <c r="BO5" s="104">
        <v>51096</v>
      </c>
      <c r="BP5" s="104">
        <v>51462</v>
      </c>
      <c r="BQ5" s="104">
        <v>51827</v>
      </c>
      <c r="BR5" s="104">
        <v>52194</v>
      </c>
      <c r="BS5" s="104">
        <v>52558</v>
      </c>
      <c r="BT5" s="104">
        <v>52923</v>
      </c>
      <c r="BU5" s="104">
        <v>53288</v>
      </c>
      <c r="BV5" s="104">
        <v>53653</v>
      </c>
      <c r="BW5" s="104">
        <v>55479</v>
      </c>
      <c r="BX5" s="104">
        <v>57306</v>
      </c>
      <c r="BY5" s="104">
        <v>60958</v>
      </c>
      <c r="BZ5" s="104">
        <v>64612</v>
      </c>
      <c r="CA5" s="104" t="e">
        <v>#NUM!</v>
      </c>
      <c r="CB5" s="104" t="e">
        <v>#NUM!</v>
      </c>
      <c r="CC5" s="104" t="e">
        <v>#NUM!</v>
      </c>
    </row>
    <row r="6" spans="1:81" ht="12.75" customHeight="1">
      <c r="A6" s="105">
        <v>1</v>
      </c>
      <c r="B6" s="457" t="str">
        <f t="array" ref="B6:B73">[0]!Bucket1Y</f>
        <v>S/N</v>
      </c>
      <c r="C6" s="465">
        <f>'eur disaggregated'!AV17</f>
        <v>8.2433400817060267</v>
      </c>
      <c r="D6" s="111" t="s">
        <v>484</v>
      </c>
      <c r="E6" s="441">
        <f>IF(LEN(B6)&lt;4,$C$1, "--")</f>
        <v>42696</v>
      </c>
      <c r="F6" s="441">
        <f>IF(AND(NOT(ISNA(MATCH(RIGHT(B6,2),$I$6:$I$67,0))),LEN(B6)&lt;3,RIGHT(B6,1)="M"), INDEX($K$6:$K$67, MATCH(RIGHT(B6,2),$I$6:$I$67,0)), IF(AND(NOT(ISNA(MATCH((IF(RIGHT(B6,3)="24M","2Y",RIGHT(B6,3))),$I$6:$I$67,0))), LEN(B6)&gt;=3, RIGHT(B6,1)="M"), INDEX($K$6:$K$67, MATCH((IF(RIGHT(B6,3)="24M","2Y",RIGHT(B6,3))),$I$6:$I$67,0)), _xll.qlCalendarAdvance(Calendar,E6,D6)))</f>
        <v>42697</v>
      </c>
      <c r="G6" s="462">
        <f>IF(AND(70&lt;H6, H6&lt;130),(100-H6)/100,H6/100)</f>
        <v>-1.242195E-3</v>
      </c>
      <c r="H6" s="453">
        <v>-0.1242195</v>
      </c>
      <c r="I6" s="107" t="str">
        <f t="array" ref="I6:I70">[0]!BucketOIS</f>
        <v>O/N</v>
      </c>
      <c r="J6" s="441" t="str">
        <f>IF(
      LEN(I6)&gt;0,
      IF(
          (MID(I6,4,1)=" "),#REF!+
          0*TYPE("FUTURE Terzo mercoledì del mese calcolato sulla maturity"),
          IF(
               (LEN(I6)=8),
               DATE("20" &amp; RIGHT(I6,2),MID(I6,4,2),LEFT(I6,2))+0*TYPE("STUB"),
               SimplifyTenor(I6)
          )
      ),
      ""
   )</f>
        <v>1D</v>
      </c>
      <c r="K6" s="448">
        <f>_xll.qlCalendarAdvance("TARGET",EvaluationDate,J6)</f>
        <v>42695</v>
      </c>
      <c r="M6" s="99" t="str">
        <f t="array" ref="M6:M70">I6:I70</f>
        <v>O/N</v>
      </c>
      <c r="N6" s="465">
        <f t="array" ref="N6:N70">TRANSPOSE(Q75:CC75)</f>
        <v>0</v>
      </c>
      <c r="P6" s="106" t="b">
        <f t="shared" ref="P6:P37" si="0">MID(B6,4,1)=" "</f>
        <v>0</v>
      </c>
      <c r="Q6" s="460">
        <f t="array" ref="Q6:CC6">C6*ForwardToZero(OisBuckets,E6,F6,G6)</f>
        <v>0</v>
      </c>
      <c r="R6" s="460">
        <v>0</v>
      </c>
      <c r="S6" s="460">
        <v>8.2433400817060267</v>
      </c>
      <c r="T6" s="460">
        <v>0</v>
      </c>
      <c r="U6" s="460">
        <v>0</v>
      </c>
      <c r="V6" s="460">
        <v>0</v>
      </c>
      <c r="W6" s="460">
        <v>0</v>
      </c>
      <c r="X6" s="460">
        <v>0</v>
      </c>
      <c r="Y6" s="460">
        <v>0</v>
      </c>
      <c r="Z6" s="460">
        <v>0</v>
      </c>
      <c r="AA6" s="460">
        <v>0</v>
      </c>
      <c r="AB6" s="460">
        <v>0</v>
      </c>
      <c r="AC6" s="460">
        <v>0</v>
      </c>
      <c r="AD6" s="460">
        <v>0</v>
      </c>
      <c r="AE6" s="460">
        <v>0</v>
      </c>
      <c r="AF6" s="460">
        <v>0</v>
      </c>
      <c r="AG6" s="460">
        <v>0</v>
      </c>
      <c r="AH6" s="460">
        <v>0</v>
      </c>
      <c r="AI6" s="460">
        <v>0</v>
      </c>
      <c r="AJ6" s="460">
        <v>0</v>
      </c>
      <c r="AK6" s="460">
        <v>0</v>
      </c>
      <c r="AL6" s="460">
        <v>0</v>
      </c>
      <c r="AM6" s="460">
        <v>0</v>
      </c>
      <c r="AN6" s="460">
        <v>0</v>
      </c>
      <c r="AO6" s="460">
        <v>0</v>
      </c>
      <c r="AP6" s="460">
        <v>0</v>
      </c>
      <c r="AQ6" s="460">
        <v>0</v>
      </c>
      <c r="AR6" s="460">
        <v>0</v>
      </c>
      <c r="AS6" s="460">
        <v>0</v>
      </c>
      <c r="AT6" s="460">
        <v>0</v>
      </c>
      <c r="AU6" s="460">
        <v>0</v>
      </c>
      <c r="AV6" s="460">
        <v>0</v>
      </c>
      <c r="AW6" s="460">
        <v>0</v>
      </c>
      <c r="AX6" s="460">
        <v>0</v>
      </c>
      <c r="AY6" s="460">
        <v>0</v>
      </c>
      <c r="AZ6" s="460">
        <v>0</v>
      </c>
      <c r="BA6" s="460">
        <v>0</v>
      </c>
      <c r="BB6" s="460">
        <v>0</v>
      </c>
      <c r="BC6" s="460">
        <v>0</v>
      </c>
      <c r="BD6" s="460">
        <v>0</v>
      </c>
      <c r="BE6" s="460">
        <v>0</v>
      </c>
      <c r="BF6" s="460">
        <v>0</v>
      </c>
      <c r="BG6" s="460">
        <v>0</v>
      </c>
      <c r="BH6" s="460">
        <v>0</v>
      </c>
      <c r="BI6" s="460">
        <v>0</v>
      </c>
      <c r="BJ6" s="460">
        <v>0</v>
      </c>
      <c r="BK6" s="460">
        <v>0</v>
      </c>
      <c r="BL6" s="460">
        <v>0</v>
      </c>
      <c r="BM6" s="460">
        <v>0</v>
      </c>
      <c r="BN6" s="460">
        <v>0</v>
      </c>
      <c r="BO6" s="460">
        <v>0</v>
      </c>
      <c r="BP6" s="460">
        <v>0</v>
      </c>
      <c r="BQ6" s="460">
        <v>0</v>
      </c>
      <c r="BR6" s="460">
        <v>0</v>
      </c>
      <c r="BS6" s="460">
        <v>0</v>
      </c>
      <c r="BT6" s="460">
        <v>0</v>
      </c>
      <c r="BU6" s="460">
        <v>0</v>
      </c>
      <c r="BV6" s="460">
        <v>0</v>
      </c>
      <c r="BW6" s="460">
        <v>0</v>
      </c>
      <c r="BX6" s="460">
        <v>0</v>
      </c>
      <c r="BY6" s="460">
        <v>0</v>
      </c>
      <c r="BZ6" s="460">
        <v>0</v>
      </c>
      <c r="CA6" s="460" t="e">
        <v>#N/A</v>
      </c>
      <c r="CB6" s="460" t="e">
        <v>#N/A</v>
      </c>
      <c r="CC6" s="460" t="e">
        <v>#N/A</v>
      </c>
    </row>
    <row r="7" spans="1:81" ht="12.75" customHeight="1">
      <c r="A7" s="105">
        <v>2</v>
      </c>
      <c r="B7" s="458" t="str">
        <v>1W</v>
      </c>
      <c r="C7" s="465">
        <f>'eur disaggregated'!AV18</f>
        <v>0</v>
      </c>
      <c r="D7" s="111" t="str">
        <f>IF(LEN(B7)&gt;3, "12M",IF(LEN(B7)&gt;0,SimplifyTenor(B7),""))</f>
        <v>1W</v>
      </c>
      <c r="E7" s="441">
        <f t="shared" ref="E7:E21" si="1">IF(LEN(B7)&lt;4,$C$1, "--")</f>
        <v>42696</v>
      </c>
      <c r="F7" s="441">
        <f>IF(AND(NOT(ISNA(MATCH(RIGHT(B7,2),$I$6:$I$67,0))),LEN(B7)&lt;3,RIGHT(B7,1)="M"), INDEX($K$6:$K$67, MATCH(RIGHT(B7,2),$I$6:$I$67,0)), IF(AND(NOT(ISNA(MATCH((IF(RIGHT(B7,3)="24M","2Y",RIGHT(B7,3))),$I$6:$I$67,0))), LEN(B7)&gt;=3, RIGHT(B7,1)="M"), INDEX($K$6:$K$67, MATCH((IF(RIGHT(B7,3)="24M","2Y",RIGHT(B7,3))),$I$6:$I$67,0)), _xll.qlCalendarAdvance(Calendar,E7,D7)))</f>
        <v>42703</v>
      </c>
      <c r="G7" s="462">
        <f t="shared" ref="G7:G70" si="2">IF(AND(70&lt;H7, H7&lt;130),(100-H7)/100,H7/100)</f>
        <v>-1.24218643E-3</v>
      </c>
      <c r="H7" s="453">
        <v>-0.124218643</v>
      </c>
      <c r="I7" s="107" t="str">
        <v>T/N</v>
      </c>
      <c r="J7" s="106" t="str">
        <f>IF(LEN(I7)&gt;0,IF((MID(I7,4,1)=" "),#REF!,IF((LEN(I7)=8),DATE("20" &amp; RIGHT(I7,2),MID(I7,4,2),LEFT(I7,2)),SimplifyTenor(I7))),"")</f>
        <v>2D</v>
      </c>
      <c r="K7" s="448">
        <f>_xll.qlCalendarAdvance("TARGET",EvaluationDate,J7)</f>
        <v>42696</v>
      </c>
      <c r="M7" s="99" t="str">
        <v>T/N</v>
      </c>
      <c r="N7" s="465">
        <v>0</v>
      </c>
      <c r="P7" s="106" t="b">
        <f t="shared" si="0"/>
        <v>0</v>
      </c>
      <c r="Q7" s="460">
        <f t="array" ref="Q7:CC7">C7*ForwardToZero(OisBuckets,E7,F7,G7)</f>
        <v>0</v>
      </c>
      <c r="R7" s="460">
        <v>0</v>
      </c>
      <c r="S7" s="460">
        <v>0</v>
      </c>
      <c r="T7" s="460">
        <v>0</v>
      </c>
      <c r="U7" s="460">
        <v>0</v>
      </c>
      <c r="V7" s="460">
        <v>0</v>
      </c>
      <c r="W7" s="460">
        <v>0</v>
      </c>
      <c r="X7" s="460">
        <v>0</v>
      </c>
      <c r="Y7" s="460">
        <v>0</v>
      </c>
      <c r="Z7" s="460">
        <v>0</v>
      </c>
      <c r="AA7" s="460">
        <v>0</v>
      </c>
      <c r="AB7" s="460">
        <v>0</v>
      </c>
      <c r="AC7" s="460">
        <v>0</v>
      </c>
      <c r="AD7" s="460">
        <v>0</v>
      </c>
      <c r="AE7" s="460">
        <v>0</v>
      </c>
      <c r="AF7" s="460">
        <v>0</v>
      </c>
      <c r="AG7" s="460">
        <v>0</v>
      </c>
      <c r="AH7" s="460">
        <v>0</v>
      </c>
      <c r="AI7" s="460">
        <v>0</v>
      </c>
      <c r="AJ7" s="460">
        <v>0</v>
      </c>
      <c r="AK7" s="460">
        <v>0</v>
      </c>
      <c r="AL7" s="460">
        <v>0</v>
      </c>
      <c r="AM7" s="460">
        <v>0</v>
      </c>
      <c r="AN7" s="460">
        <v>0</v>
      </c>
      <c r="AO7" s="460">
        <v>0</v>
      </c>
      <c r="AP7" s="460">
        <v>0</v>
      </c>
      <c r="AQ7" s="460">
        <v>0</v>
      </c>
      <c r="AR7" s="460">
        <v>0</v>
      </c>
      <c r="AS7" s="460">
        <v>0</v>
      </c>
      <c r="AT7" s="460">
        <v>0</v>
      </c>
      <c r="AU7" s="460">
        <v>0</v>
      </c>
      <c r="AV7" s="460">
        <v>0</v>
      </c>
      <c r="AW7" s="460">
        <v>0</v>
      </c>
      <c r="AX7" s="460">
        <v>0</v>
      </c>
      <c r="AY7" s="460">
        <v>0</v>
      </c>
      <c r="AZ7" s="460">
        <v>0</v>
      </c>
      <c r="BA7" s="460">
        <v>0</v>
      </c>
      <c r="BB7" s="460">
        <v>0</v>
      </c>
      <c r="BC7" s="460">
        <v>0</v>
      </c>
      <c r="BD7" s="460">
        <v>0</v>
      </c>
      <c r="BE7" s="460">
        <v>0</v>
      </c>
      <c r="BF7" s="460">
        <v>0</v>
      </c>
      <c r="BG7" s="460">
        <v>0</v>
      </c>
      <c r="BH7" s="460">
        <v>0</v>
      </c>
      <c r="BI7" s="460">
        <v>0</v>
      </c>
      <c r="BJ7" s="460">
        <v>0</v>
      </c>
      <c r="BK7" s="460">
        <v>0</v>
      </c>
      <c r="BL7" s="460">
        <v>0</v>
      </c>
      <c r="BM7" s="460">
        <v>0</v>
      </c>
      <c r="BN7" s="460">
        <v>0</v>
      </c>
      <c r="BO7" s="460">
        <v>0</v>
      </c>
      <c r="BP7" s="460">
        <v>0</v>
      </c>
      <c r="BQ7" s="460">
        <v>0</v>
      </c>
      <c r="BR7" s="460">
        <v>0</v>
      </c>
      <c r="BS7" s="460">
        <v>0</v>
      </c>
      <c r="BT7" s="460">
        <v>0</v>
      </c>
      <c r="BU7" s="460">
        <v>0</v>
      </c>
      <c r="BV7" s="460">
        <v>0</v>
      </c>
      <c r="BW7" s="460">
        <v>0</v>
      </c>
      <c r="BX7" s="460">
        <v>0</v>
      </c>
      <c r="BY7" s="460">
        <v>0</v>
      </c>
      <c r="BZ7" s="460">
        <v>0</v>
      </c>
      <c r="CA7" s="460" t="e">
        <v>#N/A</v>
      </c>
      <c r="CB7" s="460" t="e">
        <v>#N/A</v>
      </c>
      <c r="CC7" s="460" t="e">
        <v>#N/A</v>
      </c>
    </row>
    <row r="8" spans="1:81" ht="12.75" customHeight="1">
      <c r="A8" s="105">
        <v>3</v>
      </c>
      <c r="B8" s="458" t="str">
        <v>2W</v>
      </c>
      <c r="C8" s="465">
        <f>'eur disaggregated'!AV19</f>
        <v>0</v>
      </c>
      <c r="D8" s="111" t="str">
        <f t="shared" ref="D8:D71" si="3">IF(LEN(B8)&gt;3, "12M",IF(LEN(B8)&gt;0,SimplifyTenor(B8),""))</f>
        <v>2W</v>
      </c>
      <c r="E8" s="441">
        <f t="shared" si="1"/>
        <v>42696</v>
      </c>
      <c r="F8" s="441">
        <f>IF(AND(NOT(ISNA(MATCH(RIGHT(B8,2),$I$6:$I$67,0))),LEN(B8)&lt;3,RIGHT(B8,1)="M"), INDEX($K$6:$K$67, MATCH(RIGHT(B8,2),$I$6:$I$67,0)), IF(AND(NOT(ISNA(MATCH((IF(RIGHT(B8,3)="24M","2Y",RIGHT(B8,3))),$I$6:$I$67,0))), LEN(B8)&gt;=3, RIGHT(B8,1)="M"), INDEX($K$6:$K$67, MATCH((IF(RIGHT(B8,3)="24M","2Y",RIGHT(B8,3))),$I$6:$I$67,0)), _xll.qlCalendarAdvance(Calendar,E8,D8)))</f>
        <v>42710</v>
      </c>
      <c r="G8" s="462">
        <f t="shared" si="2"/>
        <v>-1.24217143E-3</v>
      </c>
      <c r="H8" s="453">
        <v>-0.124217143</v>
      </c>
      <c r="I8" s="107" t="str">
        <v>S/N</v>
      </c>
      <c r="J8" s="106" t="str">
        <f>IF(LEN(I8)&gt;0,IF((MID(I8,4,1)=" "),#REF!,IF((LEN(I8)=8),DATE("20" &amp; RIGHT(I8,2),MID(I8,4,2),LEFT(I8,2)),SimplifyTenor(I8))),"")</f>
        <v>3D</v>
      </c>
      <c r="K8" s="448">
        <f>_xll.qlCalendarAdvance("TARGET",EvaluationDate,J8)</f>
        <v>42697</v>
      </c>
      <c r="M8" s="99" t="str">
        <v>S/N</v>
      </c>
      <c r="N8" s="465">
        <v>8.2433400817060267</v>
      </c>
      <c r="P8" s="106" t="b">
        <f t="shared" si="0"/>
        <v>0</v>
      </c>
      <c r="Q8" s="460">
        <f t="array" ref="Q8:CC8">C8*ForwardToZero(OisBuckets,E8,F8,G8)</f>
        <v>0</v>
      </c>
      <c r="R8" s="460">
        <v>0</v>
      </c>
      <c r="S8" s="460">
        <v>0</v>
      </c>
      <c r="T8" s="460">
        <v>0</v>
      </c>
      <c r="U8" s="460">
        <v>0</v>
      </c>
      <c r="V8" s="460">
        <v>0</v>
      </c>
      <c r="W8" s="460">
        <v>0</v>
      </c>
      <c r="X8" s="460">
        <v>0</v>
      </c>
      <c r="Y8" s="460">
        <v>0</v>
      </c>
      <c r="Z8" s="460">
        <v>0</v>
      </c>
      <c r="AA8" s="460">
        <v>0</v>
      </c>
      <c r="AB8" s="460">
        <v>0</v>
      </c>
      <c r="AC8" s="460">
        <v>0</v>
      </c>
      <c r="AD8" s="460">
        <v>0</v>
      </c>
      <c r="AE8" s="460">
        <v>0</v>
      </c>
      <c r="AF8" s="460">
        <v>0</v>
      </c>
      <c r="AG8" s="460">
        <v>0</v>
      </c>
      <c r="AH8" s="460">
        <v>0</v>
      </c>
      <c r="AI8" s="460">
        <v>0</v>
      </c>
      <c r="AJ8" s="460">
        <v>0</v>
      </c>
      <c r="AK8" s="460">
        <v>0</v>
      </c>
      <c r="AL8" s="460">
        <v>0</v>
      </c>
      <c r="AM8" s="460">
        <v>0</v>
      </c>
      <c r="AN8" s="460">
        <v>0</v>
      </c>
      <c r="AO8" s="460">
        <v>0</v>
      </c>
      <c r="AP8" s="460">
        <v>0</v>
      </c>
      <c r="AQ8" s="460">
        <v>0</v>
      </c>
      <c r="AR8" s="460">
        <v>0</v>
      </c>
      <c r="AS8" s="460">
        <v>0</v>
      </c>
      <c r="AT8" s="460">
        <v>0</v>
      </c>
      <c r="AU8" s="460">
        <v>0</v>
      </c>
      <c r="AV8" s="460">
        <v>0</v>
      </c>
      <c r="AW8" s="460">
        <v>0</v>
      </c>
      <c r="AX8" s="460">
        <v>0</v>
      </c>
      <c r="AY8" s="460">
        <v>0</v>
      </c>
      <c r="AZ8" s="460">
        <v>0</v>
      </c>
      <c r="BA8" s="460">
        <v>0</v>
      </c>
      <c r="BB8" s="460">
        <v>0</v>
      </c>
      <c r="BC8" s="460">
        <v>0</v>
      </c>
      <c r="BD8" s="460">
        <v>0</v>
      </c>
      <c r="BE8" s="460">
        <v>0</v>
      </c>
      <c r="BF8" s="460">
        <v>0</v>
      </c>
      <c r="BG8" s="460">
        <v>0</v>
      </c>
      <c r="BH8" s="460">
        <v>0</v>
      </c>
      <c r="BI8" s="460">
        <v>0</v>
      </c>
      <c r="BJ8" s="460">
        <v>0</v>
      </c>
      <c r="BK8" s="460">
        <v>0</v>
      </c>
      <c r="BL8" s="460">
        <v>0</v>
      </c>
      <c r="BM8" s="460">
        <v>0</v>
      </c>
      <c r="BN8" s="460">
        <v>0</v>
      </c>
      <c r="BO8" s="460">
        <v>0</v>
      </c>
      <c r="BP8" s="460">
        <v>0</v>
      </c>
      <c r="BQ8" s="460">
        <v>0</v>
      </c>
      <c r="BR8" s="460">
        <v>0</v>
      </c>
      <c r="BS8" s="460">
        <v>0</v>
      </c>
      <c r="BT8" s="460">
        <v>0</v>
      </c>
      <c r="BU8" s="460">
        <v>0</v>
      </c>
      <c r="BV8" s="460">
        <v>0</v>
      </c>
      <c r="BW8" s="460">
        <v>0</v>
      </c>
      <c r="BX8" s="460">
        <v>0</v>
      </c>
      <c r="BY8" s="460">
        <v>0</v>
      </c>
      <c r="BZ8" s="460">
        <v>0</v>
      </c>
      <c r="CA8" s="460" t="e">
        <v>#N/A</v>
      </c>
      <c r="CB8" s="460" t="e">
        <v>#N/A</v>
      </c>
      <c r="CC8" s="460" t="e">
        <v>#N/A</v>
      </c>
    </row>
    <row r="9" spans="1:81" ht="12.75" customHeight="1">
      <c r="A9" s="105">
        <v>4</v>
      </c>
      <c r="B9" s="458" t="str">
        <v>3W</v>
      </c>
      <c r="C9" s="465">
        <f>'eur disaggregated'!AV20</f>
        <v>0</v>
      </c>
      <c r="D9" s="111" t="str">
        <f t="shared" si="3"/>
        <v>3W</v>
      </c>
      <c r="E9" s="441">
        <f t="shared" si="1"/>
        <v>42696</v>
      </c>
      <c r="F9" s="441">
        <f>IF(AND(NOT(ISNA(MATCH(RIGHT(B9,2),$I$6:$I$67,0))),LEN(B9)&lt;3,RIGHT(B9,1)="M"), INDEX($K$6:$K$67, MATCH(RIGHT(B9,2),$I$6:$I$67,0)), IF(AND(NOT(ISNA(MATCH((IF(RIGHT(B9,3)="24M","2Y",RIGHT(B9,3))),$I$6:$I$67,0))), LEN(B9)&gt;=3, RIGHT(B9,1)="M"), INDEX($K$6:$K$67, MATCH((IF(RIGHT(B9,3)="24M","2Y",RIGHT(B9,3))),$I$6:$I$67,0)), _xll.qlCalendarAdvance(Calendar,E9,D9)))</f>
        <v>42717</v>
      </c>
      <c r="G9" s="462">
        <f t="shared" si="2"/>
        <v>-1.2421564299999999E-3</v>
      </c>
      <c r="H9" s="453">
        <v>-0.124215643</v>
      </c>
      <c r="I9" s="107" t="str">
        <v>1W</v>
      </c>
      <c r="J9" s="106" t="str">
        <f>IF(LEN(I9)&gt;0,IF((MID(I9,4,1)=" "),#REF!,IF((LEN(I9)=8),DATE("20" &amp; RIGHT(I9,2),MID(I9,4,2),LEFT(I9,2)),SimplifyTenor(I9))),"")</f>
        <v>1W</v>
      </c>
      <c r="K9" s="448">
        <f>_xll.qlCalendarAdvance("TARGET",SettlementDate,J9)</f>
        <v>42703</v>
      </c>
      <c r="M9" s="99" t="str">
        <v>1W</v>
      </c>
      <c r="N9" s="465">
        <v>0</v>
      </c>
      <c r="P9" s="106" t="b">
        <f t="shared" si="0"/>
        <v>0</v>
      </c>
      <c r="Q9" s="460">
        <f t="array" ref="Q9:CC9">C9*ForwardToZero(OisBuckets,E9,F9,G9)</f>
        <v>0</v>
      </c>
      <c r="R9" s="460">
        <v>0</v>
      </c>
      <c r="S9" s="460">
        <v>0</v>
      </c>
      <c r="T9" s="460">
        <v>0</v>
      </c>
      <c r="U9" s="460">
        <v>0</v>
      </c>
      <c r="V9" s="460">
        <v>0</v>
      </c>
      <c r="W9" s="460">
        <v>0</v>
      </c>
      <c r="X9" s="460">
        <v>0</v>
      </c>
      <c r="Y9" s="460">
        <v>0</v>
      </c>
      <c r="Z9" s="460">
        <v>0</v>
      </c>
      <c r="AA9" s="460">
        <v>0</v>
      </c>
      <c r="AB9" s="460">
        <v>0</v>
      </c>
      <c r="AC9" s="460">
        <v>0</v>
      </c>
      <c r="AD9" s="460">
        <v>0</v>
      </c>
      <c r="AE9" s="460">
        <v>0</v>
      </c>
      <c r="AF9" s="460">
        <v>0</v>
      </c>
      <c r="AG9" s="460">
        <v>0</v>
      </c>
      <c r="AH9" s="460">
        <v>0</v>
      </c>
      <c r="AI9" s="460">
        <v>0</v>
      </c>
      <c r="AJ9" s="460">
        <v>0</v>
      </c>
      <c r="AK9" s="460">
        <v>0</v>
      </c>
      <c r="AL9" s="460">
        <v>0</v>
      </c>
      <c r="AM9" s="460">
        <v>0</v>
      </c>
      <c r="AN9" s="460">
        <v>0</v>
      </c>
      <c r="AO9" s="460">
        <v>0</v>
      </c>
      <c r="AP9" s="460">
        <v>0</v>
      </c>
      <c r="AQ9" s="460">
        <v>0</v>
      </c>
      <c r="AR9" s="460">
        <v>0</v>
      </c>
      <c r="AS9" s="460">
        <v>0</v>
      </c>
      <c r="AT9" s="460">
        <v>0</v>
      </c>
      <c r="AU9" s="460">
        <v>0</v>
      </c>
      <c r="AV9" s="460">
        <v>0</v>
      </c>
      <c r="AW9" s="460">
        <v>0</v>
      </c>
      <c r="AX9" s="460">
        <v>0</v>
      </c>
      <c r="AY9" s="460">
        <v>0</v>
      </c>
      <c r="AZ9" s="460">
        <v>0</v>
      </c>
      <c r="BA9" s="460">
        <v>0</v>
      </c>
      <c r="BB9" s="460">
        <v>0</v>
      </c>
      <c r="BC9" s="460">
        <v>0</v>
      </c>
      <c r="BD9" s="460">
        <v>0</v>
      </c>
      <c r="BE9" s="460">
        <v>0</v>
      </c>
      <c r="BF9" s="460">
        <v>0</v>
      </c>
      <c r="BG9" s="460">
        <v>0</v>
      </c>
      <c r="BH9" s="460">
        <v>0</v>
      </c>
      <c r="BI9" s="460">
        <v>0</v>
      </c>
      <c r="BJ9" s="460">
        <v>0</v>
      </c>
      <c r="BK9" s="460">
        <v>0</v>
      </c>
      <c r="BL9" s="460">
        <v>0</v>
      </c>
      <c r="BM9" s="460">
        <v>0</v>
      </c>
      <c r="BN9" s="460">
        <v>0</v>
      </c>
      <c r="BO9" s="460">
        <v>0</v>
      </c>
      <c r="BP9" s="460">
        <v>0</v>
      </c>
      <c r="BQ9" s="460">
        <v>0</v>
      </c>
      <c r="BR9" s="460">
        <v>0</v>
      </c>
      <c r="BS9" s="460">
        <v>0</v>
      </c>
      <c r="BT9" s="460">
        <v>0</v>
      </c>
      <c r="BU9" s="460">
        <v>0</v>
      </c>
      <c r="BV9" s="460">
        <v>0</v>
      </c>
      <c r="BW9" s="460">
        <v>0</v>
      </c>
      <c r="BX9" s="460">
        <v>0</v>
      </c>
      <c r="BY9" s="460">
        <v>0</v>
      </c>
      <c r="BZ9" s="460">
        <v>0</v>
      </c>
      <c r="CA9" s="460" t="e">
        <v>#N/A</v>
      </c>
      <c r="CB9" s="460" t="e">
        <v>#N/A</v>
      </c>
      <c r="CC9" s="460" t="e">
        <v>#N/A</v>
      </c>
    </row>
    <row r="10" spans="1:81" ht="12.75" customHeight="1">
      <c r="A10" s="105">
        <v>5</v>
      </c>
      <c r="B10" s="458" t="str">
        <v>1M</v>
      </c>
      <c r="C10" s="465">
        <f>'eur disaggregated'!AV21</f>
        <v>-2.5612427849622099</v>
      </c>
      <c r="D10" s="111" t="str">
        <f t="shared" si="3"/>
        <v>1M</v>
      </c>
      <c r="E10" s="441">
        <f t="shared" si="1"/>
        <v>42696</v>
      </c>
      <c r="F10" s="441">
        <f>IF(AND(NOT(ISNA(MATCH(RIGHT(B10,2),$I$6:$I$67,0))),LEN(B10)&lt;3,RIGHT(B10,1)="M"), INDEX($K$6:$K$67, MATCH(RIGHT(B10,2),$I$6:$I$67,0)), IF(AND(NOT(ISNA(MATCH((IF(RIGHT(B10,3)="24M","2Y",RIGHT(B10,3))),$I$6:$I$67,0))), LEN(B10)&gt;=3, RIGHT(B10,1)="M"), INDEX($K$6:$K$67, MATCH((IF(RIGHT(B10,3)="24M","2Y",RIGHT(B10,3))),$I$6:$I$67,0)), _xll.qlCalendarAdvance(Calendar,E10,D10)))</f>
        <v>42726</v>
      </c>
      <c r="G10" s="462">
        <f t="shared" si="2"/>
        <v>-1.2421350000000001E-3</v>
      </c>
      <c r="H10" s="453">
        <v>-0.1242135</v>
      </c>
      <c r="I10" s="107" t="str">
        <v>2W</v>
      </c>
      <c r="J10" s="106" t="str">
        <f>IF(LEN(I10)&gt;0,IF((MID(I10,4,1)=" "),#REF!,IF((LEN(I10)=8),DATE("20" &amp; RIGHT(I10,2),MID(I10,4,2),LEFT(I10,2)),SimplifyTenor(I10))),"")</f>
        <v>2W</v>
      </c>
      <c r="K10" s="448">
        <f>_xll.qlCalendarAdvance("TARGET",SettlementDate,J10)</f>
        <v>42710</v>
      </c>
      <c r="M10" s="99" t="str">
        <v>2W</v>
      </c>
      <c r="N10" s="465">
        <v>0</v>
      </c>
      <c r="P10" s="106" t="b">
        <f t="shared" si="0"/>
        <v>0</v>
      </c>
      <c r="Q10" s="460">
        <f t="array" ref="Q10:CC10">C10*ForwardToZero(OisBuckets,E10,F10,G10)</f>
        <v>0</v>
      </c>
      <c r="R10" s="460">
        <v>0</v>
      </c>
      <c r="S10" s="460">
        <v>0</v>
      </c>
      <c r="T10" s="460">
        <v>0</v>
      </c>
      <c r="U10" s="460">
        <v>0</v>
      </c>
      <c r="V10" s="460">
        <v>0</v>
      </c>
      <c r="W10" s="460">
        <v>-2.5612427849622099</v>
      </c>
      <c r="X10" s="460">
        <v>0</v>
      </c>
      <c r="Y10" s="460">
        <v>0</v>
      </c>
      <c r="Z10" s="460">
        <v>0</v>
      </c>
      <c r="AA10" s="460">
        <v>0</v>
      </c>
      <c r="AB10" s="460">
        <v>0</v>
      </c>
      <c r="AC10" s="460">
        <v>0</v>
      </c>
      <c r="AD10" s="460">
        <v>0</v>
      </c>
      <c r="AE10" s="460">
        <v>0</v>
      </c>
      <c r="AF10" s="460">
        <v>0</v>
      </c>
      <c r="AG10" s="460">
        <v>0</v>
      </c>
      <c r="AH10" s="460">
        <v>0</v>
      </c>
      <c r="AI10" s="460">
        <v>0</v>
      </c>
      <c r="AJ10" s="460">
        <v>0</v>
      </c>
      <c r="AK10" s="460">
        <v>0</v>
      </c>
      <c r="AL10" s="460">
        <v>0</v>
      </c>
      <c r="AM10" s="460">
        <v>0</v>
      </c>
      <c r="AN10" s="460">
        <v>0</v>
      </c>
      <c r="AO10" s="460">
        <v>0</v>
      </c>
      <c r="AP10" s="460">
        <v>0</v>
      </c>
      <c r="AQ10" s="460">
        <v>0</v>
      </c>
      <c r="AR10" s="460">
        <v>0</v>
      </c>
      <c r="AS10" s="460">
        <v>0</v>
      </c>
      <c r="AT10" s="460">
        <v>0</v>
      </c>
      <c r="AU10" s="460">
        <v>0</v>
      </c>
      <c r="AV10" s="460">
        <v>0</v>
      </c>
      <c r="AW10" s="460">
        <v>0</v>
      </c>
      <c r="AX10" s="460">
        <v>0</v>
      </c>
      <c r="AY10" s="460">
        <v>0</v>
      </c>
      <c r="AZ10" s="460">
        <v>0</v>
      </c>
      <c r="BA10" s="460">
        <v>0</v>
      </c>
      <c r="BB10" s="460">
        <v>0</v>
      </c>
      <c r="BC10" s="460">
        <v>0</v>
      </c>
      <c r="BD10" s="460">
        <v>0</v>
      </c>
      <c r="BE10" s="460">
        <v>0</v>
      </c>
      <c r="BF10" s="460">
        <v>0</v>
      </c>
      <c r="BG10" s="460">
        <v>0</v>
      </c>
      <c r="BH10" s="460">
        <v>0</v>
      </c>
      <c r="BI10" s="460">
        <v>0</v>
      </c>
      <c r="BJ10" s="460">
        <v>0</v>
      </c>
      <c r="BK10" s="460">
        <v>0</v>
      </c>
      <c r="BL10" s="460">
        <v>0</v>
      </c>
      <c r="BM10" s="460">
        <v>0</v>
      </c>
      <c r="BN10" s="460">
        <v>0</v>
      </c>
      <c r="BO10" s="460">
        <v>0</v>
      </c>
      <c r="BP10" s="460">
        <v>0</v>
      </c>
      <c r="BQ10" s="460">
        <v>0</v>
      </c>
      <c r="BR10" s="460">
        <v>0</v>
      </c>
      <c r="BS10" s="460">
        <v>0</v>
      </c>
      <c r="BT10" s="460">
        <v>0</v>
      </c>
      <c r="BU10" s="460">
        <v>0</v>
      </c>
      <c r="BV10" s="460">
        <v>0</v>
      </c>
      <c r="BW10" s="460">
        <v>0</v>
      </c>
      <c r="BX10" s="460">
        <v>0</v>
      </c>
      <c r="BY10" s="460">
        <v>0</v>
      </c>
      <c r="BZ10" s="460">
        <v>0</v>
      </c>
      <c r="CA10" s="460" t="e">
        <v>#N/A</v>
      </c>
      <c r="CB10" s="460" t="e">
        <v>#N/A</v>
      </c>
      <c r="CC10" s="460" t="e">
        <v>#N/A</v>
      </c>
    </row>
    <row r="11" spans="1:81" ht="12.75" customHeight="1">
      <c r="A11" s="105">
        <v>6</v>
      </c>
      <c r="B11" s="458" t="str">
        <v>2M</v>
      </c>
      <c r="C11" s="465">
        <f>'eur disaggregated'!AV22</f>
        <v>804.6173038629031</v>
      </c>
      <c r="D11" s="111" t="str">
        <f t="shared" si="3"/>
        <v>2M</v>
      </c>
      <c r="E11" s="441">
        <f t="shared" si="1"/>
        <v>42696</v>
      </c>
      <c r="F11" s="441">
        <f>IF(AND(NOT(ISNA(MATCH(RIGHT(B11,2),$I$6:$I$67,0))),LEN(B11)&lt;3,RIGHT(B11,1)="M"), INDEX($K$6:$K$67, MATCH(RIGHT(B11,2),$I$6:$I$67,0)), IF(AND(NOT(ISNA(MATCH((IF(RIGHT(B11,3)="24M","2Y",RIGHT(B11,3))),$I$6:$I$67,0))), LEN(B11)&gt;=3, RIGHT(B11,1)="M"), INDEX($K$6:$K$67, MATCH((IF(RIGHT(B11,3)="24M","2Y",RIGHT(B11,3))),$I$6:$I$67,0)), _xll.qlCalendarAdvance(Calendar,E11,D11)))</f>
        <v>42758</v>
      </c>
      <c r="G11" s="462">
        <f t="shared" si="2"/>
        <v>-1.24207071E-3</v>
      </c>
      <c r="H11" s="453">
        <v>-0.124207071</v>
      </c>
      <c r="I11" s="107" t="str">
        <v>3W</v>
      </c>
      <c r="J11" s="106" t="str">
        <f>IF(LEN(I11)&gt;0,IF((MID(I11,4,1)=" "),#REF!,IF((LEN(I11)=8),DATE("20" &amp; RIGHT(I11,2),MID(I11,4,2),LEFT(I11,2)),SimplifyTenor(I11))),"")</f>
        <v>3W</v>
      </c>
      <c r="K11" s="448">
        <f>_xll.qlCalendarAdvance("TARGET",SettlementDate,J11)</f>
        <v>42717</v>
      </c>
      <c r="M11" s="99" t="str">
        <v>3W</v>
      </c>
      <c r="N11" s="465">
        <v>0</v>
      </c>
      <c r="P11" s="106" t="b">
        <f t="shared" si="0"/>
        <v>0</v>
      </c>
      <c r="Q11" s="460">
        <f t="array" ref="Q11:CC11">C11*ForwardToZero(OisBuckets,E11,F11,G11)</f>
        <v>0</v>
      </c>
      <c r="R11" s="460">
        <v>0</v>
      </c>
      <c r="S11" s="460">
        <v>0</v>
      </c>
      <c r="T11" s="460">
        <v>0</v>
      </c>
      <c r="U11" s="460">
        <v>0</v>
      </c>
      <c r="V11" s="460">
        <v>0</v>
      </c>
      <c r="W11" s="460">
        <v>0</v>
      </c>
      <c r="X11" s="460">
        <v>804.6173038629031</v>
      </c>
      <c r="Y11" s="460">
        <v>0</v>
      </c>
      <c r="Z11" s="460">
        <v>0</v>
      </c>
      <c r="AA11" s="460">
        <v>0</v>
      </c>
      <c r="AB11" s="460">
        <v>0</v>
      </c>
      <c r="AC11" s="460">
        <v>0</v>
      </c>
      <c r="AD11" s="460">
        <v>0</v>
      </c>
      <c r="AE11" s="460">
        <v>0</v>
      </c>
      <c r="AF11" s="460">
        <v>0</v>
      </c>
      <c r="AG11" s="460">
        <v>0</v>
      </c>
      <c r="AH11" s="460">
        <v>0</v>
      </c>
      <c r="AI11" s="460">
        <v>0</v>
      </c>
      <c r="AJ11" s="460">
        <v>0</v>
      </c>
      <c r="AK11" s="460">
        <v>0</v>
      </c>
      <c r="AL11" s="460">
        <v>0</v>
      </c>
      <c r="AM11" s="460">
        <v>0</v>
      </c>
      <c r="AN11" s="460">
        <v>0</v>
      </c>
      <c r="AO11" s="460">
        <v>0</v>
      </c>
      <c r="AP11" s="460">
        <v>0</v>
      </c>
      <c r="AQ11" s="460">
        <v>0</v>
      </c>
      <c r="AR11" s="460">
        <v>0</v>
      </c>
      <c r="AS11" s="460">
        <v>0</v>
      </c>
      <c r="AT11" s="460">
        <v>0</v>
      </c>
      <c r="AU11" s="460">
        <v>0</v>
      </c>
      <c r="AV11" s="460">
        <v>0</v>
      </c>
      <c r="AW11" s="460">
        <v>0</v>
      </c>
      <c r="AX11" s="460">
        <v>0</v>
      </c>
      <c r="AY11" s="460">
        <v>0</v>
      </c>
      <c r="AZ11" s="460">
        <v>0</v>
      </c>
      <c r="BA11" s="460">
        <v>0</v>
      </c>
      <c r="BB11" s="460">
        <v>0</v>
      </c>
      <c r="BC11" s="460">
        <v>0</v>
      </c>
      <c r="BD11" s="460">
        <v>0</v>
      </c>
      <c r="BE11" s="460">
        <v>0</v>
      </c>
      <c r="BF11" s="460">
        <v>0</v>
      </c>
      <c r="BG11" s="460">
        <v>0</v>
      </c>
      <c r="BH11" s="460">
        <v>0</v>
      </c>
      <c r="BI11" s="460">
        <v>0</v>
      </c>
      <c r="BJ11" s="460">
        <v>0</v>
      </c>
      <c r="BK11" s="460">
        <v>0</v>
      </c>
      <c r="BL11" s="460">
        <v>0</v>
      </c>
      <c r="BM11" s="460">
        <v>0</v>
      </c>
      <c r="BN11" s="460">
        <v>0</v>
      </c>
      <c r="BO11" s="460">
        <v>0</v>
      </c>
      <c r="BP11" s="460">
        <v>0</v>
      </c>
      <c r="BQ11" s="460">
        <v>0</v>
      </c>
      <c r="BR11" s="460">
        <v>0</v>
      </c>
      <c r="BS11" s="460">
        <v>0</v>
      </c>
      <c r="BT11" s="460">
        <v>0</v>
      </c>
      <c r="BU11" s="460">
        <v>0</v>
      </c>
      <c r="BV11" s="460">
        <v>0</v>
      </c>
      <c r="BW11" s="460">
        <v>0</v>
      </c>
      <c r="BX11" s="460">
        <v>0</v>
      </c>
      <c r="BY11" s="460">
        <v>0</v>
      </c>
      <c r="BZ11" s="460">
        <v>0</v>
      </c>
      <c r="CA11" s="460" t="e">
        <v>#N/A</v>
      </c>
      <c r="CB11" s="460" t="e">
        <v>#N/A</v>
      </c>
      <c r="CC11" s="460" t="e">
        <v>#N/A</v>
      </c>
    </row>
    <row r="12" spans="1:81" ht="12.75" customHeight="1">
      <c r="A12" s="105">
        <v>7</v>
      </c>
      <c r="B12" s="458" t="str">
        <v>3M</v>
      </c>
      <c r="C12" s="465">
        <f>'eur disaggregated'!AV23</f>
        <v>2916.9630221839689</v>
      </c>
      <c r="D12" s="111" t="str">
        <f t="shared" si="3"/>
        <v>3M</v>
      </c>
      <c r="E12" s="441">
        <f t="shared" si="1"/>
        <v>42696</v>
      </c>
      <c r="F12" s="441">
        <f>IF(AND(NOT(ISNA(MATCH(RIGHT(B12,2),$I$6:$I$67,0))),LEN(B12)&lt;3,RIGHT(B12,1)="M"), INDEX($K$6:$K$67, MATCH(RIGHT(B12,2),$I$6:$I$67,0)), IF(AND(NOT(ISNA(MATCH((IF(RIGHT(B12,3)="24M","2Y",RIGHT(B12,3))),$I$6:$I$67,0))), LEN(B12)&gt;=3, RIGHT(B12,1)="M"), INDEX($K$6:$K$67, MATCH((IF(RIGHT(B12,3)="24M","2Y",RIGHT(B12,3))),$I$6:$I$67,0)), _xll.qlCalendarAdvance(Calendar,E12,D12)))</f>
        <v>42788</v>
      </c>
      <c r="G12" s="462">
        <f t="shared" si="2"/>
        <v>-1.242E-3</v>
      </c>
      <c r="H12" s="453">
        <v>-0.1242</v>
      </c>
      <c r="I12" s="107" t="str">
        <v>1M</v>
      </c>
      <c r="J12" s="106" t="str">
        <f>IF(LEN(I12)&gt;0,IF((MID(I12,4,1)=" "),#REF!,IF((LEN(I12)=8),DATE("20" &amp; RIGHT(I12,2),MID(I12,4,2),LEFT(I12,2)),SimplifyTenor(I12))),"")</f>
        <v>1M</v>
      </c>
      <c r="K12" s="448">
        <f>_xll.qlCalendarAdvance("TARGET",SettlementDate,J12)</f>
        <v>42726</v>
      </c>
      <c r="M12" s="99" t="str">
        <v>1M</v>
      </c>
      <c r="N12" s="465">
        <v>-2.8115697843866698</v>
      </c>
      <c r="P12" s="106" t="b">
        <f t="shared" si="0"/>
        <v>0</v>
      </c>
      <c r="Q12" s="460">
        <f t="array" ref="Q12:CC12">C12*ForwardToZero(OisBuckets,E12,F12,G12)</f>
        <v>0</v>
      </c>
      <c r="R12" s="460">
        <v>0</v>
      </c>
      <c r="S12" s="460">
        <v>0</v>
      </c>
      <c r="T12" s="460">
        <v>0</v>
      </c>
      <c r="U12" s="460">
        <v>0</v>
      </c>
      <c r="V12" s="460">
        <v>0</v>
      </c>
      <c r="W12" s="460">
        <v>0</v>
      </c>
      <c r="X12" s="460">
        <v>0</v>
      </c>
      <c r="Y12" s="460">
        <v>2916.9630221839689</v>
      </c>
      <c r="Z12" s="460">
        <v>0</v>
      </c>
      <c r="AA12" s="460">
        <v>0</v>
      </c>
      <c r="AB12" s="460">
        <v>0</v>
      </c>
      <c r="AC12" s="460">
        <v>0</v>
      </c>
      <c r="AD12" s="460">
        <v>0</v>
      </c>
      <c r="AE12" s="460">
        <v>0</v>
      </c>
      <c r="AF12" s="460">
        <v>0</v>
      </c>
      <c r="AG12" s="460">
        <v>0</v>
      </c>
      <c r="AH12" s="460">
        <v>0</v>
      </c>
      <c r="AI12" s="460">
        <v>0</v>
      </c>
      <c r="AJ12" s="460">
        <v>0</v>
      </c>
      <c r="AK12" s="460">
        <v>0</v>
      </c>
      <c r="AL12" s="460">
        <v>0</v>
      </c>
      <c r="AM12" s="460">
        <v>0</v>
      </c>
      <c r="AN12" s="460">
        <v>0</v>
      </c>
      <c r="AO12" s="460">
        <v>0</v>
      </c>
      <c r="AP12" s="460">
        <v>0</v>
      </c>
      <c r="AQ12" s="460">
        <v>0</v>
      </c>
      <c r="AR12" s="460">
        <v>0</v>
      </c>
      <c r="AS12" s="460">
        <v>0</v>
      </c>
      <c r="AT12" s="460">
        <v>0</v>
      </c>
      <c r="AU12" s="460">
        <v>0</v>
      </c>
      <c r="AV12" s="460">
        <v>0</v>
      </c>
      <c r="AW12" s="460">
        <v>0</v>
      </c>
      <c r="AX12" s="460">
        <v>0</v>
      </c>
      <c r="AY12" s="460">
        <v>0</v>
      </c>
      <c r="AZ12" s="460">
        <v>0</v>
      </c>
      <c r="BA12" s="460">
        <v>0</v>
      </c>
      <c r="BB12" s="460">
        <v>0</v>
      </c>
      <c r="BC12" s="460">
        <v>0</v>
      </c>
      <c r="BD12" s="460">
        <v>0</v>
      </c>
      <c r="BE12" s="460">
        <v>0</v>
      </c>
      <c r="BF12" s="460">
        <v>0</v>
      </c>
      <c r="BG12" s="460">
        <v>0</v>
      </c>
      <c r="BH12" s="460">
        <v>0</v>
      </c>
      <c r="BI12" s="460">
        <v>0</v>
      </c>
      <c r="BJ12" s="460">
        <v>0</v>
      </c>
      <c r="BK12" s="460">
        <v>0</v>
      </c>
      <c r="BL12" s="460">
        <v>0</v>
      </c>
      <c r="BM12" s="460">
        <v>0</v>
      </c>
      <c r="BN12" s="460">
        <v>0</v>
      </c>
      <c r="BO12" s="460">
        <v>0</v>
      </c>
      <c r="BP12" s="460">
        <v>0</v>
      </c>
      <c r="BQ12" s="460">
        <v>0</v>
      </c>
      <c r="BR12" s="460">
        <v>0</v>
      </c>
      <c r="BS12" s="460">
        <v>0</v>
      </c>
      <c r="BT12" s="460">
        <v>0</v>
      </c>
      <c r="BU12" s="460">
        <v>0</v>
      </c>
      <c r="BV12" s="460">
        <v>0</v>
      </c>
      <c r="BW12" s="460">
        <v>0</v>
      </c>
      <c r="BX12" s="460">
        <v>0</v>
      </c>
      <c r="BY12" s="460">
        <v>0</v>
      </c>
      <c r="BZ12" s="460">
        <v>0</v>
      </c>
      <c r="CA12" s="460" t="e">
        <v>#N/A</v>
      </c>
      <c r="CB12" s="460" t="e">
        <v>#N/A</v>
      </c>
      <c r="CC12" s="460" t="e">
        <v>#N/A</v>
      </c>
    </row>
    <row r="13" spans="1:81">
      <c r="A13" s="105">
        <v>8</v>
      </c>
      <c r="B13" s="458" t="str">
        <v>4M</v>
      </c>
      <c r="C13" s="465">
        <f>'eur disaggregated'!AV24</f>
        <v>-39.732227383912139</v>
      </c>
      <c r="D13" s="111" t="str">
        <f t="shared" si="3"/>
        <v>4M</v>
      </c>
      <c r="E13" s="441">
        <f t="shared" si="1"/>
        <v>42696</v>
      </c>
      <c r="F13" s="441">
        <f>IF(AND(NOT(ISNA(MATCH(RIGHT(B13,2),$I$6:$I$67,0))),LEN(B13)&lt;3,RIGHT(B13,1)="M"), INDEX($K$6:$K$67, MATCH(RIGHT(B13,2),$I$6:$I$67,0)), IF(AND(NOT(ISNA(MATCH((IF(RIGHT(B13,3)="24M","2Y",RIGHT(B13,3))),$I$6:$I$67,0))), LEN(B13)&gt;=3, RIGHT(B13,1)="M"), INDEX($K$6:$K$67, MATCH((IF(RIGHT(B13,3)="24M","2Y",RIGHT(B13,3))),$I$6:$I$67,0)), _xll.qlCalendarAdvance(Calendar,E13,D13)))</f>
        <v>42816</v>
      </c>
      <c r="G13" s="462">
        <f t="shared" si="2"/>
        <v>-1.21989786E-3</v>
      </c>
      <c r="H13" s="453">
        <v>-0.121989786</v>
      </c>
      <c r="I13" s="107" t="str">
        <v>2M</v>
      </c>
      <c r="J13" s="106" t="str">
        <f>IF(LEN(I13)&gt;0,IF((MID(I13,4,1)=" "),#REF!,IF((LEN(I13)=8),DATE("20" &amp; RIGHT(I13,2),MID(I13,4,2),LEFT(I13,2)),SimplifyTenor(I13))),"")</f>
        <v>2M</v>
      </c>
      <c r="K13" s="448">
        <f>_xll.qlCalendarAdvance("TARGET",SettlementDate,J13)</f>
        <v>42758</v>
      </c>
      <c r="M13" s="99" t="str">
        <v>2M</v>
      </c>
      <c r="N13" s="465">
        <v>815.087028087612</v>
      </c>
      <c r="P13" s="106" t="b">
        <f t="shared" si="0"/>
        <v>0</v>
      </c>
      <c r="Q13" s="460">
        <f t="array" ref="Q13:CC13">C13*ForwardToZero(OisBuckets,E13,F13,G13)</f>
        <v>0</v>
      </c>
      <c r="R13" s="460">
        <v>0</v>
      </c>
      <c r="S13" s="460">
        <v>0</v>
      </c>
      <c r="T13" s="460">
        <v>0</v>
      </c>
      <c r="U13" s="460">
        <v>0</v>
      </c>
      <c r="V13" s="460">
        <v>0</v>
      </c>
      <c r="W13" s="460">
        <v>0</v>
      </c>
      <c r="X13" s="460">
        <v>0</v>
      </c>
      <c r="Y13" s="460">
        <v>0</v>
      </c>
      <c r="Z13" s="460">
        <v>-39.732227383912139</v>
      </c>
      <c r="AA13" s="460">
        <v>0</v>
      </c>
      <c r="AB13" s="460">
        <v>0</v>
      </c>
      <c r="AC13" s="460">
        <v>0</v>
      </c>
      <c r="AD13" s="460">
        <v>0</v>
      </c>
      <c r="AE13" s="460">
        <v>0</v>
      </c>
      <c r="AF13" s="460">
        <v>0</v>
      </c>
      <c r="AG13" s="460">
        <v>0</v>
      </c>
      <c r="AH13" s="460">
        <v>0</v>
      </c>
      <c r="AI13" s="460">
        <v>0</v>
      </c>
      <c r="AJ13" s="460">
        <v>0</v>
      </c>
      <c r="AK13" s="460">
        <v>0</v>
      </c>
      <c r="AL13" s="460">
        <v>0</v>
      </c>
      <c r="AM13" s="460">
        <v>0</v>
      </c>
      <c r="AN13" s="460">
        <v>0</v>
      </c>
      <c r="AO13" s="460">
        <v>0</v>
      </c>
      <c r="AP13" s="460">
        <v>0</v>
      </c>
      <c r="AQ13" s="460">
        <v>0</v>
      </c>
      <c r="AR13" s="460">
        <v>0</v>
      </c>
      <c r="AS13" s="460">
        <v>0</v>
      </c>
      <c r="AT13" s="460">
        <v>0</v>
      </c>
      <c r="AU13" s="460">
        <v>0</v>
      </c>
      <c r="AV13" s="460">
        <v>0</v>
      </c>
      <c r="AW13" s="460">
        <v>0</v>
      </c>
      <c r="AX13" s="460">
        <v>0</v>
      </c>
      <c r="AY13" s="460">
        <v>0</v>
      </c>
      <c r="AZ13" s="460">
        <v>0</v>
      </c>
      <c r="BA13" s="460">
        <v>0</v>
      </c>
      <c r="BB13" s="460">
        <v>0</v>
      </c>
      <c r="BC13" s="460">
        <v>0</v>
      </c>
      <c r="BD13" s="460">
        <v>0</v>
      </c>
      <c r="BE13" s="460">
        <v>0</v>
      </c>
      <c r="BF13" s="460">
        <v>0</v>
      </c>
      <c r="BG13" s="460">
        <v>0</v>
      </c>
      <c r="BH13" s="460">
        <v>0</v>
      </c>
      <c r="BI13" s="460">
        <v>0</v>
      </c>
      <c r="BJ13" s="460">
        <v>0</v>
      </c>
      <c r="BK13" s="460">
        <v>0</v>
      </c>
      <c r="BL13" s="460">
        <v>0</v>
      </c>
      <c r="BM13" s="460">
        <v>0</v>
      </c>
      <c r="BN13" s="460">
        <v>0</v>
      </c>
      <c r="BO13" s="460">
        <v>0</v>
      </c>
      <c r="BP13" s="460">
        <v>0</v>
      </c>
      <c r="BQ13" s="460">
        <v>0</v>
      </c>
      <c r="BR13" s="460">
        <v>0</v>
      </c>
      <c r="BS13" s="460">
        <v>0</v>
      </c>
      <c r="BT13" s="460">
        <v>0</v>
      </c>
      <c r="BU13" s="460">
        <v>0</v>
      </c>
      <c r="BV13" s="460">
        <v>0</v>
      </c>
      <c r="BW13" s="460">
        <v>0</v>
      </c>
      <c r="BX13" s="460">
        <v>0</v>
      </c>
      <c r="BY13" s="460">
        <v>0</v>
      </c>
      <c r="BZ13" s="460">
        <v>0</v>
      </c>
      <c r="CA13" s="460" t="e">
        <v>#N/A</v>
      </c>
      <c r="CB13" s="460" t="e">
        <v>#N/A</v>
      </c>
      <c r="CC13" s="460" t="e">
        <v>#N/A</v>
      </c>
    </row>
    <row r="14" spans="1:81" ht="12.75" customHeight="1">
      <c r="A14" s="105">
        <v>9</v>
      </c>
      <c r="B14" s="458" t="str">
        <v>5M</v>
      </c>
      <c r="C14" s="465">
        <f>'eur disaggregated'!AV25</f>
        <v>0</v>
      </c>
      <c r="D14" s="111" t="str">
        <f t="shared" si="3"/>
        <v>5M</v>
      </c>
      <c r="E14" s="441">
        <f t="shared" si="1"/>
        <v>42696</v>
      </c>
      <c r="F14" s="441">
        <f>IF(AND(NOT(ISNA(MATCH(RIGHT(B14,2),$I$6:$I$67,0))),LEN(B14)&lt;3,RIGHT(B14,1)="M"), INDEX($K$6:$K$67, MATCH(RIGHT(B14,2),$I$6:$I$67,0)), IF(AND(NOT(ISNA(MATCH((IF(RIGHT(B14,3)="24M","2Y",RIGHT(B14,3))),$I$6:$I$67,0))), LEN(B14)&gt;=3, RIGHT(B14,1)="M"), INDEX($K$6:$K$67, MATCH((IF(RIGHT(B14,3)="24M","2Y",RIGHT(B14,3))),$I$6:$I$67,0)), _xll.qlCalendarAdvance(Calendar,E14,D14)))</f>
        <v>42849</v>
      </c>
      <c r="G14" s="462">
        <f t="shared" si="2"/>
        <v>-1.16698863E-3</v>
      </c>
      <c r="H14" s="453">
        <v>-0.116698863</v>
      </c>
      <c r="I14" s="107" t="str">
        <v>3M</v>
      </c>
      <c r="J14" s="106" t="str">
        <f>IF(LEN(I14)&gt;0,IF((MID(I14,4,1)=" "),#REF!,IF((LEN(I14)=8),DATE("20" &amp; RIGHT(I14,2),MID(I14,4,2),LEFT(I14,2)),SimplifyTenor(I14))),"")</f>
        <v>3M</v>
      </c>
      <c r="K14" s="448">
        <f>_xll.qlCalendarAdvance("TARGET",SettlementDate,J14)</f>
        <v>42788</v>
      </c>
      <c r="M14" s="99" t="str">
        <v>3M</v>
      </c>
      <c r="N14" s="465">
        <v>2913.1350495505299</v>
      </c>
      <c r="P14" s="106" t="b">
        <f t="shared" si="0"/>
        <v>0</v>
      </c>
      <c r="Q14" s="460">
        <f t="array" ref="Q14:CC14">C14*ForwardToZero(OisBuckets,E14,F14,G14)</f>
        <v>0</v>
      </c>
      <c r="R14" s="460">
        <v>0</v>
      </c>
      <c r="S14" s="460">
        <v>0</v>
      </c>
      <c r="T14" s="460">
        <v>0</v>
      </c>
      <c r="U14" s="460">
        <v>0</v>
      </c>
      <c r="V14" s="460">
        <v>0</v>
      </c>
      <c r="W14" s="460">
        <v>0</v>
      </c>
      <c r="X14" s="460">
        <v>0</v>
      </c>
      <c r="Y14" s="460">
        <v>0</v>
      </c>
      <c r="Z14" s="460">
        <v>0</v>
      </c>
      <c r="AA14" s="460">
        <v>0</v>
      </c>
      <c r="AB14" s="460">
        <v>0</v>
      </c>
      <c r="AC14" s="460">
        <v>0</v>
      </c>
      <c r="AD14" s="460">
        <v>0</v>
      </c>
      <c r="AE14" s="460">
        <v>0</v>
      </c>
      <c r="AF14" s="460">
        <v>0</v>
      </c>
      <c r="AG14" s="460">
        <v>0</v>
      </c>
      <c r="AH14" s="460">
        <v>0</v>
      </c>
      <c r="AI14" s="460">
        <v>0</v>
      </c>
      <c r="AJ14" s="460">
        <v>0</v>
      </c>
      <c r="AK14" s="460">
        <v>0</v>
      </c>
      <c r="AL14" s="460">
        <v>0</v>
      </c>
      <c r="AM14" s="460">
        <v>0</v>
      </c>
      <c r="AN14" s="460">
        <v>0</v>
      </c>
      <c r="AO14" s="460">
        <v>0</v>
      </c>
      <c r="AP14" s="460">
        <v>0</v>
      </c>
      <c r="AQ14" s="460">
        <v>0</v>
      </c>
      <c r="AR14" s="460">
        <v>0</v>
      </c>
      <c r="AS14" s="460">
        <v>0</v>
      </c>
      <c r="AT14" s="460">
        <v>0</v>
      </c>
      <c r="AU14" s="460">
        <v>0</v>
      </c>
      <c r="AV14" s="460">
        <v>0</v>
      </c>
      <c r="AW14" s="460">
        <v>0</v>
      </c>
      <c r="AX14" s="460">
        <v>0</v>
      </c>
      <c r="AY14" s="460">
        <v>0</v>
      </c>
      <c r="AZ14" s="460">
        <v>0</v>
      </c>
      <c r="BA14" s="460">
        <v>0</v>
      </c>
      <c r="BB14" s="460">
        <v>0</v>
      </c>
      <c r="BC14" s="460">
        <v>0</v>
      </c>
      <c r="BD14" s="460">
        <v>0</v>
      </c>
      <c r="BE14" s="460">
        <v>0</v>
      </c>
      <c r="BF14" s="460">
        <v>0</v>
      </c>
      <c r="BG14" s="460">
        <v>0</v>
      </c>
      <c r="BH14" s="460">
        <v>0</v>
      </c>
      <c r="BI14" s="460">
        <v>0</v>
      </c>
      <c r="BJ14" s="460">
        <v>0</v>
      </c>
      <c r="BK14" s="460">
        <v>0</v>
      </c>
      <c r="BL14" s="460">
        <v>0</v>
      </c>
      <c r="BM14" s="460">
        <v>0</v>
      </c>
      <c r="BN14" s="460">
        <v>0</v>
      </c>
      <c r="BO14" s="460">
        <v>0</v>
      </c>
      <c r="BP14" s="460">
        <v>0</v>
      </c>
      <c r="BQ14" s="460">
        <v>0</v>
      </c>
      <c r="BR14" s="460">
        <v>0</v>
      </c>
      <c r="BS14" s="460">
        <v>0</v>
      </c>
      <c r="BT14" s="460">
        <v>0</v>
      </c>
      <c r="BU14" s="460">
        <v>0</v>
      </c>
      <c r="BV14" s="460">
        <v>0</v>
      </c>
      <c r="BW14" s="460">
        <v>0</v>
      </c>
      <c r="BX14" s="460">
        <v>0</v>
      </c>
      <c r="BY14" s="460">
        <v>0</v>
      </c>
      <c r="BZ14" s="460">
        <v>0</v>
      </c>
      <c r="CA14" s="460" t="e">
        <v>#N/A</v>
      </c>
      <c r="CB14" s="460" t="e">
        <v>#N/A</v>
      </c>
      <c r="CC14" s="460" t="e">
        <v>#N/A</v>
      </c>
    </row>
    <row r="15" spans="1:81" ht="12.75" customHeight="1">
      <c r="A15" s="105">
        <v>10</v>
      </c>
      <c r="B15" s="458" t="str">
        <v>6M</v>
      </c>
      <c r="C15" s="465">
        <f>'eur disaggregated'!AV26</f>
        <v>434.05009068084991</v>
      </c>
      <c r="D15" s="111" t="str">
        <f t="shared" si="3"/>
        <v>6M</v>
      </c>
      <c r="E15" s="441">
        <f t="shared" si="1"/>
        <v>42696</v>
      </c>
      <c r="F15" s="441">
        <f>IF(AND(NOT(ISNA(MATCH(RIGHT(B15,2),$I$6:$I$67,0))),LEN(B15)&lt;3,RIGHT(B15,1)="M"), INDEX($K$6:$K$67, MATCH(RIGHT(B15,2),$I$6:$I$67,0)), IF(AND(NOT(ISNA(MATCH((IF(RIGHT(B15,3)="24M","2Y",RIGHT(B15,3))),$I$6:$I$67,0))), LEN(B15)&gt;=3, RIGHT(B15,1)="M"), INDEX($K$6:$K$67, MATCH((IF(RIGHT(B15,3)="24M","2Y",RIGHT(B15,3))),$I$6:$I$67,0)), _xll.qlCalendarAdvance(Calendar,E15,D15)))</f>
        <v>42877</v>
      </c>
      <c r="G15" s="462">
        <f t="shared" si="2"/>
        <v>-1.1070000000000001E-3</v>
      </c>
      <c r="H15" s="453">
        <v>-0.11070000000000001</v>
      </c>
      <c r="I15" s="107" t="str">
        <v>4M</v>
      </c>
      <c r="J15" s="106" t="str">
        <f>IF(LEN(I15)&gt;0,IF((MID(I15,4,1)=" "),#REF!,IF((LEN(I15)=8),DATE("20" &amp; RIGHT(I15,2),MID(I15,4,2),LEFT(I15,2)),SimplifyTenor(I15))),"")</f>
        <v>4M</v>
      </c>
      <c r="K15" s="448">
        <f>_xll.qlCalendarAdvance("TARGET",SettlementDate,J15)</f>
        <v>42816</v>
      </c>
      <c r="M15" s="99" t="str">
        <v>4M</v>
      </c>
      <c r="N15" s="465">
        <v>-51.003050577059092</v>
      </c>
      <c r="P15" s="106" t="b">
        <f t="shared" si="0"/>
        <v>0</v>
      </c>
      <c r="Q15" s="460">
        <f t="array" ref="Q15:CC15">C15*ForwardToZero(OisBuckets,E15,F15,G15)</f>
        <v>0</v>
      </c>
      <c r="R15" s="460">
        <v>0</v>
      </c>
      <c r="S15" s="460">
        <v>0</v>
      </c>
      <c r="T15" s="460">
        <v>0</v>
      </c>
      <c r="U15" s="460">
        <v>0</v>
      </c>
      <c r="V15" s="460">
        <v>0</v>
      </c>
      <c r="W15" s="460">
        <v>0</v>
      </c>
      <c r="X15" s="460">
        <v>0</v>
      </c>
      <c r="Y15" s="460">
        <v>0</v>
      </c>
      <c r="Z15" s="460">
        <v>0</v>
      </c>
      <c r="AA15" s="460">
        <v>0</v>
      </c>
      <c r="AB15" s="460">
        <v>434.05009068084991</v>
      </c>
      <c r="AC15" s="460">
        <v>0</v>
      </c>
      <c r="AD15" s="460">
        <v>0</v>
      </c>
      <c r="AE15" s="460">
        <v>0</v>
      </c>
      <c r="AF15" s="460">
        <v>0</v>
      </c>
      <c r="AG15" s="460">
        <v>0</v>
      </c>
      <c r="AH15" s="460">
        <v>0</v>
      </c>
      <c r="AI15" s="460">
        <v>0</v>
      </c>
      <c r="AJ15" s="460">
        <v>0</v>
      </c>
      <c r="AK15" s="460">
        <v>0</v>
      </c>
      <c r="AL15" s="460">
        <v>0</v>
      </c>
      <c r="AM15" s="460">
        <v>0</v>
      </c>
      <c r="AN15" s="460">
        <v>0</v>
      </c>
      <c r="AO15" s="460">
        <v>0</v>
      </c>
      <c r="AP15" s="460">
        <v>0</v>
      </c>
      <c r="AQ15" s="460">
        <v>0</v>
      </c>
      <c r="AR15" s="460">
        <v>0</v>
      </c>
      <c r="AS15" s="460">
        <v>0</v>
      </c>
      <c r="AT15" s="460">
        <v>0</v>
      </c>
      <c r="AU15" s="460">
        <v>0</v>
      </c>
      <c r="AV15" s="460">
        <v>0</v>
      </c>
      <c r="AW15" s="460">
        <v>0</v>
      </c>
      <c r="AX15" s="460">
        <v>0</v>
      </c>
      <c r="AY15" s="460">
        <v>0</v>
      </c>
      <c r="AZ15" s="460">
        <v>0</v>
      </c>
      <c r="BA15" s="460">
        <v>0</v>
      </c>
      <c r="BB15" s="460">
        <v>0</v>
      </c>
      <c r="BC15" s="460">
        <v>0</v>
      </c>
      <c r="BD15" s="460">
        <v>0</v>
      </c>
      <c r="BE15" s="460">
        <v>0</v>
      </c>
      <c r="BF15" s="460">
        <v>0</v>
      </c>
      <c r="BG15" s="460">
        <v>0</v>
      </c>
      <c r="BH15" s="460">
        <v>0</v>
      </c>
      <c r="BI15" s="460">
        <v>0</v>
      </c>
      <c r="BJ15" s="460">
        <v>0</v>
      </c>
      <c r="BK15" s="460">
        <v>0</v>
      </c>
      <c r="BL15" s="460">
        <v>0</v>
      </c>
      <c r="BM15" s="460">
        <v>0</v>
      </c>
      <c r="BN15" s="460">
        <v>0</v>
      </c>
      <c r="BO15" s="460">
        <v>0</v>
      </c>
      <c r="BP15" s="460">
        <v>0</v>
      </c>
      <c r="BQ15" s="460">
        <v>0</v>
      </c>
      <c r="BR15" s="460">
        <v>0</v>
      </c>
      <c r="BS15" s="460">
        <v>0</v>
      </c>
      <c r="BT15" s="460">
        <v>0</v>
      </c>
      <c r="BU15" s="460">
        <v>0</v>
      </c>
      <c r="BV15" s="460">
        <v>0</v>
      </c>
      <c r="BW15" s="460">
        <v>0</v>
      </c>
      <c r="BX15" s="460">
        <v>0</v>
      </c>
      <c r="BY15" s="460">
        <v>0</v>
      </c>
      <c r="BZ15" s="460">
        <v>0</v>
      </c>
      <c r="CA15" s="460" t="e">
        <v>#N/A</v>
      </c>
      <c r="CB15" s="460" t="e">
        <v>#N/A</v>
      </c>
      <c r="CC15" s="460" t="e">
        <v>#N/A</v>
      </c>
    </row>
    <row r="16" spans="1:81" ht="12.75" customHeight="1">
      <c r="A16" s="105">
        <v>11</v>
      </c>
      <c r="B16" s="458" t="str">
        <v>7M</v>
      </c>
      <c r="C16" s="465">
        <f>'eur disaggregated'!AV27</f>
        <v>-4667.042753561218</v>
      </c>
      <c r="D16" s="111" t="str">
        <f t="shared" si="3"/>
        <v>7M</v>
      </c>
      <c r="E16" s="441">
        <f t="shared" si="1"/>
        <v>42696</v>
      </c>
      <c r="F16" s="441">
        <f>IF(AND(NOT(ISNA(MATCH(RIGHT(B16,2),$I$6:$I$67,0))),LEN(B16)&lt;3,RIGHT(B16,1)="M"), INDEX($K$6:$K$67, MATCH(RIGHT(B16,2),$I$6:$I$67,0)), IF(AND(NOT(ISNA(MATCH((IF(RIGHT(B16,3)="24M","2Y",RIGHT(B16,3))),$I$6:$I$67,0))), LEN(B16)&gt;=3, RIGHT(B16,1)="M"), INDEX($K$6:$K$67, MATCH((IF(RIGHT(B16,3)="24M","2Y",RIGHT(B16,3))),$I$6:$I$67,0)), _xll.qlCalendarAdvance(Calendar,E16,D16)))</f>
        <v>42908</v>
      </c>
      <c r="G16" s="462">
        <f t="shared" si="2"/>
        <v>-1.05238919E-3</v>
      </c>
      <c r="H16" s="453">
        <v>-0.105238919</v>
      </c>
      <c r="I16" s="107" t="str">
        <v>5M</v>
      </c>
      <c r="J16" s="106" t="str">
        <f>IF(LEN(I16)&gt;0,IF((MID(I16,4,1)=" "),#REF!,IF((LEN(I16)=8),DATE("20" &amp; RIGHT(I16,2),MID(I16,4,2),LEFT(I16,2)),SimplifyTenor(I16))),"")</f>
        <v>5M</v>
      </c>
      <c r="K16" s="448">
        <f>_xll.qlCalendarAdvance("TARGET",SettlementDate,J16)</f>
        <v>42849</v>
      </c>
      <c r="M16" s="99" t="str">
        <v>5M</v>
      </c>
      <c r="N16" s="465">
        <v>0</v>
      </c>
      <c r="P16" s="106" t="b">
        <f t="shared" si="0"/>
        <v>0</v>
      </c>
      <c r="Q16" s="460">
        <f t="array" ref="Q16:CC16">C16*ForwardToZero(OisBuckets,E16,F16,G16)</f>
        <v>0</v>
      </c>
      <c r="R16" s="460">
        <v>0</v>
      </c>
      <c r="S16" s="460">
        <v>0</v>
      </c>
      <c r="T16" s="460">
        <v>0</v>
      </c>
      <c r="U16" s="460">
        <v>0</v>
      </c>
      <c r="V16" s="460">
        <v>0</v>
      </c>
      <c r="W16" s="460">
        <v>0</v>
      </c>
      <c r="X16" s="460">
        <v>0</v>
      </c>
      <c r="Y16" s="460">
        <v>0</v>
      </c>
      <c r="Z16" s="460">
        <v>0</v>
      </c>
      <c r="AA16" s="460">
        <v>0</v>
      </c>
      <c r="AB16" s="460">
        <v>0</v>
      </c>
      <c r="AC16" s="460">
        <v>-4667.042753561218</v>
      </c>
      <c r="AD16" s="460">
        <v>0</v>
      </c>
      <c r="AE16" s="460">
        <v>0</v>
      </c>
      <c r="AF16" s="460">
        <v>0</v>
      </c>
      <c r="AG16" s="460">
        <v>0</v>
      </c>
      <c r="AH16" s="460">
        <v>0</v>
      </c>
      <c r="AI16" s="460">
        <v>0</v>
      </c>
      <c r="AJ16" s="460">
        <v>0</v>
      </c>
      <c r="AK16" s="460">
        <v>0</v>
      </c>
      <c r="AL16" s="460">
        <v>0</v>
      </c>
      <c r="AM16" s="460">
        <v>0</v>
      </c>
      <c r="AN16" s="460">
        <v>0</v>
      </c>
      <c r="AO16" s="460">
        <v>0</v>
      </c>
      <c r="AP16" s="460">
        <v>0</v>
      </c>
      <c r="AQ16" s="460">
        <v>0</v>
      </c>
      <c r="AR16" s="460">
        <v>0</v>
      </c>
      <c r="AS16" s="460">
        <v>0</v>
      </c>
      <c r="AT16" s="460">
        <v>0</v>
      </c>
      <c r="AU16" s="460">
        <v>0</v>
      </c>
      <c r="AV16" s="460">
        <v>0</v>
      </c>
      <c r="AW16" s="460">
        <v>0</v>
      </c>
      <c r="AX16" s="460">
        <v>0</v>
      </c>
      <c r="AY16" s="460">
        <v>0</v>
      </c>
      <c r="AZ16" s="460">
        <v>0</v>
      </c>
      <c r="BA16" s="460">
        <v>0</v>
      </c>
      <c r="BB16" s="460">
        <v>0</v>
      </c>
      <c r="BC16" s="460">
        <v>0</v>
      </c>
      <c r="BD16" s="460">
        <v>0</v>
      </c>
      <c r="BE16" s="460">
        <v>0</v>
      </c>
      <c r="BF16" s="460">
        <v>0</v>
      </c>
      <c r="BG16" s="460">
        <v>0</v>
      </c>
      <c r="BH16" s="460">
        <v>0</v>
      </c>
      <c r="BI16" s="460">
        <v>0</v>
      </c>
      <c r="BJ16" s="460">
        <v>0</v>
      </c>
      <c r="BK16" s="460">
        <v>0</v>
      </c>
      <c r="BL16" s="460">
        <v>0</v>
      </c>
      <c r="BM16" s="460">
        <v>0</v>
      </c>
      <c r="BN16" s="460">
        <v>0</v>
      </c>
      <c r="BO16" s="460">
        <v>0</v>
      </c>
      <c r="BP16" s="460">
        <v>0</v>
      </c>
      <c r="BQ16" s="460">
        <v>0</v>
      </c>
      <c r="BR16" s="460">
        <v>0</v>
      </c>
      <c r="BS16" s="460">
        <v>0</v>
      </c>
      <c r="BT16" s="460">
        <v>0</v>
      </c>
      <c r="BU16" s="460">
        <v>0</v>
      </c>
      <c r="BV16" s="460">
        <v>0</v>
      </c>
      <c r="BW16" s="460">
        <v>0</v>
      </c>
      <c r="BX16" s="460">
        <v>0</v>
      </c>
      <c r="BY16" s="460">
        <v>0</v>
      </c>
      <c r="BZ16" s="460">
        <v>0</v>
      </c>
      <c r="CA16" s="460" t="e">
        <v>#N/A</v>
      </c>
      <c r="CB16" s="460" t="e">
        <v>#N/A</v>
      </c>
      <c r="CC16" s="460" t="e">
        <v>#N/A</v>
      </c>
    </row>
    <row r="17" spans="1:81" ht="12.75" customHeight="1">
      <c r="A17" s="105">
        <v>12</v>
      </c>
      <c r="B17" s="458" t="str">
        <v>8M</v>
      </c>
      <c r="C17" s="465">
        <f>'eur disaggregated'!AV28</f>
        <v>-886.08061047216393</v>
      </c>
      <c r="D17" s="111" t="str">
        <f t="shared" si="3"/>
        <v>8M</v>
      </c>
      <c r="E17" s="441">
        <f t="shared" si="1"/>
        <v>42696</v>
      </c>
      <c r="F17" s="441">
        <f>IF(AND(NOT(ISNA(MATCH(RIGHT(B17,2),$I$6:$I$67,0))),LEN(B17)&lt;3,RIGHT(B17,1)="M"), INDEX($K$6:$K$67, MATCH(RIGHT(B17,2),$I$6:$I$67,0)), IF(AND(NOT(ISNA(MATCH((IF(RIGHT(B17,3)="24M","2Y",RIGHT(B17,3))),$I$6:$I$67,0))), LEN(B17)&gt;=3, RIGHT(B17,1)="M"), INDEX($K$6:$K$67, MATCH((IF(RIGHT(B17,3)="24M","2Y",RIGHT(B17,3))),$I$6:$I$67,0)), _xll.qlCalendarAdvance(Calendar,E17,D17)))</f>
        <v>42940</v>
      </c>
      <c r="G17" s="462">
        <f t="shared" si="2"/>
        <v>-1.0051113400000001E-3</v>
      </c>
      <c r="H17" s="453">
        <v>-0.100511134</v>
      </c>
      <c r="I17" s="107" t="str">
        <v>6M</v>
      </c>
      <c r="J17" s="106" t="str">
        <f>IF(LEN(I17)&gt;0,IF((MID(I17,4,1)=" "),#REF!,IF((LEN(I17)=8),DATE("20" &amp; RIGHT(I17,2),MID(I17,4,2),LEFT(I17,2)),SimplifyTenor(I17))),"")</f>
        <v>6M</v>
      </c>
      <c r="K17" s="448">
        <f>_xll.qlCalendarAdvance("TARGET",SettlementDate,J17)</f>
        <v>42877</v>
      </c>
      <c r="M17" s="99" t="str">
        <v>6M</v>
      </c>
      <c r="N17" s="465">
        <v>434.70896977949701</v>
      </c>
      <c r="P17" s="106" t="b">
        <f t="shared" si="0"/>
        <v>0</v>
      </c>
      <c r="Q17" s="460">
        <f t="array" ref="Q17:CC17">C17*ForwardToZero(OisBuckets,E17,F17,G17)</f>
        <v>0</v>
      </c>
      <c r="R17" s="460">
        <v>0</v>
      </c>
      <c r="S17" s="460">
        <v>0</v>
      </c>
      <c r="T17" s="460">
        <v>0</v>
      </c>
      <c r="U17" s="460">
        <v>0</v>
      </c>
      <c r="V17" s="460">
        <v>0</v>
      </c>
      <c r="W17" s="460">
        <v>0</v>
      </c>
      <c r="X17" s="460">
        <v>0</v>
      </c>
      <c r="Y17" s="460">
        <v>0</v>
      </c>
      <c r="Z17" s="460">
        <v>0</v>
      </c>
      <c r="AA17" s="460">
        <v>0</v>
      </c>
      <c r="AB17" s="460">
        <v>0</v>
      </c>
      <c r="AC17" s="460">
        <v>0</v>
      </c>
      <c r="AD17" s="460">
        <v>-886.08061047216393</v>
      </c>
      <c r="AE17" s="460">
        <v>0</v>
      </c>
      <c r="AF17" s="460">
        <v>0</v>
      </c>
      <c r="AG17" s="460">
        <v>0</v>
      </c>
      <c r="AH17" s="460">
        <v>0</v>
      </c>
      <c r="AI17" s="460">
        <v>0</v>
      </c>
      <c r="AJ17" s="460">
        <v>0</v>
      </c>
      <c r="AK17" s="460">
        <v>0</v>
      </c>
      <c r="AL17" s="460">
        <v>0</v>
      </c>
      <c r="AM17" s="460">
        <v>0</v>
      </c>
      <c r="AN17" s="460">
        <v>0</v>
      </c>
      <c r="AO17" s="460">
        <v>0</v>
      </c>
      <c r="AP17" s="460">
        <v>0</v>
      </c>
      <c r="AQ17" s="460">
        <v>0</v>
      </c>
      <c r="AR17" s="460">
        <v>0</v>
      </c>
      <c r="AS17" s="460">
        <v>0</v>
      </c>
      <c r="AT17" s="460">
        <v>0</v>
      </c>
      <c r="AU17" s="460">
        <v>0</v>
      </c>
      <c r="AV17" s="460">
        <v>0</v>
      </c>
      <c r="AW17" s="460">
        <v>0</v>
      </c>
      <c r="AX17" s="460">
        <v>0</v>
      </c>
      <c r="AY17" s="460">
        <v>0</v>
      </c>
      <c r="AZ17" s="460">
        <v>0</v>
      </c>
      <c r="BA17" s="460">
        <v>0</v>
      </c>
      <c r="BB17" s="460">
        <v>0</v>
      </c>
      <c r="BC17" s="460">
        <v>0</v>
      </c>
      <c r="BD17" s="460">
        <v>0</v>
      </c>
      <c r="BE17" s="460">
        <v>0</v>
      </c>
      <c r="BF17" s="460">
        <v>0</v>
      </c>
      <c r="BG17" s="460">
        <v>0</v>
      </c>
      <c r="BH17" s="460">
        <v>0</v>
      </c>
      <c r="BI17" s="460">
        <v>0</v>
      </c>
      <c r="BJ17" s="460">
        <v>0</v>
      </c>
      <c r="BK17" s="460">
        <v>0</v>
      </c>
      <c r="BL17" s="460">
        <v>0</v>
      </c>
      <c r="BM17" s="460">
        <v>0</v>
      </c>
      <c r="BN17" s="460">
        <v>0</v>
      </c>
      <c r="BO17" s="460">
        <v>0</v>
      </c>
      <c r="BP17" s="460">
        <v>0</v>
      </c>
      <c r="BQ17" s="460">
        <v>0</v>
      </c>
      <c r="BR17" s="460">
        <v>0</v>
      </c>
      <c r="BS17" s="460">
        <v>0</v>
      </c>
      <c r="BT17" s="460">
        <v>0</v>
      </c>
      <c r="BU17" s="460">
        <v>0</v>
      </c>
      <c r="BV17" s="460">
        <v>0</v>
      </c>
      <c r="BW17" s="460">
        <v>0</v>
      </c>
      <c r="BX17" s="460">
        <v>0</v>
      </c>
      <c r="BY17" s="460">
        <v>0</v>
      </c>
      <c r="BZ17" s="460">
        <v>0</v>
      </c>
      <c r="CA17" s="460" t="e">
        <v>#N/A</v>
      </c>
      <c r="CB17" s="460" t="e">
        <v>#N/A</v>
      </c>
      <c r="CC17" s="460" t="e">
        <v>#N/A</v>
      </c>
    </row>
    <row r="18" spans="1:81" ht="12.75" customHeight="1">
      <c r="A18" s="105">
        <v>13</v>
      </c>
      <c r="B18" s="458" t="str">
        <v>9M</v>
      </c>
      <c r="C18" s="465">
        <f>'eur disaggregated'!AV29</f>
        <v>90.388060923266835</v>
      </c>
      <c r="D18" s="111" t="str">
        <f t="shared" si="3"/>
        <v>9M</v>
      </c>
      <c r="E18" s="441">
        <f t="shared" si="1"/>
        <v>42696</v>
      </c>
      <c r="F18" s="441">
        <f>IF(AND(NOT(ISNA(MATCH(RIGHT(B18,2),$I$6:$I$67,0))),LEN(B18)&lt;3,RIGHT(B18,1)="M"), INDEX($K$6:$K$67, MATCH(RIGHT(B18,2),$I$6:$I$67,0)), IF(AND(NOT(ISNA(MATCH((IF(RIGHT(B18,3)="24M","2Y",RIGHT(B18,3))),$I$6:$I$67,0))), LEN(B18)&gt;=3, RIGHT(B18,1)="M"), INDEX($K$6:$K$67, MATCH((IF(RIGHT(B18,3)="24M","2Y",RIGHT(B18,3))),$I$6:$I$67,0)), _xll.qlCalendarAdvance(Calendar,E18,D18)))</f>
        <v>42969</v>
      </c>
      <c r="G18" s="462">
        <f t="shared" si="2"/>
        <v>-9.5399999999999999E-4</v>
      </c>
      <c r="H18" s="453">
        <v>-9.5399999999999999E-2</v>
      </c>
      <c r="I18" s="107" t="str">
        <v>7M</v>
      </c>
      <c r="J18" s="106" t="str">
        <f>IF(LEN(I18)&gt;0,IF((MID(I18,4,1)=" "),#REF!,IF((LEN(I18)=8),DATE("20" &amp; RIGHT(I18,2),MID(I18,4,2),LEFT(I18,2)),SimplifyTenor(I18))),"")</f>
        <v>7M</v>
      </c>
      <c r="K18" s="448">
        <f>_xll.qlCalendarAdvance("TARGET",SettlementDate,J18)</f>
        <v>42908</v>
      </c>
      <c r="M18" s="99" t="str">
        <v>7M</v>
      </c>
      <c r="N18" s="465">
        <v>-4678.4515922596765</v>
      </c>
      <c r="P18" s="106" t="b">
        <f t="shared" si="0"/>
        <v>0</v>
      </c>
      <c r="Q18" s="460">
        <f t="array" ref="Q18:CC18">C18*ForwardToZero(OisBuckets,E18,F18,G18)</f>
        <v>0</v>
      </c>
      <c r="R18" s="460">
        <v>0</v>
      </c>
      <c r="S18" s="460">
        <v>0</v>
      </c>
      <c r="T18" s="460">
        <v>0</v>
      </c>
      <c r="U18" s="460">
        <v>0</v>
      </c>
      <c r="V18" s="460">
        <v>0</v>
      </c>
      <c r="W18" s="460">
        <v>0</v>
      </c>
      <c r="X18" s="460">
        <v>0</v>
      </c>
      <c r="Y18" s="460">
        <v>0</v>
      </c>
      <c r="Z18" s="460">
        <v>0</v>
      </c>
      <c r="AA18" s="460">
        <v>0</v>
      </c>
      <c r="AB18" s="460">
        <v>0</v>
      </c>
      <c r="AC18" s="460">
        <v>0</v>
      </c>
      <c r="AD18" s="460">
        <v>0</v>
      </c>
      <c r="AE18" s="460">
        <v>90.388060923266835</v>
      </c>
      <c r="AF18" s="460">
        <v>0</v>
      </c>
      <c r="AG18" s="460">
        <v>0</v>
      </c>
      <c r="AH18" s="460">
        <v>0</v>
      </c>
      <c r="AI18" s="460">
        <v>0</v>
      </c>
      <c r="AJ18" s="460">
        <v>0</v>
      </c>
      <c r="AK18" s="460">
        <v>0</v>
      </c>
      <c r="AL18" s="460">
        <v>0</v>
      </c>
      <c r="AM18" s="460">
        <v>0</v>
      </c>
      <c r="AN18" s="460">
        <v>0</v>
      </c>
      <c r="AO18" s="460">
        <v>0</v>
      </c>
      <c r="AP18" s="460">
        <v>0</v>
      </c>
      <c r="AQ18" s="460">
        <v>0</v>
      </c>
      <c r="AR18" s="460">
        <v>0</v>
      </c>
      <c r="AS18" s="460">
        <v>0</v>
      </c>
      <c r="AT18" s="460">
        <v>0</v>
      </c>
      <c r="AU18" s="460">
        <v>0</v>
      </c>
      <c r="AV18" s="460">
        <v>0</v>
      </c>
      <c r="AW18" s="460">
        <v>0</v>
      </c>
      <c r="AX18" s="460">
        <v>0</v>
      </c>
      <c r="AY18" s="460">
        <v>0</v>
      </c>
      <c r="AZ18" s="460">
        <v>0</v>
      </c>
      <c r="BA18" s="460">
        <v>0</v>
      </c>
      <c r="BB18" s="460">
        <v>0</v>
      </c>
      <c r="BC18" s="460">
        <v>0</v>
      </c>
      <c r="BD18" s="460">
        <v>0</v>
      </c>
      <c r="BE18" s="460">
        <v>0</v>
      </c>
      <c r="BF18" s="460">
        <v>0</v>
      </c>
      <c r="BG18" s="460">
        <v>0</v>
      </c>
      <c r="BH18" s="460">
        <v>0</v>
      </c>
      <c r="BI18" s="460">
        <v>0</v>
      </c>
      <c r="BJ18" s="460">
        <v>0</v>
      </c>
      <c r="BK18" s="460">
        <v>0</v>
      </c>
      <c r="BL18" s="460">
        <v>0</v>
      </c>
      <c r="BM18" s="460">
        <v>0</v>
      </c>
      <c r="BN18" s="460">
        <v>0</v>
      </c>
      <c r="BO18" s="460">
        <v>0</v>
      </c>
      <c r="BP18" s="460">
        <v>0</v>
      </c>
      <c r="BQ18" s="460">
        <v>0</v>
      </c>
      <c r="BR18" s="460">
        <v>0</v>
      </c>
      <c r="BS18" s="460">
        <v>0</v>
      </c>
      <c r="BT18" s="460">
        <v>0</v>
      </c>
      <c r="BU18" s="460">
        <v>0</v>
      </c>
      <c r="BV18" s="460">
        <v>0</v>
      </c>
      <c r="BW18" s="460">
        <v>0</v>
      </c>
      <c r="BX18" s="460">
        <v>0</v>
      </c>
      <c r="BY18" s="460">
        <v>0</v>
      </c>
      <c r="BZ18" s="460">
        <v>0</v>
      </c>
      <c r="CA18" s="460" t="e">
        <v>#N/A</v>
      </c>
      <c r="CB18" s="460" t="e">
        <v>#N/A</v>
      </c>
      <c r="CC18" s="460" t="e">
        <v>#N/A</v>
      </c>
    </row>
    <row r="19" spans="1:81" ht="12.75" customHeight="1">
      <c r="A19" s="105">
        <v>14</v>
      </c>
      <c r="B19" s="458" t="str">
        <v>10M</v>
      </c>
      <c r="C19" s="465">
        <f>'eur disaggregated'!AV30</f>
        <v>-9.7003999538632701</v>
      </c>
      <c r="D19" s="111" t="str">
        <f t="shared" si="3"/>
        <v>10M</v>
      </c>
      <c r="E19" s="441">
        <f t="shared" si="1"/>
        <v>42696</v>
      </c>
      <c r="F19" s="441">
        <f>IF(AND(NOT(ISNA(MATCH(RIGHT(B19,2),$I$6:$I$67,0))),LEN(B19)&lt;3,RIGHT(B19,1)="M"), INDEX($K$6:$K$67, MATCH(RIGHT(B19,2),$I$6:$I$67,0)), IF(AND(NOT(ISNA(MATCH((IF(RIGHT(B19,3)="24M","2Y",RIGHT(B19,3))),$I$6:$I$67,0))), LEN(B19)&gt;=3, RIGHT(B19,1)="M"), INDEX($K$6:$K$67, MATCH((IF(RIGHT(B19,3)="24M","2Y",RIGHT(B19,3))),$I$6:$I$67,0)), _xll.qlCalendarAdvance(Calendar,E19,D19)))</f>
        <v>43000</v>
      </c>
      <c r="G19" s="462">
        <f t="shared" si="2"/>
        <v>-8.9959358000000003E-4</v>
      </c>
      <c r="H19" s="453">
        <v>-8.9959358000000003E-2</v>
      </c>
      <c r="I19" s="107" t="str">
        <v>8M</v>
      </c>
      <c r="J19" s="106" t="str">
        <f>IF(LEN(I19)&gt;0,IF((MID(I19,4,1)=" "),#REF!,IF((LEN(I19)=8),DATE("20" &amp; RIGHT(I19,2),MID(I19,4,2),LEFT(I19,2)),SimplifyTenor(I19))),"")</f>
        <v>8M</v>
      </c>
      <c r="K19" s="448">
        <f>_xll.qlCalendarAdvance("TARGET",SettlementDate,J19)</f>
        <v>42940</v>
      </c>
      <c r="M19" s="99" t="str">
        <v>8M</v>
      </c>
      <c r="N19" s="465">
        <v>-888.56508680005891</v>
      </c>
      <c r="P19" s="106" t="b">
        <f t="shared" si="0"/>
        <v>0</v>
      </c>
      <c r="Q19" s="460">
        <f t="array" ref="Q19:CC19">C19*ForwardToZero(OisBuckets,E19,F19,G19)</f>
        <v>0</v>
      </c>
      <c r="R19" s="460">
        <v>0</v>
      </c>
      <c r="S19" s="460">
        <v>0</v>
      </c>
      <c r="T19" s="460">
        <v>0</v>
      </c>
      <c r="U19" s="460">
        <v>0</v>
      </c>
      <c r="V19" s="460">
        <v>0</v>
      </c>
      <c r="W19" s="460">
        <v>0</v>
      </c>
      <c r="X19" s="460">
        <v>0</v>
      </c>
      <c r="Y19" s="460">
        <v>0</v>
      </c>
      <c r="Z19" s="460">
        <v>0</v>
      </c>
      <c r="AA19" s="460">
        <v>0</v>
      </c>
      <c r="AB19" s="460">
        <v>0</v>
      </c>
      <c r="AC19" s="460">
        <v>0</v>
      </c>
      <c r="AD19" s="460">
        <v>0</v>
      </c>
      <c r="AE19" s="460">
        <v>0</v>
      </c>
      <c r="AF19" s="460">
        <v>-9.7003999538632701</v>
      </c>
      <c r="AG19" s="460">
        <v>0</v>
      </c>
      <c r="AH19" s="460">
        <v>0</v>
      </c>
      <c r="AI19" s="460">
        <v>0</v>
      </c>
      <c r="AJ19" s="460">
        <v>0</v>
      </c>
      <c r="AK19" s="460">
        <v>0</v>
      </c>
      <c r="AL19" s="460">
        <v>0</v>
      </c>
      <c r="AM19" s="460">
        <v>0</v>
      </c>
      <c r="AN19" s="460">
        <v>0</v>
      </c>
      <c r="AO19" s="460">
        <v>0</v>
      </c>
      <c r="AP19" s="460">
        <v>0</v>
      </c>
      <c r="AQ19" s="460">
        <v>0</v>
      </c>
      <c r="AR19" s="460">
        <v>0</v>
      </c>
      <c r="AS19" s="460">
        <v>0</v>
      </c>
      <c r="AT19" s="460">
        <v>0</v>
      </c>
      <c r="AU19" s="460">
        <v>0</v>
      </c>
      <c r="AV19" s="460">
        <v>0</v>
      </c>
      <c r="AW19" s="460">
        <v>0</v>
      </c>
      <c r="AX19" s="460">
        <v>0</v>
      </c>
      <c r="AY19" s="460">
        <v>0</v>
      </c>
      <c r="AZ19" s="460">
        <v>0</v>
      </c>
      <c r="BA19" s="460">
        <v>0</v>
      </c>
      <c r="BB19" s="460">
        <v>0</v>
      </c>
      <c r="BC19" s="460">
        <v>0</v>
      </c>
      <c r="BD19" s="460">
        <v>0</v>
      </c>
      <c r="BE19" s="460">
        <v>0</v>
      </c>
      <c r="BF19" s="460">
        <v>0</v>
      </c>
      <c r="BG19" s="460">
        <v>0</v>
      </c>
      <c r="BH19" s="460">
        <v>0</v>
      </c>
      <c r="BI19" s="460">
        <v>0</v>
      </c>
      <c r="BJ19" s="460">
        <v>0</v>
      </c>
      <c r="BK19" s="460">
        <v>0</v>
      </c>
      <c r="BL19" s="460">
        <v>0</v>
      </c>
      <c r="BM19" s="460">
        <v>0</v>
      </c>
      <c r="BN19" s="460">
        <v>0</v>
      </c>
      <c r="BO19" s="460">
        <v>0</v>
      </c>
      <c r="BP19" s="460">
        <v>0</v>
      </c>
      <c r="BQ19" s="460">
        <v>0</v>
      </c>
      <c r="BR19" s="460">
        <v>0</v>
      </c>
      <c r="BS19" s="460">
        <v>0</v>
      </c>
      <c r="BT19" s="460">
        <v>0</v>
      </c>
      <c r="BU19" s="460">
        <v>0</v>
      </c>
      <c r="BV19" s="460">
        <v>0</v>
      </c>
      <c r="BW19" s="460">
        <v>0</v>
      </c>
      <c r="BX19" s="460">
        <v>0</v>
      </c>
      <c r="BY19" s="460">
        <v>0</v>
      </c>
      <c r="BZ19" s="460">
        <v>0</v>
      </c>
      <c r="CA19" s="460" t="e">
        <v>#N/A</v>
      </c>
      <c r="CB19" s="460" t="e">
        <v>#N/A</v>
      </c>
      <c r="CC19" s="460" t="e">
        <v>#N/A</v>
      </c>
    </row>
    <row r="20" spans="1:81" ht="12.75" customHeight="1">
      <c r="A20" s="105">
        <v>15</v>
      </c>
      <c r="B20" s="458" t="str">
        <v>11M</v>
      </c>
      <c r="C20" s="465">
        <f>'eur disaggregated'!AV31</f>
        <v>-31.793109102451982</v>
      </c>
      <c r="D20" s="111" t="str">
        <f t="shared" si="3"/>
        <v>11M</v>
      </c>
      <c r="E20" s="441">
        <f t="shared" si="1"/>
        <v>42696</v>
      </c>
      <c r="F20" s="441">
        <f>IF(AND(NOT(ISNA(MATCH(RIGHT(B20,2),$I$6:$I$67,0))),LEN(B20)&lt;3,RIGHT(B20,1)="M"), INDEX($K$6:$K$67, MATCH(RIGHT(B20,2),$I$6:$I$67,0)), IF(AND(NOT(ISNA(MATCH((IF(RIGHT(B20,3)="24M","2Y",RIGHT(B20,3))),$I$6:$I$67,0))), LEN(B20)&gt;=3, RIGHT(B20,1)="M"), INDEX($K$6:$K$67, MATCH((IF(RIGHT(B20,3)="24M","2Y",RIGHT(B20,3))),$I$6:$I$67,0)), _xll.qlCalendarAdvance(Calendar,E20,D20)))</f>
        <v>43031</v>
      </c>
      <c r="G20" s="462">
        <f t="shared" si="2"/>
        <v>-8.4217626000000008E-4</v>
      </c>
      <c r="H20" s="453">
        <v>-8.4217626000000004E-2</v>
      </c>
      <c r="I20" s="107" t="str">
        <v>9M</v>
      </c>
      <c r="J20" s="106" t="str">
        <f>IF(LEN(I20)&gt;0,IF((MID(I20,4,1)=" "),#REF!,IF((LEN(I20)=8),DATE("20" &amp; RIGHT(I20,2),MID(I20,4,2),LEFT(I20,2)),SimplifyTenor(I20))),"")</f>
        <v>9M</v>
      </c>
      <c r="K20" s="448">
        <f>_xll.qlCalendarAdvance("TARGET",SettlementDate,J20)</f>
        <v>42969</v>
      </c>
      <c r="M20" s="99" t="str">
        <v>9M</v>
      </c>
      <c r="N20" s="465">
        <v>89.099113630231813</v>
      </c>
      <c r="P20" s="106" t="b">
        <f t="shared" si="0"/>
        <v>0</v>
      </c>
      <c r="Q20" s="460">
        <f t="array" ref="Q20:CC20">C20*ForwardToZero(OisBuckets,E20,F20,G20)</f>
        <v>0</v>
      </c>
      <c r="R20" s="460">
        <v>0</v>
      </c>
      <c r="S20" s="460">
        <v>0</v>
      </c>
      <c r="T20" s="460">
        <v>0</v>
      </c>
      <c r="U20" s="460">
        <v>0</v>
      </c>
      <c r="V20" s="460">
        <v>0</v>
      </c>
      <c r="W20" s="460">
        <v>0</v>
      </c>
      <c r="X20" s="460">
        <v>0</v>
      </c>
      <c r="Y20" s="460">
        <v>0</v>
      </c>
      <c r="Z20" s="460">
        <v>0</v>
      </c>
      <c r="AA20" s="460">
        <v>0</v>
      </c>
      <c r="AB20" s="460">
        <v>0</v>
      </c>
      <c r="AC20" s="460">
        <v>0</v>
      </c>
      <c r="AD20" s="460">
        <v>0</v>
      </c>
      <c r="AE20" s="460">
        <v>0</v>
      </c>
      <c r="AF20" s="460">
        <v>0</v>
      </c>
      <c r="AG20" s="460">
        <v>-31.793109102451982</v>
      </c>
      <c r="AH20" s="460">
        <v>0</v>
      </c>
      <c r="AI20" s="460">
        <v>0</v>
      </c>
      <c r="AJ20" s="460">
        <v>0</v>
      </c>
      <c r="AK20" s="460">
        <v>0</v>
      </c>
      <c r="AL20" s="460">
        <v>0</v>
      </c>
      <c r="AM20" s="460">
        <v>0</v>
      </c>
      <c r="AN20" s="460">
        <v>0</v>
      </c>
      <c r="AO20" s="460">
        <v>0</v>
      </c>
      <c r="AP20" s="460">
        <v>0</v>
      </c>
      <c r="AQ20" s="460">
        <v>0</v>
      </c>
      <c r="AR20" s="460">
        <v>0</v>
      </c>
      <c r="AS20" s="460">
        <v>0</v>
      </c>
      <c r="AT20" s="460">
        <v>0</v>
      </c>
      <c r="AU20" s="460">
        <v>0</v>
      </c>
      <c r="AV20" s="460">
        <v>0</v>
      </c>
      <c r="AW20" s="460">
        <v>0</v>
      </c>
      <c r="AX20" s="460">
        <v>0</v>
      </c>
      <c r="AY20" s="460">
        <v>0</v>
      </c>
      <c r="AZ20" s="460">
        <v>0</v>
      </c>
      <c r="BA20" s="460">
        <v>0</v>
      </c>
      <c r="BB20" s="460">
        <v>0</v>
      </c>
      <c r="BC20" s="460">
        <v>0</v>
      </c>
      <c r="BD20" s="460">
        <v>0</v>
      </c>
      <c r="BE20" s="460">
        <v>0</v>
      </c>
      <c r="BF20" s="460">
        <v>0</v>
      </c>
      <c r="BG20" s="460">
        <v>0</v>
      </c>
      <c r="BH20" s="460">
        <v>0</v>
      </c>
      <c r="BI20" s="460">
        <v>0</v>
      </c>
      <c r="BJ20" s="460">
        <v>0</v>
      </c>
      <c r="BK20" s="460">
        <v>0</v>
      </c>
      <c r="BL20" s="460">
        <v>0</v>
      </c>
      <c r="BM20" s="460">
        <v>0</v>
      </c>
      <c r="BN20" s="460">
        <v>0</v>
      </c>
      <c r="BO20" s="460">
        <v>0</v>
      </c>
      <c r="BP20" s="460">
        <v>0</v>
      </c>
      <c r="BQ20" s="460">
        <v>0</v>
      </c>
      <c r="BR20" s="460">
        <v>0</v>
      </c>
      <c r="BS20" s="460">
        <v>0</v>
      </c>
      <c r="BT20" s="460">
        <v>0</v>
      </c>
      <c r="BU20" s="460">
        <v>0</v>
      </c>
      <c r="BV20" s="460">
        <v>0</v>
      </c>
      <c r="BW20" s="460">
        <v>0</v>
      </c>
      <c r="BX20" s="460">
        <v>0</v>
      </c>
      <c r="BY20" s="460">
        <v>0</v>
      </c>
      <c r="BZ20" s="460">
        <v>0</v>
      </c>
      <c r="CA20" s="460" t="e">
        <v>#N/A</v>
      </c>
      <c r="CB20" s="460" t="e">
        <v>#N/A</v>
      </c>
      <c r="CC20" s="460" t="e">
        <v>#N/A</v>
      </c>
    </row>
    <row r="21" spans="1:81" ht="12.75" customHeight="1">
      <c r="A21" s="105">
        <v>16</v>
      </c>
      <c r="B21" s="458" t="str">
        <v>12M</v>
      </c>
      <c r="C21" s="465">
        <f>'eur disaggregated'!AV32</f>
        <v>91.86520766207741</v>
      </c>
      <c r="D21" s="111" t="str">
        <f t="shared" si="3"/>
        <v>12M</v>
      </c>
      <c r="E21" s="441">
        <f t="shared" si="1"/>
        <v>42696</v>
      </c>
      <c r="F21" s="441">
        <f>IF(AND(NOT(ISNA(MATCH(RIGHT(B21,2),$I$6:$I$67,0))),LEN(B21)&lt;3,RIGHT(B21,1)="M"), INDEX($K$6:$K$67, MATCH(RIGHT(B21,2),$I$6:$I$67,0)), IF(AND(NOT(ISNA(MATCH((IF(RIGHT(B21,3)="24M","2Y",RIGHT(B21,3))),$I$6:$I$67,0))), LEN(B21)&gt;=3, RIGHT(B21,1)="M"), INDEX($K$6:$K$67, MATCH((IF(RIGHT(B21,3)="24M","2Y",RIGHT(B21,3))),$I$6:$I$67,0)), _xll.qlCalendarAdvance(Calendar,E21,D21)))</f>
        <v>43061</v>
      </c>
      <c r="G21" s="462">
        <f t="shared" si="2"/>
        <v>-7.7200000000000001E-4</v>
      </c>
      <c r="H21" s="453">
        <v>-7.7200000000000005E-2</v>
      </c>
      <c r="I21" s="107" t="str">
        <v>10M</v>
      </c>
      <c r="J21" s="106" t="str">
        <f>IF(LEN(I21)&gt;0,IF((MID(I21,4,1)=" "),#REF!,IF((LEN(I21)=8),DATE("20" &amp; RIGHT(I21,2),MID(I21,4,2),LEFT(I21,2)),SimplifyTenor(I21))),"")</f>
        <v>10M</v>
      </c>
      <c r="K21" s="448">
        <f>_xll.qlCalendarAdvance("TARGET",SettlementDate,J21)</f>
        <v>43000</v>
      </c>
      <c r="M21" s="99" t="str">
        <v>10M</v>
      </c>
      <c r="N21" s="465">
        <v>-9.8076991634711526</v>
      </c>
      <c r="P21" s="106" t="b">
        <f t="shared" si="0"/>
        <v>0</v>
      </c>
      <c r="Q21" s="460">
        <f t="array" ref="Q21:CC21">C21*ForwardToZero(OisBuckets,E21,F21,G21)</f>
        <v>0</v>
      </c>
      <c r="R21" s="460">
        <v>0</v>
      </c>
      <c r="S21" s="460">
        <v>0</v>
      </c>
      <c r="T21" s="460">
        <v>0</v>
      </c>
      <c r="U21" s="460">
        <v>0</v>
      </c>
      <c r="V21" s="460">
        <v>0</v>
      </c>
      <c r="W21" s="460">
        <v>0</v>
      </c>
      <c r="X21" s="460">
        <v>0</v>
      </c>
      <c r="Y21" s="460">
        <v>0</v>
      </c>
      <c r="Z21" s="460">
        <v>0</v>
      </c>
      <c r="AA21" s="460">
        <v>0</v>
      </c>
      <c r="AB21" s="460">
        <v>0</v>
      </c>
      <c r="AC21" s="460">
        <v>0</v>
      </c>
      <c r="AD21" s="460">
        <v>0</v>
      </c>
      <c r="AE21" s="460">
        <v>0</v>
      </c>
      <c r="AF21" s="460">
        <v>0</v>
      </c>
      <c r="AG21" s="460">
        <v>0</v>
      </c>
      <c r="AH21" s="460">
        <v>91.86520766207741</v>
      </c>
      <c r="AI21" s="460">
        <v>0</v>
      </c>
      <c r="AJ21" s="460">
        <v>0</v>
      </c>
      <c r="AK21" s="460">
        <v>0</v>
      </c>
      <c r="AL21" s="460">
        <v>0</v>
      </c>
      <c r="AM21" s="460">
        <v>0</v>
      </c>
      <c r="AN21" s="460">
        <v>0</v>
      </c>
      <c r="AO21" s="460">
        <v>0</v>
      </c>
      <c r="AP21" s="460">
        <v>0</v>
      </c>
      <c r="AQ21" s="460">
        <v>0</v>
      </c>
      <c r="AR21" s="460">
        <v>0</v>
      </c>
      <c r="AS21" s="460">
        <v>0</v>
      </c>
      <c r="AT21" s="460">
        <v>0</v>
      </c>
      <c r="AU21" s="460">
        <v>0</v>
      </c>
      <c r="AV21" s="460">
        <v>0</v>
      </c>
      <c r="AW21" s="460">
        <v>0</v>
      </c>
      <c r="AX21" s="460">
        <v>0</v>
      </c>
      <c r="AY21" s="460">
        <v>0</v>
      </c>
      <c r="AZ21" s="460">
        <v>0</v>
      </c>
      <c r="BA21" s="460">
        <v>0</v>
      </c>
      <c r="BB21" s="460">
        <v>0</v>
      </c>
      <c r="BC21" s="460">
        <v>0</v>
      </c>
      <c r="BD21" s="460">
        <v>0</v>
      </c>
      <c r="BE21" s="460">
        <v>0</v>
      </c>
      <c r="BF21" s="460">
        <v>0</v>
      </c>
      <c r="BG21" s="460">
        <v>0</v>
      </c>
      <c r="BH21" s="460">
        <v>0</v>
      </c>
      <c r="BI21" s="460">
        <v>0</v>
      </c>
      <c r="BJ21" s="460">
        <v>0</v>
      </c>
      <c r="BK21" s="460">
        <v>0</v>
      </c>
      <c r="BL21" s="460">
        <v>0</v>
      </c>
      <c r="BM21" s="460">
        <v>0</v>
      </c>
      <c r="BN21" s="460">
        <v>0</v>
      </c>
      <c r="BO21" s="460">
        <v>0</v>
      </c>
      <c r="BP21" s="460">
        <v>0</v>
      </c>
      <c r="BQ21" s="460">
        <v>0</v>
      </c>
      <c r="BR21" s="460">
        <v>0</v>
      </c>
      <c r="BS21" s="460">
        <v>0</v>
      </c>
      <c r="BT21" s="460">
        <v>0</v>
      </c>
      <c r="BU21" s="460">
        <v>0</v>
      </c>
      <c r="BV21" s="460">
        <v>0</v>
      </c>
      <c r="BW21" s="460">
        <v>0</v>
      </c>
      <c r="BX21" s="460">
        <v>0</v>
      </c>
      <c r="BY21" s="460">
        <v>0</v>
      </c>
      <c r="BZ21" s="460">
        <v>0</v>
      </c>
      <c r="CA21" s="460" t="e">
        <v>#N/A</v>
      </c>
      <c r="CB21" s="460" t="e">
        <v>#N/A</v>
      </c>
      <c r="CC21" s="460" t="e">
        <v>#N/A</v>
      </c>
    </row>
    <row r="22" spans="1:81" ht="12.75" customHeight="1">
      <c r="A22" s="105">
        <v>17</v>
      </c>
      <c r="B22" s="458" t="str">
        <v>1M-13M</v>
      </c>
      <c r="C22" s="465">
        <f>'eur disaggregated'!AV33</f>
        <v>2.6873339644096426</v>
      </c>
      <c r="D22" s="111" t="str">
        <f t="shared" si="3"/>
        <v>12M</v>
      </c>
      <c r="E22" s="441">
        <f>IF(LEN(B22)&lt;4,$C$1, F10)</f>
        <v>42726</v>
      </c>
      <c r="F22" s="441">
        <f>IF(AND(NOT(ISNA(MATCH(RIGHT(B22,2),$I$6:$I$67,0))),LEN(B22)&lt;3,RIGHT(B22,1)="M"), INDEX($K$6:$K$67, MATCH(RIGHT(B22,2),$I$6:$I$67,0)), IF(AND(NOT(ISNA(MATCH((IF(RIGHT(B22,3)="24M","2Y",RIGHT(B22,3))),$I$6:$I$67,0))), LEN(B22)&gt;=3, RIGHT(B22,1)="M"), INDEX($K$6:$K$67, MATCH((IF(RIGHT(B22,3)="24M","2Y",RIGHT(B22,3))),$I$6:$I$67,0)), _xll.qlCalendarAdvance(Calendar,E22,D22)))</f>
        <v>43091</v>
      </c>
      <c r="G22" s="462">
        <f t="shared" si="2"/>
        <v>-6.6E-4</v>
      </c>
      <c r="H22" s="453">
        <v>-6.6000000000000003E-2</v>
      </c>
      <c r="I22" s="107" t="str">
        <v>11M</v>
      </c>
      <c r="J22" s="106" t="str">
        <f>IF(LEN(I22)&gt;0,IF((MID(I22,4,1)=" "),#REF!,IF((LEN(I22)=8),DATE("20" &amp; RIGHT(I22,2),MID(I22,4,2),LEFT(I22,2)),SimplifyTenor(I22))),"")</f>
        <v>11M</v>
      </c>
      <c r="K22" s="448">
        <f>_xll.qlCalendarAdvance("TARGET",SettlementDate,J22)</f>
        <v>43031</v>
      </c>
      <c r="M22" s="99" t="str">
        <v>11M</v>
      </c>
      <c r="N22" s="465">
        <v>-250.2023271245979</v>
      </c>
      <c r="P22" s="106" t="b">
        <f t="shared" si="0"/>
        <v>0</v>
      </c>
      <c r="Q22" s="460">
        <f t="array" ref="Q22:CC22">C22*ForwardToZero(OisBuckets,E22,F22,G22)</f>
        <v>0</v>
      </c>
      <c r="R22" s="460">
        <v>0</v>
      </c>
      <c r="S22" s="460">
        <v>0</v>
      </c>
      <c r="T22" s="460">
        <v>0</v>
      </c>
      <c r="U22" s="460">
        <v>0</v>
      </c>
      <c r="V22" s="460">
        <v>0</v>
      </c>
      <c r="W22" s="460">
        <v>-0.25032699942445985</v>
      </c>
      <c r="X22" s="460">
        <v>0</v>
      </c>
      <c r="Y22" s="460">
        <v>0</v>
      </c>
      <c r="Z22" s="460">
        <v>0</v>
      </c>
      <c r="AA22" s="460">
        <v>0</v>
      </c>
      <c r="AB22" s="460">
        <v>0</v>
      </c>
      <c r="AC22" s="460">
        <v>0</v>
      </c>
      <c r="AD22" s="460">
        <v>0</v>
      </c>
      <c r="AE22" s="460">
        <v>0</v>
      </c>
      <c r="AF22" s="460">
        <v>0</v>
      </c>
      <c r="AG22" s="460">
        <v>0</v>
      </c>
      <c r="AH22" s="460">
        <v>0</v>
      </c>
      <c r="AI22" s="460">
        <v>2.9376609638341025</v>
      </c>
      <c r="AJ22" s="460">
        <v>0</v>
      </c>
      <c r="AK22" s="460">
        <v>0</v>
      </c>
      <c r="AL22" s="460">
        <v>0</v>
      </c>
      <c r="AM22" s="460">
        <v>0</v>
      </c>
      <c r="AN22" s="460">
        <v>0</v>
      </c>
      <c r="AO22" s="460">
        <v>0</v>
      </c>
      <c r="AP22" s="460">
        <v>0</v>
      </c>
      <c r="AQ22" s="460">
        <v>0</v>
      </c>
      <c r="AR22" s="460">
        <v>0</v>
      </c>
      <c r="AS22" s="460">
        <v>0</v>
      </c>
      <c r="AT22" s="460">
        <v>0</v>
      </c>
      <c r="AU22" s="460">
        <v>0</v>
      </c>
      <c r="AV22" s="460">
        <v>0</v>
      </c>
      <c r="AW22" s="460">
        <v>0</v>
      </c>
      <c r="AX22" s="460">
        <v>0</v>
      </c>
      <c r="AY22" s="460">
        <v>0</v>
      </c>
      <c r="AZ22" s="460">
        <v>0</v>
      </c>
      <c r="BA22" s="460">
        <v>0</v>
      </c>
      <c r="BB22" s="460">
        <v>0</v>
      </c>
      <c r="BC22" s="460">
        <v>0</v>
      </c>
      <c r="BD22" s="460">
        <v>0</v>
      </c>
      <c r="BE22" s="460">
        <v>0</v>
      </c>
      <c r="BF22" s="460">
        <v>0</v>
      </c>
      <c r="BG22" s="460">
        <v>0</v>
      </c>
      <c r="BH22" s="460">
        <v>0</v>
      </c>
      <c r="BI22" s="460">
        <v>0</v>
      </c>
      <c r="BJ22" s="460">
        <v>0</v>
      </c>
      <c r="BK22" s="460">
        <v>0</v>
      </c>
      <c r="BL22" s="460">
        <v>0</v>
      </c>
      <c r="BM22" s="460">
        <v>0</v>
      </c>
      <c r="BN22" s="460">
        <v>0</v>
      </c>
      <c r="BO22" s="460">
        <v>0</v>
      </c>
      <c r="BP22" s="460">
        <v>0</v>
      </c>
      <c r="BQ22" s="460">
        <v>0</v>
      </c>
      <c r="BR22" s="460">
        <v>0</v>
      </c>
      <c r="BS22" s="460">
        <v>0</v>
      </c>
      <c r="BT22" s="460">
        <v>0</v>
      </c>
      <c r="BU22" s="460">
        <v>0</v>
      </c>
      <c r="BV22" s="460">
        <v>0</v>
      </c>
      <c r="BW22" s="460">
        <v>0</v>
      </c>
      <c r="BX22" s="460">
        <v>0</v>
      </c>
      <c r="BY22" s="460">
        <v>0</v>
      </c>
      <c r="BZ22" s="460">
        <v>0</v>
      </c>
      <c r="CA22" s="460" t="e">
        <v>#N/A</v>
      </c>
      <c r="CB22" s="460" t="e">
        <v>#N/A</v>
      </c>
      <c r="CC22" s="460" t="e">
        <v>#N/A</v>
      </c>
    </row>
    <row r="23" spans="1:81" ht="12.75" customHeight="1">
      <c r="A23" s="105">
        <v>18</v>
      </c>
      <c r="B23" s="458" t="str">
        <v>2M-14M</v>
      </c>
      <c r="C23" s="465">
        <f>'eur disaggregated'!AV34</f>
        <v>-57.742115421122051</v>
      </c>
      <c r="D23" s="111" t="str">
        <f t="shared" si="3"/>
        <v>12M</v>
      </c>
      <c r="E23" s="441">
        <f t="shared" ref="E23:E33" si="4">IF(LEN(B23)&lt;4,$C$1, F11)</f>
        <v>42758</v>
      </c>
      <c r="F23" s="441">
        <f>IF(AND(NOT(ISNA(MATCH(RIGHT(B23,2),$I$6:$I$67,0))),LEN(B23)&lt;3,RIGHT(B23,1)="M"), INDEX($K$6:$K$67, MATCH(RIGHT(B23,2),$I$6:$I$67,0)), IF(AND(NOT(ISNA(MATCH((IF(RIGHT(B23,3)="24M","2Y",RIGHT(B23,3))),$I$6:$I$67,0))), LEN(B23)&gt;=3, RIGHT(B23,1)="M"), INDEX($K$6:$K$67, MATCH((IF(RIGHT(B23,3)="24M","2Y",RIGHT(B23,3))),$I$6:$I$67,0)), _xll.qlCalendarAdvance(Calendar,E23,D23)))</f>
        <v>43122</v>
      </c>
      <c r="G23" s="462">
        <f t="shared" si="2"/>
        <v>-5.5000000000000003E-4</v>
      </c>
      <c r="H23" s="453">
        <v>-5.5E-2</v>
      </c>
      <c r="I23" s="107" t="str">
        <v>1Y</v>
      </c>
      <c r="J23" s="106" t="str">
        <f>IF(LEN(I23)&gt;0,IF((MID(I23,4,1)=" "),#REF!,IF((LEN(I23)=8),DATE("20" &amp; RIGHT(I23,2),MID(I23,4,2),LEFT(I23,2)),SimplifyTenor(I23))),"")</f>
        <v>12M</v>
      </c>
      <c r="K23" s="448">
        <f>_xll.qlCalendarAdvance("TARGET",SettlementDate,J23)</f>
        <v>43061</v>
      </c>
      <c r="M23" s="99" t="str">
        <v>1Y</v>
      </c>
      <c r="N23" s="465">
        <v>405.10785389561926</v>
      </c>
      <c r="P23" s="106" t="b">
        <f t="shared" si="0"/>
        <v>0</v>
      </c>
      <c r="Q23" s="460">
        <f t="array" ref="Q23:CC23">C23*ForwardToZero(OisBuckets,E23,F23,G23)</f>
        <v>0</v>
      </c>
      <c r="R23" s="460">
        <v>0</v>
      </c>
      <c r="S23" s="460">
        <v>0</v>
      </c>
      <c r="T23" s="460">
        <v>0</v>
      </c>
      <c r="U23" s="460">
        <v>0</v>
      </c>
      <c r="V23" s="460">
        <v>0</v>
      </c>
      <c r="W23" s="460">
        <v>0</v>
      </c>
      <c r="X23" s="460">
        <v>10.469724224708944</v>
      </c>
      <c r="Y23" s="460">
        <v>0</v>
      </c>
      <c r="Z23" s="460">
        <v>0</v>
      </c>
      <c r="AA23" s="460">
        <v>0</v>
      </c>
      <c r="AB23" s="460">
        <v>0</v>
      </c>
      <c r="AC23" s="460">
        <v>0</v>
      </c>
      <c r="AD23" s="460">
        <v>0</v>
      </c>
      <c r="AE23" s="460">
        <v>0</v>
      </c>
      <c r="AF23" s="460">
        <v>0</v>
      </c>
      <c r="AG23" s="460">
        <v>0</v>
      </c>
      <c r="AH23" s="460">
        <v>0</v>
      </c>
      <c r="AI23" s="460">
        <v>0</v>
      </c>
      <c r="AJ23" s="460">
        <v>-68.211839645830992</v>
      </c>
      <c r="AK23" s="460">
        <v>0</v>
      </c>
      <c r="AL23" s="460">
        <v>0</v>
      </c>
      <c r="AM23" s="460">
        <v>0</v>
      </c>
      <c r="AN23" s="460">
        <v>0</v>
      </c>
      <c r="AO23" s="460">
        <v>0</v>
      </c>
      <c r="AP23" s="460">
        <v>0</v>
      </c>
      <c r="AQ23" s="460">
        <v>0</v>
      </c>
      <c r="AR23" s="460">
        <v>0</v>
      </c>
      <c r="AS23" s="460">
        <v>0</v>
      </c>
      <c r="AT23" s="460">
        <v>0</v>
      </c>
      <c r="AU23" s="460">
        <v>0</v>
      </c>
      <c r="AV23" s="460">
        <v>0</v>
      </c>
      <c r="AW23" s="460">
        <v>0</v>
      </c>
      <c r="AX23" s="460">
        <v>0</v>
      </c>
      <c r="AY23" s="460">
        <v>0</v>
      </c>
      <c r="AZ23" s="460">
        <v>0</v>
      </c>
      <c r="BA23" s="460">
        <v>0</v>
      </c>
      <c r="BB23" s="460">
        <v>0</v>
      </c>
      <c r="BC23" s="460">
        <v>0</v>
      </c>
      <c r="BD23" s="460">
        <v>0</v>
      </c>
      <c r="BE23" s="460">
        <v>0</v>
      </c>
      <c r="BF23" s="460">
        <v>0</v>
      </c>
      <c r="BG23" s="460">
        <v>0</v>
      </c>
      <c r="BH23" s="460">
        <v>0</v>
      </c>
      <c r="BI23" s="460">
        <v>0</v>
      </c>
      <c r="BJ23" s="460">
        <v>0</v>
      </c>
      <c r="BK23" s="460">
        <v>0</v>
      </c>
      <c r="BL23" s="460">
        <v>0</v>
      </c>
      <c r="BM23" s="460">
        <v>0</v>
      </c>
      <c r="BN23" s="460">
        <v>0</v>
      </c>
      <c r="BO23" s="460">
        <v>0</v>
      </c>
      <c r="BP23" s="460">
        <v>0</v>
      </c>
      <c r="BQ23" s="460">
        <v>0</v>
      </c>
      <c r="BR23" s="460">
        <v>0</v>
      </c>
      <c r="BS23" s="460">
        <v>0</v>
      </c>
      <c r="BT23" s="460">
        <v>0</v>
      </c>
      <c r="BU23" s="460">
        <v>0</v>
      </c>
      <c r="BV23" s="460">
        <v>0</v>
      </c>
      <c r="BW23" s="460">
        <v>0</v>
      </c>
      <c r="BX23" s="460">
        <v>0</v>
      </c>
      <c r="BY23" s="460">
        <v>0</v>
      </c>
      <c r="BZ23" s="460">
        <v>0</v>
      </c>
      <c r="CA23" s="460" t="e">
        <v>#N/A</v>
      </c>
      <c r="CB23" s="460" t="e">
        <v>#N/A</v>
      </c>
      <c r="CC23" s="460" t="e">
        <v>#N/A</v>
      </c>
    </row>
    <row r="24" spans="1:81" ht="12.75" customHeight="1">
      <c r="A24" s="105">
        <v>19</v>
      </c>
      <c r="B24" s="458" t="str">
        <v>3M-15M</v>
      </c>
      <c r="C24" s="465">
        <f>'eur disaggregated'!AV35</f>
        <v>14.554270950054413</v>
      </c>
      <c r="D24" s="111" t="str">
        <f t="shared" si="3"/>
        <v>12M</v>
      </c>
      <c r="E24" s="441">
        <f t="shared" si="4"/>
        <v>42788</v>
      </c>
      <c r="F24" s="441">
        <f>IF(AND(NOT(ISNA(MATCH(RIGHT(B24,2),$I$6:$I$67,0))),LEN(B24)&lt;3,RIGHT(B24,1)="M"), INDEX($K$6:$K$67, MATCH(RIGHT(B24,2),$I$6:$I$67,0)), IF(AND(NOT(ISNA(MATCH((IF(RIGHT(B24,3)="24M","2Y",RIGHT(B24,3))),$I$6:$I$67,0))), LEN(B24)&gt;=3, RIGHT(B24,1)="M"), INDEX($K$6:$K$67, MATCH((IF(RIGHT(B24,3)="24M","2Y",RIGHT(B24,3))),$I$6:$I$67,0)), _xll.qlCalendarAdvance(Calendar,E24,D24)))</f>
        <v>43153</v>
      </c>
      <c r="G24" s="462">
        <f t="shared" si="2"/>
        <v>-4.6000000000000001E-4</v>
      </c>
      <c r="H24" s="453">
        <v>-4.5999999999999999E-2</v>
      </c>
      <c r="I24" s="107" t="str">
        <v>13M</v>
      </c>
      <c r="J24" s="106" t="str">
        <f>IF(LEN(I24)&gt;0,IF((MID(I24,4,1)=" "),#REF!,IF((LEN(I24)=8),DATE("20" &amp; RIGHT(I24,2),MID(I24,4,2),LEFT(I24,2)),SimplifyTenor(I24))),"")</f>
        <v>13M</v>
      </c>
      <c r="K24" s="448">
        <f>_xll.qlCalendarAdvance("TARGET",SettlementDate,J24)</f>
        <v>43091</v>
      </c>
      <c r="M24" s="99" t="str">
        <v>13M</v>
      </c>
      <c r="N24" s="465">
        <v>2.9376609638341025</v>
      </c>
      <c r="P24" s="106" t="b">
        <f t="shared" si="0"/>
        <v>0</v>
      </c>
      <c r="Q24" s="460">
        <f t="array" ref="Q24:CC24">C24*ForwardToZero(OisBuckets,E24,F24,G24)</f>
        <v>0</v>
      </c>
      <c r="R24" s="460">
        <v>0</v>
      </c>
      <c r="S24" s="460">
        <v>0</v>
      </c>
      <c r="T24" s="460">
        <v>0</v>
      </c>
      <c r="U24" s="460">
        <v>0</v>
      </c>
      <c r="V24" s="460">
        <v>0</v>
      </c>
      <c r="W24" s="460">
        <v>0</v>
      </c>
      <c r="X24" s="460">
        <v>0</v>
      </c>
      <c r="Y24" s="460">
        <v>-3.8279726334389683</v>
      </c>
      <c r="Z24" s="460">
        <v>0</v>
      </c>
      <c r="AA24" s="460">
        <v>0</v>
      </c>
      <c r="AB24" s="460">
        <v>0</v>
      </c>
      <c r="AC24" s="460">
        <v>0</v>
      </c>
      <c r="AD24" s="460">
        <v>0</v>
      </c>
      <c r="AE24" s="460">
        <v>0</v>
      </c>
      <c r="AF24" s="460">
        <v>0</v>
      </c>
      <c r="AG24" s="460">
        <v>0</v>
      </c>
      <c r="AH24" s="460">
        <v>0</v>
      </c>
      <c r="AI24" s="460">
        <v>0</v>
      </c>
      <c r="AJ24" s="460">
        <v>0</v>
      </c>
      <c r="AK24" s="460">
        <v>18.382243583493381</v>
      </c>
      <c r="AL24" s="460">
        <v>0</v>
      </c>
      <c r="AM24" s="460">
        <v>0</v>
      </c>
      <c r="AN24" s="460">
        <v>0</v>
      </c>
      <c r="AO24" s="460">
        <v>0</v>
      </c>
      <c r="AP24" s="460">
        <v>0</v>
      </c>
      <c r="AQ24" s="460">
        <v>0</v>
      </c>
      <c r="AR24" s="460">
        <v>0</v>
      </c>
      <c r="AS24" s="460">
        <v>0</v>
      </c>
      <c r="AT24" s="460">
        <v>0</v>
      </c>
      <c r="AU24" s="460">
        <v>0</v>
      </c>
      <c r="AV24" s="460">
        <v>0</v>
      </c>
      <c r="AW24" s="460">
        <v>0</v>
      </c>
      <c r="AX24" s="460">
        <v>0</v>
      </c>
      <c r="AY24" s="460">
        <v>0</v>
      </c>
      <c r="AZ24" s="460">
        <v>0</v>
      </c>
      <c r="BA24" s="460">
        <v>0</v>
      </c>
      <c r="BB24" s="460">
        <v>0</v>
      </c>
      <c r="BC24" s="460">
        <v>0</v>
      </c>
      <c r="BD24" s="460">
        <v>0</v>
      </c>
      <c r="BE24" s="460">
        <v>0</v>
      </c>
      <c r="BF24" s="460">
        <v>0</v>
      </c>
      <c r="BG24" s="460">
        <v>0</v>
      </c>
      <c r="BH24" s="460">
        <v>0</v>
      </c>
      <c r="BI24" s="460">
        <v>0</v>
      </c>
      <c r="BJ24" s="460">
        <v>0</v>
      </c>
      <c r="BK24" s="460">
        <v>0</v>
      </c>
      <c r="BL24" s="460">
        <v>0</v>
      </c>
      <c r="BM24" s="460">
        <v>0</v>
      </c>
      <c r="BN24" s="460">
        <v>0</v>
      </c>
      <c r="BO24" s="460">
        <v>0</v>
      </c>
      <c r="BP24" s="460">
        <v>0</v>
      </c>
      <c r="BQ24" s="460">
        <v>0</v>
      </c>
      <c r="BR24" s="460">
        <v>0</v>
      </c>
      <c r="BS24" s="460">
        <v>0</v>
      </c>
      <c r="BT24" s="460">
        <v>0</v>
      </c>
      <c r="BU24" s="460">
        <v>0</v>
      </c>
      <c r="BV24" s="460">
        <v>0</v>
      </c>
      <c r="BW24" s="460">
        <v>0</v>
      </c>
      <c r="BX24" s="460">
        <v>0</v>
      </c>
      <c r="BY24" s="460">
        <v>0</v>
      </c>
      <c r="BZ24" s="460">
        <v>0</v>
      </c>
      <c r="CA24" s="460" t="e">
        <v>#N/A</v>
      </c>
      <c r="CB24" s="460" t="e">
        <v>#N/A</v>
      </c>
      <c r="CC24" s="460" t="e">
        <v>#N/A</v>
      </c>
    </row>
    <row r="25" spans="1:81" ht="12.75" customHeight="1">
      <c r="A25" s="111">
        <v>20</v>
      </c>
      <c r="B25" s="458" t="str">
        <v>4M-16M</v>
      </c>
      <c r="C25" s="465">
        <f>'eur disaggregated'!AV36</f>
        <v>33.17621343144063</v>
      </c>
      <c r="D25" s="111" t="str">
        <f t="shared" si="3"/>
        <v>12M</v>
      </c>
      <c r="E25" s="441">
        <f t="shared" si="4"/>
        <v>42816</v>
      </c>
      <c r="F25" s="441">
        <f>IF(AND(NOT(ISNA(MATCH(RIGHT(B25,2),$I$6:$I$67,0))),LEN(B25)&lt;3,RIGHT(B25,1)="M"), INDEX($K$6:$K$67, MATCH(RIGHT(B25,2),$I$6:$I$67,0)), IF(AND(NOT(ISNA(MATCH((IF(RIGHT(B25,3)="24M","2Y",RIGHT(B25,3))),$I$6:$I$67,0))), LEN(B25)&gt;=3, RIGHT(B25,1)="M"), INDEX($K$6:$K$67, MATCH((IF(RIGHT(B25,3)="24M","2Y",RIGHT(B25,3))),$I$6:$I$67,0)), _xll.qlCalendarAdvance(Calendar,E25,D25)))</f>
        <v>43181</v>
      </c>
      <c r="G25" s="462">
        <f t="shared" si="2"/>
        <v>-3.6999999999999999E-4</v>
      </c>
      <c r="H25" s="453">
        <v>-3.6999999999999998E-2</v>
      </c>
      <c r="I25" s="107" t="str">
        <v>14M</v>
      </c>
      <c r="J25" s="441" t="str">
        <f>IF(LEN(I25)&gt;0,IF((MID(I25,4,1)=" "),#REF!,IF((LEN(I25)=8),DATE("20" &amp; RIGHT(I25,2),MID(I25,4,2),LEFT(I25,2)),SimplifyTenor(I25))),"")</f>
        <v>14M</v>
      </c>
      <c r="K25" s="448">
        <f>_xll.qlCalendarAdvance("TARGET",SettlementDate,J25)</f>
        <v>43122</v>
      </c>
      <c r="L25" s="89"/>
      <c r="M25" s="99" t="str">
        <v>14M</v>
      </c>
      <c r="N25" s="465">
        <v>-68.211839645830992</v>
      </c>
      <c r="P25" s="106" t="b">
        <f t="shared" si="0"/>
        <v>0</v>
      </c>
      <c r="Q25" s="460">
        <f t="array" ref="Q25:CC25">C25*ForwardToZero(OisBuckets,E25,F25,G25)</f>
        <v>0</v>
      </c>
      <c r="R25" s="460">
        <v>0</v>
      </c>
      <c r="S25" s="460">
        <v>0</v>
      </c>
      <c r="T25" s="460">
        <v>0</v>
      </c>
      <c r="U25" s="460">
        <v>0</v>
      </c>
      <c r="V25" s="460">
        <v>0</v>
      </c>
      <c r="W25" s="460">
        <v>0</v>
      </c>
      <c r="X25" s="460">
        <v>0</v>
      </c>
      <c r="Y25" s="460">
        <v>0</v>
      </c>
      <c r="Z25" s="460">
        <v>-11.270823193146954</v>
      </c>
      <c r="AA25" s="460">
        <v>0</v>
      </c>
      <c r="AB25" s="460">
        <v>0</v>
      </c>
      <c r="AC25" s="460">
        <v>0</v>
      </c>
      <c r="AD25" s="460">
        <v>0</v>
      </c>
      <c r="AE25" s="460">
        <v>0</v>
      </c>
      <c r="AF25" s="460">
        <v>0</v>
      </c>
      <c r="AG25" s="460">
        <v>0</v>
      </c>
      <c r="AH25" s="460">
        <v>0</v>
      </c>
      <c r="AI25" s="460">
        <v>0</v>
      </c>
      <c r="AJ25" s="460">
        <v>0</v>
      </c>
      <c r="AK25" s="460">
        <v>0</v>
      </c>
      <c r="AL25" s="460">
        <v>44.447036624587582</v>
      </c>
      <c r="AM25" s="460">
        <v>0</v>
      </c>
      <c r="AN25" s="460">
        <v>0</v>
      </c>
      <c r="AO25" s="460">
        <v>0</v>
      </c>
      <c r="AP25" s="460">
        <v>0</v>
      </c>
      <c r="AQ25" s="460">
        <v>0</v>
      </c>
      <c r="AR25" s="460">
        <v>0</v>
      </c>
      <c r="AS25" s="460">
        <v>0</v>
      </c>
      <c r="AT25" s="460">
        <v>0</v>
      </c>
      <c r="AU25" s="460">
        <v>0</v>
      </c>
      <c r="AV25" s="460">
        <v>0</v>
      </c>
      <c r="AW25" s="460">
        <v>0</v>
      </c>
      <c r="AX25" s="460">
        <v>0</v>
      </c>
      <c r="AY25" s="460">
        <v>0</v>
      </c>
      <c r="AZ25" s="460">
        <v>0</v>
      </c>
      <c r="BA25" s="460">
        <v>0</v>
      </c>
      <c r="BB25" s="460">
        <v>0</v>
      </c>
      <c r="BC25" s="460">
        <v>0</v>
      </c>
      <c r="BD25" s="460">
        <v>0</v>
      </c>
      <c r="BE25" s="460">
        <v>0</v>
      </c>
      <c r="BF25" s="460">
        <v>0</v>
      </c>
      <c r="BG25" s="460">
        <v>0</v>
      </c>
      <c r="BH25" s="460">
        <v>0</v>
      </c>
      <c r="BI25" s="460">
        <v>0</v>
      </c>
      <c r="BJ25" s="460">
        <v>0</v>
      </c>
      <c r="BK25" s="460">
        <v>0</v>
      </c>
      <c r="BL25" s="460">
        <v>0</v>
      </c>
      <c r="BM25" s="460">
        <v>0</v>
      </c>
      <c r="BN25" s="460">
        <v>0</v>
      </c>
      <c r="BO25" s="460">
        <v>0</v>
      </c>
      <c r="BP25" s="460">
        <v>0</v>
      </c>
      <c r="BQ25" s="460">
        <v>0</v>
      </c>
      <c r="BR25" s="460">
        <v>0</v>
      </c>
      <c r="BS25" s="460">
        <v>0</v>
      </c>
      <c r="BT25" s="460">
        <v>0</v>
      </c>
      <c r="BU25" s="460">
        <v>0</v>
      </c>
      <c r="BV25" s="460">
        <v>0</v>
      </c>
      <c r="BW25" s="460">
        <v>0</v>
      </c>
      <c r="BX25" s="460">
        <v>0</v>
      </c>
      <c r="BY25" s="460">
        <v>0</v>
      </c>
      <c r="BZ25" s="460">
        <v>0</v>
      </c>
      <c r="CA25" s="460" t="e">
        <v>#N/A</v>
      </c>
      <c r="CB25" s="460" t="e">
        <v>#N/A</v>
      </c>
      <c r="CC25" s="460" t="e">
        <v>#N/A</v>
      </c>
    </row>
    <row r="26" spans="1:81" ht="12.75" customHeight="1">
      <c r="A26" s="111">
        <v>21</v>
      </c>
      <c r="B26" s="458" t="str">
        <v>5M-17M</v>
      </c>
      <c r="C26" s="465">
        <f>'eur disaggregated'!AV37</f>
        <v>0</v>
      </c>
      <c r="D26" s="111" t="str">
        <f t="shared" si="3"/>
        <v>12M</v>
      </c>
      <c r="E26" s="441">
        <f t="shared" si="4"/>
        <v>42849</v>
      </c>
      <c r="F26" s="441">
        <f>IF(AND(NOT(ISNA(MATCH(RIGHT(B26,2),$I$6:$I$67,0))),LEN(B26)&lt;3,RIGHT(B26,1)="M"), INDEX($K$6:$K$67, MATCH(RIGHT(B26,2),$I$6:$I$67,0)), IF(AND(NOT(ISNA(MATCH((IF(RIGHT(B26,3)="24M","2Y",RIGHT(B26,3))),$I$6:$I$67,0))), LEN(B26)&gt;=3, RIGHT(B26,1)="M"), INDEX($K$6:$K$67, MATCH((IF(RIGHT(B26,3)="24M","2Y",RIGHT(B26,3))),$I$6:$I$67,0)), _xll.qlCalendarAdvance(Calendar,E26,D26)))</f>
        <v>43213</v>
      </c>
      <c r="G26" s="462">
        <f t="shared" si="2"/>
        <v>-2.5999999999999998E-4</v>
      </c>
      <c r="H26" s="453">
        <v>-2.5999999999999999E-2</v>
      </c>
      <c r="I26" s="107" t="str">
        <v>15M</v>
      </c>
      <c r="J26" s="441" t="str">
        <f>IF(LEN(I26)&gt;0,IF((MID(I26,4,1)=" "),#REF!,IF((LEN(I26)=8),DATE("20" &amp; RIGHT(I26,2),MID(I26,4,2),LEFT(I26,2)),SimplifyTenor(I26))),"")</f>
        <v>15M</v>
      </c>
      <c r="K26" s="448">
        <f>_xll.qlCalendarAdvance("TARGET",SettlementDate,J26)</f>
        <v>43153</v>
      </c>
      <c r="L26" s="89"/>
      <c r="M26" s="99" t="str">
        <v>15M</v>
      </c>
      <c r="N26" s="465">
        <v>18.382243583493381</v>
      </c>
      <c r="P26" s="106" t="b">
        <f t="shared" si="0"/>
        <v>0</v>
      </c>
      <c r="Q26" s="460">
        <f t="array" ref="Q26:CC26">C26*ForwardToZero(OisBuckets,E26,F26,G26)</f>
        <v>0</v>
      </c>
      <c r="R26" s="460">
        <v>0</v>
      </c>
      <c r="S26" s="460">
        <v>0</v>
      </c>
      <c r="T26" s="460">
        <v>0</v>
      </c>
      <c r="U26" s="460">
        <v>0</v>
      </c>
      <c r="V26" s="460">
        <v>0</v>
      </c>
      <c r="W26" s="460">
        <v>0</v>
      </c>
      <c r="X26" s="460">
        <v>0</v>
      </c>
      <c r="Y26" s="460">
        <v>0</v>
      </c>
      <c r="Z26" s="460">
        <v>0</v>
      </c>
      <c r="AA26" s="460">
        <v>0</v>
      </c>
      <c r="AB26" s="460">
        <v>0</v>
      </c>
      <c r="AC26" s="460">
        <v>0</v>
      </c>
      <c r="AD26" s="460">
        <v>0</v>
      </c>
      <c r="AE26" s="460">
        <v>0</v>
      </c>
      <c r="AF26" s="460">
        <v>0</v>
      </c>
      <c r="AG26" s="460">
        <v>0</v>
      </c>
      <c r="AH26" s="460">
        <v>0</v>
      </c>
      <c r="AI26" s="460">
        <v>0</v>
      </c>
      <c r="AJ26" s="460">
        <v>0</v>
      </c>
      <c r="AK26" s="460">
        <v>0</v>
      </c>
      <c r="AL26" s="460">
        <v>0</v>
      </c>
      <c r="AM26" s="460">
        <v>0</v>
      </c>
      <c r="AN26" s="460">
        <v>0</v>
      </c>
      <c r="AO26" s="460">
        <v>0</v>
      </c>
      <c r="AP26" s="460">
        <v>0</v>
      </c>
      <c r="AQ26" s="460">
        <v>0</v>
      </c>
      <c r="AR26" s="460">
        <v>0</v>
      </c>
      <c r="AS26" s="460">
        <v>0</v>
      </c>
      <c r="AT26" s="460">
        <v>0</v>
      </c>
      <c r="AU26" s="460">
        <v>0</v>
      </c>
      <c r="AV26" s="460">
        <v>0</v>
      </c>
      <c r="AW26" s="460">
        <v>0</v>
      </c>
      <c r="AX26" s="460">
        <v>0</v>
      </c>
      <c r="AY26" s="460">
        <v>0</v>
      </c>
      <c r="AZ26" s="460">
        <v>0</v>
      </c>
      <c r="BA26" s="460">
        <v>0</v>
      </c>
      <c r="BB26" s="460">
        <v>0</v>
      </c>
      <c r="BC26" s="460">
        <v>0</v>
      </c>
      <c r="BD26" s="460">
        <v>0</v>
      </c>
      <c r="BE26" s="460">
        <v>0</v>
      </c>
      <c r="BF26" s="460">
        <v>0</v>
      </c>
      <c r="BG26" s="460">
        <v>0</v>
      </c>
      <c r="BH26" s="460">
        <v>0</v>
      </c>
      <c r="BI26" s="460">
        <v>0</v>
      </c>
      <c r="BJ26" s="460">
        <v>0</v>
      </c>
      <c r="BK26" s="460">
        <v>0</v>
      </c>
      <c r="BL26" s="460">
        <v>0</v>
      </c>
      <c r="BM26" s="460">
        <v>0</v>
      </c>
      <c r="BN26" s="460">
        <v>0</v>
      </c>
      <c r="BO26" s="460">
        <v>0</v>
      </c>
      <c r="BP26" s="460">
        <v>0</v>
      </c>
      <c r="BQ26" s="460">
        <v>0</v>
      </c>
      <c r="BR26" s="460">
        <v>0</v>
      </c>
      <c r="BS26" s="460">
        <v>0</v>
      </c>
      <c r="BT26" s="460">
        <v>0</v>
      </c>
      <c r="BU26" s="460">
        <v>0</v>
      </c>
      <c r="BV26" s="460">
        <v>0</v>
      </c>
      <c r="BW26" s="460">
        <v>0</v>
      </c>
      <c r="BX26" s="460">
        <v>0</v>
      </c>
      <c r="BY26" s="460">
        <v>0</v>
      </c>
      <c r="BZ26" s="460">
        <v>0</v>
      </c>
      <c r="CA26" s="460" t="e">
        <v>#N/A</v>
      </c>
      <c r="CB26" s="460" t="e">
        <v>#N/A</v>
      </c>
      <c r="CC26" s="460" t="e">
        <v>#N/A</v>
      </c>
    </row>
    <row r="27" spans="1:81" ht="12.75" customHeight="1">
      <c r="A27" s="111">
        <v>22</v>
      </c>
      <c r="B27" s="458" t="str">
        <v>6M-18M</v>
      </c>
      <c r="C27" s="465">
        <f>'eur disaggregated'!AV38</f>
        <v>-1.2999506540875676</v>
      </c>
      <c r="D27" s="111" t="str">
        <f t="shared" si="3"/>
        <v>12M</v>
      </c>
      <c r="E27" s="441">
        <f t="shared" si="4"/>
        <v>42877</v>
      </c>
      <c r="F27" s="441">
        <f>IF(AND(NOT(ISNA(MATCH(RIGHT(B27,2),$I$6:$I$67,0))),LEN(B27)&lt;3,RIGHT(B27,1)="M"), INDEX($K$6:$K$67, MATCH(RIGHT(B27,2),$I$6:$I$67,0)), IF(AND(NOT(ISNA(MATCH((IF(RIGHT(B27,3)="24M","2Y",RIGHT(B27,3))),$I$6:$I$67,0))), LEN(B27)&gt;=3, RIGHT(B27,1)="M"), INDEX($K$6:$K$67, MATCH((IF(RIGHT(B27,3)="24M","2Y",RIGHT(B27,3))),$I$6:$I$67,0)), _xll.qlCalendarAdvance(Calendar,E27,D27)))</f>
        <v>43242</v>
      </c>
      <c r="G27" s="462">
        <f t="shared" si="2"/>
        <v>-1.6000000000000001E-4</v>
      </c>
      <c r="H27" s="453">
        <v>-1.6E-2</v>
      </c>
      <c r="I27" s="107" t="str">
        <v>16M</v>
      </c>
      <c r="J27" s="441" t="str">
        <f>IF(LEN(I27)&gt;0,IF((MID(I27,4,1)=" "),#REF!,IF((LEN(I27)=8),DATE("20" &amp; RIGHT(I27,2),MID(I27,4,2),LEFT(I27,2)),SimplifyTenor(I27))),"")</f>
        <v>16M</v>
      </c>
      <c r="K27" s="448">
        <f>_xll.qlCalendarAdvance("TARGET",SettlementDate,J27)</f>
        <v>43181</v>
      </c>
      <c r="L27" s="89"/>
      <c r="M27" s="99" t="str">
        <v>16M</v>
      </c>
      <c r="N27" s="465">
        <v>44.447036624587582</v>
      </c>
      <c r="P27" s="106" t="b">
        <f t="shared" si="0"/>
        <v>0</v>
      </c>
      <c r="Q27" s="460">
        <f t="array" ref="Q27:CC27">C27*ForwardToZero(OisBuckets,E27,F27,G27)</f>
        <v>0</v>
      </c>
      <c r="R27" s="460">
        <v>0</v>
      </c>
      <c r="S27" s="460">
        <v>0</v>
      </c>
      <c r="T27" s="460">
        <v>0</v>
      </c>
      <c r="U27" s="460">
        <v>0</v>
      </c>
      <c r="V27" s="460">
        <v>0</v>
      </c>
      <c r="W27" s="460">
        <v>0</v>
      </c>
      <c r="X27" s="460">
        <v>0</v>
      </c>
      <c r="Y27" s="460">
        <v>0</v>
      </c>
      <c r="Z27" s="460">
        <v>0</v>
      </c>
      <c r="AA27" s="460">
        <v>0</v>
      </c>
      <c r="AB27" s="460">
        <v>0.65887909864712335</v>
      </c>
      <c r="AC27" s="460">
        <v>0</v>
      </c>
      <c r="AD27" s="460">
        <v>0</v>
      </c>
      <c r="AE27" s="460">
        <v>0</v>
      </c>
      <c r="AF27" s="460">
        <v>0</v>
      </c>
      <c r="AG27" s="460">
        <v>0</v>
      </c>
      <c r="AH27" s="460">
        <v>0</v>
      </c>
      <c r="AI27" s="460">
        <v>0</v>
      </c>
      <c r="AJ27" s="460">
        <v>0</v>
      </c>
      <c r="AK27" s="460">
        <v>0</v>
      </c>
      <c r="AL27" s="460">
        <v>0</v>
      </c>
      <c r="AM27" s="460">
        <v>0</v>
      </c>
      <c r="AN27" s="460">
        <v>-1.958829752734691</v>
      </c>
      <c r="AO27" s="460">
        <v>0</v>
      </c>
      <c r="AP27" s="460">
        <v>0</v>
      </c>
      <c r="AQ27" s="460">
        <v>0</v>
      </c>
      <c r="AR27" s="460">
        <v>0</v>
      </c>
      <c r="AS27" s="460">
        <v>0</v>
      </c>
      <c r="AT27" s="460">
        <v>0</v>
      </c>
      <c r="AU27" s="460">
        <v>0</v>
      </c>
      <c r="AV27" s="460">
        <v>0</v>
      </c>
      <c r="AW27" s="460">
        <v>0</v>
      </c>
      <c r="AX27" s="460">
        <v>0</v>
      </c>
      <c r="AY27" s="460">
        <v>0</v>
      </c>
      <c r="AZ27" s="460">
        <v>0</v>
      </c>
      <c r="BA27" s="460">
        <v>0</v>
      </c>
      <c r="BB27" s="460">
        <v>0</v>
      </c>
      <c r="BC27" s="460">
        <v>0</v>
      </c>
      <c r="BD27" s="460">
        <v>0</v>
      </c>
      <c r="BE27" s="460">
        <v>0</v>
      </c>
      <c r="BF27" s="460">
        <v>0</v>
      </c>
      <c r="BG27" s="460">
        <v>0</v>
      </c>
      <c r="BH27" s="460">
        <v>0</v>
      </c>
      <c r="BI27" s="460">
        <v>0</v>
      </c>
      <c r="BJ27" s="460">
        <v>0</v>
      </c>
      <c r="BK27" s="460">
        <v>0</v>
      </c>
      <c r="BL27" s="460">
        <v>0</v>
      </c>
      <c r="BM27" s="460">
        <v>0</v>
      </c>
      <c r="BN27" s="460">
        <v>0</v>
      </c>
      <c r="BO27" s="460">
        <v>0</v>
      </c>
      <c r="BP27" s="460">
        <v>0</v>
      </c>
      <c r="BQ27" s="460">
        <v>0</v>
      </c>
      <c r="BR27" s="460">
        <v>0</v>
      </c>
      <c r="BS27" s="460">
        <v>0</v>
      </c>
      <c r="BT27" s="460">
        <v>0</v>
      </c>
      <c r="BU27" s="460">
        <v>0</v>
      </c>
      <c r="BV27" s="460">
        <v>0</v>
      </c>
      <c r="BW27" s="460">
        <v>0</v>
      </c>
      <c r="BX27" s="460">
        <v>0</v>
      </c>
      <c r="BY27" s="460">
        <v>0</v>
      </c>
      <c r="BZ27" s="460">
        <v>0</v>
      </c>
      <c r="CA27" s="460" t="e">
        <v>#N/A</v>
      </c>
      <c r="CB27" s="460" t="e">
        <v>#N/A</v>
      </c>
      <c r="CC27" s="460" t="e">
        <v>#N/A</v>
      </c>
    </row>
    <row r="28" spans="1:81" ht="12.75" customHeight="1">
      <c r="A28" s="111">
        <v>23</v>
      </c>
      <c r="B28" s="458" t="str">
        <v>7M-19M</v>
      </c>
      <c r="C28" s="465">
        <f>'eur disaggregated'!AV39</f>
        <v>19.278824652487405</v>
      </c>
      <c r="D28" s="111" t="str">
        <f t="shared" si="3"/>
        <v>12M</v>
      </c>
      <c r="E28" s="441">
        <f t="shared" si="4"/>
        <v>42908</v>
      </c>
      <c r="F28" s="441">
        <f>IF(AND(NOT(ISNA(MATCH(RIGHT(B28,2),$I$6:$I$67,0))),LEN(B28)&lt;3,RIGHT(B28,1)="M"), INDEX($K$6:$K$67, MATCH(RIGHT(B28,2),$I$6:$I$67,0)), IF(AND(NOT(ISNA(MATCH((IF(RIGHT(B28,3)="24M","2Y",RIGHT(B28,3))),$I$6:$I$67,0))), LEN(B28)&gt;=3, RIGHT(B28,1)="M"), INDEX($K$6:$K$67, MATCH((IF(RIGHT(B28,3)="24M","2Y",RIGHT(B28,3))),$I$6:$I$67,0)), _xll.qlCalendarAdvance(Calendar,E28,D28)))</f>
        <v>43273</v>
      </c>
      <c r="G28" s="462">
        <f t="shared" si="2"/>
        <v>-5.0000000000000002E-5</v>
      </c>
      <c r="H28" s="453">
        <v>-5.0000000000000001E-3</v>
      </c>
      <c r="I28" s="107" t="str">
        <v>17M</v>
      </c>
      <c r="J28" s="441" t="str">
        <f>IF(LEN(I28)&gt;0,IF((MID(I28,4,1)=" "),#REF!,IF((LEN(I28)=8),DATE("20" &amp; RIGHT(I28,2),MID(I28,4,2),LEFT(I28,2)),SimplifyTenor(I28))),"")</f>
        <v>17M</v>
      </c>
      <c r="K28" s="448">
        <f>_xll.qlCalendarAdvance("TARGET",SettlementDate,J28)</f>
        <v>43213</v>
      </c>
      <c r="L28" s="89"/>
      <c r="M28" s="99" t="str">
        <v>17M</v>
      </c>
      <c r="N28" s="465">
        <v>0</v>
      </c>
      <c r="P28" s="106" t="b">
        <f t="shared" si="0"/>
        <v>0</v>
      </c>
      <c r="Q28" s="460">
        <f t="array" ref="Q28:CC28">C28*ForwardToZero(OisBuckets,E28,F28,G28)</f>
        <v>0</v>
      </c>
      <c r="R28" s="460">
        <v>0</v>
      </c>
      <c r="S28" s="460">
        <v>0</v>
      </c>
      <c r="T28" s="460">
        <v>0</v>
      </c>
      <c r="U28" s="460">
        <v>0</v>
      </c>
      <c r="V28" s="460">
        <v>0</v>
      </c>
      <c r="W28" s="460">
        <v>0</v>
      </c>
      <c r="X28" s="460">
        <v>0</v>
      </c>
      <c r="Y28" s="460">
        <v>0</v>
      </c>
      <c r="Z28" s="460">
        <v>0</v>
      </c>
      <c r="AA28" s="460">
        <v>0</v>
      </c>
      <c r="AB28" s="460">
        <v>0</v>
      </c>
      <c r="AC28" s="460">
        <v>-11.4088386984583</v>
      </c>
      <c r="AD28" s="460">
        <v>0</v>
      </c>
      <c r="AE28" s="460">
        <v>0</v>
      </c>
      <c r="AF28" s="460">
        <v>0</v>
      </c>
      <c r="AG28" s="460">
        <v>0</v>
      </c>
      <c r="AH28" s="460">
        <v>0</v>
      </c>
      <c r="AI28" s="460">
        <v>0</v>
      </c>
      <c r="AJ28" s="460">
        <v>0</v>
      </c>
      <c r="AK28" s="460">
        <v>0</v>
      </c>
      <c r="AL28" s="460">
        <v>0</v>
      </c>
      <c r="AM28" s="460">
        <v>0</v>
      </c>
      <c r="AN28" s="460">
        <v>0</v>
      </c>
      <c r="AO28" s="460">
        <v>30.687663350945705</v>
      </c>
      <c r="AP28" s="460">
        <v>0</v>
      </c>
      <c r="AQ28" s="460">
        <v>0</v>
      </c>
      <c r="AR28" s="460">
        <v>0</v>
      </c>
      <c r="AS28" s="460">
        <v>0</v>
      </c>
      <c r="AT28" s="460">
        <v>0</v>
      </c>
      <c r="AU28" s="460">
        <v>0</v>
      </c>
      <c r="AV28" s="460">
        <v>0</v>
      </c>
      <c r="AW28" s="460">
        <v>0</v>
      </c>
      <c r="AX28" s="460">
        <v>0</v>
      </c>
      <c r="AY28" s="460">
        <v>0</v>
      </c>
      <c r="AZ28" s="460">
        <v>0</v>
      </c>
      <c r="BA28" s="460">
        <v>0</v>
      </c>
      <c r="BB28" s="460">
        <v>0</v>
      </c>
      <c r="BC28" s="460">
        <v>0</v>
      </c>
      <c r="BD28" s="460">
        <v>0</v>
      </c>
      <c r="BE28" s="460">
        <v>0</v>
      </c>
      <c r="BF28" s="460">
        <v>0</v>
      </c>
      <c r="BG28" s="460">
        <v>0</v>
      </c>
      <c r="BH28" s="460">
        <v>0</v>
      </c>
      <c r="BI28" s="460">
        <v>0</v>
      </c>
      <c r="BJ28" s="460">
        <v>0</v>
      </c>
      <c r="BK28" s="460">
        <v>0</v>
      </c>
      <c r="BL28" s="460">
        <v>0</v>
      </c>
      <c r="BM28" s="460">
        <v>0</v>
      </c>
      <c r="BN28" s="460">
        <v>0</v>
      </c>
      <c r="BO28" s="460">
        <v>0</v>
      </c>
      <c r="BP28" s="460">
        <v>0</v>
      </c>
      <c r="BQ28" s="460">
        <v>0</v>
      </c>
      <c r="BR28" s="460">
        <v>0</v>
      </c>
      <c r="BS28" s="460">
        <v>0</v>
      </c>
      <c r="BT28" s="460">
        <v>0</v>
      </c>
      <c r="BU28" s="460">
        <v>0</v>
      </c>
      <c r="BV28" s="460">
        <v>0</v>
      </c>
      <c r="BW28" s="460">
        <v>0</v>
      </c>
      <c r="BX28" s="460">
        <v>0</v>
      </c>
      <c r="BY28" s="460">
        <v>0</v>
      </c>
      <c r="BZ28" s="460">
        <v>0</v>
      </c>
      <c r="CA28" s="460" t="e">
        <v>#N/A</v>
      </c>
      <c r="CB28" s="460" t="e">
        <v>#N/A</v>
      </c>
      <c r="CC28" s="460" t="e">
        <v>#N/A</v>
      </c>
    </row>
    <row r="29" spans="1:81" ht="12.75" customHeight="1">
      <c r="A29" s="111">
        <v>24</v>
      </c>
      <c r="B29" s="458" t="str">
        <v>8M-20M</v>
      </c>
      <c r="C29" s="465">
        <f>'eur disaggregated'!AV40</f>
        <v>3.6465700941684407</v>
      </c>
      <c r="D29" s="111" t="str">
        <f t="shared" si="3"/>
        <v>12M</v>
      </c>
      <c r="E29" s="441">
        <f t="shared" si="4"/>
        <v>42940</v>
      </c>
      <c r="F29" s="441">
        <f>IF(AND(NOT(ISNA(MATCH(RIGHT(B29,2),$I$6:$I$67,0))),LEN(B29)&lt;3,RIGHT(B29,1)="M"), INDEX($K$6:$K$67, MATCH(RIGHT(B29,2),$I$6:$I$67,0)), IF(AND(NOT(ISNA(MATCH((IF(RIGHT(B29,3)="24M","2Y",RIGHT(B29,3))),$I$6:$I$67,0))), LEN(B29)&gt;=3, RIGHT(B29,1)="M"), INDEX($K$6:$K$67, MATCH((IF(RIGHT(B29,3)="24M","2Y",RIGHT(B29,3))),$I$6:$I$67,0)), _xll.qlCalendarAdvance(Calendar,E29,D29)))</f>
        <v>43304</v>
      </c>
      <c r="G29" s="462">
        <f t="shared" si="2"/>
        <v>7.0000000000000007E-5</v>
      </c>
      <c r="H29" s="453">
        <v>7.0000000000000001E-3</v>
      </c>
      <c r="I29" s="107" t="str">
        <v>18M</v>
      </c>
      <c r="J29" s="441" t="str">
        <f>IF(LEN(I29)&gt;0,IF((MID(I29,4,1)=" "),#REF!,IF((LEN(I29)=8),DATE("20" &amp; RIGHT(I29,2),MID(I29,4,2),LEFT(I29,2)),SimplifyTenor(I29))),"")</f>
        <v>18M</v>
      </c>
      <c r="K29" s="448">
        <f>_xll.qlCalendarAdvance("TARGET",SettlementDate,J29)</f>
        <v>43242</v>
      </c>
      <c r="L29" s="89"/>
      <c r="M29" s="99" t="str">
        <v>18M</v>
      </c>
      <c r="N29" s="465">
        <v>-1.958829752734691</v>
      </c>
      <c r="P29" s="106" t="b">
        <f t="shared" si="0"/>
        <v>0</v>
      </c>
      <c r="Q29" s="460">
        <f t="array" ref="Q29:CC29">C29*ForwardToZero(OisBuckets,E29,F29,G29)</f>
        <v>0</v>
      </c>
      <c r="R29" s="460">
        <v>0</v>
      </c>
      <c r="S29" s="460">
        <v>0</v>
      </c>
      <c r="T29" s="460">
        <v>0</v>
      </c>
      <c r="U29" s="460">
        <v>0</v>
      </c>
      <c r="V29" s="460">
        <v>0</v>
      </c>
      <c r="W29" s="460">
        <v>0</v>
      </c>
      <c r="X29" s="460">
        <v>0</v>
      </c>
      <c r="Y29" s="460">
        <v>0</v>
      </c>
      <c r="Z29" s="460">
        <v>0</v>
      </c>
      <c r="AA29" s="460">
        <v>0</v>
      </c>
      <c r="AB29" s="460">
        <v>0</v>
      </c>
      <c r="AC29" s="460">
        <v>0</v>
      </c>
      <c r="AD29" s="460">
        <v>-2.4844763278949813</v>
      </c>
      <c r="AE29" s="460">
        <v>0</v>
      </c>
      <c r="AF29" s="460">
        <v>0</v>
      </c>
      <c r="AG29" s="460">
        <v>0</v>
      </c>
      <c r="AH29" s="460">
        <v>0</v>
      </c>
      <c r="AI29" s="460">
        <v>0</v>
      </c>
      <c r="AJ29" s="460">
        <v>0</v>
      </c>
      <c r="AK29" s="460">
        <v>0</v>
      </c>
      <c r="AL29" s="460">
        <v>0</v>
      </c>
      <c r="AM29" s="460">
        <v>0</v>
      </c>
      <c r="AN29" s="460">
        <v>0</v>
      </c>
      <c r="AO29" s="460">
        <v>0</v>
      </c>
      <c r="AP29" s="460">
        <v>6.131046422063422</v>
      </c>
      <c r="AQ29" s="460">
        <v>0</v>
      </c>
      <c r="AR29" s="460">
        <v>0</v>
      </c>
      <c r="AS29" s="460">
        <v>0</v>
      </c>
      <c r="AT29" s="460">
        <v>0</v>
      </c>
      <c r="AU29" s="460">
        <v>0</v>
      </c>
      <c r="AV29" s="460">
        <v>0</v>
      </c>
      <c r="AW29" s="460">
        <v>0</v>
      </c>
      <c r="AX29" s="460">
        <v>0</v>
      </c>
      <c r="AY29" s="460">
        <v>0</v>
      </c>
      <c r="AZ29" s="460">
        <v>0</v>
      </c>
      <c r="BA29" s="460">
        <v>0</v>
      </c>
      <c r="BB29" s="460">
        <v>0</v>
      </c>
      <c r="BC29" s="460">
        <v>0</v>
      </c>
      <c r="BD29" s="460">
        <v>0</v>
      </c>
      <c r="BE29" s="460">
        <v>0</v>
      </c>
      <c r="BF29" s="460">
        <v>0</v>
      </c>
      <c r="BG29" s="460">
        <v>0</v>
      </c>
      <c r="BH29" s="460">
        <v>0</v>
      </c>
      <c r="BI29" s="460">
        <v>0</v>
      </c>
      <c r="BJ29" s="460">
        <v>0</v>
      </c>
      <c r="BK29" s="460">
        <v>0</v>
      </c>
      <c r="BL29" s="460">
        <v>0</v>
      </c>
      <c r="BM29" s="460">
        <v>0</v>
      </c>
      <c r="BN29" s="460">
        <v>0</v>
      </c>
      <c r="BO29" s="460">
        <v>0</v>
      </c>
      <c r="BP29" s="460">
        <v>0</v>
      </c>
      <c r="BQ29" s="460">
        <v>0</v>
      </c>
      <c r="BR29" s="460">
        <v>0</v>
      </c>
      <c r="BS29" s="460">
        <v>0</v>
      </c>
      <c r="BT29" s="460">
        <v>0</v>
      </c>
      <c r="BU29" s="460">
        <v>0</v>
      </c>
      <c r="BV29" s="460">
        <v>0</v>
      </c>
      <c r="BW29" s="460">
        <v>0</v>
      </c>
      <c r="BX29" s="460">
        <v>0</v>
      </c>
      <c r="BY29" s="460">
        <v>0</v>
      </c>
      <c r="BZ29" s="460">
        <v>0</v>
      </c>
      <c r="CA29" s="460" t="e">
        <v>#N/A</v>
      </c>
      <c r="CB29" s="460" t="e">
        <v>#N/A</v>
      </c>
      <c r="CC29" s="460" t="e">
        <v>#N/A</v>
      </c>
    </row>
    <row r="30" spans="1:81" ht="12.75" customHeight="1">
      <c r="A30" s="111">
        <v>25</v>
      </c>
      <c r="B30" s="458" t="str">
        <v>9M-21M</v>
      </c>
      <c r="C30" s="465">
        <f>'eur disaggregated'!AV41</f>
        <v>1.6984323536381993</v>
      </c>
      <c r="D30" s="111" t="str">
        <f t="shared" si="3"/>
        <v>12M</v>
      </c>
      <c r="E30" s="441">
        <f t="shared" si="4"/>
        <v>42969</v>
      </c>
      <c r="F30" s="441">
        <f>IF(AND(NOT(ISNA(MATCH(RIGHT(B30,2),$I$6:$I$67,0))),LEN(B30)&lt;3,RIGHT(B30,1)="M"), INDEX($K$6:$K$67, MATCH(RIGHT(B30,2),$I$6:$I$67,0)), IF(AND(NOT(ISNA(MATCH((IF(RIGHT(B30,3)="24M","2Y",RIGHT(B30,3))),$I$6:$I$67,0))), LEN(B30)&gt;=3, RIGHT(B30,1)="M"), INDEX($K$6:$K$67, MATCH((IF(RIGHT(B30,3)="24M","2Y",RIGHT(B30,3))),$I$6:$I$67,0)), _xll.qlCalendarAdvance(Calendar,E30,D30)))</f>
        <v>43334</v>
      </c>
      <c r="G30" s="462">
        <f t="shared" si="2"/>
        <v>1.7999999999999998E-4</v>
      </c>
      <c r="H30" s="453">
        <v>1.7999999999999999E-2</v>
      </c>
      <c r="I30" s="107" t="str">
        <v>19M</v>
      </c>
      <c r="J30" s="441" t="str">
        <f>IF(LEN(I30)&gt;0,IF((MID(I30,4,1)=" "),#REF!,IF((LEN(I30)=8),DATE("20" &amp; RIGHT(I30,2),MID(I30,4,2),LEFT(I30,2)),SimplifyTenor(I30))),"")</f>
        <v>19M</v>
      </c>
      <c r="K30" s="448">
        <f>_xll.qlCalendarAdvance("TARGET",SettlementDate,J30)</f>
        <v>43273</v>
      </c>
      <c r="L30" s="89"/>
      <c r="M30" s="99" t="str">
        <v>19M</v>
      </c>
      <c r="N30" s="465">
        <v>30.687663350945705</v>
      </c>
      <c r="P30" s="106" t="b">
        <f t="shared" si="0"/>
        <v>0</v>
      </c>
      <c r="Q30" s="460">
        <f t="array" ref="Q30:CC30">C30*ForwardToZero(OisBuckets,E30,F30,G30)</f>
        <v>0</v>
      </c>
      <c r="R30" s="460">
        <v>0</v>
      </c>
      <c r="S30" s="460">
        <v>0</v>
      </c>
      <c r="T30" s="460">
        <v>0</v>
      </c>
      <c r="U30" s="460">
        <v>0</v>
      </c>
      <c r="V30" s="460">
        <v>0</v>
      </c>
      <c r="W30" s="460">
        <v>0</v>
      </c>
      <c r="X30" s="460">
        <v>0</v>
      </c>
      <c r="Y30" s="460">
        <v>0</v>
      </c>
      <c r="Z30" s="460">
        <v>0</v>
      </c>
      <c r="AA30" s="460">
        <v>0</v>
      </c>
      <c r="AB30" s="460">
        <v>0</v>
      </c>
      <c r="AC30" s="460">
        <v>0</v>
      </c>
      <c r="AD30" s="460">
        <v>0</v>
      </c>
      <c r="AE30" s="460">
        <v>-1.2889472930350168</v>
      </c>
      <c r="AF30" s="460">
        <v>0</v>
      </c>
      <c r="AG30" s="460">
        <v>0</v>
      </c>
      <c r="AH30" s="460">
        <v>0</v>
      </c>
      <c r="AI30" s="460">
        <v>0</v>
      </c>
      <c r="AJ30" s="460">
        <v>0</v>
      </c>
      <c r="AK30" s="460">
        <v>0</v>
      </c>
      <c r="AL30" s="460">
        <v>0</v>
      </c>
      <c r="AM30" s="460">
        <v>0</v>
      </c>
      <c r="AN30" s="460">
        <v>0</v>
      </c>
      <c r="AO30" s="460">
        <v>0</v>
      </c>
      <c r="AP30" s="460">
        <v>0</v>
      </c>
      <c r="AQ30" s="460">
        <v>2.9873796466732161</v>
      </c>
      <c r="AR30" s="460">
        <v>0</v>
      </c>
      <c r="AS30" s="460">
        <v>0</v>
      </c>
      <c r="AT30" s="460">
        <v>0</v>
      </c>
      <c r="AU30" s="460">
        <v>0</v>
      </c>
      <c r="AV30" s="460">
        <v>0</v>
      </c>
      <c r="AW30" s="460">
        <v>0</v>
      </c>
      <c r="AX30" s="460">
        <v>0</v>
      </c>
      <c r="AY30" s="460">
        <v>0</v>
      </c>
      <c r="AZ30" s="460">
        <v>0</v>
      </c>
      <c r="BA30" s="460">
        <v>0</v>
      </c>
      <c r="BB30" s="460">
        <v>0</v>
      </c>
      <c r="BC30" s="460">
        <v>0</v>
      </c>
      <c r="BD30" s="460">
        <v>0</v>
      </c>
      <c r="BE30" s="460">
        <v>0</v>
      </c>
      <c r="BF30" s="460">
        <v>0</v>
      </c>
      <c r="BG30" s="460">
        <v>0</v>
      </c>
      <c r="BH30" s="460">
        <v>0</v>
      </c>
      <c r="BI30" s="460">
        <v>0</v>
      </c>
      <c r="BJ30" s="460">
        <v>0</v>
      </c>
      <c r="BK30" s="460">
        <v>0</v>
      </c>
      <c r="BL30" s="460">
        <v>0</v>
      </c>
      <c r="BM30" s="460">
        <v>0</v>
      </c>
      <c r="BN30" s="460">
        <v>0</v>
      </c>
      <c r="BO30" s="460">
        <v>0</v>
      </c>
      <c r="BP30" s="460">
        <v>0</v>
      </c>
      <c r="BQ30" s="460">
        <v>0</v>
      </c>
      <c r="BR30" s="460">
        <v>0</v>
      </c>
      <c r="BS30" s="460">
        <v>0</v>
      </c>
      <c r="BT30" s="460">
        <v>0</v>
      </c>
      <c r="BU30" s="460">
        <v>0</v>
      </c>
      <c r="BV30" s="460">
        <v>0</v>
      </c>
      <c r="BW30" s="460">
        <v>0</v>
      </c>
      <c r="BX30" s="460">
        <v>0</v>
      </c>
      <c r="BY30" s="460">
        <v>0</v>
      </c>
      <c r="BZ30" s="460">
        <v>0</v>
      </c>
      <c r="CA30" s="460" t="e">
        <v>#N/A</v>
      </c>
      <c r="CB30" s="460" t="e">
        <v>#N/A</v>
      </c>
      <c r="CC30" s="460" t="e">
        <v>#N/A</v>
      </c>
    </row>
    <row r="31" spans="1:81" ht="12.75" customHeight="1">
      <c r="A31" s="105">
        <v>26</v>
      </c>
      <c r="B31" s="458" t="str">
        <v>10M-22M</v>
      </c>
      <c r="C31" s="465">
        <f>'eur disaggregated'!AV42</f>
        <v>0.12785327898082188</v>
      </c>
      <c r="D31" s="111" t="str">
        <f t="shared" si="3"/>
        <v>12M</v>
      </c>
      <c r="E31" s="441">
        <f t="shared" si="4"/>
        <v>43000</v>
      </c>
      <c r="F31" s="441">
        <f>IF(AND(NOT(ISNA(MATCH(RIGHT(B31,2),$I$6:$I$67,0))),LEN(B31)&lt;3,RIGHT(B31,1)="M"), INDEX($K$6:$K$67, MATCH(RIGHT(B31,2),$I$6:$I$67,0)), IF(AND(NOT(ISNA(MATCH((IF(RIGHT(B31,3)="24M","2Y",RIGHT(B31,3))),$I$6:$I$67,0))), LEN(B31)&gt;=3, RIGHT(B31,1)="M"), INDEX($K$6:$K$67, MATCH((IF(RIGHT(B31,3)="24M","2Y",RIGHT(B31,3))),$I$6:$I$67,0)), _xll.qlCalendarAdvance(Calendar,E31,D31)))</f>
        <v>43367</v>
      </c>
      <c r="G31" s="462">
        <f t="shared" si="2"/>
        <v>2.9999999999999997E-4</v>
      </c>
      <c r="H31" s="453">
        <v>0.03</v>
      </c>
      <c r="I31" s="107" t="str">
        <v>20M</v>
      </c>
      <c r="J31" s="106" t="str">
        <f>IF(LEN(I31)&gt;0,IF((MID(I31,4,1)=" "),#REF!,IF((LEN(I31)=8),DATE("20" &amp; RIGHT(I31,2),MID(I31,4,2),LEFT(I31,2)),SimplifyTenor(I31))),"")</f>
        <v>20M</v>
      </c>
      <c r="K31" s="448">
        <f>_xll.qlCalendarAdvance("TARGET",SettlementDate,J31)</f>
        <v>43304</v>
      </c>
      <c r="M31" s="99" t="str">
        <v>20M</v>
      </c>
      <c r="N31" s="465">
        <v>6.131046422063422</v>
      </c>
      <c r="P31" s="106" t="b">
        <f t="shared" si="0"/>
        <v>0</v>
      </c>
      <c r="Q31" s="460">
        <f t="array" ref="Q31:CC31">C31*ForwardToZero(OisBuckets,E31,F31,G31)</f>
        <v>0</v>
      </c>
      <c r="R31" s="460">
        <v>0</v>
      </c>
      <c r="S31" s="460">
        <v>0</v>
      </c>
      <c r="T31" s="460">
        <v>0</v>
      </c>
      <c r="U31" s="460">
        <v>0</v>
      </c>
      <c r="V31" s="460">
        <v>0</v>
      </c>
      <c r="W31" s="460">
        <v>0</v>
      </c>
      <c r="X31" s="460">
        <v>0</v>
      </c>
      <c r="Y31" s="460">
        <v>0</v>
      </c>
      <c r="Z31" s="460">
        <v>0</v>
      </c>
      <c r="AA31" s="460">
        <v>0</v>
      </c>
      <c r="AB31" s="460">
        <v>0</v>
      </c>
      <c r="AC31" s="460">
        <v>0</v>
      </c>
      <c r="AD31" s="460">
        <v>0</v>
      </c>
      <c r="AE31" s="460">
        <v>0</v>
      </c>
      <c r="AF31" s="460">
        <v>-0.10729920960788319</v>
      </c>
      <c r="AG31" s="460">
        <v>0</v>
      </c>
      <c r="AH31" s="460">
        <v>0</v>
      </c>
      <c r="AI31" s="460">
        <v>0</v>
      </c>
      <c r="AJ31" s="460">
        <v>0</v>
      </c>
      <c r="AK31" s="460">
        <v>0</v>
      </c>
      <c r="AL31" s="460">
        <v>0</v>
      </c>
      <c r="AM31" s="460">
        <v>0</v>
      </c>
      <c r="AN31" s="460">
        <v>0</v>
      </c>
      <c r="AO31" s="460">
        <v>0</v>
      </c>
      <c r="AP31" s="460">
        <v>0</v>
      </c>
      <c r="AQ31" s="460">
        <v>0</v>
      </c>
      <c r="AR31" s="460">
        <v>0.23515248858870511</v>
      </c>
      <c r="AS31" s="460">
        <v>0</v>
      </c>
      <c r="AT31" s="460">
        <v>0</v>
      </c>
      <c r="AU31" s="460">
        <v>0</v>
      </c>
      <c r="AV31" s="460">
        <v>0</v>
      </c>
      <c r="AW31" s="460">
        <v>0</v>
      </c>
      <c r="AX31" s="460">
        <v>0</v>
      </c>
      <c r="AY31" s="460">
        <v>0</v>
      </c>
      <c r="AZ31" s="460">
        <v>0</v>
      </c>
      <c r="BA31" s="460">
        <v>0</v>
      </c>
      <c r="BB31" s="460">
        <v>0</v>
      </c>
      <c r="BC31" s="460">
        <v>0</v>
      </c>
      <c r="BD31" s="460">
        <v>0</v>
      </c>
      <c r="BE31" s="460">
        <v>0</v>
      </c>
      <c r="BF31" s="460">
        <v>0</v>
      </c>
      <c r="BG31" s="460">
        <v>0</v>
      </c>
      <c r="BH31" s="460">
        <v>0</v>
      </c>
      <c r="BI31" s="460">
        <v>0</v>
      </c>
      <c r="BJ31" s="460">
        <v>0</v>
      </c>
      <c r="BK31" s="460">
        <v>0</v>
      </c>
      <c r="BL31" s="460">
        <v>0</v>
      </c>
      <c r="BM31" s="460">
        <v>0</v>
      </c>
      <c r="BN31" s="460">
        <v>0</v>
      </c>
      <c r="BO31" s="460">
        <v>0</v>
      </c>
      <c r="BP31" s="460">
        <v>0</v>
      </c>
      <c r="BQ31" s="460">
        <v>0</v>
      </c>
      <c r="BR31" s="460">
        <v>0</v>
      </c>
      <c r="BS31" s="460">
        <v>0</v>
      </c>
      <c r="BT31" s="460">
        <v>0</v>
      </c>
      <c r="BU31" s="460">
        <v>0</v>
      </c>
      <c r="BV31" s="460">
        <v>0</v>
      </c>
      <c r="BW31" s="460">
        <v>0</v>
      </c>
      <c r="BX31" s="460">
        <v>0</v>
      </c>
      <c r="BY31" s="460">
        <v>0</v>
      </c>
      <c r="BZ31" s="460">
        <v>0</v>
      </c>
      <c r="CA31" s="460" t="e">
        <v>#N/A</v>
      </c>
      <c r="CB31" s="460" t="e">
        <v>#N/A</v>
      </c>
      <c r="CC31" s="460" t="e">
        <v>#N/A</v>
      </c>
    </row>
    <row r="32" spans="1:81" ht="12.75" customHeight="1">
      <c r="A32" s="105">
        <v>27</v>
      </c>
      <c r="B32" s="458" t="str">
        <v>11M-23M</v>
      </c>
      <c r="C32" s="465">
        <f>'eur disaggregated'!AV43</f>
        <v>234.51609250755487</v>
      </c>
      <c r="D32" s="111" t="str">
        <f t="shared" si="3"/>
        <v>12M</v>
      </c>
      <c r="E32" s="441">
        <f t="shared" si="4"/>
        <v>43031</v>
      </c>
      <c r="F32" s="441">
        <f>IF(AND(NOT(ISNA(MATCH(RIGHT(B32,2),$I$6:$I$67,0))),LEN(B32)&lt;3,RIGHT(B32,1)="M"), INDEX($K$6:$K$67, MATCH(RIGHT(B32,2),$I$6:$I$67,0)), IF(AND(NOT(ISNA(MATCH((IF(RIGHT(B32,3)="24M","2Y",RIGHT(B32,3))),$I$6:$I$67,0))), LEN(B32)&gt;=3, RIGHT(B32,1)="M"), INDEX($K$6:$K$67, MATCH((IF(RIGHT(B32,3)="24M","2Y",RIGHT(B32,3))),$I$6:$I$67,0)), _xll.qlCalendarAdvance(Calendar,E32,D32)))</f>
        <v>43395</v>
      </c>
      <c r="G32" s="462">
        <f t="shared" si="2"/>
        <v>4.3999999999999996E-4</v>
      </c>
      <c r="H32" s="453">
        <v>4.3999999999999997E-2</v>
      </c>
      <c r="I32" s="107" t="str">
        <v>21M</v>
      </c>
      <c r="J32" s="106" t="str">
        <f>IF(LEN(I32)&gt;0,IF((MID(I32,4,1)=" "),#REF!,IF((LEN(I32)=8),DATE("20" &amp; RIGHT(I32,2),MID(I32,4,2),LEFT(I32,2)),SimplifyTenor(I32))),"")</f>
        <v>21M</v>
      </c>
      <c r="K32" s="448">
        <f>_xll.qlCalendarAdvance("TARGET",SettlementDate,J32)</f>
        <v>43334</v>
      </c>
      <c r="M32" s="99" t="str">
        <v>21M</v>
      </c>
      <c r="N32" s="465">
        <v>2.9873796466732161</v>
      </c>
      <c r="P32" s="106" t="b">
        <f t="shared" si="0"/>
        <v>0</v>
      </c>
      <c r="Q32" s="460">
        <f t="array" ref="Q32:CC32">C32*ForwardToZero(OisBuckets,E32,F32,G32)</f>
        <v>0</v>
      </c>
      <c r="R32" s="460">
        <v>0</v>
      </c>
      <c r="S32" s="460">
        <v>0</v>
      </c>
      <c r="T32" s="460">
        <v>0</v>
      </c>
      <c r="U32" s="460">
        <v>0</v>
      </c>
      <c r="V32" s="460">
        <v>0</v>
      </c>
      <c r="W32" s="460">
        <v>0</v>
      </c>
      <c r="X32" s="460">
        <v>0</v>
      </c>
      <c r="Y32" s="460">
        <v>0</v>
      </c>
      <c r="Z32" s="460">
        <v>0</v>
      </c>
      <c r="AA32" s="460">
        <v>0</v>
      </c>
      <c r="AB32" s="460">
        <v>0</v>
      </c>
      <c r="AC32" s="460">
        <v>0</v>
      </c>
      <c r="AD32" s="460">
        <v>0</v>
      </c>
      <c r="AE32" s="460">
        <v>0</v>
      </c>
      <c r="AF32" s="460">
        <v>0</v>
      </c>
      <c r="AG32" s="460">
        <v>-218.40921802214592</v>
      </c>
      <c r="AH32" s="460">
        <v>0</v>
      </c>
      <c r="AI32" s="460">
        <v>0</v>
      </c>
      <c r="AJ32" s="460">
        <v>0</v>
      </c>
      <c r="AK32" s="460">
        <v>0</v>
      </c>
      <c r="AL32" s="460">
        <v>0</v>
      </c>
      <c r="AM32" s="460">
        <v>0</v>
      </c>
      <c r="AN32" s="460">
        <v>0</v>
      </c>
      <c r="AO32" s="460">
        <v>0</v>
      </c>
      <c r="AP32" s="460">
        <v>0</v>
      </c>
      <c r="AQ32" s="460">
        <v>0</v>
      </c>
      <c r="AR32" s="460">
        <v>0</v>
      </c>
      <c r="AS32" s="460">
        <v>452.92531052970077</v>
      </c>
      <c r="AT32" s="460">
        <v>0</v>
      </c>
      <c r="AU32" s="460">
        <v>0</v>
      </c>
      <c r="AV32" s="460">
        <v>0</v>
      </c>
      <c r="AW32" s="460">
        <v>0</v>
      </c>
      <c r="AX32" s="460">
        <v>0</v>
      </c>
      <c r="AY32" s="460">
        <v>0</v>
      </c>
      <c r="AZ32" s="460">
        <v>0</v>
      </c>
      <c r="BA32" s="460">
        <v>0</v>
      </c>
      <c r="BB32" s="460">
        <v>0</v>
      </c>
      <c r="BC32" s="460">
        <v>0</v>
      </c>
      <c r="BD32" s="460">
        <v>0</v>
      </c>
      <c r="BE32" s="460">
        <v>0</v>
      </c>
      <c r="BF32" s="460">
        <v>0</v>
      </c>
      <c r="BG32" s="460">
        <v>0</v>
      </c>
      <c r="BH32" s="460">
        <v>0</v>
      </c>
      <c r="BI32" s="460">
        <v>0</v>
      </c>
      <c r="BJ32" s="460">
        <v>0</v>
      </c>
      <c r="BK32" s="460">
        <v>0</v>
      </c>
      <c r="BL32" s="460">
        <v>0</v>
      </c>
      <c r="BM32" s="460">
        <v>0</v>
      </c>
      <c r="BN32" s="460">
        <v>0</v>
      </c>
      <c r="BO32" s="460">
        <v>0</v>
      </c>
      <c r="BP32" s="460">
        <v>0</v>
      </c>
      <c r="BQ32" s="460">
        <v>0</v>
      </c>
      <c r="BR32" s="460">
        <v>0</v>
      </c>
      <c r="BS32" s="460">
        <v>0</v>
      </c>
      <c r="BT32" s="460">
        <v>0</v>
      </c>
      <c r="BU32" s="460">
        <v>0</v>
      </c>
      <c r="BV32" s="460">
        <v>0</v>
      </c>
      <c r="BW32" s="460">
        <v>0</v>
      </c>
      <c r="BX32" s="460">
        <v>0</v>
      </c>
      <c r="BY32" s="460">
        <v>0</v>
      </c>
      <c r="BZ32" s="460">
        <v>0</v>
      </c>
      <c r="CA32" s="460" t="e">
        <v>#N/A</v>
      </c>
      <c r="CB32" s="460" t="e">
        <v>#N/A</v>
      </c>
      <c r="CC32" s="460" t="e">
        <v>#N/A</v>
      </c>
    </row>
    <row r="33" spans="1:81" ht="12.75" customHeight="1">
      <c r="A33" s="105">
        <v>28</v>
      </c>
      <c r="B33" s="458" t="str">
        <v>12M-24M</v>
      </c>
      <c r="C33" s="465">
        <f>'eur disaggregated'!AV44</f>
        <v>-309.84706199252787</v>
      </c>
      <c r="D33" s="111" t="str">
        <f t="shared" si="3"/>
        <v>12M</v>
      </c>
      <c r="E33" s="441">
        <f t="shared" si="4"/>
        <v>43061</v>
      </c>
      <c r="F33" s="441">
        <f>IF(AND(NOT(ISNA(MATCH(RIGHT(B33,2),$I$6:$I$67,0))),LEN(B33)&lt;3,RIGHT(B33,1)="M"), INDEX($K$6:$K$67, MATCH(RIGHT(B33,2),$I$6:$I$67,0)), IF(AND(NOT(ISNA(MATCH((IF(RIGHT(B33,3)="24M","2Y",RIGHT(B33,3))),$I$6:$I$67,0))), LEN(B33)&gt;=3, RIGHT(B33,1)="M"), INDEX($K$6:$K$67, MATCH((IF(RIGHT(B33,3)="24M","2Y",RIGHT(B33,3))),$I$6:$I$67,0)), _xll.qlCalendarAdvance(Calendar,E33,D33)))</f>
        <v>43426</v>
      </c>
      <c r="G33" s="462">
        <f t="shared" si="2"/>
        <v>5.6999999999999998E-4</v>
      </c>
      <c r="H33" s="453">
        <v>5.7000000000000002E-2</v>
      </c>
      <c r="I33" s="107" t="str">
        <v>22M</v>
      </c>
      <c r="J33" s="106" t="str">
        <f>IF(LEN(I33)&gt;0,IF((MID(I33,4,1)=" "),#REF!,IF((LEN(I33)=8),DATE("20" &amp; RIGHT(I33,2),MID(I33,4,2),LEFT(I33,2)),SimplifyTenor(I33))),"")</f>
        <v>22M</v>
      </c>
      <c r="K33" s="448">
        <f>_xll.qlCalendarAdvance("TARGET",SettlementDate,J33)</f>
        <v>43367</v>
      </c>
      <c r="M33" s="99" t="str">
        <v>22M</v>
      </c>
      <c r="N33" s="465">
        <v>0.23515248858870511</v>
      </c>
      <c r="P33" s="106" t="b">
        <f t="shared" si="0"/>
        <v>0</v>
      </c>
      <c r="Q33" s="460">
        <f t="array" ref="Q33:CC33">C33*ForwardToZero(OisBuckets,E33,F33,G33)</f>
        <v>0</v>
      </c>
      <c r="R33" s="460">
        <v>0</v>
      </c>
      <c r="S33" s="460">
        <v>0</v>
      </c>
      <c r="T33" s="460">
        <v>0</v>
      </c>
      <c r="U33" s="460">
        <v>0</v>
      </c>
      <c r="V33" s="460">
        <v>0</v>
      </c>
      <c r="W33" s="460">
        <v>0</v>
      </c>
      <c r="X33" s="460">
        <v>0</v>
      </c>
      <c r="Y33" s="460">
        <v>0</v>
      </c>
      <c r="Z33" s="460">
        <v>0</v>
      </c>
      <c r="AA33" s="460">
        <v>0</v>
      </c>
      <c r="AB33" s="460">
        <v>0</v>
      </c>
      <c r="AC33" s="460">
        <v>0</v>
      </c>
      <c r="AD33" s="460">
        <v>0</v>
      </c>
      <c r="AE33" s="460">
        <v>0</v>
      </c>
      <c r="AF33" s="460">
        <v>0</v>
      </c>
      <c r="AG33" s="460">
        <v>0</v>
      </c>
      <c r="AH33" s="460">
        <v>313.24264623354185</v>
      </c>
      <c r="AI33" s="460">
        <v>0</v>
      </c>
      <c r="AJ33" s="460">
        <v>0</v>
      </c>
      <c r="AK33" s="460">
        <v>0</v>
      </c>
      <c r="AL33" s="460">
        <v>0</v>
      </c>
      <c r="AM33" s="460">
        <v>0</v>
      </c>
      <c r="AN33" s="460">
        <v>0</v>
      </c>
      <c r="AO33" s="460">
        <v>0</v>
      </c>
      <c r="AP33" s="460">
        <v>0</v>
      </c>
      <c r="AQ33" s="460">
        <v>0</v>
      </c>
      <c r="AR33" s="460">
        <v>0</v>
      </c>
      <c r="AS33" s="460">
        <v>0</v>
      </c>
      <c r="AT33" s="460">
        <v>-623.08970822606977</v>
      </c>
      <c r="AU33" s="460">
        <v>0</v>
      </c>
      <c r="AV33" s="460">
        <v>0</v>
      </c>
      <c r="AW33" s="460">
        <v>0</v>
      </c>
      <c r="AX33" s="460">
        <v>0</v>
      </c>
      <c r="AY33" s="460">
        <v>0</v>
      </c>
      <c r="AZ33" s="460">
        <v>0</v>
      </c>
      <c r="BA33" s="460">
        <v>0</v>
      </c>
      <c r="BB33" s="460">
        <v>0</v>
      </c>
      <c r="BC33" s="460">
        <v>0</v>
      </c>
      <c r="BD33" s="460">
        <v>0</v>
      </c>
      <c r="BE33" s="460">
        <v>0</v>
      </c>
      <c r="BF33" s="460">
        <v>0</v>
      </c>
      <c r="BG33" s="460">
        <v>0</v>
      </c>
      <c r="BH33" s="460">
        <v>0</v>
      </c>
      <c r="BI33" s="460">
        <v>0</v>
      </c>
      <c r="BJ33" s="460">
        <v>0</v>
      </c>
      <c r="BK33" s="460">
        <v>0</v>
      </c>
      <c r="BL33" s="460">
        <v>0</v>
      </c>
      <c r="BM33" s="460">
        <v>0</v>
      </c>
      <c r="BN33" s="460">
        <v>0</v>
      </c>
      <c r="BO33" s="460">
        <v>0</v>
      </c>
      <c r="BP33" s="460">
        <v>0</v>
      </c>
      <c r="BQ33" s="460">
        <v>0</v>
      </c>
      <c r="BR33" s="460">
        <v>0</v>
      </c>
      <c r="BS33" s="460">
        <v>0</v>
      </c>
      <c r="BT33" s="460">
        <v>0</v>
      </c>
      <c r="BU33" s="460">
        <v>0</v>
      </c>
      <c r="BV33" s="460">
        <v>0</v>
      </c>
      <c r="BW33" s="460">
        <v>0</v>
      </c>
      <c r="BX33" s="460">
        <v>0</v>
      </c>
      <c r="BY33" s="460">
        <v>0</v>
      </c>
      <c r="BZ33" s="460">
        <v>0</v>
      </c>
      <c r="CA33" s="460" t="e">
        <v>#N/A</v>
      </c>
      <c r="CB33" s="460" t="e">
        <v>#N/A</v>
      </c>
      <c r="CC33" s="460" t="e">
        <v>#N/A</v>
      </c>
    </row>
    <row r="34" spans="1:81" ht="12.75" customHeight="1">
      <c r="A34" s="105">
        <v>29</v>
      </c>
      <c r="B34" s="458" t="str">
        <v>3Y</v>
      </c>
      <c r="C34" s="465">
        <f>'eur disaggregated'!AV45</f>
        <v>0</v>
      </c>
      <c r="D34" s="111" t="str">
        <f t="shared" si="3"/>
        <v>36M</v>
      </c>
      <c r="E34" s="441">
        <f>IF(LEN(B34)&lt;4,$C$1, "--")</f>
        <v>42696</v>
      </c>
      <c r="F34" s="441">
        <f>IF(AND(NOT(ISNA(MATCH(RIGHT(B34,2),$I$6:$I$67,0))),LEN(B34)&lt;3,RIGHT(B34,1)="M"), INDEX($K$6:$K$67, MATCH(RIGHT(B34,2),$I$6:$I$67,0)), IF(AND(NOT(ISNA(MATCH((IF(RIGHT(B34,3)="24M","2Y",RIGHT(B34,3))),$I$6:$I$67,0))), LEN(B34)&gt;=3, RIGHT(B34,1)="M"), INDEX($K$6:$K$67, MATCH((IF(RIGHT(B34,3)="24M","2Y",RIGHT(B34,3))),$I$6:$I$67,0)), _xll.qlCalendarAdvance(Calendar,E34,D34)))</f>
        <v>43791</v>
      </c>
      <c r="G34" s="462">
        <f t="shared" si="2"/>
        <v>6.9000000000000008E-4</v>
      </c>
      <c r="H34" s="453">
        <v>6.9000000000000006E-2</v>
      </c>
      <c r="I34" s="107" t="str">
        <v>23M</v>
      </c>
      <c r="J34" s="106" t="str">
        <f>IF(LEN(I34)&gt;0,IF((MID(I34,4,1)=" "),#REF!,IF((LEN(I34)=8),DATE("20" &amp; RIGHT(I34,2),MID(I34,4,2),LEFT(I34,2)),SimplifyTenor(I34))),"")</f>
        <v>23M</v>
      </c>
      <c r="K34" s="448">
        <f>_xll.qlCalendarAdvance("TARGET",SettlementDate,J34)</f>
        <v>43395</v>
      </c>
      <c r="M34" s="99" t="str">
        <v>23M</v>
      </c>
      <c r="N34" s="465">
        <v>452.92531052970077</v>
      </c>
      <c r="P34" s="106" t="b">
        <f t="shared" si="0"/>
        <v>0</v>
      </c>
      <c r="Q34" s="460">
        <f t="array" ref="Q34:CC34">C34*ForwardToZero(OisBuckets,E34,F34,G34)</f>
        <v>0</v>
      </c>
      <c r="R34" s="460">
        <v>0</v>
      </c>
      <c r="S34" s="460">
        <v>0</v>
      </c>
      <c r="T34" s="460">
        <v>0</v>
      </c>
      <c r="U34" s="460">
        <v>0</v>
      </c>
      <c r="V34" s="460">
        <v>0</v>
      </c>
      <c r="W34" s="460">
        <v>0</v>
      </c>
      <c r="X34" s="460">
        <v>0</v>
      </c>
      <c r="Y34" s="460">
        <v>0</v>
      </c>
      <c r="Z34" s="460">
        <v>0</v>
      </c>
      <c r="AA34" s="460">
        <v>0</v>
      </c>
      <c r="AB34" s="460">
        <v>0</v>
      </c>
      <c r="AC34" s="460">
        <v>0</v>
      </c>
      <c r="AD34" s="460">
        <v>0</v>
      </c>
      <c r="AE34" s="460">
        <v>0</v>
      </c>
      <c r="AF34" s="460">
        <v>0</v>
      </c>
      <c r="AG34" s="460">
        <v>0</v>
      </c>
      <c r="AH34" s="460">
        <v>0</v>
      </c>
      <c r="AI34" s="460">
        <v>0</v>
      </c>
      <c r="AJ34" s="460">
        <v>0</v>
      </c>
      <c r="AK34" s="460">
        <v>0</v>
      </c>
      <c r="AL34" s="460">
        <v>0</v>
      </c>
      <c r="AM34" s="460">
        <v>0</v>
      </c>
      <c r="AN34" s="460">
        <v>0</v>
      </c>
      <c r="AO34" s="460">
        <v>0</v>
      </c>
      <c r="AP34" s="460">
        <v>0</v>
      </c>
      <c r="AQ34" s="460">
        <v>0</v>
      </c>
      <c r="AR34" s="460">
        <v>0</v>
      </c>
      <c r="AS34" s="460">
        <v>0</v>
      </c>
      <c r="AT34" s="460">
        <v>0</v>
      </c>
      <c r="AU34" s="460">
        <v>0</v>
      </c>
      <c r="AV34" s="460">
        <v>0</v>
      </c>
      <c r="AW34" s="460">
        <v>0</v>
      </c>
      <c r="AX34" s="460">
        <v>0</v>
      </c>
      <c r="AY34" s="460">
        <v>0</v>
      </c>
      <c r="AZ34" s="460">
        <v>0</v>
      </c>
      <c r="BA34" s="460">
        <v>0</v>
      </c>
      <c r="BB34" s="460">
        <v>0</v>
      </c>
      <c r="BC34" s="460">
        <v>0</v>
      </c>
      <c r="BD34" s="460">
        <v>0</v>
      </c>
      <c r="BE34" s="460">
        <v>0</v>
      </c>
      <c r="BF34" s="460">
        <v>0</v>
      </c>
      <c r="BG34" s="460">
        <v>0</v>
      </c>
      <c r="BH34" s="460">
        <v>0</v>
      </c>
      <c r="BI34" s="460">
        <v>0</v>
      </c>
      <c r="BJ34" s="460">
        <v>0</v>
      </c>
      <c r="BK34" s="460">
        <v>0</v>
      </c>
      <c r="BL34" s="460">
        <v>0</v>
      </c>
      <c r="BM34" s="460">
        <v>0</v>
      </c>
      <c r="BN34" s="460">
        <v>0</v>
      </c>
      <c r="BO34" s="460">
        <v>0</v>
      </c>
      <c r="BP34" s="460">
        <v>0</v>
      </c>
      <c r="BQ34" s="460">
        <v>0</v>
      </c>
      <c r="BR34" s="460">
        <v>0</v>
      </c>
      <c r="BS34" s="460">
        <v>0</v>
      </c>
      <c r="BT34" s="460">
        <v>0</v>
      </c>
      <c r="BU34" s="460">
        <v>0</v>
      </c>
      <c r="BV34" s="460">
        <v>0</v>
      </c>
      <c r="BW34" s="460">
        <v>0</v>
      </c>
      <c r="BX34" s="460">
        <v>0</v>
      </c>
      <c r="BY34" s="460">
        <v>0</v>
      </c>
      <c r="BZ34" s="460">
        <v>0</v>
      </c>
      <c r="CA34" s="460" t="e">
        <v>#N/A</v>
      </c>
      <c r="CB34" s="460" t="e">
        <v>#N/A</v>
      </c>
      <c r="CC34" s="460" t="e">
        <v>#N/A</v>
      </c>
    </row>
    <row r="35" spans="1:81" ht="12.75" customHeight="1">
      <c r="A35" s="105">
        <v>30</v>
      </c>
      <c r="B35" s="458" t="str">
        <v>4Y</v>
      </c>
      <c r="C35" s="465">
        <f>'eur disaggregated'!AV46</f>
        <v>-149.88829445169253</v>
      </c>
      <c r="D35" s="111" t="str">
        <f t="shared" si="3"/>
        <v>48M</v>
      </c>
      <c r="E35" s="441">
        <f t="shared" ref="E35:E73" si="5">IF(LEN(B35)&lt;4,$C$1, "--")</f>
        <v>42696</v>
      </c>
      <c r="F35" s="441">
        <f>IF(AND(NOT(ISNA(MATCH(RIGHT(B35,2),$I$6:$I$67,0))),LEN(B35)&lt;3,RIGHT(B35,1)="M"), INDEX($K$6:$K$67, MATCH(RIGHT(B35,2),$I$6:$I$67,0)), IF(AND(NOT(ISNA(MATCH((IF(RIGHT(B35,3)="24M","2Y",RIGHT(B35,3))),$I$6:$I$67,0))), LEN(B35)&gt;=3, RIGHT(B35,1)="M"), INDEX($K$6:$K$67, MATCH((IF(RIGHT(B35,3)="24M","2Y",RIGHT(B35,3))),$I$6:$I$67,0)), _xll.qlCalendarAdvance(Calendar,E35,D35)))</f>
        <v>44158</v>
      </c>
      <c r="G35" s="462">
        <f t="shared" si="2"/>
        <v>1.6100000000000001E-3</v>
      </c>
      <c r="H35" s="453">
        <v>0.161</v>
      </c>
      <c r="I35" s="107" t="str">
        <v>2Y</v>
      </c>
      <c r="J35" s="106" t="str">
        <f>IF(LEN(I35)&gt;0,IF((MID(I35,4,1)=" "),#REF!,IF((LEN(I35)=8),DATE("20" &amp; RIGHT(I35,2),MID(I35,4,2),LEFT(I35,2)),SimplifyTenor(I35))),"")</f>
        <v>24M</v>
      </c>
      <c r="K35" s="448">
        <f>_xll.qlCalendarAdvance("TARGET",SettlementDate,J35)</f>
        <v>43426</v>
      </c>
      <c r="M35" s="99" t="str">
        <v>2Y</v>
      </c>
      <c r="N35" s="465">
        <v>-623.08970822606977</v>
      </c>
      <c r="P35" s="106" t="b">
        <f t="shared" si="0"/>
        <v>0</v>
      </c>
      <c r="Q35" s="460">
        <f t="array" ref="Q35:CC35">C35*ForwardToZero(OisBuckets,E35,F35,G35)</f>
        <v>0</v>
      </c>
      <c r="R35" s="460">
        <v>0</v>
      </c>
      <c r="S35" s="460">
        <v>0</v>
      </c>
      <c r="T35" s="460">
        <v>0</v>
      </c>
      <c r="U35" s="460">
        <v>0</v>
      </c>
      <c r="V35" s="460">
        <v>0</v>
      </c>
      <c r="W35" s="460">
        <v>0</v>
      </c>
      <c r="X35" s="460">
        <v>0</v>
      </c>
      <c r="Y35" s="460">
        <v>0</v>
      </c>
      <c r="Z35" s="460">
        <v>0</v>
      </c>
      <c r="AA35" s="460">
        <v>0</v>
      </c>
      <c r="AB35" s="460">
        <v>0</v>
      </c>
      <c r="AC35" s="460">
        <v>0</v>
      </c>
      <c r="AD35" s="460">
        <v>0</v>
      </c>
      <c r="AE35" s="460">
        <v>0</v>
      </c>
      <c r="AF35" s="460">
        <v>0</v>
      </c>
      <c r="AG35" s="460">
        <v>0</v>
      </c>
      <c r="AH35" s="460">
        <v>0</v>
      </c>
      <c r="AI35" s="460">
        <v>0</v>
      </c>
      <c r="AJ35" s="460">
        <v>0</v>
      </c>
      <c r="AK35" s="460">
        <v>0</v>
      </c>
      <c r="AL35" s="460">
        <v>0</v>
      </c>
      <c r="AM35" s="460">
        <v>0</v>
      </c>
      <c r="AN35" s="460">
        <v>0</v>
      </c>
      <c r="AO35" s="460">
        <v>0</v>
      </c>
      <c r="AP35" s="460">
        <v>0</v>
      </c>
      <c r="AQ35" s="460">
        <v>0</v>
      </c>
      <c r="AR35" s="460">
        <v>0</v>
      </c>
      <c r="AS35" s="460">
        <v>0</v>
      </c>
      <c r="AT35" s="460">
        <v>0</v>
      </c>
      <c r="AU35" s="460">
        <v>0</v>
      </c>
      <c r="AV35" s="460">
        <v>-149.88829445169253</v>
      </c>
      <c r="AW35" s="460">
        <v>0</v>
      </c>
      <c r="AX35" s="460">
        <v>0</v>
      </c>
      <c r="AY35" s="460">
        <v>0</v>
      </c>
      <c r="AZ35" s="460">
        <v>0</v>
      </c>
      <c r="BA35" s="460">
        <v>0</v>
      </c>
      <c r="BB35" s="460">
        <v>0</v>
      </c>
      <c r="BC35" s="460">
        <v>0</v>
      </c>
      <c r="BD35" s="460">
        <v>0</v>
      </c>
      <c r="BE35" s="460">
        <v>0</v>
      </c>
      <c r="BF35" s="460">
        <v>0</v>
      </c>
      <c r="BG35" s="460">
        <v>0</v>
      </c>
      <c r="BH35" s="460">
        <v>0</v>
      </c>
      <c r="BI35" s="460">
        <v>0</v>
      </c>
      <c r="BJ35" s="460">
        <v>0</v>
      </c>
      <c r="BK35" s="460">
        <v>0</v>
      </c>
      <c r="BL35" s="460">
        <v>0</v>
      </c>
      <c r="BM35" s="460">
        <v>0</v>
      </c>
      <c r="BN35" s="460">
        <v>0</v>
      </c>
      <c r="BO35" s="460">
        <v>0</v>
      </c>
      <c r="BP35" s="460">
        <v>0</v>
      </c>
      <c r="BQ35" s="460">
        <v>0</v>
      </c>
      <c r="BR35" s="460">
        <v>0</v>
      </c>
      <c r="BS35" s="460">
        <v>0</v>
      </c>
      <c r="BT35" s="460">
        <v>0</v>
      </c>
      <c r="BU35" s="460">
        <v>0</v>
      </c>
      <c r="BV35" s="460">
        <v>0</v>
      </c>
      <c r="BW35" s="460">
        <v>0</v>
      </c>
      <c r="BX35" s="460">
        <v>0</v>
      </c>
      <c r="BY35" s="460">
        <v>0</v>
      </c>
      <c r="BZ35" s="460">
        <v>0</v>
      </c>
      <c r="CA35" s="460" t="e">
        <v>#N/A</v>
      </c>
      <c r="CB35" s="460" t="e">
        <v>#N/A</v>
      </c>
      <c r="CC35" s="460" t="e">
        <v>#N/A</v>
      </c>
    </row>
    <row r="36" spans="1:81" ht="12.75" customHeight="1">
      <c r="A36" s="105">
        <v>31</v>
      </c>
      <c r="B36" s="458" t="str">
        <v>5Y</v>
      </c>
      <c r="C36" s="465">
        <f>'eur disaggregated'!AV47</f>
        <v>-363.05373734453286</v>
      </c>
      <c r="D36" s="111" t="str">
        <f t="shared" si="3"/>
        <v>60M</v>
      </c>
      <c r="E36" s="441">
        <f t="shared" si="5"/>
        <v>42696</v>
      </c>
      <c r="F36" s="441">
        <f>IF(AND(NOT(ISNA(MATCH(RIGHT(B36,2),$I$6:$I$67,0))),LEN(B36)&lt;3,RIGHT(B36,1)="M"), INDEX($K$6:$K$67, MATCH(RIGHT(B36,2),$I$6:$I$67,0)), IF(AND(NOT(ISNA(MATCH((IF(RIGHT(B36,3)="24M","2Y",RIGHT(B36,3))),$I$6:$I$67,0))), LEN(B36)&gt;=3, RIGHT(B36,1)="M"), INDEX($K$6:$K$67, MATCH((IF(RIGHT(B36,3)="24M","2Y",RIGHT(B36,3))),$I$6:$I$67,0)), _xll.qlCalendarAdvance(Calendar,E36,D36)))</f>
        <v>44522</v>
      </c>
      <c r="G36" s="462">
        <f t="shared" si="2"/>
        <v>2.6700000000000001E-3</v>
      </c>
      <c r="H36" s="453">
        <v>0.26700000000000002</v>
      </c>
      <c r="I36" s="107" t="str">
        <v>3Y</v>
      </c>
      <c r="J36" s="106" t="str">
        <f>IF(LEN(I36)&gt;0,IF((MID(I36,4,1)=" "),#REF!,IF((LEN(I36)=8),DATE("20" &amp; RIGHT(I36,2),MID(I36,4,2),LEFT(I36,2)),SimplifyTenor(I36))),"")</f>
        <v>36M</v>
      </c>
      <c r="K36" s="448">
        <f>_xll.qlCalendarAdvance("TARGET",SettlementDate,J36)</f>
        <v>43791</v>
      </c>
      <c r="M36" s="99" t="str">
        <v>3Y</v>
      </c>
      <c r="N36" s="465">
        <v>0</v>
      </c>
      <c r="P36" s="106" t="b">
        <f t="shared" si="0"/>
        <v>0</v>
      </c>
      <c r="Q36" s="460">
        <f t="array" ref="Q36:CC36">C36*ForwardToZero(OisBuckets,E36,F36,G36)</f>
        <v>0</v>
      </c>
      <c r="R36" s="460">
        <v>0</v>
      </c>
      <c r="S36" s="460">
        <v>0</v>
      </c>
      <c r="T36" s="460">
        <v>0</v>
      </c>
      <c r="U36" s="460">
        <v>0</v>
      </c>
      <c r="V36" s="460">
        <v>0</v>
      </c>
      <c r="W36" s="460">
        <v>0</v>
      </c>
      <c r="X36" s="460">
        <v>0</v>
      </c>
      <c r="Y36" s="460">
        <v>0</v>
      </c>
      <c r="Z36" s="460">
        <v>0</v>
      </c>
      <c r="AA36" s="460">
        <v>0</v>
      </c>
      <c r="AB36" s="460">
        <v>0</v>
      </c>
      <c r="AC36" s="460">
        <v>0</v>
      </c>
      <c r="AD36" s="460">
        <v>0</v>
      </c>
      <c r="AE36" s="460">
        <v>0</v>
      </c>
      <c r="AF36" s="460">
        <v>0</v>
      </c>
      <c r="AG36" s="460">
        <v>0</v>
      </c>
      <c r="AH36" s="460">
        <v>0</v>
      </c>
      <c r="AI36" s="460">
        <v>0</v>
      </c>
      <c r="AJ36" s="460">
        <v>0</v>
      </c>
      <c r="AK36" s="460">
        <v>0</v>
      </c>
      <c r="AL36" s="460">
        <v>0</v>
      </c>
      <c r="AM36" s="460">
        <v>0</v>
      </c>
      <c r="AN36" s="460">
        <v>0</v>
      </c>
      <c r="AO36" s="460">
        <v>0</v>
      </c>
      <c r="AP36" s="460">
        <v>0</v>
      </c>
      <c r="AQ36" s="460">
        <v>0</v>
      </c>
      <c r="AR36" s="460">
        <v>0</v>
      </c>
      <c r="AS36" s="460">
        <v>0</v>
      </c>
      <c r="AT36" s="460">
        <v>0</v>
      </c>
      <c r="AU36" s="460">
        <v>0</v>
      </c>
      <c r="AV36" s="460">
        <v>0</v>
      </c>
      <c r="AW36" s="460">
        <v>-363.05373734453286</v>
      </c>
      <c r="AX36" s="460">
        <v>0</v>
      </c>
      <c r="AY36" s="460">
        <v>0</v>
      </c>
      <c r="AZ36" s="460">
        <v>0</v>
      </c>
      <c r="BA36" s="460">
        <v>0</v>
      </c>
      <c r="BB36" s="460">
        <v>0</v>
      </c>
      <c r="BC36" s="460">
        <v>0</v>
      </c>
      <c r="BD36" s="460">
        <v>0</v>
      </c>
      <c r="BE36" s="460">
        <v>0</v>
      </c>
      <c r="BF36" s="460">
        <v>0</v>
      </c>
      <c r="BG36" s="460">
        <v>0</v>
      </c>
      <c r="BH36" s="460">
        <v>0</v>
      </c>
      <c r="BI36" s="460">
        <v>0</v>
      </c>
      <c r="BJ36" s="460">
        <v>0</v>
      </c>
      <c r="BK36" s="460">
        <v>0</v>
      </c>
      <c r="BL36" s="460">
        <v>0</v>
      </c>
      <c r="BM36" s="460">
        <v>0</v>
      </c>
      <c r="BN36" s="460">
        <v>0</v>
      </c>
      <c r="BO36" s="460">
        <v>0</v>
      </c>
      <c r="BP36" s="460">
        <v>0</v>
      </c>
      <c r="BQ36" s="460">
        <v>0</v>
      </c>
      <c r="BR36" s="460">
        <v>0</v>
      </c>
      <c r="BS36" s="460">
        <v>0</v>
      </c>
      <c r="BT36" s="460">
        <v>0</v>
      </c>
      <c r="BU36" s="460">
        <v>0</v>
      </c>
      <c r="BV36" s="460">
        <v>0</v>
      </c>
      <c r="BW36" s="460">
        <v>0</v>
      </c>
      <c r="BX36" s="460">
        <v>0</v>
      </c>
      <c r="BY36" s="460">
        <v>0</v>
      </c>
      <c r="BZ36" s="460">
        <v>0</v>
      </c>
      <c r="CA36" s="460" t="e">
        <v>#N/A</v>
      </c>
      <c r="CB36" s="460" t="e">
        <v>#N/A</v>
      </c>
      <c r="CC36" s="460" t="e">
        <v>#N/A</v>
      </c>
    </row>
    <row r="37" spans="1:81" ht="12.75" customHeight="1">
      <c r="A37" s="105">
        <v>32</v>
      </c>
      <c r="B37" s="458" t="str">
        <v>6Y</v>
      </c>
      <c r="C37" s="465">
        <f>'eur disaggregated'!AV48</f>
        <v>118.5333702660115</v>
      </c>
      <c r="D37" s="111" t="str">
        <f t="shared" si="3"/>
        <v>72M</v>
      </c>
      <c r="E37" s="441">
        <f t="shared" si="5"/>
        <v>42696</v>
      </c>
      <c r="F37" s="441">
        <f>IF(AND(NOT(ISNA(MATCH(RIGHT(B37,2),$I$6:$I$67,0))),LEN(B37)&lt;3,RIGHT(B37,1)="M"), INDEX($K$6:$K$67, MATCH(RIGHT(B37,2),$I$6:$I$67,0)), IF(AND(NOT(ISNA(MATCH((IF(RIGHT(B37,3)="24M","2Y",RIGHT(B37,3))),$I$6:$I$67,0))), LEN(B37)&gt;=3, RIGHT(B37,1)="M"), INDEX($K$6:$K$67, MATCH((IF(RIGHT(B37,3)="24M","2Y",RIGHT(B37,3))),$I$6:$I$67,0)), _xll.qlCalendarAdvance(Calendar,E37,D37)))</f>
        <v>44887</v>
      </c>
      <c r="G37" s="462">
        <f t="shared" si="2"/>
        <v>3.7699999999999999E-3</v>
      </c>
      <c r="H37" s="453">
        <v>0.377</v>
      </c>
      <c r="I37" s="107" t="str">
        <v>4Y</v>
      </c>
      <c r="J37" s="106" t="str">
        <f>IF(LEN(I37)&gt;0,IF((MID(I37,4,1)=" "),#REF!,IF((LEN(I37)=8),DATE("20" &amp; RIGHT(I37,2),MID(I37,4,2),LEFT(I37,2)),SimplifyTenor(I37))),"")</f>
        <v>48M</v>
      </c>
      <c r="K37" s="448">
        <f>_xll.qlCalendarAdvance("TARGET",SettlementDate,J37)</f>
        <v>44158</v>
      </c>
      <c r="M37" s="99" t="str">
        <v>4Y</v>
      </c>
      <c r="N37" s="465">
        <v>-149.88829445169253</v>
      </c>
      <c r="P37" s="106" t="b">
        <f t="shared" si="0"/>
        <v>0</v>
      </c>
      <c r="Q37" s="460">
        <f t="array" ref="Q37:CC37">C37*ForwardToZero(OisBuckets,E37,F37,G37)</f>
        <v>0</v>
      </c>
      <c r="R37" s="460">
        <v>0</v>
      </c>
      <c r="S37" s="460">
        <v>0</v>
      </c>
      <c r="T37" s="460">
        <v>0</v>
      </c>
      <c r="U37" s="460">
        <v>0</v>
      </c>
      <c r="V37" s="460">
        <v>0</v>
      </c>
      <c r="W37" s="460">
        <v>0</v>
      </c>
      <c r="X37" s="460">
        <v>0</v>
      </c>
      <c r="Y37" s="460">
        <v>0</v>
      </c>
      <c r="Z37" s="460">
        <v>0</v>
      </c>
      <c r="AA37" s="460">
        <v>0</v>
      </c>
      <c r="AB37" s="460">
        <v>0</v>
      </c>
      <c r="AC37" s="460">
        <v>0</v>
      </c>
      <c r="AD37" s="460">
        <v>0</v>
      </c>
      <c r="AE37" s="460">
        <v>0</v>
      </c>
      <c r="AF37" s="460">
        <v>0</v>
      </c>
      <c r="AG37" s="460">
        <v>0</v>
      </c>
      <c r="AH37" s="460">
        <v>0</v>
      </c>
      <c r="AI37" s="460">
        <v>0</v>
      </c>
      <c r="AJ37" s="460">
        <v>0</v>
      </c>
      <c r="AK37" s="460">
        <v>0</v>
      </c>
      <c r="AL37" s="460">
        <v>0</v>
      </c>
      <c r="AM37" s="460">
        <v>0</v>
      </c>
      <c r="AN37" s="460">
        <v>0</v>
      </c>
      <c r="AO37" s="460">
        <v>0</v>
      </c>
      <c r="AP37" s="460">
        <v>0</v>
      </c>
      <c r="AQ37" s="460">
        <v>0</v>
      </c>
      <c r="AR37" s="460">
        <v>0</v>
      </c>
      <c r="AS37" s="460">
        <v>0</v>
      </c>
      <c r="AT37" s="460">
        <v>0</v>
      </c>
      <c r="AU37" s="460">
        <v>0</v>
      </c>
      <c r="AV37" s="460">
        <v>0</v>
      </c>
      <c r="AW37" s="460">
        <v>0</v>
      </c>
      <c r="AX37" s="460">
        <v>118.5333702660115</v>
      </c>
      <c r="AY37" s="460">
        <v>0</v>
      </c>
      <c r="AZ37" s="460">
        <v>0</v>
      </c>
      <c r="BA37" s="460">
        <v>0</v>
      </c>
      <c r="BB37" s="460">
        <v>0</v>
      </c>
      <c r="BC37" s="460">
        <v>0</v>
      </c>
      <c r="BD37" s="460">
        <v>0</v>
      </c>
      <c r="BE37" s="460">
        <v>0</v>
      </c>
      <c r="BF37" s="460">
        <v>0</v>
      </c>
      <c r="BG37" s="460">
        <v>0</v>
      </c>
      <c r="BH37" s="460">
        <v>0</v>
      </c>
      <c r="BI37" s="460">
        <v>0</v>
      </c>
      <c r="BJ37" s="460">
        <v>0</v>
      </c>
      <c r="BK37" s="460">
        <v>0</v>
      </c>
      <c r="BL37" s="460">
        <v>0</v>
      </c>
      <c r="BM37" s="460">
        <v>0</v>
      </c>
      <c r="BN37" s="460">
        <v>0</v>
      </c>
      <c r="BO37" s="460">
        <v>0</v>
      </c>
      <c r="BP37" s="460">
        <v>0</v>
      </c>
      <c r="BQ37" s="460">
        <v>0</v>
      </c>
      <c r="BR37" s="460">
        <v>0</v>
      </c>
      <c r="BS37" s="460">
        <v>0</v>
      </c>
      <c r="BT37" s="460">
        <v>0</v>
      </c>
      <c r="BU37" s="460">
        <v>0</v>
      </c>
      <c r="BV37" s="460">
        <v>0</v>
      </c>
      <c r="BW37" s="460">
        <v>0</v>
      </c>
      <c r="BX37" s="460">
        <v>0</v>
      </c>
      <c r="BY37" s="460">
        <v>0</v>
      </c>
      <c r="BZ37" s="460">
        <v>0</v>
      </c>
      <c r="CA37" s="460" t="e">
        <v>#N/A</v>
      </c>
      <c r="CB37" s="460" t="e">
        <v>#N/A</v>
      </c>
      <c r="CC37" s="460" t="e">
        <v>#N/A</v>
      </c>
    </row>
    <row r="38" spans="1:81" ht="12.75" customHeight="1">
      <c r="A38" s="105">
        <v>33</v>
      </c>
      <c r="B38" s="458" t="str">
        <v>7Y</v>
      </c>
      <c r="C38" s="465">
        <f>'eur disaggregated'!AV49</f>
        <v>63.078046127213497</v>
      </c>
      <c r="D38" s="111" t="str">
        <f t="shared" si="3"/>
        <v>84M</v>
      </c>
      <c r="E38" s="441">
        <f t="shared" si="5"/>
        <v>42696</v>
      </c>
      <c r="F38" s="441">
        <f>IF(AND(NOT(ISNA(MATCH(RIGHT(B38,2),$I$6:$I$67,0))),LEN(B38)&lt;3,RIGHT(B38,1)="M"), INDEX($K$6:$K$67, MATCH(RIGHT(B38,2),$I$6:$I$67,0)), IF(AND(NOT(ISNA(MATCH((IF(RIGHT(B38,3)="24M","2Y",RIGHT(B38,3))),$I$6:$I$67,0))), LEN(B38)&gt;=3, RIGHT(B38,1)="M"), INDEX($K$6:$K$67, MATCH((IF(RIGHT(B38,3)="24M","2Y",RIGHT(B38,3))),$I$6:$I$67,0)), _xll.qlCalendarAdvance(Calendar,E38,D38)))</f>
        <v>45252</v>
      </c>
      <c r="G38" s="462">
        <f t="shared" si="2"/>
        <v>4.8900000000000002E-3</v>
      </c>
      <c r="H38" s="453">
        <v>0.48899999999999999</v>
      </c>
      <c r="I38" s="107" t="str">
        <v>5Y</v>
      </c>
      <c r="J38" s="106" t="str">
        <f>IF(LEN(I38)&gt;0,IF((MID(I38,4,1)=" "),#REF!,IF((LEN(I38)=8),DATE("20" &amp; RIGHT(I38,2),MID(I38,4,2),LEFT(I38,2)),SimplifyTenor(I38))),"")</f>
        <v>60M</v>
      </c>
      <c r="K38" s="448">
        <f>_xll.qlCalendarAdvance("TARGET",SettlementDate,J38)</f>
        <v>44522</v>
      </c>
      <c r="M38" s="99" t="str">
        <v>5Y</v>
      </c>
      <c r="N38" s="465">
        <v>-363.05373734453286</v>
      </c>
      <c r="P38" s="106" t="b">
        <f t="shared" ref="P38:P70" si="6">MID(B38,4,1)=" "</f>
        <v>0</v>
      </c>
      <c r="Q38" s="460">
        <f t="array" ref="Q38:CC38">C38*ForwardToZero(OisBuckets,E38,F38,G38)</f>
        <v>0</v>
      </c>
      <c r="R38" s="460">
        <v>0</v>
      </c>
      <c r="S38" s="460">
        <v>0</v>
      </c>
      <c r="T38" s="460">
        <v>0</v>
      </c>
      <c r="U38" s="460">
        <v>0</v>
      </c>
      <c r="V38" s="460">
        <v>0</v>
      </c>
      <c r="W38" s="460">
        <v>0</v>
      </c>
      <c r="X38" s="460">
        <v>0</v>
      </c>
      <c r="Y38" s="460">
        <v>0</v>
      </c>
      <c r="Z38" s="460">
        <v>0</v>
      </c>
      <c r="AA38" s="460">
        <v>0</v>
      </c>
      <c r="AB38" s="460">
        <v>0</v>
      </c>
      <c r="AC38" s="460">
        <v>0</v>
      </c>
      <c r="AD38" s="460">
        <v>0</v>
      </c>
      <c r="AE38" s="460">
        <v>0</v>
      </c>
      <c r="AF38" s="460">
        <v>0</v>
      </c>
      <c r="AG38" s="460">
        <v>0</v>
      </c>
      <c r="AH38" s="460">
        <v>0</v>
      </c>
      <c r="AI38" s="460">
        <v>0</v>
      </c>
      <c r="AJ38" s="460">
        <v>0</v>
      </c>
      <c r="AK38" s="460">
        <v>0</v>
      </c>
      <c r="AL38" s="460">
        <v>0</v>
      </c>
      <c r="AM38" s="460">
        <v>0</v>
      </c>
      <c r="AN38" s="460">
        <v>0</v>
      </c>
      <c r="AO38" s="460">
        <v>0</v>
      </c>
      <c r="AP38" s="460">
        <v>0</v>
      </c>
      <c r="AQ38" s="460">
        <v>0</v>
      </c>
      <c r="AR38" s="460">
        <v>0</v>
      </c>
      <c r="AS38" s="460">
        <v>0</v>
      </c>
      <c r="AT38" s="460">
        <v>0</v>
      </c>
      <c r="AU38" s="460">
        <v>0</v>
      </c>
      <c r="AV38" s="460">
        <v>0</v>
      </c>
      <c r="AW38" s="460">
        <v>0</v>
      </c>
      <c r="AX38" s="460">
        <v>0</v>
      </c>
      <c r="AY38" s="460">
        <v>63.078046127213497</v>
      </c>
      <c r="AZ38" s="460">
        <v>0</v>
      </c>
      <c r="BA38" s="460">
        <v>0</v>
      </c>
      <c r="BB38" s="460">
        <v>0</v>
      </c>
      <c r="BC38" s="460">
        <v>0</v>
      </c>
      <c r="BD38" s="460">
        <v>0</v>
      </c>
      <c r="BE38" s="460">
        <v>0</v>
      </c>
      <c r="BF38" s="460">
        <v>0</v>
      </c>
      <c r="BG38" s="460">
        <v>0</v>
      </c>
      <c r="BH38" s="460">
        <v>0</v>
      </c>
      <c r="BI38" s="460">
        <v>0</v>
      </c>
      <c r="BJ38" s="460">
        <v>0</v>
      </c>
      <c r="BK38" s="460">
        <v>0</v>
      </c>
      <c r="BL38" s="460">
        <v>0</v>
      </c>
      <c r="BM38" s="460">
        <v>0</v>
      </c>
      <c r="BN38" s="460">
        <v>0</v>
      </c>
      <c r="BO38" s="460">
        <v>0</v>
      </c>
      <c r="BP38" s="460">
        <v>0</v>
      </c>
      <c r="BQ38" s="460">
        <v>0</v>
      </c>
      <c r="BR38" s="460">
        <v>0</v>
      </c>
      <c r="BS38" s="460">
        <v>0</v>
      </c>
      <c r="BT38" s="460">
        <v>0</v>
      </c>
      <c r="BU38" s="460">
        <v>0</v>
      </c>
      <c r="BV38" s="460">
        <v>0</v>
      </c>
      <c r="BW38" s="460">
        <v>0</v>
      </c>
      <c r="BX38" s="460">
        <v>0</v>
      </c>
      <c r="BY38" s="460">
        <v>0</v>
      </c>
      <c r="BZ38" s="460">
        <v>0</v>
      </c>
      <c r="CA38" s="460" t="e">
        <v>#N/A</v>
      </c>
      <c r="CB38" s="460" t="e">
        <v>#N/A</v>
      </c>
      <c r="CC38" s="460" t="e">
        <v>#N/A</v>
      </c>
    </row>
    <row r="39" spans="1:81" ht="12.75" customHeight="1">
      <c r="A39" s="105">
        <v>34</v>
      </c>
      <c r="B39" s="458" t="str">
        <v>8Y</v>
      </c>
      <c r="C39" s="465">
        <f>'eur disaggregated'!AV50</f>
        <v>-32.190097380783868</v>
      </c>
      <c r="D39" s="111" t="str">
        <f t="shared" si="3"/>
        <v>96M</v>
      </c>
      <c r="E39" s="441">
        <f t="shared" si="5"/>
        <v>42696</v>
      </c>
      <c r="F39" s="441">
        <f>IF(AND(NOT(ISNA(MATCH(RIGHT(B39,2),$I$6:$I$67,0))),LEN(B39)&lt;3,RIGHT(B39,1)="M"), INDEX($K$6:$K$67, MATCH(RIGHT(B39,2),$I$6:$I$67,0)), IF(AND(NOT(ISNA(MATCH((IF(RIGHT(B39,3)="24M","2Y",RIGHT(B39,3))),$I$6:$I$67,0))), LEN(B39)&gt;=3, RIGHT(B39,1)="M"), INDEX($K$6:$K$67, MATCH((IF(RIGHT(B39,3)="24M","2Y",RIGHT(B39,3))),$I$6:$I$67,0)), _xll.qlCalendarAdvance(Calendar,E39,D39)))</f>
        <v>45618</v>
      </c>
      <c r="G39" s="462">
        <f t="shared" si="2"/>
        <v>5.9899999999999997E-3</v>
      </c>
      <c r="H39" s="453">
        <v>0.59899999999999998</v>
      </c>
      <c r="I39" s="107" t="str">
        <v>6Y</v>
      </c>
      <c r="J39" s="106" t="str">
        <f>IF(LEN(I39)&gt;0,IF((MID(I39,4,1)=" "),#REF!,IF((LEN(I39)=8),DATE("20" &amp; RIGHT(I39,2),MID(I39,4,2),LEFT(I39,2)),SimplifyTenor(I39))),"")</f>
        <v>72M</v>
      </c>
      <c r="K39" s="448">
        <f>_xll.qlCalendarAdvance("TARGET",SettlementDate,J39)</f>
        <v>44887</v>
      </c>
      <c r="M39" s="99" t="str">
        <v>6Y</v>
      </c>
      <c r="N39" s="465">
        <v>118.5333702660115</v>
      </c>
      <c r="P39" s="106" t="b">
        <f t="shared" si="6"/>
        <v>0</v>
      </c>
      <c r="Q39" s="460">
        <f t="array" ref="Q39:CC39">C39*ForwardToZero(OisBuckets,E39,F39,G39)</f>
        <v>0</v>
      </c>
      <c r="R39" s="460">
        <v>0</v>
      </c>
      <c r="S39" s="460">
        <v>0</v>
      </c>
      <c r="T39" s="460">
        <v>0</v>
      </c>
      <c r="U39" s="460">
        <v>0</v>
      </c>
      <c r="V39" s="460">
        <v>0</v>
      </c>
      <c r="W39" s="460">
        <v>0</v>
      </c>
      <c r="X39" s="460">
        <v>0</v>
      </c>
      <c r="Y39" s="460">
        <v>0</v>
      </c>
      <c r="Z39" s="460">
        <v>0</v>
      </c>
      <c r="AA39" s="460">
        <v>0</v>
      </c>
      <c r="AB39" s="460">
        <v>0</v>
      </c>
      <c r="AC39" s="460">
        <v>0</v>
      </c>
      <c r="AD39" s="460">
        <v>0</v>
      </c>
      <c r="AE39" s="460">
        <v>0</v>
      </c>
      <c r="AF39" s="460">
        <v>0</v>
      </c>
      <c r="AG39" s="460">
        <v>0</v>
      </c>
      <c r="AH39" s="460">
        <v>0</v>
      </c>
      <c r="AI39" s="460">
        <v>0</v>
      </c>
      <c r="AJ39" s="460">
        <v>0</v>
      </c>
      <c r="AK39" s="460">
        <v>0</v>
      </c>
      <c r="AL39" s="460">
        <v>0</v>
      </c>
      <c r="AM39" s="460">
        <v>0</v>
      </c>
      <c r="AN39" s="460">
        <v>0</v>
      </c>
      <c r="AO39" s="460">
        <v>0</v>
      </c>
      <c r="AP39" s="460">
        <v>0</v>
      </c>
      <c r="AQ39" s="460">
        <v>0</v>
      </c>
      <c r="AR39" s="460">
        <v>0</v>
      </c>
      <c r="AS39" s="460">
        <v>0</v>
      </c>
      <c r="AT39" s="460">
        <v>0</v>
      </c>
      <c r="AU39" s="460">
        <v>0</v>
      </c>
      <c r="AV39" s="460">
        <v>0</v>
      </c>
      <c r="AW39" s="460">
        <v>0</v>
      </c>
      <c r="AX39" s="460">
        <v>0</v>
      </c>
      <c r="AY39" s="460">
        <v>0</v>
      </c>
      <c r="AZ39" s="460">
        <v>-32.190097380783868</v>
      </c>
      <c r="BA39" s="460">
        <v>0</v>
      </c>
      <c r="BB39" s="460">
        <v>0</v>
      </c>
      <c r="BC39" s="460">
        <v>0</v>
      </c>
      <c r="BD39" s="460">
        <v>0</v>
      </c>
      <c r="BE39" s="460">
        <v>0</v>
      </c>
      <c r="BF39" s="460">
        <v>0</v>
      </c>
      <c r="BG39" s="460">
        <v>0</v>
      </c>
      <c r="BH39" s="460">
        <v>0</v>
      </c>
      <c r="BI39" s="460">
        <v>0</v>
      </c>
      <c r="BJ39" s="460">
        <v>0</v>
      </c>
      <c r="BK39" s="460">
        <v>0</v>
      </c>
      <c r="BL39" s="460">
        <v>0</v>
      </c>
      <c r="BM39" s="460">
        <v>0</v>
      </c>
      <c r="BN39" s="460">
        <v>0</v>
      </c>
      <c r="BO39" s="460">
        <v>0</v>
      </c>
      <c r="BP39" s="460">
        <v>0</v>
      </c>
      <c r="BQ39" s="460">
        <v>0</v>
      </c>
      <c r="BR39" s="460">
        <v>0</v>
      </c>
      <c r="BS39" s="460">
        <v>0</v>
      </c>
      <c r="BT39" s="460">
        <v>0</v>
      </c>
      <c r="BU39" s="460">
        <v>0</v>
      </c>
      <c r="BV39" s="460">
        <v>0</v>
      </c>
      <c r="BW39" s="460">
        <v>0</v>
      </c>
      <c r="BX39" s="460">
        <v>0</v>
      </c>
      <c r="BY39" s="460">
        <v>0</v>
      </c>
      <c r="BZ39" s="460">
        <v>0</v>
      </c>
      <c r="CA39" s="460" t="e">
        <v>#N/A</v>
      </c>
      <c r="CB39" s="460" t="e">
        <v>#N/A</v>
      </c>
      <c r="CC39" s="460" t="e">
        <v>#N/A</v>
      </c>
    </row>
    <row r="40" spans="1:81" ht="12.75" customHeight="1">
      <c r="A40" s="105">
        <v>35</v>
      </c>
      <c r="B40" s="458" t="str">
        <v>9Y</v>
      </c>
      <c r="C40" s="465">
        <f>'eur disaggregated'!AV51</f>
        <v>-271.00985269241022</v>
      </c>
      <c r="D40" s="111" t="str">
        <f t="shared" si="3"/>
        <v>108M</v>
      </c>
      <c r="E40" s="441">
        <f t="shared" si="5"/>
        <v>42696</v>
      </c>
      <c r="F40" s="441">
        <f>IF(AND(NOT(ISNA(MATCH(RIGHT(B40,2),$I$6:$I$67,0))),LEN(B40)&lt;3,RIGHT(B40,1)="M"), INDEX($K$6:$K$67, MATCH(RIGHT(B40,2),$I$6:$I$67,0)), IF(AND(NOT(ISNA(MATCH((IF(RIGHT(B40,3)="24M","2Y",RIGHT(B40,3))),$I$6:$I$67,0))), LEN(B40)&gt;=3, RIGHT(B40,1)="M"), INDEX($K$6:$K$67, MATCH((IF(RIGHT(B40,3)="24M","2Y",RIGHT(B40,3))),$I$6:$I$67,0)), _xll.qlCalendarAdvance(Calendar,E40,D40)))</f>
        <v>45985</v>
      </c>
      <c r="G40" s="462">
        <f t="shared" si="2"/>
        <v>7.0399999999999994E-3</v>
      </c>
      <c r="H40" s="453">
        <v>0.70399999999999996</v>
      </c>
      <c r="I40" s="107" t="str">
        <v>7Y</v>
      </c>
      <c r="J40" s="106" t="str">
        <f>IF(LEN(I40)&gt;0,IF((MID(I40,4,1)=" "),#REF!,IF((LEN(I40)=8),DATE("20" &amp; RIGHT(I40,2),MID(I40,4,2),LEFT(I40,2)),SimplifyTenor(I40))),"")</f>
        <v>84M</v>
      </c>
      <c r="K40" s="448">
        <f>_xll.qlCalendarAdvance("TARGET",SettlementDate,J40)</f>
        <v>45252</v>
      </c>
      <c r="M40" s="99" t="str">
        <v>7Y</v>
      </c>
      <c r="N40" s="465">
        <v>63.078046127213497</v>
      </c>
      <c r="P40" s="106" t="b">
        <f t="shared" si="6"/>
        <v>0</v>
      </c>
      <c r="Q40" s="460">
        <f t="array" ref="Q40:CC40">C40*ForwardToZero(OisBuckets,E40,F40,G40)</f>
        <v>0</v>
      </c>
      <c r="R40" s="460">
        <v>0</v>
      </c>
      <c r="S40" s="460">
        <v>0</v>
      </c>
      <c r="T40" s="460">
        <v>0</v>
      </c>
      <c r="U40" s="460">
        <v>0</v>
      </c>
      <c r="V40" s="460">
        <v>0</v>
      </c>
      <c r="W40" s="460">
        <v>0</v>
      </c>
      <c r="X40" s="460">
        <v>0</v>
      </c>
      <c r="Y40" s="460">
        <v>0</v>
      </c>
      <c r="Z40" s="460">
        <v>0</v>
      </c>
      <c r="AA40" s="460">
        <v>0</v>
      </c>
      <c r="AB40" s="460">
        <v>0</v>
      </c>
      <c r="AC40" s="460">
        <v>0</v>
      </c>
      <c r="AD40" s="460">
        <v>0</v>
      </c>
      <c r="AE40" s="460">
        <v>0</v>
      </c>
      <c r="AF40" s="460">
        <v>0</v>
      </c>
      <c r="AG40" s="460">
        <v>0</v>
      </c>
      <c r="AH40" s="460">
        <v>0</v>
      </c>
      <c r="AI40" s="460">
        <v>0</v>
      </c>
      <c r="AJ40" s="460">
        <v>0</v>
      </c>
      <c r="AK40" s="460">
        <v>0</v>
      </c>
      <c r="AL40" s="460">
        <v>0</v>
      </c>
      <c r="AM40" s="460">
        <v>0</v>
      </c>
      <c r="AN40" s="460">
        <v>0</v>
      </c>
      <c r="AO40" s="460">
        <v>0</v>
      </c>
      <c r="AP40" s="460">
        <v>0</v>
      </c>
      <c r="AQ40" s="460">
        <v>0</v>
      </c>
      <c r="AR40" s="460">
        <v>0</v>
      </c>
      <c r="AS40" s="460">
        <v>0</v>
      </c>
      <c r="AT40" s="460">
        <v>0</v>
      </c>
      <c r="AU40" s="460">
        <v>0</v>
      </c>
      <c r="AV40" s="460">
        <v>0</v>
      </c>
      <c r="AW40" s="460">
        <v>0</v>
      </c>
      <c r="AX40" s="460">
        <v>0</v>
      </c>
      <c r="AY40" s="460">
        <v>0</v>
      </c>
      <c r="AZ40" s="460">
        <v>0</v>
      </c>
      <c r="BA40" s="460">
        <v>-271.00985269241022</v>
      </c>
      <c r="BB40" s="460">
        <v>0</v>
      </c>
      <c r="BC40" s="460">
        <v>0</v>
      </c>
      <c r="BD40" s="460">
        <v>0</v>
      </c>
      <c r="BE40" s="460">
        <v>0</v>
      </c>
      <c r="BF40" s="460">
        <v>0</v>
      </c>
      <c r="BG40" s="460">
        <v>0</v>
      </c>
      <c r="BH40" s="460">
        <v>0</v>
      </c>
      <c r="BI40" s="460">
        <v>0</v>
      </c>
      <c r="BJ40" s="460">
        <v>0</v>
      </c>
      <c r="BK40" s="460">
        <v>0</v>
      </c>
      <c r="BL40" s="460">
        <v>0</v>
      </c>
      <c r="BM40" s="460">
        <v>0</v>
      </c>
      <c r="BN40" s="460">
        <v>0</v>
      </c>
      <c r="BO40" s="460">
        <v>0</v>
      </c>
      <c r="BP40" s="460">
        <v>0</v>
      </c>
      <c r="BQ40" s="460">
        <v>0</v>
      </c>
      <c r="BR40" s="460">
        <v>0</v>
      </c>
      <c r="BS40" s="460">
        <v>0</v>
      </c>
      <c r="BT40" s="460">
        <v>0</v>
      </c>
      <c r="BU40" s="460">
        <v>0</v>
      </c>
      <c r="BV40" s="460">
        <v>0</v>
      </c>
      <c r="BW40" s="460">
        <v>0</v>
      </c>
      <c r="BX40" s="460">
        <v>0</v>
      </c>
      <c r="BY40" s="460">
        <v>0</v>
      </c>
      <c r="BZ40" s="460">
        <v>0</v>
      </c>
      <c r="CA40" s="460" t="e">
        <v>#N/A</v>
      </c>
      <c r="CB40" s="460" t="e">
        <v>#N/A</v>
      </c>
      <c r="CC40" s="460" t="e">
        <v>#N/A</v>
      </c>
    </row>
    <row r="41" spans="1:81" ht="12.75" customHeight="1">
      <c r="A41" s="105">
        <v>36</v>
      </c>
      <c r="B41" s="458" t="str">
        <v>10Y</v>
      </c>
      <c r="C41" s="465">
        <f>'eur disaggregated'!AV52</f>
        <v>201.65259030417508</v>
      </c>
      <c r="D41" s="111" t="str">
        <f t="shared" si="3"/>
        <v>120M</v>
      </c>
      <c r="E41" s="441">
        <f t="shared" si="5"/>
        <v>42696</v>
      </c>
      <c r="F41" s="441">
        <f>IF(AND(NOT(ISNA(MATCH(RIGHT(B41,2),$I$6:$I$67,0))),LEN(B41)&lt;3,RIGHT(B41,1)="M"), INDEX($K$6:$K$67, MATCH(RIGHT(B41,2),$I$6:$I$67,0)), IF(AND(NOT(ISNA(MATCH((IF(RIGHT(B41,3)="24M","2Y",RIGHT(B41,3))),$I$6:$I$67,0))), LEN(B41)&gt;=3, RIGHT(B41,1)="M"), INDEX($K$6:$K$67, MATCH((IF(RIGHT(B41,3)="24M","2Y",RIGHT(B41,3))),$I$6:$I$67,0)), _xll.qlCalendarAdvance(Calendar,E41,D41)))</f>
        <v>46349</v>
      </c>
      <c r="G41" s="462">
        <f t="shared" si="2"/>
        <v>7.9600000000000001E-3</v>
      </c>
      <c r="H41" s="453">
        <v>0.79600000000000004</v>
      </c>
      <c r="I41" s="107" t="str">
        <v>8Y</v>
      </c>
      <c r="J41" s="106" t="str">
        <f>IF(LEN(I41)&gt;0,IF((MID(I41,4,1)=" "),#REF!,IF((LEN(I41)=8),DATE("20" &amp; RIGHT(I41,2),MID(I41,4,2),LEFT(I41,2)),SimplifyTenor(I41))),"")</f>
        <v>96M</v>
      </c>
      <c r="K41" s="448">
        <f>_xll.qlCalendarAdvance("TARGET",SettlementDate,J41)</f>
        <v>45618</v>
      </c>
      <c r="M41" s="99" t="str">
        <v>8Y</v>
      </c>
      <c r="N41" s="465">
        <v>-32.190097380783868</v>
      </c>
      <c r="P41" s="106" t="b">
        <f t="shared" si="6"/>
        <v>0</v>
      </c>
      <c r="Q41" s="460">
        <f t="array" ref="Q41:CC41">C41*ForwardToZero(OisBuckets,E41,F41,G41)</f>
        <v>0</v>
      </c>
      <c r="R41" s="460">
        <v>0</v>
      </c>
      <c r="S41" s="460">
        <v>0</v>
      </c>
      <c r="T41" s="460">
        <v>0</v>
      </c>
      <c r="U41" s="460">
        <v>0</v>
      </c>
      <c r="V41" s="460">
        <v>0</v>
      </c>
      <c r="W41" s="460">
        <v>0</v>
      </c>
      <c r="X41" s="460">
        <v>0</v>
      </c>
      <c r="Y41" s="460">
        <v>0</v>
      </c>
      <c r="Z41" s="460">
        <v>0</v>
      </c>
      <c r="AA41" s="460">
        <v>0</v>
      </c>
      <c r="AB41" s="460">
        <v>0</v>
      </c>
      <c r="AC41" s="460">
        <v>0</v>
      </c>
      <c r="AD41" s="460">
        <v>0</v>
      </c>
      <c r="AE41" s="460">
        <v>0</v>
      </c>
      <c r="AF41" s="460">
        <v>0</v>
      </c>
      <c r="AG41" s="460">
        <v>0</v>
      </c>
      <c r="AH41" s="460">
        <v>0</v>
      </c>
      <c r="AI41" s="460">
        <v>0</v>
      </c>
      <c r="AJ41" s="460">
        <v>0</v>
      </c>
      <c r="AK41" s="460">
        <v>0</v>
      </c>
      <c r="AL41" s="460">
        <v>0</v>
      </c>
      <c r="AM41" s="460">
        <v>0</v>
      </c>
      <c r="AN41" s="460">
        <v>0</v>
      </c>
      <c r="AO41" s="460">
        <v>0</v>
      </c>
      <c r="AP41" s="460">
        <v>0</v>
      </c>
      <c r="AQ41" s="460">
        <v>0</v>
      </c>
      <c r="AR41" s="460">
        <v>0</v>
      </c>
      <c r="AS41" s="460">
        <v>0</v>
      </c>
      <c r="AT41" s="460">
        <v>0</v>
      </c>
      <c r="AU41" s="460">
        <v>0</v>
      </c>
      <c r="AV41" s="460">
        <v>0</v>
      </c>
      <c r="AW41" s="460">
        <v>0</v>
      </c>
      <c r="AX41" s="460">
        <v>0</v>
      </c>
      <c r="AY41" s="460">
        <v>0</v>
      </c>
      <c r="AZ41" s="460">
        <v>0</v>
      </c>
      <c r="BA41" s="460">
        <v>0</v>
      </c>
      <c r="BB41" s="460">
        <v>201.65259030417508</v>
      </c>
      <c r="BC41" s="460">
        <v>0</v>
      </c>
      <c r="BD41" s="460">
        <v>0</v>
      </c>
      <c r="BE41" s="460">
        <v>0</v>
      </c>
      <c r="BF41" s="460">
        <v>0</v>
      </c>
      <c r="BG41" s="460">
        <v>0</v>
      </c>
      <c r="BH41" s="460">
        <v>0</v>
      </c>
      <c r="BI41" s="460">
        <v>0</v>
      </c>
      <c r="BJ41" s="460">
        <v>0</v>
      </c>
      <c r="BK41" s="460">
        <v>0</v>
      </c>
      <c r="BL41" s="460">
        <v>0</v>
      </c>
      <c r="BM41" s="460">
        <v>0</v>
      </c>
      <c r="BN41" s="460">
        <v>0</v>
      </c>
      <c r="BO41" s="460">
        <v>0</v>
      </c>
      <c r="BP41" s="460">
        <v>0</v>
      </c>
      <c r="BQ41" s="460">
        <v>0</v>
      </c>
      <c r="BR41" s="460">
        <v>0</v>
      </c>
      <c r="BS41" s="460">
        <v>0</v>
      </c>
      <c r="BT41" s="460">
        <v>0</v>
      </c>
      <c r="BU41" s="460">
        <v>0</v>
      </c>
      <c r="BV41" s="460">
        <v>0</v>
      </c>
      <c r="BW41" s="460">
        <v>0</v>
      </c>
      <c r="BX41" s="460">
        <v>0</v>
      </c>
      <c r="BY41" s="460">
        <v>0</v>
      </c>
      <c r="BZ41" s="460">
        <v>0</v>
      </c>
      <c r="CA41" s="460" t="e">
        <v>#N/A</v>
      </c>
      <c r="CB41" s="460" t="e">
        <v>#N/A</v>
      </c>
      <c r="CC41" s="460" t="e">
        <v>#N/A</v>
      </c>
    </row>
    <row r="42" spans="1:81" ht="12.75" customHeight="1">
      <c r="A42" s="105">
        <v>37</v>
      </c>
      <c r="B42" s="458" t="str">
        <v>11Y</v>
      </c>
      <c r="C42" s="465">
        <f>'eur disaggregated'!AV53</f>
        <v>978.98453644114375</v>
      </c>
      <c r="D42" s="111" t="str">
        <f t="shared" si="3"/>
        <v>132M</v>
      </c>
      <c r="E42" s="441">
        <f t="shared" si="5"/>
        <v>42696</v>
      </c>
      <c r="F42" s="441">
        <f>IF(AND(NOT(ISNA(MATCH(RIGHT(B42,2),$I$6:$I$67,0))),LEN(B42)&lt;3,RIGHT(B42,1)="M"), INDEX($K$6:$K$67, MATCH(RIGHT(B42,2),$I$6:$I$67,0)), IF(AND(NOT(ISNA(MATCH((IF(RIGHT(B42,3)="24M","2Y",RIGHT(B42,3))),$I$6:$I$67,0))), LEN(B42)&gt;=3, RIGHT(B42,1)="M"), INDEX($K$6:$K$67, MATCH((IF(RIGHT(B42,3)="24M","2Y",RIGHT(B42,3))),$I$6:$I$67,0)), _xll.qlCalendarAdvance(Calendar,E42,D42)))</f>
        <v>46713</v>
      </c>
      <c r="G42" s="462">
        <f t="shared" si="2"/>
        <v>8.758396600000001E-3</v>
      </c>
      <c r="H42" s="453">
        <v>0.87583966000000002</v>
      </c>
      <c r="I42" s="107" t="str">
        <v>9Y</v>
      </c>
      <c r="J42" s="106" t="str">
        <f>IF(LEN(I42)&gt;0,IF((MID(I42,4,1)=" "),#REF!,IF((LEN(I42)=8),DATE("20" &amp; RIGHT(I42,2),MID(I42,4,2),LEFT(I42,2)),SimplifyTenor(I42))),"")</f>
        <v>108M</v>
      </c>
      <c r="K42" s="448">
        <f>_xll.qlCalendarAdvance("TARGET",SettlementDate,J42)</f>
        <v>45985</v>
      </c>
      <c r="M42" s="99" t="str">
        <v>9Y</v>
      </c>
      <c r="N42" s="465">
        <v>-271.00985269241022</v>
      </c>
      <c r="P42" s="106" t="b">
        <f t="shared" si="6"/>
        <v>0</v>
      </c>
      <c r="Q42" s="460">
        <f t="array" ref="Q42:CC42">C42*ForwardToZero(OisBuckets,E42,F42,G42)</f>
        <v>0</v>
      </c>
      <c r="R42" s="460">
        <v>0</v>
      </c>
      <c r="S42" s="460">
        <v>0</v>
      </c>
      <c r="T42" s="460">
        <v>0</v>
      </c>
      <c r="U42" s="460">
        <v>0</v>
      </c>
      <c r="V42" s="460">
        <v>0</v>
      </c>
      <c r="W42" s="460">
        <v>0</v>
      </c>
      <c r="X42" s="460">
        <v>0</v>
      </c>
      <c r="Y42" s="460">
        <v>0</v>
      </c>
      <c r="Z42" s="460">
        <v>0</v>
      </c>
      <c r="AA42" s="460">
        <v>0</v>
      </c>
      <c r="AB42" s="460">
        <v>0</v>
      </c>
      <c r="AC42" s="460">
        <v>0</v>
      </c>
      <c r="AD42" s="460">
        <v>0</v>
      </c>
      <c r="AE42" s="460">
        <v>0</v>
      </c>
      <c r="AF42" s="460">
        <v>0</v>
      </c>
      <c r="AG42" s="460">
        <v>0</v>
      </c>
      <c r="AH42" s="460">
        <v>0</v>
      </c>
      <c r="AI42" s="460">
        <v>0</v>
      </c>
      <c r="AJ42" s="460">
        <v>0</v>
      </c>
      <c r="AK42" s="460">
        <v>0</v>
      </c>
      <c r="AL42" s="460">
        <v>0</v>
      </c>
      <c r="AM42" s="460">
        <v>0</v>
      </c>
      <c r="AN42" s="460">
        <v>0</v>
      </c>
      <c r="AO42" s="460">
        <v>0</v>
      </c>
      <c r="AP42" s="460">
        <v>0</v>
      </c>
      <c r="AQ42" s="460">
        <v>0</v>
      </c>
      <c r="AR42" s="460">
        <v>0</v>
      </c>
      <c r="AS42" s="460">
        <v>0</v>
      </c>
      <c r="AT42" s="460">
        <v>0</v>
      </c>
      <c r="AU42" s="460">
        <v>0</v>
      </c>
      <c r="AV42" s="460">
        <v>0</v>
      </c>
      <c r="AW42" s="460">
        <v>0</v>
      </c>
      <c r="AX42" s="460">
        <v>0</v>
      </c>
      <c r="AY42" s="460">
        <v>0</v>
      </c>
      <c r="AZ42" s="460">
        <v>0</v>
      </c>
      <c r="BA42" s="460">
        <v>0</v>
      </c>
      <c r="BB42" s="460">
        <v>0</v>
      </c>
      <c r="BC42" s="460">
        <v>978.98453644114375</v>
      </c>
      <c r="BD42" s="460">
        <v>0</v>
      </c>
      <c r="BE42" s="460">
        <v>0</v>
      </c>
      <c r="BF42" s="460">
        <v>0</v>
      </c>
      <c r="BG42" s="460">
        <v>0</v>
      </c>
      <c r="BH42" s="460">
        <v>0</v>
      </c>
      <c r="BI42" s="460">
        <v>0</v>
      </c>
      <c r="BJ42" s="460">
        <v>0</v>
      </c>
      <c r="BK42" s="460">
        <v>0</v>
      </c>
      <c r="BL42" s="460">
        <v>0</v>
      </c>
      <c r="BM42" s="460">
        <v>0</v>
      </c>
      <c r="BN42" s="460">
        <v>0</v>
      </c>
      <c r="BO42" s="460">
        <v>0</v>
      </c>
      <c r="BP42" s="460">
        <v>0</v>
      </c>
      <c r="BQ42" s="460">
        <v>0</v>
      </c>
      <c r="BR42" s="460">
        <v>0</v>
      </c>
      <c r="BS42" s="460">
        <v>0</v>
      </c>
      <c r="BT42" s="460">
        <v>0</v>
      </c>
      <c r="BU42" s="460">
        <v>0</v>
      </c>
      <c r="BV42" s="460">
        <v>0</v>
      </c>
      <c r="BW42" s="460">
        <v>0</v>
      </c>
      <c r="BX42" s="460">
        <v>0</v>
      </c>
      <c r="BY42" s="460">
        <v>0</v>
      </c>
      <c r="BZ42" s="460">
        <v>0</v>
      </c>
      <c r="CA42" s="460" t="e">
        <v>#N/A</v>
      </c>
      <c r="CB42" s="460" t="e">
        <v>#N/A</v>
      </c>
      <c r="CC42" s="460" t="e">
        <v>#N/A</v>
      </c>
    </row>
    <row r="43" spans="1:81" ht="12.75" customHeight="1">
      <c r="A43" s="105">
        <v>38</v>
      </c>
      <c r="B43" s="458" t="str">
        <v>12Y</v>
      </c>
      <c r="C43" s="465">
        <f>'eur disaggregated'!AV54</f>
        <v>-22045.894792623923</v>
      </c>
      <c r="D43" s="111" t="str">
        <f t="shared" si="3"/>
        <v>144M</v>
      </c>
      <c r="E43" s="441">
        <f t="shared" si="5"/>
        <v>42696</v>
      </c>
      <c r="F43" s="441">
        <f>IF(AND(NOT(ISNA(MATCH(RIGHT(B43,2),$I$6:$I$67,0))),LEN(B43)&lt;3,RIGHT(B43,1)="M"), INDEX($K$6:$K$67, MATCH(RIGHT(B43,2),$I$6:$I$67,0)), IF(AND(NOT(ISNA(MATCH((IF(RIGHT(B43,3)="24M","2Y",RIGHT(B43,3))),$I$6:$I$67,0))), LEN(B43)&gt;=3, RIGHT(B43,1)="M"), INDEX($K$6:$K$67, MATCH((IF(RIGHT(B43,3)="24M","2Y",RIGHT(B43,3))),$I$6:$I$67,0)), _xll.qlCalendarAdvance(Calendar,E43,D43)))</f>
        <v>47079</v>
      </c>
      <c r="G43" s="462">
        <f t="shared" si="2"/>
        <v>9.4599999999999997E-3</v>
      </c>
      <c r="H43" s="453">
        <v>0.94599999999999995</v>
      </c>
      <c r="I43" s="107" t="str">
        <v>10Y</v>
      </c>
      <c r="J43" s="106" t="str">
        <f>IF(LEN(I43)&gt;0,IF((MID(I43,4,1)=" "),#REF!,IF((LEN(I43)=8),DATE("20" &amp; RIGHT(I43,2),MID(I43,4,2),LEFT(I43,2)),SimplifyTenor(I43))),"")</f>
        <v>120M</v>
      </c>
      <c r="K43" s="448">
        <f>_xll.qlCalendarAdvance("TARGET",SettlementDate,J43)</f>
        <v>46349</v>
      </c>
      <c r="M43" s="99" t="str">
        <v>10Y</v>
      </c>
      <c r="N43" s="465">
        <v>201.65259030417508</v>
      </c>
      <c r="P43" s="106" t="b">
        <f t="shared" si="6"/>
        <v>0</v>
      </c>
      <c r="Q43" s="460">
        <f t="array" ref="Q43:CC43">C43*ForwardToZero(OisBuckets,E43,F43,G43)</f>
        <v>0</v>
      </c>
      <c r="R43" s="460">
        <v>0</v>
      </c>
      <c r="S43" s="460">
        <v>0</v>
      </c>
      <c r="T43" s="460">
        <v>0</v>
      </c>
      <c r="U43" s="460">
        <v>0</v>
      </c>
      <c r="V43" s="460">
        <v>0</v>
      </c>
      <c r="W43" s="460">
        <v>0</v>
      </c>
      <c r="X43" s="460">
        <v>0</v>
      </c>
      <c r="Y43" s="460">
        <v>0</v>
      </c>
      <c r="Z43" s="460">
        <v>0</v>
      </c>
      <c r="AA43" s="460">
        <v>0</v>
      </c>
      <c r="AB43" s="460">
        <v>0</v>
      </c>
      <c r="AC43" s="460">
        <v>0</v>
      </c>
      <c r="AD43" s="460">
        <v>0</v>
      </c>
      <c r="AE43" s="460">
        <v>0</v>
      </c>
      <c r="AF43" s="460">
        <v>0</v>
      </c>
      <c r="AG43" s="460">
        <v>0</v>
      </c>
      <c r="AH43" s="460">
        <v>0</v>
      </c>
      <c r="AI43" s="460">
        <v>0</v>
      </c>
      <c r="AJ43" s="460">
        <v>0</v>
      </c>
      <c r="AK43" s="460">
        <v>0</v>
      </c>
      <c r="AL43" s="460">
        <v>0</v>
      </c>
      <c r="AM43" s="460">
        <v>0</v>
      </c>
      <c r="AN43" s="460">
        <v>0</v>
      </c>
      <c r="AO43" s="460">
        <v>0</v>
      </c>
      <c r="AP43" s="460">
        <v>0</v>
      </c>
      <c r="AQ43" s="460">
        <v>0</v>
      </c>
      <c r="AR43" s="460">
        <v>0</v>
      </c>
      <c r="AS43" s="460">
        <v>0</v>
      </c>
      <c r="AT43" s="460">
        <v>0</v>
      </c>
      <c r="AU43" s="460">
        <v>0</v>
      </c>
      <c r="AV43" s="460">
        <v>0</v>
      </c>
      <c r="AW43" s="460">
        <v>0</v>
      </c>
      <c r="AX43" s="460">
        <v>0</v>
      </c>
      <c r="AY43" s="460">
        <v>0</v>
      </c>
      <c r="AZ43" s="460">
        <v>0</v>
      </c>
      <c r="BA43" s="460">
        <v>0</v>
      </c>
      <c r="BB43" s="460">
        <v>0</v>
      </c>
      <c r="BC43" s="460">
        <v>0</v>
      </c>
      <c r="BD43" s="460">
        <v>-22045.894792623923</v>
      </c>
      <c r="BE43" s="460">
        <v>0</v>
      </c>
      <c r="BF43" s="460">
        <v>0</v>
      </c>
      <c r="BG43" s="460">
        <v>0</v>
      </c>
      <c r="BH43" s="460">
        <v>0</v>
      </c>
      <c r="BI43" s="460">
        <v>0</v>
      </c>
      <c r="BJ43" s="460">
        <v>0</v>
      </c>
      <c r="BK43" s="460">
        <v>0</v>
      </c>
      <c r="BL43" s="460">
        <v>0</v>
      </c>
      <c r="BM43" s="460">
        <v>0</v>
      </c>
      <c r="BN43" s="460">
        <v>0</v>
      </c>
      <c r="BO43" s="460">
        <v>0</v>
      </c>
      <c r="BP43" s="460">
        <v>0</v>
      </c>
      <c r="BQ43" s="460">
        <v>0</v>
      </c>
      <c r="BR43" s="460">
        <v>0</v>
      </c>
      <c r="BS43" s="460">
        <v>0</v>
      </c>
      <c r="BT43" s="460">
        <v>0</v>
      </c>
      <c r="BU43" s="460">
        <v>0</v>
      </c>
      <c r="BV43" s="460">
        <v>0</v>
      </c>
      <c r="BW43" s="460">
        <v>0</v>
      </c>
      <c r="BX43" s="460">
        <v>0</v>
      </c>
      <c r="BY43" s="460">
        <v>0</v>
      </c>
      <c r="BZ43" s="460">
        <v>0</v>
      </c>
      <c r="CA43" s="460" t="e">
        <v>#N/A</v>
      </c>
      <c r="CB43" s="460" t="e">
        <v>#N/A</v>
      </c>
      <c r="CC43" s="460" t="e">
        <v>#N/A</v>
      </c>
    </row>
    <row r="44" spans="1:81" ht="12.75" customHeight="1">
      <c r="A44" s="105">
        <v>39</v>
      </c>
      <c r="B44" s="458" t="str">
        <v>13Y</v>
      </c>
      <c r="C44" s="465">
        <f>'eur disaggregated'!AV55</f>
        <v>-6066.0171351403415</v>
      </c>
      <c r="D44" s="111" t="str">
        <f t="shared" si="3"/>
        <v>156M</v>
      </c>
      <c r="E44" s="441">
        <f t="shared" si="5"/>
        <v>42696</v>
      </c>
      <c r="F44" s="441">
        <f>IF(AND(NOT(ISNA(MATCH(RIGHT(B44,2),$I$6:$I$67,0))),LEN(B44)&lt;3,RIGHT(B44,1)="M"), INDEX($K$6:$K$67, MATCH(RIGHT(B44,2),$I$6:$I$67,0)), IF(AND(NOT(ISNA(MATCH((IF(RIGHT(B44,3)="24M","2Y",RIGHT(B44,3))),$I$6:$I$67,0))), LEN(B44)&gt;=3, RIGHT(B44,1)="M"), INDEX($K$6:$K$67, MATCH((IF(RIGHT(B44,3)="24M","2Y",RIGHT(B44,3))),$I$6:$I$67,0)), _xll.qlCalendarAdvance(Calendar,E44,D44)))</f>
        <v>47444</v>
      </c>
      <c r="G44" s="462">
        <f t="shared" si="2"/>
        <v>1.005913715E-2</v>
      </c>
      <c r="H44" s="453">
        <v>1.0059137149999999</v>
      </c>
      <c r="I44" s="107" t="str">
        <v>11Y</v>
      </c>
      <c r="J44" s="106" t="str">
        <f>IF(LEN(I44)&gt;0,IF((MID(I44,4,1)=" "),#REF!,IF((LEN(I44)=8),DATE("20" &amp; RIGHT(I44,2),MID(I44,4,2),LEFT(I44,2)),SimplifyTenor(I44))),"")</f>
        <v>132M</v>
      </c>
      <c r="K44" s="448">
        <f>_xll.qlCalendarAdvance("TARGET",SettlementDate,J44)</f>
        <v>46713</v>
      </c>
      <c r="M44" s="99" t="str">
        <v>11Y</v>
      </c>
      <c r="N44" s="465">
        <v>978.98453644114375</v>
      </c>
      <c r="P44" s="106" t="b">
        <f t="shared" si="6"/>
        <v>0</v>
      </c>
      <c r="Q44" s="460">
        <f t="array" ref="Q44:CC44">C44*ForwardToZero(OisBuckets,E44,F44,G44)</f>
        <v>0</v>
      </c>
      <c r="R44" s="460">
        <v>0</v>
      </c>
      <c r="S44" s="460">
        <v>0</v>
      </c>
      <c r="T44" s="460">
        <v>0</v>
      </c>
      <c r="U44" s="460">
        <v>0</v>
      </c>
      <c r="V44" s="460">
        <v>0</v>
      </c>
      <c r="W44" s="460">
        <v>0</v>
      </c>
      <c r="X44" s="460">
        <v>0</v>
      </c>
      <c r="Y44" s="460">
        <v>0</v>
      </c>
      <c r="Z44" s="460">
        <v>0</v>
      </c>
      <c r="AA44" s="460">
        <v>0</v>
      </c>
      <c r="AB44" s="460">
        <v>0</v>
      </c>
      <c r="AC44" s="460">
        <v>0</v>
      </c>
      <c r="AD44" s="460">
        <v>0</v>
      </c>
      <c r="AE44" s="460">
        <v>0</v>
      </c>
      <c r="AF44" s="460">
        <v>0</v>
      </c>
      <c r="AG44" s="460">
        <v>0</v>
      </c>
      <c r="AH44" s="460">
        <v>0</v>
      </c>
      <c r="AI44" s="460">
        <v>0</v>
      </c>
      <c r="AJ44" s="460">
        <v>0</v>
      </c>
      <c r="AK44" s="460">
        <v>0</v>
      </c>
      <c r="AL44" s="460">
        <v>0</v>
      </c>
      <c r="AM44" s="460">
        <v>0</v>
      </c>
      <c r="AN44" s="460">
        <v>0</v>
      </c>
      <c r="AO44" s="460">
        <v>0</v>
      </c>
      <c r="AP44" s="460">
        <v>0</v>
      </c>
      <c r="AQ44" s="460">
        <v>0</v>
      </c>
      <c r="AR44" s="460">
        <v>0</v>
      </c>
      <c r="AS44" s="460">
        <v>0</v>
      </c>
      <c r="AT44" s="460">
        <v>0</v>
      </c>
      <c r="AU44" s="460">
        <v>0</v>
      </c>
      <c r="AV44" s="460">
        <v>0</v>
      </c>
      <c r="AW44" s="460">
        <v>0</v>
      </c>
      <c r="AX44" s="460">
        <v>0</v>
      </c>
      <c r="AY44" s="460">
        <v>0</v>
      </c>
      <c r="AZ44" s="460">
        <v>0</v>
      </c>
      <c r="BA44" s="460">
        <v>0</v>
      </c>
      <c r="BB44" s="460">
        <v>0</v>
      </c>
      <c r="BC44" s="460">
        <v>0</v>
      </c>
      <c r="BD44" s="460">
        <v>0</v>
      </c>
      <c r="BE44" s="460">
        <v>-6066.0171351403415</v>
      </c>
      <c r="BF44" s="460">
        <v>0</v>
      </c>
      <c r="BG44" s="460">
        <v>0</v>
      </c>
      <c r="BH44" s="460">
        <v>0</v>
      </c>
      <c r="BI44" s="460">
        <v>0</v>
      </c>
      <c r="BJ44" s="460">
        <v>0</v>
      </c>
      <c r="BK44" s="460">
        <v>0</v>
      </c>
      <c r="BL44" s="460">
        <v>0</v>
      </c>
      <c r="BM44" s="460">
        <v>0</v>
      </c>
      <c r="BN44" s="460">
        <v>0</v>
      </c>
      <c r="BO44" s="460">
        <v>0</v>
      </c>
      <c r="BP44" s="460">
        <v>0</v>
      </c>
      <c r="BQ44" s="460">
        <v>0</v>
      </c>
      <c r="BR44" s="460">
        <v>0</v>
      </c>
      <c r="BS44" s="460">
        <v>0</v>
      </c>
      <c r="BT44" s="460">
        <v>0</v>
      </c>
      <c r="BU44" s="460">
        <v>0</v>
      </c>
      <c r="BV44" s="460">
        <v>0</v>
      </c>
      <c r="BW44" s="460">
        <v>0</v>
      </c>
      <c r="BX44" s="460">
        <v>0</v>
      </c>
      <c r="BY44" s="460">
        <v>0</v>
      </c>
      <c r="BZ44" s="460">
        <v>0</v>
      </c>
      <c r="CA44" s="460" t="e">
        <v>#N/A</v>
      </c>
      <c r="CB44" s="460" t="e">
        <v>#N/A</v>
      </c>
      <c r="CC44" s="460" t="e">
        <v>#N/A</v>
      </c>
    </row>
    <row r="45" spans="1:81" ht="12.75" customHeight="1">
      <c r="A45" s="105">
        <v>40</v>
      </c>
      <c r="B45" s="458" t="str">
        <v>14Y</v>
      </c>
      <c r="C45" s="465">
        <f>'eur disaggregated'!AV56</f>
        <v>925.45234062377006</v>
      </c>
      <c r="D45" s="111" t="str">
        <f t="shared" si="3"/>
        <v>168M</v>
      </c>
      <c r="E45" s="441">
        <f t="shared" si="5"/>
        <v>42696</v>
      </c>
      <c r="F45" s="441">
        <f>IF(AND(NOT(ISNA(MATCH(RIGHT(B45,2),$I$6:$I$67,0))),LEN(B45)&lt;3,RIGHT(B45,1)="M"), INDEX($K$6:$K$67, MATCH(RIGHT(B45,2),$I$6:$I$67,0)), IF(AND(NOT(ISNA(MATCH((IF(RIGHT(B45,3)="24M","2Y",RIGHT(B45,3))),$I$6:$I$67,0))), LEN(B45)&gt;=3, RIGHT(B45,1)="M"), INDEX($K$6:$K$67, MATCH((IF(RIGHT(B45,3)="24M","2Y",RIGHT(B45,3))),$I$6:$I$67,0)), _xll.qlCalendarAdvance(Calendar,E45,D45)))</f>
        <v>47809</v>
      </c>
      <c r="G45" s="462">
        <f t="shared" si="2"/>
        <v>1.0570979689999999E-2</v>
      </c>
      <c r="H45" s="453">
        <v>1.057097969</v>
      </c>
      <c r="I45" s="107" t="str">
        <v>12Y</v>
      </c>
      <c r="J45" s="106" t="str">
        <f>IF(LEN(I45)&gt;0,IF((MID(I45,4,1)=" "),#REF!,IF((LEN(I45)=8),DATE("20" &amp; RIGHT(I45,2),MID(I45,4,2),LEFT(I45,2)),SimplifyTenor(I45))),"")</f>
        <v>144M</v>
      </c>
      <c r="K45" s="448">
        <f>_xll.qlCalendarAdvance("TARGET",SettlementDate,J45)</f>
        <v>47079</v>
      </c>
      <c r="M45" s="99" t="str">
        <v>12Y</v>
      </c>
      <c r="N45" s="465">
        <v>-22045.894792623923</v>
      </c>
      <c r="P45" s="106" t="b">
        <f t="shared" si="6"/>
        <v>0</v>
      </c>
      <c r="Q45" s="460">
        <f t="array" ref="Q45:CC45">C45*ForwardToZero(OisBuckets,E45,F45,G45)</f>
        <v>0</v>
      </c>
      <c r="R45" s="460">
        <v>0</v>
      </c>
      <c r="S45" s="460">
        <v>0</v>
      </c>
      <c r="T45" s="460">
        <v>0</v>
      </c>
      <c r="U45" s="460">
        <v>0</v>
      </c>
      <c r="V45" s="460">
        <v>0</v>
      </c>
      <c r="W45" s="460">
        <v>0</v>
      </c>
      <c r="X45" s="460">
        <v>0</v>
      </c>
      <c r="Y45" s="460">
        <v>0</v>
      </c>
      <c r="Z45" s="460">
        <v>0</v>
      </c>
      <c r="AA45" s="460">
        <v>0</v>
      </c>
      <c r="AB45" s="460">
        <v>0</v>
      </c>
      <c r="AC45" s="460">
        <v>0</v>
      </c>
      <c r="AD45" s="460">
        <v>0</v>
      </c>
      <c r="AE45" s="460">
        <v>0</v>
      </c>
      <c r="AF45" s="460">
        <v>0</v>
      </c>
      <c r="AG45" s="460">
        <v>0</v>
      </c>
      <c r="AH45" s="460">
        <v>0</v>
      </c>
      <c r="AI45" s="460">
        <v>0</v>
      </c>
      <c r="AJ45" s="460">
        <v>0</v>
      </c>
      <c r="AK45" s="460">
        <v>0</v>
      </c>
      <c r="AL45" s="460">
        <v>0</v>
      </c>
      <c r="AM45" s="460">
        <v>0</v>
      </c>
      <c r="AN45" s="460">
        <v>0</v>
      </c>
      <c r="AO45" s="460">
        <v>0</v>
      </c>
      <c r="AP45" s="460">
        <v>0</v>
      </c>
      <c r="AQ45" s="460">
        <v>0</v>
      </c>
      <c r="AR45" s="460">
        <v>0</v>
      </c>
      <c r="AS45" s="460">
        <v>0</v>
      </c>
      <c r="AT45" s="460">
        <v>0</v>
      </c>
      <c r="AU45" s="460">
        <v>0</v>
      </c>
      <c r="AV45" s="460">
        <v>0</v>
      </c>
      <c r="AW45" s="460">
        <v>0</v>
      </c>
      <c r="AX45" s="460">
        <v>0</v>
      </c>
      <c r="AY45" s="460">
        <v>0</v>
      </c>
      <c r="AZ45" s="460">
        <v>0</v>
      </c>
      <c r="BA45" s="460">
        <v>0</v>
      </c>
      <c r="BB45" s="460">
        <v>0</v>
      </c>
      <c r="BC45" s="460">
        <v>0</v>
      </c>
      <c r="BD45" s="460">
        <v>0</v>
      </c>
      <c r="BE45" s="460">
        <v>0</v>
      </c>
      <c r="BF45" s="460">
        <v>925.45234062377006</v>
      </c>
      <c r="BG45" s="460">
        <v>0</v>
      </c>
      <c r="BH45" s="460">
        <v>0</v>
      </c>
      <c r="BI45" s="460">
        <v>0</v>
      </c>
      <c r="BJ45" s="460">
        <v>0</v>
      </c>
      <c r="BK45" s="460">
        <v>0</v>
      </c>
      <c r="BL45" s="460">
        <v>0</v>
      </c>
      <c r="BM45" s="460">
        <v>0</v>
      </c>
      <c r="BN45" s="460">
        <v>0</v>
      </c>
      <c r="BO45" s="460">
        <v>0</v>
      </c>
      <c r="BP45" s="460">
        <v>0</v>
      </c>
      <c r="BQ45" s="460">
        <v>0</v>
      </c>
      <c r="BR45" s="460">
        <v>0</v>
      </c>
      <c r="BS45" s="460">
        <v>0</v>
      </c>
      <c r="BT45" s="460">
        <v>0</v>
      </c>
      <c r="BU45" s="460">
        <v>0</v>
      </c>
      <c r="BV45" s="460">
        <v>0</v>
      </c>
      <c r="BW45" s="460">
        <v>0</v>
      </c>
      <c r="BX45" s="460">
        <v>0</v>
      </c>
      <c r="BY45" s="460">
        <v>0</v>
      </c>
      <c r="BZ45" s="460">
        <v>0</v>
      </c>
      <c r="CA45" s="460" t="e">
        <v>#N/A</v>
      </c>
      <c r="CB45" s="460" t="e">
        <v>#N/A</v>
      </c>
      <c r="CC45" s="460" t="e">
        <v>#N/A</v>
      </c>
    </row>
    <row r="46" spans="1:81" ht="12.75" customHeight="1">
      <c r="A46" s="105">
        <v>41</v>
      </c>
      <c r="B46" s="458" t="str">
        <v>15Y</v>
      </c>
      <c r="C46" s="465">
        <f>'eur disaggregated'!AV57</f>
        <v>-562.14732947359005</v>
      </c>
      <c r="D46" s="111" t="str">
        <f t="shared" si="3"/>
        <v>180M</v>
      </c>
      <c r="E46" s="441">
        <f t="shared" si="5"/>
        <v>42696</v>
      </c>
      <c r="F46" s="441">
        <f>IF(AND(NOT(ISNA(MATCH(RIGHT(B46,2),$I$6:$I$67,0))),LEN(B46)&lt;3,RIGHT(B46,1)="M"), INDEX($K$6:$K$67, MATCH(RIGHT(B46,2),$I$6:$I$67,0)), IF(AND(NOT(ISNA(MATCH((IF(RIGHT(B46,3)="24M","2Y",RIGHT(B46,3))),$I$6:$I$67,0))), LEN(B46)&gt;=3, RIGHT(B46,1)="M"), INDEX($K$6:$K$67, MATCH((IF(RIGHT(B46,3)="24M","2Y",RIGHT(B46,3))),$I$6:$I$67,0)), _xll.qlCalendarAdvance(Calendar,E46,D46)))</f>
        <v>48176</v>
      </c>
      <c r="G46" s="462">
        <f t="shared" si="2"/>
        <v>1.1000000000000001E-2</v>
      </c>
      <c r="H46" s="453">
        <v>1.1000000000000001</v>
      </c>
      <c r="I46" s="107" t="str">
        <v>13Y</v>
      </c>
      <c r="J46" s="106" t="str">
        <f>IF(LEN(I46)&gt;0,IF((MID(I46,4,1)=" "),#REF!,IF((LEN(I46)=8),DATE("20" &amp; RIGHT(I46,2),MID(I46,4,2),LEFT(I46,2)),SimplifyTenor(I46))),"")</f>
        <v>156M</v>
      </c>
      <c r="K46" s="448">
        <f>_xll.qlCalendarAdvance("TARGET",SettlementDate,J46)</f>
        <v>47444</v>
      </c>
      <c r="M46" s="99" t="str">
        <v>13Y</v>
      </c>
      <c r="N46" s="465">
        <v>-6066.0171351403415</v>
      </c>
      <c r="P46" s="106" t="b">
        <f t="shared" si="6"/>
        <v>0</v>
      </c>
      <c r="Q46" s="460">
        <f t="array" ref="Q46:CC46">C46*ForwardToZero(OisBuckets,E46,F46,G46)</f>
        <v>0</v>
      </c>
      <c r="R46" s="460">
        <v>0</v>
      </c>
      <c r="S46" s="460">
        <v>0</v>
      </c>
      <c r="T46" s="460">
        <v>0</v>
      </c>
      <c r="U46" s="460">
        <v>0</v>
      </c>
      <c r="V46" s="460">
        <v>0</v>
      </c>
      <c r="W46" s="460">
        <v>0</v>
      </c>
      <c r="X46" s="460">
        <v>0</v>
      </c>
      <c r="Y46" s="460">
        <v>0</v>
      </c>
      <c r="Z46" s="460">
        <v>0</v>
      </c>
      <c r="AA46" s="460">
        <v>0</v>
      </c>
      <c r="AB46" s="460">
        <v>0</v>
      </c>
      <c r="AC46" s="460">
        <v>0</v>
      </c>
      <c r="AD46" s="460">
        <v>0</v>
      </c>
      <c r="AE46" s="460">
        <v>0</v>
      </c>
      <c r="AF46" s="460">
        <v>0</v>
      </c>
      <c r="AG46" s="460">
        <v>0</v>
      </c>
      <c r="AH46" s="460">
        <v>0</v>
      </c>
      <c r="AI46" s="460">
        <v>0</v>
      </c>
      <c r="AJ46" s="460">
        <v>0</v>
      </c>
      <c r="AK46" s="460">
        <v>0</v>
      </c>
      <c r="AL46" s="460">
        <v>0</v>
      </c>
      <c r="AM46" s="460">
        <v>0</v>
      </c>
      <c r="AN46" s="460">
        <v>0</v>
      </c>
      <c r="AO46" s="460">
        <v>0</v>
      </c>
      <c r="AP46" s="460">
        <v>0</v>
      </c>
      <c r="AQ46" s="460">
        <v>0</v>
      </c>
      <c r="AR46" s="460">
        <v>0</v>
      </c>
      <c r="AS46" s="460">
        <v>0</v>
      </c>
      <c r="AT46" s="460">
        <v>0</v>
      </c>
      <c r="AU46" s="460">
        <v>0</v>
      </c>
      <c r="AV46" s="460">
        <v>0</v>
      </c>
      <c r="AW46" s="460">
        <v>0</v>
      </c>
      <c r="AX46" s="460">
        <v>0</v>
      </c>
      <c r="AY46" s="460">
        <v>0</v>
      </c>
      <c r="AZ46" s="460">
        <v>0</v>
      </c>
      <c r="BA46" s="460">
        <v>0</v>
      </c>
      <c r="BB46" s="460">
        <v>0</v>
      </c>
      <c r="BC46" s="460">
        <v>0</v>
      </c>
      <c r="BD46" s="460">
        <v>0</v>
      </c>
      <c r="BE46" s="460">
        <v>0</v>
      </c>
      <c r="BF46" s="460">
        <v>0</v>
      </c>
      <c r="BG46" s="460">
        <v>-562.14732947359005</v>
      </c>
      <c r="BH46" s="460">
        <v>0</v>
      </c>
      <c r="BI46" s="460">
        <v>0</v>
      </c>
      <c r="BJ46" s="460">
        <v>0</v>
      </c>
      <c r="BK46" s="460">
        <v>0</v>
      </c>
      <c r="BL46" s="460">
        <v>0</v>
      </c>
      <c r="BM46" s="460">
        <v>0</v>
      </c>
      <c r="BN46" s="460">
        <v>0</v>
      </c>
      <c r="BO46" s="460">
        <v>0</v>
      </c>
      <c r="BP46" s="460">
        <v>0</v>
      </c>
      <c r="BQ46" s="460">
        <v>0</v>
      </c>
      <c r="BR46" s="460">
        <v>0</v>
      </c>
      <c r="BS46" s="460">
        <v>0</v>
      </c>
      <c r="BT46" s="460">
        <v>0</v>
      </c>
      <c r="BU46" s="460">
        <v>0</v>
      </c>
      <c r="BV46" s="460">
        <v>0</v>
      </c>
      <c r="BW46" s="460">
        <v>0</v>
      </c>
      <c r="BX46" s="460">
        <v>0</v>
      </c>
      <c r="BY46" s="460">
        <v>0</v>
      </c>
      <c r="BZ46" s="460">
        <v>0</v>
      </c>
      <c r="CA46" s="460" t="e">
        <v>#N/A</v>
      </c>
      <c r="CB46" s="460" t="e">
        <v>#N/A</v>
      </c>
      <c r="CC46" s="460" t="e">
        <v>#N/A</v>
      </c>
    </row>
    <row r="47" spans="1:81" ht="12.75" customHeight="1">
      <c r="A47" s="105">
        <v>42</v>
      </c>
      <c r="B47" s="458" t="str">
        <v>16Y</v>
      </c>
      <c r="C47" s="465">
        <f>'eur disaggregated'!AV58</f>
        <v>3445.4070818255095</v>
      </c>
      <c r="D47" s="111" t="str">
        <f t="shared" si="3"/>
        <v>192M</v>
      </c>
      <c r="E47" s="441">
        <f t="shared" si="5"/>
        <v>42696</v>
      </c>
      <c r="F47" s="441">
        <f>IF(AND(NOT(ISNA(MATCH(RIGHT(B47,2),$I$6:$I$67,0))),LEN(B47)&lt;3,RIGHT(B47,1)="M"), INDEX($K$6:$K$67, MATCH(RIGHT(B47,2),$I$6:$I$67,0)), IF(AND(NOT(ISNA(MATCH((IF(RIGHT(B47,3)="24M","2Y",RIGHT(B47,3))),$I$6:$I$67,0))), LEN(B47)&gt;=3, RIGHT(B47,1)="M"), INDEX($K$6:$K$67, MATCH((IF(RIGHT(B47,3)="24M","2Y",RIGHT(B47,3))),$I$6:$I$67,0)), _xll.qlCalendarAdvance(Calendar,E47,D47)))</f>
        <v>48540</v>
      </c>
      <c r="G47" s="462">
        <f t="shared" si="2"/>
        <v>1.1351840619999999E-2</v>
      </c>
      <c r="H47" s="453">
        <v>1.135184062</v>
      </c>
      <c r="I47" s="107" t="str">
        <v>14Y</v>
      </c>
      <c r="J47" s="106" t="str">
        <f>IF(LEN(I47)&gt;0,IF((MID(I47,4,1)=" "),#REF!,IF((LEN(I47)=8),DATE("20" &amp; RIGHT(I47,2),MID(I47,4,2),LEFT(I47,2)),SimplifyTenor(I47))),"")</f>
        <v>168M</v>
      </c>
      <c r="K47" s="448">
        <f>_xll.qlCalendarAdvance("TARGET",SettlementDate,J47)</f>
        <v>47809</v>
      </c>
      <c r="M47" s="99" t="str">
        <v>14Y</v>
      </c>
      <c r="N47" s="465">
        <v>925.45234062377006</v>
      </c>
      <c r="P47" s="106" t="b">
        <f t="shared" si="6"/>
        <v>0</v>
      </c>
      <c r="Q47" s="460">
        <f t="array" ref="Q47:CC47">C47*ForwardToZero(OisBuckets,E47,F47,G47)</f>
        <v>0</v>
      </c>
      <c r="R47" s="460">
        <v>0</v>
      </c>
      <c r="S47" s="460">
        <v>0</v>
      </c>
      <c r="T47" s="460">
        <v>0</v>
      </c>
      <c r="U47" s="460">
        <v>0</v>
      </c>
      <c r="V47" s="460">
        <v>0</v>
      </c>
      <c r="W47" s="460">
        <v>0</v>
      </c>
      <c r="X47" s="460">
        <v>0</v>
      </c>
      <c r="Y47" s="460">
        <v>0</v>
      </c>
      <c r="Z47" s="460">
        <v>0</v>
      </c>
      <c r="AA47" s="460">
        <v>0</v>
      </c>
      <c r="AB47" s="460">
        <v>0</v>
      </c>
      <c r="AC47" s="460">
        <v>0</v>
      </c>
      <c r="AD47" s="460">
        <v>0</v>
      </c>
      <c r="AE47" s="460">
        <v>0</v>
      </c>
      <c r="AF47" s="460">
        <v>0</v>
      </c>
      <c r="AG47" s="460">
        <v>0</v>
      </c>
      <c r="AH47" s="460">
        <v>0</v>
      </c>
      <c r="AI47" s="460">
        <v>0</v>
      </c>
      <c r="AJ47" s="460">
        <v>0</v>
      </c>
      <c r="AK47" s="460">
        <v>0</v>
      </c>
      <c r="AL47" s="460">
        <v>0</v>
      </c>
      <c r="AM47" s="460">
        <v>0</v>
      </c>
      <c r="AN47" s="460">
        <v>0</v>
      </c>
      <c r="AO47" s="460">
        <v>0</v>
      </c>
      <c r="AP47" s="460">
        <v>0</v>
      </c>
      <c r="AQ47" s="460">
        <v>0</v>
      </c>
      <c r="AR47" s="460">
        <v>0</v>
      </c>
      <c r="AS47" s="460">
        <v>0</v>
      </c>
      <c r="AT47" s="460">
        <v>0</v>
      </c>
      <c r="AU47" s="460">
        <v>0</v>
      </c>
      <c r="AV47" s="460">
        <v>0</v>
      </c>
      <c r="AW47" s="460">
        <v>0</v>
      </c>
      <c r="AX47" s="460">
        <v>0</v>
      </c>
      <c r="AY47" s="460">
        <v>0</v>
      </c>
      <c r="AZ47" s="460">
        <v>0</v>
      </c>
      <c r="BA47" s="460">
        <v>0</v>
      </c>
      <c r="BB47" s="460">
        <v>0</v>
      </c>
      <c r="BC47" s="460">
        <v>0</v>
      </c>
      <c r="BD47" s="460">
        <v>0</v>
      </c>
      <c r="BE47" s="460">
        <v>0</v>
      </c>
      <c r="BF47" s="460">
        <v>0</v>
      </c>
      <c r="BG47" s="460">
        <v>0</v>
      </c>
      <c r="BH47" s="460">
        <v>3445.4070818255095</v>
      </c>
      <c r="BI47" s="460">
        <v>0</v>
      </c>
      <c r="BJ47" s="460">
        <v>0</v>
      </c>
      <c r="BK47" s="460">
        <v>0</v>
      </c>
      <c r="BL47" s="460">
        <v>0</v>
      </c>
      <c r="BM47" s="460">
        <v>0</v>
      </c>
      <c r="BN47" s="460">
        <v>0</v>
      </c>
      <c r="BO47" s="460">
        <v>0</v>
      </c>
      <c r="BP47" s="460">
        <v>0</v>
      </c>
      <c r="BQ47" s="460">
        <v>0</v>
      </c>
      <c r="BR47" s="460">
        <v>0</v>
      </c>
      <c r="BS47" s="460">
        <v>0</v>
      </c>
      <c r="BT47" s="460">
        <v>0</v>
      </c>
      <c r="BU47" s="460">
        <v>0</v>
      </c>
      <c r="BV47" s="460">
        <v>0</v>
      </c>
      <c r="BW47" s="460">
        <v>0</v>
      </c>
      <c r="BX47" s="460">
        <v>0</v>
      </c>
      <c r="BY47" s="460">
        <v>0</v>
      </c>
      <c r="BZ47" s="460">
        <v>0</v>
      </c>
      <c r="CA47" s="460" t="e">
        <v>#N/A</v>
      </c>
      <c r="CB47" s="460" t="e">
        <v>#N/A</v>
      </c>
      <c r="CC47" s="460" t="e">
        <v>#N/A</v>
      </c>
    </row>
    <row r="48" spans="1:81" ht="12.75" customHeight="1">
      <c r="A48" s="105">
        <v>43</v>
      </c>
      <c r="B48" s="458" t="str">
        <v>17Y</v>
      </c>
      <c r="C48" s="465">
        <f>'eur disaggregated'!AV59</f>
        <v>-34511.49566623482</v>
      </c>
      <c r="D48" s="111" t="str">
        <f t="shared" si="3"/>
        <v>204M</v>
      </c>
      <c r="E48" s="441">
        <f t="shared" si="5"/>
        <v>42696</v>
      </c>
      <c r="F48" s="441">
        <f>IF(AND(NOT(ISNA(MATCH(RIGHT(B48,2),$I$6:$I$67,0))),LEN(B48)&lt;3,RIGHT(B48,1)="M"), INDEX($K$6:$K$67, MATCH(RIGHT(B48,2),$I$6:$I$67,0)), IF(AND(NOT(ISNA(MATCH((IF(RIGHT(B48,3)="24M","2Y",RIGHT(B48,3))),$I$6:$I$67,0))), LEN(B48)&gt;=3, RIGHT(B48,1)="M"), INDEX($K$6:$K$67, MATCH((IF(RIGHT(B48,3)="24M","2Y",RIGHT(B48,3))),$I$6:$I$67,0)), _xll.qlCalendarAdvance(Calendar,E48,D48)))</f>
        <v>48905</v>
      </c>
      <c r="G48" s="462">
        <f t="shared" si="2"/>
        <v>1.163006934E-2</v>
      </c>
      <c r="H48" s="453">
        <v>1.163006934</v>
      </c>
      <c r="I48" s="107" t="str">
        <v>15Y</v>
      </c>
      <c r="J48" s="106" t="str">
        <f>IF(LEN(I48)&gt;0,IF((MID(I48,4,1)=" "),#REF!,IF((LEN(I48)=8),DATE("20" &amp; RIGHT(I48,2),MID(I48,4,2),LEFT(I48,2)),SimplifyTenor(I48))),"")</f>
        <v>180M</v>
      </c>
      <c r="K48" s="448">
        <f>_xll.qlCalendarAdvance("TARGET",SettlementDate,J48)</f>
        <v>48176</v>
      </c>
      <c r="M48" s="99" t="str">
        <v>15Y</v>
      </c>
      <c r="N48" s="465">
        <v>-562.14732947359005</v>
      </c>
      <c r="P48" s="106" t="b">
        <f t="shared" si="6"/>
        <v>0</v>
      </c>
      <c r="Q48" s="460">
        <f t="array" ref="Q48:CC48">C48*ForwardToZero(OisBuckets,E48,F48,G48)</f>
        <v>0</v>
      </c>
      <c r="R48" s="460">
        <v>0</v>
      </c>
      <c r="S48" s="460">
        <v>0</v>
      </c>
      <c r="T48" s="460">
        <v>0</v>
      </c>
      <c r="U48" s="460">
        <v>0</v>
      </c>
      <c r="V48" s="460">
        <v>0</v>
      </c>
      <c r="W48" s="460">
        <v>0</v>
      </c>
      <c r="X48" s="460">
        <v>0</v>
      </c>
      <c r="Y48" s="460">
        <v>0</v>
      </c>
      <c r="Z48" s="460">
        <v>0</v>
      </c>
      <c r="AA48" s="460">
        <v>0</v>
      </c>
      <c r="AB48" s="460">
        <v>0</v>
      </c>
      <c r="AC48" s="460">
        <v>0</v>
      </c>
      <c r="AD48" s="460">
        <v>0</v>
      </c>
      <c r="AE48" s="460">
        <v>0</v>
      </c>
      <c r="AF48" s="460">
        <v>0</v>
      </c>
      <c r="AG48" s="460">
        <v>0</v>
      </c>
      <c r="AH48" s="460">
        <v>0</v>
      </c>
      <c r="AI48" s="460">
        <v>0</v>
      </c>
      <c r="AJ48" s="460">
        <v>0</v>
      </c>
      <c r="AK48" s="460">
        <v>0</v>
      </c>
      <c r="AL48" s="460">
        <v>0</v>
      </c>
      <c r="AM48" s="460">
        <v>0</v>
      </c>
      <c r="AN48" s="460">
        <v>0</v>
      </c>
      <c r="AO48" s="460">
        <v>0</v>
      </c>
      <c r="AP48" s="460">
        <v>0</v>
      </c>
      <c r="AQ48" s="460">
        <v>0</v>
      </c>
      <c r="AR48" s="460">
        <v>0</v>
      </c>
      <c r="AS48" s="460">
        <v>0</v>
      </c>
      <c r="AT48" s="460">
        <v>0</v>
      </c>
      <c r="AU48" s="460">
        <v>0</v>
      </c>
      <c r="AV48" s="460">
        <v>0</v>
      </c>
      <c r="AW48" s="460">
        <v>0</v>
      </c>
      <c r="AX48" s="460">
        <v>0</v>
      </c>
      <c r="AY48" s="460">
        <v>0</v>
      </c>
      <c r="AZ48" s="460">
        <v>0</v>
      </c>
      <c r="BA48" s="460">
        <v>0</v>
      </c>
      <c r="BB48" s="460">
        <v>0</v>
      </c>
      <c r="BC48" s="460">
        <v>0</v>
      </c>
      <c r="BD48" s="460">
        <v>0</v>
      </c>
      <c r="BE48" s="460">
        <v>0</v>
      </c>
      <c r="BF48" s="460">
        <v>0</v>
      </c>
      <c r="BG48" s="460">
        <v>0</v>
      </c>
      <c r="BH48" s="460">
        <v>0</v>
      </c>
      <c r="BI48" s="460">
        <v>-34511.49566623482</v>
      </c>
      <c r="BJ48" s="460">
        <v>0</v>
      </c>
      <c r="BK48" s="460">
        <v>0</v>
      </c>
      <c r="BL48" s="460">
        <v>0</v>
      </c>
      <c r="BM48" s="460">
        <v>0</v>
      </c>
      <c r="BN48" s="460">
        <v>0</v>
      </c>
      <c r="BO48" s="460">
        <v>0</v>
      </c>
      <c r="BP48" s="460">
        <v>0</v>
      </c>
      <c r="BQ48" s="460">
        <v>0</v>
      </c>
      <c r="BR48" s="460">
        <v>0</v>
      </c>
      <c r="BS48" s="460">
        <v>0</v>
      </c>
      <c r="BT48" s="460">
        <v>0</v>
      </c>
      <c r="BU48" s="460">
        <v>0</v>
      </c>
      <c r="BV48" s="460">
        <v>0</v>
      </c>
      <c r="BW48" s="460">
        <v>0</v>
      </c>
      <c r="BX48" s="460">
        <v>0</v>
      </c>
      <c r="BY48" s="460">
        <v>0</v>
      </c>
      <c r="BZ48" s="460">
        <v>0</v>
      </c>
      <c r="CA48" s="460" t="e">
        <v>#N/A</v>
      </c>
      <c r="CB48" s="460" t="e">
        <v>#N/A</v>
      </c>
      <c r="CC48" s="460" t="e">
        <v>#N/A</v>
      </c>
    </row>
    <row r="49" spans="1:81" ht="12.75" customHeight="1">
      <c r="A49" s="105">
        <v>44</v>
      </c>
      <c r="B49" s="458" t="str">
        <v>18Y</v>
      </c>
      <c r="C49" s="465">
        <f>'eur disaggregated'!AV60</f>
        <v>-104353.46712264193</v>
      </c>
      <c r="D49" s="111" t="str">
        <f t="shared" si="3"/>
        <v>216M</v>
      </c>
      <c r="E49" s="441">
        <f t="shared" si="5"/>
        <v>42696</v>
      </c>
      <c r="F49" s="441">
        <f>IF(AND(NOT(ISNA(MATCH(RIGHT(B49,2),$I$6:$I$67,0))),LEN(B49)&lt;3,RIGHT(B49,1)="M"), INDEX($K$6:$K$67, MATCH(RIGHT(B49,2),$I$6:$I$67,0)), IF(AND(NOT(ISNA(MATCH((IF(RIGHT(B49,3)="24M","2Y",RIGHT(B49,3))),$I$6:$I$67,0))), LEN(B49)&gt;=3, RIGHT(B49,1)="M"), INDEX($K$6:$K$67, MATCH((IF(RIGHT(B49,3)="24M","2Y",RIGHT(B49,3))),$I$6:$I$67,0)), _xll.qlCalendarAdvance(Calendar,E49,D49)))</f>
        <v>49270</v>
      </c>
      <c r="G49" s="462">
        <f t="shared" si="2"/>
        <v>1.1848519790000001E-2</v>
      </c>
      <c r="H49" s="453">
        <v>1.1848519790000001</v>
      </c>
      <c r="I49" s="107" t="str">
        <v>16Y</v>
      </c>
      <c r="J49" s="106" t="str">
        <f>IF(LEN(I49)&gt;0,IF((MID(I49,4,1)=" "),#REF!,IF((LEN(I49)=8),DATE("20" &amp; RIGHT(I49,2),MID(I49,4,2),LEFT(I49,2)),SimplifyTenor(I49))),"")</f>
        <v>192M</v>
      </c>
      <c r="K49" s="448">
        <f>_xll.qlCalendarAdvance("TARGET",SettlementDate,J49)</f>
        <v>48540</v>
      </c>
      <c r="M49" s="99" t="str">
        <v>16Y</v>
      </c>
      <c r="N49" s="465">
        <v>3445.4070818255095</v>
      </c>
      <c r="P49" s="106" t="b">
        <f t="shared" si="6"/>
        <v>0</v>
      </c>
      <c r="Q49" s="460">
        <f t="array" ref="Q49:CC49">C49*ForwardToZero(OisBuckets,E49,F49,G49)</f>
        <v>0</v>
      </c>
      <c r="R49" s="460">
        <v>0</v>
      </c>
      <c r="S49" s="460">
        <v>0</v>
      </c>
      <c r="T49" s="460">
        <v>0</v>
      </c>
      <c r="U49" s="460">
        <v>0</v>
      </c>
      <c r="V49" s="460">
        <v>0</v>
      </c>
      <c r="W49" s="460">
        <v>0</v>
      </c>
      <c r="X49" s="460">
        <v>0</v>
      </c>
      <c r="Y49" s="460">
        <v>0</v>
      </c>
      <c r="Z49" s="460">
        <v>0</v>
      </c>
      <c r="AA49" s="460">
        <v>0</v>
      </c>
      <c r="AB49" s="460">
        <v>0</v>
      </c>
      <c r="AC49" s="460">
        <v>0</v>
      </c>
      <c r="AD49" s="460">
        <v>0</v>
      </c>
      <c r="AE49" s="460">
        <v>0</v>
      </c>
      <c r="AF49" s="460">
        <v>0</v>
      </c>
      <c r="AG49" s="460">
        <v>0</v>
      </c>
      <c r="AH49" s="460">
        <v>0</v>
      </c>
      <c r="AI49" s="460">
        <v>0</v>
      </c>
      <c r="AJ49" s="460">
        <v>0</v>
      </c>
      <c r="AK49" s="460">
        <v>0</v>
      </c>
      <c r="AL49" s="460">
        <v>0</v>
      </c>
      <c r="AM49" s="460">
        <v>0</v>
      </c>
      <c r="AN49" s="460">
        <v>0</v>
      </c>
      <c r="AO49" s="460">
        <v>0</v>
      </c>
      <c r="AP49" s="460">
        <v>0</v>
      </c>
      <c r="AQ49" s="460">
        <v>0</v>
      </c>
      <c r="AR49" s="460">
        <v>0</v>
      </c>
      <c r="AS49" s="460">
        <v>0</v>
      </c>
      <c r="AT49" s="460">
        <v>0</v>
      </c>
      <c r="AU49" s="460">
        <v>0</v>
      </c>
      <c r="AV49" s="460">
        <v>0</v>
      </c>
      <c r="AW49" s="460">
        <v>0</v>
      </c>
      <c r="AX49" s="460">
        <v>0</v>
      </c>
      <c r="AY49" s="460">
        <v>0</v>
      </c>
      <c r="AZ49" s="460">
        <v>0</v>
      </c>
      <c r="BA49" s="460">
        <v>0</v>
      </c>
      <c r="BB49" s="460">
        <v>0</v>
      </c>
      <c r="BC49" s="460">
        <v>0</v>
      </c>
      <c r="BD49" s="460">
        <v>0</v>
      </c>
      <c r="BE49" s="460">
        <v>0</v>
      </c>
      <c r="BF49" s="460">
        <v>0</v>
      </c>
      <c r="BG49" s="460">
        <v>0</v>
      </c>
      <c r="BH49" s="460">
        <v>0</v>
      </c>
      <c r="BI49" s="460">
        <v>0</v>
      </c>
      <c r="BJ49" s="460">
        <v>-104353.46712264193</v>
      </c>
      <c r="BK49" s="460">
        <v>0</v>
      </c>
      <c r="BL49" s="460">
        <v>0</v>
      </c>
      <c r="BM49" s="460">
        <v>0</v>
      </c>
      <c r="BN49" s="460">
        <v>0</v>
      </c>
      <c r="BO49" s="460">
        <v>0</v>
      </c>
      <c r="BP49" s="460">
        <v>0</v>
      </c>
      <c r="BQ49" s="460">
        <v>0</v>
      </c>
      <c r="BR49" s="460">
        <v>0</v>
      </c>
      <c r="BS49" s="460">
        <v>0</v>
      </c>
      <c r="BT49" s="460">
        <v>0</v>
      </c>
      <c r="BU49" s="460">
        <v>0</v>
      </c>
      <c r="BV49" s="460">
        <v>0</v>
      </c>
      <c r="BW49" s="460">
        <v>0</v>
      </c>
      <c r="BX49" s="460">
        <v>0</v>
      </c>
      <c r="BY49" s="460">
        <v>0</v>
      </c>
      <c r="BZ49" s="460">
        <v>0</v>
      </c>
      <c r="CA49" s="460" t="e">
        <v>#N/A</v>
      </c>
      <c r="CB49" s="460" t="e">
        <v>#N/A</v>
      </c>
      <c r="CC49" s="460" t="e">
        <v>#N/A</v>
      </c>
    </row>
    <row r="50" spans="1:81" ht="12.75" customHeight="1">
      <c r="A50" s="105">
        <v>45</v>
      </c>
      <c r="B50" s="458" t="str">
        <v>19Y</v>
      </c>
      <c r="C50" s="465">
        <f>'eur disaggregated'!AV61</f>
        <v>154253.17809820414</v>
      </c>
      <c r="D50" s="111" t="str">
        <f t="shared" si="3"/>
        <v>228M</v>
      </c>
      <c r="E50" s="441">
        <f t="shared" si="5"/>
        <v>42696</v>
      </c>
      <c r="F50" s="441">
        <f>IF(AND(NOT(ISNA(MATCH(RIGHT(B50,2),$I$6:$I$67,0))),LEN(B50)&lt;3,RIGHT(B50,1)="M"), INDEX($K$6:$K$67, MATCH(RIGHT(B50,2),$I$6:$I$67,0)), IF(AND(NOT(ISNA(MATCH((IF(RIGHT(B50,3)="24M","2Y",RIGHT(B50,3))),$I$6:$I$67,0))), LEN(B50)&gt;=3, RIGHT(B50,1)="M"), INDEX($K$6:$K$67, MATCH((IF(RIGHT(B50,3)="24M","2Y",RIGHT(B50,3))),$I$6:$I$67,0)), _xll.qlCalendarAdvance(Calendar,E50,D50)))</f>
        <v>49635</v>
      </c>
      <c r="G50" s="462">
        <f t="shared" si="2"/>
        <v>1.2014147349999999E-2</v>
      </c>
      <c r="H50" s="453">
        <v>1.201414735</v>
      </c>
      <c r="I50" s="107" t="str">
        <v>17Y</v>
      </c>
      <c r="J50" s="106" t="str">
        <f>IF(LEN(I50)&gt;0,IF((MID(I50,4,1)=" "),#REF!,IF((LEN(I50)=8),DATE("20" &amp; RIGHT(I50,2),MID(I50,4,2),LEFT(I50,2)),SimplifyTenor(I50))),"")</f>
        <v>204M</v>
      </c>
      <c r="K50" s="448">
        <f>_xll.qlCalendarAdvance("TARGET",SettlementDate,J50)</f>
        <v>48905</v>
      </c>
      <c r="M50" s="99" t="str">
        <v>17Y</v>
      </c>
      <c r="N50" s="465">
        <v>-34511.49566623482</v>
      </c>
      <c r="P50" s="106" t="b">
        <f t="shared" si="6"/>
        <v>0</v>
      </c>
      <c r="Q50" s="460">
        <f t="array" ref="Q50:CC50">C50*ForwardToZero(OisBuckets,E50,F50,G50)</f>
        <v>0</v>
      </c>
      <c r="R50" s="460">
        <v>0</v>
      </c>
      <c r="S50" s="460">
        <v>0</v>
      </c>
      <c r="T50" s="460">
        <v>0</v>
      </c>
      <c r="U50" s="460">
        <v>0</v>
      </c>
      <c r="V50" s="460">
        <v>0</v>
      </c>
      <c r="W50" s="460">
        <v>0</v>
      </c>
      <c r="X50" s="460">
        <v>0</v>
      </c>
      <c r="Y50" s="460">
        <v>0</v>
      </c>
      <c r="Z50" s="460">
        <v>0</v>
      </c>
      <c r="AA50" s="460">
        <v>0</v>
      </c>
      <c r="AB50" s="460">
        <v>0</v>
      </c>
      <c r="AC50" s="460">
        <v>0</v>
      </c>
      <c r="AD50" s="460">
        <v>0</v>
      </c>
      <c r="AE50" s="460">
        <v>0</v>
      </c>
      <c r="AF50" s="460">
        <v>0</v>
      </c>
      <c r="AG50" s="460">
        <v>0</v>
      </c>
      <c r="AH50" s="460">
        <v>0</v>
      </c>
      <c r="AI50" s="460">
        <v>0</v>
      </c>
      <c r="AJ50" s="460">
        <v>0</v>
      </c>
      <c r="AK50" s="460">
        <v>0</v>
      </c>
      <c r="AL50" s="460">
        <v>0</v>
      </c>
      <c r="AM50" s="460">
        <v>0</v>
      </c>
      <c r="AN50" s="460">
        <v>0</v>
      </c>
      <c r="AO50" s="460">
        <v>0</v>
      </c>
      <c r="AP50" s="460">
        <v>0</v>
      </c>
      <c r="AQ50" s="460">
        <v>0</v>
      </c>
      <c r="AR50" s="460">
        <v>0</v>
      </c>
      <c r="AS50" s="460">
        <v>0</v>
      </c>
      <c r="AT50" s="460">
        <v>0</v>
      </c>
      <c r="AU50" s="460">
        <v>0</v>
      </c>
      <c r="AV50" s="460">
        <v>0</v>
      </c>
      <c r="AW50" s="460">
        <v>0</v>
      </c>
      <c r="AX50" s="460">
        <v>0</v>
      </c>
      <c r="AY50" s="460">
        <v>0</v>
      </c>
      <c r="AZ50" s="460">
        <v>0</v>
      </c>
      <c r="BA50" s="460">
        <v>0</v>
      </c>
      <c r="BB50" s="460">
        <v>0</v>
      </c>
      <c r="BC50" s="460">
        <v>0</v>
      </c>
      <c r="BD50" s="460">
        <v>0</v>
      </c>
      <c r="BE50" s="460">
        <v>0</v>
      </c>
      <c r="BF50" s="460">
        <v>0</v>
      </c>
      <c r="BG50" s="460">
        <v>0</v>
      </c>
      <c r="BH50" s="460">
        <v>0</v>
      </c>
      <c r="BI50" s="460">
        <v>0</v>
      </c>
      <c r="BJ50" s="460">
        <v>0</v>
      </c>
      <c r="BK50" s="460">
        <v>154253.17809820414</v>
      </c>
      <c r="BL50" s="460">
        <v>0</v>
      </c>
      <c r="BM50" s="460">
        <v>0</v>
      </c>
      <c r="BN50" s="460">
        <v>0</v>
      </c>
      <c r="BO50" s="460">
        <v>0</v>
      </c>
      <c r="BP50" s="460">
        <v>0</v>
      </c>
      <c r="BQ50" s="460">
        <v>0</v>
      </c>
      <c r="BR50" s="460">
        <v>0</v>
      </c>
      <c r="BS50" s="460">
        <v>0</v>
      </c>
      <c r="BT50" s="460">
        <v>0</v>
      </c>
      <c r="BU50" s="460">
        <v>0</v>
      </c>
      <c r="BV50" s="460">
        <v>0</v>
      </c>
      <c r="BW50" s="460">
        <v>0</v>
      </c>
      <c r="BX50" s="460">
        <v>0</v>
      </c>
      <c r="BY50" s="460">
        <v>0</v>
      </c>
      <c r="BZ50" s="460">
        <v>0</v>
      </c>
      <c r="CA50" s="460" t="e">
        <v>#N/A</v>
      </c>
      <c r="CB50" s="460" t="e">
        <v>#N/A</v>
      </c>
      <c r="CC50" s="460" t="e">
        <v>#N/A</v>
      </c>
    </row>
    <row r="51" spans="1:81" ht="12.75" customHeight="1">
      <c r="A51" s="105">
        <v>46</v>
      </c>
      <c r="B51" s="458" t="str">
        <v>20Y</v>
      </c>
      <c r="C51" s="465">
        <f>'eur disaggregated'!AV62</f>
        <v>337184.14276826609</v>
      </c>
      <c r="D51" s="111" t="str">
        <f t="shared" si="3"/>
        <v>240M</v>
      </c>
      <c r="E51" s="441">
        <f t="shared" si="5"/>
        <v>42696</v>
      </c>
      <c r="F51" s="441">
        <f>IF(AND(NOT(ISNA(MATCH(RIGHT(B51,2),$I$6:$I$67,0))),LEN(B51)&lt;3,RIGHT(B51,1)="M"), INDEX($K$6:$K$67, MATCH(RIGHT(B51,2),$I$6:$I$67,0)), IF(AND(NOT(ISNA(MATCH((IF(RIGHT(B51,3)="24M","2Y",RIGHT(B51,3))),$I$6:$I$67,0))), LEN(B51)&gt;=3, RIGHT(B51,1)="M"), INDEX($K$6:$K$67, MATCH((IF(RIGHT(B51,3)="24M","2Y",RIGHT(B51,3))),$I$6:$I$67,0)), _xll.qlCalendarAdvance(Calendar,E51,D51)))</f>
        <v>50003</v>
      </c>
      <c r="G51" s="462">
        <f t="shared" si="2"/>
        <v>1.214E-2</v>
      </c>
      <c r="H51" s="453">
        <v>1.214</v>
      </c>
      <c r="I51" s="107" t="str">
        <v>18Y</v>
      </c>
      <c r="J51" s="106" t="str">
        <f>IF(LEN(I51)&gt;0,IF((MID(I51,4,1)=" "),#REF!,IF((LEN(I51)=8),DATE("20" &amp; RIGHT(I51,2),MID(I51,4,2),LEFT(I51,2)),SimplifyTenor(I51))),"")</f>
        <v>216M</v>
      </c>
      <c r="K51" s="448">
        <f>_xll.qlCalendarAdvance("TARGET",SettlementDate,J51)</f>
        <v>49270</v>
      </c>
      <c r="M51" s="99" t="str">
        <v>18Y</v>
      </c>
      <c r="N51" s="465">
        <v>-104353.46712264193</v>
      </c>
      <c r="P51" s="106" t="b">
        <f t="shared" si="6"/>
        <v>0</v>
      </c>
      <c r="Q51" s="460">
        <f t="array" ref="Q51:CC51">C51*ForwardToZero(OisBuckets,E51,F51,G51)</f>
        <v>0</v>
      </c>
      <c r="R51" s="460">
        <v>0</v>
      </c>
      <c r="S51" s="460">
        <v>0</v>
      </c>
      <c r="T51" s="460">
        <v>0</v>
      </c>
      <c r="U51" s="460">
        <v>0</v>
      </c>
      <c r="V51" s="460">
        <v>0</v>
      </c>
      <c r="W51" s="460">
        <v>0</v>
      </c>
      <c r="X51" s="460">
        <v>0</v>
      </c>
      <c r="Y51" s="460">
        <v>0</v>
      </c>
      <c r="Z51" s="460">
        <v>0</v>
      </c>
      <c r="AA51" s="460">
        <v>0</v>
      </c>
      <c r="AB51" s="460">
        <v>0</v>
      </c>
      <c r="AC51" s="460">
        <v>0</v>
      </c>
      <c r="AD51" s="460">
        <v>0</v>
      </c>
      <c r="AE51" s="460">
        <v>0</v>
      </c>
      <c r="AF51" s="460">
        <v>0</v>
      </c>
      <c r="AG51" s="460">
        <v>0</v>
      </c>
      <c r="AH51" s="460">
        <v>0</v>
      </c>
      <c r="AI51" s="460">
        <v>0</v>
      </c>
      <c r="AJ51" s="460">
        <v>0</v>
      </c>
      <c r="AK51" s="460">
        <v>0</v>
      </c>
      <c r="AL51" s="460">
        <v>0</v>
      </c>
      <c r="AM51" s="460">
        <v>0</v>
      </c>
      <c r="AN51" s="460">
        <v>0</v>
      </c>
      <c r="AO51" s="460">
        <v>0</v>
      </c>
      <c r="AP51" s="460">
        <v>0</v>
      </c>
      <c r="AQ51" s="460">
        <v>0</v>
      </c>
      <c r="AR51" s="460">
        <v>0</v>
      </c>
      <c r="AS51" s="460">
        <v>0</v>
      </c>
      <c r="AT51" s="460">
        <v>0</v>
      </c>
      <c r="AU51" s="460">
        <v>0</v>
      </c>
      <c r="AV51" s="460">
        <v>0</v>
      </c>
      <c r="AW51" s="460">
        <v>0</v>
      </c>
      <c r="AX51" s="460">
        <v>0</v>
      </c>
      <c r="AY51" s="460">
        <v>0</v>
      </c>
      <c r="AZ51" s="460">
        <v>0</v>
      </c>
      <c r="BA51" s="460">
        <v>0</v>
      </c>
      <c r="BB51" s="460">
        <v>0</v>
      </c>
      <c r="BC51" s="460">
        <v>0</v>
      </c>
      <c r="BD51" s="460">
        <v>0</v>
      </c>
      <c r="BE51" s="460">
        <v>0</v>
      </c>
      <c r="BF51" s="460">
        <v>0</v>
      </c>
      <c r="BG51" s="460">
        <v>0</v>
      </c>
      <c r="BH51" s="460">
        <v>0</v>
      </c>
      <c r="BI51" s="460">
        <v>0</v>
      </c>
      <c r="BJ51" s="460">
        <v>0</v>
      </c>
      <c r="BK51" s="460">
        <v>0</v>
      </c>
      <c r="BL51" s="460">
        <v>337184.14276826609</v>
      </c>
      <c r="BM51" s="460">
        <v>0</v>
      </c>
      <c r="BN51" s="460">
        <v>0</v>
      </c>
      <c r="BO51" s="460">
        <v>0</v>
      </c>
      <c r="BP51" s="460">
        <v>0</v>
      </c>
      <c r="BQ51" s="460">
        <v>0</v>
      </c>
      <c r="BR51" s="460">
        <v>0</v>
      </c>
      <c r="BS51" s="460">
        <v>0</v>
      </c>
      <c r="BT51" s="460">
        <v>0</v>
      </c>
      <c r="BU51" s="460">
        <v>0</v>
      </c>
      <c r="BV51" s="460">
        <v>0</v>
      </c>
      <c r="BW51" s="460">
        <v>0</v>
      </c>
      <c r="BX51" s="460">
        <v>0</v>
      </c>
      <c r="BY51" s="460">
        <v>0</v>
      </c>
      <c r="BZ51" s="460">
        <v>0</v>
      </c>
      <c r="CA51" s="460" t="e">
        <v>#N/A</v>
      </c>
      <c r="CB51" s="460" t="e">
        <v>#N/A</v>
      </c>
      <c r="CC51" s="460" t="e">
        <v>#N/A</v>
      </c>
    </row>
    <row r="52" spans="1:81" ht="12.75" customHeight="1">
      <c r="A52" s="105">
        <v>47</v>
      </c>
      <c r="B52" s="458" t="str">
        <v>21Y</v>
      </c>
      <c r="C52" s="465">
        <f>'eur disaggregated'!AV63</f>
        <v>-272828.777515364</v>
      </c>
      <c r="D52" s="111" t="str">
        <f t="shared" si="3"/>
        <v>252M</v>
      </c>
      <c r="E52" s="441">
        <f t="shared" si="5"/>
        <v>42696</v>
      </c>
      <c r="F52" s="441">
        <f>IF(AND(NOT(ISNA(MATCH(RIGHT(B52,2),$I$6:$I$67,0))),LEN(B52)&lt;3,RIGHT(B52,1)="M"), INDEX($K$6:$K$67, MATCH(RIGHT(B52,2),$I$6:$I$67,0)), IF(AND(NOT(ISNA(MATCH((IF(RIGHT(B52,3)="24M","2Y",RIGHT(B52,3))),$I$6:$I$67,0))), LEN(B52)&gt;=3, RIGHT(B52,1)="M"), INDEX($K$6:$K$67, MATCH((IF(RIGHT(B52,3)="24M","2Y",RIGHT(B52,3))),$I$6:$I$67,0)), _xll.qlCalendarAdvance(Calendar,E52,D52)))</f>
        <v>50367</v>
      </c>
      <c r="G52" s="462">
        <f t="shared" si="2"/>
        <v>1.2231231010000001E-2</v>
      </c>
      <c r="H52" s="453">
        <v>1.2231231010000001</v>
      </c>
      <c r="I52" s="107" t="str">
        <v>19Y</v>
      </c>
      <c r="J52" s="106" t="str">
        <f>IF(LEN(I52)&gt;0,IF((MID(I52,4,1)=" "),#REF!,IF((LEN(I52)=8),DATE("20" &amp; RIGHT(I52,2),MID(I52,4,2),LEFT(I52,2)),SimplifyTenor(I52))),"")</f>
        <v>228M</v>
      </c>
      <c r="K52" s="448">
        <f>_xll.qlCalendarAdvance("TARGET",SettlementDate,J52)</f>
        <v>49635</v>
      </c>
      <c r="M52" s="99" t="str">
        <v>19Y</v>
      </c>
      <c r="N52" s="465">
        <v>154253.17809820414</v>
      </c>
      <c r="P52" s="106" t="b">
        <f t="shared" si="6"/>
        <v>0</v>
      </c>
      <c r="Q52" s="460">
        <f t="array" ref="Q52:CC52">C52*ForwardToZero(OisBuckets,E52,F52,G52)</f>
        <v>0</v>
      </c>
      <c r="R52" s="460">
        <v>0</v>
      </c>
      <c r="S52" s="460">
        <v>0</v>
      </c>
      <c r="T52" s="460">
        <v>0</v>
      </c>
      <c r="U52" s="460">
        <v>0</v>
      </c>
      <c r="V52" s="460">
        <v>0</v>
      </c>
      <c r="W52" s="460">
        <v>0</v>
      </c>
      <c r="X52" s="460">
        <v>0</v>
      </c>
      <c r="Y52" s="460">
        <v>0</v>
      </c>
      <c r="Z52" s="460">
        <v>0</v>
      </c>
      <c r="AA52" s="460">
        <v>0</v>
      </c>
      <c r="AB52" s="460">
        <v>0</v>
      </c>
      <c r="AC52" s="460">
        <v>0</v>
      </c>
      <c r="AD52" s="460">
        <v>0</v>
      </c>
      <c r="AE52" s="460">
        <v>0</v>
      </c>
      <c r="AF52" s="460">
        <v>0</v>
      </c>
      <c r="AG52" s="460">
        <v>0</v>
      </c>
      <c r="AH52" s="460">
        <v>0</v>
      </c>
      <c r="AI52" s="460">
        <v>0</v>
      </c>
      <c r="AJ52" s="460">
        <v>0</v>
      </c>
      <c r="AK52" s="460">
        <v>0</v>
      </c>
      <c r="AL52" s="460">
        <v>0</v>
      </c>
      <c r="AM52" s="460">
        <v>0</v>
      </c>
      <c r="AN52" s="460">
        <v>0</v>
      </c>
      <c r="AO52" s="460">
        <v>0</v>
      </c>
      <c r="AP52" s="460">
        <v>0</v>
      </c>
      <c r="AQ52" s="460">
        <v>0</v>
      </c>
      <c r="AR52" s="460">
        <v>0</v>
      </c>
      <c r="AS52" s="460">
        <v>0</v>
      </c>
      <c r="AT52" s="460">
        <v>0</v>
      </c>
      <c r="AU52" s="460">
        <v>0</v>
      </c>
      <c r="AV52" s="460">
        <v>0</v>
      </c>
      <c r="AW52" s="460">
        <v>0</v>
      </c>
      <c r="AX52" s="460">
        <v>0</v>
      </c>
      <c r="AY52" s="460">
        <v>0</v>
      </c>
      <c r="AZ52" s="460">
        <v>0</v>
      </c>
      <c r="BA52" s="460">
        <v>0</v>
      </c>
      <c r="BB52" s="460">
        <v>0</v>
      </c>
      <c r="BC52" s="460">
        <v>0</v>
      </c>
      <c r="BD52" s="460">
        <v>0</v>
      </c>
      <c r="BE52" s="460">
        <v>0</v>
      </c>
      <c r="BF52" s="460">
        <v>0</v>
      </c>
      <c r="BG52" s="460">
        <v>0</v>
      </c>
      <c r="BH52" s="460">
        <v>0</v>
      </c>
      <c r="BI52" s="460">
        <v>0</v>
      </c>
      <c r="BJ52" s="460">
        <v>0</v>
      </c>
      <c r="BK52" s="460">
        <v>0</v>
      </c>
      <c r="BL52" s="460">
        <v>0</v>
      </c>
      <c r="BM52" s="460">
        <v>-272828.777515364</v>
      </c>
      <c r="BN52" s="460">
        <v>0</v>
      </c>
      <c r="BO52" s="460">
        <v>0</v>
      </c>
      <c r="BP52" s="460">
        <v>0</v>
      </c>
      <c r="BQ52" s="460">
        <v>0</v>
      </c>
      <c r="BR52" s="460">
        <v>0</v>
      </c>
      <c r="BS52" s="460">
        <v>0</v>
      </c>
      <c r="BT52" s="460">
        <v>0</v>
      </c>
      <c r="BU52" s="460">
        <v>0</v>
      </c>
      <c r="BV52" s="460">
        <v>0</v>
      </c>
      <c r="BW52" s="460">
        <v>0</v>
      </c>
      <c r="BX52" s="460">
        <v>0</v>
      </c>
      <c r="BY52" s="460">
        <v>0</v>
      </c>
      <c r="BZ52" s="460">
        <v>0</v>
      </c>
      <c r="CA52" s="460" t="e">
        <v>#N/A</v>
      </c>
      <c r="CB52" s="460" t="e">
        <v>#N/A</v>
      </c>
      <c r="CC52" s="460" t="e">
        <v>#N/A</v>
      </c>
    </row>
    <row r="53" spans="1:81" ht="12.75" customHeight="1">
      <c r="A53" s="105">
        <v>48</v>
      </c>
      <c r="B53" s="458" t="str">
        <v>22Y</v>
      </c>
      <c r="C53" s="465">
        <f>'eur disaggregated'!AV64</f>
        <v>-75930.24948308646</v>
      </c>
      <c r="D53" s="111" t="str">
        <f t="shared" si="3"/>
        <v>264M</v>
      </c>
      <c r="E53" s="441">
        <f t="shared" si="5"/>
        <v>42696</v>
      </c>
      <c r="F53" s="441">
        <f>IF(AND(NOT(ISNA(MATCH(RIGHT(B53,2),$I$6:$I$67,0))),LEN(B53)&lt;3,RIGHT(B53,1)="M"), INDEX($K$6:$K$67, MATCH(RIGHT(B53,2),$I$6:$I$67,0)), IF(AND(NOT(ISNA(MATCH((IF(RIGHT(B53,3)="24M","2Y",RIGHT(B53,3))),$I$6:$I$67,0))), LEN(B53)&gt;=3, RIGHT(B53,1)="M"), INDEX($K$6:$K$67, MATCH((IF(RIGHT(B53,3)="24M","2Y",RIGHT(B53,3))),$I$6:$I$67,0)), _xll.qlCalendarAdvance(Calendar,E53,D53)))</f>
        <v>50731</v>
      </c>
      <c r="G53" s="462">
        <f t="shared" si="2"/>
        <v>1.229587993E-2</v>
      </c>
      <c r="H53" s="453">
        <v>1.229587993</v>
      </c>
      <c r="I53" s="107" t="str">
        <v>20Y</v>
      </c>
      <c r="J53" s="106" t="str">
        <f>IF(LEN(I53)&gt;0,IF((MID(I53,4,1)=" "),#REF!,IF((LEN(I53)=8),DATE("20" &amp; RIGHT(I53,2),MID(I53,4,2),LEFT(I53,2)),SimplifyTenor(I53))),"")</f>
        <v>240M</v>
      </c>
      <c r="K53" s="448">
        <f>_xll.qlCalendarAdvance("TARGET",SettlementDate,J53)</f>
        <v>50003</v>
      </c>
      <c r="M53" s="99" t="str">
        <v>20Y</v>
      </c>
      <c r="N53" s="465">
        <v>337184.14276826609</v>
      </c>
      <c r="P53" s="106" t="b">
        <f t="shared" si="6"/>
        <v>0</v>
      </c>
      <c r="Q53" s="460">
        <f t="array" ref="Q53:CC53">C53*ForwardToZero(OisBuckets,E53,F53,G53)</f>
        <v>0</v>
      </c>
      <c r="R53" s="460">
        <v>0</v>
      </c>
      <c r="S53" s="460">
        <v>0</v>
      </c>
      <c r="T53" s="460">
        <v>0</v>
      </c>
      <c r="U53" s="460">
        <v>0</v>
      </c>
      <c r="V53" s="460">
        <v>0</v>
      </c>
      <c r="W53" s="460">
        <v>0</v>
      </c>
      <c r="X53" s="460">
        <v>0</v>
      </c>
      <c r="Y53" s="460">
        <v>0</v>
      </c>
      <c r="Z53" s="460">
        <v>0</v>
      </c>
      <c r="AA53" s="460">
        <v>0</v>
      </c>
      <c r="AB53" s="460">
        <v>0</v>
      </c>
      <c r="AC53" s="460">
        <v>0</v>
      </c>
      <c r="AD53" s="460">
        <v>0</v>
      </c>
      <c r="AE53" s="460">
        <v>0</v>
      </c>
      <c r="AF53" s="460">
        <v>0</v>
      </c>
      <c r="AG53" s="460">
        <v>0</v>
      </c>
      <c r="AH53" s="460">
        <v>0</v>
      </c>
      <c r="AI53" s="460">
        <v>0</v>
      </c>
      <c r="AJ53" s="460">
        <v>0</v>
      </c>
      <c r="AK53" s="460">
        <v>0</v>
      </c>
      <c r="AL53" s="460">
        <v>0</v>
      </c>
      <c r="AM53" s="460">
        <v>0</v>
      </c>
      <c r="AN53" s="460">
        <v>0</v>
      </c>
      <c r="AO53" s="460">
        <v>0</v>
      </c>
      <c r="AP53" s="460">
        <v>0</v>
      </c>
      <c r="AQ53" s="460">
        <v>0</v>
      </c>
      <c r="AR53" s="460">
        <v>0</v>
      </c>
      <c r="AS53" s="460">
        <v>0</v>
      </c>
      <c r="AT53" s="460">
        <v>0</v>
      </c>
      <c r="AU53" s="460">
        <v>0</v>
      </c>
      <c r="AV53" s="460">
        <v>0</v>
      </c>
      <c r="AW53" s="460">
        <v>0</v>
      </c>
      <c r="AX53" s="460">
        <v>0</v>
      </c>
      <c r="AY53" s="460">
        <v>0</v>
      </c>
      <c r="AZ53" s="460">
        <v>0</v>
      </c>
      <c r="BA53" s="460">
        <v>0</v>
      </c>
      <c r="BB53" s="460">
        <v>0</v>
      </c>
      <c r="BC53" s="460">
        <v>0</v>
      </c>
      <c r="BD53" s="460">
        <v>0</v>
      </c>
      <c r="BE53" s="460">
        <v>0</v>
      </c>
      <c r="BF53" s="460">
        <v>0</v>
      </c>
      <c r="BG53" s="460">
        <v>0</v>
      </c>
      <c r="BH53" s="460">
        <v>0</v>
      </c>
      <c r="BI53" s="460">
        <v>0</v>
      </c>
      <c r="BJ53" s="460">
        <v>0</v>
      </c>
      <c r="BK53" s="460">
        <v>0</v>
      </c>
      <c r="BL53" s="460">
        <v>0</v>
      </c>
      <c r="BM53" s="460">
        <v>0</v>
      </c>
      <c r="BN53" s="460">
        <v>-75930.24948308646</v>
      </c>
      <c r="BO53" s="460">
        <v>0</v>
      </c>
      <c r="BP53" s="460">
        <v>0</v>
      </c>
      <c r="BQ53" s="460">
        <v>0</v>
      </c>
      <c r="BR53" s="460">
        <v>0</v>
      </c>
      <c r="BS53" s="460">
        <v>0</v>
      </c>
      <c r="BT53" s="460">
        <v>0</v>
      </c>
      <c r="BU53" s="460">
        <v>0</v>
      </c>
      <c r="BV53" s="460">
        <v>0</v>
      </c>
      <c r="BW53" s="460">
        <v>0</v>
      </c>
      <c r="BX53" s="460">
        <v>0</v>
      </c>
      <c r="BY53" s="460">
        <v>0</v>
      </c>
      <c r="BZ53" s="460">
        <v>0</v>
      </c>
      <c r="CA53" s="460" t="e">
        <v>#N/A</v>
      </c>
      <c r="CB53" s="460" t="e">
        <v>#N/A</v>
      </c>
      <c r="CC53" s="460" t="e">
        <v>#N/A</v>
      </c>
    </row>
    <row r="54" spans="1:81" ht="12.75" customHeight="1">
      <c r="A54" s="105">
        <v>49</v>
      </c>
      <c r="B54" s="458" t="str">
        <v>23Y</v>
      </c>
      <c r="C54" s="465">
        <f>'eur disaggregated'!AV65</f>
        <v>9873.9948498861595</v>
      </c>
      <c r="D54" s="111" t="str">
        <f t="shared" si="3"/>
        <v>276M</v>
      </c>
      <c r="E54" s="441">
        <f t="shared" si="5"/>
        <v>42696</v>
      </c>
      <c r="F54" s="441">
        <f>IF(AND(NOT(ISNA(MATCH(RIGHT(B54,2),$I$6:$I$67,0))),LEN(B54)&lt;3,RIGHT(B54,1)="M"), INDEX($K$6:$K$67, MATCH(RIGHT(B54,2),$I$6:$I$67,0)), IF(AND(NOT(ISNA(MATCH((IF(RIGHT(B54,3)="24M","2Y",RIGHT(B54,3))),$I$6:$I$67,0))), LEN(B54)&gt;=3, RIGHT(B54,1)="M"), INDEX($K$6:$K$67, MATCH((IF(RIGHT(B54,3)="24M","2Y",RIGHT(B54,3))),$I$6:$I$67,0)), _xll.qlCalendarAdvance(Calendar,E54,D54)))</f>
        <v>51096</v>
      </c>
      <c r="G54" s="462">
        <f t="shared" si="2"/>
        <v>1.2339844280000001E-2</v>
      </c>
      <c r="H54" s="453">
        <v>1.2339844280000001</v>
      </c>
      <c r="I54" s="107" t="str">
        <v>21Y</v>
      </c>
      <c r="J54" s="106" t="str">
        <f>IF(LEN(I54)&gt;0,IF((MID(I54,4,1)=" "),#REF!,IF((LEN(I54)=8),DATE("20" &amp; RIGHT(I54,2),MID(I54,4,2),LEFT(I54,2)),SimplifyTenor(I54))),"")</f>
        <v>252M</v>
      </c>
      <c r="K54" s="448">
        <f>_xll.qlCalendarAdvance("TARGET",SettlementDate,J54)</f>
        <v>50367</v>
      </c>
      <c r="M54" s="99" t="str">
        <v>21Y</v>
      </c>
      <c r="N54" s="465">
        <v>-272828.777515364</v>
      </c>
      <c r="P54" s="106" t="b">
        <f t="shared" si="6"/>
        <v>0</v>
      </c>
      <c r="Q54" s="460">
        <f t="array" ref="Q54:CC54">C54*ForwardToZero(OisBuckets,E54,F54,G54)</f>
        <v>0</v>
      </c>
      <c r="R54" s="460">
        <v>0</v>
      </c>
      <c r="S54" s="460">
        <v>0</v>
      </c>
      <c r="T54" s="460">
        <v>0</v>
      </c>
      <c r="U54" s="460">
        <v>0</v>
      </c>
      <c r="V54" s="460">
        <v>0</v>
      </c>
      <c r="W54" s="460">
        <v>0</v>
      </c>
      <c r="X54" s="460">
        <v>0</v>
      </c>
      <c r="Y54" s="460">
        <v>0</v>
      </c>
      <c r="Z54" s="460">
        <v>0</v>
      </c>
      <c r="AA54" s="460">
        <v>0</v>
      </c>
      <c r="AB54" s="460">
        <v>0</v>
      </c>
      <c r="AC54" s="460">
        <v>0</v>
      </c>
      <c r="AD54" s="460">
        <v>0</v>
      </c>
      <c r="AE54" s="460">
        <v>0</v>
      </c>
      <c r="AF54" s="460">
        <v>0</v>
      </c>
      <c r="AG54" s="460">
        <v>0</v>
      </c>
      <c r="AH54" s="460">
        <v>0</v>
      </c>
      <c r="AI54" s="460">
        <v>0</v>
      </c>
      <c r="AJ54" s="460">
        <v>0</v>
      </c>
      <c r="AK54" s="460">
        <v>0</v>
      </c>
      <c r="AL54" s="460">
        <v>0</v>
      </c>
      <c r="AM54" s="460">
        <v>0</v>
      </c>
      <c r="AN54" s="460">
        <v>0</v>
      </c>
      <c r="AO54" s="460">
        <v>0</v>
      </c>
      <c r="AP54" s="460">
        <v>0</v>
      </c>
      <c r="AQ54" s="460">
        <v>0</v>
      </c>
      <c r="AR54" s="460">
        <v>0</v>
      </c>
      <c r="AS54" s="460">
        <v>0</v>
      </c>
      <c r="AT54" s="460">
        <v>0</v>
      </c>
      <c r="AU54" s="460">
        <v>0</v>
      </c>
      <c r="AV54" s="460">
        <v>0</v>
      </c>
      <c r="AW54" s="460">
        <v>0</v>
      </c>
      <c r="AX54" s="460">
        <v>0</v>
      </c>
      <c r="AY54" s="460">
        <v>0</v>
      </c>
      <c r="AZ54" s="460">
        <v>0</v>
      </c>
      <c r="BA54" s="460">
        <v>0</v>
      </c>
      <c r="BB54" s="460">
        <v>0</v>
      </c>
      <c r="BC54" s="460">
        <v>0</v>
      </c>
      <c r="BD54" s="460">
        <v>0</v>
      </c>
      <c r="BE54" s="460">
        <v>0</v>
      </c>
      <c r="BF54" s="460">
        <v>0</v>
      </c>
      <c r="BG54" s="460">
        <v>0</v>
      </c>
      <c r="BH54" s="460">
        <v>0</v>
      </c>
      <c r="BI54" s="460">
        <v>0</v>
      </c>
      <c r="BJ54" s="460">
        <v>0</v>
      </c>
      <c r="BK54" s="460">
        <v>0</v>
      </c>
      <c r="BL54" s="460">
        <v>0</v>
      </c>
      <c r="BM54" s="460">
        <v>0</v>
      </c>
      <c r="BN54" s="460">
        <v>0</v>
      </c>
      <c r="BO54" s="460">
        <v>9873.9948498861595</v>
      </c>
      <c r="BP54" s="460">
        <v>0</v>
      </c>
      <c r="BQ54" s="460">
        <v>0</v>
      </c>
      <c r="BR54" s="460">
        <v>0</v>
      </c>
      <c r="BS54" s="460">
        <v>0</v>
      </c>
      <c r="BT54" s="460">
        <v>0</v>
      </c>
      <c r="BU54" s="460">
        <v>0</v>
      </c>
      <c r="BV54" s="460">
        <v>0</v>
      </c>
      <c r="BW54" s="460">
        <v>0</v>
      </c>
      <c r="BX54" s="460">
        <v>0</v>
      </c>
      <c r="BY54" s="460">
        <v>0</v>
      </c>
      <c r="BZ54" s="460">
        <v>0</v>
      </c>
      <c r="CA54" s="460" t="e">
        <v>#N/A</v>
      </c>
      <c r="CB54" s="460" t="e">
        <v>#N/A</v>
      </c>
      <c r="CC54" s="460" t="e">
        <v>#N/A</v>
      </c>
    </row>
    <row r="55" spans="1:81" ht="12.75" customHeight="1">
      <c r="A55" s="105">
        <v>50</v>
      </c>
      <c r="B55" s="458" t="str">
        <v>24Y</v>
      </c>
      <c r="C55" s="465">
        <f>'eur disaggregated'!AV66</f>
        <v>-0.41015379565736648</v>
      </c>
      <c r="D55" s="111" t="str">
        <f t="shared" si="3"/>
        <v>288M</v>
      </c>
      <c r="E55" s="441">
        <f t="shared" si="5"/>
        <v>42696</v>
      </c>
      <c r="F55" s="441">
        <f>IF(AND(NOT(ISNA(MATCH(RIGHT(B55,2),$I$6:$I$67,0))),LEN(B55)&lt;3,RIGHT(B55,1)="M"), INDEX($K$6:$K$67, MATCH(RIGHT(B55,2),$I$6:$I$67,0)), IF(AND(NOT(ISNA(MATCH((IF(RIGHT(B55,3)="24M","2Y",RIGHT(B55,3))),$I$6:$I$67,0))), LEN(B55)&gt;=3, RIGHT(B55,1)="M"), INDEX($K$6:$K$67, MATCH((IF(RIGHT(B55,3)="24M","2Y",RIGHT(B55,3))),$I$6:$I$67,0)), _xll.qlCalendarAdvance(Calendar,E55,D55)))</f>
        <v>51462</v>
      </c>
      <c r="G55" s="462">
        <f t="shared" si="2"/>
        <v>1.237024171E-2</v>
      </c>
      <c r="H55" s="453">
        <v>1.2370241710000001</v>
      </c>
      <c r="I55" s="107" t="str">
        <v>22Y</v>
      </c>
      <c r="J55" s="106" t="str">
        <f>IF(LEN(I55)&gt;0,IF((MID(I55,4,1)=" "),#REF!,IF((LEN(I55)=8),DATE("20" &amp; RIGHT(I55,2),MID(I55,4,2),LEFT(I55,2)),SimplifyTenor(I55))),"")</f>
        <v>264M</v>
      </c>
      <c r="K55" s="448">
        <f>_xll.qlCalendarAdvance("TARGET",SettlementDate,J55)</f>
        <v>50731</v>
      </c>
      <c r="M55" s="99" t="str">
        <v>22Y</v>
      </c>
      <c r="N55" s="465">
        <v>-75930.24948308646</v>
      </c>
      <c r="P55" s="106" t="b">
        <f t="shared" si="6"/>
        <v>0</v>
      </c>
      <c r="Q55" s="460">
        <f t="array" ref="Q55:CC55">C55*ForwardToZero(OisBuckets,E55,F55,G55)</f>
        <v>0</v>
      </c>
      <c r="R55" s="460">
        <v>0</v>
      </c>
      <c r="S55" s="460">
        <v>0</v>
      </c>
      <c r="T55" s="460">
        <v>0</v>
      </c>
      <c r="U55" s="460">
        <v>0</v>
      </c>
      <c r="V55" s="460">
        <v>0</v>
      </c>
      <c r="W55" s="460">
        <v>0</v>
      </c>
      <c r="X55" s="460">
        <v>0</v>
      </c>
      <c r="Y55" s="460">
        <v>0</v>
      </c>
      <c r="Z55" s="460">
        <v>0</v>
      </c>
      <c r="AA55" s="460">
        <v>0</v>
      </c>
      <c r="AB55" s="460">
        <v>0</v>
      </c>
      <c r="AC55" s="460">
        <v>0</v>
      </c>
      <c r="AD55" s="460">
        <v>0</v>
      </c>
      <c r="AE55" s="460">
        <v>0</v>
      </c>
      <c r="AF55" s="460">
        <v>0</v>
      </c>
      <c r="AG55" s="460">
        <v>0</v>
      </c>
      <c r="AH55" s="460">
        <v>0</v>
      </c>
      <c r="AI55" s="460">
        <v>0</v>
      </c>
      <c r="AJ55" s="460">
        <v>0</v>
      </c>
      <c r="AK55" s="460">
        <v>0</v>
      </c>
      <c r="AL55" s="460">
        <v>0</v>
      </c>
      <c r="AM55" s="460">
        <v>0</v>
      </c>
      <c r="AN55" s="460">
        <v>0</v>
      </c>
      <c r="AO55" s="460">
        <v>0</v>
      </c>
      <c r="AP55" s="460">
        <v>0</v>
      </c>
      <c r="AQ55" s="460">
        <v>0</v>
      </c>
      <c r="AR55" s="460">
        <v>0</v>
      </c>
      <c r="AS55" s="460">
        <v>0</v>
      </c>
      <c r="AT55" s="460">
        <v>0</v>
      </c>
      <c r="AU55" s="460">
        <v>0</v>
      </c>
      <c r="AV55" s="460">
        <v>0</v>
      </c>
      <c r="AW55" s="460">
        <v>0</v>
      </c>
      <c r="AX55" s="460">
        <v>0</v>
      </c>
      <c r="AY55" s="460">
        <v>0</v>
      </c>
      <c r="AZ55" s="460">
        <v>0</v>
      </c>
      <c r="BA55" s="460">
        <v>0</v>
      </c>
      <c r="BB55" s="460">
        <v>0</v>
      </c>
      <c r="BC55" s="460">
        <v>0</v>
      </c>
      <c r="BD55" s="460">
        <v>0</v>
      </c>
      <c r="BE55" s="460">
        <v>0</v>
      </c>
      <c r="BF55" s="460">
        <v>0</v>
      </c>
      <c r="BG55" s="460">
        <v>0</v>
      </c>
      <c r="BH55" s="460">
        <v>0</v>
      </c>
      <c r="BI55" s="460">
        <v>0</v>
      </c>
      <c r="BJ55" s="460">
        <v>0</v>
      </c>
      <c r="BK55" s="460">
        <v>0</v>
      </c>
      <c r="BL55" s="460">
        <v>0</v>
      </c>
      <c r="BM55" s="460">
        <v>0</v>
      </c>
      <c r="BN55" s="460">
        <v>0</v>
      </c>
      <c r="BO55" s="460">
        <v>0</v>
      </c>
      <c r="BP55" s="460">
        <v>-0.41015379565736648</v>
      </c>
      <c r="BQ55" s="460">
        <v>0</v>
      </c>
      <c r="BR55" s="460">
        <v>0</v>
      </c>
      <c r="BS55" s="460">
        <v>0</v>
      </c>
      <c r="BT55" s="460">
        <v>0</v>
      </c>
      <c r="BU55" s="460">
        <v>0</v>
      </c>
      <c r="BV55" s="460">
        <v>0</v>
      </c>
      <c r="BW55" s="460">
        <v>0</v>
      </c>
      <c r="BX55" s="460">
        <v>0</v>
      </c>
      <c r="BY55" s="460">
        <v>0</v>
      </c>
      <c r="BZ55" s="460">
        <v>0</v>
      </c>
      <c r="CA55" s="460" t="e">
        <v>#N/A</v>
      </c>
      <c r="CB55" s="460" t="e">
        <v>#N/A</v>
      </c>
      <c r="CC55" s="460" t="e">
        <v>#N/A</v>
      </c>
    </row>
    <row r="56" spans="1:81" ht="12.75" customHeight="1">
      <c r="A56" s="105">
        <v>51</v>
      </c>
      <c r="B56" s="458" t="str">
        <v>25Y</v>
      </c>
      <c r="C56" s="465">
        <f>'eur disaggregated'!AV67</f>
        <v>0</v>
      </c>
      <c r="D56" s="111" t="str">
        <f t="shared" si="3"/>
        <v>300M</v>
      </c>
      <c r="E56" s="441">
        <f t="shared" si="5"/>
        <v>42696</v>
      </c>
      <c r="F56" s="441">
        <f>IF(AND(NOT(ISNA(MATCH(RIGHT(B56,2),$I$6:$I$67,0))),LEN(B56)&lt;3,RIGHT(B56,1)="M"), INDEX($K$6:$K$67, MATCH(RIGHT(B56,2),$I$6:$I$67,0)), IF(AND(NOT(ISNA(MATCH((IF(RIGHT(B56,3)="24M","2Y",RIGHT(B56,3))),$I$6:$I$67,0))), LEN(B56)&gt;=3, RIGHT(B56,1)="M"), INDEX($K$6:$K$67, MATCH((IF(RIGHT(B56,3)="24M","2Y",RIGHT(B56,3))),$I$6:$I$67,0)), _xll.qlCalendarAdvance(Calendar,E56,D56)))</f>
        <v>51827</v>
      </c>
      <c r="G56" s="462">
        <f t="shared" si="2"/>
        <v>1.2390000000000002E-2</v>
      </c>
      <c r="H56" s="453">
        <v>1.2390000000000001</v>
      </c>
      <c r="I56" s="107" t="str">
        <v>23Y</v>
      </c>
      <c r="J56" s="106" t="str">
        <f>IF(LEN(I56)&gt;0,IF((MID(I56,4,1)=" "),#REF!,IF((LEN(I56)=8),DATE("20" &amp; RIGHT(I56,2),MID(I56,4,2),LEFT(I56,2)),SimplifyTenor(I56))),"")</f>
        <v>276M</v>
      </c>
      <c r="K56" s="448">
        <f>_xll.qlCalendarAdvance("TARGET",SettlementDate,J56)</f>
        <v>51096</v>
      </c>
      <c r="M56" s="99" t="str">
        <v>23Y</v>
      </c>
      <c r="N56" s="465">
        <v>9873.9948498861595</v>
      </c>
      <c r="P56" s="106" t="b">
        <f t="shared" si="6"/>
        <v>0</v>
      </c>
      <c r="Q56" s="460">
        <f t="array" ref="Q56:CC56">C56*ForwardToZero(OisBuckets,E56,F56,G56)</f>
        <v>0</v>
      </c>
      <c r="R56" s="460">
        <v>0</v>
      </c>
      <c r="S56" s="460">
        <v>0</v>
      </c>
      <c r="T56" s="460">
        <v>0</v>
      </c>
      <c r="U56" s="460">
        <v>0</v>
      </c>
      <c r="V56" s="460">
        <v>0</v>
      </c>
      <c r="W56" s="460">
        <v>0</v>
      </c>
      <c r="X56" s="460">
        <v>0</v>
      </c>
      <c r="Y56" s="460">
        <v>0</v>
      </c>
      <c r="Z56" s="460">
        <v>0</v>
      </c>
      <c r="AA56" s="460">
        <v>0</v>
      </c>
      <c r="AB56" s="460">
        <v>0</v>
      </c>
      <c r="AC56" s="460">
        <v>0</v>
      </c>
      <c r="AD56" s="460">
        <v>0</v>
      </c>
      <c r="AE56" s="460">
        <v>0</v>
      </c>
      <c r="AF56" s="460">
        <v>0</v>
      </c>
      <c r="AG56" s="460">
        <v>0</v>
      </c>
      <c r="AH56" s="460">
        <v>0</v>
      </c>
      <c r="AI56" s="460">
        <v>0</v>
      </c>
      <c r="AJ56" s="460">
        <v>0</v>
      </c>
      <c r="AK56" s="460">
        <v>0</v>
      </c>
      <c r="AL56" s="460">
        <v>0</v>
      </c>
      <c r="AM56" s="460">
        <v>0</v>
      </c>
      <c r="AN56" s="460">
        <v>0</v>
      </c>
      <c r="AO56" s="460">
        <v>0</v>
      </c>
      <c r="AP56" s="460">
        <v>0</v>
      </c>
      <c r="AQ56" s="460">
        <v>0</v>
      </c>
      <c r="AR56" s="460">
        <v>0</v>
      </c>
      <c r="AS56" s="460">
        <v>0</v>
      </c>
      <c r="AT56" s="460">
        <v>0</v>
      </c>
      <c r="AU56" s="460">
        <v>0</v>
      </c>
      <c r="AV56" s="460">
        <v>0</v>
      </c>
      <c r="AW56" s="460">
        <v>0</v>
      </c>
      <c r="AX56" s="460">
        <v>0</v>
      </c>
      <c r="AY56" s="460">
        <v>0</v>
      </c>
      <c r="AZ56" s="460">
        <v>0</v>
      </c>
      <c r="BA56" s="460">
        <v>0</v>
      </c>
      <c r="BB56" s="460">
        <v>0</v>
      </c>
      <c r="BC56" s="460">
        <v>0</v>
      </c>
      <c r="BD56" s="460">
        <v>0</v>
      </c>
      <c r="BE56" s="460">
        <v>0</v>
      </c>
      <c r="BF56" s="460">
        <v>0</v>
      </c>
      <c r="BG56" s="460">
        <v>0</v>
      </c>
      <c r="BH56" s="460">
        <v>0</v>
      </c>
      <c r="BI56" s="460">
        <v>0</v>
      </c>
      <c r="BJ56" s="460">
        <v>0</v>
      </c>
      <c r="BK56" s="460">
        <v>0</v>
      </c>
      <c r="BL56" s="460">
        <v>0</v>
      </c>
      <c r="BM56" s="460">
        <v>0</v>
      </c>
      <c r="BN56" s="460">
        <v>0</v>
      </c>
      <c r="BO56" s="460">
        <v>0</v>
      </c>
      <c r="BP56" s="460">
        <v>0</v>
      </c>
      <c r="BQ56" s="460">
        <v>0</v>
      </c>
      <c r="BR56" s="460">
        <v>0</v>
      </c>
      <c r="BS56" s="460">
        <v>0</v>
      </c>
      <c r="BT56" s="460">
        <v>0</v>
      </c>
      <c r="BU56" s="460">
        <v>0</v>
      </c>
      <c r="BV56" s="460">
        <v>0</v>
      </c>
      <c r="BW56" s="460">
        <v>0</v>
      </c>
      <c r="BX56" s="460">
        <v>0</v>
      </c>
      <c r="BY56" s="460">
        <v>0</v>
      </c>
      <c r="BZ56" s="460">
        <v>0</v>
      </c>
      <c r="CA56" s="460" t="e">
        <v>#N/A</v>
      </c>
      <c r="CB56" s="460" t="e">
        <v>#N/A</v>
      </c>
      <c r="CC56" s="460" t="e">
        <v>#N/A</v>
      </c>
    </row>
    <row r="57" spans="1:81" ht="12.75" customHeight="1">
      <c r="A57" s="105">
        <v>52</v>
      </c>
      <c r="B57" s="458" t="str">
        <v>26Y</v>
      </c>
      <c r="C57" s="465">
        <f>'eur disaggregated'!AV68</f>
        <v>0</v>
      </c>
      <c r="D57" s="111" t="str">
        <f t="shared" si="3"/>
        <v>312M</v>
      </c>
      <c r="E57" s="441">
        <f t="shared" si="5"/>
        <v>42696</v>
      </c>
      <c r="F57" s="441">
        <f>IF(AND(NOT(ISNA(MATCH(RIGHT(B57,2),$I$6:$I$67,0))),LEN(B57)&lt;3,RIGHT(B57,1)="M"), INDEX($K$6:$K$67, MATCH(RIGHT(B57,2),$I$6:$I$67,0)), IF(AND(NOT(ISNA(MATCH((IF(RIGHT(B57,3)="24M","2Y",RIGHT(B57,3))),$I$6:$I$67,0))), LEN(B57)&gt;=3, RIGHT(B57,1)="M"), INDEX($K$6:$K$67, MATCH((IF(RIGHT(B57,3)="24M","2Y",RIGHT(B57,3))),$I$6:$I$67,0)), _xll.qlCalendarAdvance(Calendar,E57,D57)))</f>
        <v>52194</v>
      </c>
      <c r="G57" s="462">
        <f t="shared" si="2"/>
        <v>1.2405303219999999E-2</v>
      </c>
      <c r="H57" s="453">
        <v>1.2405303219999999</v>
      </c>
      <c r="I57" s="107" t="str">
        <v>24Y</v>
      </c>
      <c r="J57" s="106" t="str">
        <f>IF(LEN(I57)&gt;0,IF((MID(I57,4,1)=" "),#REF!,IF((LEN(I57)=8),DATE("20" &amp; RIGHT(I57,2),MID(I57,4,2),LEFT(I57,2)),SimplifyTenor(I57))),"")</f>
        <v>288M</v>
      </c>
      <c r="K57" s="448">
        <f>_xll.qlCalendarAdvance("TARGET",SettlementDate,J57)</f>
        <v>51462</v>
      </c>
      <c r="M57" s="99" t="str">
        <v>24Y</v>
      </c>
      <c r="N57" s="465">
        <v>-0.41015379565736648</v>
      </c>
      <c r="P57" s="106" t="b">
        <f t="shared" si="6"/>
        <v>0</v>
      </c>
      <c r="Q57" s="460">
        <f t="array" ref="Q57:CC57">C57*ForwardToZero(OisBuckets,E57,F57,G57)</f>
        <v>0</v>
      </c>
      <c r="R57" s="460">
        <v>0</v>
      </c>
      <c r="S57" s="460">
        <v>0</v>
      </c>
      <c r="T57" s="460">
        <v>0</v>
      </c>
      <c r="U57" s="460">
        <v>0</v>
      </c>
      <c r="V57" s="460">
        <v>0</v>
      </c>
      <c r="W57" s="460">
        <v>0</v>
      </c>
      <c r="X57" s="460">
        <v>0</v>
      </c>
      <c r="Y57" s="460">
        <v>0</v>
      </c>
      <c r="Z57" s="460">
        <v>0</v>
      </c>
      <c r="AA57" s="460">
        <v>0</v>
      </c>
      <c r="AB57" s="460">
        <v>0</v>
      </c>
      <c r="AC57" s="460">
        <v>0</v>
      </c>
      <c r="AD57" s="460">
        <v>0</v>
      </c>
      <c r="AE57" s="460">
        <v>0</v>
      </c>
      <c r="AF57" s="460">
        <v>0</v>
      </c>
      <c r="AG57" s="460">
        <v>0</v>
      </c>
      <c r="AH57" s="460">
        <v>0</v>
      </c>
      <c r="AI57" s="460">
        <v>0</v>
      </c>
      <c r="AJ57" s="460">
        <v>0</v>
      </c>
      <c r="AK57" s="460">
        <v>0</v>
      </c>
      <c r="AL57" s="460">
        <v>0</v>
      </c>
      <c r="AM57" s="460">
        <v>0</v>
      </c>
      <c r="AN57" s="460">
        <v>0</v>
      </c>
      <c r="AO57" s="460">
        <v>0</v>
      </c>
      <c r="AP57" s="460">
        <v>0</v>
      </c>
      <c r="AQ57" s="460">
        <v>0</v>
      </c>
      <c r="AR57" s="460">
        <v>0</v>
      </c>
      <c r="AS57" s="460">
        <v>0</v>
      </c>
      <c r="AT57" s="460">
        <v>0</v>
      </c>
      <c r="AU57" s="460">
        <v>0</v>
      </c>
      <c r="AV57" s="460">
        <v>0</v>
      </c>
      <c r="AW57" s="460">
        <v>0</v>
      </c>
      <c r="AX57" s="460">
        <v>0</v>
      </c>
      <c r="AY57" s="460">
        <v>0</v>
      </c>
      <c r="AZ57" s="460">
        <v>0</v>
      </c>
      <c r="BA57" s="460">
        <v>0</v>
      </c>
      <c r="BB57" s="460">
        <v>0</v>
      </c>
      <c r="BC57" s="460">
        <v>0</v>
      </c>
      <c r="BD57" s="460">
        <v>0</v>
      </c>
      <c r="BE57" s="460">
        <v>0</v>
      </c>
      <c r="BF57" s="460">
        <v>0</v>
      </c>
      <c r="BG57" s="460">
        <v>0</v>
      </c>
      <c r="BH57" s="460">
        <v>0</v>
      </c>
      <c r="BI57" s="460">
        <v>0</v>
      </c>
      <c r="BJ57" s="460">
        <v>0</v>
      </c>
      <c r="BK57" s="460">
        <v>0</v>
      </c>
      <c r="BL57" s="460">
        <v>0</v>
      </c>
      <c r="BM57" s="460">
        <v>0</v>
      </c>
      <c r="BN57" s="460">
        <v>0</v>
      </c>
      <c r="BO57" s="460">
        <v>0</v>
      </c>
      <c r="BP57" s="460">
        <v>0</v>
      </c>
      <c r="BQ57" s="460">
        <v>0</v>
      </c>
      <c r="BR57" s="460">
        <v>0</v>
      </c>
      <c r="BS57" s="460">
        <v>0</v>
      </c>
      <c r="BT57" s="460">
        <v>0</v>
      </c>
      <c r="BU57" s="460">
        <v>0</v>
      </c>
      <c r="BV57" s="460">
        <v>0</v>
      </c>
      <c r="BW57" s="460">
        <v>0</v>
      </c>
      <c r="BX57" s="460">
        <v>0</v>
      </c>
      <c r="BY57" s="460">
        <v>0</v>
      </c>
      <c r="BZ57" s="460">
        <v>0</v>
      </c>
      <c r="CA57" s="460" t="e">
        <v>#N/A</v>
      </c>
      <c r="CB57" s="460" t="e">
        <v>#N/A</v>
      </c>
      <c r="CC57" s="460" t="e">
        <v>#N/A</v>
      </c>
    </row>
    <row r="58" spans="1:81">
      <c r="A58" s="105">
        <v>53</v>
      </c>
      <c r="B58" s="458" t="str">
        <v>27Y</v>
      </c>
      <c r="C58" s="465">
        <f>'eur disaggregated'!AV69</f>
        <v>0</v>
      </c>
      <c r="D58" s="111" t="str">
        <f t="shared" si="3"/>
        <v>324M</v>
      </c>
      <c r="E58" s="441">
        <f t="shared" si="5"/>
        <v>42696</v>
      </c>
      <c r="F58" s="441">
        <f>IF(AND(NOT(ISNA(MATCH(RIGHT(B58,2),$I$6:$I$67,0))),LEN(B58)&lt;3,RIGHT(B58,1)="M"), INDEX($K$6:$K$67, MATCH(RIGHT(B58,2),$I$6:$I$67,0)), IF(AND(NOT(ISNA(MATCH((IF(RIGHT(B58,3)="24M","2Y",RIGHT(B58,3))),$I$6:$I$67,0))), LEN(B58)&gt;=3, RIGHT(B58,1)="M"), INDEX($K$6:$K$67, MATCH((IF(RIGHT(B58,3)="24M","2Y",RIGHT(B58,3))),$I$6:$I$67,0)), _xll.qlCalendarAdvance(Calendar,E58,D58)))</f>
        <v>52558</v>
      </c>
      <c r="G58" s="462">
        <f t="shared" si="2"/>
        <v>1.2416954270000001E-2</v>
      </c>
      <c r="H58" s="453">
        <v>1.241695427</v>
      </c>
      <c r="I58" s="107" t="str">
        <v>25Y</v>
      </c>
      <c r="J58" s="106" t="str">
        <f>IF(LEN(I58)&gt;0,IF((MID(I58,4,1)=" "),#REF!,IF((LEN(I58)=8),DATE("20" &amp; RIGHT(I58,2),MID(I58,4,2),LEFT(I58,2)),SimplifyTenor(I58))),"")</f>
        <v>300M</v>
      </c>
      <c r="K58" s="448">
        <f>_xll.qlCalendarAdvance("TARGET",SettlementDate,J58)</f>
        <v>51827</v>
      </c>
      <c r="M58" s="99" t="str">
        <v>25Y</v>
      </c>
      <c r="N58" s="465">
        <v>0</v>
      </c>
      <c r="P58" s="106" t="b">
        <f t="shared" si="6"/>
        <v>0</v>
      </c>
      <c r="Q58" s="460">
        <f t="array" ref="Q58:CC58">C58*ForwardToZero(OisBuckets,E58,F58,G58)</f>
        <v>0</v>
      </c>
      <c r="R58" s="460">
        <v>0</v>
      </c>
      <c r="S58" s="460">
        <v>0</v>
      </c>
      <c r="T58" s="460">
        <v>0</v>
      </c>
      <c r="U58" s="460">
        <v>0</v>
      </c>
      <c r="V58" s="460">
        <v>0</v>
      </c>
      <c r="W58" s="460">
        <v>0</v>
      </c>
      <c r="X58" s="460">
        <v>0</v>
      </c>
      <c r="Y58" s="460">
        <v>0</v>
      </c>
      <c r="Z58" s="460">
        <v>0</v>
      </c>
      <c r="AA58" s="460">
        <v>0</v>
      </c>
      <c r="AB58" s="460">
        <v>0</v>
      </c>
      <c r="AC58" s="460">
        <v>0</v>
      </c>
      <c r="AD58" s="460">
        <v>0</v>
      </c>
      <c r="AE58" s="460">
        <v>0</v>
      </c>
      <c r="AF58" s="460">
        <v>0</v>
      </c>
      <c r="AG58" s="460">
        <v>0</v>
      </c>
      <c r="AH58" s="460">
        <v>0</v>
      </c>
      <c r="AI58" s="460">
        <v>0</v>
      </c>
      <c r="AJ58" s="460">
        <v>0</v>
      </c>
      <c r="AK58" s="460">
        <v>0</v>
      </c>
      <c r="AL58" s="460">
        <v>0</v>
      </c>
      <c r="AM58" s="460">
        <v>0</v>
      </c>
      <c r="AN58" s="460">
        <v>0</v>
      </c>
      <c r="AO58" s="460">
        <v>0</v>
      </c>
      <c r="AP58" s="460">
        <v>0</v>
      </c>
      <c r="AQ58" s="460">
        <v>0</v>
      </c>
      <c r="AR58" s="460">
        <v>0</v>
      </c>
      <c r="AS58" s="460">
        <v>0</v>
      </c>
      <c r="AT58" s="460">
        <v>0</v>
      </c>
      <c r="AU58" s="460">
        <v>0</v>
      </c>
      <c r="AV58" s="460">
        <v>0</v>
      </c>
      <c r="AW58" s="460">
        <v>0</v>
      </c>
      <c r="AX58" s="460">
        <v>0</v>
      </c>
      <c r="AY58" s="460">
        <v>0</v>
      </c>
      <c r="AZ58" s="460">
        <v>0</v>
      </c>
      <c r="BA58" s="460">
        <v>0</v>
      </c>
      <c r="BB58" s="460">
        <v>0</v>
      </c>
      <c r="BC58" s="460">
        <v>0</v>
      </c>
      <c r="BD58" s="460">
        <v>0</v>
      </c>
      <c r="BE58" s="460">
        <v>0</v>
      </c>
      <c r="BF58" s="460">
        <v>0</v>
      </c>
      <c r="BG58" s="460">
        <v>0</v>
      </c>
      <c r="BH58" s="460">
        <v>0</v>
      </c>
      <c r="BI58" s="460">
        <v>0</v>
      </c>
      <c r="BJ58" s="460">
        <v>0</v>
      </c>
      <c r="BK58" s="460">
        <v>0</v>
      </c>
      <c r="BL58" s="460">
        <v>0</v>
      </c>
      <c r="BM58" s="460">
        <v>0</v>
      </c>
      <c r="BN58" s="460">
        <v>0</v>
      </c>
      <c r="BO58" s="460">
        <v>0</v>
      </c>
      <c r="BP58" s="460">
        <v>0</v>
      </c>
      <c r="BQ58" s="460">
        <v>0</v>
      </c>
      <c r="BR58" s="460">
        <v>0</v>
      </c>
      <c r="BS58" s="460">
        <v>0</v>
      </c>
      <c r="BT58" s="460">
        <v>0</v>
      </c>
      <c r="BU58" s="460">
        <v>0</v>
      </c>
      <c r="BV58" s="460">
        <v>0</v>
      </c>
      <c r="BW58" s="460">
        <v>0</v>
      </c>
      <c r="BX58" s="460">
        <v>0</v>
      </c>
      <c r="BY58" s="460">
        <v>0</v>
      </c>
      <c r="BZ58" s="460">
        <v>0</v>
      </c>
      <c r="CA58" s="460" t="e">
        <v>#N/A</v>
      </c>
      <c r="CB58" s="460" t="e">
        <v>#N/A</v>
      </c>
      <c r="CC58" s="460" t="e">
        <v>#N/A</v>
      </c>
    </row>
    <row r="59" spans="1:81" ht="12.75" customHeight="1">
      <c r="A59" s="105">
        <v>54</v>
      </c>
      <c r="B59" s="458" t="str">
        <v>28Y</v>
      </c>
      <c r="C59" s="465">
        <f>'eur disaggregated'!AV70</f>
        <v>0</v>
      </c>
      <c r="D59" s="111" t="str">
        <f t="shared" si="3"/>
        <v>336M</v>
      </c>
      <c r="E59" s="441">
        <f t="shared" si="5"/>
        <v>42696</v>
      </c>
      <c r="F59" s="441">
        <f>IF(AND(NOT(ISNA(MATCH(RIGHT(B59,2),$I$6:$I$67,0))),LEN(B59)&lt;3,RIGHT(B59,1)="M"), INDEX($K$6:$K$67, MATCH(RIGHT(B59,2),$I$6:$I$67,0)), IF(AND(NOT(ISNA(MATCH((IF(RIGHT(B59,3)="24M","2Y",RIGHT(B59,3))),$I$6:$I$67,0))), LEN(B59)&gt;=3, RIGHT(B59,1)="M"), INDEX($K$6:$K$67, MATCH((IF(RIGHT(B59,3)="24M","2Y",RIGHT(B59,3))),$I$6:$I$67,0)), _xll.qlCalendarAdvance(Calendar,E59,D59)))</f>
        <v>52923</v>
      </c>
      <c r="G59" s="462">
        <f t="shared" si="2"/>
        <v>1.2425894220000001E-2</v>
      </c>
      <c r="H59" s="453">
        <v>1.242589422</v>
      </c>
      <c r="I59" s="107" t="str">
        <v>26Y</v>
      </c>
      <c r="J59" s="106" t="str">
        <f>IF(LEN(I59)&gt;0,IF((MID(I59,4,1)=" "),#REF!,IF((LEN(I59)=8),DATE("20" &amp; RIGHT(I59,2),MID(I59,4,2),LEFT(I59,2)),SimplifyTenor(I59))),"")</f>
        <v>312M</v>
      </c>
      <c r="K59" s="448">
        <f>_xll.qlCalendarAdvance("TARGET",SettlementDate,J59)</f>
        <v>52194</v>
      </c>
      <c r="M59" s="99" t="str">
        <v>26Y</v>
      </c>
      <c r="N59" s="465">
        <v>0</v>
      </c>
      <c r="P59" s="106" t="b">
        <f t="shared" si="6"/>
        <v>0</v>
      </c>
      <c r="Q59" s="460">
        <f t="array" ref="Q59:CC59">C59*ForwardToZero(OisBuckets,E59,F59,G59)</f>
        <v>0</v>
      </c>
      <c r="R59" s="460">
        <v>0</v>
      </c>
      <c r="S59" s="460">
        <v>0</v>
      </c>
      <c r="T59" s="460">
        <v>0</v>
      </c>
      <c r="U59" s="460">
        <v>0</v>
      </c>
      <c r="V59" s="460">
        <v>0</v>
      </c>
      <c r="W59" s="460">
        <v>0</v>
      </c>
      <c r="X59" s="460">
        <v>0</v>
      </c>
      <c r="Y59" s="460">
        <v>0</v>
      </c>
      <c r="Z59" s="460">
        <v>0</v>
      </c>
      <c r="AA59" s="460">
        <v>0</v>
      </c>
      <c r="AB59" s="460">
        <v>0</v>
      </c>
      <c r="AC59" s="460">
        <v>0</v>
      </c>
      <c r="AD59" s="460">
        <v>0</v>
      </c>
      <c r="AE59" s="460">
        <v>0</v>
      </c>
      <c r="AF59" s="460">
        <v>0</v>
      </c>
      <c r="AG59" s="460">
        <v>0</v>
      </c>
      <c r="AH59" s="460">
        <v>0</v>
      </c>
      <c r="AI59" s="460">
        <v>0</v>
      </c>
      <c r="AJ59" s="460">
        <v>0</v>
      </c>
      <c r="AK59" s="460">
        <v>0</v>
      </c>
      <c r="AL59" s="460">
        <v>0</v>
      </c>
      <c r="AM59" s="460">
        <v>0</v>
      </c>
      <c r="AN59" s="460">
        <v>0</v>
      </c>
      <c r="AO59" s="460">
        <v>0</v>
      </c>
      <c r="AP59" s="460">
        <v>0</v>
      </c>
      <c r="AQ59" s="460">
        <v>0</v>
      </c>
      <c r="AR59" s="460">
        <v>0</v>
      </c>
      <c r="AS59" s="460">
        <v>0</v>
      </c>
      <c r="AT59" s="460">
        <v>0</v>
      </c>
      <c r="AU59" s="460">
        <v>0</v>
      </c>
      <c r="AV59" s="460">
        <v>0</v>
      </c>
      <c r="AW59" s="460">
        <v>0</v>
      </c>
      <c r="AX59" s="460">
        <v>0</v>
      </c>
      <c r="AY59" s="460">
        <v>0</v>
      </c>
      <c r="AZ59" s="460">
        <v>0</v>
      </c>
      <c r="BA59" s="460">
        <v>0</v>
      </c>
      <c r="BB59" s="460">
        <v>0</v>
      </c>
      <c r="BC59" s="460">
        <v>0</v>
      </c>
      <c r="BD59" s="460">
        <v>0</v>
      </c>
      <c r="BE59" s="460">
        <v>0</v>
      </c>
      <c r="BF59" s="460">
        <v>0</v>
      </c>
      <c r="BG59" s="460">
        <v>0</v>
      </c>
      <c r="BH59" s="460">
        <v>0</v>
      </c>
      <c r="BI59" s="460">
        <v>0</v>
      </c>
      <c r="BJ59" s="460">
        <v>0</v>
      </c>
      <c r="BK59" s="460">
        <v>0</v>
      </c>
      <c r="BL59" s="460">
        <v>0</v>
      </c>
      <c r="BM59" s="460">
        <v>0</v>
      </c>
      <c r="BN59" s="460">
        <v>0</v>
      </c>
      <c r="BO59" s="460">
        <v>0</v>
      </c>
      <c r="BP59" s="460">
        <v>0</v>
      </c>
      <c r="BQ59" s="460">
        <v>0</v>
      </c>
      <c r="BR59" s="460">
        <v>0</v>
      </c>
      <c r="BS59" s="460">
        <v>0</v>
      </c>
      <c r="BT59" s="460">
        <v>0</v>
      </c>
      <c r="BU59" s="460">
        <v>0</v>
      </c>
      <c r="BV59" s="460">
        <v>0</v>
      </c>
      <c r="BW59" s="460">
        <v>0</v>
      </c>
      <c r="BX59" s="460">
        <v>0</v>
      </c>
      <c r="BY59" s="460">
        <v>0</v>
      </c>
      <c r="BZ59" s="460">
        <v>0</v>
      </c>
      <c r="CA59" s="460" t="e">
        <v>#N/A</v>
      </c>
      <c r="CB59" s="460" t="e">
        <v>#N/A</v>
      </c>
      <c r="CC59" s="460" t="e">
        <v>#N/A</v>
      </c>
    </row>
    <row r="60" spans="1:81" ht="12.75" customHeight="1">
      <c r="A60" s="105">
        <v>55</v>
      </c>
      <c r="B60" s="458" t="str">
        <v>29Y</v>
      </c>
      <c r="C60" s="465">
        <f>'eur disaggregated'!AV71</f>
        <v>0</v>
      </c>
      <c r="D60" s="111" t="str">
        <f t="shared" si="3"/>
        <v>348M</v>
      </c>
      <c r="E60" s="441">
        <f t="shared" si="5"/>
        <v>42696</v>
      </c>
      <c r="F60" s="441">
        <f>IF(AND(NOT(ISNA(MATCH(RIGHT(B60,2),$I$6:$I$67,0))),LEN(B60)&lt;3,RIGHT(B60,1)="M"), INDEX($K$6:$K$67, MATCH(RIGHT(B60,2),$I$6:$I$67,0)), IF(AND(NOT(ISNA(MATCH((IF(RIGHT(B60,3)="24M","2Y",RIGHT(B60,3))),$I$6:$I$67,0))), LEN(B60)&gt;=3, RIGHT(B60,1)="M"), INDEX($K$6:$K$67, MATCH((IF(RIGHT(B60,3)="24M","2Y",RIGHT(B60,3))),$I$6:$I$67,0)), _xll.qlCalendarAdvance(Calendar,E60,D60)))</f>
        <v>53288</v>
      </c>
      <c r="G60" s="462">
        <f t="shared" si="2"/>
        <v>1.2429919579999999E-2</v>
      </c>
      <c r="H60" s="453">
        <v>1.242991958</v>
      </c>
      <c r="I60" s="107" t="str">
        <v>27Y</v>
      </c>
      <c r="J60" s="106" t="str">
        <f>IF(LEN(I60)&gt;0,IF((MID(I60,4,1)=" "),#REF!,IF((LEN(I60)=8),DATE("20" &amp; RIGHT(I60,2),MID(I60,4,2),LEFT(I60,2)),SimplifyTenor(I60))),"")</f>
        <v>324M</v>
      </c>
      <c r="K60" s="448">
        <f>_xll.qlCalendarAdvance("TARGET",SettlementDate,J60)</f>
        <v>52558</v>
      </c>
      <c r="M60" s="99" t="str">
        <v>27Y</v>
      </c>
      <c r="N60" s="465">
        <v>0</v>
      </c>
      <c r="P60" s="106" t="b">
        <f t="shared" si="6"/>
        <v>0</v>
      </c>
      <c r="Q60" s="460">
        <f t="array" ref="Q60:CC60">C60*ForwardToZero(OisBuckets,E60,F60,G60)</f>
        <v>0</v>
      </c>
      <c r="R60" s="460">
        <v>0</v>
      </c>
      <c r="S60" s="460">
        <v>0</v>
      </c>
      <c r="T60" s="460">
        <v>0</v>
      </c>
      <c r="U60" s="460">
        <v>0</v>
      </c>
      <c r="V60" s="460">
        <v>0</v>
      </c>
      <c r="W60" s="460">
        <v>0</v>
      </c>
      <c r="X60" s="460">
        <v>0</v>
      </c>
      <c r="Y60" s="460">
        <v>0</v>
      </c>
      <c r="Z60" s="460">
        <v>0</v>
      </c>
      <c r="AA60" s="460">
        <v>0</v>
      </c>
      <c r="AB60" s="460">
        <v>0</v>
      </c>
      <c r="AC60" s="460">
        <v>0</v>
      </c>
      <c r="AD60" s="460">
        <v>0</v>
      </c>
      <c r="AE60" s="460">
        <v>0</v>
      </c>
      <c r="AF60" s="460">
        <v>0</v>
      </c>
      <c r="AG60" s="460">
        <v>0</v>
      </c>
      <c r="AH60" s="460">
        <v>0</v>
      </c>
      <c r="AI60" s="460">
        <v>0</v>
      </c>
      <c r="AJ60" s="460">
        <v>0</v>
      </c>
      <c r="AK60" s="460">
        <v>0</v>
      </c>
      <c r="AL60" s="460">
        <v>0</v>
      </c>
      <c r="AM60" s="460">
        <v>0</v>
      </c>
      <c r="AN60" s="460">
        <v>0</v>
      </c>
      <c r="AO60" s="460">
        <v>0</v>
      </c>
      <c r="AP60" s="460">
        <v>0</v>
      </c>
      <c r="AQ60" s="460">
        <v>0</v>
      </c>
      <c r="AR60" s="460">
        <v>0</v>
      </c>
      <c r="AS60" s="460">
        <v>0</v>
      </c>
      <c r="AT60" s="460">
        <v>0</v>
      </c>
      <c r="AU60" s="460">
        <v>0</v>
      </c>
      <c r="AV60" s="460">
        <v>0</v>
      </c>
      <c r="AW60" s="460">
        <v>0</v>
      </c>
      <c r="AX60" s="460">
        <v>0</v>
      </c>
      <c r="AY60" s="460">
        <v>0</v>
      </c>
      <c r="AZ60" s="460">
        <v>0</v>
      </c>
      <c r="BA60" s="460">
        <v>0</v>
      </c>
      <c r="BB60" s="460">
        <v>0</v>
      </c>
      <c r="BC60" s="460">
        <v>0</v>
      </c>
      <c r="BD60" s="460">
        <v>0</v>
      </c>
      <c r="BE60" s="460">
        <v>0</v>
      </c>
      <c r="BF60" s="460">
        <v>0</v>
      </c>
      <c r="BG60" s="460">
        <v>0</v>
      </c>
      <c r="BH60" s="460">
        <v>0</v>
      </c>
      <c r="BI60" s="460">
        <v>0</v>
      </c>
      <c r="BJ60" s="460">
        <v>0</v>
      </c>
      <c r="BK60" s="460">
        <v>0</v>
      </c>
      <c r="BL60" s="460">
        <v>0</v>
      </c>
      <c r="BM60" s="460">
        <v>0</v>
      </c>
      <c r="BN60" s="460">
        <v>0</v>
      </c>
      <c r="BO60" s="460">
        <v>0</v>
      </c>
      <c r="BP60" s="460">
        <v>0</v>
      </c>
      <c r="BQ60" s="460">
        <v>0</v>
      </c>
      <c r="BR60" s="460">
        <v>0</v>
      </c>
      <c r="BS60" s="460">
        <v>0</v>
      </c>
      <c r="BT60" s="460">
        <v>0</v>
      </c>
      <c r="BU60" s="460">
        <v>0</v>
      </c>
      <c r="BV60" s="460">
        <v>0</v>
      </c>
      <c r="BW60" s="460">
        <v>0</v>
      </c>
      <c r="BX60" s="460">
        <v>0</v>
      </c>
      <c r="BY60" s="460">
        <v>0</v>
      </c>
      <c r="BZ60" s="460">
        <v>0</v>
      </c>
      <c r="CA60" s="460" t="e">
        <v>#N/A</v>
      </c>
      <c r="CB60" s="460" t="e">
        <v>#N/A</v>
      </c>
      <c r="CC60" s="460" t="e">
        <v>#N/A</v>
      </c>
    </row>
    <row r="61" spans="1:81" ht="12.75" customHeight="1">
      <c r="A61" s="105">
        <v>56</v>
      </c>
      <c r="B61" s="458" t="str">
        <v>30Y</v>
      </c>
      <c r="C61" s="465">
        <f>'eur disaggregated'!AV72</f>
        <v>0</v>
      </c>
      <c r="D61" s="111" t="str">
        <f t="shared" si="3"/>
        <v>360M</v>
      </c>
      <c r="E61" s="441">
        <f t="shared" si="5"/>
        <v>42696</v>
      </c>
      <c r="F61" s="441">
        <f>IF(AND(NOT(ISNA(MATCH(RIGHT(B61,2),$I$6:$I$67,0))),LEN(B61)&lt;3,RIGHT(B61,1)="M"), INDEX($K$6:$K$67, MATCH(RIGHT(B61,2),$I$6:$I$67,0)), IF(AND(NOT(ISNA(MATCH((IF(RIGHT(B61,3)="24M","2Y",RIGHT(B61,3))),$I$6:$I$67,0))), LEN(B61)&gt;=3, RIGHT(B61,1)="M"), INDEX($K$6:$K$67, MATCH((IF(RIGHT(B61,3)="24M","2Y",RIGHT(B61,3))),$I$6:$I$67,0)), _xll.qlCalendarAdvance(Calendar,E61,D61)))</f>
        <v>53653</v>
      </c>
      <c r="G61" s="462">
        <f t="shared" si="2"/>
        <v>1.2430000000000002E-2</v>
      </c>
      <c r="H61" s="453">
        <v>1.2430000000000001</v>
      </c>
      <c r="I61" s="107" t="str">
        <v>28Y</v>
      </c>
      <c r="J61" s="106" t="str">
        <f>IF(LEN(I61)&gt;0,IF((MID(I61,4,1)=" "),#REF!,IF((LEN(I61)=8),DATE("20" &amp; RIGHT(I61,2),MID(I61,4,2),LEFT(I61,2)),SimplifyTenor(I61))),"")</f>
        <v>336M</v>
      </c>
      <c r="K61" s="448">
        <f>_xll.qlCalendarAdvance("TARGET",SettlementDate,J61)</f>
        <v>52923</v>
      </c>
      <c r="M61" s="99" t="str">
        <v>28Y</v>
      </c>
      <c r="N61" s="465">
        <v>0</v>
      </c>
      <c r="P61" s="106" t="b">
        <f t="shared" si="6"/>
        <v>0</v>
      </c>
      <c r="Q61" s="460">
        <f t="array" ref="Q61:CC61">C61*ForwardToZero(OisBuckets,E61,F61,G61)</f>
        <v>0</v>
      </c>
      <c r="R61" s="460">
        <v>0</v>
      </c>
      <c r="S61" s="460">
        <v>0</v>
      </c>
      <c r="T61" s="460">
        <v>0</v>
      </c>
      <c r="U61" s="460">
        <v>0</v>
      </c>
      <c r="V61" s="460">
        <v>0</v>
      </c>
      <c r="W61" s="460">
        <v>0</v>
      </c>
      <c r="X61" s="460">
        <v>0</v>
      </c>
      <c r="Y61" s="460">
        <v>0</v>
      </c>
      <c r="Z61" s="460">
        <v>0</v>
      </c>
      <c r="AA61" s="460">
        <v>0</v>
      </c>
      <c r="AB61" s="460">
        <v>0</v>
      </c>
      <c r="AC61" s="460">
        <v>0</v>
      </c>
      <c r="AD61" s="460">
        <v>0</v>
      </c>
      <c r="AE61" s="460">
        <v>0</v>
      </c>
      <c r="AF61" s="460">
        <v>0</v>
      </c>
      <c r="AG61" s="460">
        <v>0</v>
      </c>
      <c r="AH61" s="460">
        <v>0</v>
      </c>
      <c r="AI61" s="460">
        <v>0</v>
      </c>
      <c r="AJ61" s="460">
        <v>0</v>
      </c>
      <c r="AK61" s="460">
        <v>0</v>
      </c>
      <c r="AL61" s="460">
        <v>0</v>
      </c>
      <c r="AM61" s="460">
        <v>0</v>
      </c>
      <c r="AN61" s="460">
        <v>0</v>
      </c>
      <c r="AO61" s="460">
        <v>0</v>
      </c>
      <c r="AP61" s="460">
        <v>0</v>
      </c>
      <c r="AQ61" s="460">
        <v>0</v>
      </c>
      <c r="AR61" s="460">
        <v>0</v>
      </c>
      <c r="AS61" s="460">
        <v>0</v>
      </c>
      <c r="AT61" s="460">
        <v>0</v>
      </c>
      <c r="AU61" s="460">
        <v>0</v>
      </c>
      <c r="AV61" s="460">
        <v>0</v>
      </c>
      <c r="AW61" s="460">
        <v>0</v>
      </c>
      <c r="AX61" s="460">
        <v>0</v>
      </c>
      <c r="AY61" s="460">
        <v>0</v>
      </c>
      <c r="AZ61" s="460">
        <v>0</v>
      </c>
      <c r="BA61" s="460">
        <v>0</v>
      </c>
      <c r="BB61" s="460">
        <v>0</v>
      </c>
      <c r="BC61" s="460">
        <v>0</v>
      </c>
      <c r="BD61" s="460">
        <v>0</v>
      </c>
      <c r="BE61" s="460">
        <v>0</v>
      </c>
      <c r="BF61" s="460">
        <v>0</v>
      </c>
      <c r="BG61" s="460">
        <v>0</v>
      </c>
      <c r="BH61" s="460">
        <v>0</v>
      </c>
      <c r="BI61" s="460">
        <v>0</v>
      </c>
      <c r="BJ61" s="460">
        <v>0</v>
      </c>
      <c r="BK61" s="460">
        <v>0</v>
      </c>
      <c r="BL61" s="460">
        <v>0</v>
      </c>
      <c r="BM61" s="460">
        <v>0</v>
      </c>
      <c r="BN61" s="460">
        <v>0</v>
      </c>
      <c r="BO61" s="460">
        <v>0</v>
      </c>
      <c r="BP61" s="460">
        <v>0</v>
      </c>
      <c r="BQ61" s="460">
        <v>0</v>
      </c>
      <c r="BR61" s="460">
        <v>0</v>
      </c>
      <c r="BS61" s="460">
        <v>0</v>
      </c>
      <c r="BT61" s="460">
        <v>0</v>
      </c>
      <c r="BU61" s="460">
        <v>0</v>
      </c>
      <c r="BV61" s="460">
        <v>0</v>
      </c>
      <c r="BW61" s="460">
        <v>0</v>
      </c>
      <c r="BX61" s="460">
        <v>0</v>
      </c>
      <c r="BY61" s="460">
        <v>0</v>
      </c>
      <c r="BZ61" s="460">
        <v>0</v>
      </c>
      <c r="CA61" s="460" t="e">
        <v>#N/A</v>
      </c>
      <c r="CB61" s="460" t="e">
        <v>#N/A</v>
      </c>
      <c r="CC61" s="460" t="e">
        <v>#N/A</v>
      </c>
    </row>
    <row r="62" spans="1:81" ht="12.75" customHeight="1">
      <c r="A62" s="105">
        <v>57</v>
      </c>
      <c r="B62" s="458" t="str">
        <v>31Y</v>
      </c>
      <c r="C62" s="465">
        <f>'eur disaggregated'!AV73</f>
        <v>0</v>
      </c>
      <c r="D62" s="111" t="str">
        <f t="shared" si="3"/>
        <v>372M</v>
      </c>
      <c r="E62" s="441">
        <f t="shared" si="5"/>
        <v>42696</v>
      </c>
      <c r="F62" s="441">
        <f>IF(AND(NOT(ISNA(MATCH(RIGHT(B62,2),$I$6:$I$67,0))),LEN(B62)&lt;3,RIGHT(B62,1)="M"), INDEX($K$6:$K$67, MATCH(RIGHT(B62,2),$I$6:$I$67,0)), IF(AND(NOT(ISNA(MATCH((IF(RIGHT(B62,3)="24M","2Y",RIGHT(B62,3))),$I$6:$I$67,0))), LEN(B62)&gt;=3, RIGHT(B62,1)="M"), INDEX($K$6:$K$67, MATCH((IF(RIGHT(B62,3)="24M","2Y",RIGHT(B62,3))),$I$6:$I$67,0)), _xll.qlCalendarAdvance(Calendar,E62,D62)))</f>
        <v>54018</v>
      </c>
      <c r="G62" s="462">
        <f t="shared" si="2"/>
        <v>1.2426056689999999E-2</v>
      </c>
      <c r="H62" s="453">
        <v>1.242605669</v>
      </c>
      <c r="I62" s="107" t="str">
        <v>29Y</v>
      </c>
      <c r="J62" s="106" t="str">
        <f>IF(LEN(I62)&gt;0,IF((MID(I62,4,1)=" "),#REF!,IF((LEN(I62)=8),DATE("20" &amp; RIGHT(I62,2),MID(I62,4,2),LEFT(I62,2)),SimplifyTenor(I62))),"")</f>
        <v>348M</v>
      </c>
      <c r="K62" s="448">
        <f>_xll.qlCalendarAdvance("TARGET",SettlementDate,J62)</f>
        <v>53288</v>
      </c>
      <c r="M62" s="99" t="str">
        <v>29Y</v>
      </c>
      <c r="N62" s="465">
        <v>0</v>
      </c>
      <c r="P62" s="106" t="b">
        <f t="shared" si="6"/>
        <v>0</v>
      </c>
      <c r="Q62" s="460">
        <f t="array" ref="Q62:CC62">C62*ForwardToZero(OisBuckets,E62,F62,G62)</f>
        <v>0</v>
      </c>
      <c r="R62" s="460">
        <v>0</v>
      </c>
      <c r="S62" s="460">
        <v>0</v>
      </c>
      <c r="T62" s="460">
        <v>0</v>
      </c>
      <c r="U62" s="460">
        <v>0</v>
      </c>
      <c r="V62" s="460">
        <v>0</v>
      </c>
      <c r="W62" s="460">
        <v>0</v>
      </c>
      <c r="X62" s="460">
        <v>0</v>
      </c>
      <c r="Y62" s="460">
        <v>0</v>
      </c>
      <c r="Z62" s="460">
        <v>0</v>
      </c>
      <c r="AA62" s="460">
        <v>0</v>
      </c>
      <c r="AB62" s="460">
        <v>0</v>
      </c>
      <c r="AC62" s="460">
        <v>0</v>
      </c>
      <c r="AD62" s="460">
        <v>0</v>
      </c>
      <c r="AE62" s="460">
        <v>0</v>
      </c>
      <c r="AF62" s="460">
        <v>0</v>
      </c>
      <c r="AG62" s="460">
        <v>0</v>
      </c>
      <c r="AH62" s="460">
        <v>0</v>
      </c>
      <c r="AI62" s="460">
        <v>0</v>
      </c>
      <c r="AJ62" s="460">
        <v>0</v>
      </c>
      <c r="AK62" s="460">
        <v>0</v>
      </c>
      <c r="AL62" s="460">
        <v>0</v>
      </c>
      <c r="AM62" s="460">
        <v>0</v>
      </c>
      <c r="AN62" s="460">
        <v>0</v>
      </c>
      <c r="AO62" s="460">
        <v>0</v>
      </c>
      <c r="AP62" s="460">
        <v>0</v>
      </c>
      <c r="AQ62" s="460">
        <v>0</v>
      </c>
      <c r="AR62" s="460">
        <v>0</v>
      </c>
      <c r="AS62" s="460">
        <v>0</v>
      </c>
      <c r="AT62" s="460">
        <v>0</v>
      </c>
      <c r="AU62" s="460">
        <v>0</v>
      </c>
      <c r="AV62" s="460">
        <v>0</v>
      </c>
      <c r="AW62" s="460">
        <v>0</v>
      </c>
      <c r="AX62" s="460">
        <v>0</v>
      </c>
      <c r="AY62" s="460">
        <v>0</v>
      </c>
      <c r="AZ62" s="460">
        <v>0</v>
      </c>
      <c r="BA62" s="460">
        <v>0</v>
      </c>
      <c r="BB62" s="460">
        <v>0</v>
      </c>
      <c r="BC62" s="460">
        <v>0</v>
      </c>
      <c r="BD62" s="460">
        <v>0</v>
      </c>
      <c r="BE62" s="460">
        <v>0</v>
      </c>
      <c r="BF62" s="460">
        <v>0</v>
      </c>
      <c r="BG62" s="460">
        <v>0</v>
      </c>
      <c r="BH62" s="460">
        <v>0</v>
      </c>
      <c r="BI62" s="460">
        <v>0</v>
      </c>
      <c r="BJ62" s="460">
        <v>0</v>
      </c>
      <c r="BK62" s="460">
        <v>0</v>
      </c>
      <c r="BL62" s="460">
        <v>0</v>
      </c>
      <c r="BM62" s="460">
        <v>0</v>
      </c>
      <c r="BN62" s="460">
        <v>0</v>
      </c>
      <c r="BO62" s="460">
        <v>0</v>
      </c>
      <c r="BP62" s="460">
        <v>0</v>
      </c>
      <c r="BQ62" s="460">
        <v>0</v>
      </c>
      <c r="BR62" s="460">
        <v>0</v>
      </c>
      <c r="BS62" s="460">
        <v>0</v>
      </c>
      <c r="BT62" s="460">
        <v>0</v>
      </c>
      <c r="BU62" s="460">
        <v>0</v>
      </c>
      <c r="BV62" s="460">
        <v>0</v>
      </c>
      <c r="BW62" s="460">
        <v>0</v>
      </c>
      <c r="BX62" s="460">
        <v>0</v>
      </c>
      <c r="BY62" s="460">
        <v>0</v>
      </c>
      <c r="BZ62" s="460">
        <v>0</v>
      </c>
      <c r="CA62" s="460" t="e">
        <v>#N/A</v>
      </c>
      <c r="CB62" s="460" t="e">
        <v>#N/A</v>
      </c>
      <c r="CC62" s="460" t="e">
        <v>#N/A</v>
      </c>
    </row>
    <row r="63" spans="1:81" ht="12.75" customHeight="1">
      <c r="A63" s="105">
        <v>58</v>
      </c>
      <c r="B63" s="458" t="str">
        <v>32Y</v>
      </c>
      <c r="C63" s="465">
        <f>'eur disaggregated'!AV74</f>
        <v>0</v>
      </c>
      <c r="D63" s="111" t="str">
        <f t="shared" si="3"/>
        <v>384M</v>
      </c>
      <c r="E63" s="441">
        <f t="shared" si="5"/>
        <v>42696</v>
      </c>
      <c r="F63" s="441">
        <f>IF(AND(NOT(ISNA(MATCH(RIGHT(B63,2),$I$6:$I$67,0))),LEN(B63)&lt;3,RIGHT(B63,1)="M"), INDEX($K$6:$K$67, MATCH(RIGHT(B63,2),$I$6:$I$67,0)), IF(AND(NOT(ISNA(MATCH((IF(RIGHT(B63,3)="24M","2Y",RIGHT(B63,3))),$I$6:$I$67,0))), LEN(B63)&gt;=3, RIGHT(B63,1)="M"), INDEX($K$6:$K$67, MATCH((IF(RIGHT(B63,3)="24M","2Y",RIGHT(B63,3))),$I$6:$I$67,0)), _xll.qlCalendarAdvance(Calendar,E63,D63)))</f>
        <v>54385</v>
      </c>
      <c r="G63" s="462">
        <f t="shared" si="2"/>
        <v>1.241878152E-2</v>
      </c>
      <c r="H63" s="453">
        <v>1.241878152</v>
      </c>
      <c r="I63" s="107" t="str">
        <v>30Y</v>
      </c>
      <c r="J63" s="106" t="str">
        <f>IF(LEN(I63)&gt;0,IF((MID(I63,4,1)=" "),#REF!,IF((LEN(I63)=8),DATE("20" &amp; RIGHT(I63,2),MID(I63,4,2),LEFT(I63,2)),SimplifyTenor(I63))),"")</f>
        <v>360M</v>
      </c>
      <c r="K63" s="448">
        <f>_xll.qlCalendarAdvance("TARGET",SettlementDate,J63)</f>
        <v>53653</v>
      </c>
      <c r="M63" s="99" t="str">
        <v>30Y</v>
      </c>
      <c r="N63" s="465">
        <v>0</v>
      </c>
      <c r="P63" s="106" t="b">
        <f t="shared" si="6"/>
        <v>0</v>
      </c>
      <c r="Q63" s="460">
        <f t="array" ref="Q63:CC63">C63*ForwardToZero(OisBuckets,E63,F63,G63)</f>
        <v>0</v>
      </c>
      <c r="R63" s="460">
        <v>0</v>
      </c>
      <c r="S63" s="460">
        <v>0</v>
      </c>
      <c r="T63" s="460">
        <v>0</v>
      </c>
      <c r="U63" s="460">
        <v>0</v>
      </c>
      <c r="V63" s="460">
        <v>0</v>
      </c>
      <c r="W63" s="460">
        <v>0</v>
      </c>
      <c r="X63" s="460">
        <v>0</v>
      </c>
      <c r="Y63" s="460">
        <v>0</v>
      </c>
      <c r="Z63" s="460">
        <v>0</v>
      </c>
      <c r="AA63" s="460">
        <v>0</v>
      </c>
      <c r="AB63" s="460">
        <v>0</v>
      </c>
      <c r="AC63" s="460">
        <v>0</v>
      </c>
      <c r="AD63" s="460">
        <v>0</v>
      </c>
      <c r="AE63" s="460">
        <v>0</v>
      </c>
      <c r="AF63" s="460">
        <v>0</v>
      </c>
      <c r="AG63" s="460">
        <v>0</v>
      </c>
      <c r="AH63" s="460">
        <v>0</v>
      </c>
      <c r="AI63" s="460">
        <v>0</v>
      </c>
      <c r="AJ63" s="460">
        <v>0</v>
      </c>
      <c r="AK63" s="460">
        <v>0</v>
      </c>
      <c r="AL63" s="460">
        <v>0</v>
      </c>
      <c r="AM63" s="460">
        <v>0</v>
      </c>
      <c r="AN63" s="460">
        <v>0</v>
      </c>
      <c r="AO63" s="460">
        <v>0</v>
      </c>
      <c r="AP63" s="460">
        <v>0</v>
      </c>
      <c r="AQ63" s="460">
        <v>0</v>
      </c>
      <c r="AR63" s="460">
        <v>0</v>
      </c>
      <c r="AS63" s="460">
        <v>0</v>
      </c>
      <c r="AT63" s="460">
        <v>0</v>
      </c>
      <c r="AU63" s="460">
        <v>0</v>
      </c>
      <c r="AV63" s="460">
        <v>0</v>
      </c>
      <c r="AW63" s="460">
        <v>0</v>
      </c>
      <c r="AX63" s="460">
        <v>0</v>
      </c>
      <c r="AY63" s="460">
        <v>0</v>
      </c>
      <c r="AZ63" s="460">
        <v>0</v>
      </c>
      <c r="BA63" s="460">
        <v>0</v>
      </c>
      <c r="BB63" s="460">
        <v>0</v>
      </c>
      <c r="BC63" s="460">
        <v>0</v>
      </c>
      <c r="BD63" s="460">
        <v>0</v>
      </c>
      <c r="BE63" s="460">
        <v>0</v>
      </c>
      <c r="BF63" s="460">
        <v>0</v>
      </c>
      <c r="BG63" s="460">
        <v>0</v>
      </c>
      <c r="BH63" s="460">
        <v>0</v>
      </c>
      <c r="BI63" s="460">
        <v>0</v>
      </c>
      <c r="BJ63" s="460">
        <v>0</v>
      </c>
      <c r="BK63" s="460">
        <v>0</v>
      </c>
      <c r="BL63" s="460">
        <v>0</v>
      </c>
      <c r="BM63" s="460">
        <v>0</v>
      </c>
      <c r="BN63" s="460">
        <v>0</v>
      </c>
      <c r="BO63" s="460">
        <v>0</v>
      </c>
      <c r="BP63" s="460">
        <v>0</v>
      </c>
      <c r="BQ63" s="460">
        <v>0</v>
      </c>
      <c r="BR63" s="460">
        <v>0</v>
      </c>
      <c r="BS63" s="460">
        <v>0</v>
      </c>
      <c r="BT63" s="460">
        <v>0</v>
      </c>
      <c r="BU63" s="460">
        <v>0</v>
      </c>
      <c r="BV63" s="460">
        <v>0</v>
      </c>
      <c r="BW63" s="460">
        <v>0</v>
      </c>
      <c r="BX63" s="460">
        <v>0</v>
      </c>
      <c r="BY63" s="460">
        <v>0</v>
      </c>
      <c r="BZ63" s="460">
        <v>0</v>
      </c>
      <c r="CA63" s="460" t="e">
        <v>#N/A</v>
      </c>
      <c r="CB63" s="460" t="e">
        <v>#N/A</v>
      </c>
      <c r="CC63" s="460" t="e">
        <v>#N/A</v>
      </c>
    </row>
    <row r="64" spans="1:81" ht="12.75" customHeight="1">
      <c r="A64" s="105">
        <v>59</v>
      </c>
      <c r="B64" s="458" t="str">
        <v>33Y</v>
      </c>
      <c r="C64" s="465">
        <f>'eur disaggregated'!AV75</f>
        <v>0</v>
      </c>
      <c r="D64" s="111" t="str">
        <f t="shared" si="3"/>
        <v>396M</v>
      </c>
      <c r="E64" s="441">
        <f t="shared" si="5"/>
        <v>42696</v>
      </c>
      <c r="F64" s="441">
        <f>IF(AND(NOT(ISNA(MATCH(RIGHT(B64,2),$I$6:$I$67,0))),LEN(B64)&lt;3,RIGHT(B64,1)="M"), INDEX($K$6:$K$67, MATCH(RIGHT(B64,2),$I$6:$I$67,0)), IF(AND(NOT(ISNA(MATCH((IF(RIGHT(B64,3)="24M","2Y",RIGHT(B64,3))),$I$6:$I$67,0))), LEN(B64)&gt;=3, RIGHT(B64,1)="M"), INDEX($K$6:$K$67, MATCH((IF(RIGHT(B64,3)="24M","2Y",RIGHT(B64,3))),$I$6:$I$67,0)), _xll.qlCalendarAdvance(Calendar,E64,D64)))</f>
        <v>54749</v>
      </c>
      <c r="G64" s="462">
        <f t="shared" si="2"/>
        <v>1.2406356059999998E-2</v>
      </c>
      <c r="H64" s="453">
        <v>1.2406356059999999</v>
      </c>
      <c r="I64" s="107" t="str">
        <v>35Y</v>
      </c>
      <c r="J64" s="106" t="str">
        <f>IF(LEN(I64)&gt;0,IF((MID(I64,4,1)=" "),#REF!,IF((LEN(I64)=8),DATE("20" &amp; RIGHT(I64,2),MID(I64,4,2),LEFT(I64,2)),SimplifyTenor(I64))),"")</f>
        <v>420M</v>
      </c>
      <c r="K64" s="448">
        <f>_xll.qlCalendarAdvance("TARGET",SettlementDate,J64)</f>
        <v>55479</v>
      </c>
      <c r="M64" s="99" t="str">
        <v>35Y</v>
      </c>
      <c r="N64" s="465">
        <v>0</v>
      </c>
      <c r="P64" s="106" t="b">
        <f t="shared" si="6"/>
        <v>0</v>
      </c>
      <c r="Q64" s="460">
        <f t="array" ref="Q64:CC64">C64*ForwardToZero(OisBuckets,E64,F64,G64)</f>
        <v>0</v>
      </c>
      <c r="R64" s="460">
        <v>0</v>
      </c>
      <c r="S64" s="460">
        <v>0</v>
      </c>
      <c r="T64" s="460">
        <v>0</v>
      </c>
      <c r="U64" s="460">
        <v>0</v>
      </c>
      <c r="V64" s="460">
        <v>0</v>
      </c>
      <c r="W64" s="460">
        <v>0</v>
      </c>
      <c r="X64" s="460">
        <v>0</v>
      </c>
      <c r="Y64" s="460">
        <v>0</v>
      </c>
      <c r="Z64" s="460">
        <v>0</v>
      </c>
      <c r="AA64" s="460">
        <v>0</v>
      </c>
      <c r="AB64" s="460">
        <v>0</v>
      </c>
      <c r="AC64" s="460">
        <v>0</v>
      </c>
      <c r="AD64" s="460">
        <v>0</v>
      </c>
      <c r="AE64" s="460">
        <v>0</v>
      </c>
      <c r="AF64" s="460">
        <v>0</v>
      </c>
      <c r="AG64" s="460">
        <v>0</v>
      </c>
      <c r="AH64" s="460">
        <v>0</v>
      </c>
      <c r="AI64" s="460">
        <v>0</v>
      </c>
      <c r="AJ64" s="460">
        <v>0</v>
      </c>
      <c r="AK64" s="460">
        <v>0</v>
      </c>
      <c r="AL64" s="460">
        <v>0</v>
      </c>
      <c r="AM64" s="460">
        <v>0</v>
      </c>
      <c r="AN64" s="460">
        <v>0</v>
      </c>
      <c r="AO64" s="460">
        <v>0</v>
      </c>
      <c r="AP64" s="460">
        <v>0</v>
      </c>
      <c r="AQ64" s="460">
        <v>0</v>
      </c>
      <c r="AR64" s="460">
        <v>0</v>
      </c>
      <c r="AS64" s="460">
        <v>0</v>
      </c>
      <c r="AT64" s="460">
        <v>0</v>
      </c>
      <c r="AU64" s="460">
        <v>0</v>
      </c>
      <c r="AV64" s="460">
        <v>0</v>
      </c>
      <c r="AW64" s="460">
        <v>0</v>
      </c>
      <c r="AX64" s="460">
        <v>0</v>
      </c>
      <c r="AY64" s="460">
        <v>0</v>
      </c>
      <c r="AZ64" s="460">
        <v>0</v>
      </c>
      <c r="BA64" s="460">
        <v>0</v>
      </c>
      <c r="BB64" s="460">
        <v>0</v>
      </c>
      <c r="BC64" s="460">
        <v>0</v>
      </c>
      <c r="BD64" s="460">
        <v>0</v>
      </c>
      <c r="BE64" s="460">
        <v>0</v>
      </c>
      <c r="BF64" s="460">
        <v>0</v>
      </c>
      <c r="BG64" s="460">
        <v>0</v>
      </c>
      <c r="BH64" s="460">
        <v>0</v>
      </c>
      <c r="BI64" s="460">
        <v>0</v>
      </c>
      <c r="BJ64" s="460">
        <v>0</v>
      </c>
      <c r="BK64" s="460">
        <v>0</v>
      </c>
      <c r="BL64" s="460">
        <v>0</v>
      </c>
      <c r="BM64" s="460">
        <v>0</v>
      </c>
      <c r="BN64" s="460">
        <v>0</v>
      </c>
      <c r="BO64" s="460">
        <v>0</v>
      </c>
      <c r="BP64" s="460">
        <v>0</v>
      </c>
      <c r="BQ64" s="460">
        <v>0</v>
      </c>
      <c r="BR64" s="460">
        <v>0</v>
      </c>
      <c r="BS64" s="460">
        <v>0</v>
      </c>
      <c r="BT64" s="460">
        <v>0</v>
      </c>
      <c r="BU64" s="460">
        <v>0</v>
      </c>
      <c r="BV64" s="460">
        <v>0</v>
      </c>
      <c r="BW64" s="460">
        <v>0</v>
      </c>
      <c r="BX64" s="460">
        <v>0</v>
      </c>
      <c r="BY64" s="460">
        <v>0</v>
      </c>
      <c r="BZ64" s="460">
        <v>0</v>
      </c>
      <c r="CA64" s="460" t="e">
        <v>#N/A</v>
      </c>
      <c r="CB64" s="460" t="e">
        <v>#N/A</v>
      </c>
      <c r="CC64" s="460" t="e">
        <v>#N/A</v>
      </c>
    </row>
    <row r="65" spans="1:81" ht="12.75" customHeight="1">
      <c r="A65" s="105">
        <v>60</v>
      </c>
      <c r="B65" s="458" t="str">
        <v>34Y</v>
      </c>
      <c r="C65" s="465">
        <f>'eur disaggregated'!AV76</f>
        <v>0</v>
      </c>
      <c r="D65" s="111" t="str">
        <f t="shared" si="3"/>
        <v>408M</v>
      </c>
      <c r="E65" s="441">
        <f t="shared" si="5"/>
        <v>42696</v>
      </c>
      <c r="F65" s="441">
        <f>IF(AND(NOT(ISNA(MATCH(RIGHT(B65,2),$I$6:$I$67,0))),LEN(B65)&lt;3,RIGHT(B65,1)="M"), INDEX($K$6:$K$67, MATCH(RIGHT(B65,2),$I$6:$I$67,0)), IF(AND(NOT(ISNA(MATCH((IF(RIGHT(B65,3)="24M","2Y",RIGHT(B65,3))),$I$6:$I$67,0))), LEN(B65)&gt;=3, RIGHT(B65,1)="M"), INDEX($K$6:$K$67, MATCH((IF(RIGHT(B65,3)="24M","2Y",RIGHT(B65,3))),$I$6:$I$67,0)), _xll.qlCalendarAdvance(Calendar,E65,D65)))</f>
        <v>55114</v>
      </c>
      <c r="G65" s="462">
        <f t="shared" si="2"/>
        <v>1.2389534529999999E-2</v>
      </c>
      <c r="H65" s="453">
        <v>1.2389534529999999</v>
      </c>
      <c r="I65" s="107" t="str">
        <v>40Y</v>
      </c>
      <c r="J65" s="106" t="str">
        <f>IF(LEN(I65)&gt;0,IF((MID(I65,4,1)=" "),#REF!,IF((LEN(I65)=8),DATE("20" &amp; RIGHT(I65,2),MID(I65,4,2),LEFT(I65,2)),SimplifyTenor(I65))),"")</f>
        <v>480M</v>
      </c>
      <c r="K65" s="448">
        <f>_xll.qlCalendarAdvance("TARGET",SettlementDate,J65)</f>
        <v>57306</v>
      </c>
      <c r="M65" s="99" t="str">
        <v>40Y</v>
      </c>
      <c r="N65" s="465">
        <v>0</v>
      </c>
      <c r="P65" s="106" t="b">
        <f t="shared" si="6"/>
        <v>0</v>
      </c>
      <c r="Q65" s="460">
        <f t="array" ref="Q65:CC65">C65*ForwardToZero(OisBuckets,E65,F65,G65)</f>
        <v>0</v>
      </c>
      <c r="R65" s="460">
        <v>0</v>
      </c>
      <c r="S65" s="460">
        <v>0</v>
      </c>
      <c r="T65" s="460">
        <v>0</v>
      </c>
      <c r="U65" s="460">
        <v>0</v>
      </c>
      <c r="V65" s="460">
        <v>0</v>
      </c>
      <c r="W65" s="460">
        <v>0</v>
      </c>
      <c r="X65" s="460">
        <v>0</v>
      </c>
      <c r="Y65" s="460">
        <v>0</v>
      </c>
      <c r="Z65" s="460">
        <v>0</v>
      </c>
      <c r="AA65" s="460">
        <v>0</v>
      </c>
      <c r="AB65" s="460">
        <v>0</v>
      </c>
      <c r="AC65" s="460">
        <v>0</v>
      </c>
      <c r="AD65" s="460">
        <v>0</v>
      </c>
      <c r="AE65" s="460">
        <v>0</v>
      </c>
      <c r="AF65" s="460">
        <v>0</v>
      </c>
      <c r="AG65" s="460">
        <v>0</v>
      </c>
      <c r="AH65" s="460">
        <v>0</v>
      </c>
      <c r="AI65" s="460">
        <v>0</v>
      </c>
      <c r="AJ65" s="460">
        <v>0</v>
      </c>
      <c r="AK65" s="460">
        <v>0</v>
      </c>
      <c r="AL65" s="460">
        <v>0</v>
      </c>
      <c r="AM65" s="460">
        <v>0</v>
      </c>
      <c r="AN65" s="460">
        <v>0</v>
      </c>
      <c r="AO65" s="460">
        <v>0</v>
      </c>
      <c r="AP65" s="460">
        <v>0</v>
      </c>
      <c r="AQ65" s="460">
        <v>0</v>
      </c>
      <c r="AR65" s="460">
        <v>0</v>
      </c>
      <c r="AS65" s="460">
        <v>0</v>
      </c>
      <c r="AT65" s="460">
        <v>0</v>
      </c>
      <c r="AU65" s="460">
        <v>0</v>
      </c>
      <c r="AV65" s="460">
        <v>0</v>
      </c>
      <c r="AW65" s="460">
        <v>0</v>
      </c>
      <c r="AX65" s="460">
        <v>0</v>
      </c>
      <c r="AY65" s="460">
        <v>0</v>
      </c>
      <c r="AZ65" s="460">
        <v>0</v>
      </c>
      <c r="BA65" s="460">
        <v>0</v>
      </c>
      <c r="BB65" s="460">
        <v>0</v>
      </c>
      <c r="BC65" s="460">
        <v>0</v>
      </c>
      <c r="BD65" s="460">
        <v>0</v>
      </c>
      <c r="BE65" s="460">
        <v>0</v>
      </c>
      <c r="BF65" s="460">
        <v>0</v>
      </c>
      <c r="BG65" s="460">
        <v>0</v>
      </c>
      <c r="BH65" s="460">
        <v>0</v>
      </c>
      <c r="BI65" s="460">
        <v>0</v>
      </c>
      <c r="BJ65" s="460">
        <v>0</v>
      </c>
      <c r="BK65" s="460">
        <v>0</v>
      </c>
      <c r="BL65" s="460">
        <v>0</v>
      </c>
      <c r="BM65" s="460">
        <v>0</v>
      </c>
      <c r="BN65" s="460">
        <v>0</v>
      </c>
      <c r="BO65" s="460">
        <v>0</v>
      </c>
      <c r="BP65" s="460">
        <v>0</v>
      </c>
      <c r="BQ65" s="460">
        <v>0</v>
      </c>
      <c r="BR65" s="460">
        <v>0</v>
      </c>
      <c r="BS65" s="460">
        <v>0</v>
      </c>
      <c r="BT65" s="460">
        <v>0</v>
      </c>
      <c r="BU65" s="460">
        <v>0</v>
      </c>
      <c r="BV65" s="460">
        <v>0</v>
      </c>
      <c r="BW65" s="460">
        <v>0</v>
      </c>
      <c r="BX65" s="460">
        <v>0</v>
      </c>
      <c r="BY65" s="460">
        <v>0</v>
      </c>
      <c r="BZ65" s="460">
        <v>0</v>
      </c>
      <c r="CA65" s="460" t="e">
        <v>#N/A</v>
      </c>
      <c r="CB65" s="460" t="e">
        <v>#N/A</v>
      </c>
      <c r="CC65" s="460" t="e">
        <v>#N/A</v>
      </c>
    </row>
    <row r="66" spans="1:81" ht="12.75" customHeight="1">
      <c r="A66" s="105">
        <v>61</v>
      </c>
      <c r="B66" s="458" t="str">
        <v>35Y</v>
      </c>
      <c r="C66" s="465">
        <f>'eur disaggregated'!AV77</f>
        <v>0</v>
      </c>
      <c r="D66" s="111" t="str">
        <f t="shared" si="3"/>
        <v>420M</v>
      </c>
      <c r="E66" s="441">
        <f t="shared" si="5"/>
        <v>42696</v>
      </c>
      <c r="F66" s="441">
        <f>IF(AND(NOT(ISNA(MATCH(RIGHT(B66,2),$I$6:$I$67,0))),LEN(B66)&lt;3,RIGHT(B66,1)="M"), INDEX($K$6:$K$67, MATCH(RIGHT(B66,2),$I$6:$I$67,0)), IF(AND(NOT(ISNA(MATCH((IF(RIGHT(B66,3)="24M","2Y",RIGHT(B66,3))),$I$6:$I$67,0))), LEN(B66)&gt;=3, RIGHT(B66,1)="M"), INDEX($K$6:$K$67, MATCH((IF(RIGHT(B66,3)="24M","2Y",RIGHT(B66,3))),$I$6:$I$67,0)), _xll.qlCalendarAdvance(Calendar,E66,D66)))</f>
        <v>55479</v>
      </c>
      <c r="G66" s="462">
        <f t="shared" si="2"/>
        <v>1.236805207E-2</v>
      </c>
      <c r="H66" s="453">
        <v>1.236805207</v>
      </c>
      <c r="I66" s="107" t="str">
        <v>50Y</v>
      </c>
      <c r="J66" s="106" t="str">
        <f>IF(LEN(I66)&gt;0,IF((MID(I66,4,1)=" "),#REF!,IF((LEN(I66)=8),DATE("20" &amp; RIGHT(I66,2),MID(I66,4,2),LEFT(I66,2)),SimplifyTenor(I66))),"")</f>
        <v>600M</v>
      </c>
      <c r="K66" s="448">
        <f>_xll.qlCalendarAdvance("TARGET",SettlementDate,J66)</f>
        <v>60958</v>
      </c>
      <c r="M66" s="99" t="str">
        <v>50Y</v>
      </c>
      <c r="N66" s="465">
        <v>0</v>
      </c>
      <c r="P66" s="106" t="b">
        <f t="shared" si="6"/>
        <v>0</v>
      </c>
      <c r="Q66" s="460">
        <f t="array" ref="Q66:CC66">C66*ForwardToZero(OisBuckets,E66,F66,G66)</f>
        <v>0</v>
      </c>
      <c r="R66" s="460">
        <v>0</v>
      </c>
      <c r="S66" s="460">
        <v>0</v>
      </c>
      <c r="T66" s="460">
        <v>0</v>
      </c>
      <c r="U66" s="460">
        <v>0</v>
      </c>
      <c r="V66" s="460">
        <v>0</v>
      </c>
      <c r="W66" s="460">
        <v>0</v>
      </c>
      <c r="X66" s="460">
        <v>0</v>
      </c>
      <c r="Y66" s="460">
        <v>0</v>
      </c>
      <c r="Z66" s="460">
        <v>0</v>
      </c>
      <c r="AA66" s="460">
        <v>0</v>
      </c>
      <c r="AB66" s="460">
        <v>0</v>
      </c>
      <c r="AC66" s="460">
        <v>0</v>
      </c>
      <c r="AD66" s="460">
        <v>0</v>
      </c>
      <c r="AE66" s="460">
        <v>0</v>
      </c>
      <c r="AF66" s="460">
        <v>0</v>
      </c>
      <c r="AG66" s="460">
        <v>0</v>
      </c>
      <c r="AH66" s="460">
        <v>0</v>
      </c>
      <c r="AI66" s="460">
        <v>0</v>
      </c>
      <c r="AJ66" s="460">
        <v>0</v>
      </c>
      <c r="AK66" s="460">
        <v>0</v>
      </c>
      <c r="AL66" s="460">
        <v>0</v>
      </c>
      <c r="AM66" s="460">
        <v>0</v>
      </c>
      <c r="AN66" s="460">
        <v>0</v>
      </c>
      <c r="AO66" s="460">
        <v>0</v>
      </c>
      <c r="AP66" s="460">
        <v>0</v>
      </c>
      <c r="AQ66" s="460">
        <v>0</v>
      </c>
      <c r="AR66" s="460">
        <v>0</v>
      </c>
      <c r="AS66" s="460">
        <v>0</v>
      </c>
      <c r="AT66" s="460">
        <v>0</v>
      </c>
      <c r="AU66" s="460">
        <v>0</v>
      </c>
      <c r="AV66" s="460">
        <v>0</v>
      </c>
      <c r="AW66" s="460">
        <v>0</v>
      </c>
      <c r="AX66" s="460">
        <v>0</v>
      </c>
      <c r="AY66" s="460">
        <v>0</v>
      </c>
      <c r="AZ66" s="460">
        <v>0</v>
      </c>
      <c r="BA66" s="460">
        <v>0</v>
      </c>
      <c r="BB66" s="460">
        <v>0</v>
      </c>
      <c r="BC66" s="460">
        <v>0</v>
      </c>
      <c r="BD66" s="460">
        <v>0</v>
      </c>
      <c r="BE66" s="460">
        <v>0</v>
      </c>
      <c r="BF66" s="460">
        <v>0</v>
      </c>
      <c r="BG66" s="460">
        <v>0</v>
      </c>
      <c r="BH66" s="460">
        <v>0</v>
      </c>
      <c r="BI66" s="460">
        <v>0</v>
      </c>
      <c r="BJ66" s="460">
        <v>0</v>
      </c>
      <c r="BK66" s="460">
        <v>0</v>
      </c>
      <c r="BL66" s="460">
        <v>0</v>
      </c>
      <c r="BM66" s="460">
        <v>0</v>
      </c>
      <c r="BN66" s="460">
        <v>0</v>
      </c>
      <c r="BO66" s="460">
        <v>0</v>
      </c>
      <c r="BP66" s="460">
        <v>0</v>
      </c>
      <c r="BQ66" s="460">
        <v>0</v>
      </c>
      <c r="BR66" s="460">
        <v>0</v>
      </c>
      <c r="BS66" s="460">
        <v>0</v>
      </c>
      <c r="BT66" s="460">
        <v>0</v>
      </c>
      <c r="BU66" s="460">
        <v>0</v>
      </c>
      <c r="BV66" s="460">
        <v>0</v>
      </c>
      <c r="BW66" s="460">
        <v>0</v>
      </c>
      <c r="BX66" s="460">
        <v>0</v>
      </c>
      <c r="BY66" s="460">
        <v>0</v>
      </c>
      <c r="BZ66" s="460">
        <v>0</v>
      </c>
      <c r="CA66" s="460" t="e">
        <v>#N/A</v>
      </c>
      <c r="CB66" s="460" t="e">
        <v>#N/A</v>
      </c>
      <c r="CC66" s="460" t="e">
        <v>#N/A</v>
      </c>
    </row>
    <row r="67" spans="1:81" ht="12.75" customHeight="1">
      <c r="A67" s="105">
        <v>62</v>
      </c>
      <c r="B67" s="458" t="str">
        <v>36Y</v>
      </c>
      <c r="C67" s="465">
        <f>'eur disaggregated'!AV78</f>
        <v>0</v>
      </c>
      <c r="D67" s="111" t="str">
        <f t="shared" si="3"/>
        <v>432M</v>
      </c>
      <c r="E67" s="441">
        <f t="shared" si="5"/>
        <v>42696</v>
      </c>
      <c r="F67" s="441">
        <f>IF(AND(NOT(ISNA(MATCH(RIGHT(B67,2),$I$6:$I$67,0))),LEN(B67)&lt;3,RIGHT(B67,1)="M"), INDEX($K$6:$K$67, MATCH(RIGHT(B67,2),$I$6:$I$67,0)), IF(AND(NOT(ISNA(MATCH((IF(RIGHT(B67,3)="24M","2Y",RIGHT(B67,3))),$I$6:$I$67,0))), LEN(B67)&gt;=3, RIGHT(B67,1)="M"), INDEX($K$6:$K$67, MATCH((IF(RIGHT(B67,3)="24M","2Y",RIGHT(B67,3))),$I$6:$I$67,0)), _xll.qlCalendarAdvance(Calendar,E67,D67)))</f>
        <v>55845</v>
      </c>
      <c r="G67" s="462">
        <f t="shared" si="2"/>
        <v>1.2342882520000001E-2</v>
      </c>
      <c r="H67" s="453">
        <v>1.234288252</v>
      </c>
      <c r="I67" s="107" t="str">
        <v>60Y</v>
      </c>
      <c r="J67" s="106" t="str">
        <f>IF(LEN(I67)&gt;0,IF((MID(I67,4,1)=" "),#REF!,IF((LEN(I67)=8),DATE("20" &amp; RIGHT(I67,2),MID(I67,4,2),LEFT(I67,2)),SimplifyTenor(I67))),"")</f>
        <v>720M</v>
      </c>
      <c r="K67" s="448">
        <f>_xll.qlCalendarAdvance("TARGET",SettlementDate,J67)</f>
        <v>64612</v>
      </c>
      <c r="M67" s="99" t="str">
        <v>60Y</v>
      </c>
      <c r="N67" s="465">
        <v>0</v>
      </c>
      <c r="P67" s="106" t="b">
        <f t="shared" si="6"/>
        <v>0</v>
      </c>
      <c r="Q67" s="460">
        <f t="array" ref="Q67:CC67">C67*ForwardToZero(OisBuckets,E67,F67,G67)</f>
        <v>0</v>
      </c>
      <c r="R67" s="460">
        <v>0</v>
      </c>
      <c r="S67" s="460">
        <v>0</v>
      </c>
      <c r="T67" s="460">
        <v>0</v>
      </c>
      <c r="U67" s="460">
        <v>0</v>
      </c>
      <c r="V67" s="460">
        <v>0</v>
      </c>
      <c r="W67" s="460">
        <v>0</v>
      </c>
      <c r="X67" s="460">
        <v>0</v>
      </c>
      <c r="Y67" s="460">
        <v>0</v>
      </c>
      <c r="Z67" s="460">
        <v>0</v>
      </c>
      <c r="AA67" s="460">
        <v>0</v>
      </c>
      <c r="AB67" s="460">
        <v>0</v>
      </c>
      <c r="AC67" s="460">
        <v>0</v>
      </c>
      <c r="AD67" s="460">
        <v>0</v>
      </c>
      <c r="AE67" s="460">
        <v>0</v>
      </c>
      <c r="AF67" s="460">
        <v>0</v>
      </c>
      <c r="AG67" s="460">
        <v>0</v>
      </c>
      <c r="AH67" s="460">
        <v>0</v>
      </c>
      <c r="AI67" s="460">
        <v>0</v>
      </c>
      <c r="AJ67" s="460">
        <v>0</v>
      </c>
      <c r="AK67" s="460">
        <v>0</v>
      </c>
      <c r="AL67" s="460">
        <v>0</v>
      </c>
      <c r="AM67" s="460">
        <v>0</v>
      </c>
      <c r="AN67" s="460">
        <v>0</v>
      </c>
      <c r="AO67" s="460">
        <v>0</v>
      </c>
      <c r="AP67" s="460">
        <v>0</v>
      </c>
      <c r="AQ67" s="460">
        <v>0</v>
      </c>
      <c r="AR67" s="460">
        <v>0</v>
      </c>
      <c r="AS67" s="460">
        <v>0</v>
      </c>
      <c r="AT67" s="460">
        <v>0</v>
      </c>
      <c r="AU67" s="460">
        <v>0</v>
      </c>
      <c r="AV67" s="460">
        <v>0</v>
      </c>
      <c r="AW67" s="460">
        <v>0</v>
      </c>
      <c r="AX67" s="460">
        <v>0</v>
      </c>
      <c r="AY67" s="460">
        <v>0</v>
      </c>
      <c r="AZ67" s="460">
        <v>0</v>
      </c>
      <c r="BA67" s="460">
        <v>0</v>
      </c>
      <c r="BB67" s="460">
        <v>0</v>
      </c>
      <c r="BC67" s="460">
        <v>0</v>
      </c>
      <c r="BD67" s="460">
        <v>0</v>
      </c>
      <c r="BE67" s="460">
        <v>0</v>
      </c>
      <c r="BF67" s="460">
        <v>0</v>
      </c>
      <c r="BG67" s="460">
        <v>0</v>
      </c>
      <c r="BH67" s="460">
        <v>0</v>
      </c>
      <c r="BI67" s="460">
        <v>0</v>
      </c>
      <c r="BJ67" s="460">
        <v>0</v>
      </c>
      <c r="BK67" s="460">
        <v>0</v>
      </c>
      <c r="BL67" s="460">
        <v>0</v>
      </c>
      <c r="BM67" s="460">
        <v>0</v>
      </c>
      <c r="BN67" s="460">
        <v>0</v>
      </c>
      <c r="BO67" s="460">
        <v>0</v>
      </c>
      <c r="BP67" s="460">
        <v>0</v>
      </c>
      <c r="BQ67" s="460">
        <v>0</v>
      </c>
      <c r="BR67" s="460">
        <v>0</v>
      </c>
      <c r="BS67" s="460">
        <v>0</v>
      </c>
      <c r="BT67" s="460">
        <v>0</v>
      </c>
      <c r="BU67" s="460">
        <v>0</v>
      </c>
      <c r="BV67" s="460">
        <v>0</v>
      </c>
      <c r="BW67" s="460">
        <v>0</v>
      </c>
      <c r="BX67" s="460">
        <v>0</v>
      </c>
      <c r="BY67" s="460">
        <v>0</v>
      </c>
      <c r="BZ67" s="460">
        <v>0</v>
      </c>
      <c r="CA67" s="460" t="e">
        <v>#N/A</v>
      </c>
      <c r="CB67" s="460" t="e">
        <v>#N/A</v>
      </c>
      <c r="CC67" s="460" t="e">
        <v>#N/A</v>
      </c>
    </row>
    <row r="68" spans="1:81" ht="12.75" customHeight="1">
      <c r="A68" s="105">
        <v>63</v>
      </c>
      <c r="B68" s="458" t="str">
        <v>37Y</v>
      </c>
      <c r="C68" s="465">
        <f>'eur disaggregated'!AV79</f>
        <v>0</v>
      </c>
      <c r="D68" s="111" t="str">
        <f t="shared" si="3"/>
        <v>444M</v>
      </c>
      <c r="E68" s="441">
        <f t="shared" si="5"/>
        <v>42696</v>
      </c>
      <c r="F68" s="441">
        <f>IF(AND(NOT(ISNA(MATCH(RIGHT(B68,2),$I$6:$I$67,0))),LEN(B68)&lt;3,RIGHT(B68,1)="M"), INDEX($K$6:$K$67, MATCH(RIGHT(B68,2),$I$6:$I$67,0)), IF(AND(NOT(ISNA(MATCH((IF(RIGHT(B68,3)="24M","2Y",RIGHT(B68,3))),$I$6:$I$67,0))), LEN(B68)&gt;=3, RIGHT(B68,1)="M"), INDEX($K$6:$K$67, MATCH((IF(RIGHT(B68,3)="24M","2Y",RIGHT(B68,3))),$I$6:$I$67,0)), _xll.qlCalendarAdvance(Calendar,E68,D68)))</f>
        <v>56212</v>
      </c>
      <c r="G68" s="462">
        <f t="shared" si="2"/>
        <v>1.2312094860000001E-2</v>
      </c>
      <c r="H68" s="453">
        <v>1.231209486</v>
      </c>
      <c r="I68" s="107" t="e">
        <v>#N/A</v>
      </c>
      <c r="J68" s="106" t="e">
        <f>IF(LEN(I68)&gt;0,IF((MID(I68,4,1)=" "),#REF!,IF((LEN(I68)=8),DATE("20" &amp; RIGHT(I68,2),MID(I68,4,2),LEFT(I68,2)),SimplifyTenor(I68))),"")</f>
        <v>#N/A</v>
      </c>
      <c r="K68" s="448" t="e">
        <f>_xll.qlCalendarAdvance("TARGET",SettlementDate,J68)</f>
        <v>#NUM!</v>
      </c>
      <c r="M68" s="99" t="e">
        <v>#N/A</v>
      </c>
      <c r="N68" s="465" t="e">
        <v>#N/A</v>
      </c>
      <c r="P68" s="106" t="b">
        <f t="shared" si="6"/>
        <v>0</v>
      </c>
      <c r="Q68" s="460">
        <f t="array" ref="Q68:CC68">C68*ForwardToZero(OisBuckets,E68,F68,G68)</f>
        <v>0</v>
      </c>
      <c r="R68" s="460">
        <v>0</v>
      </c>
      <c r="S68" s="460">
        <v>0</v>
      </c>
      <c r="T68" s="460">
        <v>0</v>
      </c>
      <c r="U68" s="460">
        <v>0</v>
      </c>
      <c r="V68" s="460">
        <v>0</v>
      </c>
      <c r="W68" s="460">
        <v>0</v>
      </c>
      <c r="X68" s="460">
        <v>0</v>
      </c>
      <c r="Y68" s="460">
        <v>0</v>
      </c>
      <c r="Z68" s="460">
        <v>0</v>
      </c>
      <c r="AA68" s="460">
        <v>0</v>
      </c>
      <c r="AB68" s="460">
        <v>0</v>
      </c>
      <c r="AC68" s="460">
        <v>0</v>
      </c>
      <c r="AD68" s="460">
        <v>0</v>
      </c>
      <c r="AE68" s="460">
        <v>0</v>
      </c>
      <c r="AF68" s="460">
        <v>0</v>
      </c>
      <c r="AG68" s="460">
        <v>0</v>
      </c>
      <c r="AH68" s="460">
        <v>0</v>
      </c>
      <c r="AI68" s="460">
        <v>0</v>
      </c>
      <c r="AJ68" s="460">
        <v>0</v>
      </c>
      <c r="AK68" s="460">
        <v>0</v>
      </c>
      <c r="AL68" s="460">
        <v>0</v>
      </c>
      <c r="AM68" s="460">
        <v>0</v>
      </c>
      <c r="AN68" s="460">
        <v>0</v>
      </c>
      <c r="AO68" s="460">
        <v>0</v>
      </c>
      <c r="AP68" s="460">
        <v>0</v>
      </c>
      <c r="AQ68" s="460">
        <v>0</v>
      </c>
      <c r="AR68" s="460">
        <v>0</v>
      </c>
      <c r="AS68" s="460">
        <v>0</v>
      </c>
      <c r="AT68" s="460">
        <v>0</v>
      </c>
      <c r="AU68" s="460">
        <v>0</v>
      </c>
      <c r="AV68" s="460">
        <v>0</v>
      </c>
      <c r="AW68" s="460">
        <v>0</v>
      </c>
      <c r="AX68" s="460">
        <v>0</v>
      </c>
      <c r="AY68" s="460">
        <v>0</v>
      </c>
      <c r="AZ68" s="460">
        <v>0</v>
      </c>
      <c r="BA68" s="460">
        <v>0</v>
      </c>
      <c r="BB68" s="460">
        <v>0</v>
      </c>
      <c r="BC68" s="460">
        <v>0</v>
      </c>
      <c r="BD68" s="460">
        <v>0</v>
      </c>
      <c r="BE68" s="460">
        <v>0</v>
      </c>
      <c r="BF68" s="460">
        <v>0</v>
      </c>
      <c r="BG68" s="460">
        <v>0</v>
      </c>
      <c r="BH68" s="460">
        <v>0</v>
      </c>
      <c r="BI68" s="460">
        <v>0</v>
      </c>
      <c r="BJ68" s="460">
        <v>0</v>
      </c>
      <c r="BK68" s="460">
        <v>0</v>
      </c>
      <c r="BL68" s="460">
        <v>0</v>
      </c>
      <c r="BM68" s="460">
        <v>0</v>
      </c>
      <c r="BN68" s="460">
        <v>0</v>
      </c>
      <c r="BO68" s="460">
        <v>0</v>
      </c>
      <c r="BP68" s="460">
        <v>0</v>
      </c>
      <c r="BQ68" s="460">
        <v>0</v>
      </c>
      <c r="BR68" s="460">
        <v>0</v>
      </c>
      <c r="BS68" s="460">
        <v>0</v>
      </c>
      <c r="BT68" s="460">
        <v>0</v>
      </c>
      <c r="BU68" s="460">
        <v>0</v>
      </c>
      <c r="BV68" s="460">
        <v>0</v>
      </c>
      <c r="BW68" s="460">
        <v>0</v>
      </c>
      <c r="BX68" s="460">
        <v>0</v>
      </c>
      <c r="BY68" s="460">
        <v>0</v>
      </c>
      <c r="BZ68" s="460">
        <v>0</v>
      </c>
      <c r="CA68" s="460" t="e">
        <v>#N/A</v>
      </c>
      <c r="CB68" s="460" t="e">
        <v>#N/A</v>
      </c>
      <c r="CC68" s="460" t="e">
        <v>#N/A</v>
      </c>
    </row>
    <row r="69" spans="1:81" ht="12.75" customHeight="1">
      <c r="A69" s="105">
        <v>64</v>
      </c>
      <c r="B69" s="458" t="str">
        <v>38Y</v>
      </c>
      <c r="C69" s="465">
        <f>'eur disaggregated'!AV80</f>
        <v>0</v>
      </c>
      <c r="D69" s="111" t="str">
        <f t="shared" si="3"/>
        <v>456M</v>
      </c>
      <c r="E69" s="441">
        <f t="shared" si="5"/>
        <v>42696</v>
      </c>
      <c r="F69" s="441">
        <f>IF(AND(NOT(ISNA(MATCH(RIGHT(B69,2),$I$6:$I$67,0))),LEN(B69)&lt;3,RIGHT(B69,1)="M"), INDEX($K$6:$K$67, MATCH(RIGHT(B69,2),$I$6:$I$67,0)), IF(AND(NOT(ISNA(MATCH((IF(RIGHT(B69,3)="24M","2Y",RIGHT(B69,3))),$I$6:$I$67,0))), LEN(B69)&gt;=3, RIGHT(B69,1)="M"), INDEX($K$6:$K$67, MATCH((IF(RIGHT(B69,3)="24M","2Y",RIGHT(B69,3))),$I$6:$I$67,0)), _xll.qlCalendarAdvance(Calendar,E69,D69)))</f>
        <v>56576</v>
      </c>
      <c r="G69" s="462">
        <f t="shared" si="2"/>
        <v>1.227640302E-2</v>
      </c>
      <c r="H69" s="453">
        <v>1.227640302</v>
      </c>
      <c r="I69" s="107" t="e">
        <v>#N/A</v>
      </c>
      <c r="J69" s="106" t="e">
        <f>IF(LEN(I69)&gt;0,IF((MID(I69,4,1)=" "),#REF!,IF((LEN(I69)=8),DATE("20" &amp; RIGHT(I69,2),MID(I69,4,2),LEFT(I69,2)),SimplifyTenor(I69))),"")</f>
        <v>#N/A</v>
      </c>
      <c r="K69" s="448" t="e">
        <f>_xll.qlCalendarAdvance("TARGET",SettlementDate,J69)</f>
        <v>#NUM!</v>
      </c>
      <c r="M69" s="99" t="e">
        <v>#N/A</v>
      </c>
      <c r="N69" s="465" t="e">
        <v>#N/A</v>
      </c>
      <c r="P69" s="106" t="b">
        <f t="shared" si="6"/>
        <v>0</v>
      </c>
      <c r="Q69" s="460">
        <f t="array" ref="Q69:CC69">C69*ForwardToZero(OisBuckets,E69,F69,G69)</f>
        <v>0</v>
      </c>
      <c r="R69" s="460">
        <v>0</v>
      </c>
      <c r="S69" s="460">
        <v>0</v>
      </c>
      <c r="T69" s="460">
        <v>0</v>
      </c>
      <c r="U69" s="460">
        <v>0</v>
      </c>
      <c r="V69" s="460">
        <v>0</v>
      </c>
      <c r="W69" s="460">
        <v>0</v>
      </c>
      <c r="X69" s="460">
        <v>0</v>
      </c>
      <c r="Y69" s="460">
        <v>0</v>
      </c>
      <c r="Z69" s="460">
        <v>0</v>
      </c>
      <c r="AA69" s="460">
        <v>0</v>
      </c>
      <c r="AB69" s="460">
        <v>0</v>
      </c>
      <c r="AC69" s="460">
        <v>0</v>
      </c>
      <c r="AD69" s="460">
        <v>0</v>
      </c>
      <c r="AE69" s="460">
        <v>0</v>
      </c>
      <c r="AF69" s="460">
        <v>0</v>
      </c>
      <c r="AG69" s="460">
        <v>0</v>
      </c>
      <c r="AH69" s="460">
        <v>0</v>
      </c>
      <c r="AI69" s="460">
        <v>0</v>
      </c>
      <c r="AJ69" s="460">
        <v>0</v>
      </c>
      <c r="AK69" s="460">
        <v>0</v>
      </c>
      <c r="AL69" s="460">
        <v>0</v>
      </c>
      <c r="AM69" s="460">
        <v>0</v>
      </c>
      <c r="AN69" s="460">
        <v>0</v>
      </c>
      <c r="AO69" s="460">
        <v>0</v>
      </c>
      <c r="AP69" s="460">
        <v>0</v>
      </c>
      <c r="AQ69" s="460">
        <v>0</v>
      </c>
      <c r="AR69" s="460">
        <v>0</v>
      </c>
      <c r="AS69" s="460">
        <v>0</v>
      </c>
      <c r="AT69" s="460">
        <v>0</v>
      </c>
      <c r="AU69" s="460">
        <v>0</v>
      </c>
      <c r="AV69" s="460">
        <v>0</v>
      </c>
      <c r="AW69" s="460">
        <v>0</v>
      </c>
      <c r="AX69" s="460">
        <v>0</v>
      </c>
      <c r="AY69" s="460">
        <v>0</v>
      </c>
      <c r="AZ69" s="460">
        <v>0</v>
      </c>
      <c r="BA69" s="460">
        <v>0</v>
      </c>
      <c r="BB69" s="460">
        <v>0</v>
      </c>
      <c r="BC69" s="460">
        <v>0</v>
      </c>
      <c r="BD69" s="460">
        <v>0</v>
      </c>
      <c r="BE69" s="460">
        <v>0</v>
      </c>
      <c r="BF69" s="460">
        <v>0</v>
      </c>
      <c r="BG69" s="460">
        <v>0</v>
      </c>
      <c r="BH69" s="460">
        <v>0</v>
      </c>
      <c r="BI69" s="460">
        <v>0</v>
      </c>
      <c r="BJ69" s="460">
        <v>0</v>
      </c>
      <c r="BK69" s="460">
        <v>0</v>
      </c>
      <c r="BL69" s="460">
        <v>0</v>
      </c>
      <c r="BM69" s="460">
        <v>0</v>
      </c>
      <c r="BN69" s="460">
        <v>0</v>
      </c>
      <c r="BO69" s="460">
        <v>0</v>
      </c>
      <c r="BP69" s="460">
        <v>0</v>
      </c>
      <c r="BQ69" s="460">
        <v>0</v>
      </c>
      <c r="BR69" s="460">
        <v>0</v>
      </c>
      <c r="BS69" s="460">
        <v>0</v>
      </c>
      <c r="BT69" s="460">
        <v>0</v>
      </c>
      <c r="BU69" s="460">
        <v>0</v>
      </c>
      <c r="BV69" s="460">
        <v>0</v>
      </c>
      <c r="BW69" s="460">
        <v>0</v>
      </c>
      <c r="BX69" s="460">
        <v>0</v>
      </c>
      <c r="BY69" s="460">
        <v>0</v>
      </c>
      <c r="BZ69" s="460">
        <v>0</v>
      </c>
      <c r="CA69" s="460" t="e">
        <v>#N/A</v>
      </c>
      <c r="CB69" s="460" t="e">
        <v>#N/A</v>
      </c>
      <c r="CC69" s="460" t="e">
        <v>#N/A</v>
      </c>
    </row>
    <row r="70" spans="1:81" ht="12.75" customHeight="1">
      <c r="A70" s="105">
        <v>65</v>
      </c>
      <c r="B70" s="458" t="str">
        <v>39Y</v>
      </c>
      <c r="C70" s="465">
        <f>'eur disaggregated'!AV81</f>
        <v>0</v>
      </c>
      <c r="D70" s="111" t="str">
        <f t="shared" si="3"/>
        <v>468M</v>
      </c>
      <c r="E70" s="441">
        <f t="shared" si="5"/>
        <v>42696</v>
      </c>
      <c r="F70" s="441">
        <f>IF(AND(NOT(ISNA(MATCH(RIGHT(B70,2),$I$6:$I$67,0))),LEN(B70)&lt;3,RIGHT(B70,1)="M"), INDEX($K$6:$K$67, MATCH(RIGHT(B70,2),$I$6:$I$67,0)), IF(AND(NOT(ISNA(MATCH((IF(RIGHT(B70,3)="24M","2Y",RIGHT(B70,3))),$I$6:$I$67,0))), LEN(B70)&gt;=3, RIGHT(B70,1)="M"), INDEX($K$6:$K$67, MATCH((IF(RIGHT(B70,3)="24M","2Y",RIGHT(B70,3))),$I$6:$I$67,0)), _xll.qlCalendarAdvance(Calendar,E70,D70)))</f>
        <v>56940</v>
      </c>
      <c r="G70" s="462">
        <f t="shared" si="2"/>
        <v>1.2235670739999999E-2</v>
      </c>
      <c r="H70" s="453">
        <v>1.223567074</v>
      </c>
      <c r="I70" s="107" t="e">
        <v>#N/A</v>
      </c>
      <c r="J70" s="106" t="e">
        <f>IF(LEN(I70)&gt;0,IF((MID(I70,4,1)=" "),#REF!,IF((LEN(I70)=8),DATE("20" &amp; RIGHT(I70,2),MID(I70,4,2),LEFT(I70,2)),SimplifyTenor(I70))),"")</f>
        <v>#N/A</v>
      </c>
      <c r="K70" s="448" t="e">
        <f>_xll.qlCalendarAdvance("TARGET",SettlementDate,J70)</f>
        <v>#NUM!</v>
      </c>
      <c r="M70" s="99" t="e">
        <v>#N/A</v>
      </c>
      <c r="N70" s="465" t="e">
        <v>#N/A</v>
      </c>
      <c r="P70" s="106" t="b">
        <f t="shared" si="6"/>
        <v>0</v>
      </c>
      <c r="Q70" s="460">
        <f t="array" ref="Q70:CC70">C70*ForwardToZero(OisBuckets,E70,F70,G70)</f>
        <v>0</v>
      </c>
      <c r="R70" s="460">
        <v>0</v>
      </c>
      <c r="S70" s="460">
        <v>0</v>
      </c>
      <c r="T70" s="460">
        <v>0</v>
      </c>
      <c r="U70" s="460">
        <v>0</v>
      </c>
      <c r="V70" s="460">
        <v>0</v>
      </c>
      <c r="W70" s="460">
        <v>0</v>
      </c>
      <c r="X70" s="460">
        <v>0</v>
      </c>
      <c r="Y70" s="460">
        <v>0</v>
      </c>
      <c r="Z70" s="460">
        <v>0</v>
      </c>
      <c r="AA70" s="460">
        <v>0</v>
      </c>
      <c r="AB70" s="460">
        <v>0</v>
      </c>
      <c r="AC70" s="460">
        <v>0</v>
      </c>
      <c r="AD70" s="460">
        <v>0</v>
      </c>
      <c r="AE70" s="460">
        <v>0</v>
      </c>
      <c r="AF70" s="460">
        <v>0</v>
      </c>
      <c r="AG70" s="460">
        <v>0</v>
      </c>
      <c r="AH70" s="460">
        <v>0</v>
      </c>
      <c r="AI70" s="460">
        <v>0</v>
      </c>
      <c r="AJ70" s="460">
        <v>0</v>
      </c>
      <c r="AK70" s="460">
        <v>0</v>
      </c>
      <c r="AL70" s="460">
        <v>0</v>
      </c>
      <c r="AM70" s="460">
        <v>0</v>
      </c>
      <c r="AN70" s="460">
        <v>0</v>
      </c>
      <c r="AO70" s="460">
        <v>0</v>
      </c>
      <c r="AP70" s="460">
        <v>0</v>
      </c>
      <c r="AQ70" s="460">
        <v>0</v>
      </c>
      <c r="AR70" s="460">
        <v>0</v>
      </c>
      <c r="AS70" s="460">
        <v>0</v>
      </c>
      <c r="AT70" s="460">
        <v>0</v>
      </c>
      <c r="AU70" s="460">
        <v>0</v>
      </c>
      <c r="AV70" s="460">
        <v>0</v>
      </c>
      <c r="AW70" s="460">
        <v>0</v>
      </c>
      <c r="AX70" s="460">
        <v>0</v>
      </c>
      <c r="AY70" s="460">
        <v>0</v>
      </c>
      <c r="AZ70" s="460">
        <v>0</v>
      </c>
      <c r="BA70" s="460">
        <v>0</v>
      </c>
      <c r="BB70" s="460">
        <v>0</v>
      </c>
      <c r="BC70" s="460">
        <v>0</v>
      </c>
      <c r="BD70" s="460">
        <v>0</v>
      </c>
      <c r="BE70" s="460">
        <v>0</v>
      </c>
      <c r="BF70" s="460">
        <v>0</v>
      </c>
      <c r="BG70" s="460">
        <v>0</v>
      </c>
      <c r="BH70" s="460">
        <v>0</v>
      </c>
      <c r="BI70" s="460">
        <v>0</v>
      </c>
      <c r="BJ70" s="460">
        <v>0</v>
      </c>
      <c r="BK70" s="460">
        <v>0</v>
      </c>
      <c r="BL70" s="460">
        <v>0</v>
      </c>
      <c r="BM70" s="460">
        <v>0</v>
      </c>
      <c r="BN70" s="460">
        <v>0</v>
      </c>
      <c r="BO70" s="460">
        <v>0</v>
      </c>
      <c r="BP70" s="460">
        <v>0</v>
      </c>
      <c r="BQ70" s="460">
        <v>0</v>
      </c>
      <c r="BR70" s="460">
        <v>0</v>
      </c>
      <c r="BS70" s="460">
        <v>0</v>
      </c>
      <c r="BT70" s="460">
        <v>0</v>
      </c>
      <c r="BU70" s="460">
        <v>0</v>
      </c>
      <c r="BV70" s="460">
        <v>0</v>
      </c>
      <c r="BW70" s="460">
        <v>0</v>
      </c>
      <c r="BX70" s="460">
        <v>0</v>
      </c>
      <c r="BY70" s="460">
        <v>0</v>
      </c>
      <c r="BZ70" s="460">
        <v>0</v>
      </c>
      <c r="CA70" s="460" t="e">
        <v>#N/A</v>
      </c>
      <c r="CB70" s="460" t="e">
        <v>#N/A</v>
      </c>
      <c r="CC70" s="460" t="e">
        <v>#N/A</v>
      </c>
    </row>
    <row r="71" spans="1:81" ht="12.75" customHeight="1">
      <c r="A71" s="458">
        <v>66</v>
      </c>
      <c r="B71" s="458" t="str">
        <v>40Y</v>
      </c>
      <c r="C71" s="465">
        <f>'eur disaggregated'!AV82</f>
        <v>0</v>
      </c>
      <c r="D71" s="111" t="str">
        <f t="shared" si="3"/>
        <v>480M</v>
      </c>
      <c r="E71" s="441">
        <f t="shared" si="5"/>
        <v>42696</v>
      </c>
      <c r="F71" s="441">
        <f>IF(AND(NOT(ISNA(MATCH(RIGHT(B71,2),$I$6:$I$67,0))),LEN(B71)&lt;3,RIGHT(B71,1)="M"), INDEX($K$6:$K$67, MATCH(RIGHT(B71,2),$I$6:$I$67,0)), IF(AND(NOT(ISNA(MATCH((IF(RIGHT(B71,3)="24M","2Y",RIGHT(B71,3))),$I$6:$I$67,0))), LEN(B71)&gt;=3, RIGHT(B71,1)="M"), INDEX($K$6:$K$67, MATCH((IF(RIGHT(B71,3)="24M","2Y",RIGHT(B71,3))),$I$6:$I$67,0)), _xll.qlCalendarAdvance(Calendar,E71,D71)))</f>
        <v>57306</v>
      </c>
      <c r="G71" s="462">
        <f t="shared" ref="G71:G73" si="7">IF(AND(70&lt;H71, H71&lt;130),(100-H71)/100,H71/100)</f>
        <v>1.2190000000000001E-2</v>
      </c>
      <c r="H71" s="453">
        <v>1.2190000000000001</v>
      </c>
      <c r="I71" s="481"/>
      <c r="J71" s="481"/>
      <c r="K71" s="482"/>
      <c r="M71" s="481"/>
      <c r="N71" s="481"/>
      <c r="P71" s="106" t="b">
        <f t="shared" ref="P71:P73" si="8">MID(B71,4,1)=" "</f>
        <v>0</v>
      </c>
      <c r="Q71" s="460">
        <f t="array" ref="Q71:CC71">C71*ForwardToZero(OisBuckets,E71,F71,G71)</f>
        <v>0</v>
      </c>
      <c r="R71" s="460">
        <v>0</v>
      </c>
      <c r="S71" s="460">
        <v>0</v>
      </c>
      <c r="T71" s="460">
        <v>0</v>
      </c>
      <c r="U71" s="460">
        <v>0</v>
      </c>
      <c r="V71" s="460">
        <v>0</v>
      </c>
      <c r="W71" s="460">
        <v>0</v>
      </c>
      <c r="X71" s="460">
        <v>0</v>
      </c>
      <c r="Y71" s="460">
        <v>0</v>
      </c>
      <c r="Z71" s="460">
        <v>0</v>
      </c>
      <c r="AA71" s="460">
        <v>0</v>
      </c>
      <c r="AB71" s="460">
        <v>0</v>
      </c>
      <c r="AC71" s="460">
        <v>0</v>
      </c>
      <c r="AD71" s="460">
        <v>0</v>
      </c>
      <c r="AE71" s="460">
        <v>0</v>
      </c>
      <c r="AF71" s="460">
        <v>0</v>
      </c>
      <c r="AG71" s="460">
        <v>0</v>
      </c>
      <c r="AH71" s="460">
        <v>0</v>
      </c>
      <c r="AI71" s="460">
        <v>0</v>
      </c>
      <c r="AJ71" s="460">
        <v>0</v>
      </c>
      <c r="AK71" s="460">
        <v>0</v>
      </c>
      <c r="AL71" s="460">
        <v>0</v>
      </c>
      <c r="AM71" s="460">
        <v>0</v>
      </c>
      <c r="AN71" s="460">
        <v>0</v>
      </c>
      <c r="AO71" s="460">
        <v>0</v>
      </c>
      <c r="AP71" s="460">
        <v>0</v>
      </c>
      <c r="AQ71" s="460">
        <v>0</v>
      </c>
      <c r="AR71" s="460">
        <v>0</v>
      </c>
      <c r="AS71" s="460">
        <v>0</v>
      </c>
      <c r="AT71" s="460">
        <v>0</v>
      </c>
      <c r="AU71" s="460">
        <v>0</v>
      </c>
      <c r="AV71" s="460">
        <v>0</v>
      </c>
      <c r="AW71" s="460">
        <v>0</v>
      </c>
      <c r="AX71" s="460">
        <v>0</v>
      </c>
      <c r="AY71" s="460">
        <v>0</v>
      </c>
      <c r="AZ71" s="460">
        <v>0</v>
      </c>
      <c r="BA71" s="460">
        <v>0</v>
      </c>
      <c r="BB71" s="460">
        <v>0</v>
      </c>
      <c r="BC71" s="460">
        <v>0</v>
      </c>
      <c r="BD71" s="460">
        <v>0</v>
      </c>
      <c r="BE71" s="460">
        <v>0</v>
      </c>
      <c r="BF71" s="460">
        <v>0</v>
      </c>
      <c r="BG71" s="460">
        <v>0</v>
      </c>
      <c r="BH71" s="460">
        <v>0</v>
      </c>
      <c r="BI71" s="460">
        <v>0</v>
      </c>
      <c r="BJ71" s="460">
        <v>0</v>
      </c>
      <c r="BK71" s="460">
        <v>0</v>
      </c>
      <c r="BL71" s="460">
        <v>0</v>
      </c>
      <c r="BM71" s="460">
        <v>0</v>
      </c>
      <c r="BN71" s="460">
        <v>0</v>
      </c>
      <c r="BO71" s="460">
        <v>0</v>
      </c>
      <c r="BP71" s="460">
        <v>0</v>
      </c>
      <c r="BQ71" s="460">
        <v>0</v>
      </c>
      <c r="BR71" s="460">
        <v>0</v>
      </c>
      <c r="BS71" s="460">
        <v>0</v>
      </c>
      <c r="BT71" s="460">
        <v>0</v>
      </c>
      <c r="BU71" s="460">
        <v>0</v>
      </c>
      <c r="BV71" s="460">
        <v>0</v>
      </c>
      <c r="BW71" s="460">
        <v>0</v>
      </c>
      <c r="BX71" s="460">
        <v>0</v>
      </c>
      <c r="BY71" s="460">
        <v>0</v>
      </c>
      <c r="BZ71" s="460">
        <v>0</v>
      </c>
      <c r="CA71" s="460" t="e">
        <v>#N/A</v>
      </c>
      <c r="CB71" s="460" t="e">
        <v>#N/A</v>
      </c>
      <c r="CC71" s="460" t="e">
        <v>#N/A</v>
      </c>
    </row>
    <row r="72" spans="1:81" ht="12.75" customHeight="1">
      <c r="A72" s="458">
        <v>67</v>
      </c>
      <c r="B72" s="458" t="str">
        <v>50Y</v>
      </c>
      <c r="C72" s="465">
        <f>'eur disaggregated'!AV83</f>
        <v>0</v>
      </c>
      <c r="D72" s="111" t="str">
        <f t="shared" ref="D72:D73" si="9">IF(LEN(B72)&gt;3, "12M",IF(LEN(B72)&gt;0,SimplifyTenor(B72),""))</f>
        <v>600M</v>
      </c>
      <c r="E72" s="441">
        <f t="shared" si="5"/>
        <v>42696</v>
      </c>
      <c r="F72" s="441">
        <f>IF(AND(NOT(ISNA(MATCH(RIGHT(B72,2),$I$6:$I$67,0))),LEN(B72)&lt;3,RIGHT(B72,1)="M"), INDEX($K$6:$K$67, MATCH(RIGHT(B72,2),$I$6:$I$67,0)), IF(AND(NOT(ISNA(MATCH((IF(RIGHT(B72,3)="24M","2Y",RIGHT(B72,3))),$I$6:$I$67,0))), LEN(B72)&gt;=3, RIGHT(B72,1)="M"), INDEX($K$6:$K$67, MATCH((IF(RIGHT(B72,3)="24M","2Y",RIGHT(B72,3))),$I$6:$I$67,0)), _xll.qlCalendarAdvance(Calendar,E72,D72)))</f>
        <v>60958</v>
      </c>
      <c r="G72" s="462">
        <f t="shared" si="7"/>
        <v>1.1599999999999999E-2</v>
      </c>
      <c r="H72" s="453">
        <v>1.1599999999999999</v>
      </c>
      <c r="I72" s="481"/>
      <c r="J72" s="481"/>
      <c r="K72" s="482"/>
      <c r="M72" s="481"/>
      <c r="N72" s="481"/>
      <c r="P72" s="106" t="b">
        <f t="shared" si="8"/>
        <v>0</v>
      </c>
      <c r="Q72" s="460">
        <f t="array" ref="Q72:CC72">C72*ForwardToZero(OisBuckets,E72,F72,G72)</f>
        <v>0</v>
      </c>
      <c r="R72" s="460">
        <v>0</v>
      </c>
      <c r="S72" s="460">
        <v>0</v>
      </c>
      <c r="T72" s="460">
        <v>0</v>
      </c>
      <c r="U72" s="460">
        <v>0</v>
      </c>
      <c r="V72" s="460">
        <v>0</v>
      </c>
      <c r="W72" s="460">
        <v>0</v>
      </c>
      <c r="X72" s="460">
        <v>0</v>
      </c>
      <c r="Y72" s="460">
        <v>0</v>
      </c>
      <c r="Z72" s="460">
        <v>0</v>
      </c>
      <c r="AA72" s="460">
        <v>0</v>
      </c>
      <c r="AB72" s="460">
        <v>0</v>
      </c>
      <c r="AC72" s="460">
        <v>0</v>
      </c>
      <c r="AD72" s="460">
        <v>0</v>
      </c>
      <c r="AE72" s="460">
        <v>0</v>
      </c>
      <c r="AF72" s="460">
        <v>0</v>
      </c>
      <c r="AG72" s="460">
        <v>0</v>
      </c>
      <c r="AH72" s="460">
        <v>0</v>
      </c>
      <c r="AI72" s="460">
        <v>0</v>
      </c>
      <c r="AJ72" s="460">
        <v>0</v>
      </c>
      <c r="AK72" s="460">
        <v>0</v>
      </c>
      <c r="AL72" s="460">
        <v>0</v>
      </c>
      <c r="AM72" s="460">
        <v>0</v>
      </c>
      <c r="AN72" s="460">
        <v>0</v>
      </c>
      <c r="AO72" s="460">
        <v>0</v>
      </c>
      <c r="AP72" s="460">
        <v>0</v>
      </c>
      <c r="AQ72" s="460">
        <v>0</v>
      </c>
      <c r="AR72" s="460">
        <v>0</v>
      </c>
      <c r="AS72" s="460">
        <v>0</v>
      </c>
      <c r="AT72" s="460">
        <v>0</v>
      </c>
      <c r="AU72" s="460">
        <v>0</v>
      </c>
      <c r="AV72" s="460">
        <v>0</v>
      </c>
      <c r="AW72" s="460">
        <v>0</v>
      </c>
      <c r="AX72" s="460">
        <v>0</v>
      </c>
      <c r="AY72" s="460">
        <v>0</v>
      </c>
      <c r="AZ72" s="460">
        <v>0</v>
      </c>
      <c r="BA72" s="460">
        <v>0</v>
      </c>
      <c r="BB72" s="460">
        <v>0</v>
      </c>
      <c r="BC72" s="460">
        <v>0</v>
      </c>
      <c r="BD72" s="460">
        <v>0</v>
      </c>
      <c r="BE72" s="460">
        <v>0</v>
      </c>
      <c r="BF72" s="460">
        <v>0</v>
      </c>
      <c r="BG72" s="460">
        <v>0</v>
      </c>
      <c r="BH72" s="460">
        <v>0</v>
      </c>
      <c r="BI72" s="460">
        <v>0</v>
      </c>
      <c r="BJ72" s="460">
        <v>0</v>
      </c>
      <c r="BK72" s="460">
        <v>0</v>
      </c>
      <c r="BL72" s="460">
        <v>0</v>
      </c>
      <c r="BM72" s="460">
        <v>0</v>
      </c>
      <c r="BN72" s="460">
        <v>0</v>
      </c>
      <c r="BO72" s="460">
        <v>0</v>
      </c>
      <c r="BP72" s="460">
        <v>0</v>
      </c>
      <c r="BQ72" s="460">
        <v>0</v>
      </c>
      <c r="BR72" s="460">
        <v>0</v>
      </c>
      <c r="BS72" s="460">
        <v>0</v>
      </c>
      <c r="BT72" s="460">
        <v>0</v>
      </c>
      <c r="BU72" s="460">
        <v>0</v>
      </c>
      <c r="BV72" s="460">
        <v>0</v>
      </c>
      <c r="BW72" s="460">
        <v>0</v>
      </c>
      <c r="BX72" s="460">
        <v>0</v>
      </c>
      <c r="BY72" s="460">
        <v>0</v>
      </c>
      <c r="BZ72" s="460">
        <v>0</v>
      </c>
      <c r="CA72" s="460" t="e">
        <v>#N/A</v>
      </c>
      <c r="CB72" s="460" t="e">
        <v>#N/A</v>
      </c>
      <c r="CC72" s="460" t="e">
        <v>#N/A</v>
      </c>
    </row>
    <row r="73" spans="1:81" ht="12.75" customHeight="1">
      <c r="A73" s="458">
        <v>68</v>
      </c>
      <c r="B73" s="458" t="str">
        <v>60Y</v>
      </c>
      <c r="C73" s="465">
        <f>'eur disaggregated'!AV84</f>
        <v>0</v>
      </c>
      <c r="D73" s="111" t="str">
        <f t="shared" si="9"/>
        <v>720M</v>
      </c>
      <c r="E73" s="441">
        <f t="shared" si="5"/>
        <v>42696</v>
      </c>
      <c r="F73" s="441">
        <f>IF(AND(NOT(ISNA(MATCH(RIGHT(B73,2),$I$6:$I$67,0))),LEN(B73)&lt;3,RIGHT(B73,1)="M"), INDEX($K$6:$K$67, MATCH(RIGHT(B73,2),$I$6:$I$67,0)), IF(AND(NOT(ISNA(MATCH((IF(RIGHT(B73,3)="24M","2Y",RIGHT(B73,3))),$I$6:$I$67,0))), LEN(B73)&gt;=3, RIGHT(B73,1)="M"), INDEX($K$6:$K$67, MATCH((IF(RIGHT(B73,3)="24M","2Y",RIGHT(B73,3))),$I$6:$I$67,0)), _xll.qlCalendarAdvance(Calendar,E73,D73)))</f>
        <v>64612</v>
      </c>
      <c r="G73" s="462">
        <f t="shared" si="7"/>
        <v>1.1209999999999999E-2</v>
      </c>
      <c r="H73" s="453">
        <v>1.121</v>
      </c>
      <c r="I73" s="481"/>
      <c r="J73" s="481"/>
      <c r="K73" s="482"/>
      <c r="M73" s="481"/>
      <c r="N73" s="481"/>
      <c r="P73" s="106" t="b">
        <f t="shared" si="8"/>
        <v>0</v>
      </c>
      <c r="Q73" s="460"/>
      <c r="R73" s="460"/>
      <c r="S73" s="460"/>
      <c r="T73" s="460"/>
      <c r="U73" s="460"/>
      <c r="V73" s="460"/>
      <c r="W73" s="460"/>
      <c r="X73" s="460"/>
      <c r="Y73" s="460"/>
      <c r="Z73" s="460"/>
      <c r="AA73" s="460"/>
      <c r="AB73" s="460"/>
      <c r="AC73" s="460"/>
      <c r="AD73" s="460"/>
      <c r="AE73" s="460"/>
      <c r="AF73" s="460"/>
      <c r="AG73" s="460"/>
      <c r="AH73" s="460"/>
      <c r="AI73" s="460"/>
      <c r="AJ73" s="460"/>
      <c r="AK73" s="460"/>
      <c r="AL73" s="460"/>
      <c r="AM73" s="460"/>
      <c r="AN73" s="460"/>
      <c r="AO73" s="460"/>
      <c r="AP73" s="460"/>
      <c r="AQ73" s="460"/>
      <c r="AR73" s="460"/>
      <c r="AS73" s="460"/>
      <c r="AT73" s="460"/>
      <c r="AU73" s="460"/>
      <c r="AV73" s="460"/>
      <c r="AW73" s="460"/>
      <c r="AX73" s="460"/>
      <c r="AY73" s="460"/>
      <c r="AZ73" s="460"/>
      <c r="BA73" s="460"/>
      <c r="BB73" s="460"/>
      <c r="BC73" s="460"/>
      <c r="BD73" s="460"/>
      <c r="BE73" s="460"/>
      <c r="BF73" s="460"/>
      <c r="BG73" s="460"/>
      <c r="BH73" s="460"/>
      <c r="BI73" s="460"/>
      <c r="BJ73" s="460"/>
      <c r="BK73" s="460"/>
      <c r="BL73" s="460"/>
      <c r="BM73" s="460"/>
      <c r="BN73" s="460"/>
      <c r="BO73" s="460"/>
      <c r="BP73" s="460"/>
      <c r="BQ73" s="460"/>
      <c r="BR73" s="460"/>
      <c r="BS73" s="460"/>
      <c r="BT73" s="460"/>
      <c r="BU73" s="460"/>
      <c r="BV73" s="460"/>
      <c r="BW73" s="460"/>
      <c r="BX73" s="460"/>
      <c r="BY73" s="460"/>
      <c r="BZ73" s="460"/>
      <c r="CA73" s="460"/>
      <c r="CB73" s="460"/>
      <c r="CC73" s="460"/>
    </row>
    <row r="74" spans="1:81" ht="12.75" customHeight="1">
      <c r="A74" s="335"/>
      <c r="B74" s="335"/>
      <c r="C74" s="335"/>
      <c r="D74" s="335"/>
      <c r="E74" s="335"/>
      <c r="F74" s="335"/>
      <c r="G74" s="335"/>
      <c r="H74" s="335"/>
      <c r="I74" s="335"/>
      <c r="J74" s="335"/>
      <c r="K74" s="335"/>
      <c r="M74" s="335"/>
      <c r="N74" s="335"/>
      <c r="P74" s="335"/>
      <c r="Q74" s="335"/>
      <c r="R74" s="335"/>
      <c r="S74" s="335"/>
      <c r="T74" s="335"/>
      <c r="U74" s="335"/>
      <c r="V74" s="335"/>
      <c r="W74" s="335"/>
      <c r="X74" s="335"/>
      <c r="Y74" s="335"/>
      <c r="Z74" s="335"/>
      <c r="AA74" s="335"/>
      <c r="AB74" s="335"/>
      <c r="AC74" s="335"/>
      <c r="AD74" s="335"/>
      <c r="AE74" s="335"/>
      <c r="AF74" s="335"/>
      <c r="AG74" s="335"/>
      <c r="AH74" s="335"/>
      <c r="AI74" s="335"/>
      <c r="AJ74" s="335"/>
      <c r="AK74" s="335"/>
      <c r="AL74" s="335"/>
      <c r="AM74" s="335"/>
      <c r="AN74" s="335"/>
      <c r="AO74" s="335"/>
      <c r="AP74" s="335"/>
      <c r="AQ74" s="335"/>
      <c r="AR74" s="335"/>
      <c r="AS74" s="335"/>
      <c r="AT74" s="335"/>
      <c r="AU74" s="335"/>
      <c r="AV74" s="335"/>
      <c r="AW74" s="335"/>
      <c r="AX74" s="335"/>
      <c r="AY74" s="335"/>
      <c r="AZ74" s="335"/>
      <c r="BA74" s="335"/>
      <c r="BB74" s="335"/>
      <c r="BC74" s="335"/>
      <c r="BD74" s="335"/>
      <c r="BE74" s="335"/>
      <c r="BF74" s="335"/>
      <c r="BG74" s="335"/>
      <c r="BH74" s="335"/>
      <c r="BI74" s="335"/>
      <c r="BJ74" s="335"/>
      <c r="BK74" s="335"/>
      <c r="BL74" s="335"/>
      <c r="BM74" s="335"/>
      <c r="BN74" s="335"/>
      <c r="BO74" s="335"/>
      <c r="BP74" s="335"/>
      <c r="BQ74" s="335"/>
      <c r="BR74" s="335"/>
      <c r="BS74" s="335"/>
      <c r="BT74" s="335"/>
      <c r="BU74" s="335"/>
      <c r="BV74" s="335"/>
      <c r="BW74" s="335"/>
      <c r="BX74" s="335"/>
      <c r="BY74" s="335"/>
      <c r="BZ74" s="335"/>
      <c r="CA74" s="335"/>
      <c r="CB74" s="335"/>
      <c r="CC74" s="335"/>
    </row>
    <row r="75" spans="1:81" ht="12.75" customHeight="1" thickBot="1">
      <c r="P75" s="99" t="s">
        <v>5155</v>
      </c>
      <c r="Q75" s="465">
        <f>SUM(Q6:Q70)</f>
        <v>0</v>
      </c>
      <c r="R75" s="465">
        <f t="shared" ref="R75:CC75" si="10">SUM(R6:R70)</f>
        <v>0</v>
      </c>
      <c r="S75" s="465">
        <f t="shared" si="10"/>
        <v>8.2433400817060267</v>
      </c>
      <c r="T75" s="465">
        <f t="shared" si="10"/>
        <v>0</v>
      </c>
      <c r="U75" s="465">
        <f t="shared" si="10"/>
        <v>0</v>
      </c>
      <c r="V75" s="465">
        <f t="shared" si="10"/>
        <v>0</v>
      </c>
      <c r="W75" s="465">
        <f t="shared" si="10"/>
        <v>-2.8115697843866698</v>
      </c>
      <c r="X75" s="465">
        <f t="shared" si="10"/>
        <v>815.087028087612</v>
      </c>
      <c r="Y75" s="465">
        <f t="shared" si="10"/>
        <v>2913.1350495505299</v>
      </c>
      <c r="Z75" s="465">
        <f t="shared" si="10"/>
        <v>-51.003050577059092</v>
      </c>
      <c r="AA75" s="465">
        <f t="shared" si="10"/>
        <v>0</v>
      </c>
      <c r="AB75" s="465">
        <f t="shared" si="10"/>
        <v>434.70896977949701</v>
      </c>
      <c r="AC75" s="465">
        <f t="shared" si="10"/>
        <v>-4678.4515922596765</v>
      </c>
      <c r="AD75" s="465">
        <f t="shared" si="10"/>
        <v>-888.56508680005891</v>
      </c>
      <c r="AE75" s="465">
        <f t="shared" si="10"/>
        <v>89.099113630231813</v>
      </c>
      <c r="AF75" s="465">
        <f t="shared" si="10"/>
        <v>-9.8076991634711526</v>
      </c>
      <c r="AG75" s="465">
        <f t="shared" si="10"/>
        <v>-250.2023271245979</v>
      </c>
      <c r="AH75" s="465">
        <f t="shared" si="10"/>
        <v>405.10785389561926</v>
      </c>
      <c r="AI75" s="465">
        <f t="shared" si="10"/>
        <v>2.9376609638341025</v>
      </c>
      <c r="AJ75" s="465">
        <f t="shared" si="10"/>
        <v>-68.211839645830992</v>
      </c>
      <c r="AK75" s="465">
        <f t="shared" si="10"/>
        <v>18.382243583493381</v>
      </c>
      <c r="AL75" s="465">
        <f t="shared" si="10"/>
        <v>44.447036624587582</v>
      </c>
      <c r="AM75" s="465">
        <f t="shared" si="10"/>
        <v>0</v>
      </c>
      <c r="AN75" s="465">
        <f t="shared" si="10"/>
        <v>-1.958829752734691</v>
      </c>
      <c r="AO75" s="465">
        <f t="shared" si="10"/>
        <v>30.687663350945705</v>
      </c>
      <c r="AP75" s="465">
        <f t="shared" si="10"/>
        <v>6.131046422063422</v>
      </c>
      <c r="AQ75" s="465">
        <f t="shared" si="10"/>
        <v>2.9873796466732161</v>
      </c>
      <c r="AR75" s="465">
        <f t="shared" si="10"/>
        <v>0.23515248858870511</v>
      </c>
      <c r="AS75" s="465">
        <f t="shared" si="10"/>
        <v>452.92531052970077</v>
      </c>
      <c r="AT75" s="465">
        <f t="shared" si="10"/>
        <v>-623.08970822606977</v>
      </c>
      <c r="AU75" s="465">
        <f t="shared" si="10"/>
        <v>0</v>
      </c>
      <c r="AV75" s="465">
        <f t="shared" si="10"/>
        <v>-149.88829445169253</v>
      </c>
      <c r="AW75" s="465">
        <f t="shared" si="10"/>
        <v>-363.05373734453286</v>
      </c>
      <c r="AX75" s="465">
        <f t="shared" si="10"/>
        <v>118.5333702660115</v>
      </c>
      <c r="AY75" s="465">
        <f t="shared" si="10"/>
        <v>63.078046127213497</v>
      </c>
      <c r="AZ75" s="465">
        <f t="shared" si="10"/>
        <v>-32.190097380783868</v>
      </c>
      <c r="BA75" s="465">
        <f t="shared" si="10"/>
        <v>-271.00985269241022</v>
      </c>
      <c r="BB75" s="465">
        <f t="shared" si="10"/>
        <v>201.65259030417508</v>
      </c>
      <c r="BC75" s="465">
        <f t="shared" si="10"/>
        <v>978.98453644114375</v>
      </c>
      <c r="BD75" s="465">
        <f t="shared" si="10"/>
        <v>-22045.894792623923</v>
      </c>
      <c r="BE75" s="465">
        <f t="shared" si="10"/>
        <v>-6066.0171351403415</v>
      </c>
      <c r="BF75" s="465">
        <f t="shared" si="10"/>
        <v>925.45234062377006</v>
      </c>
      <c r="BG75" s="465">
        <f t="shared" si="10"/>
        <v>-562.14732947359005</v>
      </c>
      <c r="BH75" s="465">
        <f t="shared" si="10"/>
        <v>3445.4070818255095</v>
      </c>
      <c r="BI75" s="465">
        <f t="shared" si="10"/>
        <v>-34511.49566623482</v>
      </c>
      <c r="BJ75" s="465">
        <f t="shared" si="10"/>
        <v>-104353.46712264193</v>
      </c>
      <c r="BK75" s="465">
        <f t="shared" si="10"/>
        <v>154253.17809820414</v>
      </c>
      <c r="BL75" s="465">
        <f t="shared" si="10"/>
        <v>337184.14276826609</v>
      </c>
      <c r="BM75" s="465">
        <f t="shared" si="10"/>
        <v>-272828.777515364</v>
      </c>
      <c r="BN75" s="465">
        <f t="shared" si="10"/>
        <v>-75930.24948308646</v>
      </c>
      <c r="BO75" s="465">
        <f t="shared" si="10"/>
        <v>9873.9948498861595</v>
      </c>
      <c r="BP75" s="465">
        <f t="shared" si="10"/>
        <v>-0.41015379565736648</v>
      </c>
      <c r="BQ75" s="465">
        <f t="shared" si="10"/>
        <v>0</v>
      </c>
      <c r="BR75" s="465">
        <f t="shared" si="10"/>
        <v>0</v>
      </c>
      <c r="BS75" s="465">
        <f t="shared" si="10"/>
        <v>0</v>
      </c>
      <c r="BT75" s="465">
        <f t="shared" si="10"/>
        <v>0</v>
      </c>
      <c r="BU75" s="465">
        <f t="shared" si="10"/>
        <v>0</v>
      </c>
      <c r="BV75" s="465">
        <f t="shared" si="10"/>
        <v>0</v>
      </c>
      <c r="BW75" s="465">
        <f t="shared" si="10"/>
        <v>0</v>
      </c>
      <c r="BX75" s="465">
        <f t="shared" si="10"/>
        <v>0</v>
      </c>
      <c r="BY75" s="465">
        <f t="shared" si="10"/>
        <v>0</v>
      </c>
      <c r="BZ75" s="465">
        <f t="shared" si="10"/>
        <v>0</v>
      </c>
      <c r="CA75" s="465" t="e">
        <f t="shared" si="10"/>
        <v>#N/A</v>
      </c>
      <c r="CB75" s="465" t="e">
        <f t="shared" si="10"/>
        <v>#N/A</v>
      </c>
      <c r="CC75" s="465" t="e">
        <f t="shared" si="10"/>
        <v>#N/A</v>
      </c>
    </row>
    <row r="76" spans="1:81" ht="45" customHeight="1" thickBot="1">
      <c r="B76" s="478" t="s">
        <v>5146</v>
      </c>
      <c r="C76" s="477">
        <f>SUM(C6:INDEX(C6:C70,COUNT(C6:C70)))</f>
        <v>-11420.164352984737</v>
      </c>
      <c r="N76" s="477">
        <f>SUM(N6:INDEX(N6:N70,COUNT(N6:N70)))</f>
        <v>-11420.164352984737</v>
      </c>
    </row>
    <row r="79" spans="1:81" ht="12.75" customHeight="1">
      <c r="H79" s="52"/>
    </row>
  </sheetData>
  <mergeCells count="4">
    <mergeCell ref="B3:K3"/>
    <mergeCell ref="B4:H4"/>
    <mergeCell ref="I4:K4"/>
    <mergeCell ref="N4:N5"/>
  </mergeCells>
  <conditionalFormatting sqref="P6:CC70">
    <cfRule type="expression" dxfId="13" priority="1">
      <formula>OR(LEN($I6)=0,LEN(P$4)=0)</formula>
    </cfRule>
  </conditionalFormatting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>
    <tabColor theme="3" tint="0.59999389629810485"/>
  </sheetPr>
  <dimension ref="A1:CC79"/>
  <sheetViews>
    <sheetView showGridLines="0" workbookViewId="0">
      <selection activeCell="W32" sqref="W32"/>
    </sheetView>
  </sheetViews>
  <sheetFormatPr defaultRowHeight="12.75" customHeight="1" outlineLevelCol="1"/>
  <cols>
    <col min="1" max="1" width="2.7109375" style="414" customWidth="1"/>
    <col min="2" max="2" width="11.5703125" style="414" customWidth="1"/>
    <col min="3" max="3" width="13.85546875" style="414" bestFit="1" customWidth="1"/>
    <col min="4" max="4" width="10.85546875" style="414" hidden="1" customWidth="1" outlineLevel="1"/>
    <col min="5" max="5" width="12.28515625" style="414" hidden="1" customWidth="1" outlineLevel="1"/>
    <col min="6" max="6" width="9.42578125" style="414" hidden="1" customWidth="1" outlineLevel="1"/>
    <col min="7" max="7" width="13.28515625" style="414" hidden="1" customWidth="1" outlineLevel="1"/>
    <col min="8" max="8" width="9.85546875" style="414" hidden="1" customWidth="1" outlineLevel="1"/>
    <col min="9" max="9" width="10.140625" style="414" hidden="1" customWidth="1" outlineLevel="1"/>
    <col min="10" max="10" width="9.140625" style="414" hidden="1" customWidth="1" outlineLevel="1"/>
    <col min="11" max="11" width="11.28515625" style="414" hidden="1" customWidth="1" outlineLevel="1"/>
    <col min="12" max="12" width="2.7109375" style="414" customWidth="1" collapsed="1"/>
    <col min="13" max="13" width="5.28515625" style="414" customWidth="1"/>
    <col min="14" max="14" width="14.5703125" style="414" customWidth="1"/>
    <col min="15" max="15" width="2.7109375" style="414" customWidth="1"/>
    <col min="16" max="16" width="8.42578125" style="414" bestFit="1" customWidth="1"/>
    <col min="17" max="26" width="8.7109375" style="414" customWidth="1"/>
    <col min="27" max="27" width="9.140625" style="414" bestFit="1" customWidth="1"/>
    <col min="28" max="30" width="8.7109375" style="414" customWidth="1"/>
    <col min="31" max="31" width="9.28515625" style="414" bestFit="1" customWidth="1"/>
    <col min="32" max="32" width="8.7109375" style="414" customWidth="1"/>
    <col min="33" max="34" width="9.28515625" style="414" bestFit="1" customWidth="1"/>
    <col min="35" max="35" width="9.5703125" style="414" bestFit="1" customWidth="1"/>
    <col min="36" max="37" width="9.28515625" style="414" bestFit="1" customWidth="1"/>
    <col min="38" max="38" width="9.140625" style="414" bestFit="1" customWidth="1"/>
    <col min="39" max="39" width="9.28515625" style="414" bestFit="1" customWidth="1"/>
    <col min="40" max="42" width="10" style="414" bestFit="1" customWidth="1"/>
    <col min="43" max="44" width="8.7109375" style="414" customWidth="1"/>
    <col min="45" max="45" width="9.7109375" style="414" bestFit="1" customWidth="1"/>
    <col min="46" max="46" width="10.85546875" style="414" bestFit="1" customWidth="1"/>
    <col min="47" max="47" width="10" style="414" bestFit="1" customWidth="1"/>
    <col min="48" max="48" width="10.140625" style="414" bestFit="1" customWidth="1"/>
    <col min="49" max="49" width="9.7109375" style="414" bestFit="1" customWidth="1"/>
    <col min="50" max="50" width="10" style="414" bestFit="1" customWidth="1"/>
    <col min="51" max="51" width="11.28515625" style="414" bestFit="1" customWidth="1"/>
    <col min="52" max="52" width="9.5703125" style="414" bestFit="1" customWidth="1"/>
    <col min="53" max="53" width="9.28515625" style="414" bestFit="1" customWidth="1"/>
    <col min="54" max="56" width="11.28515625" style="414" bestFit="1" customWidth="1"/>
    <col min="57" max="57" width="10" style="414" bestFit="1" customWidth="1"/>
    <col min="58" max="58" width="10.85546875" style="414" bestFit="1" customWidth="1"/>
    <col min="59" max="59" width="9.7109375" style="414" bestFit="1" customWidth="1"/>
    <col min="60" max="60" width="11.28515625" style="414" bestFit="1" customWidth="1"/>
    <col min="61" max="61" width="10.85546875" style="414" bestFit="1" customWidth="1"/>
    <col min="62" max="63" width="11.28515625" style="414" bestFit="1" customWidth="1"/>
    <col min="64" max="64" width="10.85546875" style="414" bestFit="1" customWidth="1"/>
    <col min="65" max="67" width="11.28515625" style="414" bestFit="1" customWidth="1"/>
    <col min="68" max="68" width="9.5703125" style="414" bestFit="1" customWidth="1"/>
    <col min="69" max="86" width="8.7109375" style="414" customWidth="1"/>
    <col min="87" max="257" width="9.140625" style="414"/>
    <col min="258" max="258" width="2.7109375" style="414" customWidth="1"/>
    <col min="259" max="260" width="11.5703125" style="414" customWidth="1"/>
    <col min="261" max="261" width="7.28515625" style="414" customWidth="1"/>
    <col min="262" max="262" width="9.85546875" style="414" customWidth="1"/>
    <col min="263" max="263" width="10.140625" style="414" customWidth="1"/>
    <col min="264" max="264" width="11.28515625" style="414" customWidth="1"/>
    <col min="265" max="265" width="2.7109375" style="414" customWidth="1"/>
    <col min="266" max="266" width="9.42578125" style="414" customWidth="1"/>
    <col min="267" max="267" width="2.7109375" style="414" customWidth="1"/>
    <col min="268" max="271" width="0" style="414" hidden="1" customWidth="1"/>
    <col min="272" max="272" width="10" style="414" customWidth="1"/>
    <col min="273" max="342" width="6.7109375" style="414" customWidth="1"/>
    <col min="343" max="513" width="9.140625" style="414"/>
    <col min="514" max="514" width="2.7109375" style="414" customWidth="1"/>
    <col min="515" max="516" width="11.5703125" style="414" customWidth="1"/>
    <col min="517" max="517" width="7.28515625" style="414" customWidth="1"/>
    <col min="518" max="518" width="9.85546875" style="414" customWidth="1"/>
    <col min="519" max="519" width="10.140625" style="414" customWidth="1"/>
    <col min="520" max="520" width="11.28515625" style="414" customWidth="1"/>
    <col min="521" max="521" width="2.7109375" style="414" customWidth="1"/>
    <col min="522" max="522" width="9.42578125" style="414" customWidth="1"/>
    <col min="523" max="523" width="2.7109375" style="414" customWidth="1"/>
    <col min="524" max="527" width="0" style="414" hidden="1" customWidth="1"/>
    <col min="528" max="528" width="10" style="414" customWidth="1"/>
    <col min="529" max="598" width="6.7109375" style="414" customWidth="1"/>
    <col min="599" max="769" width="9.140625" style="414"/>
    <col min="770" max="770" width="2.7109375" style="414" customWidth="1"/>
    <col min="771" max="772" width="11.5703125" style="414" customWidth="1"/>
    <col min="773" max="773" width="7.28515625" style="414" customWidth="1"/>
    <col min="774" max="774" width="9.85546875" style="414" customWidth="1"/>
    <col min="775" max="775" width="10.140625" style="414" customWidth="1"/>
    <col min="776" max="776" width="11.28515625" style="414" customWidth="1"/>
    <col min="777" max="777" width="2.7109375" style="414" customWidth="1"/>
    <col min="778" max="778" width="9.42578125" style="414" customWidth="1"/>
    <col min="779" max="779" width="2.7109375" style="414" customWidth="1"/>
    <col min="780" max="783" width="0" style="414" hidden="1" customWidth="1"/>
    <col min="784" max="784" width="10" style="414" customWidth="1"/>
    <col min="785" max="854" width="6.7109375" style="414" customWidth="1"/>
    <col min="855" max="1025" width="9.140625" style="414"/>
    <col min="1026" max="1026" width="2.7109375" style="414" customWidth="1"/>
    <col min="1027" max="1028" width="11.5703125" style="414" customWidth="1"/>
    <col min="1029" max="1029" width="7.28515625" style="414" customWidth="1"/>
    <col min="1030" max="1030" width="9.85546875" style="414" customWidth="1"/>
    <col min="1031" max="1031" width="10.140625" style="414" customWidth="1"/>
    <col min="1032" max="1032" width="11.28515625" style="414" customWidth="1"/>
    <col min="1033" max="1033" width="2.7109375" style="414" customWidth="1"/>
    <col min="1034" max="1034" width="9.42578125" style="414" customWidth="1"/>
    <col min="1035" max="1035" width="2.7109375" style="414" customWidth="1"/>
    <col min="1036" max="1039" width="0" style="414" hidden="1" customWidth="1"/>
    <col min="1040" max="1040" width="10" style="414" customWidth="1"/>
    <col min="1041" max="1110" width="6.7109375" style="414" customWidth="1"/>
    <col min="1111" max="1281" width="9.140625" style="414"/>
    <col min="1282" max="1282" width="2.7109375" style="414" customWidth="1"/>
    <col min="1283" max="1284" width="11.5703125" style="414" customWidth="1"/>
    <col min="1285" max="1285" width="7.28515625" style="414" customWidth="1"/>
    <col min="1286" max="1286" width="9.85546875" style="414" customWidth="1"/>
    <col min="1287" max="1287" width="10.140625" style="414" customWidth="1"/>
    <col min="1288" max="1288" width="11.28515625" style="414" customWidth="1"/>
    <col min="1289" max="1289" width="2.7109375" style="414" customWidth="1"/>
    <col min="1290" max="1290" width="9.42578125" style="414" customWidth="1"/>
    <col min="1291" max="1291" width="2.7109375" style="414" customWidth="1"/>
    <col min="1292" max="1295" width="0" style="414" hidden="1" customWidth="1"/>
    <col min="1296" max="1296" width="10" style="414" customWidth="1"/>
    <col min="1297" max="1366" width="6.7109375" style="414" customWidth="1"/>
    <col min="1367" max="1537" width="9.140625" style="414"/>
    <col min="1538" max="1538" width="2.7109375" style="414" customWidth="1"/>
    <col min="1539" max="1540" width="11.5703125" style="414" customWidth="1"/>
    <col min="1541" max="1541" width="7.28515625" style="414" customWidth="1"/>
    <col min="1542" max="1542" width="9.85546875" style="414" customWidth="1"/>
    <col min="1543" max="1543" width="10.140625" style="414" customWidth="1"/>
    <col min="1544" max="1544" width="11.28515625" style="414" customWidth="1"/>
    <col min="1545" max="1545" width="2.7109375" style="414" customWidth="1"/>
    <col min="1546" max="1546" width="9.42578125" style="414" customWidth="1"/>
    <col min="1547" max="1547" width="2.7109375" style="414" customWidth="1"/>
    <col min="1548" max="1551" width="0" style="414" hidden="1" customWidth="1"/>
    <col min="1552" max="1552" width="10" style="414" customWidth="1"/>
    <col min="1553" max="1622" width="6.7109375" style="414" customWidth="1"/>
    <col min="1623" max="1793" width="9.140625" style="414"/>
    <col min="1794" max="1794" width="2.7109375" style="414" customWidth="1"/>
    <col min="1795" max="1796" width="11.5703125" style="414" customWidth="1"/>
    <col min="1797" max="1797" width="7.28515625" style="414" customWidth="1"/>
    <col min="1798" max="1798" width="9.85546875" style="414" customWidth="1"/>
    <col min="1799" max="1799" width="10.140625" style="414" customWidth="1"/>
    <col min="1800" max="1800" width="11.28515625" style="414" customWidth="1"/>
    <col min="1801" max="1801" width="2.7109375" style="414" customWidth="1"/>
    <col min="1802" max="1802" width="9.42578125" style="414" customWidth="1"/>
    <col min="1803" max="1803" width="2.7109375" style="414" customWidth="1"/>
    <col min="1804" max="1807" width="0" style="414" hidden="1" customWidth="1"/>
    <col min="1808" max="1808" width="10" style="414" customWidth="1"/>
    <col min="1809" max="1878" width="6.7109375" style="414" customWidth="1"/>
    <col min="1879" max="2049" width="9.140625" style="414"/>
    <col min="2050" max="2050" width="2.7109375" style="414" customWidth="1"/>
    <col min="2051" max="2052" width="11.5703125" style="414" customWidth="1"/>
    <col min="2053" max="2053" width="7.28515625" style="414" customWidth="1"/>
    <col min="2054" max="2054" width="9.85546875" style="414" customWidth="1"/>
    <col min="2055" max="2055" width="10.140625" style="414" customWidth="1"/>
    <col min="2056" max="2056" width="11.28515625" style="414" customWidth="1"/>
    <col min="2057" max="2057" width="2.7109375" style="414" customWidth="1"/>
    <col min="2058" max="2058" width="9.42578125" style="414" customWidth="1"/>
    <col min="2059" max="2059" width="2.7109375" style="414" customWidth="1"/>
    <col min="2060" max="2063" width="0" style="414" hidden="1" customWidth="1"/>
    <col min="2064" max="2064" width="10" style="414" customWidth="1"/>
    <col min="2065" max="2134" width="6.7109375" style="414" customWidth="1"/>
    <col min="2135" max="2305" width="9.140625" style="414"/>
    <col min="2306" max="2306" width="2.7109375" style="414" customWidth="1"/>
    <col min="2307" max="2308" width="11.5703125" style="414" customWidth="1"/>
    <col min="2309" max="2309" width="7.28515625" style="414" customWidth="1"/>
    <col min="2310" max="2310" width="9.85546875" style="414" customWidth="1"/>
    <col min="2311" max="2311" width="10.140625" style="414" customWidth="1"/>
    <col min="2312" max="2312" width="11.28515625" style="414" customWidth="1"/>
    <col min="2313" max="2313" width="2.7109375" style="414" customWidth="1"/>
    <col min="2314" max="2314" width="9.42578125" style="414" customWidth="1"/>
    <col min="2315" max="2315" width="2.7109375" style="414" customWidth="1"/>
    <col min="2316" max="2319" width="0" style="414" hidden="1" customWidth="1"/>
    <col min="2320" max="2320" width="10" style="414" customWidth="1"/>
    <col min="2321" max="2390" width="6.7109375" style="414" customWidth="1"/>
    <col min="2391" max="2561" width="9.140625" style="414"/>
    <col min="2562" max="2562" width="2.7109375" style="414" customWidth="1"/>
    <col min="2563" max="2564" width="11.5703125" style="414" customWidth="1"/>
    <col min="2565" max="2565" width="7.28515625" style="414" customWidth="1"/>
    <col min="2566" max="2566" width="9.85546875" style="414" customWidth="1"/>
    <col min="2567" max="2567" width="10.140625" style="414" customWidth="1"/>
    <col min="2568" max="2568" width="11.28515625" style="414" customWidth="1"/>
    <col min="2569" max="2569" width="2.7109375" style="414" customWidth="1"/>
    <col min="2570" max="2570" width="9.42578125" style="414" customWidth="1"/>
    <col min="2571" max="2571" width="2.7109375" style="414" customWidth="1"/>
    <col min="2572" max="2575" width="0" style="414" hidden="1" customWidth="1"/>
    <col min="2576" max="2576" width="10" style="414" customWidth="1"/>
    <col min="2577" max="2646" width="6.7109375" style="414" customWidth="1"/>
    <col min="2647" max="2817" width="9.140625" style="414"/>
    <col min="2818" max="2818" width="2.7109375" style="414" customWidth="1"/>
    <col min="2819" max="2820" width="11.5703125" style="414" customWidth="1"/>
    <col min="2821" max="2821" width="7.28515625" style="414" customWidth="1"/>
    <col min="2822" max="2822" width="9.85546875" style="414" customWidth="1"/>
    <col min="2823" max="2823" width="10.140625" style="414" customWidth="1"/>
    <col min="2824" max="2824" width="11.28515625" style="414" customWidth="1"/>
    <col min="2825" max="2825" width="2.7109375" style="414" customWidth="1"/>
    <col min="2826" max="2826" width="9.42578125" style="414" customWidth="1"/>
    <col min="2827" max="2827" width="2.7109375" style="414" customWidth="1"/>
    <col min="2828" max="2831" width="0" style="414" hidden="1" customWidth="1"/>
    <col min="2832" max="2832" width="10" style="414" customWidth="1"/>
    <col min="2833" max="2902" width="6.7109375" style="414" customWidth="1"/>
    <col min="2903" max="3073" width="9.140625" style="414"/>
    <col min="3074" max="3074" width="2.7109375" style="414" customWidth="1"/>
    <col min="3075" max="3076" width="11.5703125" style="414" customWidth="1"/>
    <col min="3077" max="3077" width="7.28515625" style="414" customWidth="1"/>
    <col min="3078" max="3078" width="9.85546875" style="414" customWidth="1"/>
    <col min="3079" max="3079" width="10.140625" style="414" customWidth="1"/>
    <col min="3080" max="3080" width="11.28515625" style="414" customWidth="1"/>
    <col min="3081" max="3081" width="2.7109375" style="414" customWidth="1"/>
    <col min="3082" max="3082" width="9.42578125" style="414" customWidth="1"/>
    <col min="3083" max="3083" width="2.7109375" style="414" customWidth="1"/>
    <col min="3084" max="3087" width="0" style="414" hidden="1" customWidth="1"/>
    <col min="3088" max="3088" width="10" style="414" customWidth="1"/>
    <col min="3089" max="3158" width="6.7109375" style="414" customWidth="1"/>
    <col min="3159" max="3329" width="9.140625" style="414"/>
    <col min="3330" max="3330" width="2.7109375" style="414" customWidth="1"/>
    <col min="3331" max="3332" width="11.5703125" style="414" customWidth="1"/>
    <col min="3333" max="3333" width="7.28515625" style="414" customWidth="1"/>
    <col min="3334" max="3334" width="9.85546875" style="414" customWidth="1"/>
    <col min="3335" max="3335" width="10.140625" style="414" customWidth="1"/>
    <col min="3336" max="3336" width="11.28515625" style="414" customWidth="1"/>
    <col min="3337" max="3337" width="2.7109375" style="414" customWidth="1"/>
    <col min="3338" max="3338" width="9.42578125" style="414" customWidth="1"/>
    <col min="3339" max="3339" width="2.7109375" style="414" customWidth="1"/>
    <col min="3340" max="3343" width="0" style="414" hidden="1" customWidth="1"/>
    <col min="3344" max="3344" width="10" style="414" customWidth="1"/>
    <col min="3345" max="3414" width="6.7109375" style="414" customWidth="1"/>
    <col min="3415" max="3585" width="9.140625" style="414"/>
    <col min="3586" max="3586" width="2.7109375" style="414" customWidth="1"/>
    <col min="3587" max="3588" width="11.5703125" style="414" customWidth="1"/>
    <col min="3589" max="3589" width="7.28515625" style="414" customWidth="1"/>
    <col min="3590" max="3590" width="9.85546875" style="414" customWidth="1"/>
    <col min="3591" max="3591" width="10.140625" style="414" customWidth="1"/>
    <col min="3592" max="3592" width="11.28515625" style="414" customWidth="1"/>
    <col min="3593" max="3593" width="2.7109375" style="414" customWidth="1"/>
    <col min="3594" max="3594" width="9.42578125" style="414" customWidth="1"/>
    <col min="3595" max="3595" width="2.7109375" style="414" customWidth="1"/>
    <col min="3596" max="3599" width="0" style="414" hidden="1" customWidth="1"/>
    <col min="3600" max="3600" width="10" style="414" customWidth="1"/>
    <col min="3601" max="3670" width="6.7109375" style="414" customWidth="1"/>
    <col min="3671" max="3841" width="9.140625" style="414"/>
    <col min="3842" max="3842" width="2.7109375" style="414" customWidth="1"/>
    <col min="3843" max="3844" width="11.5703125" style="414" customWidth="1"/>
    <col min="3845" max="3845" width="7.28515625" style="414" customWidth="1"/>
    <col min="3846" max="3846" width="9.85546875" style="414" customWidth="1"/>
    <col min="3847" max="3847" width="10.140625" style="414" customWidth="1"/>
    <col min="3848" max="3848" width="11.28515625" style="414" customWidth="1"/>
    <col min="3849" max="3849" width="2.7109375" style="414" customWidth="1"/>
    <col min="3850" max="3850" width="9.42578125" style="414" customWidth="1"/>
    <col min="3851" max="3851" width="2.7109375" style="414" customWidth="1"/>
    <col min="3852" max="3855" width="0" style="414" hidden="1" customWidth="1"/>
    <col min="3856" max="3856" width="10" style="414" customWidth="1"/>
    <col min="3857" max="3926" width="6.7109375" style="414" customWidth="1"/>
    <col min="3927" max="4097" width="9.140625" style="414"/>
    <col min="4098" max="4098" width="2.7109375" style="414" customWidth="1"/>
    <col min="4099" max="4100" width="11.5703125" style="414" customWidth="1"/>
    <col min="4101" max="4101" width="7.28515625" style="414" customWidth="1"/>
    <col min="4102" max="4102" width="9.85546875" style="414" customWidth="1"/>
    <col min="4103" max="4103" width="10.140625" style="414" customWidth="1"/>
    <col min="4104" max="4104" width="11.28515625" style="414" customWidth="1"/>
    <col min="4105" max="4105" width="2.7109375" style="414" customWidth="1"/>
    <col min="4106" max="4106" width="9.42578125" style="414" customWidth="1"/>
    <col min="4107" max="4107" width="2.7109375" style="414" customWidth="1"/>
    <col min="4108" max="4111" width="0" style="414" hidden="1" customWidth="1"/>
    <col min="4112" max="4112" width="10" style="414" customWidth="1"/>
    <col min="4113" max="4182" width="6.7109375" style="414" customWidth="1"/>
    <col min="4183" max="4353" width="9.140625" style="414"/>
    <col min="4354" max="4354" width="2.7109375" style="414" customWidth="1"/>
    <col min="4355" max="4356" width="11.5703125" style="414" customWidth="1"/>
    <col min="4357" max="4357" width="7.28515625" style="414" customWidth="1"/>
    <col min="4358" max="4358" width="9.85546875" style="414" customWidth="1"/>
    <col min="4359" max="4359" width="10.140625" style="414" customWidth="1"/>
    <col min="4360" max="4360" width="11.28515625" style="414" customWidth="1"/>
    <col min="4361" max="4361" width="2.7109375" style="414" customWidth="1"/>
    <col min="4362" max="4362" width="9.42578125" style="414" customWidth="1"/>
    <col min="4363" max="4363" width="2.7109375" style="414" customWidth="1"/>
    <col min="4364" max="4367" width="0" style="414" hidden="1" customWidth="1"/>
    <col min="4368" max="4368" width="10" style="414" customWidth="1"/>
    <col min="4369" max="4438" width="6.7109375" style="414" customWidth="1"/>
    <col min="4439" max="4609" width="9.140625" style="414"/>
    <col min="4610" max="4610" width="2.7109375" style="414" customWidth="1"/>
    <col min="4611" max="4612" width="11.5703125" style="414" customWidth="1"/>
    <col min="4613" max="4613" width="7.28515625" style="414" customWidth="1"/>
    <col min="4614" max="4614" width="9.85546875" style="414" customWidth="1"/>
    <col min="4615" max="4615" width="10.140625" style="414" customWidth="1"/>
    <col min="4616" max="4616" width="11.28515625" style="414" customWidth="1"/>
    <col min="4617" max="4617" width="2.7109375" style="414" customWidth="1"/>
    <col min="4618" max="4618" width="9.42578125" style="414" customWidth="1"/>
    <col min="4619" max="4619" width="2.7109375" style="414" customWidth="1"/>
    <col min="4620" max="4623" width="0" style="414" hidden="1" customWidth="1"/>
    <col min="4624" max="4624" width="10" style="414" customWidth="1"/>
    <col min="4625" max="4694" width="6.7109375" style="414" customWidth="1"/>
    <col min="4695" max="4865" width="9.140625" style="414"/>
    <col min="4866" max="4866" width="2.7109375" style="414" customWidth="1"/>
    <col min="4867" max="4868" width="11.5703125" style="414" customWidth="1"/>
    <col min="4869" max="4869" width="7.28515625" style="414" customWidth="1"/>
    <col min="4870" max="4870" width="9.85546875" style="414" customWidth="1"/>
    <col min="4871" max="4871" width="10.140625" style="414" customWidth="1"/>
    <col min="4872" max="4872" width="11.28515625" style="414" customWidth="1"/>
    <col min="4873" max="4873" width="2.7109375" style="414" customWidth="1"/>
    <col min="4874" max="4874" width="9.42578125" style="414" customWidth="1"/>
    <col min="4875" max="4875" width="2.7109375" style="414" customWidth="1"/>
    <col min="4876" max="4879" width="0" style="414" hidden="1" customWidth="1"/>
    <col min="4880" max="4880" width="10" style="414" customWidth="1"/>
    <col min="4881" max="4950" width="6.7109375" style="414" customWidth="1"/>
    <col min="4951" max="5121" width="9.140625" style="414"/>
    <col min="5122" max="5122" width="2.7109375" style="414" customWidth="1"/>
    <col min="5123" max="5124" width="11.5703125" style="414" customWidth="1"/>
    <col min="5125" max="5125" width="7.28515625" style="414" customWidth="1"/>
    <col min="5126" max="5126" width="9.85546875" style="414" customWidth="1"/>
    <col min="5127" max="5127" width="10.140625" style="414" customWidth="1"/>
    <col min="5128" max="5128" width="11.28515625" style="414" customWidth="1"/>
    <col min="5129" max="5129" width="2.7109375" style="414" customWidth="1"/>
    <col min="5130" max="5130" width="9.42578125" style="414" customWidth="1"/>
    <col min="5131" max="5131" width="2.7109375" style="414" customWidth="1"/>
    <col min="5132" max="5135" width="0" style="414" hidden="1" customWidth="1"/>
    <col min="5136" max="5136" width="10" style="414" customWidth="1"/>
    <col min="5137" max="5206" width="6.7109375" style="414" customWidth="1"/>
    <col min="5207" max="5377" width="9.140625" style="414"/>
    <col min="5378" max="5378" width="2.7109375" style="414" customWidth="1"/>
    <col min="5379" max="5380" width="11.5703125" style="414" customWidth="1"/>
    <col min="5381" max="5381" width="7.28515625" style="414" customWidth="1"/>
    <col min="5382" max="5382" width="9.85546875" style="414" customWidth="1"/>
    <col min="5383" max="5383" width="10.140625" style="414" customWidth="1"/>
    <col min="5384" max="5384" width="11.28515625" style="414" customWidth="1"/>
    <col min="5385" max="5385" width="2.7109375" style="414" customWidth="1"/>
    <col min="5386" max="5386" width="9.42578125" style="414" customWidth="1"/>
    <col min="5387" max="5387" width="2.7109375" style="414" customWidth="1"/>
    <col min="5388" max="5391" width="0" style="414" hidden="1" customWidth="1"/>
    <col min="5392" max="5392" width="10" style="414" customWidth="1"/>
    <col min="5393" max="5462" width="6.7109375" style="414" customWidth="1"/>
    <col min="5463" max="5633" width="9.140625" style="414"/>
    <col min="5634" max="5634" width="2.7109375" style="414" customWidth="1"/>
    <col min="5635" max="5636" width="11.5703125" style="414" customWidth="1"/>
    <col min="5637" max="5637" width="7.28515625" style="414" customWidth="1"/>
    <col min="5638" max="5638" width="9.85546875" style="414" customWidth="1"/>
    <col min="5639" max="5639" width="10.140625" style="414" customWidth="1"/>
    <col min="5640" max="5640" width="11.28515625" style="414" customWidth="1"/>
    <col min="5641" max="5641" width="2.7109375" style="414" customWidth="1"/>
    <col min="5642" max="5642" width="9.42578125" style="414" customWidth="1"/>
    <col min="5643" max="5643" width="2.7109375" style="414" customWidth="1"/>
    <col min="5644" max="5647" width="0" style="414" hidden="1" customWidth="1"/>
    <col min="5648" max="5648" width="10" style="414" customWidth="1"/>
    <col min="5649" max="5718" width="6.7109375" style="414" customWidth="1"/>
    <col min="5719" max="5889" width="9.140625" style="414"/>
    <col min="5890" max="5890" width="2.7109375" style="414" customWidth="1"/>
    <col min="5891" max="5892" width="11.5703125" style="414" customWidth="1"/>
    <col min="5893" max="5893" width="7.28515625" style="414" customWidth="1"/>
    <col min="5894" max="5894" width="9.85546875" style="414" customWidth="1"/>
    <col min="5895" max="5895" width="10.140625" style="414" customWidth="1"/>
    <col min="5896" max="5896" width="11.28515625" style="414" customWidth="1"/>
    <col min="5897" max="5897" width="2.7109375" style="414" customWidth="1"/>
    <col min="5898" max="5898" width="9.42578125" style="414" customWidth="1"/>
    <col min="5899" max="5899" width="2.7109375" style="414" customWidth="1"/>
    <col min="5900" max="5903" width="0" style="414" hidden="1" customWidth="1"/>
    <col min="5904" max="5904" width="10" style="414" customWidth="1"/>
    <col min="5905" max="5974" width="6.7109375" style="414" customWidth="1"/>
    <col min="5975" max="6145" width="9.140625" style="414"/>
    <col min="6146" max="6146" width="2.7109375" style="414" customWidth="1"/>
    <col min="6147" max="6148" width="11.5703125" style="414" customWidth="1"/>
    <col min="6149" max="6149" width="7.28515625" style="414" customWidth="1"/>
    <col min="6150" max="6150" width="9.85546875" style="414" customWidth="1"/>
    <col min="6151" max="6151" width="10.140625" style="414" customWidth="1"/>
    <col min="6152" max="6152" width="11.28515625" style="414" customWidth="1"/>
    <col min="6153" max="6153" width="2.7109375" style="414" customWidth="1"/>
    <col min="6154" max="6154" width="9.42578125" style="414" customWidth="1"/>
    <col min="6155" max="6155" width="2.7109375" style="414" customWidth="1"/>
    <col min="6156" max="6159" width="0" style="414" hidden="1" customWidth="1"/>
    <col min="6160" max="6160" width="10" style="414" customWidth="1"/>
    <col min="6161" max="6230" width="6.7109375" style="414" customWidth="1"/>
    <col min="6231" max="6401" width="9.140625" style="414"/>
    <col min="6402" max="6402" width="2.7109375" style="414" customWidth="1"/>
    <col min="6403" max="6404" width="11.5703125" style="414" customWidth="1"/>
    <col min="6405" max="6405" width="7.28515625" style="414" customWidth="1"/>
    <col min="6406" max="6406" width="9.85546875" style="414" customWidth="1"/>
    <col min="6407" max="6407" width="10.140625" style="414" customWidth="1"/>
    <col min="6408" max="6408" width="11.28515625" style="414" customWidth="1"/>
    <col min="6409" max="6409" width="2.7109375" style="414" customWidth="1"/>
    <col min="6410" max="6410" width="9.42578125" style="414" customWidth="1"/>
    <col min="6411" max="6411" width="2.7109375" style="414" customWidth="1"/>
    <col min="6412" max="6415" width="0" style="414" hidden="1" customWidth="1"/>
    <col min="6416" max="6416" width="10" style="414" customWidth="1"/>
    <col min="6417" max="6486" width="6.7109375" style="414" customWidth="1"/>
    <col min="6487" max="6657" width="9.140625" style="414"/>
    <col min="6658" max="6658" width="2.7109375" style="414" customWidth="1"/>
    <col min="6659" max="6660" width="11.5703125" style="414" customWidth="1"/>
    <col min="6661" max="6661" width="7.28515625" style="414" customWidth="1"/>
    <col min="6662" max="6662" width="9.85546875" style="414" customWidth="1"/>
    <col min="6663" max="6663" width="10.140625" style="414" customWidth="1"/>
    <col min="6664" max="6664" width="11.28515625" style="414" customWidth="1"/>
    <col min="6665" max="6665" width="2.7109375" style="414" customWidth="1"/>
    <col min="6666" max="6666" width="9.42578125" style="414" customWidth="1"/>
    <col min="6667" max="6667" width="2.7109375" style="414" customWidth="1"/>
    <col min="6668" max="6671" width="0" style="414" hidden="1" customWidth="1"/>
    <col min="6672" max="6672" width="10" style="414" customWidth="1"/>
    <col min="6673" max="6742" width="6.7109375" style="414" customWidth="1"/>
    <col min="6743" max="6913" width="9.140625" style="414"/>
    <col min="6914" max="6914" width="2.7109375" style="414" customWidth="1"/>
    <col min="6915" max="6916" width="11.5703125" style="414" customWidth="1"/>
    <col min="6917" max="6917" width="7.28515625" style="414" customWidth="1"/>
    <col min="6918" max="6918" width="9.85546875" style="414" customWidth="1"/>
    <col min="6919" max="6919" width="10.140625" style="414" customWidth="1"/>
    <col min="6920" max="6920" width="11.28515625" style="414" customWidth="1"/>
    <col min="6921" max="6921" width="2.7109375" style="414" customWidth="1"/>
    <col min="6922" max="6922" width="9.42578125" style="414" customWidth="1"/>
    <col min="6923" max="6923" width="2.7109375" style="414" customWidth="1"/>
    <col min="6924" max="6927" width="0" style="414" hidden="1" customWidth="1"/>
    <col min="6928" max="6928" width="10" style="414" customWidth="1"/>
    <col min="6929" max="6998" width="6.7109375" style="414" customWidth="1"/>
    <col min="6999" max="7169" width="9.140625" style="414"/>
    <col min="7170" max="7170" width="2.7109375" style="414" customWidth="1"/>
    <col min="7171" max="7172" width="11.5703125" style="414" customWidth="1"/>
    <col min="7173" max="7173" width="7.28515625" style="414" customWidth="1"/>
    <col min="7174" max="7174" width="9.85546875" style="414" customWidth="1"/>
    <col min="7175" max="7175" width="10.140625" style="414" customWidth="1"/>
    <col min="7176" max="7176" width="11.28515625" style="414" customWidth="1"/>
    <col min="7177" max="7177" width="2.7109375" style="414" customWidth="1"/>
    <col min="7178" max="7178" width="9.42578125" style="414" customWidth="1"/>
    <col min="7179" max="7179" width="2.7109375" style="414" customWidth="1"/>
    <col min="7180" max="7183" width="0" style="414" hidden="1" customWidth="1"/>
    <col min="7184" max="7184" width="10" style="414" customWidth="1"/>
    <col min="7185" max="7254" width="6.7109375" style="414" customWidth="1"/>
    <col min="7255" max="7425" width="9.140625" style="414"/>
    <col min="7426" max="7426" width="2.7109375" style="414" customWidth="1"/>
    <col min="7427" max="7428" width="11.5703125" style="414" customWidth="1"/>
    <col min="7429" max="7429" width="7.28515625" style="414" customWidth="1"/>
    <col min="7430" max="7430" width="9.85546875" style="414" customWidth="1"/>
    <col min="7431" max="7431" width="10.140625" style="414" customWidth="1"/>
    <col min="7432" max="7432" width="11.28515625" style="414" customWidth="1"/>
    <col min="7433" max="7433" width="2.7109375" style="414" customWidth="1"/>
    <col min="7434" max="7434" width="9.42578125" style="414" customWidth="1"/>
    <col min="7435" max="7435" width="2.7109375" style="414" customWidth="1"/>
    <col min="7436" max="7439" width="0" style="414" hidden="1" customWidth="1"/>
    <col min="7440" max="7440" width="10" style="414" customWidth="1"/>
    <col min="7441" max="7510" width="6.7109375" style="414" customWidth="1"/>
    <col min="7511" max="7681" width="9.140625" style="414"/>
    <col min="7682" max="7682" width="2.7109375" style="414" customWidth="1"/>
    <col min="7683" max="7684" width="11.5703125" style="414" customWidth="1"/>
    <col min="7685" max="7685" width="7.28515625" style="414" customWidth="1"/>
    <col min="7686" max="7686" width="9.85546875" style="414" customWidth="1"/>
    <col min="7687" max="7687" width="10.140625" style="414" customWidth="1"/>
    <col min="7688" max="7688" width="11.28515625" style="414" customWidth="1"/>
    <col min="7689" max="7689" width="2.7109375" style="414" customWidth="1"/>
    <col min="7690" max="7690" width="9.42578125" style="414" customWidth="1"/>
    <col min="7691" max="7691" width="2.7109375" style="414" customWidth="1"/>
    <col min="7692" max="7695" width="0" style="414" hidden="1" customWidth="1"/>
    <col min="7696" max="7696" width="10" style="414" customWidth="1"/>
    <col min="7697" max="7766" width="6.7109375" style="414" customWidth="1"/>
    <col min="7767" max="7937" width="9.140625" style="414"/>
    <col min="7938" max="7938" width="2.7109375" style="414" customWidth="1"/>
    <col min="7939" max="7940" width="11.5703125" style="414" customWidth="1"/>
    <col min="7941" max="7941" width="7.28515625" style="414" customWidth="1"/>
    <col min="7942" max="7942" width="9.85546875" style="414" customWidth="1"/>
    <col min="7943" max="7943" width="10.140625" style="414" customWidth="1"/>
    <col min="7944" max="7944" width="11.28515625" style="414" customWidth="1"/>
    <col min="7945" max="7945" width="2.7109375" style="414" customWidth="1"/>
    <col min="7946" max="7946" width="9.42578125" style="414" customWidth="1"/>
    <col min="7947" max="7947" width="2.7109375" style="414" customWidth="1"/>
    <col min="7948" max="7951" width="0" style="414" hidden="1" customWidth="1"/>
    <col min="7952" max="7952" width="10" style="414" customWidth="1"/>
    <col min="7953" max="8022" width="6.7109375" style="414" customWidth="1"/>
    <col min="8023" max="8193" width="9.140625" style="414"/>
    <col min="8194" max="8194" width="2.7109375" style="414" customWidth="1"/>
    <col min="8195" max="8196" width="11.5703125" style="414" customWidth="1"/>
    <col min="8197" max="8197" width="7.28515625" style="414" customWidth="1"/>
    <col min="8198" max="8198" width="9.85546875" style="414" customWidth="1"/>
    <col min="8199" max="8199" width="10.140625" style="414" customWidth="1"/>
    <col min="8200" max="8200" width="11.28515625" style="414" customWidth="1"/>
    <col min="8201" max="8201" width="2.7109375" style="414" customWidth="1"/>
    <col min="8202" max="8202" width="9.42578125" style="414" customWidth="1"/>
    <col min="8203" max="8203" width="2.7109375" style="414" customWidth="1"/>
    <col min="8204" max="8207" width="0" style="414" hidden="1" customWidth="1"/>
    <col min="8208" max="8208" width="10" style="414" customWidth="1"/>
    <col min="8209" max="8278" width="6.7109375" style="414" customWidth="1"/>
    <col min="8279" max="8449" width="9.140625" style="414"/>
    <col min="8450" max="8450" width="2.7109375" style="414" customWidth="1"/>
    <col min="8451" max="8452" width="11.5703125" style="414" customWidth="1"/>
    <col min="8453" max="8453" width="7.28515625" style="414" customWidth="1"/>
    <col min="8454" max="8454" width="9.85546875" style="414" customWidth="1"/>
    <col min="8455" max="8455" width="10.140625" style="414" customWidth="1"/>
    <col min="8456" max="8456" width="11.28515625" style="414" customWidth="1"/>
    <col min="8457" max="8457" width="2.7109375" style="414" customWidth="1"/>
    <col min="8458" max="8458" width="9.42578125" style="414" customWidth="1"/>
    <col min="8459" max="8459" width="2.7109375" style="414" customWidth="1"/>
    <col min="8460" max="8463" width="0" style="414" hidden="1" customWidth="1"/>
    <col min="8464" max="8464" width="10" style="414" customWidth="1"/>
    <col min="8465" max="8534" width="6.7109375" style="414" customWidth="1"/>
    <col min="8535" max="8705" width="9.140625" style="414"/>
    <col min="8706" max="8706" width="2.7109375" style="414" customWidth="1"/>
    <col min="8707" max="8708" width="11.5703125" style="414" customWidth="1"/>
    <col min="8709" max="8709" width="7.28515625" style="414" customWidth="1"/>
    <col min="8710" max="8710" width="9.85546875" style="414" customWidth="1"/>
    <col min="8711" max="8711" width="10.140625" style="414" customWidth="1"/>
    <col min="8712" max="8712" width="11.28515625" style="414" customWidth="1"/>
    <col min="8713" max="8713" width="2.7109375" style="414" customWidth="1"/>
    <col min="8714" max="8714" width="9.42578125" style="414" customWidth="1"/>
    <col min="8715" max="8715" width="2.7109375" style="414" customWidth="1"/>
    <col min="8716" max="8719" width="0" style="414" hidden="1" customWidth="1"/>
    <col min="8720" max="8720" width="10" style="414" customWidth="1"/>
    <col min="8721" max="8790" width="6.7109375" style="414" customWidth="1"/>
    <col min="8791" max="8961" width="9.140625" style="414"/>
    <col min="8962" max="8962" width="2.7109375" style="414" customWidth="1"/>
    <col min="8963" max="8964" width="11.5703125" style="414" customWidth="1"/>
    <col min="8965" max="8965" width="7.28515625" style="414" customWidth="1"/>
    <col min="8966" max="8966" width="9.85546875" style="414" customWidth="1"/>
    <col min="8967" max="8967" width="10.140625" style="414" customWidth="1"/>
    <col min="8968" max="8968" width="11.28515625" style="414" customWidth="1"/>
    <col min="8969" max="8969" width="2.7109375" style="414" customWidth="1"/>
    <col min="8970" max="8970" width="9.42578125" style="414" customWidth="1"/>
    <col min="8971" max="8971" width="2.7109375" style="414" customWidth="1"/>
    <col min="8972" max="8975" width="0" style="414" hidden="1" customWidth="1"/>
    <col min="8976" max="8976" width="10" style="414" customWidth="1"/>
    <col min="8977" max="9046" width="6.7109375" style="414" customWidth="1"/>
    <col min="9047" max="9217" width="9.140625" style="414"/>
    <col min="9218" max="9218" width="2.7109375" style="414" customWidth="1"/>
    <col min="9219" max="9220" width="11.5703125" style="414" customWidth="1"/>
    <col min="9221" max="9221" width="7.28515625" style="414" customWidth="1"/>
    <col min="9222" max="9222" width="9.85546875" style="414" customWidth="1"/>
    <col min="9223" max="9223" width="10.140625" style="414" customWidth="1"/>
    <col min="9224" max="9224" width="11.28515625" style="414" customWidth="1"/>
    <col min="9225" max="9225" width="2.7109375" style="414" customWidth="1"/>
    <col min="9226" max="9226" width="9.42578125" style="414" customWidth="1"/>
    <col min="9227" max="9227" width="2.7109375" style="414" customWidth="1"/>
    <col min="9228" max="9231" width="0" style="414" hidden="1" customWidth="1"/>
    <col min="9232" max="9232" width="10" style="414" customWidth="1"/>
    <col min="9233" max="9302" width="6.7109375" style="414" customWidth="1"/>
    <col min="9303" max="9473" width="9.140625" style="414"/>
    <col min="9474" max="9474" width="2.7109375" style="414" customWidth="1"/>
    <col min="9475" max="9476" width="11.5703125" style="414" customWidth="1"/>
    <col min="9477" max="9477" width="7.28515625" style="414" customWidth="1"/>
    <col min="9478" max="9478" width="9.85546875" style="414" customWidth="1"/>
    <col min="9479" max="9479" width="10.140625" style="414" customWidth="1"/>
    <col min="9480" max="9480" width="11.28515625" style="414" customWidth="1"/>
    <col min="9481" max="9481" width="2.7109375" style="414" customWidth="1"/>
    <col min="9482" max="9482" width="9.42578125" style="414" customWidth="1"/>
    <col min="9483" max="9483" width="2.7109375" style="414" customWidth="1"/>
    <col min="9484" max="9487" width="0" style="414" hidden="1" customWidth="1"/>
    <col min="9488" max="9488" width="10" style="414" customWidth="1"/>
    <col min="9489" max="9558" width="6.7109375" style="414" customWidth="1"/>
    <col min="9559" max="9729" width="9.140625" style="414"/>
    <col min="9730" max="9730" width="2.7109375" style="414" customWidth="1"/>
    <col min="9731" max="9732" width="11.5703125" style="414" customWidth="1"/>
    <col min="9733" max="9733" width="7.28515625" style="414" customWidth="1"/>
    <col min="9734" max="9734" width="9.85546875" style="414" customWidth="1"/>
    <col min="9735" max="9735" width="10.140625" style="414" customWidth="1"/>
    <col min="9736" max="9736" width="11.28515625" style="414" customWidth="1"/>
    <col min="9737" max="9737" width="2.7109375" style="414" customWidth="1"/>
    <col min="9738" max="9738" width="9.42578125" style="414" customWidth="1"/>
    <col min="9739" max="9739" width="2.7109375" style="414" customWidth="1"/>
    <col min="9740" max="9743" width="0" style="414" hidden="1" customWidth="1"/>
    <col min="9744" max="9744" width="10" style="414" customWidth="1"/>
    <col min="9745" max="9814" width="6.7109375" style="414" customWidth="1"/>
    <col min="9815" max="9985" width="9.140625" style="414"/>
    <col min="9986" max="9986" width="2.7109375" style="414" customWidth="1"/>
    <col min="9987" max="9988" width="11.5703125" style="414" customWidth="1"/>
    <col min="9989" max="9989" width="7.28515625" style="414" customWidth="1"/>
    <col min="9990" max="9990" width="9.85546875" style="414" customWidth="1"/>
    <col min="9991" max="9991" width="10.140625" style="414" customWidth="1"/>
    <col min="9992" max="9992" width="11.28515625" style="414" customWidth="1"/>
    <col min="9993" max="9993" width="2.7109375" style="414" customWidth="1"/>
    <col min="9994" max="9994" width="9.42578125" style="414" customWidth="1"/>
    <col min="9995" max="9995" width="2.7109375" style="414" customWidth="1"/>
    <col min="9996" max="9999" width="0" style="414" hidden="1" customWidth="1"/>
    <col min="10000" max="10000" width="10" style="414" customWidth="1"/>
    <col min="10001" max="10070" width="6.7109375" style="414" customWidth="1"/>
    <col min="10071" max="10241" width="9.140625" style="414"/>
    <col min="10242" max="10242" width="2.7109375" style="414" customWidth="1"/>
    <col min="10243" max="10244" width="11.5703125" style="414" customWidth="1"/>
    <col min="10245" max="10245" width="7.28515625" style="414" customWidth="1"/>
    <col min="10246" max="10246" width="9.85546875" style="414" customWidth="1"/>
    <col min="10247" max="10247" width="10.140625" style="414" customWidth="1"/>
    <col min="10248" max="10248" width="11.28515625" style="414" customWidth="1"/>
    <col min="10249" max="10249" width="2.7109375" style="414" customWidth="1"/>
    <col min="10250" max="10250" width="9.42578125" style="414" customWidth="1"/>
    <col min="10251" max="10251" width="2.7109375" style="414" customWidth="1"/>
    <col min="10252" max="10255" width="0" style="414" hidden="1" customWidth="1"/>
    <col min="10256" max="10256" width="10" style="414" customWidth="1"/>
    <col min="10257" max="10326" width="6.7109375" style="414" customWidth="1"/>
    <col min="10327" max="10497" width="9.140625" style="414"/>
    <col min="10498" max="10498" width="2.7109375" style="414" customWidth="1"/>
    <col min="10499" max="10500" width="11.5703125" style="414" customWidth="1"/>
    <col min="10501" max="10501" width="7.28515625" style="414" customWidth="1"/>
    <col min="10502" max="10502" width="9.85546875" style="414" customWidth="1"/>
    <col min="10503" max="10503" width="10.140625" style="414" customWidth="1"/>
    <col min="10504" max="10504" width="11.28515625" style="414" customWidth="1"/>
    <col min="10505" max="10505" width="2.7109375" style="414" customWidth="1"/>
    <col min="10506" max="10506" width="9.42578125" style="414" customWidth="1"/>
    <col min="10507" max="10507" width="2.7109375" style="414" customWidth="1"/>
    <col min="10508" max="10511" width="0" style="414" hidden="1" customWidth="1"/>
    <col min="10512" max="10512" width="10" style="414" customWidth="1"/>
    <col min="10513" max="10582" width="6.7109375" style="414" customWidth="1"/>
    <col min="10583" max="10753" width="9.140625" style="414"/>
    <col min="10754" max="10754" width="2.7109375" style="414" customWidth="1"/>
    <col min="10755" max="10756" width="11.5703125" style="414" customWidth="1"/>
    <col min="10757" max="10757" width="7.28515625" style="414" customWidth="1"/>
    <col min="10758" max="10758" width="9.85546875" style="414" customWidth="1"/>
    <col min="10759" max="10759" width="10.140625" style="414" customWidth="1"/>
    <col min="10760" max="10760" width="11.28515625" style="414" customWidth="1"/>
    <col min="10761" max="10761" width="2.7109375" style="414" customWidth="1"/>
    <col min="10762" max="10762" width="9.42578125" style="414" customWidth="1"/>
    <col min="10763" max="10763" width="2.7109375" style="414" customWidth="1"/>
    <col min="10764" max="10767" width="0" style="414" hidden="1" customWidth="1"/>
    <col min="10768" max="10768" width="10" style="414" customWidth="1"/>
    <col min="10769" max="10838" width="6.7109375" style="414" customWidth="1"/>
    <col min="10839" max="11009" width="9.140625" style="414"/>
    <col min="11010" max="11010" width="2.7109375" style="414" customWidth="1"/>
    <col min="11011" max="11012" width="11.5703125" style="414" customWidth="1"/>
    <col min="11013" max="11013" width="7.28515625" style="414" customWidth="1"/>
    <col min="11014" max="11014" width="9.85546875" style="414" customWidth="1"/>
    <col min="11015" max="11015" width="10.140625" style="414" customWidth="1"/>
    <col min="11016" max="11016" width="11.28515625" style="414" customWidth="1"/>
    <col min="11017" max="11017" width="2.7109375" style="414" customWidth="1"/>
    <col min="11018" max="11018" width="9.42578125" style="414" customWidth="1"/>
    <col min="11019" max="11019" width="2.7109375" style="414" customWidth="1"/>
    <col min="11020" max="11023" width="0" style="414" hidden="1" customWidth="1"/>
    <col min="11024" max="11024" width="10" style="414" customWidth="1"/>
    <col min="11025" max="11094" width="6.7109375" style="414" customWidth="1"/>
    <col min="11095" max="11265" width="9.140625" style="414"/>
    <col min="11266" max="11266" width="2.7109375" style="414" customWidth="1"/>
    <col min="11267" max="11268" width="11.5703125" style="414" customWidth="1"/>
    <col min="11269" max="11269" width="7.28515625" style="414" customWidth="1"/>
    <col min="11270" max="11270" width="9.85546875" style="414" customWidth="1"/>
    <col min="11271" max="11271" width="10.140625" style="414" customWidth="1"/>
    <col min="11272" max="11272" width="11.28515625" style="414" customWidth="1"/>
    <col min="11273" max="11273" width="2.7109375" style="414" customWidth="1"/>
    <col min="11274" max="11274" width="9.42578125" style="414" customWidth="1"/>
    <col min="11275" max="11275" width="2.7109375" style="414" customWidth="1"/>
    <col min="11276" max="11279" width="0" style="414" hidden="1" customWidth="1"/>
    <col min="11280" max="11280" width="10" style="414" customWidth="1"/>
    <col min="11281" max="11350" width="6.7109375" style="414" customWidth="1"/>
    <col min="11351" max="11521" width="9.140625" style="414"/>
    <col min="11522" max="11522" width="2.7109375" style="414" customWidth="1"/>
    <col min="11523" max="11524" width="11.5703125" style="414" customWidth="1"/>
    <col min="11525" max="11525" width="7.28515625" style="414" customWidth="1"/>
    <col min="11526" max="11526" width="9.85546875" style="414" customWidth="1"/>
    <col min="11527" max="11527" width="10.140625" style="414" customWidth="1"/>
    <col min="11528" max="11528" width="11.28515625" style="414" customWidth="1"/>
    <col min="11529" max="11529" width="2.7109375" style="414" customWidth="1"/>
    <col min="11530" max="11530" width="9.42578125" style="414" customWidth="1"/>
    <col min="11531" max="11531" width="2.7109375" style="414" customWidth="1"/>
    <col min="11532" max="11535" width="0" style="414" hidden="1" customWidth="1"/>
    <col min="11536" max="11536" width="10" style="414" customWidth="1"/>
    <col min="11537" max="11606" width="6.7109375" style="414" customWidth="1"/>
    <col min="11607" max="11777" width="9.140625" style="414"/>
    <col min="11778" max="11778" width="2.7109375" style="414" customWidth="1"/>
    <col min="11779" max="11780" width="11.5703125" style="414" customWidth="1"/>
    <col min="11781" max="11781" width="7.28515625" style="414" customWidth="1"/>
    <col min="11782" max="11782" width="9.85546875" style="414" customWidth="1"/>
    <col min="11783" max="11783" width="10.140625" style="414" customWidth="1"/>
    <col min="11784" max="11784" width="11.28515625" style="414" customWidth="1"/>
    <col min="11785" max="11785" width="2.7109375" style="414" customWidth="1"/>
    <col min="11786" max="11786" width="9.42578125" style="414" customWidth="1"/>
    <col min="11787" max="11787" width="2.7109375" style="414" customWidth="1"/>
    <col min="11788" max="11791" width="0" style="414" hidden="1" customWidth="1"/>
    <col min="11792" max="11792" width="10" style="414" customWidth="1"/>
    <col min="11793" max="11862" width="6.7109375" style="414" customWidth="1"/>
    <col min="11863" max="12033" width="9.140625" style="414"/>
    <col min="12034" max="12034" width="2.7109375" style="414" customWidth="1"/>
    <col min="12035" max="12036" width="11.5703125" style="414" customWidth="1"/>
    <col min="12037" max="12037" width="7.28515625" style="414" customWidth="1"/>
    <col min="12038" max="12038" width="9.85546875" style="414" customWidth="1"/>
    <col min="12039" max="12039" width="10.140625" style="414" customWidth="1"/>
    <col min="12040" max="12040" width="11.28515625" style="414" customWidth="1"/>
    <col min="12041" max="12041" width="2.7109375" style="414" customWidth="1"/>
    <col min="12042" max="12042" width="9.42578125" style="414" customWidth="1"/>
    <col min="12043" max="12043" width="2.7109375" style="414" customWidth="1"/>
    <col min="12044" max="12047" width="0" style="414" hidden="1" customWidth="1"/>
    <col min="12048" max="12048" width="10" style="414" customWidth="1"/>
    <col min="12049" max="12118" width="6.7109375" style="414" customWidth="1"/>
    <col min="12119" max="12289" width="9.140625" style="414"/>
    <col min="12290" max="12290" width="2.7109375" style="414" customWidth="1"/>
    <col min="12291" max="12292" width="11.5703125" style="414" customWidth="1"/>
    <col min="12293" max="12293" width="7.28515625" style="414" customWidth="1"/>
    <col min="12294" max="12294" width="9.85546875" style="414" customWidth="1"/>
    <col min="12295" max="12295" width="10.140625" style="414" customWidth="1"/>
    <col min="12296" max="12296" width="11.28515625" style="414" customWidth="1"/>
    <col min="12297" max="12297" width="2.7109375" style="414" customWidth="1"/>
    <col min="12298" max="12298" width="9.42578125" style="414" customWidth="1"/>
    <col min="12299" max="12299" width="2.7109375" style="414" customWidth="1"/>
    <col min="12300" max="12303" width="0" style="414" hidden="1" customWidth="1"/>
    <col min="12304" max="12304" width="10" style="414" customWidth="1"/>
    <col min="12305" max="12374" width="6.7109375" style="414" customWidth="1"/>
    <col min="12375" max="12545" width="9.140625" style="414"/>
    <col min="12546" max="12546" width="2.7109375" style="414" customWidth="1"/>
    <col min="12547" max="12548" width="11.5703125" style="414" customWidth="1"/>
    <col min="12549" max="12549" width="7.28515625" style="414" customWidth="1"/>
    <col min="12550" max="12550" width="9.85546875" style="414" customWidth="1"/>
    <col min="12551" max="12551" width="10.140625" style="414" customWidth="1"/>
    <col min="12552" max="12552" width="11.28515625" style="414" customWidth="1"/>
    <col min="12553" max="12553" width="2.7109375" style="414" customWidth="1"/>
    <col min="12554" max="12554" width="9.42578125" style="414" customWidth="1"/>
    <col min="12555" max="12555" width="2.7109375" style="414" customWidth="1"/>
    <col min="12556" max="12559" width="0" style="414" hidden="1" customWidth="1"/>
    <col min="12560" max="12560" width="10" style="414" customWidth="1"/>
    <col min="12561" max="12630" width="6.7109375" style="414" customWidth="1"/>
    <col min="12631" max="12801" width="9.140625" style="414"/>
    <col min="12802" max="12802" width="2.7109375" style="414" customWidth="1"/>
    <col min="12803" max="12804" width="11.5703125" style="414" customWidth="1"/>
    <col min="12805" max="12805" width="7.28515625" style="414" customWidth="1"/>
    <col min="12806" max="12806" width="9.85546875" style="414" customWidth="1"/>
    <col min="12807" max="12807" width="10.140625" style="414" customWidth="1"/>
    <col min="12808" max="12808" width="11.28515625" style="414" customWidth="1"/>
    <col min="12809" max="12809" width="2.7109375" style="414" customWidth="1"/>
    <col min="12810" max="12810" width="9.42578125" style="414" customWidth="1"/>
    <col min="12811" max="12811" width="2.7109375" style="414" customWidth="1"/>
    <col min="12812" max="12815" width="0" style="414" hidden="1" customWidth="1"/>
    <col min="12816" max="12816" width="10" style="414" customWidth="1"/>
    <col min="12817" max="12886" width="6.7109375" style="414" customWidth="1"/>
    <col min="12887" max="13057" width="9.140625" style="414"/>
    <col min="13058" max="13058" width="2.7109375" style="414" customWidth="1"/>
    <col min="13059" max="13060" width="11.5703125" style="414" customWidth="1"/>
    <col min="13061" max="13061" width="7.28515625" style="414" customWidth="1"/>
    <col min="13062" max="13062" width="9.85546875" style="414" customWidth="1"/>
    <col min="13063" max="13063" width="10.140625" style="414" customWidth="1"/>
    <col min="13064" max="13064" width="11.28515625" style="414" customWidth="1"/>
    <col min="13065" max="13065" width="2.7109375" style="414" customWidth="1"/>
    <col min="13066" max="13066" width="9.42578125" style="414" customWidth="1"/>
    <col min="13067" max="13067" width="2.7109375" style="414" customWidth="1"/>
    <col min="13068" max="13071" width="0" style="414" hidden="1" customWidth="1"/>
    <col min="13072" max="13072" width="10" style="414" customWidth="1"/>
    <col min="13073" max="13142" width="6.7109375" style="414" customWidth="1"/>
    <col min="13143" max="13313" width="9.140625" style="414"/>
    <col min="13314" max="13314" width="2.7109375" style="414" customWidth="1"/>
    <col min="13315" max="13316" width="11.5703125" style="414" customWidth="1"/>
    <col min="13317" max="13317" width="7.28515625" style="414" customWidth="1"/>
    <col min="13318" max="13318" width="9.85546875" style="414" customWidth="1"/>
    <col min="13319" max="13319" width="10.140625" style="414" customWidth="1"/>
    <col min="13320" max="13320" width="11.28515625" style="414" customWidth="1"/>
    <col min="13321" max="13321" width="2.7109375" style="414" customWidth="1"/>
    <col min="13322" max="13322" width="9.42578125" style="414" customWidth="1"/>
    <col min="13323" max="13323" width="2.7109375" style="414" customWidth="1"/>
    <col min="13324" max="13327" width="0" style="414" hidden="1" customWidth="1"/>
    <col min="13328" max="13328" width="10" style="414" customWidth="1"/>
    <col min="13329" max="13398" width="6.7109375" style="414" customWidth="1"/>
    <col min="13399" max="13569" width="9.140625" style="414"/>
    <col min="13570" max="13570" width="2.7109375" style="414" customWidth="1"/>
    <col min="13571" max="13572" width="11.5703125" style="414" customWidth="1"/>
    <col min="13573" max="13573" width="7.28515625" style="414" customWidth="1"/>
    <col min="13574" max="13574" width="9.85546875" style="414" customWidth="1"/>
    <col min="13575" max="13575" width="10.140625" style="414" customWidth="1"/>
    <col min="13576" max="13576" width="11.28515625" style="414" customWidth="1"/>
    <col min="13577" max="13577" width="2.7109375" style="414" customWidth="1"/>
    <col min="13578" max="13578" width="9.42578125" style="414" customWidth="1"/>
    <col min="13579" max="13579" width="2.7109375" style="414" customWidth="1"/>
    <col min="13580" max="13583" width="0" style="414" hidden="1" customWidth="1"/>
    <col min="13584" max="13584" width="10" style="414" customWidth="1"/>
    <col min="13585" max="13654" width="6.7109375" style="414" customWidth="1"/>
    <col min="13655" max="13825" width="9.140625" style="414"/>
    <col min="13826" max="13826" width="2.7109375" style="414" customWidth="1"/>
    <col min="13827" max="13828" width="11.5703125" style="414" customWidth="1"/>
    <col min="13829" max="13829" width="7.28515625" style="414" customWidth="1"/>
    <col min="13830" max="13830" width="9.85546875" style="414" customWidth="1"/>
    <col min="13831" max="13831" width="10.140625" style="414" customWidth="1"/>
    <col min="13832" max="13832" width="11.28515625" style="414" customWidth="1"/>
    <col min="13833" max="13833" width="2.7109375" style="414" customWidth="1"/>
    <col min="13834" max="13834" width="9.42578125" style="414" customWidth="1"/>
    <col min="13835" max="13835" width="2.7109375" style="414" customWidth="1"/>
    <col min="13836" max="13839" width="0" style="414" hidden="1" customWidth="1"/>
    <col min="13840" max="13840" width="10" style="414" customWidth="1"/>
    <col min="13841" max="13910" width="6.7109375" style="414" customWidth="1"/>
    <col min="13911" max="14081" width="9.140625" style="414"/>
    <col min="14082" max="14082" width="2.7109375" style="414" customWidth="1"/>
    <col min="14083" max="14084" width="11.5703125" style="414" customWidth="1"/>
    <col min="14085" max="14085" width="7.28515625" style="414" customWidth="1"/>
    <col min="14086" max="14086" width="9.85546875" style="414" customWidth="1"/>
    <col min="14087" max="14087" width="10.140625" style="414" customWidth="1"/>
    <col min="14088" max="14088" width="11.28515625" style="414" customWidth="1"/>
    <col min="14089" max="14089" width="2.7109375" style="414" customWidth="1"/>
    <col min="14090" max="14090" width="9.42578125" style="414" customWidth="1"/>
    <col min="14091" max="14091" width="2.7109375" style="414" customWidth="1"/>
    <col min="14092" max="14095" width="0" style="414" hidden="1" customWidth="1"/>
    <col min="14096" max="14096" width="10" style="414" customWidth="1"/>
    <col min="14097" max="14166" width="6.7109375" style="414" customWidth="1"/>
    <col min="14167" max="14337" width="9.140625" style="414"/>
    <col min="14338" max="14338" width="2.7109375" style="414" customWidth="1"/>
    <col min="14339" max="14340" width="11.5703125" style="414" customWidth="1"/>
    <col min="14341" max="14341" width="7.28515625" style="414" customWidth="1"/>
    <col min="14342" max="14342" width="9.85546875" style="414" customWidth="1"/>
    <col min="14343" max="14343" width="10.140625" style="414" customWidth="1"/>
    <col min="14344" max="14344" width="11.28515625" style="414" customWidth="1"/>
    <col min="14345" max="14345" width="2.7109375" style="414" customWidth="1"/>
    <col min="14346" max="14346" width="9.42578125" style="414" customWidth="1"/>
    <col min="14347" max="14347" width="2.7109375" style="414" customWidth="1"/>
    <col min="14348" max="14351" width="0" style="414" hidden="1" customWidth="1"/>
    <col min="14352" max="14352" width="10" style="414" customWidth="1"/>
    <col min="14353" max="14422" width="6.7109375" style="414" customWidth="1"/>
    <col min="14423" max="14593" width="9.140625" style="414"/>
    <col min="14594" max="14594" width="2.7109375" style="414" customWidth="1"/>
    <col min="14595" max="14596" width="11.5703125" style="414" customWidth="1"/>
    <col min="14597" max="14597" width="7.28515625" style="414" customWidth="1"/>
    <col min="14598" max="14598" width="9.85546875" style="414" customWidth="1"/>
    <col min="14599" max="14599" width="10.140625" style="414" customWidth="1"/>
    <col min="14600" max="14600" width="11.28515625" style="414" customWidth="1"/>
    <col min="14601" max="14601" width="2.7109375" style="414" customWidth="1"/>
    <col min="14602" max="14602" width="9.42578125" style="414" customWidth="1"/>
    <col min="14603" max="14603" width="2.7109375" style="414" customWidth="1"/>
    <col min="14604" max="14607" width="0" style="414" hidden="1" customWidth="1"/>
    <col min="14608" max="14608" width="10" style="414" customWidth="1"/>
    <col min="14609" max="14678" width="6.7109375" style="414" customWidth="1"/>
    <col min="14679" max="14849" width="9.140625" style="414"/>
    <col min="14850" max="14850" width="2.7109375" style="414" customWidth="1"/>
    <col min="14851" max="14852" width="11.5703125" style="414" customWidth="1"/>
    <col min="14853" max="14853" width="7.28515625" style="414" customWidth="1"/>
    <col min="14854" max="14854" width="9.85546875" style="414" customWidth="1"/>
    <col min="14855" max="14855" width="10.140625" style="414" customWidth="1"/>
    <col min="14856" max="14856" width="11.28515625" style="414" customWidth="1"/>
    <col min="14857" max="14857" width="2.7109375" style="414" customWidth="1"/>
    <col min="14858" max="14858" width="9.42578125" style="414" customWidth="1"/>
    <col min="14859" max="14859" width="2.7109375" style="414" customWidth="1"/>
    <col min="14860" max="14863" width="0" style="414" hidden="1" customWidth="1"/>
    <col min="14864" max="14864" width="10" style="414" customWidth="1"/>
    <col min="14865" max="14934" width="6.7109375" style="414" customWidth="1"/>
    <col min="14935" max="15105" width="9.140625" style="414"/>
    <col min="15106" max="15106" width="2.7109375" style="414" customWidth="1"/>
    <col min="15107" max="15108" width="11.5703125" style="414" customWidth="1"/>
    <col min="15109" max="15109" width="7.28515625" style="414" customWidth="1"/>
    <col min="15110" max="15110" width="9.85546875" style="414" customWidth="1"/>
    <col min="15111" max="15111" width="10.140625" style="414" customWidth="1"/>
    <col min="15112" max="15112" width="11.28515625" style="414" customWidth="1"/>
    <col min="15113" max="15113" width="2.7109375" style="414" customWidth="1"/>
    <col min="15114" max="15114" width="9.42578125" style="414" customWidth="1"/>
    <col min="15115" max="15115" width="2.7109375" style="414" customWidth="1"/>
    <col min="15116" max="15119" width="0" style="414" hidden="1" customWidth="1"/>
    <col min="15120" max="15120" width="10" style="414" customWidth="1"/>
    <col min="15121" max="15190" width="6.7109375" style="414" customWidth="1"/>
    <col min="15191" max="15361" width="9.140625" style="414"/>
    <col min="15362" max="15362" width="2.7109375" style="414" customWidth="1"/>
    <col min="15363" max="15364" width="11.5703125" style="414" customWidth="1"/>
    <col min="15365" max="15365" width="7.28515625" style="414" customWidth="1"/>
    <col min="15366" max="15366" width="9.85546875" style="414" customWidth="1"/>
    <col min="15367" max="15367" width="10.140625" style="414" customWidth="1"/>
    <col min="15368" max="15368" width="11.28515625" style="414" customWidth="1"/>
    <col min="15369" max="15369" width="2.7109375" style="414" customWidth="1"/>
    <col min="15370" max="15370" width="9.42578125" style="414" customWidth="1"/>
    <col min="15371" max="15371" width="2.7109375" style="414" customWidth="1"/>
    <col min="15372" max="15375" width="0" style="414" hidden="1" customWidth="1"/>
    <col min="15376" max="15376" width="10" style="414" customWidth="1"/>
    <col min="15377" max="15446" width="6.7109375" style="414" customWidth="1"/>
    <col min="15447" max="15617" width="9.140625" style="414"/>
    <col min="15618" max="15618" width="2.7109375" style="414" customWidth="1"/>
    <col min="15619" max="15620" width="11.5703125" style="414" customWidth="1"/>
    <col min="15621" max="15621" width="7.28515625" style="414" customWidth="1"/>
    <col min="15622" max="15622" width="9.85546875" style="414" customWidth="1"/>
    <col min="15623" max="15623" width="10.140625" style="414" customWidth="1"/>
    <col min="15624" max="15624" width="11.28515625" style="414" customWidth="1"/>
    <col min="15625" max="15625" width="2.7109375" style="414" customWidth="1"/>
    <col min="15626" max="15626" width="9.42578125" style="414" customWidth="1"/>
    <col min="15627" max="15627" width="2.7109375" style="414" customWidth="1"/>
    <col min="15628" max="15631" width="0" style="414" hidden="1" customWidth="1"/>
    <col min="15632" max="15632" width="10" style="414" customWidth="1"/>
    <col min="15633" max="15702" width="6.7109375" style="414" customWidth="1"/>
    <col min="15703" max="15873" width="9.140625" style="414"/>
    <col min="15874" max="15874" width="2.7109375" style="414" customWidth="1"/>
    <col min="15875" max="15876" width="11.5703125" style="414" customWidth="1"/>
    <col min="15877" max="15877" width="7.28515625" style="414" customWidth="1"/>
    <col min="15878" max="15878" width="9.85546875" style="414" customWidth="1"/>
    <col min="15879" max="15879" width="10.140625" style="414" customWidth="1"/>
    <col min="15880" max="15880" width="11.28515625" style="414" customWidth="1"/>
    <col min="15881" max="15881" width="2.7109375" style="414" customWidth="1"/>
    <col min="15882" max="15882" width="9.42578125" style="414" customWidth="1"/>
    <col min="15883" max="15883" width="2.7109375" style="414" customWidth="1"/>
    <col min="15884" max="15887" width="0" style="414" hidden="1" customWidth="1"/>
    <col min="15888" max="15888" width="10" style="414" customWidth="1"/>
    <col min="15889" max="15958" width="6.7109375" style="414" customWidth="1"/>
    <col min="15959" max="16129" width="9.140625" style="414"/>
    <col min="16130" max="16130" width="2.7109375" style="414" customWidth="1"/>
    <col min="16131" max="16132" width="11.5703125" style="414" customWidth="1"/>
    <col min="16133" max="16133" width="7.28515625" style="414" customWidth="1"/>
    <col min="16134" max="16134" width="9.85546875" style="414" customWidth="1"/>
    <col min="16135" max="16135" width="10.140625" style="414" customWidth="1"/>
    <col min="16136" max="16136" width="11.28515625" style="414" customWidth="1"/>
    <col min="16137" max="16137" width="2.7109375" style="414" customWidth="1"/>
    <col min="16138" max="16138" width="9.42578125" style="414" customWidth="1"/>
    <col min="16139" max="16139" width="2.7109375" style="414" customWidth="1"/>
    <col min="16140" max="16143" width="0" style="414" hidden="1" customWidth="1"/>
    <col min="16144" max="16144" width="10" style="414" customWidth="1"/>
    <col min="16145" max="16214" width="6.7109375" style="414" customWidth="1"/>
    <col min="16215" max="16384" width="9.140625" style="414"/>
  </cols>
  <sheetData>
    <row r="1" spans="1:81" ht="12.75" customHeight="1">
      <c r="B1" s="95" t="s">
        <v>748</v>
      </c>
      <c r="C1" s="441">
        <f>ROUND(ValueDate,0)</f>
        <v>42696</v>
      </c>
      <c r="D1" s="95" t="s">
        <v>623</v>
      </c>
      <c r="E1" s="441">
        <f>ROUND(today,0)</f>
        <v>42692</v>
      </c>
      <c r="F1" s="95" t="s">
        <v>5149</v>
      </c>
      <c r="G1" s="473" t="s">
        <v>5150</v>
      </c>
      <c r="I1" s="94"/>
      <c r="S1" s="294"/>
      <c r="T1" s="456"/>
      <c r="AO1" s="53"/>
    </row>
    <row r="3" spans="1:81" ht="18">
      <c r="A3" s="108"/>
      <c r="B3" s="587" t="s">
        <v>232</v>
      </c>
      <c r="C3" s="587"/>
      <c r="D3" s="587"/>
      <c r="E3" s="587"/>
      <c r="F3" s="587"/>
      <c r="G3" s="587"/>
      <c r="H3" s="587"/>
      <c r="I3" s="587"/>
      <c r="J3" s="587"/>
      <c r="K3" s="587"/>
      <c r="M3" s="474"/>
      <c r="N3" s="470" t="s">
        <v>239</v>
      </c>
    </row>
    <row r="4" spans="1:81" ht="12.75" customHeight="1">
      <c r="A4" s="108"/>
      <c r="B4" s="588" t="s">
        <v>233</v>
      </c>
      <c r="C4" s="589"/>
      <c r="D4" s="589"/>
      <c r="E4" s="589"/>
      <c r="F4" s="589"/>
      <c r="G4" s="589"/>
      <c r="H4" s="590"/>
      <c r="I4" s="589" t="s">
        <v>234</v>
      </c>
      <c r="J4" s="589"/>
      <c r="K4" s="589"/>
      <c r="M4" s="475"/>
      <c r="N4" s="591" t="s">
        <v>5154</v>
      </c>
      <c r="P4" s="98" t="s">
        <v>235</v>
      </c>
      <c r="Q4" s="99" t="str">
        <f t="array" ref="Q4:CC4">TRANSPOSE(I6:I70&amp;"")</f>
        <v>O/N</v>
      </c>
      <c r="R4" s="99" t="str">
        <v>T/N</v>
      </c>
      <c r="S4" s="99" t="str">
        <v>S/N</v>
      </c>
      <c r="T4" s="99" t="str">
        <v>1W</v>
      </c>
      <c r="U4" s="99" t="str">
        <v>2W</v>
      </c>
      <c r="V4" s="99" t="str">
        <v>3W</v>
      </c>
      <c r="W4" s="99" t="str">
        <v>1M</v>
      </c>
      <c r="X4" s="99" t="str">
        <v>2M</v>
      </c>
      <c r="Y4" s="99" t="str">
        <v>3M</v>
      </c>
      <c r="Z4" s="99" t="str">
        <v>4M</v>
      </c>
      <c r="AA4" s="99" t="str">
        <v>5M</v>
      </c>
      <c r="AB4" s="99" t="str">
        <v>6M</v>
      </c>
      <c r="AC4" s="99" t="str">
        <v>7M</v>
      </c>
      <c r="AD4" s="99" t="str">
        <v>8M</v>
      </c>
      <c r="AE4" s="99" t="str">
        <v>9M</v>
      </c>
      <c r="AF4" s="99" t="str">
        <v>10M</v>
      </c>
      <c r="AG4" s="99" t="str">
        <v>11M</v>
      </c>
      <c r="AH4" s="99" t="str">
        <v>1Y</v>
      </c>
      <c r="AI4" s="99" t="str">
        <v>13M</v>
      </c>
      <c r="AJ4" s="99" t="str">
        <v>14M</v>
      </c>
      <c r="AK4" s="99" t="str">
        <v>15M</v>
      </c>
      <c r="AL4" s="99" t="str">
        <v>16M</v>
      </c>
      <c r="AM4" s="99" t="str">
        <v>17M</v>
      </c>
      <c r="AN4" s="99" t="str">
        <v>18M</v>
      </c>
      <c r="AO4" s="99" t="str">
        <v>19M</v>
      </c>
      <c r="AP4" s="99" t="str">
        <v>20M</v>
      </c>
      <c r="AQ4" s="99" t="str">
        <v>21M</v>
      </c>
      <c r="AR4" s="99" t="str">
        <v>22M</v>
      </c>
      <c r="AS4" s="99" t="str">
        <v>23M</v>
      </c>
      <c r="AT4" s="99" t="str">
        <v>2Y</v>
      </c>
      <c r="AU4" s="99" t="str">
        <v>3Y</v>
      </c>
      <c r="AV4" s="99" t="str">
        <v>4Y</v>
      </c>
      <c r="AW4" s="99" t="str">
        <v>5Y</v>
      </c>
      <c r="AX4" s="99" t="str">
        <v>6Y</v>
      </c>
      <c r="AY4" s="99" t="str">
        <v>7Y</v>
      </c>
      <c r="AZ4" s="99" t="str">
        <v>8Y</v>
      </c>
      <c r="BA4" s="99" t="str">
        <v>9Y</v>
      </c>
      <c r="BB4" s="99" t="str">
        <v>10Y</v>
      </c>
      <c r="BC4" s="99" t="str">
        <v>11Y</v>
      </c>
      <c r="BD4" s="99" t="str">
        <v>12Y</v>
      </c>
      <c r="BE4" s="99" t="str">
        <v>13Y</v>
      </c>
      <c r="BF4" s="99" t="str">
        <v>14Y</v>
      </c>
      <c r="BG4" s="99" t="str">
        <v>15Y</v>
      </c>
      <c r="BH4" s="99" t="str">
        <v>16Y</v>
      </c>
      <c r="BI4" s="99" t="str">
        <v>17Y</v>
      </c>
      <c r="BJ4" s="99" t="str">
        <v>18Y</v>
      </c>
      <c r="BK4" s="99" t="str">
        <v>19Y</v>
      </c>
      <c r="BL4" s="99" t="str">
        <v>20Y</v>
      </c>
      <c r="BM4" s="99" t="str">
        <v>21Y</v>
      </c>
      <c r="BN4" s="99" t="str">
        <v>22Y</v>
      </c>
      <c r="BO4" s="99" t="str">
        <v>23Y</v>
      </c>
      <c r="BP4" s="99" t="str">
        <v>24Y</v>
      </c>
      <c r="BQ4" s="99" t="str">
        <v>25Y</v>
      </c>
      <c r="BR4" s="99" t="str">
        <v>26Y</v>
      </c>
      <c r="BS4" s="99" t="str">
        <v>27Y</v>
      </c>
      <c r="BT4" s="99" t="str">
        <v>28Y</v>
      </c>
      <c r="BU4" s="99" t="str">
        <v>29Y</v>
      </c>
      <c r="BV4" s="99" t="str">
        <v>30Y</v>
      </c>
      <c r="BW4" s="99" t="str">
        <v>35Y</v>
      </c>
      <c r="BX4" s="99" t="str">
        <v>40Y</v>
      </c>
      <c r="BY4" s="99" t="str">
        <v>50Y</v>
      </c>
      <c r="BZ4" s="99" t="str">
        <v>60Y</v>
      </c>
      <c r="CA4" s="99" t="e">
        <v>#N/A</v>
      </c>
      <c r="CB4" s="99" t="e">
        <v>#N/A</v>
      </c>
      <c r="CC4" s="99" t="e">
        <v>#N/A</v>
      </c>
    </row>
    <row r="5" spans="1:81" ht="44.25">
      <c r="A5" s="108" t="s">
        <v>236</v>
      </c>
      <c r="B5" s="263" t="s">
        <v>87</v>
      </c>
      <c r="C5" s="471" t="s">
        <v>237</v>
      </c>
      <c r="D5" s="101" t="s">
        <v>240</v>
      </c>
      <c r="E5" s="101" t="s">
        <v>5144</v>
      </c>
      <c r="F5" s="101" t="s">
        <v>5143</v>
      </c>
      <c r="G5" s="101" t="s">
        <v>5151</v>
      </c>
      <c r="H5" s="101" t="s">
        <v>5145</v>
      </c>
      <c r="I5" s="472" t="s">
        <v>5142</v>
      </c>
      <c r="J5" s="109" t="s">
        <v>240</v>
      </c>
      <c r="K5" s="101" t="s">
        <v>231</v>
      </c>
      <c r="M5" s="476"/>
      <c r="N5" s="591"/>
      <c r="P5" s="469" t="b">
        <v>0</v>
      </c>
      <c r="Q5" s="104">
        <f t="array" ref="Q5:CC5">TRANSPOSE(K6:K70)</f>
        <v>42695</v>
      </c>
      <c r="R5" s="104">
        <v>42696</v>
      </c>
      <c r="S5" s="104">
        <v>42697</v>
      </c>
      <c r="T5" s="104">
        <v>42703</v>
      </c>
      <c r="U5" s="104">
        <v>42710</v>
      </c>
      <c r="V5" s="104">
        <v>42717</v>
      </c>
      <c r="W5" s="104">
        <v>42726</v>
      </c>
      <c r="X5" s="104">
        <v>42758</v>
      </c>
      <c r="Y5" s="104">
        <v>42788</v>
      </c>
      <c r="Z5" s="104">
        <v>42816</v>
      </c>
      <c r="AA5" s="104">
        <v>42849</v>
      </c>
      <c r="AB5" s="104">
        <v>42877</v>
      </c>
      <c r="AC5" s="104">
        <v>42908</v>
      </c>
      <c r="AD5" s="104">
        <v>42940</v>
      </c>
      <c r="AE5" s="104">
        <v>42969</v>
      </c>
      <c r="AF5" s="104">
        <v>43000</v>
      </c>
      <c r="AG5" s="104">
        <v>43031</v>
      </c>
      <c r="AH5" s="104">
        <v>43061</v>
      </c>
      <c r="AI5" s="104">
        <v>43091</v>
      </c>
      <c r="AJ5" s="104">
        <v>43122</v>
      </c>
      <c r="AK5" s="104">
        <v>43153</v>
      </c>
      <c r="AL5" s="104">
        <v>43181</v>
      </c>
      <c r="AM5" s="104">
        <v>43213</v>
      </c>
      <c r="AN5" s="104">
        <v>43242</v>
      </c>
      <c r="AO5" s="104">
        <v>43273</v>
      </c>
      <c r="AP5" s="104">
        <v>43304</v>
      </c>
      <c r="AQ5" s="104">
        <v>43334</v>
      </c>
      <c r="AR5" s="104">
        <v>43367</v>
      </c>
      <c r="AS5" s="104">
        <v>43395</v>
      </c>
      <c r="AT5" s="104">
        <v>43426</v>
      </c>
      <c r="AU5" s="104">
        <v>43791</v>
      </c>
      <c r="AV5" s="104">
        <v>44158</v>
      </c>
      <c r="AW5" s="104">
        <v>44522</v>
      </c>
      <c r="AX5" s="104">
        <v>44887</v>
      </c>
      <c r="AY5" s="104">
        <v>45252</v>
      </c>
      <c r="AZ5" s="104">
        <v>45618</v>
      </c>
      <c r="BA5" s="104">
        <v>45985</v>
      </c>
      <c r="BB5" s="104">
        <v>46349</v>
      </c>
      <c r="BC5" s="104">
        <v>46713</v>
      </c>
      <c r="BD5" s="104">
        <v>47079</v>
      </c>
      <c r="BE5" s="104">
        <v>47444</v>
      </c>
      <c r="BF5" s="104">
        <v>47809</v>
      </c>
      <c r="BG5" s="104">
        <v>48176</v>
      </c>
      <c r="BH5" s="104">
        <v>48540</v>
      </c>
      <c r="BI5" s="104">
        <v>48905</v>
      </c>
      <c r="BJ5" s="104">
        <v>49270</v>
      </c>
      <c r="BK5" s="104">
        <v>49635</v>
      </c>
      <c r="BL5" s="104">
        <v>50003</v>
      </c>
      <c r="BM5" s="104">
        <v>50367</v>
      </c>
      <c r="BN5" s="104">
        <v>50731</v>
      </c>
      <c r="BO5" s="104">
        <v>51096</v>
      </c>
      <c r="BP5" s="104">
        <v>51462</v>
      </c>
      <c r="BQ5" s="104">
        <v>51827</v>
      </c>
      <c r="BR5" s="104">
        <v>52194</v>
      </c>
      <c r="BS5" s="104">
        <v>52558</v>
      </c>
      <c r="BT5" s="104">
        <v>52923</v>
      </c>
      <c r="BU5" s="104">
        <v>53288</v>
      </c>
      <c r="BV5" s="104">
        <v>53653</v>
      </c>
      <c r="BW5" s="104">
        <v>55479</v>
      </c>
      <c r="BX5" s="104">
        <v>57306</v>
      </c>
      <c r="BY5" s="104">
        <v>60958</v>
      </c>
      <c r="BZ5" s="104">
        <v>64612</v>
      </c>
      <c r="CA5" s="104" t="e">
        <v>#NUM!</v>
      </c>
      <c r="CB5" s="104" t="e">
        <v>#NUM!</v>
      </c>
      <c r="CC5" s="104" t="e">
        <v>#NUM!</v>
      </c>
    </row>
    <row r="6" spans="1:81" ht="12.75" customHeight="1">
      <c r="A6" s="105">
        <v>1</v>
      </c>
      <c r="B6" s="457" t="str">
        <f t="array" ref="B6:B73">[0]!Bucket1Y</f>
        <v>S/N</v>
      </c>
      <c r="C6" s="262">
        <f>'eur disaggregated'!AT17</f>
        <v>7.1042012957035903</v>
      </c>
      <c r="D6" s="111" t="s">
        <v>484</v>
      </c>
      <c r="E6" s="441">
        <f>BktEur1yPL!E6</f>
        <v>42696</v>
      </c>
      <c r="F6" s="441">
        <f>BktEur1yPL!F6</f>
        <v>42697</v>
      </c>
      <c r="G6" s="462">
        <f>IF(AND(70&lt;H6, H6&lt;130),(100-H6)/100,H6/100)</f>
        <v>-1.242195E-3</v>
      </c>
      <c r="H6" s="453">
        <f>BktEur1yPL!H6</f>
        <v>-0.1242195</v>
      </c>
      <c r="I6" s="107" t="str">
        <f t="array" ref="I6:I70">[0]!BucketOIS</f>
        <v>O/N</v>
      </c>
      <c r="J6" s="441" t="str">
        <f>IF(
      LEN(I6)&gt;0,
      IF(
          (MID(I6,4,1)=" "),#REF!+
          0*TYPE("FUTURE Terzo mercoledì del mese calcolato sulla maturity"),
          IF(
               (LEN(I6)=8),
               DATE("20" &amp; RIGHT(I6,2),MID(I6,4,2),LEFT(I6,2))+0*TYPE("STUB"),
               SimplifyTenor(I6)
          )
      ),
      ""
   )</f>
        <v>1D</v>
      </c>
      <c r="K6" s="448">
        <f>_xll.qlCalendarAdvance("TARGET",EvaluationDate,J6)</f>
        <v>42695</v>
      </c>
      <c r="M6" s="99" t="str">
        <f t="array" ref="M6:M70">I6:I70</f>
        <v>O/N</v>
      </c>
      <c r="N6" s="465">
        <f t="array" ref="N6:N70">TRANSPOSE(Q75:CC75)</f>
        <v>0</v>
      </c>
      <c r="P6" s="106" t="b">
        <f t="shared" ref="P6:P37" si="0">MID(B6,4,1)=" "</f>
        <v>0</v>
      </c>
      <c r="Q6" s="460">
        <f t="array" ref="Q6:CC6">C6*ForwardToZero(OisBuckets,E6,F6,G6)</f>
        <v>0</v>
      </c>
      <c r="R6" s="460">
        <v>0</v>
      </c>
      <c r="S6" s="460">
        <v>7.1042012957035903</v>
      </c>
      <c r="T6" s="460">
        <v>0</v>
      </c>
      <c r="U6" s="460">
        <v>0</v>
      </c>
      <c r="V6" s="460">
        <v>0</v>
      </c>
      <c r="W6" s="460">
        <v>0</v>
      </c>
      <c r="X6" s="460">
        <v>0</v>
      </c>
      <c r="Y6" s="460">
        <v>0</v>
      </c>
      <c r="Z6" s="460">
        <v>0</v>
      </c>
      <c r="AA6" s="460">
        <v>0</v>
      </c>
      <c r="AB6" s="460">
        <v>0</v>
      </c>
      <c r="AC6" s="460">
        <v>0</v>
      </c>
      <c r="AD6" s="460">
        <v>0</v>
      </c>
      <c r="AE6" s="460">
        <v>0</v>
      </c>
      <c r="AF6" s="460">
        <v>0</v>
      </c>
      <c r="AG6" s="460">
        <v>0</v>
      </c>
      <c r="AH6" s="460">
        <v>0</v>
      </c>
      <c r="AI6" s="460">
        <v>0</v>
      </c>
      <c r="AJ6" s="460">
        <v>0</v>
      </c>
      <c r="AK6" s="460">
        <v>0</v>
      </c>
      <c r="AL6" s="460">
        <v>0</v>
      </c>
      <c r="AM6" s="460">
        <v>0</v>
      </c>
      <c r="AN6" s="460">
        <v>0</v>
      </c>
      <c r="AO6" s="460">
        <v>0</v>
      </c>
      <c r="AP6" s="460">
        <v>0</v>
      </c>
      <c r="AQ6" s="460">
        <v>0</v>
      </c>
      <c r="AR6" s="460">
        <v>0</v>
      </c>
      <c r="AS6" s="460">
        <v>0</v>
      </c>
      <c r="AT6" s="460">
        <v>0</v>
      </c>
      <c r="AU6" s="460">
        <v>0</v>
      </c>
      <c r="AV6" s="460">
        <v>0</v>
      </c>
      <c r="AW6" s="460">
        <v>0</v>
      </c>
      <c r="AX6" s="460">
        <v>0</v>
      </c>
      <c r="AY6" s="460">
        <v>0</v>
      </c>
      <c r="AZ6" s="460">
        <v>0</v>
      </c>
      <c r="BA6" s="460">
        <v>0</v>
      </c>
      <c r="BB6" s="460">
        <v>0</v>
      </c>
      <c r="BC6" s="460">
        <v>0</v>
      </c>
      <c r="BD6" s="460">
        <v>0</v>
      </c>
      <c r="BE6" s="460">
        <v>0</v>
      </c>
      <c r="BF6" s="460">
        <v>0</v>
      </c>
      <c r="BG6" s="460">
        <v>0</v>
      </c>
      <c r="BH6" s="460">
        <v>0</v>
      </c>
      <c r="BI6" s="460">
        <v>0</v>
      </c>
      <c r="BJ6" s="460">
        <v>0</v>
      </c>
      <c r="BK6" s="460">
        <v>0</v>
      </c>
      <c r="BL6" s="460">
        <v>0</v>
      </c>
      <c r="BM6" s="460">
        <v>0</v>
      </c>
      <c r="BN6" s="460">
        <v>0</v>
      </c>
      <c r="BO6" s="460">
        <v>0</v>
      </c>
      <c r="BP6" s="460">
        <v>0</v>
      </c>
      <c r="BQ6" s="460">
        <v>0</v>
      </c>
      <c r="BR6" s="460">
        <v>0</v>
      </c>
      <c r="BS6" s="460">
        <v>0</v>
      </c>
      <c r="BT6" s="460">
        <v>0</v>
      </c>
      <c r="BU6" s="460">
        <v>0</v>
      </c>
      <c r="BV6" s="460">
        <v>0</v>
      </c>
      <c r="BW6" s="460">
        <v>0</v>
      </c>
      <c r="BX6" s="460">
        <v>0</v>
      </c>
      <c r="BY6" s="460">
        <v>0</v>
      </c>
      <c r="BZ6" s="460">
        <v>0</v>
      </c>
      <c r="CA6" s="460" t="e">
        <v>#N/A</v>
      </c>
      <c r="CB6" s="460" t="e">
        <v>#N/A</v>
      </c>
      <c r="CC6" s="460" t="e">
        <v>#N/A</v>
      </c>
    </row>
    <row r="7" spans="1:81" ht="12.75" customHeight="1">
      <c r="A7" s="105">
        <v>2</v>
      </c>
      <c r="B7" s="458" t="str">
        <v>1W</v>
      </c>
      <c r="C7" s="262">
        <f>'eur disaggregated'!AT18</f>
        <v>0</v>
      </c>
      <c r="D7" s="111" t="str">
        <f>IF(LEN(B7)&gt;3, "12M",IF(LEN(B7)&gt;0,SimplifyTenor(B7),""))</f>
        <v>1W</v>
      </c>
      <c r="E7" s="441">
        <f>BktEur1yPL!E7</f>
        <v>42696</v>
      </c>
      <c r="F7" s="441">
        <f>BktEur1yPL!F7</f>
        <v>42703</v>
      </c>
      <c r="G7" s="462">
        <f t="shared" ref="G7:G70" si="1">IF(AND(70&lt;H7, H7&lt;130),(100-H7)/100,H7/100)</f>
        <v>-1.24218643E-3</v>
      </c>
      <c r="H7" s="453">
        <f>BktEur1yPL!H7</f>
        <v>-0.124218643</v>
      </c>
      <c r="I7" s="107" t="str">
        <v>T/N</v>
      </c>
      <c r="J7" s="106" t="str">
        <f>IF(LEN(I7)&gt;0,IF((MID(I7,4,1)=" "),#REF!,IF((LEN(I7)=8),DATE("20" &amp; RIGHT(I7,2),MID(I7,4,2),LEFT(I7,2)),SimplifyTenor(I7))),"")</f>
        <v>2D</v>
      </c>
      <c r="K7" s="448">
        <f>_xll.qlCalendarAdvance("TARGET",EvaluationDate,J7)</f>
        <v>42696</v>
      </c>
      <c r="M7" s="99" t="str">
        <v>T/N</v>
      </c>
      <c r="N7" s="465">
        <v>0</v>
      </c>
      <c r="P7" s="106" t="b">
        <f t="shared" si="0"/>
        <v>0</v>
      </c>
      <c r="Q7" s="460">
        <f t="array" ref="Q7:CC7">C7*ForwardToZero(OisBuckets,E7,F7,G7)</f>
        <v>0</v>
      </c>
      <c r="R7" s="460">
        <v>0</v>
      </c>
      <c r="S7" s="460">
        <v>0</v>
      </c>
      <c r="T7" s="460">
        <v>0</v>
      </c>
      <c r="U7" s="460">
        <v>0</v>
      </c>
      <c r="V7" s="460">
        <v>0</v>
      </c>
      <c r="W7" s="460">
        <v>0</v>
      </c>
      <c r="X7" s="460">
        <v>0</v>
      </c>
      <c r="Y7" s="460">
        <v>0</v>
      </c>
      <c r="Z7" s="460">
        <v>0</v>
      </c>
      <c r="AA7" s="460">
        <v>0</v>
      </c>
      <c r="AB7" s="460">
        <v>0</v>
      </c>
      <c r="AC7" s="460">
        <v>0</v>
      </c>
      <c r="AD7" s="460">
        <v>0</v>
      </c>
      <c r="AE7" s="460">
        <v>0</v>
      </c>
      <c r="AF7" s="460">
        <v>0</v>
      </c>
      <c r="AG7" s="460">
        <v>0</v>
      </c>
      <c r="AH7" s="460">
        <v>0</v>
      </c>
      <c r="AI7" s="460">
        <v>0</v>
      </c>
      <c r="AJ7" s="460">
        <v>0</v>
      </c>
      <c r="AK7" s="460">
        <v>0</v>
      </c>
      <c r="AL7" s="460">
        <v>0</v>
      </c>
      <c r="AM7" s="460">
        <v>0</v>
      </c>
      <c r="AN7" s="460">
        <v>0</v>
      </c>
      <c r="AO7" s="460">
        <v>0</v>
      </c>
      <c r="AP7" s="460">
        <v>0</v>
      </c>
      <c r="AQ7" s="460">
        <v>0</v>
      </c>
      <c r="AR7" s="460">
        <v>0</v>
      </c>
      <c r="AS7" s="460">
        <v>0</v>
      </c>
      <c r="AT7" s="460">
        <v>0</v>
      </c>
      <c r="AU7" s="460">
        <v>0</v>
      </c>
      <c r="AV7" s="460">
        <v>0</v>
      </c>
      <c r="AW7" s="460">
        <v>0</v>
      </c>
      <c r="AX7" s="460">
        <v>0</v>
      </c>
      <c r="AY7" s="460">
        <v>0</v>
      </c>
      <c r="AZ7" s="460">
        <v>0</v>
      </c>
      <c r="BA7" s="460">
        <v>0</v>
      </c>
      <c r="BB7" s="460">
        <v>0</v>
      </c>
      <c r="BC7" s="460">
        <v>0</v>
      </c>
      <c r="BD7" s="460">
        <v>0</v>
      </c>
      <c r="BE7" s="460">
        <v>0</v>
      </c>
      <c r="BF7" s="460">
        <v>0</v>
      </c>
      <c r="BG7" s="460">
        <v>0</v>
      </c>
      <c r="BH7" s="460">
        <v>0</v>
      </c>
      <c r="BI7" s="460">
        <v>0</v>
      </c>
      <c r="BJ7" s="460">
        <v>0</v>
      </c>
      <c r="BK7" s="460">
        <v>0</v>
      </c>
      <c r="BL7" s="460">
        <v>0</v>
      </c>
      <c r="BM7" s="460">
        <v>0</v>
      </c>
      <c r="BN7" s="460">
        <v>0</v>
      </c>
      <c r="BO7" s="460">
        <v>0</v>
      </c>
      <c r="BP7" s="460">
        <v>0</v>
      </c>
      <c r="BQ7" s="460">
        <v>0</v>
      </c>
      <c r="BR7" s="460">
        <v>0</v>
      </c>
      <c r="BS7" s="460">
        <v>0</v>
      </c>
      <c r="BT7" s="460">
        <v>0</v>
      </c>
      <c r="BU7" s="460">
        <v>0</v>
      </c>
      <c r="BV7" s="460">
        <v>0</v>
      </c>
      <c r="BW7" s="460">
        <v>0</v>
      </c>
      <c r="BX7" s="460">
        <v>0</v>
      </c>
      <c r="BY7" s="460">
        <v>0</v>
      </c>
      <c r="BZ7" s="460">
        <v>0</v>
      </c>
      <c r="CA7" s="460" t="e">
        <v>#N/A</v>
      </c>
      <c r="CB7" s="460" t="e">
        <v>#N/A</v>
      </c>
      <c r="CC7" s="460" t="e">
        <v>#N/A</v>
      </c>
    </row>
    <row r="8" spans="1:81" ht="12.75" customHeight="1">
      <c r="A8" s="105">
        <v>3</v>
      </c>
      <c r="B8" s="458" t="str">
        <v>2W</v>
      </c>
      <c r="C8" s="262">
        <f>'eur disaggregated'!AT19</f>
        <v>0</v>
      </c>
      <c r="D8" s="111" t="str">
        <f t="shared" ref="D8:D71" si="2">IF(LEN(B8)&gt;3, "12M",IF(LEN(B8)&gt;0,SimplifyTenor(B8),""))</f>
        <v>2W</v>
      </c>
      <c r="E8" s="441">
        <f>BktEur1yPL!E8</f>
        <v>42696</v>
      </c>
      <c r="F8" s="441">
        <f>BktEur1yPL!F8</f>
        <v>42710</v>
      </c>
      <c r="G8" s="462">
        <f t="shared" si="1"/>
        <v>-1.24217143E-3</v>
      </c>
      <c r="H8" s="453">
        <f>BktEur1yPL!H8</f>
        <v>-0.124217143</v>
      </c>
      <c r="I8" s="107" t="str">
        <v>S/N</v>
      </c>
      <c r="J8" s="106" t="str">
        <f>IF(LEN(I8)&gt;0,IF((MID(I8,4,1)=" "),#REF!,IF((LEN(I8)=8),DATE("20" &amp; RIGHT(I8,2),MID(I8,4,2),LEFT(I8,2)),SimplifyTenor(I8))),"")</f>
        <v>3D</v>
      </c>
      <c r="K8" s="448">
        <f>_xll.qlCalendarAdvance("TARGET",EvaluationDate,J8)</f>
        <v>42697</v>
      </c>
      <c r="M8" s="99" t="str">
        <v>S/N</v>
      </c>
      <c r="N8" s="465">
        <v>7.1042012957035903</v>
      </c>
      <c r="P8" s="106" t="b">
        <f t="shared" si="0"/>
        <v>0</v>
      </c>
      <c r="Q8" s="460">
        <f t="array" ref="Q8:CC8">C8*ForwardToZero(OisBuckets,E8,F8,G8)</f>
        <v>0</v>
      </c>
      <c r="R8" s="460">
        <v>0</v>
      </c>
      <c r="S8" s="460">
        <v>0</v>
      </c>
      <c r="T8" s="460">
        <v>0</v>
      </c>
      <c r="U8" s="460">
        <v>0</v>
      </c>
      <c r="V8" s="460">
        <v>0</v>
      </c>
      <c r="W8" s="460">
        <v>0</v>
      </c>
      <c r="X8" s="460">
        <v>0</v>
      </c>
      <c r="Y8" s="460">
        <v>0</v>
      </c>
      <c r="Z8" s="460">
        <v>0</v>
      </c>
      <c r="AA8" s="460">
        <v>0</v>
      </c>
      <c r="AB8" s="460">
        <v>0</v>
      </c>
      <c r="AC8" s="460">
        <v>0</v>
      </c>
      <c r="AD8" s="460">
        <v>0</v>
      </c>
      <c r="AE8" s="460">
        <v>0</v>
      </c>
      <c r="AF8" s="460">
        <v>0</v>
      </c>
      <c r="AG8" s="460">
        <v>0</v>
      </c>
      <c r="AH8" s="460">
        <v>0</v>
      </c>
      <c r="AI8" s="460">
        <v>0</v>
      </c>
      <c r="AJ8" s="460">
        <v>0</v>
      </c>
      <c r="AK8" s="460">
        <v>0</v>
      </c>
      <c r="AL8" s="460">
        <v>0</v>
      </c>
      <c r="AM8" s="460">
        <v>0</v>
      </c>
      <c r="AN8" s="460">
        <v>0</v>
      </c>
      <c r="AO8" s="460">
        <v>0</v>
      </c>
      <c r="AP8" s="460">
        <v>0</v>
      </c>
      <c r="AQ8" s="460">
        <v>0</v>
      </c>
      <c r="AR8" s="460">
        <v>0</v>
      </c>
      <c r="AS8" s="460">
        <v>0</v>
      </c>
      <c r="AT8" s="460">
        <v>0</v>
      </c>
      <c r="AU8" s="460">
        <v>0</v>
      </c>
      <c r="AV8" s="460">
        <v>0</v>
      </c>
      <c r="AW8" s="460">
        <v>0</v>
      </c>
      <c r="AX8" s="460">
        <v>0</v>
      </c>
      <c r="AY8" s="460">
        <v>0</v>
      </c>
      <c r="AZ8" s="460">
        <v>0</v>
      </c>
      <c r="BA8" s="460">
        <v>0</v>
      </c>
      <c r="BB8" s="460">
        <v>0</v>
      </c>
      <c r="BC8" s="460">
        <v>0</v>
      </c>
      <c r="BD8" s="460">
        <v>0</v>
      </c>
      <c r="BE8" s="460">
        <v>0</v>
      </c>
      <c r="BF8" s="460">
        <v>0</v>
      </c>
      <c r="BG8" s="460">
        <v>0</v>
      </c>
      <c r="BH8" s="460">
        <v>0</v>
      </c>
      <c r="BI8" s="460">
        <v>0</v>
      </c>
      <c r="BJ8" s="460">
        <v>0</v>
      </c>
      <c r="BK8" s="460">
        <v>0</v>
      </c>
      <c r="BL8" s="460">
        <v>0</v>
      </c>
      <c r="BM8" s="460">
        <v>0</v>
      </c>
      <c r="BN8" s="460">
        <v>0</v>
      </c>
      <c r="BO8" s="460">
        <v>0</v>
      </c>
      <c r="BP8" s="460">
        <v>0</v>
      </c>
      <c r="BQ8" s="460">
        <v>0</v>
      </c>
      <c r="BR8" s="460">
        <v>0</v>
      </c>
      <c r="BS8" s="460">
        <v>0</v>
      </c>
      <c r="BT8" s="460">
        <v>0</v>
      </c>
      <c r="BU8" s="460">
        <v>0</v>
      </c>
      <c r="BV8" s="460">
        <v>0</v>
      </c>
      <c r="BW8" s="460">
        <v>0</v>
      </c>
      <c r="BX8" s="460">
        <v>0</v>
      </c>
      <c r="BY8" s="460">
        <v>0</v>
      </c>
      <c r="BZ8" s="460">
        <v>0</v>
      </c>
      <c r="CA8" s="460" t="e">
        <v>#N/A</v>
      </c>
      <c r="CB8" s="460" t="e">
        <v>#N/A</v>
      </c>
      <c r="CC8" s="460" t="e">
        <v>#N/A</v>
      </c>
    </row>
    <row r="9" spans="1:81" ht="12.75" customHeight="1">
      <c r="A9" s="105">
        <v>4</v>
      </c>
      <c r="B9" s="458" t="str">
        <v>3W</v>
      </c>
      <c r="C9" s="262">
        <f>'eur disaggregated'!AT20</f>
        <v>0</v>
      </c>
      <c r="D9" s="111" t="str">
        <f t="shared" si="2"/>
        <v>3W</v>
      </c>
      <c r="E9" s="441">
        <f>BktEur1yPL!E9</f>
        <v>42696</v>
      </c>
      <c r="F9" s="441">
        <f>BktEur1yPL!F9</f>
        <v>42717</v>
      </c>
      <c r="G9" s="462">
        <f t="shared" si="1"/>
        <v>-1.2421564299999999E-3</v>
      </c>
      <c r="H9" s="453">
        <f>BktEur1yPL!H9</f>
        <v>-0.124215643</v>
      </c>
      <c r="I9" s="107" t="str">
        <v>1W</v>
      </c>
      <c r="J9" s="106" t="str">
        <f>IF(LEN(I9)&gt;0,IF((MID(I9,4,1)=" "),#REF!,IF((LEN(I9)=8),DATE("20" &amp; RIGHT(I9,2),MID(I9,4,2),LEFT(I9,2)),SimplifyTenor(I9))),"")</f>
        <v>1W</v>
      </c>
      <c r="K9" s="448">
        <f>_xll.qlCalendarAdvance("TARGET",SettlementDate,J9)</f>
        <v>42703</v>
      </c>
      <c r="M9" s="99" t="str">
        <v>1W</v>
      </c>
      <c r="N9" s="465">
        <v>0</v>
      </c>
      <c r="P9" s="106" t="b">
        <f t="shared" si="0"/>
        <v>0</v>
      </c>
      <c r="Q9" s="460">
        <f t="array" ref="Q9:CC9">C9*ForwardToZero(OisBuckets,E9,F9,G9)</f>
        <v>0</v>
      </c>
      <c r="R9" s="460">
        <v>0</v>
      </c>
      <c r="S9" s="460">
        <v>0</v>
      </c>
      <c r="T9" s="460">
        <v>0</v>
      </c>
      <c r="U9" s="460">
        <v>0</v>
      </c>
      <c r="V9" s="460">
        <v>0</v>
      </c>
      <c r="W9" s="460">
        <v>0</v>
      </c>
      <c r="X9" s="460">
        <v>0</v>
      </c>
      <c r="Y9" s="460">
        <v>0</v>
      </c>
      <c r="Z9" s="460">
        <v>0</v>
      </c>
      <c r="AA9" s="460">
        <v>0</v>
      </c>
      <c r="AB9" s="460">
        <v>0</v>
      </c>
      <c r="AC9" s="460">
        <v>0</v>
      </c>
      <c r="AD9" s="460">
        <v>0</v>
      </c>
      <c r="AE9" s="460">
        <v>0</v>
      </c>
      <c r="AF9" s="460">
        <v>0</v>
      </c>
      <c r="AG9" s="460">
        <v>0</v>
      </c>
      <c r="AH9" s="460">
        <v>0</v>
      </c>
      <c r="AI9" s="460">
        <v>0</v>
      </c>
      <c r="AJ9" s="460">
        <v>0</v>
      </c>
      <c r="AK9" s="460">
        <v>0</v>
      </c>
      <c r="AL9" s="460">
        <v>0</v>
      </c>
      <c r="AM9" s="460">
        <v>0</v>
      </c>
      <c r="AN9" s="460">
        <v>0</v>
      </c>
      <c r="AO9" s="460">
        <v>0</v>
      </c>
      <c r="AP9" s="460">
        <v>0</v>
      </c>
      <c r="AQ9" s="460">
        <v>0</v>
      </c>
      <c r="AR9" s="460">
        <v>0</v>
      </c>
      <c r="AS9" s="460">
        <v>0</v>
      </c>
      <c r="AT9" s="460">
        <v>0</v>
      </c>
      <c r="AU9" s="460">
        <v>0</v>
      </c>
      <c r="AV9" s="460">
        <v>0</v>
      </c>
      <c r="AW9" s="460">
        <v>0</v>
      </c>
      <c r="AX9" s="460">
        <v>0</v>
      </c>
      <c r="AY9" s="460">
        <v>0</v>
      </c>
      <c r="AZ9" s="460">
        <v>0</v>
      </c>
      <c r="BA9" s="460">
        <v>0</v>
      </c>
      <c r="BB9" s="460">
        <v>0</v>
      </c>
      <c r="BC9" s="460">
        <v>0</v>
      </c>
      <c r="BD9" s="460">
        <v>0</v>
      </c>
      <c r="BE9" s="460">
        <v>0</v>
      </c>
      <c r="BF9" s="460">
        <v>0</v>
      </c>
      <c r="BG9" s="460">
        <v>0</v>
      </c>
      <c r="BH9" s="460">
        <v>0</v>
      </c>
      <c r="BI9" s="460">
        <v>0</v>
      </c>
      <c r="BJ9" s="460">
        <v>0</v>
      </c>
      <c r="BK9" s="460">
        <v>0</v>
      </c>
      <c r="BL9" s="460">
        <v>0</v>
      </c>
      <c r="BM9" s="460">
        <v>0</v>
      </c>
      <c r="BN9" s="460">
        <v>0</v>
      </c>
      <c r="BO9" s="460">
        <v>0</v>
      </c>
      <c r="BP9" s="460">
        <v>0</v>
      </c>
      <c r="BQ9" s="460">
        <v>0</v>
      </c>
      <c r="BR9" s="460">
        <v>0</v>
      </c>
      <c r="BS9" s="460">
        <v>0</v>
      </c>
      <c r="BT9" s="460">
        <v>0</v>
      </c>
      <c r="BU9" s="460">
        <v>0</v>
      </c>
      <c r="BV9" s="460">
        <v>0</v>
      </c>
      <c r="BW9" s="460">
        <v>0</v>
      </c>
      <c r="BX9" s="460">
        <v>0</v>
      </c>
      <c r="BY9" s="460">
        <v>0</v>
      </c>
      <c r="BZ9" s="460">
        <v>0</v>
      </c>
      <c r="CA9" s="460" t="e">
        <v>#N/A</v>
      </c>
      <c r="CB9" s="460" t="e">
        <v>#N/A</v>
      </c>
      <c r="CC9" s="460" t="e">
        <v>#N/A</v>
      </c>
    </row>
    <row r="10" spans="1:81" ht="12.75" customHeight="1">
      <c r="A10" s="105">
        <v>5</v>
      </c>
      <c r="B10" s="458" t="str">
        <v>1M</v>
      </c>
      <c r="C10" s="262">
        <f>'eur disaggregated'!AT21</f>
        <v>-2.2074769447503999</v>
      </c>
      <c r="D10" s="111" t="str">
        <f t="shared" si="2"/>
        <v>1M</v>
      </c>
      <c r="E10" s="441">
        <f>BktEur1yPL!E10</f>
        <v>42696</v>
      </c>
      <c r="F10" s="441">
        <f>BktEur1yPL!F10</f>
        <v>42726</v>
      </c>
      <c r="G10" s="462">
        <f t="shared" si="1"/>
        <v>-1.2421350000000001E-3</v>
      </c>
      <c r="H10" s="453">
        <f>BktEur1yPL!H10</f>
        <v>-0.1242135</v>
      </c>
      <c r="I10" s="107" t="str">
        <v>2W</v>
      </c>
      <c r="J10" s="106" t="str">
        <f>IF(LEN(I10)&gt;0,IF((MID(I10,4,1)=" "),#REF!,IF((LEN(I10)=8),DATE("20" &amp; RIGHT(I10,2),MID(I10,4,2),LEFT(I10,2)),SimplifyTenor(I10))),"")</f>
        <v>2W</v>
      </c>
      <c r="K10" s="448">
        <f>_xll.qlCalendarAdvance("TARGET",SettlementDate,J10)</f>
        <v>42710</v>
      </c>
      <c r="M10" s="99" t="str">
        <v>2W</v>
      </c>
      <c r="N10" s="465">
        <v>0</v>
      </c>
      <c r="P10" s="106" t="b">
        <f t="shared" si="0"/>
        <v>0</v>
      </c>
      <c r="Q10" s="460">
        <f t="array" ref="Q10:CC10">C10*ForwardToZero(OisBuckets,E10,F10,G10)</f>
        <v>0</v>
      </c>
      <c r="R10" s="460">
        <v>0</v>
      </c>
      <c r="S10" s="460">
        <v>0</v>
      </c>
      <c r="T10" s="460">
        <v>0</v>
      </c>
      <c r="U10" s="460">
        <v>0</v>
      </c>
      <c r="V10" s="460">
        <v>0</v>
      </c>
      <c r="W10" s="460">
        <v>-2.2074769447503999</v>
      </c>
      <c r="X10" s="460">
        <v>0</v>
      </c>
      <c r="Y10" s="460">
        <v>0</v>
      </c>
      <c r="Z10" s="460">
        <v>0</v>
      </c>
      <c r="AA10" s="460">
        <v>0</v>
      </c>
      <c r="AB10" s="460">
        <v>0</v>
      </c>
      <c r="AC10" s="460">
        <v>0</v>
      </c>
      <c r="AD10" s="460">
        <v>0</v>
      </c>
      <c r="AE10" s="460">
        <v>0</v>
      </c>
      <c r="AF10" s="460">
        <v>0</v>
      </c>
      <c r="AG10" s="460">
        <v>0</v>
      </c>
      <c r="AH10" s="460">
        <v>0</v>
      </c>
      <c r="AI10" s="460">
        <v>0</v>
      </c>
      <c r="AJ10" s="460">
        <v>0</v>
      </c>
      <c r="AK10" s="460">
        <v>0</v>
      </c>
      <c r="AL10" s="460">
        <v>0</v>
      </c>
      <c r="AM10" s="460">
        <v>0</v>
      </c>
      <c r="AN10" s="460">
        <v>0</v>
      </c>
      <c r="AO10" s="460">
        <v>0</v>
      </c>
      <c r="AP10" s="460">
        <v>0</v>
      </c>
      <c r="AQ10" s="460">
        <v>0</v>
      </c>
      <c r="AR10" s="460">
        <v>0</v>
      </c>
      <c r="AS10" s="460">
        <v>0</v>
      </c>
      <c r="AT10" s="460">
        <v>0</v>
      </c>
      <c r="AU10" s="460">
        <v>0</v>
      </c>
      <c r="AV10" s="460">
        <v>0</v>
      </c>
      <c r="AW10" s="460">
        <v>0</v>
      </c>
      <c r="AX10" s="460">
        <v>0</v>
      </c>
      <c r="AY10" s="460">
        <v>0</v>
      </c>
      <c r="AZ10" s="460">
        <v>0</v>
      </c>
      <c r="BA10" s="460">
        <v>0</v>
      </c>
      <c r="BB10" s="460">
        <v>0</v>
      </c>
      <c r="BC10" s="460">
        <v>0</v>
      </c>
      <c r="BD10" s="460">
        <v>0</v>
      </c>
      <c r="BE10" s="460">
        <v>0</v>
      </c>
      <c r="BF10" s="460">
        <v>0</v>
      </c>
      <c r="BG10" s="460">
        <v>0</v>
      </c>
      <c r="BH10" s="460">
        <v>0</v>
      </c>
      <c r="BI10" s="460">
        <v>0</v>
      </c>
      <c r="BJ10" s="460">
        <v>0</v>
      </c>
      <c r="BK10" s="460">
        <v>0</v>
      </c>
      <c r="BL10" s="460">
        <v>0</v>
      </c>
      <c r="BM10" s="460">
        <v>0</v>
      </c>
      <c r="BN10" s="460">
        <v>0</v>
      </c>
      <c r="BO10" s="460">
        <v>0</v>
      </c>
      <c r="BP10" s="460">
        <v>0</v>
      </c>
      <c r="BQ10" s="460">
        <v>0</v>
      </c>
      <c r="BR10" s="460">
        <v>0</v>
      </c>
      <c r="BS10" s="460">
        <v>0</v>
      </c>
      <c r="BT10" s="460">
        <v>0</v>
      </c>
      <c r="BU10" s="460">
        <v>0</v>
      </c>
      <c r="BV10" s="460">
        <v>0</v>
      </c>
      <c r="BW10" s="460">
        <v>0</v>
      </c>
      <c r="BX10" s="460">
        <v>0</v>
      </c>
      <c r="BY10" s="460">
        <v>0</v>
      </c>
      <c r="BZ10" s="460">
        <v>0</v>
      </c>
      <c r="CA10" s="460" t="e">
        <v>#N/A</v>
      </c>
      <c r="CB10" s="460" t="e">
        <v>#N/A</v>
      </c>
      <c r="CC10" s="460" t="e">
        <v>#N/A</v>
      </c>
    </row>
    <row r="11" spans="1:81" ht="12.75" customHeight="1">
      <c r="A11" s="105">
        <v>6</v>
      </c>
      <c r="B11" s="458" t="str">
        <v>2M</v>
      </c>
      <c r="C11" s="262">
        <f>'eur disaggregated'!AT22</f>
        <v>693.52870769824699</v>
      </c>
      <c r="D11" s="111" t="str">
        <f t="shared" si="2"/>
        <v>2M</v>
      </c>
      <c r="E11" s="441">
        <f>BktEur1yPL!E11</f>
        <v>42696</v>
      </c>
      <c r="F11" s="441">
        <f>BktEur1yPL!F11</f>
        <v>42758</v>
      </c>
      <c r="G11" s="462">
        <f t="shared" si="1"/>
        <v>-1.24207071E-3</v>
      </c>
      <c r="H11" s="453">
        <f>BktEur1yPL!H11</f>
        <v>-0.124207071</v>
      </c>
      <c r="I11" s="107" t="str">
        <v>3W</v>
      </c>
      <c r="J11" s="106" t="str">
        <f>IF(LEN(I11)&gt;0,IF((MID(I11,4,1)=" "),#REF!,IF((LEN(I11)=8),DATE("20" &amp; RIGHT(I11,2),MID(I11,4,2),LEFT(I11,2)),SimplifyTenor(I11))),"")</f>
        <v>3W</v>
      </c>
      <c r="K11" s="448">
        <f>_xll.qlCalendarAdvance("TARGET",SettlementDate,J11)</f>
        <v>42717</v>
      </c>
      <c r="M11" s="99" t="str">
        <v>3W</v>
      </c>
      <c r="N11" s="465">
        <v>0</v>
      </c>
      <c r="P11" s="106" t="b">
        <f t="shared" si="0"/>
        <v>0</v>
      </c>
      <c r="Q11" s="460">
        <f t="array" ref="Q11:CC11">C11*ForwardToZero(OisBuckets,E11,F11,G11)</f>
        <v>0</v>
      </c>
      <c r="R11" s="460">
        <v>0</v>
      </c>
      <c r="S11" s="460">
        <v>0</v>
      </c>
      <c r="T11" s="460">
        <v>0</v>
      </c>
      <c r="U11" s="460">
        <v>0</v>
      </c>
      <c r="V11" s="460">
        <v>0</v>
      </c>
      <c r="W11" s="460">
        <v>0</v>
      </c>
      <c r="X11" s="460">
        <v>693.52870769824699</v>
      </c>
      <c r="Y11" s="460">
        <v>0</v>
      </c>
      <c r="Z11" s="460">
        <v>0</v>
      </c>
      <c r="AA11" s="460">
        <v>0</v>
      </c>
      <c r="AB11" s="460">
        <v>0</v>
      </c>
      <c r="AC11" s="460">
        <v>0</v>
      </c>
      <c r="AD11" s="460">
        <v>0</v>
      </c>
      <c r="AE11" s="460">
        <v>0</v>
      </c>
      <c r="AF11" s="460">
        <v>0</v>
      </c>
      <c r="AG11" s="460">
        <v>0</v>
      </c>
      <c r="AH11" s="460">
        <v>0</v>
      </c>
      <c r="AI11" s="460">
        <v>0</v>
      </c>
      <c r="AJ11" s="460">
        <v>0</v>
      </c>
      <c r="AK11" s="460">
        <v>0</v>
      </c>
      <c r="AL11" s="460">
        <v>0</v>
      </c>
      <c r="AM11" s="460">
        <v>0</v>
      </c>
      <c r="AN11" s="460">
        <v>0</v>
      </c>
      <c r="AO11" s="460">
        <v>0</v>
      </c>
      <c r="AP11" s="460">
        <v>0</v>
      </c>
      <c r="AQ11" s="460">
        <v>0</v>
      </c>
      <c r="AR11" s="460">
        <v>0</v>
      </c>
      <c r="AS11" s="460">
        <v>0</v>
      </c>
      <c r="AT11" s="460">
        <v>0</v>
      </c>
      <c r="AU11" s="460">
        <v>0</v>
      </c>
      <c r="AV11" s="460">
        <v>0</v>
      </c>
      <c r="AW11" s="460">
        <v>0</v>
      </c>
      <c r="AX11" s="460">
        <v>0</v>
      </c>
      <c r="AY11" s="460">
        <v>0</v>
      </c>
      <c r="AZ11" s="460">
        <v>0</v>
      </c>
      <c r="BA11" s="460">
        <v>0</v>
      </c>
      <c r="BB11" s="460">
        <v>0</v>
      </c>
      <c r="BC11" s="460">
        <v>0</v>
      </c>
      <c r="BD11" s="460">
        <v>0</v>
      </c>
      <c r="BE11" s="460">
        <v>0</v>
      </c>
      <c r="BF11" s="460">
        <v>0</v>
      </c>
      <c r="BG11" s="460">
        <v>0</v>
      </c>
      <c r="BH11" s="460">
        <v>0</v>
      </c>
      <c r="BI11" s="460">
        <v>0</v>
      </c>
      <c r="BJ11" s="460">
        <v>0</v>
      </c>
      <c r="BK11" s="460">
        <v>0</v>
      </c>
      <c r="BL11" s="460">
        <v>0</v>
      </c>
      <c r="BM11" s="460">
        <v>0</v>
      </c>
      <c r="BN11" s="460">
        <v>0</v>
      </c>
      <c r="BO11" s="460">
        <v>0</v>
      </c>
      <c r="BP11" s="460">
        <v>0</v>
      </c>
      <c r="BQ11" s="460">
        <v>0</v>
      </c>
      <c r="BR11" s="460">
        <v>0</v>
      </c>
      <c r="BS11" s="460">
        <v>0</v>
      </c>
      <c r="BT11" s="460">
        <v>0</v>
      </c>
      <c r="BU11" s="460">
        <v>0</v>
      </c>
      <c r="BV11" s="460">
        <v>0</v>
      </c>
      <c r="BW11" s="460">
        <v>0</v>
      </c>
      <c r="BX11" s="460">
        <v>0</v>
      </c>
      <c r="BY11" s="460">
        <v>0</v>
      </c>
      <c r="BZ11" s="460">
        <v>0</v>
      </c>
      <c r="CA11" s="460" t="e">
        <v>#N/A</v>
      </c>
      <c r="CB11" s="460" t="e">
        <v>#N/A</v>
      </c>
      <c r="CC11" s="460" t="e">
        <v>#N/A</v>
      </c>
    </row>
    <row r="12" spans="1:81" ht="12.75" customHeight="1">
      <c r="A12" s="105">
        <v>7</v>
      </c>
      <c r="B12" s="458" t="str">
        <v>3M</v>
      </c>
      <c r="C12" s="262">
        <f>'eur disaggregated'!AT23</f>
        <v>2514.6232949861801</v>
      </c>
      <c r="D12" s="111" t="str">
        <f t="shared" si="2"/>
        <v>3M</v>
      </c>
      <c r="E12" s="441">
        <f>BktEur1yPL!E12</f>
        <v>42696</v>
      </c>
      <c r="F12" s="441">
        <f>BktEur1yPL!F12</f>
        <v>42788</v>
      </c>
      <c r="G12" s="462">
        <f t="shared" si="1"/>
        <v>-1.242E-3</v>
      </c>
      <c r="H12" s="453">
        <f>BktEur1yPL!H12</f>
        <v>-0.1242</v>
      </c>
      <c r="I12" s="107" t="str">
        <v>1M</v>
      </c>
      <c r="J12" s="106" t="str">
        <f>IF(LEN(I12)&gt;0,IF((MID(I12,4,1)=" "),#REF!,IF((LEN(I12)=8),DATE("20" &amp; RIGHT(I12,2),MID(I12,4,2),LEFT(I12,2)),SimplifyTenor(I12))),"")</f>
        <v>1M</v>
      </c>
      <c r="K12" s="448">
        <f>_xll.qlCalendarAdvance("TARGET",SettlementDate,J12)</f>
        <v>42726</v>
      </c>
      <c r="M12" s="99" t="str">
        <v>1M</v>
      </c>
      <c r="N12" s="465">
        <v>0.29579304949419605</v>
      </c>
      <c r="P12" s="106" t="b">
        <f t="shared" si="0"/>
        <v>0</v>
      </c>
      <c r="Q12" s="460">
        <f t="array" ref="Q12:CC12">C12*ForwardToZero(OisBuckets,E12,F12,G12)</f>
        <v>0</v>
      </c>
      <c r="R12" s="460">
        <v>0</v>
      </c>
      <c r="S12" s="460">
        <v>0</v>
      </c>
      <c r="T12" s="460">
        <v>0</v>
      </c>
      <c r="U12" s="460">
        <v>0</v>
      </c>
      <c r="V12" s="460">
        <v>0</v>
      </c>
      <c r="W12" s="460">
        <v>0</v>
      </c>
      <c r="X12" s="460">
        <v>0</v>
      </c>
      <c r="Y12" s="460">
        <v>2514.6232949861801</v>
      </c>
      <c r="Z12" s="460">
        <v>0</v>
      </c>
      <c r="AA12" s="460">
        <v>0</v>
      </c>
      <c r="AB12" s="460">
        <v>0</v>
      </c>
      <c r="AC12" s="460">
        <v>0</v>
      </c>
      <c r="AD12" s="460">
        <v>0</v>
      </c>
      <c r="AE12" s="460">
        <v>0</v>
      </c>
      <c r="AF12" s="460">
        <v>0</v>
      </c>
      <c r="AG12" s="460">
        <v>0</v>
      </c>
      <c r="AH12" s="460">
        <v>0</v>
      </c>
      <c r="AI12" s="460">
        <v>0</v>
      </c>
      <c r="AJ12" s="460">
        <v>0</v>
      </c>
      <c r="AK12" s="460">
        <v>0</v>
      </c>
      <c r="AL12" s="460">
        <v>0</v>
      </c>
      <c r="AM12" s="460">
        <v>0</v>
      </c>
      <c r="AN12" s="460">
        <v>0</v>
      </c>
      <c r="AO12" s="460">
        <v>0</v>
      </c>
      <c r="AP12" s="460">
        <v>0</v>
      </c>
      <c r="AQ12" s="460">
        <v>0</v>
      </c>
      <c r="AR12" s="460">
        <v>0</v>
      </c>
      <c r="AS12" s="460">
        <v>0</v>
      </c>
      <c r="AT12" s="460">
        <v>0</v>
      </c>
      <c r="AU12" s="460">
        <v>0</v>
      </c>
      <c r="AV12" s="460">
        <v>0</v>
      </c>
      <c r="AW12" s="460">
        <v>0</v>
      </c>
      <c r="AX12" s="460">
        <v>0</v>
      </c>
      <c r="AY12" s="460">
        <v>0</v>
      </c>
      <c r="AZ12" s="460">
        <v>0</v>
      </c>
      <c r="BA12" s="460">
        <v>0</v>
      </c>
      <c r="BB12" s="460">
        <v>0</v>
      </c>
      <c r="BC12" s="460">
        <v>0</v>
      </c>
      <c r="BD12" s="460">
        <v>0</v>
      </c>
      <c r="BE12" s="460">
        <v>0</v>
      </c>
      <c r="BF12" s="460">
        <v>0</v>
      </c>
      <c r="BG12" s="460">
        <v>0</v>
      </c>
      <c r="BH12" s="460">
        <v>0</v>
      </c>
      <c r="BI12" s="460">
        <v>0</v>
      </c>
      <c r="BJ12" s="460">
        <v>0</v>
      </c>
      <c r="BK12" s="460">
        <v>0</v>
      </c>
      <c r="BL12" s="460">
        <v>0</v>
      </c>
      <c r="BM12" s="460">
        <v>0</v>
      </c>
      <c r="BN12" s="460">
        <v>0</v>
      </c>
      <c r="BO12" s="460">
        <v>0</v>
      </c>
      <c r="BP12" s="460">
        <v>0</v>
      </c>
      <c r="BQ12" s="460">
        <v>0</v>
      </c>
      <c r="BR12" s="460">
        <v>0</v>
      </c>
      <c r="BS12" s="460">
        <v>0</v>
      </c>
      <c r="BT12" s="460">
        <v>0</v>
      </c>
      <c r="BU12" s="460">
        <v>0</v>
      </c>
      <c r="BV12" s="460">
        <v>0</v>
      </c>
      <c r="BW12" s="460">
        <v>0</v>
      </c>
      <c r="BX12" s="460">
        <v>0</v>
      </c>
      <c r="BY12" s="460">
        <v>0</v>
      </c>
      <c r="BZ12" s="460">
        <v>0</v>
      </c>
      <c r="CA12" s="460" t="e">
        <v>#N/A</v>
      </c>
      <c r="CB12" s="460" t="e">
        <v>#N/A</v>
      </c>
      <c r="CC12" s="460" t="e">
        <v>#N/A</v>
      </c>
    </row>
    <row r="13" spans="1:81">
      <c r="A13" s="105">
        <v>8</v>
      </c>
      <c r="B13" s="458" t="str">
        <v>4M</v>
      </c>
      <c r="C13" s="262">
        <f>'eur disaggregated'!AT24</f>
        <v>-36.356756994291203</v>
      </c>
      <c r="D13" s="111" t="str">
        <f t="shared" si="2"/>
        <v>4M</v>
      </c>
      <c r="E13" s="441">
        <f>BktEur1yPL!E13</f>
        <v>42696</v>
      </c>
      <c r="F13" s="441">
        <f>BktEur1yPL!F13</f>
        <v>42816</v>
      </c>
      <c r="G13" s="462">
        <f t="shared" si="1"/>
        <v>-1.21989786E-3</v>
      </c>
      <c r="H13" s="453">
        <f>BktEur1yPL!H13</f>
        <v>-0.121989786</v>
      </c>
      <c r="I13" s="107" t="str">
        <v>2M</v>
      </c>
      <c r="J13" s="106" t="str">
        <f>IF(LEN(I13)&gt;0,IF((MID(I13,4,1)=" "),#REF!,IF((LEN(I13)=8),DATE("20" &amp; RIGHT(I13,2),MID(I13,4,2),LEFT(I13,2)),SimplifyTenor(I13))),"")</f>
        <v>2M</v>
      </c>
      <c r="K13" s="448">
        <f>_xll.qlCalendarAdvance("TARGET",SettlementDate,J13)</f>
        <v>42758</v>
      </c>
      <c r="M13" s="99" t="str">
        <v>2M</v>
      </c>
      <c r="N13" s="465">
        <v>641.18008657470227</v>
      </c>
      <c r="P13" s="106" t="b">
        <f t="shared" si="0"/>
        <v>0</v>
      </c>
      <c r="Q13" s="460">
        <f t="array" ref="Q13:CC13">C13*ForwardToZero(OisBuckets,E13,F13,G13)</f>
        <v>0</v>
      </c>
      <c r="R13" s="460">
        <v>0</v>
      </c>
      <c r="S13" s="460">
        <v>0</v>
      </c>
      <c r="T13" s="460">
        <v>0</v>
      </c>
      <c r="U13" s="460">
        <v>0</v>
      </c>
      <c r="V13" s="460">
        <v>0</v>
      </c>
      <c r="W13" s="460">
        <v>0</v>
      </c>
      <c r="X13" s="460">
        <v>0</v>
      </c>
      <c r="Y13" s="460">
        <v>0</v>
      </c>
      <c r="Z13" s="460">
        <v>-36.356756994291203</v>
      </c>
      <c r="AA13" s="460">
        <v>0</v>
      </c>
      <c r="AB13" s="460">
        <v>0</v>
      </c>
      <c r="AC13" s="460">
        <v>0</v>
      </c>
      <c r="AD13" s="460">
        <v>0</v>
      </c>
      <c r="AE13" s="460">
        <v>0</v>
      </c>
      <c r="AF13" s="460">
        <v>0</v>
      </c>
      <c r="AG13" s="460">
        <v>0</v>
      </c>
      <c r="AH13" s="460">
        <v>0</v>
      </c>
      <c r="AI13" s="460">
        <v>0</v>
      </c>
      <c r="AJ13" s="460">
        <v>0</v>
      </c>
      <c r="AK13" s="460">
        <v>0</v>
      </c>
      <c r="AL13" s="460">
        <v>0</v>
      </c>
      <c r="AM13" s="460">
        <v>0</v>
      </c>
      <c r="AN13" s="460">
        <v>0</v>
      </c>
      <c r="AO13" s="460">
        <v>0</v>
      </c>
      <c r="AP13" s="460">
        <v>0</v>
      </c>
      <c r="AQ13" s="460">
        <v>0</v>
      </c>
      <c r="AR13" s="460">
        <v>0</v>
      </c>
      <c r="AS13" s="460">
        <v>0</v>
      </c>
      <c r="AT13" s="460">
        <v>0</v>
      </c>
      <c r="AU13" s="460">
        <v>0</v>
      </c>
      <c r="AV13" s="460">
        <v>0</v>
      </c>
      <c r="AW13" s="460">
        <v>0</v>
      </c>
      <c r="AX13" s="460">
        <v>0</v>
      </c>
      <c r="AY13" s="460">
        <v>0</v>
      </c>
      <c r="AZ13" s="460">
        <v>0</v>
      </c>
      <c r="BA13" s="460">
        <v>0</v>
      </c>
      <c r="BB13" s="460">
        <v>0</v>
      </c>
      <c r="BC13" s="460">
        <v>0</v>
      </c>
      <c r="BD13" s="460">
        <v>0</v>
      </c>
      <c r="BE13" s="460">
        <v>0</v>
      </c>
      <c r="BF13" s="460">
        <v>0</v>
      </c>
      <c r="BG13" s="460">
        <v>0</v>
      </c>
      <c r="BH13" s="460">
        <v>0</v>
      </c>
      <c r="BI13" s="460">
        <v>0</v>
      </c>
      <c r="BJ13" s="460">
        <v>0</v>
      </c>
      <c r="BK13" s="460">
        <v>0</v>
      </c>
      <c r="BL13" s="460">
        <v>0</v>
      </c>
      <c r="BM13" s="460">
        <v>0</v>
      </c>
      <c r="BN13" s="460">
        <v>0</v>
      </c>
      <c r="BO13" s="460">
        <v>0</v>
      </c>
      <c r="BP13" s="460">
        <v>0</v>
      </c>
      <c r="BQ13" s="460">
        <v>0</v>
      </c>
      <c r="BR13" s="460">
        <v>0</v>
      </c>
      <c r="BS13" s="460">
        <v>0</v>
      </c>
      <c r="BT13" s="460">
        <v>0</v>
      </c>
      <c r="BU13" s="460">
        <v>0</v>
      </c>
      <c r="BV13" s="460">
        <v>0</v>
      </c>
      <c r="BW13" s="460">
        <v>0</v>
      </c>
      <c r="BX13" s="460">
        <v>0</v>
      </c>
      <c r="BY13" s="460">
        <v>0</v>
      </c>
      <c r="BZ13" s="460">
        <v>0</v>
      </c>
      <c r="CA13" s="460" t="e">
        <v>#N/A</v>
      </c>
      <c r="CB13" s="460" t="e">
        <v>#N/A</v>
      </c>
      <c r="CC13" s="460" t="e">
        <v>#N/A</v>
      </c>
    </row>
    <row r="14" spans="1:81" ht="12.75" customHeight="1">
      <c r="A14" s="105">
        <v>9</v>
      </c>
      <c r="B14" s="458" t="str">
        <v>5M</v>
      </c>
      <c r="C14" s="262">
        <f>'eur disaggregated'!AT25</f>
        <v>0</v>
      </c>
      <c r="D14" s="111" t="str">
        <f t="shared" si="2"/>
        <v>5M</v>
      </c>
      <c r="E14" s="441">
        <f>BktEur1yPL!E14</f>
        <v>42696</v>
      </c>
      <c r="F14" s="441">
        <f>BktEur1yPL!F14</f>
        <v>42849</v>
      </c>
      <c r="G14" s="462">
        <f t="shared" si="1"/>
        <v>-1.16698863E-3</v>
      </c>
      <c r="H14" s="453">
        <f>BktEur1yPL!H14</f>
        <v>-0.116698863</v>
      </c>
      <c r="I14" s="107" t="str">
        <v>3M</v>
      </c>
      <c r="J14" s="106" t="str">
        <f>IF(LEN(I14)&gt;0,IF((MID(I14,4,1)=" "),#REF!,IF((LEN(I14)=8),DATE("20" &amp; RIGHT(I14,2),MID(I14,4,2),LEFT(I14,2)),SimplifyTenor(I14))),"")</f>
        <v>3M</v>
      </c>
      <c r="K14" s="448">
        <f>_xll.qlCalendarAdvance("TARGET",SettlementDate,J14)</f>
        <v>42788</v>
      </c>
      <c r="M14" s="99" t="str">
        <v>3M</v>
      </c>
      <c r="N14" s="465">
        <v>2533.7631581533751</v>
      </c>
      <c r="P14" s="106" t="b">
        <f t="shared" si="0"/>
        <v>0</v>
      </c>
      <c r="Q14" s="460">
        <f t="array" ref="Q14:CC14">C14*ForwardToZero(OisBuckets,E14,F14,G14)</f>
        <v>0</v>
      </c>
      <c r="R14" s="460">
        <v>0</v>
      </c>
      <c r="S14" s="460">
        <v>0</v>
      </c>
      <c r="T14" s="460">
        <v>0</v>
      </c>
      <c r="U14" s="460">
        <v>0</v>
      </c>
      <c r="V14" s="460">
        <v>0</v>
      </c>
      <c r="W14" s="460">
        <v>0</v>
      </c>
      <c r="X14" s="460">
        <v>0</v>
      </c>
      <c r="Y14" s="460">
        <v>0</v>
      </c>
      <c r="Z14" s="460">
        <v>0</v>
      </c>
      <c r="AA14" s="460">
        <v>0</v>
      </c>
      <c r="AB14" s="460">
        <v>0</v>
      </c>
      <c r="AC14" s="460">
        <v>0</v>
      </c>
      <c r="AD14" s="460">
        <v>0</v>
      </c>
      <c r="AE14" s="460">
        <v>0</v>
      </c>
      <c r="AF14" s="460">
        <v>0</v>
      </c>
      <c r="AG14" s="460">
        <v>0</v>
      </c>
      <c r="AH14" s="460">
        <v>0</v>
      </c>
      <c r="AI14" s="460">
        <v>0</v>
      </c>
      <c r="AJ14" s="460">
        <v>0</v>
      </c>
      <c r="AK14" s="460">
        <v>0</v>
      </c>
      <c r="AL14" s="460">
        <v>0</v>
      </c>
      <c r="AM14" s="460">
        <v>0</v>
      </c>
      <c r="AN14" s="460">
        <v>0</v>
      </c>
      <c r="AO14" s="460">
        <v>0</v>
      </c>
      <c r="AP14" s="460">
        <v>0</v>
      </c>
      <c r="AQ14" s="460">
        <v>0</v>
      </c>
      <c r="AR14" s="460">
        <v>0</v>
      </c>
      <c r="AS14" s="460">
        <v>0</v>
      </c>
      <c r="AT14" s="460">
        <v>0</v>
      </c>
      <c r="AU14" s="460">
        <v>0</v>
      </c>
      <c r="AV14" s="460">
        <v>0</v>
      </c>
      <c r="AW14" s="460">
        <v>0</v>
      </c>
      <c r="AX14" s="460">
        <v>0</v>
      </c>
      <c r="AY14" s="460">
        <v>0</v>
      </c>
      <c r="AZ14" s="460">
        <v>0</v>
      </c>
      <c r="BA14" s="460">
        <v>0</v>
      </c>
      <c r="BB14" s="460">
        <v>0</v>
      </c>
      <c r="BC14" s="460">
        <v>0</v>
      </c>
      <c r="BD14" s="460">
        <v>0</v>
      </c>
      <c r="BE14" s="460">
        <v>0</v>
      </c>
      <c r="BF14" s="460">
        <v>0</v>
      </c>
      <c r="BG14" s="460">
        <v>0</v>
      </c>
      <c r="BH14" s="460">
        <v>0</v>
      </c>
      <c r="BI14" s="460">
        <v>0</v>
      </c>
      <c r="BJ14" s="460">
        <v>0</v>
      </c>
      <c r="BK14" s="460">
        <v>0</v>
      </c>
      <c r="BL14" s="460">
        <v>0</v>
      </c>
      <c r="BM14" s="460">
        <v>0</v>
      </c>
      <c r="BN14" s="460">
        <v>0</v>
      </c>
      <c r="BO14" s="460">
        <v>0</v>
      </c>
      <c r="BP14" s="460">
        <v>0</v>
      </c>
      <c r="BQ14" s="460">
        <v>0</v>
      </c>
      <c r="BR14" s="460">
        <v>0</v>
      </c>
      <c r="BS14" s="460">
        <v>0</v>
      </c>
      <c r="BT14" s="460">
        <v>0</v>
      </c>
      <c r="BU14" s="460">
        <v>0</v>
      </c>
      <c r="BV14" s="460">
        <v>0</v>
      </c>
      <c r="BW14" s="460">
        <v>0</v>
      </c>
      <c r="BX14" s="460">
        <v>0</v>
      </c>
      <c r="BY14" s="460">
        <v>0</v>
      </c>
      <c r="BZ14" s="460">
        <v>0</v>
      </c>
      <c r="CA14" s="460" t="e">
        <v>#N/A</v>
      </c>
      <c r="CB14" s="460" t="e">
        <v>#N/A</v>
      </c>
      <c r="CC14" s="460" t="e">
        <v>#N/A</v>
      </c>
    </row>
    <row r="15" spans="1:81" ht="12.75" customHeight="1">
      <c r="A15" s="105">
        <v>10</v>
      </c>
      <c r="B15" s="458" t="str">
        <v>6M</v>
      </c>
      <c r="C15" s="262">
        <f>'eur disaggregated'!AT26</f>
        <v>535.86430948253098</v>
      </c>
      <c r="D15" s="111" t="str">
        <f t="shared" si="2"/>
        <v>6M</v>
      </c>
      <c r="E15" s="441">
        <f>BktEur1yPL!E15</f>
        <v>42696</v>
      </c>
      <c r="F15" s="441">
        <f>BktEur1yPL!F15</f>
        <v>42877</v>
      </c>
      <c r="G15" s="462">
        <f t="shared" si="1"/>
        <v>-1.1070000000000001E-3</v>
      </c>
      <c r="H15" s="453">
        <f>BktEur1yPL!H15</f>
        <v>-0.11070000000000001</v>
      </c>
      <c r="I15" s="107" t="str">
        <v>4M</v>
      </c>
      <c r="J15" s="106" t="str">
        <f>IF(LEN(I15)&gt;0,IF((MID(I15,4,1)=" "),#REF!,IF((LEN(I15)=8),DATE("20" &amp; RIGHT(I15,2),MID(I15,4,2),LEFT(I15,2)),SimplifyTenor(I15))),"")</f>
        <v>4M</v>
      </c>
      <c r="K15" s="448">
        <f>_xll.qlCalendarAdvance("TARGET",SettlementDate,J15)</f>
        <v>42816</v>
      </c>
      <c r="M15" s="99" t="str">
        <v>4M</v>
      </c>
      <c r="N15" s="465">
        <v>1.2126536495319442</v>
      </c>
      <c r="P15" s="106" t="b">
        <f t="shared" si="0"/>
        <v>0</v>
      </c>
      <c r="Q15" s="460">
        <f t="array" ref="Q15:CC15">C15*ForwardToZero(OisBuckets,E15,F15,G15)</f>
        <v>0</v>
      </c>
      <c r="R15" s="460">
        <v>0</v>
      </c>
      <c r="S15" s="460">
        <v>0</v>
      </c>
      <c r="T15" s="460">
        <v>0</v>
      </c>
      <c r="U15" s="460">
        <v>0</v>
      </c>
      <c r="V15" s="460">
        <v>0</v>
      </c>
      <c r="W15" s="460">
        <v>0</v>
      </c>
      <c r="X15" s="460">
        <v>0</v>
      </c>
      <c r="Y15" s="460">
        <v>0</v>
      </c>
      <c r="Z15" s="460">
        <v>0</v>
      </c>
      <c r="AA15" s="460">
        <v>0</v>
      </c>
      <c r="AB15" s="460">
        <v>535.86430948253098</v>
      </c>
      <c r="AC15" s="460">
        <v>0</v>
      </c>
      <c r="AD15" s="460">
        <v>0</v>
      </c>
      <c r="AE15" s="460">
        <v>0</v>
      </c>
      <c r="AF15" s="460">
        <v>0</v>
      </c>
      <c r="AG15" s="460">
        <v>0</v>
      </c>
      <c r="AH15" s="460">
        <v>0</v>
      </c>
      <c r="AI15" s="460">
        <v>0</v>
      </c>
      <c r="AJ15" s="460">
        <v>0</v>
      </c>
      <c r="AK15" s="460">
        <v>0</v>
      </c>
      <c r="AL15" s="460">
        <v>0</v>
      </c>
      <c r="AM15" s="460">
        <v>0</v>
      </c>
      <c r="AN15" s="460">
        <v>0</v>
      </c>
      <c r="AO15" s="460">
        <v>0</v>
      </c>
      <c r="AP15" s="460">
        <v>0</v>
      </c>
      <c r="AQ15" s="460">
        <v>0</v>
      </c>
      <c r="AR15" s="460">
        <v>0</v>
      </c>
      <c r="AS15" s="460">
        <v>0</v>
      </c>
      <c r="AT15" s="460">
        <v>0</v>
      </c>
      <c r="AU15" s="460">
        <v>0</v>
      </c>
      <c r="AV15" s="460">
        <v>0</v>
      </c>
      <c r="AW15" s="460">
        <v>0</v>
      </c>
      <c r="AX15" s="460">
        <v>0</v>
      </c>
      <c r="AY15" s="460">
        <v>0</v>
      </c>
      <c r="AZ15" s="460">
        <v>0</v>
      </c>
      <c r="BA15" s="460">
        <v>0</v>
      </c>
      <c r="BB15" s="460">
        <v>0</v>
      </c>
      <c r="BC15" s="460">
        <v>0</v>
      </c>
      <c r="BD15" s="460">
        <v>0</v>
      </c>
      <c r="BE15" s="460">
        <v>0</v>
      </c>
      <c r="BF15" s="460">
        <v>0</v>
      </c>
      <c r="BG15" s="460">
        <v>0</v>
      </c>
      <c r="BH15" s="460">
        <v>0</v>
      </c>
      <c r="BI15" s="460">
        <v>0</v>
      </c>
      <c r="BJ15" s="460">
        <v>0</v>
      </c>
      <c r="BK15" s="460">
        <v>0</v>
      </c>
      <c r="BL15" s="460">
        <v>0</v>
      </c>
      <c r="BM15" s="460">
        <v>0</v>
      </c>
      <c r="BN15" s="460">
        <v>0</v>
      </c>
      <c r="BO15" s="460">
        <v>0</v>
      </c>
      <c r="BP15" s="460">
        <v>0</v>
      </c>
      <c r="BQ15" s="460">
        <v>0</v>
      </c>
      <c r="BR15" s="460">
        <v>0</v>
      </c>
      <c r="BS15" s="460">
        <v>0</v>
      </c>
      <c r="BT15" s="460">
        <v>0</v>
      </c>
      <c r="BU15" s="460">
        <v>0</v>
      </c>
      <c r="BV15" s="460">
        <v>0</v>
      </c>
      <c r="BW15" s="460">
        <v>0</v>
      </c>
      <c r="BX15" s="460">
        <v>0</v>
      </c>
      <c r="BY15" s="460">
        <v>0</v>
      </c>
      <c r="BZ15" s="460">
        <v>0</v>
      </c>
      <c r="CA15" s="460" t="e">
        <v>#N/A</v>
      </c>
      <c r="CB15" s="460" t="e">
        <v>#N/A</v>
      </c>
      <c r="CC15" s="460" t="e">
        <v>#N/A</v>
      </c>
    </row>
    <row r="16" spans="1:81" ht="12.75" customHeight="1">
      <c r="A16" s="105">
        <v>11</v>
      </c>
      <c r="B16" s="458" t="str">
        <v>7M</v>
      </c>
      <c r="C16" s="262">
        <f>'eur disaggregated'!AT27</f>
        <v>-6941.1110845140802</v>
      </c>
      <c r="D16" s="111" t="str">
        <f t="shared" si="2"/>
        <v>7M</v>
      </c>
      <c r="E16" s="441">
        <f>BktEur1yPL!E16</f>
        <v>42696</v>
      </c>
      <c r="F16" s="441">
        <f>BktEur1yPL!F16</f>
        <v>42908</v>
      </c>
      <c r="G16" s="462">
        <f t="shared" si="1"/>
        <v>-1.05238919E-3</v>
      </c>
      <c r="H16" s="453">
        <f>BktEur1yPL!H16</f>
        <v>-0.105238919</v>
      </c>
      <c r="I16" s="107" t="str">
        <v>5M</v>
      </c>
      <c r="J16" s="106" t="str">
        <f>IF(LEN(I16)&gt;0,IF((MID(I16,4,1)=" "),#REF!,IF((LEN(I16)=8),DATE("20" &amp; RIGHT(I16,2),MID(I16,4,2),LEFT(I16,2)),SimplifyTenor(I16))),"")</f>
        <v>5M</v>
      </c>
      <c r="K16" s="448">
        <f>_xll.qlCalendarAdvance("TARGET",SettlementDate,J16)</f>
        <v>42849</v>
      </c>
      <c r="M16" s="99" t="str">
        <v>5M</v>
      </c>
      <c r="N16" s="465">
        <v>0</v>
      </c>
      <c r="P16" s="106" t="b">
        <f t="shared" si="0"/>
        <v>0</v>
      </c>
      <c r="Q16" s="460">
        <f t="array" ref="Q16:CC16">C16*ForwardToZero(OisBuckets,E16,F16,G16)</f>
        <v>0</v>
      </c>
      <c r="R16" s="460">
        <v>0</v>
      </c>
      <c r="S16" s="460">
        <v>0</v>
      </c>
      <c r="T16" s="460">
        <v>0</v>
      </c>
      <c r="U16" s="460">
        <v>0</v>
      </c>
      <c r="V16" s="460">
        <v>0</v>
      </c>
      <c r="W16" s="460">
        <v>0</v>
      </c>
      <c r="X16" s="460">
        <v>0</v>
      </c>
      <c r="Y16" s="460">
        <v>0</v>
      </c>
      <c r="Z16" s="460">
        <v>0</v>
      </c>
      <c r="AA16" s="460">
        <v>0</v>
      </c>
      <c r="AB16" s="460">
        <v>0</v>
      </c>
      <c r="AC16" s="460">
        <v>-6941.1110845140802</v>
      </c>
      <c r="AD16" s="460">
        <v>0</v>
      </c>
      <c r="AE16" s="460">
        <v>0</v>
      </c>
      <c r="AF16" s="460">
        <v>0</v>
      </c>
      <c r="AG16" s="460">
        <v>0</v>
      </c>
      <c r="AH16" s="460">
        <v>0</v>
      </c>
      <c r="AI16" s="460">
        <v>0</v>
      </c>
      <c r="AJ16" s="460">
        <v>0</v>
      </c>
      <c r="AK16" s="460">
        <v>0</v>
      </c>
      <c r="AL16" s="460">
        <v>0</v>
      </c>
      <c r="AM16" s="460">
        <v>0</v>
      </c>
      <c r="AN16" s="460">
        <v>0</v>
      </c>
      <c r="AO16" s="460">
        <v>0</v>
      </c>
      <c r="AP16" s="460">
        <v>0</v>
      </c>
      <c r="AQ16" s="460">
        <v>0</v>
      </c>
      <c r="AR16" s="460">
        <v>0</v>
      </c>
      <c r="AS16" s="460">
        <v>0</v>
      </c>
      <c r="AT16" s="460">
        <v>0</v>
      </c>
      <c r="AU16" s="460">
        <v>0</v>
      </c>
      <c r="AV16" s="460">
        <v>0</v>
      </c>
      <c r="AW16" s="460">
        <v>0</v>
      </c>
      <c r="AX16" s="460">
        <v>0</v>
      </c>
      <c r="AY16" s="460">
        <v>0</v>
      </c>
      <c r="AZ16" s="460">
        <v>0</v>
      </c>
      <c r="BA16" s="460">
        <v>0</v>
      </c>
      <c r="BB16" s="460">
        <v>0</v>
      </c>
      <c r="BC16" s="460">
        <v>0</v>
      </c>
      <c r="BD16" s="460">
        <v>0</v>
      </c>
      <c r="BE16" s="460">
        <v>0</v>
      </c>
      <c r="BF16" s="460">
        <v>0</v>
      </c>
      <c r="BG16" s="460">
        <v>0</v>
      </c>
      <c r="BH16" s="460">
        <v>0</v>
      </c>
      <c r="BI16" s="460">
        <v>0</v>
      </c>
      <c r="BJ16" s="460">
        <v>0</v>
      </c>
      <c r="BK16" s="460">
        <v>0</v>
      </c>
      <c r="BL16" s="460">
        <v>0</v>
      </c>
      <c r="BM16" s="460">
        <v>0</v>
      </c>
      <c r="BN16" s="460">
        <v>0</v>
      </c>
      <c r="BO16" s="460">
        <v>0</v>
      </c>
      <c r="BP16" s="460">
        <v>0</v>
      </c>
      <c r="BQ16" s="460">
        <v>0</v>
      </c>
      <c r="BR16" s="460">
        <v>0</v>
      </c>
      <c r="BS16" s="460">
        <v>0</v>
      </c>
      <c r="BT16" s="460">
        <v>0</v>
      </c>
      <c r="BU16" s="460">
        <v>0</v>
      </c>
      <c r="BV16" s="460">
        <v>0</v>
      </c>
      <c r="BW16" s="460">
        <v>0</v>
      </c>
      <c r="BX16" s="460">
        <v>0</v>
      </c>
      <c r="BY16" s="460">
        <v>0</v>
      </c>
      <c r="BZ16" s="460">
        <v>0</v>
      </c>
      <c r="CA16" s="460" t="e">
        <v>#N/A</v>
      </c>
      <c r="CB16" s="460" t="e">
        <v>#N/A</v>
      </c>
      <c r="CC16" s="460" t="e">
        <v>#N/A</v>
      </c>
    </row>
    <row r="17" spans="1:81" ht="12.75" customHeight="1">
      <c r="A17" s="105">
        <v>12</v>
      </c>
      <c r="B17" s="458" t="str">
        <v>8M</v>
      </c>
      <c r="C17" s="262">
        <f>'eur disaggregated'!AT28</f>
        <v>-1433.42579189516</v>
      </c>
      <c r="D17" s="111" t="str">
        <f t="shared" si="2"/>
        <v>8M</v>
      </c>
      <c r="E17" s="441">
        <f>BktEur1yPL!E17</f>
        <v>42696</v>
      </c>
      <c r="F17" s="441">
        <f>BktEur1yPL!F17</f>
        <v>42940</v>
      </c>
      <c r="G17" s="462">
        <f t="shared" si="1"/>
        <v>-1.0051113400000001E-3</v>
      </c>
      <c r="H17" s="453">
        <f>BktEur1yPL!H17</f>
        <v>-0.100511134</v>
      </c>
      <c r="I17" s="107" t="str">
        <v>6M</v>
      </c>
      <c r="J17" s="106" t="str">
        <f>IF(LEN(I17)&gt;0,IF((MID(I17,4,1)=" "),#REF!,IF((LEN(I17)=8),DATE("20" &amp; RIGHT(I17,2),MID(I17,4,2),LEFT(I17,2)),SimplifyTenor(I17))),"")</f>
        <v>6M</v>
      </c>
      <c r="K17" s="448">
        <f>_xll.qlCalendarAdvance("TARGET",SettlementDate,J17)</f>
        <v>42877</v>
      </c>
      <c r="M17" s="99" t="str">
        <v>6M</v>
      </c>
      <c r="N17" s="465">
        <v>533.66804582037389</v>
      </c>
      <c r="P17" s="106" t="b">
        <f t="shared" si="0"/>
        <v>0</v>
      </c>
      <c r="Q17" s="460">
        <f t="array" ref="Q17:CC17">C17*ForwardToZero(OisBuckets,E17,F17,G17)</f>
        <v>0</v>
      </c>
      <c r="R17" s="460">
        <v>0</v>
      </c>
      <c r="S17" s="460">
        <v>0</v>
      </c>
      <c r="T17" s="460">
        <v>0</v>
      </c>
      <c r="U17" s="460">
        <v>0</v>
      </c>
      <c r="V17" s="460">
        <v>0</v>
      </c>
      <c r="W17" s="460">
        <v>0</v>
      </c>
      <c r="X17" s="460">
        <v>0</v>
      </c>
      <c r="Y17" s="460">
        <v>0</v>
      </c>
      <c r="Z17" s="460">
        <v>0</v>
      </c>
      <c r="AA17" s="460">
        <v>0</v>
      </c>
      <c r="AB17" s="460">
        <v>0</v>
      </c>
      <c r="AC17" s="460">
        <v>0</v>
      </c>
      <c r="AD17" s="460">
        <v>-1433.42579189516</v>
      </c>
      <c r="AE17" s="460">
        <v>0</v>
      </c>
      <c r="AF17" s="460">
        <v>0</v>
      </c>
      <c r="AG17" s="460">
        <v>0</v>
      </c>
      <c r="AH17" s="460">
        <v>0</v>
      </c>
      <c r="AI17" s="460">
        <v>0</v>
      </c>
      <c r="AJ17" s="460">
        <v>0</v>
      </c>
      <c r="AK17" s="460">
        <v>0</v>
      </c>
      <c r="AL17" s="460">
        <v>0</v>
      </c>
      <c r="AM17" s="460">
        <v>0</v>
      </c>
      <c r="AN17" s="460">
        <v>0</v>
      </c>
      <c r="AO17" s="460">
        <v>0</v>
      </c>
      <c r="AP17" s="460">
        <v>0</v>
      </c>
      <c r="AQ17" s="460">
        <v>0</v>
      </c>
      <c r="AR17" s="460">
        <v>0</v>
      </c>
      <c r="AS17" s="460">
        <v>0</v>
      </c>
      <c r="AT17" s="460">
        <v>0</v>
      </c>
      <c r="AU17" s="460">
        <v>0</v>
      </c>
      <c r="AV17" s="460">
        <v>0</v>
      </c>
      <c r="AW17" s="460">
        <v>0</v>
      </c>
      <c r="AX17" s="460">
        <v>0</v>
      </c>
      <c r="AY17" s="460">
        <v>0</v>
      </c>
      <c r="AZ17" s="460">
        <v>0</v>
      </c>
      <c r="BA17" s="460">
        <v>0</v>
      </c>
      <c r="BB17" s="460">
        <v>0</v>
      </c>
      <c r="BC17" s="460">
        <v>0</v>
      </c>
      <c r="BD17" s="460">
        <v>0</v>
      </c>
      <c r="BE17" s="460">
        <v>0</v>
      </c>
      <c r="BF17" s="460">
        <v>0</v>
      </c>
      <c r="BG17" s="460">
        <v>0</v>
      </c>
      <c r="BH17" s="460">
        <v>0</v>
      </c>
      <c r="BI17" s="460">
        <v>0</v>
      </c>
      <c r="BJ17" s="460">
        <v>0</v>
      </c>
      <c r="BK17" s="460">
        <v>0</v>
      </c>
      <c r="BL17" s="460">
        <v>0</v>
      </c>
      <c r="BM17" s="460">
        <v>0</v>
      </c>
      <c r="BN17" s="460">
        <v>0</v>
      </c>
      <c r="BO17" s="460">
        <v>0</v>
      </c>
      <c r="BP17" s="460">
        <v>0</v>
      </c>
      <c r="BQ17" s="460">
        <v>0</v>
      </c>
      <c r="BR17" s="460">
        <v>0</v>
      </c>
      <c r="BS17" s="460">
        <v>0</v>
      </c>
      <c r="BT17" s="460">
        <v>0</v>
      </c>
      <c r="BU17" s="460">
        <v>0</v>
      </c>
      <c r="BV17" s="460">
        <v>0</v>
      </c>
      <c r="BW17" s="460">
        <v>0</v>
      </c>
      <c r="BX17" s="460">
        <v>0</v>
      </c>
      <c r="BY17" s="460">
        <v>0</v>
      </c>
      <c r="BZ17" s="460">
        <v>0</v>
      </c>
      <c r="CA17" s="460" t="e">
        <v>#N/A</v>
      </c>
      <c r="CB17" s="460" t="e">
        <v>#N/A</v>
      </c>
      <c r="CC17" s="460" t="e">
        <v>#N/A</v>
      </c>
    </row>
    <row r="18" spans="1:81" ht="12.75" customHeight="1">
      <c r="A18" s="105">
        <v>13</v>
      </c>
      <c r="B18" s="458" t="str">
        <v>9M</v>
      </c>
      <c r="C18" s="262">
        <f>'eur disaggregated'!AT29</f>
        <v>180.77612184653401</v>
      </c>
      <c r="D18" s="111" t="str">
        <f t="shared" si="2"/>
        <v>9M</v>
      </c>
      <c r="E18" s="441">
        <f>BktEur1yPL!E18</f>
        <v>42696</v>
      </c>
      <c r="F18" s="441">
        <f>BktEur1yPL!F18</f>
        <v>42969</v>
      </c>
      <c r="G18" s="462">
        <f t="shared" si="1"/>
        <v>-9.5399999999999999E-4</v>
      </c>
      <c r="H18" s="453">
        <f>BktEur1yPL!H18</f>
        <v>-9.5399999999999999E-2</v>
      </c>
      <c r="I18" s="107" t="str">
        <v>7M</v>
      </c>
      <c r="J18" s="106" t="str">
        <f>IF(LEN(I18)&gt;0,IF((MID(I18,4,1)=" "),#REF!,IF((LEN(I18)=8),DATE("20" &amp; RIGHT(I18,2),MID(I18,4,2),LEFT(I18,2)),SimplifyTenor(I18))),"")</f>
        <v>7M</v>
      </c>
      <c r="K18" s="448">
        <f>_xll.qlCalendarAdvance("TARGET",SettlementDate,J18)</f>
        <v>42908</v>
      </c>
      <c r="M18" s="99" t="str">
        <v>7M</v>
      </c>
      <c r="N18" s="465">
        <v>-6912.5889877679347</v>
      </c>
      <c r="P18" s="106" t="b">
        <f t="shared" si="0"/>
        <v>0</v>
      </c>
      <c r="Q18" s="460">
        <f t="array" ref="Q18:CC18">C18*ForwardToZero(OisBuckets,E18,F18,G18)</f>
        <v>0</v>
      </c>
      <c r="R18" s="460">
        <v>0</v>
      </c>
      <c r="S18" s="460">
        <v>0</v>
      </c>
      <c r="T18" s="460">
        <v>0</v>
      </c>
      <c r="U18" s="460">
        <v>0</v>
      </c>
      <c r="V18" s="460">
        <v>0</v>
      </c>
      <c r="W18" s="460">
        <v>0</v>
      </c>
      <c r="X18" s="460">
        <v>0</v>
      </c>
      <c r="Y18" s="460">
        <v>0</v>
      </c>
      <c r="Z18" s="460">
        <v>0</v>
      </c>
      <c r="AA18" s="460">
        <v>0</v>
      </c>
      <c r="AB18" s="460">
        <v>0</v>
      </c>
      <c r="AC18" s="460">
        <v>0</v>
      </c>
      <c r="AD18" s="460">
        <v>0</v>
      </c>
      <c r="AE18" s="460">
        <v>180.77612184653401</v>
      </c>
      <c r="AF18" s="460">
        <v>0</v>
      </c>
      <c r="AG18" s="460">
        <v>0</v>
      </c>
      <c r="AH18" s="460">
        <v>0</v>
      </c>
      <c r="AI18" s="460">
        <v>0</v>
      </c>
      <c r="AJ18" s="460">
        <v>0</v>
      </c>
      <c r="AK18" s="460">
        <v>0</v>
      </c>
      <c r="AL18" s="460">
        <v>0</v>
      </c>
      <c r="AM18" s="460">
        <v>0</v>
      </c>
      <c r="AN18" s="460">
        <v>0</v>
      </c>
      <c r="AO18" s="460">
        <v>0</v>
      </c>
      <c r="AP18" s="460">
        <v>0</v>
      </c>
      <c r="AQ18" s="460">
        <v>0</v>
      </c>
      <c r="AR18" s="460">
        <v>0</v>
      </c>
      <c r="AS18" s="460">
        <v>0</v>
      </c>
      <c r="AT18" s="460">
        <v>0</v>
      </c>
      <c r="AU18" s="460">
        <v>0</v>
      </c>
      <c r="AV18" s="460">
        <v>0</v>
      </c>
      <c r="AW18" s="460">
        <v>0</v>
      </c>
      <c r="AX18" s="460">
        <v>0</v>
      </c>
      <c r="AY18" s="460">
        <v>0</v>
      </c>
      <c r="AZ18" s="460">
        <v>0</v>
      </c>
      <c r="BA18" s="460">
        <v>0</v>
      </c>
      <c r="BB18" s="460">
        <v>0</v>
      </c>
      <c r="BC18" s="460">
        <v>0</v>
      </c>
      <c r="BD18" s="460">
        <v>0</v>
      </c>
      <c r="BE18" s="460">
        <v>0</v>
      </c>
      <c r="BF18" s="460">
        <v>0</v>
      </c>
      <c r="BG18" s="460">
        <v>0</v>
      </c>
      <c r="BH18" s="460">
        <v>0</v>
      </c>
      <c r="BI18" s="460">
        <v>0</v>
      </c>
      <c r="BJ18" s="460">
        <v>0</v>
      </c>
      <c r="BK18" s="460">
        <v>0</v>
      </c>
      <c r="BL18" s="460">
        <v>0</v>
      </c>
      <c r="BM18" s="460">
        <v>0</v>
      </c>
      <c r="BN18" s="460">
        <v>0</v>
      </c>
      <c r="BO18" s="460">
        <v>0</v>
      </c>
      <c r="BP18" s="460">
        <v>0</v>
      </c>
      <c r="BQ18" s="460">
        <v>0</v>
      </c>
      <c r="BR18" s="460">
        <v>0</v>
      </c>
      <c r="BS18" s="460">
        <v>0</v>
      </c>
      <c r="BT18" s="460">
        <v>0</v>
      </c>
      <c r="BU18" s="460">
        <v>0</v>
      </c>
      <c r="BV18" s="460">
        <v>0</v>
      </c>
      <c r="BW18" s="460">
        <v>0</v>
      </c>
      <c r="BX18" s="460">
        <v>0</v>
      </c>
      <c r="BY18" s="460">
        <v>0</v>
      </c>
      <c r="BZ18" s="460">
        <v>0</v>
      </c>
      <c r="CA18" s="460" t="e">
        <v>#N/A</v>
      </c>
      <c r="CB18" s="460" t="e">
        <v>#N/A</v>
      </c>
      <c r="CC18" s="460" t="e">
        <v>#N/A</v>
      </c>
    </row>
    <row r="19" spans="1:81" ht="12.75" customHeight="1">
      <c r="A19" s="105">
        <v>14</v>
      </c>
      <c r="B19" s="458" t="str">
        <v>10M</v>
      </c>
      <c r="C19" s="262">
        <f>'eur disaggregated'!AT30</f>
        <v>-23.922991744844602</v>
      </c>
      <c r="D19" s="111" t="str">
        <f t="shared" si="2"/>
        <v>10M</v>
      </c>
      <c r="E19" s="441">
        <f>BktEur1yPL!E19</f>
        <v>42696</v>
      </c>
      <c r="F19" s="441">
        <f>BktEur1yPL!F19</f>
        <v>43000</v>
      </c>
      <c r="G19" s="462">
        <f t="shared" si="1"/>
        <v>-8.9959358000000003E-4</v>
      </c>
      <c r="H19" s="453">
        <f>BktEur1yPL!H19</f>
        <v>-8.9959358000000003E-2</v>
      </c>
      <c r="I19" s="107" t="str">
        <v>8M</v>
      </c>
      <c r="J19" s="106" t="str">
        <f>IF(LEN(I19)&gt;0,IF((MID(I19,4,1)=" "),#REF!,IF((LEN(I19)=8),DATE("20" &amp; RIGHT(I19,2),MID(I19,4,2),LEFT(I19,2)),SimplifyTenor(I19))),"")</f>
        <v>8M</v>
      </c>
      <c r="K19" s="448">
        <f>_xll.qlCalendarAdvance("TARGET",SettlementDate,J19)</f>
        <v>42940</v>
      </c>
      <c r="M19" s="99" t="str">
        <v>8M</v>
      </c>
      <c r="N19" s="465">
        <v>-1427.2146010754227</v>
      </c>
      <c r="P19" s="106" t="b">
        <f t="shared" si="0"/>
        <v>0</v>
      </c>
      <c r="Q19" s="460">
        <f t="array" ref="Q19:CC19">C19*ForwardToZero(OisBuckets,E19,F19,G19)</f>
        <v>0</v>
      </c>
      <c r="R19" s="460">
        <v>0</v>
      </c>
      <c r="S19" s="460">
        <v>0</v>
      </c>
      <c r="T19" s="460">
        <v>0</v>
      </c>
      <c r="U19" s="460">
        <v>0</v>
      </c>
      <c r="V19" s="460">
        <v>0</v>
      </c>
      <c r="W19" s="460">
        <v>0</v>
      </c>
      <c r="X19" s="460">
        <v>0</v>
      </c>
      <c r="Y19" s="460">
        <v>0</v>
      </c>
      <c r="Z19" s="460">
        <v>0</v>
      </c>
      <c r="AA19" s="460">
        <v>0</v>
      </c>
      <c r="AB19" s="460">
        <v>0</v>
      </c>
      <c r="AC19" s="460">
        <v>0</v>
      </c>
      <c r="AD19" s="460">
        <v>0</v>
      </c>
      <c r="AE19" s="460">
        <v>0</v>
      </c>
      <c r="AF19" s="460">
        <v>-23.922991744844602</v>
      </c>
      <c r="AG19" s="460">
        <v>0</v>
      </c>
      <c r="AH19" s="460">
        <v>0</v>
      </c>
      <c r="AI19" s="460">
        <v>0</v>
      </c>
      <c r="AJ19" s="460">
        <v>0</v>
      </c>
      <c r="AK19" s="460">
        <v>0</v>
      </c>
      <c r="AL19" s="460">
        <v>0</v>
      </c>
      <c r="AM19" s="460">
        <v>0</v>
      </c>
      <c r="AN19" s="460">
        <v>0</v>
      </c>
      <c r="AO19" s="460">
        <v>0</v>
      </c>
      <c r="AP19" s="460">
        <v>0</v>
      </c>
      <c r="AQ19" s="460">
        <v>0</v>
      </c>
      <c r="AR19" s="460">
        <v>0</v>
      </c>
      <c r="AS19" s="460">
        <v>0</v>
      </c>
      <c r="AT19" s="460">
        <v>0</v>
      </c>
      <c r="AU19" s="460">
        <v>0</v>
      </c>
      <c r="AV19" s="460">
        <v>0</v>
      </c>
      <c r="AW19" s="460">
        <v>0</v>
      </c>
      <c r="AX19" s="460">
        <v>0</v>
      </c>
      <c r="AY19" s="460">
        <v>0</v>
      </c>
      <c r="AZ19" s="460">
        <v>0</v>
      </c>
      <c r="BA19" s="460">
        <v>0</v>
      </c>
      <c r="BB19" s="460">
        <v>0</v>
      </c>
      <c r="BC19" s="460">
        <v>0</v>
      </c>
      <c r="BD19" s="460">
        <v>0</v>
      </c>
      <c r="BE19" s="460">
        <v>0</v>
      </c>
      <c r="BF19" s="460">
        <v>0</v>
      </c>
      <c r="BG19" s="460">
        <v>0</v>
      </c>
      <c r="BH19" s="460">
        <v>0</v>
      </c>
      <c r="BI19" s="460">
        <v>0</v>
      </c>
      <c r="BJ19" s="460">
        <v>0</v>
      </c>
      <c r="BK19" s="460">
        <v>0</v>
      </c>
      <c r="BL19" s="460">
        <v>0</v>
      </c>
      <c r="BM19" s="460">
        <v>0</v>
      </c>
      <c r="BN19" s="460">
        <v>0</v>
      </c>
      <c r="BO19" s="460">
        <v>0</v>
      </c>
      <c r="BP19" s="460">
        <v>0</v>
      </c>
      <c r="BQ19" s="460">
        <v>0</v>
      </c>
      <c r="BR19" s="460">
        <v>0</v>
      </c>
      <c r="BS19" s="460">
        <v>0</v>
      </c>
      <c r="BT19" s="460">
        <v>0</v>
      </c>
      <c r="BU19" s="460">
        <v>0</v>
      </c>
      <c r="BV19" s="460">
        <v>0</v>
      </c>
      <c r="BW19" s="460">
        <v>0</v>
      </c>
      <c r="BX19" s="460">
        <v>0</v>
      </c>
      <c r="BY19" s="460">
        <v>0</v>
      </c>
      <c r="BZ19" s="460">
        <v>0</v>
      </c>
      <c r="CA19" s="460" t="e">
        <v>#N/A</v>
      </c>
      <c r="CB19" s="460" t="e">
        <v>#N/A</v>
      </c>
      <c r="CC19" s="460" t="e">
        <v>#N/A</v>
      </c>
    </row>
    <row r="20" spans="1:81" ht="12.75" customHeight="1">
      <c r="A20" s="105">
        <v>15</v>
      </c>
      <c r="B20" s="458" t="str">
        <v>11M</v>
      </c>
      <c r="C20" s="262">
        <f>'eur disaggregated'!AT31</f>
        <v>-99.753696479255495</v>
      </c>
      <c r="D20" s="111" t="str">
        <f t="shared" si="2"/>
        <v>11M</v>
      </c>
      <c r="E20" s="441">
        <f>BktEur1yPL!E20</f>
        <v>42696</v>
      </c>
      <c r="F20" s="441">
        <f>BktEur1yPL!F20</f>
        <v>43031</v>
      </c>
      <c r="G20" s="462">
        <f t="shared" si="1"/>
        <v>-8.4217626000000008E-4</v>
      </c>
      <c r="H20" s="453">
        <f>BktEur1yPL!H20</f>
        <v>-8.4217626000000004E-2</v>
      </c>
      <c r="I20" s="107" t="str">
        <v>9M</v>
      </c>
      <c r="J20" s="106" t="str">
        <f>IF(LEN(I20)&gt;0,IF((MID(I20,4,1)=" "),#REF!,IF((LEN(I20)=8),DATE("20" &amp; RIGHT(I20,2),MID(I20,4,2),LEFT(I20,2)),SimplifyTenor(I20))),"")</f>
        <v>9M</v>
      </c>
      <c r="K20" s="448">
        <f>_xll.qlCalendarAdvance("TARGET",SettlementDate,J20)</f>
        <v>42969</v>
      </c>
      <c r="M20" s="99" t="str">
        <v>9M</v>
      </c>
      <c r="N20" s="465">
        <v>183.99849007912155</v>
      </c>
      <c r="P20" s="106" t="b">
        <f t="shared" si="0"/>
        <v>0</v>
      </c>
      <c r="Q20" s="460">
        <f t="array" ref="Q20:CC20">C20*ForwardToZero(OisBuckets,E20,F20,G20)</f>
        <v>0</v>
      </c>
      <c r="R20" s="460">
        <v>0</v>
      </c>
      <c r="S20" s="460">
        <v>0</v>
      </c>
      <c r="T20" s="460">
        <v>0</v>
      </c>
      <c r="U20" s="460">
        <v>0</v>
      </c>
      <c r="V20" s="460">
        <v>0</v>
      </c>
      <c r="W20" s="460">
        <v>0</v>
      </c>
      <c r="X20" s="460">
        <v>0</v>
      </c>
      <c r="Y20" s="460">
        <v>0</v>
      </c>
      <c r="Z20" s="460">
        <v>0</v>
      </c>
      <c r="AA20" s="460">
        <v>0</v>
      </c>
      <c r="AB20" s="460">
        <v>0</v>
      </c>
      <c r="AC20" s="460">
        <v>0</v>
      </c>
      <c r="AD20" s="460">
        <v>0</v>
      </c>
      <c r="AE20" s="460">
        <v>0</v>
      </c>
      <c r="AF20" s="460">
        <v>0</v>
      </c>
      <c r="AG20" s="460">
        <v>-99.753696479255495</v>
      </c>
      <c r="AH20" s="460">
        <v>0</v>
      </c>
      <c r="AI20" s="460">
        <v>0</v>
      </c>
      <c r="AJ20" s="460">
        <v>0</v>
      </c>
      <c r="AK20" s="460">
        <v>0</v>
      </c>
      <c r="AL20" s="460">
        <v>0</v>
      </c>
      <c r="AM20" s="460">
        <v>0</v>
      </c>
      <c r="AN20" s="460">
        <v>0</v>
      </c>
      <c r="AO20" s="460">
        <v>0</v>
      </c>
      <c r="AP20" s="460">
        <v>0</v>
      </c>
      <c r="AQ20" s="460">
        <v>0</v>
      </c>
      <c r="AR20" s="460">
        <v>0</v>
      </c>
      <c r="AS20" s="460">
        <v>0</v>
      </c>
      <c r="AT20" s="460">
        <v>0</v>
      </c>
      <c r="AU20" s="460">
        <v>0</v>
      </c>
      <c r="AV20" s="460">
        <v>0</v>
      </c>
      <c r="AW20" s="460">
        <v>0</v>
      </c>
      <c r="AX20" s="460">
        <v>0</v>
      </c>
      <c r="AY20" s="460">
        <v>0</v>
      </c>
      <c r="AZ20" s="460">
        <v>0</v>
      </c>
      <c r="BA20" s="460">
        <v>0</v>
      </c>
      <c r="BB20" s="460">
        <v>0</v>
      </c>
      <c r="BC20" s="460">
        <v>0</v>
      </c>
      <c r="BD20" s="460">
        <v>0</v>
      </c>
      <c r="BE20" s="460">
        <v>0</v>
      </c>
      <c r="BF20" s="460">
        <v>0</v>
      </c>
      <c r="BG20" s="460">
        <v>0</v>
      </c>
      <c r="BH20" s="460">
        <v>0</v>
      </c>
      <c r="BI20" s="460">
        <v>0</v>
      </c>
      <c r="BJ20" s="460">
        <v>0</v>
      </c>
      <c r="BK20" s="460">
        <v>0</v>
      </c>
      <c r="BL20" s="460">
        <v>0</v>
      </c>
      <c r="BM20" s="460">
        <v>0</v>
      </c>
      <c r="BN20" s="460">
        <v>0</v>
      </c>
      <c r="BO20" s="460">
        <v>0</v>
      </c>
      <c r="BP20" s="460">
        <v>0</v>
      </c>
      <c r="BQ20" s="460">
        <v>0</v>
      </c>
      <c r="BR20" s="460">
        <v>0</v>
      </c>
      <c r="BS20" s="460">
        <v>0</v>
      </c>
      <c r="BT20" s="460">
        <v>0</v>
      </c>
      <c r="BU20" s="460">
        <v>0</v>
      </c>
      <c r="BV20" s="460">
        <v>0</v>
      </c>
      <c r="BW20" s="460">
        <v>0</v>
      </c>
      <c r="BX20" s="460">
        <v>0</v>
      </c>
      <c r="BY20" s="460">
        <v>0</v>
      </c>
      <c r="BZ20" s="460">
        <v>0</v>
      </c>
      <c r="CA20" s="460" t="e">
        <v>#N/A</v>
      </c>
      <c r="CB20" s="460" t="e">
        <v>#N/A</v>
      </c>
      <c r="CC20" s="460" t="e">
        <v>#N/A</v>
      </c>
    </row>
    <row r="21" spans="1:81" ht="12.75" customHeight="1">
      <c r="A21" s="105">
        <v>16</v>
      </c>
      <c r="B21" s="458" t="str">
        <v>12M</v>
      </c>
      <c r="C21" s="262">
        <f>'eur disaggregated'!AT32</f>
        <v>706.65544355444399</v>
      </c>
      <c r="D21" s="111" t="str">
        <f t="shared" si="2"/>
        <v>12M</v>
      </c>
      <c r="E21" s="441">
        <f>BktEur1yPL!E21</f>
        <v>42696</v>
      </c>
      <c r="F21" s="441">
        <f>BktEur1yPL!F21</f>
        <v>43061</v>
      </c>
      <c r="G21" s="462">
        <f t="shared" si="1"/>
        <v>-7.7200000000000001E-4</v>
      </c>
      <c r="H21" s="453">
        <f>BktEur1yPL!H21</f>
        <v>-7.7200000000000005E-2</v>
      </c>
      <c r="I21" s="107" t="str">
        <v>10M</v>
      </c>
      <c r="J21" s="106" t="str">
        <f>IF(LEN(I21)&gt;0,IF((MID(I21,4,1)=" "),#REF!,IF((LEN(I21)=8),DATE("20" &amp; RIGHT(I21,2),MID(I21,4,2),LEFT(I21,2)),SimplifyTenor(I21))),"")</f>
        <v>10M</v>
      </c>
      <c r="K21" s="448">
        <f>_xll.qlCalendarAdvance("TARGET",SettlementDate,J21)</f>
        <v>43000</v>
      </c>
      <c r="M21" s="99" t="str">
        <v>10M</v>
      </c>
      <c r="N21" s="465">
        <v>-23.654743720824893</v>
      </c>
      <c r="P21" s="106" t="b">
        <f t="shared" si="0"/>
        <v>0</v>
      </c>
      <c r="Q21" s="460">
        <f t="array" ref="Q21:CC21">C21*ForwardToZero(OisBuckets,E21,F21,G21)</f>
        <v>0</v>
      </c>
      <c r="R21" s="460">
        <v>0</v>
      </c>
      <c r="S21" s="460">
        <v>0</v>
      </c>
      <c r="T21" s="460">
        <v>0</v>
      </c>
      <c r="U21" s="460">
        <v>0</v>
      </c>
      <c r="V21" s="460">
        <v>0</v>
      </c>
      <c r="W21" s="460">
        <v>0</v>
      </c>
      <c r="X21" s="460">
        <v>0</v>
      </c>
      <c r="Y21" s="460">
        <v>0</v>
      </c>
      <c r="Z21" s="460">
        <v>0</v>
      </c>
      <c r="AA21" s="460">
        <v>0</v>
      </c>
      <c r="AB21" s="460">
        <v>0</v>
      </c>
      <c r="AC21" s="460">
        <v>0</v>
      </c>
      <c r="AD21" s="460">
        <v>0</v>
      </c>
      <c r="AE21" s="460">
        <v>0</v>
      </c>
      <c r="AF21" s="460">
        <v>0</v>
      </c>
      <c r="AG21" s="460">
        <v>0</v>
      </c>
      <c r="AH21" s="460">
        <v>706.65544355444399</v>
      </c>
      <c r="AI21" s="460">
        <v>0</v>
      </c>
      <c r="AJ21" s="460">
        <v>0</v>
      </c>
      <c r="AK21" s="460">
        <v>0</v>
      </c>
      <c r="AL21" s="460">
        <v>0</v>
      </c>
      <c r="AM21" s="460">
        <v>0</v>
      </c>
      <c r="AN21" s="460">
        <v>0</v>
      </c>
      <c r="AO21" s="460">
        <v>0</v>
      </c>
      <c r="AP21" s="460">
        <v>0</v>
      </c>
      <c r="AQ21" s="460">
        <v>0</v>
      </c>
      <c r="AR21" s="460">
        <v>0</v>
      </c>
      <c r="AS21" s="460">
        <v>0</v>
      </c>
      <c r="AT21" s="460">
        <v>0</v>
      </c>
      <c r="AU21" s="460">
        <v>0</v>
      </c>
      <c r="AV21" s="460">
        <v>0</v>
      </c>
      <c r="AW21" s="460">
        <v>0</v>
      </c>
      <c r="AX21" s="460">
        <v>0</v>
      </c>
      <c r="AY21" s="460">
        <v>0</v>
      </c>
      <c r="AZ21" s="460">
        <v>0</v>
      </c>
      <c r="BA21" s="460">
        <v>0</v>
      </c>
      <c r="BB21" s="460">
        <v>0</v>
      </c>
      <c r="BC21" s="460">
        <v>0</v>
      </c>
      <c r="BD21" s="460">
        <v>0</v>
      </c>
      <c r="BE21" s="460">
        <v>0</v>
      </c>
      <c r="BF21" s="460">
        <v>0</v>
      </c>
      <c r="BG21" s="460">
        <v>0</v>
      </c>
      <c r="BH21" s="460">
        <v>0</v>
      </c>
      <c r="BI21" s="460">
        <v>0</v>
      </c>
      <c r="BJ21" s="460">
        <v>0</v>
      </c>
      <c r="BK21" s="460">
        <v>0</v>
      </c>
      <c r="BL21" s="460">
        <v>0</v>
      </c>
      <c r="BM21" s="460">
        <v>0</v>
      </c>
      <c r="BN21" s="460">
        <v>0</v>
      </c>
      <c r="BO21" s="460">
        <v>0</v>
      </c>
      <c r="BP21" s="460">
        <v>0</v>
      </c>
      <c r="BQ21" s="460">
        <v>0</v>
      </c>
      <c r="BR21" s="460">
        <v>0</v>
      </c>
      <c r="BS21" s="460">
        <v>0</v>
      </c>
      <c r="BT21" s="460">
        <v>0</v>
      </c>
      <c r="BU21" s="460">
        <v>0</v>
      </c>
      <c r="BV21" s="460">
        <v>0</v>
      </c>
      <c r="BW21" s="460">
        <v>0</v>
      </c>
      <c r="BX21" s="460">
        <v>0</v>
      </c>
      <c r="BY21" s="460">
        <v>0</v>
      </c>
      <c r="BZ21" s="460">
        <v>0</v>
      </c>
      <c r="CA21" s="460" t="e">
        <v>#N/A</v>
      </c>
      <c r="CB21" s="460" t="e">
        <v>#N/A</v>
      </c>
      <c r="CC21" s="460" t="e">
        <v>#N/A</v>
      </c>
    </row>
    <row r="22" spans="1:81" ht="12.75" customHeight="1">
      <c r="A22" s="105">
        <v>17</v>
      </c>
      <c r="B22" s="458" t="str">
        <v>1M-13M</v>
      </c>
      <c r="C22" s="262">
        <f>'eur disaggregated'!AT33</f>
        <v>-26.873339644096401</v>
      </c>
      <c r="D22" s="111" t="str">
        <f t="shared" si="2"/>
        <v>12M</v>
      </c>
      <c r="E22" s="441">
        <f>BktEur1yPL!E22</f>
        <v>42726</v>
      </c>
      <c r="F22" s="441">
        <f>BktEur1yPL!F22</f>
        <v>43091</v>
      </c>
      <c r="G22" s="462">
        <f t="shared" si="1"/>
        <v>-6.6E-4</v>
      </c>
      <c r="H22" s="453">
        <f>BktEur1yPL!H22</f>
        <v>-6.6000000000000003E-2</v>
      </c>
      <c r="I22" s="107" t="str">
        <v>11M</v>
      </c>
      <c r="J22" s="106" t="str">
        <f>IF(LEN(I22)&gt;0,IF((MID(I22,4,1)=" "),#REF!,IF((LEN(I22)=8),DATE("20" &amp; RIGHT(I22,2),MID(I22,4,2),LEFT(I22,2)),SimplifyTenor(I22))),"")</f>
        <v>11M</v>
      </c>
      <c r="K22" s="448">
        <f>_xll.qlCalendarAdvance("TARGET",SettlementDate,J22)</f>
        <v>43031</v>
      </c>
      <c r="M22" s="99" t="str">
        <v>11M</v>
      </c>
      <c r="N22" s="465">
        <v>337.06473956503658</v>
      </c>
      <c r="P22" s="106" t="b">
        <f t="shared" si="0"/>
        <v>0</v>
      </c>
      <c r="Q22" s="460">
        <f t="array" ref="Q22:CC22">C22*ForwardToZero(OisBuckets,E22,F22,G22)</f>
        <v>0</v>
      </c>
      <c r="R22" s="460">
        <v>0</v>
      </c>
      <c r="S22" s="460">
        <v>0</v>
      </c>
      <c r="T22" s="460">
        <v>0</v>
      </c>
      <c r="U22" s="460">
        <v>0</v>
      </c>
      <c r="V22" s="460">
        <v>0</v>
      </c>
      <c r="W22" s="460">
        <v>2.503269994244596</v>
      </c>
      <c r="X22" s="460">
        <v>0</v>
      </c>
      <c r="Y22" s="460">
        <v>0</v>
      </c>
      <c r="Z22" s="460">
        <v>0</v>
      </c>
      <c r="AA22" s="460">
        <v>0</v>
      </c>
      <c r="AB22" s="460">
        <v>0</v>
      </c>
      <c r="AC22" s="460">
        <v>0</v>
      </c>
      <c r="AD22" s="460">
        <v>0</v>
      </c>
      <c r="AE22" s="460">
        <v>0</v>
      </c>
      <c r="AF22" s="460">
        <v>0</v>
      </c>
      <c r="AG22" s="460">
        <v>0</v>
      </c>
      <c r="AH22" s="460">
        <v>0</v>
      </c>
      <c r="AI22" s="460">
        <v>-29.376609638340998</v>
      </c>
      <c r="AJ22" s="460">
        <v>0</v>
      </c>
      <c r="AK22" s="460">
        <v>0</v>
      </c>
      <c r="AL22" s="460">
        <v>0</v>
      </c>
      <c r="AM22" s="460">
        <v>0</v>
      </c>
      <c r="AN22" s="460">
        <v>0</v>
      </c>
      <c r="AO22" s="460">
        <v>0</v>
      </c>
      <c r="AP22" s="460">
        <v>0</v>
      </c>
      <c r="AQ22" s="460">
        <v>0</v>
      </c>
      <c r="AR22" s="460">
        <v>0</v>
      </c>
      <c r="AS22" s="460">
        <v>0</v>
      </c>
      <c r="AT22" s="460">
        <v>0</v>
      </c>
      <c r="AU22" s="460">
        <v>0</v>
      </c>
      <c r="AV22" s="460">
        <v>0</v>
      </c>
      <c r="AW22" s="460">
        <v>0</v>
      </c>
      <c r="AX22" s="460">
        <v>0</v>
      </c>
      <c r="AY22" s="460">
        <v>0</v>
      </c>
      <c r="AZ22" s="460">
        <v>0</v>
      </c>
      <c r="BA22" s="460">
        <v>0</v>
      </c>
      <c r="BB22" s="460">
        <v>0</v>
      </c>
      <c r="BC22" s="460">
        <v>0</v>
      </c>
      <c r="BD22" s="460">
        <v>0</v>
      </c>
      <c r="BE22" s="460">
        <v>0</v>
      </c>
      <c r="BF22" s="460">
        <v>0</v>
      </c>
      <c r="BG22" s="460">
        <v>0</v>
      </c>
      <c r="BH22" s="460">
        <v>0</v>
      </c>
      <c r="BI22" s="460">
        <v>0</v>
      </c>
      <c r="BJ22" s="460">
        <v>0</v>
      </c>
      <c r="BK22" s="460">
        <v>0</v>
      </c>
      <c r="BL22" s="460">
        <v>0</v>
      </c>
      <c r="BM22" s="460">
        <v>0</v>
      </c>
      <c r="BN22" s="460">
        <v>0</v>
      </c>
      <c r="BO22" s="460">
        <v>0</v>
      </c>
      <c r="BP22" s="460">
        <v>0</v>
      </c>
      <c r="BQ22" s="460">
        <v>0</v>
      </c>
      <c r="BR22" s="460">
        <v>0</v>
      </c>
      <c r="BS22" s="460">
        <v>0</v>
      </c>
      <c r="BT22" s="460">
        <v>0</v>
      </c>
      <c r="BU22" s="460">
        <v>0</v>
      </c>
      <c r="BV22" s="460">
        <v>0</v>
      </c>
      <c r="BW22" s="460">
        <v>0</v>
      </c>
      <c r="BX22" s="460">
        <v>0</v>
      </c>
      <c r="BY22" s="460">
        <v>0</v>
      </c>
      <c r="BZ22" s="460">
        <v>0</v>
      </c>
      <c r="CA22" s="460" t="e">
        <v>#N/A</v>
      </c>
      <c r="CB22" s="460" t="e">
        <v>#N/A</v>
      </c>
      <c r="CC22" s="460" t="e">
        <v>#N/A</v>
      </c>
    </row>
    <row r="23" spans="1:81" ht="12.75" customHeight="1">
      <c r="A23" s="105">
        <v>18</v>
      </c>
      <c r="B23" s="458" t="str">
        <v>2M-14M</v>
      </c>
      <c r="C23" s="262">
        <f>'eur disaggregated'!AT34</f>
        <v>288.71057710561001</v>
      </c>
      <c r="D23" s="111" t="str">
        <f t="shared" si="2"/>
        <v>12M</v>
      </c>
      <c r="E23" s="441">
        <f>BktEur1yPL!E23</f>
        <v>42758</v>
      </c>
      <c r="F23" s="441">
        <f>BktEur1yPL!F23</f>
        <v>43122</v>
      </c>
      <c r="G23" s="462">
        <f t="shared" si="1"/>
        <v>-5.5000000000000003E-4</v>
      </c>
      <c r="H23" s="453">
        <f>BktEur1yPL!H23</f>
        <v>-5.5E-2</v>
      </c>
      <c r="I23" s="107" t="str">
        <v>1Y</v>
      </c>
      <c r="J23" s="106" t="str">
        <f>IF(LEN(I23)&gt;0,IF((MID(I23,4,1)=" "),#REF!,IF((LEN(I23)=8),DATE("20" &amp; RIGHT(I23,2),MID(I23,4,2),LEFT(I23,2)),SimplifyTenor(I23))),"")</f>
        <v>12M</v>
      </c>
      <c r="K23" s="448">
        <f>_xll.qlCalendarAdvance("TARGET",SettlementDate,J23)</f>
        <v>43061</v>
      </c>
      <c r="M23" s="99" t="str">
        <v>1Y</v>
      </c>
      <c r="N23" s="465">
        <v>80.170151087360068</v>
      </c>
      <c r="P23" s="106" t="b">
        <f t="shared" si="0"/>
        <v>0</v>
      </c>
      <c r="Q23" s="460">
        <f t="array" ref="Q23:CC23">C23*ForwardToZero(OisBuckets,E23,F23,G23)</f>
        <v>0</v>
      </c>
      <c r="R23" s="460">
        <v>0</v>
      </c>
      <c r="S23" s="460">
        <v>0</v>
      </c>
      <c r="T23" s="460">
        <v>0</v>
      </c>
      <c r="U23" s="460">
        <v>0</v>
      </c>
      <c r="V23" s="460">
        <v>0</v>
      </c>
      <c r="W23" s="460">
        <v>0</v>
      </c>
      <c r="X23" s="460">
        <v>-52.348621123544682</v>
      </c>
      <c r="Y23" s="460">
        <v>0</v>
      </c>
      <c r="Z23" s="460">
        <v>0</v>
      </c>
      <c r="AA23" s="460">
        <v>0</v>
      </c>
      <c r="AB23" s="460">
        <v>0</v>
      </c>
      <c r="AC23" s="460">
        <v>0</v>
      </c>
      <c r="AD23" s="460">
        <v>0</v>
      </c>
      <c r="AE23" s="460">
        <v>0</v>
      </c>
      <c r="AF23" s="460">
        <v>0</v>
      </c>
      <c r="AG23" s="460">
        <v>0</v>
      </c>
      <c r="AH23" s="460">
        <v>0</v>
      </c>
      <c r="AI23" s="460">
        <v>0</v>
      </c>
      <c r="AJ23" s="460">
        <v>341.05919822915467</v>
      </c>
      <c r="AK23" s="460">
        <v>0</v>
      </c>
      <c r="AL23" s="460">
        <v>0</v>
      </c>
      <c r="AM23" s="460">
        <v>0</v>
      </c>
      <c r="AN23" s="460">
        <v>0</v>
      </c>
      <c r="AO23" s="460">
        <v>0</v>
      </c>
      <c r="AP23" s="460">
        <v>0</v>
      </c>
      <c r="AQ23" s="460">
        <v>0</v>
      </c>
      <c r="AR23" s="460">
        <v>0</v>
      </c>
      <c r="AS23" s="460">
        <v>0</v>
      </c>
      <c r="AT23" s="460">
        <v>0</v>
      </c>
      <c r="AU23" s="460">
        <v>0</v>
      </c>
      <c r="AV23" s="460">
        <v>0</v>
      </c>
      <c r="AW23" s="460">
        <v>0</v>
      </c>
      <c r="AX23" s="460">
        <v>0</v>
      </c>
      <c r="AY23" s="460">
        <v>0</v>
      </c>
      <c r="AZ23" s="460">
        <v>0</v>
      </c>
      <c r="BA23" s="460">
        <v>0</v>
      </c>
      <c r="BB23" s="460">
        <v>0</v>
      </c>
      <c r="BC23" s="460">
        <v>0</v>
      </c>
      <c r="BD23" s="460">
        <v>0</v>
      </c>
      <c r="BE23" s="460">
        <v>0</v>
      </c>
      <c r="BF23" s="460">
        <v>0</v>
      </c>
      <c r="BG23" s="460">
        <v>0</v>
      </c>
      <c r="BH23" s="460">
        <v>0</v>
      </c>
      <c r="BI23" s="460">
        <v>0</v>
      </c>
      <c r="BJ23" s="460">
        <v>0</v>
      </c>
      <c r="BK23" s="460">
        <v>0</v>
      </c>
      <c r="BL23" s="460">
        <v>0</v>
      </c>
      <c r="BM23" s="460">
        <v>0</v>
      </c>
      <c r="BN23" s="460">
        <v>0</v>
      </c>
      <c r="BO23" s="460">
        <v>0</v>
      </c>
      <c r="BP23" s="460">
        <v>0</v>
      </c>
      <c r="BQ23" s="460">
        <v>0</v>
      </c>
      <c r="BR23" s="460">
        <v>0</v>
      </c>
      <c r="BS23" s="460">
        <v>0</v>
      </c>
      <c r="BT23" s="460">
        <v>0</v>
      </c>
      <c r="BU23" s="460">
        <v>0</v>
      </c>
      <c r="BV23" s="460">
        <v>0</v>
      </c>
      <c r="BW23" s="460">
        <v>0</v>
      </c>
      <c r="BX23" s="460">
        <v>0</v>
      </c>
      <c r="BY23" s="460">
        <v>0</v>
      </c>
      <c r="BZ23" s="460">
        <v>0</v>
      </c>
      <c r="CA23" s="460" t="e">
        <v>#N/A</v>
      </c>
      <c r="CB23" s="460" t="e">
        <v>#N/A</v>
      </c>
      <c r="CC23" s="460" t="e">
        <v>#N/A</v>
      </c>
    </row>
    <row r="24" spans="1:81" ht="12.75" customHeight="1">
      <c r="A24" s="105">
        <v>19</v>
      </c>
      <c r="B24" s="458" t="str">
        <v>3M-15M</v>
      </c>
      <c r="C24" s="262">
        <f>'eur disaggregated'!AT35</f>
        <v>-72.771354750271996</v>
      </c>
      <c r="D24" s="111" t="str">
        <f t="shared" si="2"/>
        <v>12M</v>
      </c>
      <c r="E24" s="441">
        <f>BktEur1yPL!E24</f>
        <v>42788</v>
      </c>
      <c r="F24" s="441">
        <f>BktEur1yPL!F24</f>
        <v>43153</v>
      </c>
      <c r="G24" s="462">
        <f t="shared" si="1"/>
        <v>-4.6000000000000001E-4</v>
      </c>
      <c r="H24" s="453">
        <f>BktEur1yPL!H24</f>
        <v>-4.5999999999999999E-2</v>
      </c>
      <c r="I24" s="107" t="str">
        <v>13M</v>
      </c>
      <c r="J24" s="106" t="str">
        <f>IF(LEN(I24)&gt;0,IF((MID(I24,4,1)=" "),#REF!,IF((LEN(I24)=8),DATE("20" &amp; RIGHT(I24,2),MID(I24,4,2),LEFT(I24,2)),SimplifyTenor(I24))),"")</f>
        <v>13M</v>
      </c>
      <c r="K24" s="448">
        <f>_xll.qlCalendarAdvance("TARGET",SettlementDate,J24)</f>
        <v>43091</v>
      </c>
      <c r="M24" s="99" t="str">
        <v>13M</v>
      </c>
      <c r="N24" s="465">
        <v>-29.376609638340998</v>
      </c>
      <c r="P24" s="106" t="b">
        <f t="shared" si="0"/>
        <v>0</v>
      </c>
      <c r="Q24" s="460">
        <f t="array" ref="Q24:CC24">C24*ForwardToZero(OisBuckets,E24,F24,G24)</f>
        <v>0</v>
      </c>
      <c r="R24" s="460">
        <v>0</v>
      </c>
      <c r="S24" s="460">
        <v>0</v>
      </c>
      <c r="T24" s="460">
        <v>0</v>
      </c>
      <c r="U24" s="460">
        <v>0</v>
      </c>
      <c r="V24" s="460">
        <v>0</v>
      </c>
      <c r="W24" s="460">
        <v>0</v>
      </c>
      <c r="X24" s="460">
        <v>0</v>
      </c>
      <c r="Y24" s="460">
        <v>19.139863167194825</v>
      </c>
      <c r="Z24" s="460">
        <v>0</v>
      </c>
      <c r="AA24" s="460">
        <v>0</v>
      </c>
      <c r="AB24" s="460">
        <v>0</v>
      </c>
      <c r="AC24" s="460">
        <v>0</v>
      </c>
      <c r="AD24" s="460">
        <v>0</v>
      </c>
      <c r="AE24" s="460">
        <v>0</v>
      </c>
      <c r="AF24" s="460">
        <v>0</v>
      </c>
      <c r="AG24" s="460">
        <v>0</v>
      </c>
      <c r="AH24" s="460">
        <v>0</v>
      </c>
      <c r="AI24" s="460">
        <v>0</v>
      </c>
      <c r="AJ24" s="460">
        <v>0</v>
      </c>
      <c r="AK24" s="460">
        <v>-91.911217917466828</v>
      </c>
      <c r="AL24" s="460">
        <v>0</v>
      </c>
      <c r="AM24" s="460">
        <v>0</v>
      </c>
      <c r="AN24" s="460">
        <v>0</v>
      </c>
      <c r="AO24" s="460">
        <v>0</v>
      </c>
      <c r="AP24" s="460">
        <v>0</v>
      </c>
      <c r="AQ24" s="460">
        <v>0</v>
      </c>
      <c r="AR24" s="460">
        <v>0</v>
      </c>
      <c r="AS24" s="460">
        <v>0</v>
      </c>
      <c r="AT24" s="460">
        <v>0</v>
      </c>
      <c r="AU24" s="460">
        <v>0</v>
      </c>
      <c r="AV24" s="460">
        <v>0</v>
      </c>
      <c r="AW24" s="460">
        <v>0</v>
      </c>
      <c r="AX24" s="460">
        <v>0</v>
      </c>
      <c r="AY24" s="460">
        <v>0</v>
      </c>
      <c r="AZ24" s="460">
        <v>0</v>
      </c>
      <c r="BA24" s="460">
        <v>0</v>
      </c>
      <c r="BB24" s="460">
        <v>0</v>
      </c>
      <c r="BC24" s="460">
        <v>0</v>
      </c>
      <c r="BD24" s="460">
        <v>0</v>
      </c>
      <c r="BE24" s="460">
        <v>0</v>
      </c>
      <c r="BF24" s="460">
        <v>0</v>
      </c>
      <c r="BG24" s="460">
        <v>0</v>
      </c>
      <c r="BH24" s="460">
        <v>0</v>
      </c>
      <c r="BI24" s="460">
        <v>0</v>
      </c>
      <c r="BJ24" s="460">
        <v>0</v>
      </c>
      <c r="BK24" s="460">
        <v>0</v>
      </c>
      <c r="BL24" s="460">
        <v>0</v>
      </c>
      <c r="BM24" s="460">
        <v>0</v>
      </c>
      <c r="BN24" s="460">
        <v>0</v>
      </c>
      <c r="BO24" s="460">
        <v>0</v>
      </c>
      <c r="BP24" s="460">
        <v>0</v>
      </c>
      <c r="BQ24" s="460">
        <v>0</v>
      </c>
      <c r="BR24" s="460">
        <v>0</v>
      </c>
      <c r="BS24" s="460">
        <v>0</v>
      </c>
      <c r="BT24" s="460">
        <v>0</v>
      </c>
      <c r="BU24" s="460">
        <v>0</v>
      </c>
      <c r="BV24" s="460">
        <v>0</v>
      </c>
      <c r="BW24" s="460">
        <v>0</v>
      </c>
      <c r="BX24" s="460">
        <v>0</v>
      </c>
      <c r="BY24" s="460">
        <v>0</v>
      </c>
      <c r="BZ24" s="460">
        <v>0</v>
      </c>
      <c r="CA24" s="460" t="e">
        <v>#N/A</v>
      </c>
      <c r="CB24" s="460" t="e">
        <v>#N/A</v>
      </c>
      <c r="CC24" s="460" t="e">
        <v>#N/A</v>
      </c>
    </row>
    <row r="25" spans="1:81" ht="12.75" customHeight="1">
      <c r="A25" s="111">
        <v>20</v>
      </c>
      <c r="B25" s="458" t="str">
        <v>4M-16M</v>
      </c>
      <c r="C25" s="262">
        <f>'eur disaggregated'!AT36</f>
        <v>-110.587378104802</v>
      </c>
      <c r="D25" s="111" t="str">
        <f t="shared" si="2"/>
        <v>12M</v>
      </c>
      <c r="E25" s="441">
        <f>BktEur1yPL!E25</f>
        <v>42816</v>
      </c>
      <c r="F25" s="441">
        <f>BktEur1yPL!F25</f>
        <v>43181</v>
      </c>
      <c r="G25" s="462">
        <f t="shared" si="1"/>
        <v>-3.6999999999999999E-4</v>
      </c>
      <c r="H25" s="453">
        <f>BktEur1yPL!H25</f>
        <v>-3.6999999999999998E-2</v>
      </c>
      <c r="I25" s="107" t="str">
        <v>14M</v>
      </c>
      <c r="J25" s="441" t="str">
        <f>IF(LEN(I25)&gt;0,IF((MID(I25,4,1)=" "),#REF!,IF((LEN(I25)=8),DATE("20" &amp; RIGHT(I25,2),MID(I25,4,2),LEFT(I25,2)),SimplifyTenor(I25))),"")</f>
        <v>14M</v>
      </c>
      <c r="K25" s="448">
        <f>_xll.qlCalendarAdvance("TARGET",SettlementDate,J25)</f>
        <v>43122</v>
      </c>
      <c r="L25" s="89"/>
      <c r="M25" s="99" t="str">
        <v>14M</v>
      </c>
      <c r="N25" s="465">
        <v>341.05919822915467</v>
      </c>
      <c r="P25" s="106" t="b">
        <f t="shared" si="0"/>
        <v>0</v>
      </c>
      <c r="Q25" s="460">
        <f t="array" ref="Q25:CC25">C25*ForwardToZero(OisBuckets,E25,F25,G25)</f>
        <v>0</v>
      </c>
      <c r="R25" s="460">
        <v>0</v>
      </c>
      <c r="S25" s="460">
        <v>0</v>
      </c>
      <c r="T25" s="460">
        <v>0</v>
      </c>
      <c r="U25" s="460">
        <v>0</v>
      </c>
      <c r="V25" s="460">
        <v>0</v>
      </c>
      <c r="W25" s="460">
        <v>0</v>
      </c>
      <c r="X25" s="460">
        <v>0</v>
      </c>
      <c r="Y25" s="460">
        <v>0</v>
      </c>
      <c r="Z25" s="460">
        <v>37.569410643823147</v>
      </c>
      <c r="AA25" s="460">
        <v>0</v>
      </c>
      <c r="AB25" s="460">
        <v>0</v>
      </c>
      <c r="AC25" s="460">
        <v>0</v>
      </c>
      <c r="AD25" s="460">
        <v>0</v>
      </c>
      <c r="AE25" s="460">
        <v>0</v>
      </c>
      <c r="AF25" s="460">
        <v>0</v>
      </c>
      <c r="AG25" s="460">
        <v>0</v>
      </c>
      <c r="AH25" s="460">
        <v>0</v>
      </c>
      <c r="AI25" s="460">
        <v>0</v>
      </c>
      <c r="AJ25" s="460">
        <v>0</v>
      </c>
      <c r="AK25" s="460">
        <v>0</v>
      </c>
      <c r="AL25" s="460">
        <v>-148.15678874862513</v>
      </c>
      <c r="AM25" s="460">
        <v>0</v>
      </c>
      <c r="AN25" s="460">
        <v>0</v>
      </c>
      <c r="AO25" s="460">
        <v>0</v>
      </c>
      <c r="AP25" s="460">
        <v>0</v>
      </c>
      <c r="AQ25" s="460">
        <v>0</v>
      </c>
      <c r="AR25" s="460">
        <v>0</v>
      </c>
      <c r="AS25" s="460">
        <v>0</v>
      </c>
      <c r="AT25" s="460">
        <v>0</v>
      </c>
      <c r="AU25" s="460">
        <v>0</v>
      </c>
      <c r="AV25" s="460">
        <v>0</v>
      </c>
      <c r="AW25" s="460">
        <v>0</v>
      </c>
      <c r="AX25" s="460">
        <v>0</v>
      </c>
      <c r="AY25" s="460">
        <v>0</v>
      </c>
      <c r="AZ25" s="460">
        <v>0</v>
      </c>
      <c r="BA25" s="460">
        <v>0</v>
      </c>
      <c r="BB25" s="460">
        <v>0</v>
      </c>
      <c r="BC25" s="460">
        <v>0</v>
      </c>
      <c r="BD25" s="460">
        <v>0</v>
      </c>
      <c r="BE25" s="460">
        <v>0</v>
      </c>
      <c r="BF25" s="460">
        <v>0</v>
      </c>
      <c r="BG25" s="460">
        <v>0</v>
      </c>
      <c r="BH25" s="460">
        <v>0</v>
      </c>
      <c r="BI25" s="460">
        <v>0</v>
      </c>
      <c r="BJ25" s="460">
        <v>0</v>
      </c>
      <c r="BK25" s="460">
        <v>0</v>
      </c>
      <c r="BL25" s="460">
        <v>0</v>
      </c>
      <c r="BM25" s="460">
        <v>0</v>
      </c>
      <c r="BN25" s="460">
        <v>0</v>
      </c>
      <c r="BO25" s="460">
        <v>0</v>
      </c>
      <c r="BP25" s="460">
        <v>0</v>
      </c>
      <c r="BQ25" s="460">
        <v>0</v>
      </c>
      <c r="BR25" s="460">
        <v>0</v>
      </c>
      <c r="BS25" s="460">
        <v>0</v>
      </c>
      <c r="BT25" s="460">
        <v>0</v>
      </c>
      <c r="BU25" s="460">
        <v>0</v>
      </c>
      <c r="BV25" s="460">
        <v>0</v>
      </c>
      <c r="BW25" s="460">
        <v>0</v>
      </c>
      <c r="BX25" s="460">
        <v>0</v>
      </c>
      <c r="BY25" s="460">
        <v>0</v>
      </c>
      <c r="BZ25" s="460">
        <v>0</v>
      </c>
      <c r="CA25" s="460" t="e">
        <v>#N/A</v>
      </c>
      <c r="CB25" s="460" t="e">
        <v>#N/A</v>
      </c>
      <c r="CC25" s="460" t="e">
        <v>#N/A</v>
      </c>
    </row>
    <row r="26" spans="1:81" ht="12.75" customHeight="1">
      <c r="A26" s="111">
        <v>21</v>
      </c>
      <c r="B26" s="458" t="str">
        <v>5M-17M</v>
      </c>
      <c r="C26" s="262">
        <f>'eur disaggregated'!AT37</f>
        <v>0</v>
      </c>
      <c r="D26" s="111" t="str">
        <f t="shared" si="2"/>
        <v>12M</v>
      </c>
      <c r="E26" s="441">
        <f>BktEur1yPL!E26</f>
        <v>42849</v>
      </c>
      <c r="F26" s="441">
        <f>BktEur1yPL!F26</f>
        <v>43213</v>
      </c>
      <c r="G26" s="462">
        <f t="shared" si="1"/>
        <v>-2.5999999999999998E-4</v>
      </c>
      <c r="H26" s="453">
        <f>BktEur1yPL!H26</f>
        <v>-2.5999999999999999E-2</v>
      </c>
      <c r="I26" s="107" t="str">
        <v>15M</v>
      </c>
      <c r="J26" s="441" t="str">
        <f>IF(LEN(I26)&gt;0,IF((MID(I26,4,1)=" "),#REF!,IF((LEN(I26)=8),DATE("20" &amp; RIGHT(I26,2),MID(I26,4,2),LEFT(I26,2)),SimplifyTenor(I26))),"")</f>
        <v>15M</v>
      </c>
      <c r="K26" s="448">
        <f>_xll.qlCalendarAdvance("TARGET",SettlementDate,J26)</f>
        <v>43153</v>
      </c>
      <c r="L26" s="89"/>
      <c r="M26" s="99" t="str">
        <v>15M</v>
      </c>
      <c r="N26" s="465">
        <v>-91.911217917466828</v>
      </c>
      <c r="P26" s="106" t="b">
        <f t="shared" si="0"/>
        <v>0</v>
      </c>
      <c r="Q26" s="460">
        <f t="array" ref="Q26:CC26">C26*ForwardToZero(OisBuckets,E26,F26,G26)</f>
        <v>0</v>
      </c>
      <c r="R26" s="460">
        <v>0</v>
      </c>
      <c r="S26" s="460">
        <v>0</v>
      </c>
      <c r="T26" s="460">
        <v>0</v>
      </c>
      <c r="U26" s="460">
        <v>0</v>
      </c>
      <c r="V26" s="460">
        <v>0</v>
      </c>
      <c r="W26" s="460">
        <v>0</v>
      </c>
      <c r="X26" s="460">
        <v>0</v>
      </c>
      <c r="Y26" s="460">
        <v>0</v>
      </c>
      <c r="Z26" s="460">
        <v>0</v>
      </c>
      <c r="AA26" s="460">
        <v>0</v>
      </c>
      <c r="AB26" s="460">
        <v>0</v>
      </c>
      <c r="AC26" s="460">
        <v>0</v>
      </c>
      <c r="AD26" s="460">
        <v>0</v>
      </c>
      <c r="AE26" s="460">
        <v>0</v>
      </c>
      <c r="AF26" s="460">
        <v>0</v>
      </c>
      <c r="AG26" s="460">
        <v>0</v>
      </c>
      <c r="AH26" s="460">
        <v>0</v>
      </c>
      <c r="AI26" s="460">
        <v>0</v>
      </c>
      <c r="AJ26" s="460">
        <v>0</v>
      </c>
      <c r="AK26" s="460">
        <v>0</v>
      </c>
      <c r="AL26" s="460">
        <v>0</v>
      </c>
      <c r="AM26" s="460">
        <v>0</v>
      </c>
      <c r="AN26" s="460">
        <v>0</v>
      </c>
      <c r="AO26" s="460">
        <v>0</v>
      </c>
      <c r="AP26" s="460">
        <v>0</v>
      </c>
      <c r="AQ26" s="460">
        <v>0</v>
      </c>
      <c r="AR26" s="460">
        <v>0</v>
      </c>
      <c r="AS26" s="460">
        <v>0</v>
      </c>
      <c r="AT26" s="460">
        <v>0</v>
      </c>
      <c r="AU26" s="460">
        <v>0</v>
      </c>
      <c r="AV26" s="460">
        <v>0</v>
      </c>
      <c r="AW26" s="460">
        <v>0</v>
      </c>
      <c r="AX26" s="460">
        <v>0</v>
      </c>
      <c r="AY26" s="460">
        <v>0</v>
      </c>
      <c r="AZ26" s="460">
        <v>0</v>
      </c>
      <c r="BA26" s="460">
        <v>0</v>
      </c>
      <c r="BB26" s="460">
        <v>0</v>
      </c>
      <c r="BC26" s="460">
        <v>0</v>
      </c>
      <c r="BD26" s="460">
        <v>0</v>
      </c>
      <c r="BE26" s="460">
        <v>0</v>
      </c>
      <c r="BF26" s="460">
        <v>0</v>
      </c>
      <c r="BG26" s="460">
        <v>0</v>
      </c>
      <c r="BH26" s="460">
        <v>0</v>
      </c>
      <c r="BI26" s="460">
        <v>0</v>
      </c>
      <c r="BJ26" s="460">
        <v>0</v>
      </c>
      <c r="BK26" s="460">
        <v>0</v>
      </c>
      <c r="BL26" s="460">
        <v>0</v>
      </c>
      <c r="BM26" s="460">
        <v>0</v>
      </c>
      <c r="BN26" s="460">
        <v>0</v>
      </c>
      <c r="BO26" s="460">
        <v>0</v>
      </c>
      <c r="BP26" s="460">
        <v>0</v>
      </c>
      <c r="BQ26" s="460">
        <v>0</v>
      </c>
      <c r="BR26" s="460">
        <v>0</v>
      </c>
      <c r="BS26" s="460">
        <v>0</v>
      </c>
      <c r="BT26" s="460">
        <v>0</v>
      </c>
      <c r="BU26" s="460">
        <v>0</v>
      </c>
      <c r="BV26" s="460">
        <v>0</v>
      </c>
      <c r="BW26" s="460">
        <v>0</v>
      </c>
      <c r="BX26" s="460">
        <v>0</v>
      </c>
      <c r="BY26" s="460">
        <v>0</v>
      </c>
      <c r="BZ26" s="460">
        <v>0</v>
      </c>
      <c r="CA26" s="460" t="e">
        <v>#N/A</v>
      </c>
      <c r="CB26" s="460" t="e">
        <v>#N/A</v>
      </c>
      <c r="CC26" s="460" t="e">
        <v>#N/A</v>
      </c>
    </row>
    <row r="27" spans="1:81" ht="12.75" customHeight="1">
      <c r="A27" s="111">
        <v>22</v>
      </c>
      <c r="B27" s="458" t="str">
        <v>6M-18M</v>
      </c>
      <c r="C27" s="262">
        <f>'eur disaggregated'!AT38</f>
        <v>4.3331688469585599</v>
      </c>
      <c r="D27" s="111" t="str">
        <f t="shared" si="2"/>
        <v>12M</v>
      </c>
      <c r="E27" s="441">
        <f>BktEur1yPL!E27</f>
        <v>42877</v>
      </c>
      <c r="F27" s="441">
        <f>BktEur1yPL!F27</f>
        <v>43242</v>
      </c>
      <c r="G27" s="462">
        <f t="shared" si="1"/>
        <v>-1.6000000000000001E-4</v>
      </c>
      <c r="H27" s="453">
        <f>BktEur1yPL!H27</f>
        <v>-1.6E-2</v>
      </c>
      <c r="I27" s="107" t="str">
        <v>16M</v>
      </c>
      <c r="J27" s="441" t="str">
        <f>IF(LEN(I27)&gt;0,IF((MID(I27,4,1)=" "),#REF!,IF((LEN(I27)=8),DATE("20" &amp; RIGHT(I27,2),MID(I27,4,2),LEFT(I27,2)),SimplifyTenor(I27))),"")</f>
        <v>16M</v>
      </c>
      <c r="K27" s="448">
        <f>_xll.qlCalendarAdvance("TARGET",SettlementDate,J27)</f>
        <v>43181</v>
      </c>
      <c r="L27" s="89"/>
      <c r="M27" s="99" t="str">
        <v>16M</v>
      </c>
      <c r="N27" s="465">
        <v>-148.15678874862513</v>
      </c>
      <c r="P27" s="106" t="b">
        <f t="shared" si="0"/>
        <v>0</v>
      </c>
      <c r="Q27" s="460">
        <f t="array" ref="Q27:CC27">C27*ForwardToZero(OisBuckets,E27,F27,G27)</f>
        <v>0</v>
      </c>
      <c r="R27" s="460">
        <v>0</v>
      </c>
      <c r="S27" s="460">
        <v>0</v>
      </c>
      <c r="T27" s="460">
        <v>0</v>
      </c>
      <c r="U27" s="460">
        <v>0</v>
      </c>
      <c r="V27" s="460">
        <v>0</v>
      </c>
      <c r="W27" s="460">
        <v>0</v>
      </c>
      <c r="X27" s="460">
        <v>0</v>
      </c>
      <c r="Y27" s="460">
        <v>0</v>
      </c>
      <c r="Z27" s="460">
        <v>0</v>
      </c>
      <c r="AA27" s="460">
        <v>0</v>
      </c>
      <c r="AB27" s="460">
        <v>-2.1962636621570786</v>
      </c>
      <c r="AC27" s="460">
        <v>0</v>
      </c>
      <c r="AD27" s="460">
        <v>0</v>
      </c>
      <c r="AE27" s="460">
        <v>0</v>
      </c>
      <c r="AF27" s="460">
        <v>0</v>
      </c>
      <c r="AG27" s="460">
        <v>0</v>
      </c>
      <c r="AH27" s="460">
        <v>0</v>
      </c>
      <c r="AI27" s="460">
        <v>0</v>
      </c>
      <c r="AJ27" s="460">
        <v>0</v>
      </c>
      <c r="AK27" s="460">
        <v>0</v>
      </c>
      <c r="AL27" s="460">
        <v>0</v>
      </c>
      <c r="AM27" s="460">
        <v>0</v>
      </c>
      <c r="AN27" s="460">
        <v>6.5294325091156384</v>
      </c>
      <c r="AO27" s="460">
        <v>0</v>
      </c>
      <c r="AP27" s="460">
        <v>0</v>
      </c>
      <c r="AQ27" s="460">
        <v>0</v>
      </c>
      <c r="AR27" s="460">
        <v>0</v>
      </c>
      <c r="AS27" s="460">
        <v>0</v>
      </c>
      <c r="AT27" s="460">
        <v>0</v>
      </c>
      <c r="AU27" s="460">
        <v>0</v>
      </c>
      <c r="AV27" s="460">
        <v>0</v>
      </c>
      <c r="AW27" s="460">
        <v>0</v>
      </c>
      <c r="AX27" s="460">
        <v>0</v>
      </c>
      <c r="AY27" s="460">
        <v>0</v>
      </c>
      <c r="AZ27" s="460">
        <v>0</v>
      </c>
      <c r="BA27" s="460">
        <v>0</v>
      </c>
      <c r="BB27" s="460">
        <v>0</v>
      </c>
      <c r="BC27" s="460">
        <v>0</v>
      </c>
      <c r="BD27" s="460">
        <v>0</v>
      </c>
      <c r="BE27" s="460">
        <v>0</v>
      </c>
      <c r="BF27" s="460">
        <v>0</v>
      </c>
      <c r="BG27" s="460">
        <v>0</v>
      </c>
      <c r="BH27" s="460">
        <v>0</v>
      </c>
      <c r="BI27" s="460">
        <v>0</v>
      </c>
      <c r="BJ27" s="460">
        <v>0</v>
      </c>
      <c r="BK27" s="460">
        <v>0</v>
      </c>
      <c r="BL27" s="460">
        <v>0</v>
      </c>
      <c r="BM27" s="460">
        <v>0</v>
      </c>
      <c r="BN27" s="460">
        <v>0</v>
      </c>
      <c r="BO27" s="460">
        <v>0</v>
      </c>
      <c r="BP27" s="460">
        <v>0</v>
      </c>
      <c r="BQ27" s="460">
        <v>0</v>
      </c>
      <c r="BR27" s="460">
        <v>0</v>
      </c>
      <c r="BS27" s="460">
        <v>0</v>
      </c>
      <c r="BT27" s="460">
        <v>0</v>
      </c>
      <c r="BU27" s="460">
        <v>0</v>
      </c>
      <c r="BV27" s="460">
        <v>0</v>
      </c>
      <c r="BW27" s="460">
        <v>0</v>
      </c>
      <c r="BX27" s="460">
        <v>0</v>
      </c>
      <c r="BY27" s="460">
        <v>0</v>
      </c>
      <c r="BZ27" s="460">
        <v>0</v>
      </c>
      <c r="CA27" s="460" t="e">
        <v>#N/A</v>
      </c>
      <c r="CB27" s="460" t="e">
        <v>#N/A</v>
      </c>
      <c r="CC27" s="460" t="e">
        <v>#N/A</v>
      </c>
    </row>
    <row r="28" spans="1:81" ht="12.75" customHeight="1">
      <c r="A28" s="111">
        <v>23</v>
      </c>
      <c r="B28" s="458" t="str">
        <v>7M-19M</v>
      </c>
      <c r="C28" s="262">
        <f>'eur disaggregated'!AT39</f>
        <v>-48.197061631218503</v>
      </c>
      <c r="D28" s="111" t="str">
        <f t="shared" si="2"/>
        <v>12M</v>
      </c>
      <c r="E28" s="441">
        <f>BktEur1yPL!E28</f>
        <v>42908</v>
      </c>
      <c r="F28" s="441">
        <f>BktEur1yPL!F28</f>
        <v>43273</v>
      </c>
      <c r="G28" s="462">
        <f t="shared" si="1"/>
        <v>-5.0000000000000002E-5</v>
      </c>
      <c r="H28" s="453">
        <f>BktEur1yPL!H28</f>
        <v>-5.0000000000000001E-3</v>
      </c>
      <c r="I28" s="107" t="str">
        <v>17M</v>
      </c>
      <c r="J28" s="441" t="str">
        <f>IF(LEN(I28)&gt;0,IF((MID(I28,4,1)=" "),#REF!,IF((LEN(I28)=8),DATE("20" &amp; RIGHT(I28,2),MID(I28,4,2),LEFT(I28,2)),SimplifyTenor(I28))),"")</f>
        <v>17M</v>
      </c>
      <c r="K28" s="448">
        <f>_xll.qlCalendarAdvance("TARGET",SettlementDate,J28)</f>
        <v>43213</v>
      </c>
      <c r="L28" s="89"/>
      <c r="M28" s="99" t="str">
        <v>17M</v>
      </c>
      <c r="N28" s="465">
        <v>0</v>
      </c>
      <c r="P28" s="106" t="b">
        <f t="shared" si="0"/>
        <v>0</v>
      </c>
      <c r="Q28" s="460">
        <f t="array" ref="Q28:CC28">C28*ForwardToZero(OisBuckets,E28,F28,G28)</f>
        <v>0</v>
      </c>
      <c r="R28" s="460">
        <v>0</v>
      </c>
      <c r="S28" s="460">
        <v>0</v>
      </c>
      <c r="T28" s="460">
        <v>0</v>
      </c>
      <c r="U28" s="460">
        <v>0</v>
      </c>
      <c r="V28" s="460">
        <v>0</v>
      </c>
      <c r="W28" s="460">
        <v>0</v>
      </c>
      <c r="X28" s="460">
        <v>0</v>
      </c>
      <c r="Y28" s="460">
        <v>0</v>
      </c>
      <c r="Z28" s="460">
        <v>0</v>
      </c>
      <c r="AA28" s="460">
        <v>0</v>
      </c>
      <c r="AB28" s="460">
        <v>0</v>
      </c>
      <c r="AC28" s="460">
        <v>28.522096746145746</v>
      </c>
      <c r="AD28" s="460">
        <v>0</v>
      </c>
      <c r="AE28" s="460">
        <v>0</v>
      </c>
      <c r="AF28" s="460">
        <v>0</v>
      </c>
      <c r="AG28" s="460">
        <v>0</v>
      </c>
      <c r="AH28" s="460">
        <v>0</v>
      </c>
      <c r="AI28" s="460">
        <v>0</v>
      </c>
      <c r="AJ28" s="460">
        <v>0</v>
      </c>
      <c r="AK28" s="460">
        <v>0</v>
      </c>
      <c r="AL28" s="460">
        <v>0</v>
      </c>
      <c r="AM28" s="460">
        <v>0</v>
      </c>
      <c r="AN28" s="460">
        <v>0</v>
      </c>
      <c r="AO28" s="460">
        <v>-76.719158377364252</v>
      </c>
      <c r="AP28" s="460">
        <v>0</v>
      </c>
      <c r="AQ28" s="460">
        <v>0</v>
      </c>
      <c r="AR28" s="460">
        <v>0</v>
      </c>
      <c r="AS28" s="460">
        <v>0</v>
      </c>
      <c r="AT28" s="460">
        <v>0</v>
      </c>
      <c r="AU28" s="460">
        <v>0</v>
      </c>
      <c r="AV28" s="460">
        <v>0</v>
      </c>
      <c r="AW28" s="460">
        <v>0</v>
      </c>
      <c r="AX28" s="460">
        <v>0</v>
      </c>
      <c r="AY28" s="460">
        <v>0</v>
      </c>
      <c r="AZ28" s="460">
        <v>0</v>
      </c>
      <c r="BA28" s="460">
        <v>0</v>
      </c>
      <c r="BB28" s="460">
        <v>0</v>
      </c>
      <c r="BC28" s="460">
        <v>0</v>
      </c>
      <c r="BD28" s="460">
        <v>0</v>
      </c>
      <c r="BE28" s="460">
        <v>0</v>
      </c>
      <c r="BF28" s="460">
        <v>0</v>
      </c>
      <c r="BG28" s="460">
        <v>0</v>
      </c>
      <c r="BH28" s="460">
        <v>0</v>
      </c>
      <c r="BI28" s="460">
        <v>0</v>
      </c>
      <c r="BJ28" s="460">
        <v>0</v>
      </c>
      <c r="BK28" s="460">
        <v>0</v>
      </c>
      <c r="BL28" s="460">
        <v>0</v>
      </c>
      <c r="BM28" s="460">
        <v>0</v>
      </c>
      <c r="BN28" s="460">
        <v>0</v>
      </c>
      <c r="BO28" s="460">
        <v>0</v>
      </c>
      <c r="BP28" s="460">
        <v>0</v>
      </c>
      <c r="BQ28" s="460">
        <v>0</v>
      </c>
      <c r="BR28" s="460">
        <v>0</v>
      </c>
      <c r="BS28" s="460">
        <v>0</v>
      </c>
      <c r="BT28" s="460">
        <v>0</v>
      </c>
      <c r="BU28" s="460">
        <v>0</v>
      </c>
      <c r="BV28" s="460">
        <v>0</v>
      </c>
      <c r="BW28" s="460">
        <v>0</v>
      </c>
      <c r="BX28" s="460">
        <v>0</v>
      </c>
      <c r="BY28" s="460">
        <v>0</v>
      </c>
      <c r="BZ28" s="460">
        <v>0</v>
      </c>
      <c r="CA28" s="460" t="e">
        <v>#N/A</v>
      </c>
      <c r="CB28" s="460" t="e">
        <v>#N/A</v>
      </c>
      <c r="CC28" s="460" t="e">
        <v>#N/A</v>
      </c>
    </row>
    <row r="29" spans="1:81" ht="12.75" customHeight="1">
      <c r="A29" s="111">
        <v>24</v>
      </c>
      <c r="B29" s="458" t="str">
        <v>8M-20M</v>
      </c>
      <c r="C29" s="262">
        <f>'eur disaggregated'!AT40</f>
        <v>-9.1164252354211008</v>
      </c>
      <c r="D29" s="111" t="str">
        <f t="shared" si="2"/>
        <v>12M</v>
      </c>
      <c r="E29" s="441">
        <f>BktEur1yPL!E29</f>
        <v>42940</v>
      </c>
      <c r="F29" s="441">
        <f>BktEur1yPL!F29</f>
        <v>43304</v>
      </c>
      <c r="G29" s="462">
        <f t="shared" si="1"/>
        <v>7.0000000000000007E-5</v>
      </c>
      <c r="H29" s="453">
        <f>BktEur1yPL!H29</f>
        <v>7.0000000000000001E-3</v>
      </c>
      <c r="I29" s="107" t="str">
        <v>18M</v>
      </c>
      <c r="J29" s="441" t="str">
        <f>IF(LEN(I29)&gt;0,IF((MID(I29,4,1)=" "),#REF!,IF((LEN(I29)=8),DATE("20" &amp; RIGHT(I29,2),MID(I29,4,2),LEFT(I29,2)),SimplifyTenor(I29))),"")</f>
        <v>18M</v>
      </c>
      <c r="K29" s="448">
        <f>_xll.qlCalendarAdvance("TARGET",SettlementDate,J29)</f>
        <v>43242</v>
      </c>
      <c r="L29" s="89"/>
      <c r="M29" s="99" t="str">
        <v>18M</v>
      </c>
      <c r="N29" s="465">
        <v>6.5294325091156384</v>
      </c>
      <c r="P29" s="106" t="b">
        <f t="shared" si="0"/>
        <v>0</v>
      </c>
      <c r="Q29" s="460">
        <f t="array" ref="Q29:CC29">C29*ForwardToZero(OisBuckets,E29,F29,G29)</f>
        <v>0</v>
      </c>
      <c r="R29" s="460">
        <v>0</v>
      </c>
      <c r="S29" s="460">
        <v>0</v>
      </c>
      <c r="T29" s="460">
        <v>0</v>
      </c>
      <c r="U29" s="460">
        <v>0</v>
      </c>
      <c r="V29" s="460">
        <v>0</v>
      </c>
      <c r="W29" s="460">
        <v>0</v>
      </c>
      <c r="X29" s="460">
        <v>0</v>
      </c>
      <c r="Y29" s="460">
        <v>0</v>
      </c>
      <c r="Z29" s="460">
        <v>0</v>
      </c>
      <c r="AA29" s="460">
        <v>0</v>
      </c>
      <c r="AB29" s="460">
        <v>0</v>
      </c>
      <c r="AC29" s="460">
        <v>0</v>
      </c>
      <c r="AD29" s="460">
        <v>6.2111908197374524</v>
      </c>
      <c r="AE29" s="460">
        <v>0</v>
      </c>
      <c r="AF29" s="460">
        <v>0</v>
      </c>
      <c r="AG29" s="460">
        <v>0</v>
      </c>
      <c r="AH29" s="460">
        <v>0</v>
      </c>
      <c r="AI29" s="460">
        <v>0</v>
      </c>
      <c r="AJ29" s="460">
        <v>0</v>
      </c>
      <c r="AK29" s="460">
        <v>0</v>
      </c>
      <c r="AL29" s="460">
        <v>0</v>
      </c>
      <c r="AM29" s="460">
        <v>0</v>
      </c>
      <c r="AN29" s="460">
        <v>0</v>
      </c>
      <c r="AO29" s="460">
        <v>0</v>
      </c>
      <c r="AP29" s="460">
        <v>-15.327616055158554</v>
      </c>
      <c r="AQ29" s="460">
        <v>0</v>
      </c>
      <c r="AR29" s="460">
        <v>0</v>
      </c>
      <c r="AS29" s="460">
        <v>0</v>
      </c>
      <c r="AT29" s="460">
        <v>0</v>
      </c>
      <c r="AU29" s="460">
        <v>0</v>
      </c>
      <c r="AV29" s="460">
        <v>0</v>
      </c>
      <c r="AW29" s="460">
        <v>0</v>
      </c>
      <c r="AX29" s="460">
        <v>0</v>
      </c>
      <c r="AY29" s="460">
        <v>0</v>
      </c>
      <c r="AZ29" s="460">
        <v>0</v>
      </c>
      <c r="BA29" s="460">
        <v>0</v>
      </c>
      <c r="BB29" s="460">
        <v>0</v>
      </c>
      <c r="BC29" s="460">
        <v>0</v>
      </c>
      <c r="BD29" s="460">
        <v>0</v>
      </c>
      <c r="BE29" s="460">
        <v>0</v>
      </c>
      <c r="BF29" s="460">
        <v>0</v>
      </c>
      <c r="BG29" s="460">
        <v>0</v>
      </c>
      <c r="BH29" s="460">
        <v>0</v>
      </c>
      <c r="BI29" s="460">
        <v>0</v>
      </c>
      <c r="BJ29" s="460">
        <v>0</v>
      </c>
      <c r="BK29" s="460">
        <v>0</v>
      </c>
      <c r="BL29" s="460">
        <v>0</v>
      </c>
      <c r="BM29" s="460">
        <v>0</v>
      </c>
      <c r="BN29" s="460">
        <v>0</v>
      </c>
      <c r="BO29" s="460">
        <v>0</v>
      </c>
      <c r="BP29" s="460">
        <v>0</v>
      </c>
      <c r="BQ29" s="460">
        <v>0</v>
      </c>
      <c r="BR29" s="460">
        <v>0</v>
      </c>
      <c r="BS29" s="460">
        <v>0</v>
      </c>
      <c r="BT29" s="460">
        <v>0</v>
      </c>
      <c r="BU29" s="460">
        <v>0</v>
      </c>
      <c r="BV29" s="460">
        <v>0</v>
      </c>
      <c r="BW29" s="460">
        <v>0</v>
      </c>
      <c r="BX29" s="460">
        <v>0</v>
      </c>
      <c r="BY29" s="460">
        <v>0</v>
      </c>
      <c r="BZ29" s="460">
        <v>0</v>
      </c>
      <c r="CA29" s="460" t="e">
        <v>#N/A</v>
      </c>
      <c r="CB29" s="460" t="e">
        <v>#N/A</v>
      </c>
      <c r="CC29" s="460" t="e">
        <v>#N/A</v>
      </c>
    </row>
    <row r="30" spans="1:81" ht="12.75" customHeight="1">
      <c r="A30" s="111">
        <v>25</v>
      </c>
      <c r="B30" s="458" t="str">
        <v>9M-21M</v>
      </c>
      <c r="C30" s="262">
        <f>'eur disaggregated'!AT41</f>
        <v>-4.2460808840955</v>
      </c>
      <c r="D30" s="111" t="str">
        <f t="shared" si="2"/>
        <v>12M</v>
      </c>
      <c r="E30" s="441">
        <f>BktEur1yPL!E30</f>
        <v>42969</v>
      </c>
      <c r="F30" s="441">
        <f>BktEur1yPL!F30</f>
        <v>43334</v>
      </c>
      <c r="G30" s="462">
        <f t="shared" si="1"/>
        <v>1.7999999999999998E-4</v>
      </c>
      <c r="H30" s="453">
        <f>BktEur1yPL!H30</f>
        <v>1.7999999999999999E-2</v>
      </c>
      <c r="I30" s="107" t="str">
        <v>19M</v>
      </c>
      <c r="J30" s="441" t="str">
        <f>IF(LEN(I30)&gt;0,IF((MID(I30,4,1)=" "),#REF!,IF((LEN(I30)=8),DATE("20" &amp; RIGHT(I30,2),MID(I30,4,2),LEFT(I30,2)),SimplifyTenor(I30))),"")</f>
        <v>19M</v>
      </c>
      <c r="K30" s="448">
        <f>_xll.qlCalendarAdvance("TARGET",SettlementDate,J30)</f>
        <v>43273</v>
      </c>
      <c r="L30" s="89"/>
      <c r="M30" s="99" t="str">
        <v>19M</v>
      </c>
      <c r="N30" s="465">
        <v>-76.719158377364252</v>
      </c>
      <c r="P30" s="106" t="b">
        <f t="shared" si="0"/>
        <v>0</v>
      </c>
      <c r="Q30" s="460">
        <f t="array" ref="Q30:CC30">C30*ForwardToZero(OisBuckets,E30,F30,G30)</f>
        <v>0</v>
      </c>
      <c r="R30" s="460">
        <v>0</v>
      </c>
      <c r="S30" s="460">
        <v>0</v>
      </c>
      <c r="T30" s="460">
        <v>0</v>
      </c>
      <c r="U30" s="460">
        <v>0</v>
      </c>
      <c r="V30" s="460">
        <v>0</v>
      </c>
      <c r="W30" s="460">
        <v>0</v>
      </c>
      <c r="X30" s="460">
        <v>0</v>
      </c>
      <c r="Y30" s="460">
        <v>0</v>
      </c>
      <c r="Z30" s="460">
        <v>0</v>
      </c>
      <c r="AA30" s="460">
        <v>0</v>
      </c>
      <c r="AB30" s="460">
        <v>0</v>
      </c>
      <c r="AC30" s="460">
        <v>0</v>
      </c>
      <c r="AD30" s="460">
        <v>0</v>
      </c>
      <c r="AE30" s="460">
        <v>3.2223682325875433</v>
      </c>
      <c r="AF30" s="460">
        <v>0</v>
      </c>
      <c r="AG30" s="460">
        <v>0</v>
      </c>
      <c r="AH30" s="460">
        <v>0</v>
      </c>
      <c r="AI30" s="460">
        <v>0</v>
      </c>
      <c r="AJ30" s="460">
        <v>0</v>
      </c>
      <c r="AK30" s="460">
        <v>0</v>
      </c>
      <c r="AL30" s="460">
        <v>0</v>
      </c>
      <c r="AM30" s="460">
        <v>0</v>
      </c>
      <c r="AN30" s="460">
        <v>0</v>
      </c>
      <c r="AO30" s="460">
        <v>0</v>
      </c>
      <c r="AP30" s="460">
        <v>0</v>
      </c>
      <c r="AQ30" s="460">
        <v>-7.4684491166830433</v>
      </c>
      <c r="AR30" s="460">
        <v>0</v>
      </c>
      <c r="AS30" s="460">
        <v>0</v>
      </c>
      <c r="AT30" s="460">
        <v>0</v>
      </c>
      <c r="AU30" s="460">
        <v>0</v>
      </c>
      <c r="AV30" s="460">
        <v>0</v>
      </c>
      <c r="AW30" s="460">
        <v>0</v>
      </c>
      <c r="AX30" s="460">
        <v>0</v>
      </c>
      <c r="AY30" s="460">
        <v>0</v>
      </c>
      <c r="AZ30" s="460">
        <v>0</v>
      </c>
      <c r="BA30" s="460">
        <v>0</v>
      </c>
      <c r="BB30" s="460">
        <v>0</v>
      </c>
      <c r="BC30" s="460">
        <v>0</v>
      </c>
      <c r="BD30" s="460">
        <v>0</v>
      </c>
      <c r="BE30" s="460">
        <v>0</v>
      </c>
      <c r="BF30" s="460">
        <v>0</v>
      </c>
      <c r="BG30" s="460">
        <v>0</v>
      </c>
      <c r="BH30" s="460">
        <v>0</v>
      </c>
      <c r="BI30" s="460">
        <v>0</v>
      </c>
      <c r="BJ30" s="460">
        <v>0</v>
      </c>
      <c r="BK30" s="460">
        <v>0</v>
      </c>
      <c r="BL30" s="460">
        <v>0</v>
      </c>
      <c r="BM30" s="460">
        <v>0</v>
      </c>
      <c r="BN30" s="460">
        <v>0</v>
      </c>
      <c r="BO30" s="460">
        <v>0</v>
      </c>
      <c r="BP30" s="460">
        <v>0</v>
      </c>
      <c r="BQ30" s="460">
        <v>0</v>
      </c>
      <c r="BR30" s="460">
        <v>0</v>
      </c>
      <c r="BS30" s="460">
        <v>0</v>
      </c>
      <c r="BT30" s="460">
        <v>0</v>
      </c>
      <c r="BU30" s="460">
        <v>0</v>
      </c>
      <c r="BV30" s="460">
        <v>0</v>
      </c>
      <c r="BW30" s="460">
        <v>0</v>
      </c>
      <c r="BX30" s="460">
        <v>0</v>
      </c>
      <c r="BY30" s="460">
        <v>0</v>
      </c>
      <c r="BZ30" s="460">
        <v>0</v>
      </c>
      <c r="CA30" s="460" t="e">
        <v>#N/A</v>
      </c>
      <c r="CB30" s="460" t="e">
        <v>#N/A</v>
      </c>
      <c r="CC30" s="460" t="e">
        <v>#N/A</v>
      </c>
    </row>
    <row r="31" spans="1:81" ht="12.75" customHeight="1">
      <c r="A31" s="105">
        <v>26</v>
      </c>
      <c r="B31" s="458" t="str">
        <v>10M-22M</v>
      </c>
      <c r="C31" s="262">
        <f>'eur disaggregated'!AT42</f>
        <v>-0.31963319745205498</v>
      </c>
      <c r="D31" s="111" t="str">
        <f t="shared" si="2"/>
        <v>12M</v>
      </c>
      <c r="E31" s="441">
        <f>BktEur1yPL!E31</f>
        <v>43000</v>
      </c>
      <c r="F31" s="441">
        <f>BktEur1yPL!F31</f>
        <v>43367</v>
      </c>
      <c r="G31" s="462">
        <f t="shared" si="1"/>
        <v>2.9999999999999997E-4</v>
      </c>
      <c r="H31" s="453">
        <f>BktEur1yPL!H31</f>
        <v>0.03</v>
      </c>
      <c r="I31" s="107" t="str">
        <v>20M</v>
      </c>
      <c r="J31" s="106" t="str">
        <f>IF(LEN(I31)&gt;0,IF((MID(I31,4,1)=" "),#REF!,IF((LEN(I31)=8),DATE("20" &amp; RIGHT(I31,2),MID(I31,4,2),LEFT(I31,2)),SimplifyTenor(I31))),"")</f>
        <v>20M</v>
      </c>
      <c r="K31" s="448">
        <f>_xll.qlCalendarAdvance("TARGET",SettlementDate,J31)</f>
        <v>43304</v>
      </c>
      <c r="M31" s="99" t="str">
        <v>20M</v>
      </c>
      <c r="N31" s="465">
        <v>-15.327616055158554</v>
      </c>
      <c r="P31" s="106" t="b">
        <f t="shared" si="0"/>
        <v>0</v>
      </c>
      <c r="Q31" s="460">
        <f t="array" ref="Q31:CC31">C31*ForwardToZero(OisBuckets,E31,F31,G31)</f>
        <v>0</v>
      </c>
      <c r="R31" s="460">
        <v>0</v>
      </c>
      <c r="S31" s="460">
        <v>0</v>
      </c>
      <c r="T31" s="460">
        <v>0</v>
      </c>
      <c r="U31" s="460">
        <v>0</v>
      </c>
      <c r="V31" s="460">
        <v>0</v>
      </c>
      <c r="W31" s="460">
        <v>0</v>
      </c>
      <c r="X31" s="460">
        <v>0</v>
      </c>
      <c r="Y31" s="460">
        <v>0</v>
      </c>
      <c r="Z31" s="460">
        <v>0</v>
      </c>
      <c r="AA31" s="460">
        <v>0</v>
      </c>
      <c r="AB31" s="460">
        <v>0</v>
      </c>
      <c r="AC31" s="460">
        <v>0</v>
      </c>
      <c r="AD31" s="460">
        <v>0</v>
      </c>
      <c r="AE31" s="460">
        <v>0</v>
      </c>
      <c r="AF31" s="460">
        <v>0.26824802401970821</v>
      </c>
      <c r="AG31" s="460">
        <v>0</v>
      </c>
      <c r="AH31" s="460">
        <v>0</v>
      </c>
      <c r="AI31" s="460">
        <v>0</v>
      </c>
      <c r="AJ31" s="460">
        <v>0</v>
      </c>
      <c r="AK31" s="460">
        <v>0</v>
      </c>
      <c r="AL31" s="460">
        <v>0</v>
      </c>
      <c r="AM31" s="460">
        <v>0</v>
      </c>
      <c r="AN31" s="460">
        <v>0</v>
      </c>
      <c r="AO31" s="460">
        <v>0</v>
      </c>
      <c r="AP31" s="460">
        <v>0</v>
      </c>
      <c r="AQ31" s="460">
        <v>0</v>
      </c>
      <c r="AR31" s="460">
        <v>-0.58788122147176325</v>
      </c>
      <c r="AS31" s="460">
        <v>0</v>
      </c>
      <c r="AT31" s="460">
        <v>0</v>
      </c>
      <c r="AU31" s="460">
        <v>0</v>
      </c>
      <c r="AV31" s="460">
        <v>0</v>
      </c>
      <c r="AW31" s="460">
        <v>0</v>
      </c>
      <c r="AX31" s="460">
        <v>0</v>
      </c>
      <c r="AY31" s="460">
        <v>0</v>
      </c>
      <c r="AZ31" s="460">
        <v>0</v>
      </c>
      <c r="BA31" s="460">
        <v>0</v>
      </c>
      <c r="BB31" s="460">
        <v>0</v>
      </c>
      <c r="BC31" s="460">
        <v>0</v>
      </c>
      <c r="BD31" s="460">
        <v>0</v>
      </c>
      <c r="BE31" s="460">
        <v>0</v>
      </c>
      <c r="BF31" s="460">
        <v>0</v>
      </c>
      <c r="BG31" s="460">
        <v>0</v>
      </c>
      <c r="BH31" s="460">
        <v>0</v>
      </c>
      <c r="BI31" s="460">
        <v>0</v>
      </c>
      <c r="BJ31" s="460">
        <v>0</v>
      </c>
      <c r="BK31" s="460">
        <v>0</v>
      </c>
      <c r="BL31" s="460">
        <v>0</v>
      </c>
      <c r="BM31" s="460">
        <v>0</v>
      </c>
      <c r="BN31" s="460">
        <v>0</v>
      </c>
      <c r="BO31" s="460">
        <v>0</v>
      </c>
      <c r="BP31" s="460">
        <v>0</v>
      </c>
      <c r="BQ31" s="460">
        <v>0</v>
      </c>
      <c r="BR31" s="460">
        <v>0</v>
      </c>
      <c r="BS31" s="460">
        <v>0</v>
      </c>
      <c r="BT31" s="460">
        <v>0</v>
      </c>
      <c r="BU31" s="460">
        <v>0</v>
      </c>
      <c r="BV31" s="460">
        <v>0</v>
      </c>
      <c r="BW31" s="460">
        <v>0</v>
      </c>
      <c r="BX31" s="460">
        <v>0</v>
      </c>
      <c r="BY31" s="460">
        <v>0</v>
      </c>
      <c r="BZ31" s="460">
        <v>0</v>
      </c>
      <c r="CA31" s="460" t="e">
        <v>#N/A</v>
      </c>
      <c r="CB31" s="460" t="e">
        <v>#N/A</v>
      </c>
      <c r="CC31" s="460" t="e">
        <v>#N/A</v>
      </c>
    </row>
    <row r="32" spans="1:81" ht="12.75" customHeight="1">
      <c r="A32" s="105">
        <v>27</v>
      </c>
      <c r="B32" s="458" t="str">
        <v>11M-23M</v>
      </c>
      <c r="C32" s="262">
        <f>'eur disaggregated'!AT43</f>
        <v>-469.03218501510997</v>
      </c>
      <c r="D32" s="111" t="str">
        <f t="shared" si="2"/>
        <v>12M</v>
      </c>
      <c r="E32" s="441">
        <f>BktEur1yPL!E32</f>
        <v>43031</v>
      </c>
      <c r="F32" s="441">
        <f>BktEur1yPL!F32</f>
        <v>43395</v>
      </c>
      <c r="G32" s="462">
        <f t="shared" si="1"/>
        <v>4.3999999999999996E-4</v>
      </c>
      <c r="H32" s="453">
        <f>BktEur1yPL!H32</f>
        <v>4.3999999999999997E-2</v>
      </c>
      <c r="I32" s="107" t="str">
        <v>21M</v>
      </c>
      <c r="J32" s="106" t="str">
        <f>IF(LEN(I32)&gt;0,IF((MID(I32,4,1)=" "),#REF!,IF((LEN(I32)=8),DATE("20" &amp; RIGHT(I32,2),MID(I32,4,2),LEFT(I32,2)),SimplifyTenor(I32))),"")</f>
        <v>21M</v>
      </c>
      <c r="K32" s="448">
        <f>_xll.qlCalendarAdvance("TARGET",SettlementDate,J32)</f>
        <v>43334</v>
      </c>
      <c r="M32" s="99" t="str">
        <v>21M</v>
      </c>
      <c r="N32" s="465">
        <v>-7.4684491166830433</v>
      </c>
      <c r="P32" s="106" t="b">
        <f t="shared" si="0"/>
        <v>0</v>
      </c>
      <c r="Q32" s="460">
        <f t="array" ref="Q32:CC32">C32*ForwardToZero(OisBuckets,E32,F32,G32)</f>
        <v>0</v>
      </c>
      <c r="R32" s="460">
        <v>0</v>
      </c>
      <c r="S32" s="460">
        <v>0</v>
      </c>
      <c r="T32" s="460">
        <v>0</v>
      </c>
      <c r="U32" s="460">
        <v>0</v>
      </c>
      <c r="V32" s="460">
        <v>0</v>
      </c>
      <c r="W32" s="460">
        <v>0</v>
      </c>
      <c r="X32" s="460">
        <v>0</v>
      </c>
      <c r="Y32" s="460">
        <v>0</v>
      </c>
      <c r="Z32" s="460">
        <v>0</v>
      </c>
      <c r="AA32" s="460">
        <v>0</v>
      </c>
      <c r="AB32" s="460">
        <v>0</v>
      </c>
      <c r="AC32" s="460">
        <v>0</v>
      </c>
      <c r="AD32" s="460">
        <v>0</v>
      </c>
      <c r="AE32" s="460">
        <v>0</v>
      </c>
      <c r="AF32" s="460">
        <v>0</v>
      </c>
      <c r="AG32" s="460">
        <v>436.81843604429207</v>
      </c>
      <c r="AH32" s="460">
        <v>0</v>
      </c>
      <c r="AI32" s="460">
        <v>0</v>
      </c>
      <c r="AJ32" s="460">
        <v>0</v>
      </c>
      <c r="AK32" s="460">
        <v>0</v>
      </c>
      <c r="AL32" s="460">
        <v>0</v>
      </c>
      <c r="AM32" s="460">
        <v>0</v>
      </c>
      <c r="AN32" s="460">
        <v>0</v>
      </c>
      <c r="AO32" s="460">
        <v>0</v>
      </c>
      <c r="AP32" s="460">
        <v>0</v>
      </c>
      <c r="AQ32" s="460">
        <v>0</v>
      </c>
      <c r="AR32" s="460">
        <v>0</v>
      </c>
      <c r="AS32" s="460">
        <v>-905.85062105940199</v>
      </c>
      <c r="AT32" s="460">
        <v>0</v>
      </c>
      <c r="AU32" s="460">
        <v>0</v>
      </c>
      <c r="AV32" s="460">
        <v>0</v>
      </c>
      <c r="AW32" s="460">
        <v>0</v>
      </c>
      <c r="AX32" s="460">
        <v>0</v>
      </c>
      <c r="AY32" s="460">
        <v>0</v>
      </c>
      <c r="AZ32" s="460">
        <v>0</v>
      </c>
      <c r="BA32" s="460">
        <v>0</v>
      </c>
      <c r="BB32" s="460">
        <v>0</v>
      </c>
      <c r="BC32" s="460">
        <v>0</v>
      </c>
      <c r="BD32" s="460">
        <v>0</v>
      </c>
      <c r="BE32" s="460">
        <v>0</v>
      </c>
      <c r="BF32" s="460">
        <v>0</v>
      </c>
      <c r="BG32" s="460">
        <v>0</v>
      </c>
      <c r="BH32" s="460">
        <v>0</v>
      </c>
      <c r="BI32" s="460">
        <v>0</v>
      </c>
      <c r="BJ32" s="460">
        <v>0</v>
      </c>
      <c r="BK32" s="460">
        <v>0</v>
      </c>
      <c r="BL32" s="460">
        <v>0</v>
      </c>
      <c r="BM32" s="460">
        <v>0</v>
      </c>
      <c r="BN32" s="460">
        <v>0</v>
      </c>
      <c r="BO32" s="460">
        <v>0</v>
      </c>
      <c r="BP32" s="460">
        <v>0</v>
      </c>
      <c r="BQ32" s="460">
        <v>0</v>
      </c>
      <c r="BR32" s="460">
        <v>0</v>
      </c>
      <c r="BS32" s="460">
        <v>0</v>
      </c>
      <c r="BT32" s="460">
        <v>0</v>
      </c>
      <c r="BU32" s="460">
        <v>0</v>
      </c>
      <c r="BV32" s="460">
        <v>0</v>
      </c>
      <c r="BW32" s="460">
        <v>0</v>
      </c>
      <c r="BX32" s="460">
        <v>0</v>
      </c>
      <c r="BY32" s="460">
        <v>0</v>
      </c>
      <c r="BZ32" s="460">
        <v>0</v>
      </c>
      <c r="CA32" s="460" t="e">
        <v>#N/A</v>
      </c>
      <c r="CB32" s="460" t="e">
        <v>#N/A</v>
      </c>
      <c r="CC32" s="460" t="e">
        <v>#N/A</v>
      </c>
    </row>
    <row r="33" spans="1:81" ht="12.75" customHeight="1">
      <c r="A33" s="105">
        <v>28</v>
      </c>
      <c r="B33" s="458" t="str">
        <v>12M-24M</v>
      </c>
      <c r="C33" s="262">
        <f>'eur disaggregated'!AT44</f>
        <v>619.69412398505597</v>
      </c>
      <c r="D33" s="111" t="str">
        <f t="shared" si="2"/>
        <v>12M</v>
      </c>
      <c r="E33" s="441">
        <f>BktEur1yPL!E33</f>
        <v>43061</v>
      </c>
      <c r="F33" s="441">
        <f>BktEur1yPL!F33</f>
        <v>43426</v>
      </c>
      <c r="G33" s="462">
        <f t="shared" si="1"/>
        <v>5.6999999999999998E-4</v>
      </c>
      <c r="H33" s="453">
        <f>BktEur1yPL!H33</f>
        <v>5.7000000000000002E-2</v>
      </c>
      <c r="I33" s="107" t="str">
        <v>22M</v>
      </c>
      <c r="J33" s="106" t="str">
        <f>IF(LEN(I33)&gt;0,IF((MID(I33,4,1)=" "),#REF!,IF((LEN(I33)=8),DATE("20" &amp; RIGHT(I33,2),MID(I33,4,2),LEFT(I33,2)),SimplifyTenor(I33))),"")</f>
        <v>22M</v>
      </c>
      <c r="K33" s="448">
        <f>_xll.qlCalendarAdvance("TARGET",SettlementDate,J33)</f>
        <v>43367</v>
      </c>
      <c r="M33" s="99" t="str">
        <v>22M</v>
      </c>
      <c r="N33" s="465">
        <v>-0.58788122147176325</v>
      </c>
      <c r="P33" s="106" t="b">
        <f t="shared" si="0"/>
        <v>0</v>
      </c>
      <c r="Q33" s="460">
        <f t="array" ref="Q33:CC33">C33*ForwardToZero(OisBuckets,E33,F33,G33)</f>
        <v>0</v>
      </c>
      <c r="R33" s="460">
        <v>0</v>
      </c>
      <c r="S33" s="460">
        <v>0</v>
      </c>
      <c r="T33" s="460">
        <v>0</v>
      </c>
      <c r="U33" s="460">
        <v>0</v>
      </c>
      <c r="V33" s="460">
        <v>0</v>
      </c>
      <c r="W33" s="460">
        <v>0</v>
      </c>
      <c r="X33" s="460">
        <v>0</v>
      </c>
      <c r="Y33" s="460">
        <v>0</v>
      </c>
      <c r="Z33" s="460">
        <v>0</v>
      </c>
      <c r="AA33" s="460">
        <v>0</v>
      </c>
      <c r="AB33" s="460">
        <v>0</v>
      </c>
      <c r="AC33" s="460">
        <v>0</v>
      </c>
      <c r="AD33" s="460">
        <v>0</v>
      </c>
      <c r="AE33" s="460">
        <v>0</v>
      </c>
      <c r="AF33" s="460">
        <v>0</v>
      </c>
      <c r="AG33" s="460">
        <v>0</v>
      </c>
      <c r="AH33" s="460">
        <v>-626.48529246708392</v>
      </c>
      <c r="AI33" s="460">
        <v>0</v>
      </c>
      <c r="AJ33" s="460">
        <v>0</v>
      </c>
      <c r="AK33" s="460">
        <v>0</v>
      </c>
      <c r="AL33" s="460">
        <v>0</v>
      </c>
      <c r="AM33" s="460">
        <v>0</v>
      </c>
      <c r="AN33" s="460">
        <v>0</v>
      </c>
      <c r="AO33" s="460">
        <v>0</v>
      </c>
      <c r="AP33" s="460">
        <v>0</v>
      </c>
      <c r="AQ33" s="460">
        <v>0</v>
      </c>
      <c r="AR33" s="460">
        <v>0</v>
      </c>
      <c r="AS33" s="460">
        <v>0</v>
      </c>
      <c r="AT33" s="460">
        <v>1246.17941645214</v>
      </c>
      <c r="AU33" s="460">
        <v>0</v>
      </c>
      <c r="AV33" s="460">
        <v>0</v>
      </c>
      <c r="AW33" s="460">
        <v>0</v>
      </c>
      <c r="AX33" s="460">
        <v>0</v>
      </c>
      <c r="AY33" s="460">
        <v>0</v>
      </c>
      <c r="AZ33" s="460">
        <v>0</v>
      </c>
      <c r="BA33" s="460">
        <v>0</v>
      </c>
      <c r="BB33" s="460">
        <v>0</v>
      </c>
      <c r="BC33" s="460">
        <v>0</v>
      </c>
      <c r="BD33" s="460">
        <v>0</v>
      </c>
      <c r="BE33" s="460">
        <v>0</v>
      </c>
      <c r="BF33" s="460">
        <v>0</v>
      </c>
      <c r="BG33" s="460">
        <v>0</v>
      </c>
      <c r="BH33" s="460">
        <v>0</v>
      </c>
      <c r="BI33" s="460">
        <v>0</v>
      </c>
      <c r="BJ33" s="460">
        <v>0</v>
      </c>
      <c r="BK33" s="460">
        <v>0</v>
      </c>
      <c r="BL33" s="460">
        <v>0</v>
      </c>
      <c r="BM33" s="460">
        <v>0</v>
      </c>
      <c r="BN33" s="460">
        <v>0</v>
      </c>
      <c r="BO33" s="460">
        <v>0</v>
      </c>
      <c r="BP33" s="460">
        <v>0</v>
      </c>
      <c r="BQ33" s="460">
        <v>0</v>
      </c>
      <c r="BR33" s="460">
        <v>0</v>
      </c>
      <c r="BS33" s="460">
        <v>0</v>
      </c>
      <c r="BT33" s="460">
        <v>0</v>
      </c>
      <c r="BU33" s="460">
        <v>0</v>
      </c>
      <c r="BV33" s="460">
        <v>0</v>
      </c>
      <c r="BW33" s="460">
        <v>0</v>
      </c>
      <c r="BX33" s="460">
        <v>0</v>
      </c>
      <c r="BY33" s="460">
        <v>0</v>
      </c>
      <c r="BZ33" s="460">
        <v>0</v>
      </c>
      <c r="CA33" s="460" t="e">
        <v>#N/A</v>
      </c>
      <c r="CB33" s="460" t="e">
        <v>#N/A</v>
      </c>
      <c r="CC33" s="460" t="e">
        <v>#N/A</v>
      </c>
    </row>
    <row r="34" spans="1:81" ht="12.75" customHeight="1">
      <c r="A34" s="105">
        <v>29</v>
      </c>
      <c r="B34" s="458" t="str">
        <v>3Y</v>
      </c>
      <c r="C34" s="262">
        <f>'eur disaggregated'!AT45</f>
        <v>539.814957009826</v>
      </c>
      <c r="D34" s="111" t="str">
        <f t="shared" si="2"/>
        <v>36M</v>
      </c>
      <c r="E34" s="441">
        <f>BktEur1yPL!E34</f>
        <v>42696</v>
      </c>
      <c r="F34" s="441">
        <f>BktEur1yPL!F34</f>
        <v>43791</v>
      </c>
      <c r="G34" s="462">
        <f t="shared" si="1"/>
        <v>6.9000000000000008E-4</v>
      </c>
      <c r="H34" s="453">
        <f>BktEur1yPL!H34</f>
        <v>6.9000000000000006E-2</v>
      </c>
      <c r="I34" s="107" t="str">
        <v>23M</v>
      </c>
      <c r="J34" s="106" t="str">
        <f>IF(LEN(I34)&gt;0,IF((MID(I34,4,1)=" "),#REF!,IF((LEN(I34)=8),DATE("20" &amp; RIGHT(I34,2),MID(I34,4,2),LEFT(I34,2)),SimplifyTenor(I34))),"")</f>
        <v>23M</v>
      </c>
      <c r="K34" s="448">
        <f>_xll.qlCalendarAdvance("TARGET",SettlementDate,J34)</f>
        <v>43395</v>
      </c>
      <c r="M34" s="99" t="str">
        <v>23M</v>
      </c>
      <c r="N34" s="465">
        <v>-905.85062105940199</v>
      </c>
      <c r="P34" s="106" t="b">
        <f t="shared" si="0"/>
        <v>0</v>
      </c>
      <c r="Q34" s="460">
        <f t="array" ref="Q34:CC34">C34*ForwardToZero(OisBuckets,E34,F34,G34)</f>
        <v>0</v>
      </c>
      <c r="R34" s="460">
        <v>0</v>
      </c>
      <c r="S34" s="460">
        <v>0</v>
      </c>
      <c r="T34" s="460">
        <v>0</v>
      </c>
      <c r="U34" s="460">
        <v>0</v>
      </c>
      <c r="V34" s="460">
        <v>0</v>
      </c>
      <c r="W34" s="460">
        <v>0</v>
      </c>
      <c r="X34" s="460">
        <v>0</v>
      </c>
      <c r="Y34" s="460">
        <v>0</v>
      </c>
      <c r="Z34" s="460">
        <v>0</v>
      </c>
      <c r="AA34" s="460">
        <v>0</v>
      </c>
      <c r="AB34" s="460">
        <v>0</v>
      </c>
      <c r="AC34" s="460">
        <v>0</v>
      </c>
      <c r="AD34" s="460">
        <v>0</v>
      </c>
      <c r="AE34" s="460">
        <v>0</v>
      </c>
      <c r="AF34" s="460">
        <v>0</v>
      </c>
      <c r="AG34" s="460">
        <v>0</v>
      </c>
      <c r="AH34" s="460">
        <v>0</v>
      </c>
      <c r="AI34" s="460">
        <v>0</v>
      </c>
      <c r="AJ34" s="460">
        <v>0</v>
      </c>
      <c r="AK34" s="460">
        <v>0</v>
      </c>
      <c r="AL34" s="460">
        <v>0</v>
      </c>
      <c r="AM34" s="460">
        <v>0</v>
      </c>
      <c r="AN34" s="460">
        <v>0</v>
      </c>
      <c r="AO34" s="460">
        <v>0</v>
      </c>
      <c r="AP34" s="460">
        <v>0</v>
      </c>
      <c r="AQ34" s="460">
        <v>0</v>
      </c>
      <c r="AR34" s="460">
        <v>0</v>
      </c>
      <c r="AS34" s="460">
        <v>0</v>
      </c>
      <c r="AT34" s="460">
        <v>0</v>
      </c>
      <c r="AU34" s="460">
        <v>539.814957009826</v>
      </c>
      <c r="AV34" s="460">
        <v>0</v>
      </c>
      <c r="AW34" s="460">
        <v>0</v>
      </c>
      <c r="AX34" s="460">
        <v>0</v>
      </c>
      <c r="AY34" s="460">
        <v>0</v>
      </c>
      <c r="AZ34" s="460">
        <v>0</v>
      </c>
      <c r="BA34" s="460">
        <v>0</v>
      </c>
      <c r="BB34" s="460">
        <v>0</v>
      </c>
      <c r="BC34" s="460">
        <v>0</v>
      </c>
      <c r="BD34" s="460">
        <v>0</v>
      </c>
      <c r="BE34" s="460">
        <v>0</v>
      </c>
      <c r="BF34" s="460">
        <v>0</v>
      </c>
      <c r="BG34" s="460">
        <v>0</v>
      </c>
      <c r="BH34" s="460">
        <v>0</v>
      </c>
      <c r="BI34" s="460">
        <v>0</v>
      </c>
      <c r="BJ34" s="460">
        <v>0</v>
      </c>
      <c r="BK34" s="460">
        <v>0</v>
      </c>
      <c r="BL34" s="460">
        <v>0</v>
      </c>
      <c r="BM34" s="460">
        <v>0</v>
      </c>
      <c r="BN34" s="460">
        <v>0</v>
      </c>
      <c r="BO34" s="460">
        <v>0</v>
      </c>
      <c r="BP34" s="460">
        <v>0</v>
      </c>
      <c r="BQ34" s="460">
        <v>0</v>
      </c>
      <c r="BR34" s="460">
        <v>0</v>
      </c>
      <c r="BS34" s="460">
        <v>0</v>
      </c>
      <c r="BT34" s="460">
        <v>0</v>
      </c>
      <c r="BU34" s="460">
        <v>0</v>
      </c>
      <c r="BV34" s="460">
        <v>0</v>
      </c>
      <c r="BW34" s="460">
        <v>0</v>
      </c>
      <c r="BX34" s="460">
        <v>0</v>
      </c>
      <c r="BY34" s="460">
        <v>0</v>
      </c>
      <c r="BZ34" s="460">
        <v>0</v>
      </c>
      <c r="CA34" s="460" t="e">
        <v>#N/A</v>
      </c>
      <c r="CB34" s="460" t="e">
        <v>#N/A</v>
      </c>
      <c r="CC34" s="460" t="e">
        <v>#N/A</v>
      </c>
    </row>
    <row r="35" spans="1:81" ht="12.75" customHeight="1">
      <c r="A35" s="105">
        <v>30</v>
      </c>
      <c r="B35" s="458" t="str">
        <v>4Y</v>
      </c>
      <c r="C35" s="262">
        <f>'eur disaggregated'!AT46</f>
        <v>-499.627648172308</v>
      </c>
      <c r="D35" s="111" t="str">
        <f t="shared" si="2"/>
        <v>48M</v>
      </c>
      <c r="E35" s="441">
        <f>BktEur1yPL!E35</f>
        <v>42696</v>
      </c>
      <c r="F35" s="441">
        <f>BktEur1yPL!F35</f>
        <v>44158</v>
      </c>
      <c r="G35" s="462">
        <f t="shared" si="1"/>
        <v>1.6100000000000001E-3</v>
      </c>
      <c r="H35" s="453">
        <f>BktEur1yPL!H35</f>
        <v>0.161</v>
      </c>
      <c r="I35" s="107" t="str">
        <v>2Y</v>
      </c>
      <c r="J35" s="106" t="str">
        <f>IF(LEN(I35)&gt;0,IF((MID(I35,4,1)=" "),#REF!,IF((LEN(I35)=8),DATE("20" &amp; RIGHT(I35,2),MID(I35,4,2),LEFT(I35,2)),SimplifyTenor(I35))),"")</f>
        <v>24M</v>
      </c>
      <c r="K35" s="448">
        <f>_xll.qlCalendarAdvance("TARGET",SettlementDate,J35)</f>
        <v>43426</v>
      </c>
      <c r="M35" s="99" t="str">
        <v>2Y</v>
      </c>
      <c r="N35" s="465">
        <v>1246.17941645214</v>
      </c>
      <c r="P35" s="106" t="b">
        <f t="shared" si="0"/>
        <v>0</v>
      </c>
      <c r="Q35" s="460">
        <f t="array" ref="Q35:CC35">C35*ForwardToZero(OisBuckets,E35,F35,G35)</f>
        <v>0</v>
      </c>
      <c r="R35" s="460">
        <v>0</v>
      </c>
      <c r="S35" s="460">
        <v>0</v>
      </c>
      <c r="T35" s="460">
        <v>0</v>
      </c>
      <c r="U35" s="460">
        <v>0</v>
      </c>
      <c r="V35" s="460">
        <v>0</v>
      </c>
      <c r="W35" s="460">
        <v>0</v>
      </c>
      <c r="X35" s="460">
        <v>0</v>
      </c>
      <c r="Y35" s="460">
        <v>0</v>
      </c>
      <c r="Z35" s="460">
        <v>0</v>
      </c>
      <c r="AA35" s="460">
        <v>0</v>
      </c>
      <c r="AB35" s="460">
        <v>0</v>
      </c>
      <c r="AC35" s="460">
        <v>0</v>
      </c>
      <c r="AD35" s="460">
        <v>0</v>
      </c>
      <c r="AE35" s="460">
        <v>0</v>
      </c>
      <c r="AF35" s="460">
        <v>0</v>
      </c>
      <c r="AG35" s="460">
        <v>0</v>
      </c>
      <c r="AH35" s="460">
        <v>0</v>
      </c>
      <c r="AI35" s="460">
        <v>0</v>
      </c>
      <c r="AJ35" s="460">
        <v>0</v>
      </c>
      <c r="AK35" s="460">
        <v>0</v>
      </c>
      <c r="AL35" s="460">
        <v>0</v>
      </c>
      <c r="AM35" s="460">
        <v>0</v>
      </c>
      <c r="AN35" s="460">
        <v>0</v>
      </c>
      <c r="AO35" s="460">
        <v>0</v>
      </c>
      <c r="AP35" s="460">
        <v>0</v>
      </c>
      <c r="AQ35" s="460">
        <v>0</v>
      </c>
      <c r="AR35" s="460">
        <v>0</v>
      </c>
      <c r="AS35" s="460">
        <v>0</v>
      </c>
      <c r="AT35" s="460">
        <v>0</v>
      </c>
      <c r="AU35" s="460">
        <v>0</v>
      </c>
      <c r="AV35" s="460">
        <v>-499.627648172308</v>
      </c>
      <c r="AW35" s="460">
        <v>0</v>
      </c>
      <c r="AX35" s="460">
        <v>0</v>
      </c>
      <c r="AY35" s="460">
        <v>0</v>
      </c>
      <c r="AZ35" s="460">
        <v>0</v>
      </c>
      <c r="BA35" s="460">
        <v>0</v>
      </c>
      <c r="BB35" s="460">
        <v>0</v>
      </c>
      <c r="BC35" s="460">
        <v>0</v>
      </c>
      <c r="BD35" s="460">
        <v>0</v>
      </c>
      <c r="BE35" s="460">
        <v>0</v>
      </c>
      <c r="BF35" s="460">
        <v>0</v>
      </c>
      <c r="BG35" s="460">
        <v>0</v>
      </c>
      <c r="BH35" s="460">
        <v>0</v>
      </c>
      <c r="BI35" s="460">
        <v>0</v>
      </c>
      <c r="BJ35" s="460">
        <v>0</v>
      </c>
      <c r="BK35" s="460">
        <v>0</v>
      </c>
      <c r="BL35" s="460">
        <v>0</v>
      </c>
      <c r="BM35" s="460">
        <v>0</v>
      </c>
      <c r="BN35" s="460">
        <v>0</v>
      </c>
      <c r="BO35" s="460">
        <v>0</v>
      </c>
      <c r="BP35" s="460">
        <v>0</v>
      </c>
      <c r="BQ35" s="460">
        <v>0</v>
      </c>
      <c r="BR35" s="460">
        <v>0</v>
      </c>
      <c r="BS35" s="460">
        <v>0</v>
      </c>
      <c r="BT35" s="460">
        <v>0</v>
      </c>
      <c r="BU35" s="460">
        <v>0</v>
      </c>
      <c r="BV35" s="460">
        <v>0</v>
      </c>
      <c r="BW35" s="460">
        <v>0</v>
      </c>
      <c r="BX35" s="460">
        <v>0</v>
      </c>
      <c r="BY35" s="460">
        <v>0</v>
      </c>
      <c r="BZ35" s="460">
        <v>0</v>
      </c>
      <c r="CA35" s="460" t="e">
        <v>#N/A</v>
      </c>
      <c r="CB35" s="460" t="e">
        <v>#N/A</v>
      </c>
      <c r="CC35" s="460" t="e">
        <v>#N/A</v>
      </c>
    </row>
    <row r="36" spans="1:81" ht="12.75" customHeight="1">
      <c r="A36" s="105">
        <v>31</v>
      </c>
      <c r="B36" s="458" t="str">
        <v>5Y</v>
      </c>
      <c r="C36" s="262">
        <f>'eur disaggregated'!AT47</f>
        <v>-726.10747468906504</v>
      </c>
      <c r="D36" s="111" t="str">
        <f t="shared" si="2"/>
        <v>60M</v>
      </c>
      <c r="E36" s="441">
        <f>BktEur1yPL!E36</f>
        <v>42696</v>
      </c>
      <c r="F36" s="441">
        <f>BktEur1yPL!F36</f>
        <v>44522</v>
      </c>
      <c r="G36" s="462">
        <f t="shared" si="1"/>
        <v>2.6700000000000001E-3</v>
      </c>
      <c r="H36" s="453">
        <f>BktEur1yPL!H36</f>
        <v>0.26700000000000002</v>
      </c>
      <c r="I36" s="107" t="str">
        <v>3Y</v>
      </c>
      <c r="J36" s="106" t="str">
        <f>IF(LEN(I36)&gt;0,IF((MID(I36,4,1)=" "),#REF!,IF((LEN(I36)=8),DATE("20" &amp; RIGHT(I36,2),MID(I36,4,2),LEFT(I36,2)),SimplifyTenor(I36))),"")</f>
        <v>36M</v>
      </c>
      <c r="K36" s="448">
        <f>_xll.qlCalendarAdvance("TARGET",SettlementDate,J36)</f>
        <v>43791</v>
      </c>
      <c r="M36" s="99" t="str">
        <v>3Y</v>
      </c>
      <c r="N36" s="465">
        <v>539.814957009826</v>
      </c>
      <c r="P36" s="106" t="b">
        <f t="shared" si="0"/>
        <v>0</v>
      </c>
      <c r="Q36" s="460">
        <f t="array" ref="Q36:CC36">C36*ForwardToZero(OisBuckets,E36,F36,G36)</f>
        <v>0</v>
      </c>
      <c r="R36" s="460">
        <v>0</v>
      </c>
      <c r="S36" s="460">
        <v>0</v>
      </c>
      <c r="T36" s="460">
        <v>0</v>
      </c>
      <c r="U36" s="460">
        <v>0</v>
      </c>
      <c r="V36" s="460">
        <v>0</v>
      </c>
      <c r="W36" s="460">
        <v>0</v>
      </c>
      <c r="X36" s="460">
        <v>0</v>
      </c>
      <c r="Y36" s="460">
        <v>0</v>
      </c>
      <c r="Z36" s="460">
        <v>0</v>
      </c>
      <c r="AA36" s="460">
        <v>0</v>
      </c>
      <c r="AB36" s="460">
        <v>0</v>
      </c>
      <c r="AC36" s="460">
        <v>0</v>
      </c>
      <c r="AD36" s="460">
        <v>0</v>
      </c>
      <c r="AE36" s="460">
        <v>0</v>
      </c>
      <c r="AF36" s="460">
        <v>0</v>
      </c>
      <c r="AG36" s="460">
        <v>0</v>
      </c>
      <c r="AH36" s="460">
        <v>0</v>
      </c>
      <c r="AI36" s="460">
        <v>0</v>
      </c>
      <c r="AJ36" s="460">
        <v>0</v>
      </c>
      <c r="AK36" s="460">
        <v>0</v>
      </c>
      <c r="AL36" s="460">
        <v>0</v>
      </c>
      <c r="AM36" s="460">
        <v>0</v>
      </c>
      <c r="AN36" s="460">
        <v>0</v>
      </c>
      <c r="AO36" s="460">
        <v>0</v>
      </c>
      <c r="AP36" s="460">
        <v>0</v>
      </c>
      <c r="AQ36" s="460">
        <v>0</v>
      </c>
      <c r="AR36" s="460">
        <v>0</v>
      </c>
      <c r="AS36" s="460">
        <v>0</v>
      </c>
      <c r="AT36" s="460">
        <v>0</v>
      </c>
      <c r="AU36" s="460">
        <v>0</v>
      </c>
      <c r="AV36" s="460">
        <v>0</v>
      </c>
      <c r="AW36" s="460">
        <v>-726.10747468906504</v>
      </c>
      <c r="AX36" s="460">
        <v>0</v>
      </c>
      <c r="AY36" s="460">
        <v>0</v>
      </c>
      <c r="AZ36" s="460">
        <v>0</v>
      </c>
      <c r="BA36" s="460">
        <v>0</v>
      </c>
      <c r="BB36" s="460">
        <v>0</v>
      </c>
      <c r="BC36" s="460">
        <v>0</v>
      </c>
      <c r="BD36" s="460">
        <v>0</v>
      </c>
      <c r="BE36" s="460">
        <v>0</v>
      </c>
      <c r="BF36" s="460">
        <v>0</v>
      </c>
      <c r="BG36" s="460">
        <v>0</v>
      </c>
      <c r="BH36" s="460">
        <v>0</v>
      </c>
      <c r="BI36" s="460">
        <v>0</v>
      </c>
      <c r="BJ36" s="460">
        <v>0</v>
      </c>
      <c r="BK36" s="460">
        <v>0</v>
      </c>
      <c r="BL36" s="460">
        <v>0</v>
      </c>
      <c r="BM36" s="460">
        <v>0</v>
      </c>
      <c r="BN36" s="460">
        <v>0</v>
      </c>
      <c r="BO36" s="460">
        <v>0</v>
      </c>
      <c r="BP36" s="460">
        <v>0</v>
      </c>
      <c r="BQ36" s="460">
        <v>0</v>
      </c>
      <c r="BR36" s="460">
        <v>0</v>
      </c>
      <c r="BS36" s="460">
        <v>0</v>
      </c>
      <c r="BT36" s="460">
        <v>0</v>
      </c>
      <c r="BU36" s="460">
        <v>0</v>
      </c>
      <c r="BV36" s="460">
        <v>0</v>
      </c>
      <c r="BW36" s="460">
        <v>0</v>
      </c>
      <c r="BX36" s="460">
        <v>0</v>
      </c>
      <c r="BY36" s="460">
        <v>0</v>
      </c>
      <c r="BZ36" s="460">
        <v>0</v>
      </c>
      <c r="CA36" s="460" t="e">
        <v>#N/A</v>
      </c>
      <c r="CB36" s="460" t="e">
        <v>#N/A</v>
      </c>
      <c r="CC36" s="460" t="e">
        <v>#N/A</v>
      </c>
    </row>
    <row r="37" spans="1:81" ht="12.75" customHeight="1">
      <c r="A37" s="105">
        <v>32</v>
      </c>
      <c r="B37" s="458" t="str">
        <v>6Y</v>
      </c>
      <c r="C37" s="262">
        <f>'eur disaggregated'!AT48</f>
        <v>169.333386094302</v>
      </c>
      <c r="D37" s="111" t="str">
        <f t="shared" si="2"/>
        <v>72M</v>
      </c>
      <c r="E37" s="441">
        <f>BktEur1yPL!E37</f>
        <v>42696</v>
      </c>
      <c r="F37" s="441">
        <f>BktEur1yPL!F37</f>
        <v>44887</v>
      </c>
      <c r="G37" s="462">
        <f t="shared" si="1"/>
        <v>3.7699999999999999E-3</v>
      </c>
      <c r="H37" s="453">
        <f>BktEur1yPL!H37</f>
        <v>0.377</v>
      </c>
      <c r="I37" s="107" t="str">
        <v>4Y</v>
      </c>
      <c r="J37" s="106" t="str">
        <f>IF(LEN(I37)&gt;0,IF((MID(I37,4,1)=" "),#REF!,IF((LEN(I37)=8),DATE("20" &amp; RIGHT(I37,2),MID(I37,4,2),LEFT(I37,2)),SimplifyTenor(I37))),"")</f>
        <v>48M</v>
      </c>
      <c r="K37" s="448">
        <f>_xll.qlCalendarAdvance("TARGET",SettlementDate,J37)</f>
        <v>44158</v>
      </c>
      <c r="M37" s="99" t="str">
        <v>4Y</v>
      </c>
      <c r="N37" s="465">
        <v>-499.627648172308</v>
      </c>
      <c r="P37" s="106" t="b">
        <f t="shared" si="0"/>
        <v>0</v>
      </c>
      <c r="Q37" s="460">
        <f t="array" ref="Q37:CC37">C37*ForwardToZero(OisBuckets,E37,F37,G37)</f>
        <v>0</v>
      </c>
      <c r="R37" s="460">
        <v>0</v>
      </c>
      <c r="S37" s="460">
        <v>0</v>
      </c>
      <c r="T37" s="460">
        <v>0</v>
      </c>
      <c r="U37" s="460">
        <v>0</v>
      </c>
      <c r="V37" s="460">
        <v>0</v>
      </c>
      <c r="W37" s="460">
        <v>0</v>
      </c>
      <c r="X37" s="460">
        <v>0</v>
      </c>
      <c r="Y37" s="460">
        <v>0</v>
      </c>
      <c r="Z37" s="460">
        <v>0</v>
      </c>
      <c r="AA37" s="460">
        <v>0</v>
      </c>
      <c r="AB37" s="460">
        <v>0</v>
      </c>
      <c r="AC37" s="460">
        <v>0</v>
      </c>
      <c r="AD37" s="460">
        <v>0</v>
      </c>
      <c r="AE37" s="460">
        <v>0</v>
      </c>
      <c r="AF37" s="460">
        <v>0</v>
      </c>
      <c r="AG37" s="460">
        <v>0</v>
      </c>
      <c r="AH37" s="460">
        <v>0</v>
      </c>
      <c r="AI37" s="460">
        <v>0</v>
      </c>
      <c r="AJ37" s="460">
        <v>0</v>
      </c>
      <c r="AK37" s="460">
        <v>0</v>
      </c>
      <c r="AL37" s="460">
        <v>0</v>
      </c>
      <c r="AM37" s="460">
        <v>0</v>
      </c>
      <c r="AN37" s="460">
        <v>0</v>
      </c>
      <c r="AO37" s="460">
        <v>0</v>
      </c>
      <c r="AP37" s="460">
        <v>0</v>
      </c>
      <c r="AQ37" s="460">
        <v>0</v>
      </c>
      <c r="AR37" s="460">
        <v>0</v>
      </c>
      <c r="AS37" s="460">
        <v>0</v>
      </c>
      <c r="AT37" s="460">
        <v>0</v>
      </c>
      <c r="AU37" s="460">
        <v>0</v>
      </c>
      <c r="AV37" s="460">
        <v>0</v>
      </c>
      <c r="AW37" s="460">
        <v>0</v>
      </c>
      <c r="AX37" s="460">
        <v>169.333386094302</v>
      </c>
      <c r="AY37" s="460">
        <v>0</v>
      </c>
      <c r="AZ37" s="460">
        <v>0</v>
      </c>
      <c r="BA37" s="460">
        <v>0</v>
      </c>
      <c r="BB37" s="460">
        <v>0</v>
      </c>
      <c r="BC37" s="460">
        <v>0</v>
      </c>
      <c r="BD37" s="460">
        <v>0</v>
      </c>
      <c r="BE37" s="460">
        <v>0</v>
      </c>
      <c r="BF37" s="460">
        <v>0</v>
      </c>
      <c r="BG37" s="460">
        <v>0</v>
      </c>
      <c r="BH37" s="460">
        <v>0</v>
      </c>
      <c r="BI37" s="460">
        <v>0</v>
      </c>
      <c r="BJ37" s="460">
        <v>0</v>
      </c>
      <c r="BK37" s="460">
        <v>0</v>
      </c>
      <c r="BL37" s="460">
        <v>0</v>
      </c>
      <c r="BM37" s="460">
        <v>0</v>
      </c>
      <c r="BN37" s="460">
        <v>0</v>
      </c>
      <c r="BO37" s="460">
        <v>0</v>
      </c>
      <c r="BP37" s="460">
        <v>0</v>
      </c>
      <c r="BQ37" s="460">
        <v>0</v>
      </c>
      <c r="BR37" s="460">
        <v>0</v>
      </c>
      <c r="BS37" s="460">
        <v>0</v>
      </c>
      <c r="BT37" s="460">
        <v>0</v>
      </c>
      <c r="BU37" s="460">
        <v>0</v>
      </c>
      <c r="BV37" s="460">
        <v>0</v>
      </c>
      <c r="BW37" s="460">
        <v>0</v>
      </c>
      <c r="BX37" s="460">
        <v>0</v>
      </c>
      <c r="BY37" s="460">
        <v>0</v>
      </c>
      <c r="BZ37" s="460">
        <v>0</v>
      </c>
      <c r="CA37" s="460" t="e">
        <v>#N/A</v>
      </c>
      <c r="CB37" s="460" t="e">
        <v>#N/A</v>
      </c>
      <c r="CC37" s="460" t="e">
        <v>#N/A</v>
      </c>
    </row>
    <row r="38" spans="1:81" ht="12.75" customHeight="1">
      <c r="A38" s="105">
        <v>33</v>
      </c>
      <c r="B38" s="458" t="str">
        <v>7Y</v>
      </c>
      <c r="C38" s="262">
        <f>'eur disaggregated'!AT49</f>
        <v>78.8475576590168</v>
      </c>
      <c r="D38" s="111" t="str">
        <f t="shared" si="2"/>
        <v>84M</v>
      </c>
      <c r="E38" s="441">
        <f>BktEur1yPL!E38</f>
        <v>42696</v>
      </c>
      <c r="F38" s="441">
        <f>BktEur1yPL!F38</f>
        <v>45252</v>
      </c>
      <c r="G38" s="462">
        <f t="shared" si="1"/>
        <v>4.8900000000000002E-3</v>
      </c>
      <c r="H38" s="453">
        <f>BktEur1yPL!H38</f>
        <v>0.48899999999999999</v>
      </c>
      <c r="I38" s="107" t="str">
        <v>5Y</v>
      </c>
      <c r="J38" s="106" t="str">
        <f>IF(LEN(I38)&gt;0,IF((MID(I38,4,1)=" "),#REF!,IF((LEN(I38)=8),DATE("20" &amp; RIGHT(I38,2),MID(I38,4,2),LEFT(I38,2)),SimplifyTenor(I38))),"")</f>
        <v>60M</v>
      </c>
      <c r="K38" s="448">
        <f>_xll.qlCalendarAdvance("TARGET",SettlementDate,J38)</f>
        <v>44522</v>
      </c>
      <c r="M38" s="99" t="str">
        <v>5Y</v>
      </c>
      <c r="N38" s="465">
        <v>-726.10747468906504</v>
      </c>
      <c r="P38" s="106" t="b">
        <f t="shared" ref="P38:P70" si="3">MID(B38,4,1)=" "</f>
        <v>0</v>
      </c>
      <c r="Q38" s="460">
        <f t="array" ref="Q38:CC38">C38*ForwardToZero(OisBuckets,E38,F38,G38)</f>
        <v>0</v>
      </c>
      <c r="R38" s="460">
        <v>0</v>
      </c>
      <c r="S38" s="460">
        <v>0</v>
      </c>
      <c r="T38" s="460">
        <v>0</v>
      </c>
      <c r="U38" s="460">
        <v>0</v>
      </c>
      <c r="V38" s="460">
        <v>0</v>
      </c>
      <c r="W38" s="460">
        <v>0</v>
      </c>
      <c r="X38" s="460">
        <v>0</v>
      </c>
      <c r="Y38" s="460">
        <v>0</v>
      </c>
      <c r="Z38" s="460">
        <v>0</v>
      </c>
      <c r="AA38" s="460">
        <v>0</v>
      </c>
      <c r="AB38" s="460">
        <v>0</v>
      </c>
      <c r="AC38" s="460">
        <v>0</v>
      </c>
      <c r="AD38" s="460">
        <v>0</v>
      </c>
      <c r="AE38" s="460">
        <v>0</v>
      </c>
      <c r="AF38" s="460">
        <v>0</v>
      </c>
      <c r="AG38" s="460">
        <v>0</v>
      </c>
      <c r="AH38" s="460">
        <v>0</v>
      </c>
      <c r="AI38" s="460">
        <v>0</v>
      </c>
      <c r="AJ38" s="460">
        <v>0</v>
      </c>
      <c r="AK38" s="460">
        <v>0</v>
      </c>
      <c r="AL38" s="460">
        <v>0</v>
      </c>
      <c r="AM38" s="460">
        <v>0</v>
      </c>
      <c r="AN38" s="460">
        <v>0</v>
      </c>
      <c r="AO38" s="460">
        <v>0</v>
      </c>
      <c r="AP38" s="460">
        <v>0</v>
      </c>
      <c r="AQ38" s="460">
        <v>0</v>
      </c>
      <c r="AR38" s="460">
        <v>0</v>
      </c>
      <c r="AS38" s="460">
        <v>0</v>
      </c>
      <c r="AT38" s="460">
        <v>0</v>
      </c>
      <c r="AU38" s="460">
        <v>0</v>
      </c>
      <c r="AV38" s="460">
        <v>0</v>
      </c>
      <c r="AW38" s="460">
        <v>0</v>
      </c>
      <c r="AX38" s="460">
        <v>0</v>
      </c>
      <c r="AY38" s="460">
        <v>78.8475576590168</v>
      </c>
      <c r="AZ38" s="460">
        <v>0</v>
      </c>
      <c r="BA38" s="460">
        <v>0</v>
      </c>
      <c r="BB38" s="460">
        <v>0</v>
      </c>
      <c r="BC38" s="460">
        <v>0</v>
      </c>
      <c r="BD38" s="460">
        <v>0</v>
      </c>
      <c r="BE38" s="460">
        <v>0</v>
      </c>
      <c r="BF38" s="460">
        <v>0</v>
      </c>
      <c r="BG38" s="460">
        <v>0</v>
      </c>
      <c r="BH38" s="460">
        <v>0</v>
      </c>
      <c r="BI38" s="460">
        <v>0</v>
      </c>
      <c r="BJ38" s="460">
        <v>0</v>
      </c>
      <c r="BK38" s="460">
        <v>0</v>
      </c>
      <c r="BL38" s="460">
        <v>0</v>
      </c>
      <c r="BM38" s="460">
        <v>0</v>
      </c>
      <c r="BN38" s="460">
        <v>0</v>
      </c>
      <c r="BO38" s="460">
        <v>0</v>
      </c>
      <c r="BP38" s="460">
        <v>0</v>
      </c>
      <c r="BQ38" s="460">
        <v>0</v>
      </c>
      <c r="BR38" s="460">
        <v>0</v>
      </c>
      <c r="BS38" s="460">
        <v>0</v>
      </c>
      <c r="BT38" s="460">
        <v>0</v>
      </c>
      <c r="BU38" s="460">
        <v>0</v>
      </c>
      <c r="BV38" s="460">
        <v>0</v>
      </c>
      <c r="BW38" s="460">
        <v>0</v>
      </c>
      <c r="BX38" s="460">
        <v>0</v>
      </c>
      <c r="BY38" s="460">
        <v>0</v>
      </c>
      <c r="BZ38" s="460">
        <v>0</v>
      </c>
      <c r="CA38" s="460" t="e">
        <v>#N/A</v>
      </c>
      <c r="CB38" s="460" t="e">
        <v>#N/A</v>
      </c>
      <c r="CC38" s="460" t="e">
        <v>#N/A</v>
      </c>
    </row>
    <row r="39" spans="1:81" ht="12.75" customHeight="1">
      <c r="A39" s="105">
        <v>34</v>
      </c>
      <c r="B39" s="458" t="str">
        <v>8Y</v>
      </c>
      <c r="C39" s="262">
        <f>'eur disaggregated'!AT50</f>
        <v>-35.766774867537599</v>
      </c>
      <c r="D39" s="111" t="str">
        <f t="shared" si="2"/>
        <v>96M</v>
      </c>
      <c r="E39" s="441">
        <f>BktEur1yPL!E39</f>
        <v>42696</v>
      </c>
      <c r="F39" s="441">
        <f>BktEur1yPL!F39</f>
        <v>45618</v>
      </c>
      <c r="G39" s="462">
        <f t="shared" si="1"/>
        <v>5.9899999999999997E-3</v>
      </c>
      <c r="H39" s="453">
        <f>BktEur1yPL!H39</f>
        <v>0.59899999999999998</v>
      </c>
      <c r="I39" s="107" t="str">
        <v>6Y</v>
      </c>
      <c r="J39" s="106" t="str">
        <f>IF(LEN(I39)&gt;0,IF((MID(I39,4,1)=" "),#REF!,IF((LEN(I39)=8),DATE("20" &amp; RIGHT(I39,2),MID(I39,4,2),LEFT(I39,2)),SimplifyTenor(I39))),"")</f>
        <v>72M</v>
      </c>
      <c r="K39" s="448">
        <f>_xll.qlCalendarAdvance("TARGET",SettlementDate,J39)</f>
        <v>44887</v>
      </c>
      <c r="M39" s="99" t="str">
        <v>6Y</v>
      </c>
      <c r="N39" s="465">
        <v>169.333386094302</v>
      </c>
      <c r="P39" s="106" t="b">
        <f t="shared" si="3"/>
        <v>0</v>
      </c>
      <c r="Q39" s="460">
        <f t="array" ref="Q39:CC39">C39*ForwardToZero(OisBuckets,E39,F39,G39)</f>
        <v>0</v>
      </c>
      <c r="R39" s="460">
        <v>0</v>
      </c>
      <c r="S39" s="460">
        <v>0</v>
      </c>
      <c r="T39" s="460">
        <v>0</v>
      </c>
      <c r="U39" s="460">
        <v>0</v>
      </c>
      <c r="V39" s="460">
        <v>0</v>
      </c>
      <c r="W39" s="460">
        <v>0</v>
      </c>
      <c r="X39" s="460">
        <v>0</v>
      </c>
      <c r="Y39" s="460">
        <v>0</v>
      </c>
      <c r="Z39" s="460">
        <v>0</v>
      </c>
      <c r="AA39" s="460">
        <v>0</v>
      </c>
      <c r="AB39" s="460">
        <v>0</v>
      </c>
      <c r="AC39" s="460">
        <v>0</v>
      </c>
      <c r="AD39" s="460">
        <v>0</v>
      </c>
      <c r="AE39" s="460">
        <v>0</v>
      </c>
      <c r="AF39" s="460">
        <v>0</v>
      </c>
      <c r="AG39" s="460">
        <v>0</v>
      </c>
      <c r="AH39" s="460">
        <v>0</v>
      </c>
      <c r="AI39" s="460">
        <v>0</v>
      </c>
      <c r="AJ39" s="460">
        <v>0</v>
      </c>
      <c r="AK39" s="460">
        <v>0</v>
      </c>
      <c r="AL39" s="460">
        <v>0</v>
      </c>
      <c r="AM39" s="460">
        <v>0</v>
      </c>
      <c r="AN39" s="460">
        <v>0</v>
      </c>
      <c r="AO39" s="460">
        <v>0</v>
      </c>
      <c r="AP39" s="460">
        <v>0</v>
      </c>
      <c r="AQ39" s="460">
        <v>0</v>
      </c>
      <c r="AR39" s="460">
        <v>0</v>
      </c>
      <c r="AS39" s="460">
        <v>0</v>
      </c>
      <c r="AT39" s="460">
        <v>0</v>
      </c>
      <c r="AU39" s="460">
        <v>0</v>
      </c>
      <c r="AV39" s="460">
        <v>0</v>
      </c>
      <c r="AW39" s="460">
        <v>0</v>
      </c>
      <c r="AX39" s="460">
        <v>0</v>
      </c>
      <c r="AY39" s="460">
        <v>0</v>
      </c>
      <c r="AZ39" s="460">
        <v>-35.766774867537599</v>
      </c>
      <c r="BA39" s="460">
        <v>0</v>
      </c>
      <c r="BB39" s="460">
        <v>0</v>
      </c>
      <c r="BC39" s="460">
        <v>0</v>
      </c>
      <c r="BD39" s="460">
        <v>0</v>
      </c>
      <c r="BE39" s="460">
        <v>0</v>
      </c>
      <c r="BF39" s="460">
        <v>0</v>
      </c>
      <c r="BG39" s="460">
        <v>0</v>
      </c>
      <c r="BH39" s="460">
        <v>0</v>
      </c>
      <c r="BI39" s="460">
        <v>0</v>
      </c>
      <c r="BJ39" s="460">
        <v>0</v>
      </c>
      <c r="BK39" s="460">
        <v>0</v>
      </c>
      <c r="BL39" s="460">
        <v>0</v>
      </c>
      <c r="BM39" s="460">
        <v>0</v>
      </c>
      <c r="BN39" s="460">
        <v>0</v>
      </c>
      <c r="BO39" s="460">
        <v>0</v>
      </c>
      <c r="BP39" s="460">
        <v>0</v>
      </c>
      <c r="BQ39" s="460">
        <v>0</v>
      </c>
      <c r="BR39" s="460">
        <v>0</v>
      </c>
      <c r="BS39" s="460">
        <v>0</v>
      </c>
      <c r="BT39" s="460">
        <v>0</v>
      </c>
      <c r="BU39" s="460">
        <v>0</v>
      </c>
      <c r="BV39" s="460">
        <v>0</v>
      </c>
      <c r="BW39" s="460">
        <v>0</v>
      </c>
      <c r="BX39" s="460">
        <v>0</v>
      </c>
      <c r="BY39" s="460">
        <v>0</v>
      </c>
      <c r="BZ39" s="460">
        <v>0</v>
      </c>
      <c r="CA39" s="460" t="e">
        <v>#N/A</v>
      </c>
      <c r="CB39" s="460" t="e">
        <v>#N/A</v>
      </c>
      <c r="CC39" s="460" t="e">
        <v>#N/A</v>
      </c>
    </row>
    <row r="40" spans="1:81" ht="12.75" customHeight="1">
      <c r="A40" s="105">
        <v>35</v>
      </c>
      <c r="B40" s="458" t="str">
        <v>9Y</v>
      </c>
      <c r="C40" s="262">
        <f>'eur disaggregated'!AT51</f>
        <v>-271.00985269240999</v>
      </c>
      <c r="D40" s="111" t="str">
        <f t="shared" si="2"/>
        <v>108M</v>
      </c>
      <c r="E40" s="441">
        <f>BktEur1yPL!E40</f>
        <v>42696</v>
      </c>
      <c r="F40" s="441">
        <f>BktEur1yPL!F40</f>
        <v>45985</v>
      </c>
      <c r="G40" s="462">
        <f t="shared" si="1"/>
        <v>7.0399999999999994E-3</v>
      </c>
      <c r="H40" s="453">
        <f>BktEur1yPL!H40</f>
        <v>0.70399999999999996</v>
      </c>
      <c r="I40" s="107" t="str">
        <v>7Y</v>
      </c>
      <c r="J40" s="106" t="str">
        <f>IF(LEN(I40)&gt;0,IF((MID(I40,4,1)=" "),#REF!,IF((LEN(I40)=8),DATE("20" &amp; RIGHT(I40,2),MID(I40,4,2),LEFT(I40,2)),SimplifyTenor(I40))),"")</f>
        <v>84M</v>
      </c>
      <c r="K40" s="448">
        <f>_xll.qlCalendarAdvance("TARGET",SettlementDate,J40)</f>
        <v>45252</v>
      </c>
      <c r="M40" s="99" t="str">
        <v>7Y</v>
      </c>
      <c r="N40" s="465">
        <v>78.8475576590168</v>
      </c>
      <c r="P40" s="106" t="b">
        <f t="shared" si="3"/>
        <v>0</v>
      </c>
      <c r="Q40" s="460">
        <f t="array" ref="Q40:CC40">C40*ForwardToZero(OisBuckets,E40,F40,G40)</f>
        <v>0</v>
      </c>
      <c r="R40" s="460">
        <v>0</v>
      </c>
      <c r="S40" s="460">
        <v>0</v>
      </c>
      <c r="T40" s="460">
        <v>0</v>
      </c>
      <c r="U40" s="460">
        <v>0</v>
      </c>
      <c r="V40" s="460">
        <v>0</v>
      </c>
      <c r="W40" s="460">
        <v>0</v>
      </c>
      <c r="X40" s="460">
        <v>0</v>
      </c>
      <c r="Y40" s="460">
        <v>0</v>
      </c>
      <c r="Z40" s="460">
        <v>0</v>
      </c>
      <c r="AA40" s="460">
        <v>0</v>
      </c>
      <c r="AB40" s="460">
        <v>0</v>
      </c>
      <c r="AC40" s="460">
        <v>0</v>
      </c>
      <c r="AD40" s="460">
        <v>0</v>
      </c>
      <c r="AE40" s="460">
        <v>0</v>
      </c>
      <c r="AF40" s="460">
        <v>0</v>
      </c>
      <c r="AG40" s="460">
        <v>0</v>
      </c>
      <c r="AH40" s="460">
        <v>0</v>
      </c>
      <c r="AI40" s="460">
        <v>0</v>
      </c>
      <c r="AJ40" s="460">
        <v>0</v>
      </c>
      <c r="AK40" s="460">
        <v>0</v>
      </c>
      <c r="AL40" s="460">
        <v>0</v>
      </c>
      <c r="AM40" s="460">
        <v>0</v>
      </c>
      <c r="AN40" s="460">
        <v>0</v>
      </c>
      <c r="AO40" s="460">
        <v>0</v>
      </c>
      <c r="AP40" s="460">
        <v>0</v>
      </c>
      <c r="AQ40" s="460">
        <v>0</v>
      </c>
      <c r="AR40" s="460">
        <v>0</v>
      </c>
      <c r="AS40" s="460">
        <v>0</v>
      </c>
      <c r="AT40" s="460">
        <v>0</v>
      </c>
      <c r="AU40" s="460">
        <v>0</v>
      </c>
      <c r="AV40" s="460">
        <v>0</v>
      </c>
      <c r="AW40" s="460">
        <v>0</v>
      </c>
      <c r="AX40" s="460">
        <v>0</v>
      </c>
      <c r="AY40" s="460">
        <v>0</v>
      </c>
      <c r="AZ40" s="460">
        <v>0</v>
      </c>
      <c r="BA40" s="460">
        <v>-271.00985269240999</v>
      </c>
      <c r="BB40" s="460">
        <v>0</v>
      </c>
      <c r="BC40" s="460">
        <v>0</v>
      </c>
      <c r="BD40" s="460">
        <v>0</v>
      </c>
      <c r="BE40" s="460">
        <v>0</v>
      </c>
      <c r="BF40" s="460">
        <v>0</v>
      </c>
      <c r="BG40" s="460">
        <v>0</v>
      </c>
      <c r="BH40" s="460">
        <v>0</v>
      </c>
      <c r="BI40" s="460">
        <v>0</v>
      </c>
      <c r="BJ40" s="460">
        <v>0</v>
      </c>
      <c r="BK40" s="460">
        <v>0</v>
      </c>
      <c r="BL40" s="460">
        <v>0</v>
      </c>
      <c r="BM40" s="460">
        <v>0</v>
      </c>
      <c r="BN40" s="460">
        <v>0</v>
      </c>
      <c r="BO40" s="460">
        <v>0</v>
      </c>
      <c r="BP40" s="460">
        <v>0</v>
      </c>
      <c r="BQ40" s="460">
        <v>0</v>
      </c>
      <c r="BR40" s="460">
        <v>0</v>
      </c>
      <c r="BS40" s="460">
        <v>0</v>
      </c>
      <c r="BT40" s="460">
        <v>0</v>
      </c>
      <c r="BU40" s="460">
        <v>0</v>
      </c>
      <c r="BV40" s="460">
        <v>0</v>
      </c>
      <c r="BW40" s="460">
        <v>0</v>
      </c>
      <c r="BX40" s="460">
        <v>0</v>
      </c>
      <c r="BY40" s="460">
        <v>0</v>
      </c>
      <c r="BZ40" s="460">
        <v>0</v>
      </c>
      <c r="CA40" s="460" t="e">
        <v>#N/A</v>
      </c>
      <c r="CB40" s="460" t="e">
        <v>#N/A</v>
      </c>
      <c r="CC40" s="460" t="e">
        <v>#N/A</v>
      </c>
    </row>
    <row r="41" spans="1:81" ht="12.75" customHeight="1">
      <c r="A41" s="105">
        <v>36</v>
      </c>
      <c r="B41" s="458" t="str">
        <v>10Y</v>
      </c>
      <c r="C41" s="262">
        <f>'eur disaggregated'!AT52</f>
        <v>183.32053664015899</v>
      </c>
      <c r="D41" s="111" t="str">
        <f t="shared" si="2"/>
        <v>120M</v>
      </c>
      <c r="E41" s="441">
        <f>BktEur1yPL!E41</f>
        <v>42696</v>
      </c>
      <c r="F41" s="441">
        <f>BktEur1yPL!F41</f>
        <v>46349</v>
      </c>
      <c r="G41" s="462">
        <f t="shared" si="1"/>
        <v>7.9600000000000001E-3</v>
      </c>
      <c r="H41" s="453">
        <f>BktEur1yPL!H41</f>
        <v>0.79600000000000004</v>
      </c>
      <c r="I41" s="107" t="str">
        <v>8Y</v>
      </c>
      <c r="J41" s="106" t="str">
        <f>IF(LEN(I41)&gt;0,IF((MID(I41,4,1)=" "),#REF!,IF((LEN(I41)=8),DATE("20" &amp; RIGHT(I41,2),MID(I41,4,2),LEFT(I41,2)),SimplifyTenor(I41))),"")</f>
        <v>96M</v>
      </c>
      <c r="K41" s="448">
        <f>_xll.qlCalendarAdvance("TARGET",SettlementDate,J41)</f>
        <v>45618</v>
      </c>
      <c r="M41" s="99" t="str">
        <v>8Y</v>
      </c>
      <c r="N41" s="465">
        <v>-35.766774867537599</v>
      </c>
      <c r="P41" s="106" t="b">
        <f t="shared" si="3"/>
        <v>0</v>
      </c>
      <c r="Q41" s="460">
        <f t="array" ref="Q41:CC41">C41*ForwardToZero(OisBuckets,E41,F41,G41)</f>
        <v>0</v>
      </c>
      <c r="R41" s="460">
        <v>0</v>
      </c>
      <c r="S41" s="460">
        <v>0</v>
      </c>
      <c r="T41" s="460">
        <v>0</v>
      </c>
      <c r="U41" s="460">
        <v>0</v>
      </c>
      <c r="V41" s="460">
        <v>0</v>
      </c>
      <c r="W41" s="460">
        <v>0</v>
      </c>
      <c r="X41" s="460">
        <v>0</v>
      </c>
      <c r="Y41" s="460">
        <v>0</v>
      </c>
      <c r="Z41" s="460">
        <v>0</v>
      </c>
      <c r="AA41" s="460">
        <v>0</v>
      </c>
      <c r="AB41" s="460">
        <v>0</v>
      </c>
      <c r="AC41" s="460">
        <v>0</v>
      </c>
      <c r="AD41" s="460">
        <v>0</v>
      </c>
      <c r="AE41" s="460">
        <v>0</v>
      </c>
      <c r="AF41" s="460">
        <v>0</v>
      </c>
      <c r="AG41" s="460">
        <v>0</v>
      </c>
      <c r="AH41" s="460">
        <v>0</v>
      </c>
      <c r="AI41" s="460">
        <v>0</v>
      </c>
      <c r="AJ41" s="460">
        <v>0</v>
      </c>
      <c r="AK41" s="460">
        <v>0</v>
      </c>
      <c r="AL41" s="460">
        <v>0</v>
      </c>
      <c r="AM41" s="460">
        <v>0</v>
      </c>
      <c r="AN41" s="460">
        <v>0</v>
      </c>
      <c r="AO41" s="460">
        <v>0</v>
      </c>
      <c r="AP41" s="460">
        <v>0</v>
      </c>
      <c r="AQ41" s="460">
        <v>0</v>
      </c>
      <c r="AR41" s="460">
        <v>0</v>
      </c>
      <c r="AS41" s="460">
        <v>0</v>
      </c>
      <c r="AT41" s="460">
        <v>0</v>
      </c>
      <c r="AU41" s="460">
        <v>0</v>
      </c>
      <c r="AV41" s="460">
        <v>0</v>
      </c>
      <c r="AW41" s="460">
        <v>0</v>
      </c>
      <c r="AX41" s="460">
        <v>0</v>
      </c>
      <c r="AY41" s="460">
        <v>0</v>
      </c>
      <c r="AZ41" s="460">
        <v>0</v>
      </c>
      <c r="BA41" s="460">
        <v>0</v>
      </c>
      <c r="BB41" s="460">
        <v>183.32053664015899</v>
      </c>
      <c r="BC41" s="460">
        <v>0</v>
      </c>
      <c r="BD41" s="460">
        <v>0</v>
      </c>
      <c r="BE41" s="460">
        <v>0</v>
      </c>
      <c r="BF41" s="460">
        <v>0</v>
      </c>
      <c r="BG41" s="460">
        <v>0</v>
      </c>
      <c r="BH41" s="460">
        <v>0</v>
      </c>
      <c r="BI41" s="460">
        <v>0</v>
      </c>
      <c r="BJ41" s="460">
        <v>0</v>
      </c>
      <c r="BK41" s="460">
        <v>0</v>
      </c>
      <c r="BL41" s="460">
        <v>0</v>
      </c>
      <c r="BM41" s="460">
        <v>0</v>
      </c>
      <c r="BN41" s="460">
        <v>0</v>
      </c>
      <c r="BO41" s="460">
        <v>0</v>
      </c>
      <c r="BP41" s="460">
        <v>0</v>
      </c>
      <c r="BQ41" s="460">
        <v>0</v>
      </c>
      <c r="BR41" s="460">
        <v>0</v>
      </c>
      <c r="BS41" s="460">
        <v>0</v>
      </c>
      <c r="BT41" s="460">
        <v>0</v>
      </c>
      <c r="BU41" s="460">
        <v>0</v>
      </c>
      <c r="BV41" s="460">
        <v>0</v>
      </c>
      <c r="BW41" s="460">
        <v>0</v>
      </c>
      <c r="BX41" s="460">
        <v>0</v>
      </c>
      <c r="BY41" s="460">
        <v>0</v>
      </c>
      <c r="BZ41" s="460">
        <v>0</v>
      </c>
      <c r="CA41" s="460" t="e">
        <v>#N/A</v>
      </c>
      <c r="CB41" s="460" t="e">
        <v>#N/A</v>
      </c>
      <c r="CC41" s="460" t="e">
        <v>#N/A</v>
      </c>
    </row>
    <row r="42" spans="1:81" ht="12.75" customHeight="1">
      <c r="A42" s="105">
        <v>37</v>
      </c>
      <c r="B42" s="458" t="str">
        <v>11Y</v>
      </c>
      <c r="C42" s="262">
        <f>'eur disaggregated'!AT53</f>
        <v>862.74766509487699</v>
      </c>
      <c r="D42" s="111" t="str">
        <f t="shared" si="2"/>
        <v>132M</v>
      </c>
      <c r="E42" s="441">
        <f>BktEur1yPL!E42</f>
        <v>42696</v>
      </c>
      <c r="F42" s="441">
        <f>BktEur1yPL!F42</f>
        <v>46713</v>
      </c>
      <c r="G42" s="462">
        <f t="shared" si="1"/>
        <v>8.758396600000001E-3</v>
      </c>
      <c r="H42" s="453">
        <f>BktEur1yPL!H42</f>
        <v>0.87583966000000002</v>
      </c>
      <c r="I42" s="107" t="str">
        <v>9Y</v>
      </c>
      <c r="J42" s="106" t="str">
        <f>IF(LEN(I42)&gt;0,IF((MID(I42,4,1)=" "),#REF!,IF((LEN(I42)=8),DATE("20" &amp; RIGHT(I42,2),MID(I42,4,2),LEFT(I42,2)),SimplifyTenor(I42))),"")</f>
        <v>108M</v>
      </c>
      <c r="K42" s="448">
        <f>_xll.qlCalendarAdvance("TARGET",SettlementDate,J42)</f>
        <v>45985</v>
      </c>
      <c r="M42" s="99" t="str">
        <v>9Y</v>
      </c>
      <c r="N42" s="465">
        <v>-271.00985269240999</v>
      </c>
      <c r="P42" s="106" t="b">
        <f t="shared" si="3"/>
        <v>0</v>
      </c>
      <c r="Q42" s="460">
        <f t="array" ref="Q42:CC42">C42*ForwardToZero(OisBuckets,E42,F42,G42)</f>
        <v>0</v>
      </c>
      <c r="R42" s="460">
        <v>0</v>
      </c>
      <c r="S42" s="460">
        <v>0</v>
      </c>
      <c r="T42" s="460">
        <v>0</v>
      </c>
      <c r="U42" s="460">
        <v>0</v>
      </c>
      <c r="V42" s="460">
        <v>0</v>
      </c>
      <c r="W42" s="460">
        <v>0</v>
      </c>
      <c r="X42" s="460">
        <v>0</v>
      </c>
      <c r="Y42" s="460">
        <v>0</v>
      </c>
      <c r="Z42" s="460">
        <v>0</v>
      </c>
      <c r="AA42" s="460">
        <v>0</v>
      </c>
      <c r="AB42" s="460">
        <v>0</v>
      </c>
      <c r="AC42" s="460">
        <v>0</v>
      </c>
      <c r="AD42" s="460">
        <v>0</v>
      </c>
      <c r="AE42" s="460">
        <v>0</v>
      </c>
      <c r="AF42" s="460">
        <v>0</v>
      </c>
      <c r="AG42" s="460">
        <v>0</v>
      </c>
      <c r="AH42" s="460">
        <v>0</v>
      </c>
      <c r="AI42" s="460">
        <v>0</v>
      </c>
      <c r="AJ42" s="460">
        <v>0</v>
      </c>
      <c r="AK42" s="460">
        <v>0</v>
      </c>
      <c r="AL42" s="460">
        <v>0</v>
      </c>
      <c r="AM42" s="460">
        <v>0</v>
      </c>
      <c r="AN42" s="460">
        <v>0</v>
      </c>
      <c r="AO42" s="460">
        <v>0</v>
      </c>
      <c r="AP42" s="460">
        <v>0</v>
      </c>
      <c r="AQ42" s="460">
        <v>0</v>
      </c>
      <c r="AR42" s="460">
        <v>0</v>
      </c>
      <c r="AS42" s="460">
        <v>0</v>
      </c>
      <c r="AT42" s="460">
        <v>0</v>
      </c>
      <c r="AU42" s="460">
        <v>0</v>
      </c>
      <c r="AV42" s="460">
        <v>0</v>
      </c>
      <c r="AW42" s="460">
        <v>0</v>
      </c>
      <c r="AX42" s="460">
        <v>0</v>
      </c>
      <c r="AY42" s="460">
        <v>0</v>
      </c>
      <c r="AZ42" s="460">
        <v>0</v>
      </c>
      <c r="BA42" s="460">
        <v>0</v>
      </c>
      <c r="BB42" s="460">
        <v>0</v>
      </c>
      <c r="BC42" s="460">
        <v>862.74766509487699</v>
      </c>
      <c r="BD42" s="460">
        <v>0</v>
      </c>
      <c r="BE42" s="460">
        <v>0</v>
      </c>
      <c r="BF42" s="460">
        <v>0</v>
      </c>
      <c r="BG42" s="460">
        <v>0</v>
      </c>
      <c r="BH42" s="460">
        <v>0</v>
      </c>
      <c r="BI42" s="460">
        <v>0</v>
      </c>
      <c r="BJ42" s="460">
        <v>0</v>
      </c>
      <c r="BK42" s="460">
        <v>0</v>
      </c>
      <c r="BL42" s="460">
        <v>0</v>
      </c>
      <c r="BM42" s="460">
        <v>0</v>
      </c>
      <c r="BN42" s="460">
        <v>0</v>
      </c>
      <c r="BO42" s="460">
        <v>0</v>
      </c>
      <c r="BP42" s="460">
        <v>0</v>
      </c>
      <c r="BQ42" s="460">
        <v>0</v>
      </c>
      <c r="BR42" s="460">
        <v>0</v>
      </c>
      <c r="BS42" s="460">
        <v>0</v>
      </c>
      <c r="BT42" s="460">
        <v>0</v>
      </c>
      <c r="BU42" s="460">
        <v>0</v>
      </c>
      <c r="BV42" s="460">
        <v>0</v>
      </c>
      <c r="BW42" s="460">
        <v>0</v>
      </c>
      <c r="BX42" s="460">
        <v>0</v>
      </c>
      <c r="BY42" s="460">
        <v>0</v>
      </c>
      <c r="BZ42" s="460">
        <v>0</v>
      </c>
      <c r="CA42" s="460" t="e">
        <v>#N/A</v>
      </c>
      <c r="CB42" s="460" t="e">
        <v>#N/A</v>
      </c>
      <c r="CC42" s="460" t="e">
        <v>#N/A</v>
      </c>
    </row>
    <row r="43" spans="1:81" ht="12.75" customHeight="1">
      <c r="A43" s="105">
        <v>38</v>
      </c>
      <c r="B43" s="458" t="str">
        <v>12Y</v>
      </c>
      <c r="C43" s="262">
        <f>'eur disaggregated'!AT54</f>
        <v>-20041.7225387488</v>
      </c>
      <c r="D43" s="111" t="str">
        <f t="shared" si="2"/>
        <v>144M</v>
      </c>
      <c r="E43" s="441">
        <f>BktEur1yPL!E43</f>
        <v>42696</v>
      </c>
      <c r="F43" s="441">
        <f>BktEur1yPL!F43</f>
        <v>47079</v>
      </c>
      <c r="G43" s="462">
        <f t="shared" si="1"/>
        <v>9.4599999999999997E-3</v>
      </c>
      <c r="H43" s="453">
        <f>BktEur1yPL!H43</f>
        <v>0.94599999999999995</v>
      </c>
      <c r="I43" s="107" t="str">
        <v>10Y</v>
      </c>
      <c r="J43" s="106" t="str">
        <f>IF(LEN(I43)&gt;0,IF((MID(I43,4,1)=" "),#REF!,IF((LEN(I43)=8),DATE("20" &amp; RIGHT(I43,2),MID(I43,4,2),LEFT(I43,2)),SimplifyTenor(I43))),"")</f>
        <v>120M</v>
      </c>
      <c r="K43" s="448">
        <f>_xll.qlCalendarAdvance("TARGET",SettlementDate,J43)</f>
        <v>46349</v>
      </c>
      <c r="M43" s="99" t="str">
        <v>10Y</v>
      </c>
      <c r="N43" s="465">
        <v>183.32053664015899</v>
      </c>
      <c r="P43" s="106" t="b">
        <f t="shared" si="3"/>
        <v>0</v>
      </c>
      <c r="Q43" s="460">
        <f t="array" ref="Q43:CC43">C43*ForwardToZero(OisBuckets,E43,F43,G43)</f>
        <v>0</v>
      </c>
      <c r="R43" s="460">
        <v>0</v>
      </c>
      <c r="S43" s="460">
        <v>0</v>
      </c>
      <c r="T43" s="460">
        <v>0</v>
      </c>
      <c r="U43" s="460">
        <v>0</v>
      </c>
      <c r="V43" s="460">
        <v>0</v>
      </c>
      <c r="W43" s="460">
        <v>0</v>
      </c>
      <c r="X43" s="460">
        <v>0</v>
      </c>
      <c r="Y43" s="460">
        <v>0</v>
      </c>
      <c r="Z43" s="460">
        <v>0</v>
      </c>
      <c r="AA43" s="460">
        <v>0</v>
      </c>
      <c r="AB43" s="460">
        <v>0</v>
      </c>
      <c r="AC43" s="460">
        <v>0</v>
      </c>
      <c r="AD43" s="460">
        <v>0</v>
      </c>
      <c r="AE43" s="460">
        <v>0</v>
      </c>
      <c r="AF43" s="460">
        <v>0</v>
      </c>
      <c r="AG43" s="460">
        <v>0</v>
      </c>
      <c r="AH43" s="460">
        <v>0</v>
      </c>
      <c r="AI43" s="460">
        <v>0</v>
      </c>
      <c r="AJ43" s="460">
        <v>0</v>
      </c>
      <c r="AK43" s="460">
        <v>0</v>
      </c>
      <c r="AL43" s="460">
        <v>0</v>
      </c>
      <c r="AM43" s="460">
        <v>0</v>
      </c>
      <c r="AN43" s="460">
        <v>0</v>
      </c>
      <c r="AO43" s="460">
        <v>0</v>
      </c>
      <c r="AP43" s="460">
        <v>0</v>
      </c>
      <c r="AQ43" s="460">
        <v>0</v>
      </c>
      <c r="AR43" s="460">
        <v>0</v>
      </c>
      <c r="AS43" s="460">
        <v>0</v>
      </c>
      <c r="AT43" s="460">
        <v>0</v>
      </c>
      <c r="AU43" s="460">
        <v>0</v>
      </c>
      <c r="AV43" s="460">
        <v>0</v>
      </c>
      <c r="AW43" s="460">
        <v>0</v>
      </c>
      <c r="AX43" s="460">
        <v>0</v>
      </c>
      <c r="AY43" s="460">
        <v>0</v>
      </c>
      <c r="AZ43" s="460">
        <v>0</v>
      </c>
      <c r="BA43" s="460">
        <v>0</v>
      </c>
      <c r="BB43" s="460">
        <v>0</v>
      </c>
      <c r="BC43" s="460">
        <v>0</v>
      </c>
      <c r="BD43" s="460">
        <v>-20041.7225387488</v>
      </c>
      <c r="BE43" s="460">
        <v>0</v>
      </c>
      <c r="BF43" s="460">
        <v>0</v>
      </c>
      <c r="BG43" s="460">
        <v>0</v>
      </c>
      <c r="BH43" s="460">
        <v>0</v>
      </c>
      <c r="BI43" s="460">
        <v>0</v>
      </c>
      <c r="BJ43" s="460">
        <v>0</v>
      </c>
      <c r="BK43" s="460">
        <v>0</v>
      </c>
      <c r="BL43" s="460">
        <v>0</v>
      </c>
      <c r="BM43" s="460">
        <v>0</v>
      </c>
      <c r="BN43" s="460">
        <v>0</v>
      </c>
      <c r="BO43" s="460">
        <v>0</v>
      </c>
      <c r="BP43" s="460">
        <v>0</v>
      </c>
      <c r="BQ43" s="460">
        <v>0</v>
      </c>
      <c r="BR43" s="460">
        <v>0</v>
      </c>
      <c r="BS43" s="460">
        <v>0</v>
      </c>
      <c r="BT43" s="460">
        <v>0</v>
      </c>
      <c r="BU43" s="460">
        <v>0</v>
      </c>
      <c r="BV43" s="460">
        <v>0</v>
      </c>
      <c r="BW43" s="460">
        <v>0</v>
      </c>
      <c r="BX43" s="460">
        <v>0</v>
      </c>
      <c r="BY43" s="460">
        <v>0</v>
      </c>
      <c r="BZ43" s="460">
        <v>0</v>
      </c>
      <c r="CA43" s="460" t="e">
        <v>#N/A</v>
      </c>
      <c r="CB43" s="460" t="e">
        <v>#N/A</v>
      </c>
      <c r="CC43" s="460" t="e">
        <v>#N/A</v>
      </c>
    </row>
    <row r="44" spans="1:81" ht="12.75" customHeight="1">
      <c r="A44" s="105">
        <v>39</v>
      </c>
      <c r="B44" s="458" t="str">
        <v>13Y</v>
      </c>
      <c r="C44" s="262">
        <f>'eur disaggregated'!AT55</f>
        <v>-5404.92363017768</v>
      </c>
      <c r="D44" s="111" t="str">
        <f t="shared" si="2"/>
        <v>156M</v>
      </c>
      <c r="E44" s="441">
        <f>BktEur1yPL!E44</f>
        <v>42696</v>
      </c>
      <c r="F44" s="441">
        <f>BktEur1yPL!F44</f>
        <v>47444</v>
      </c>
      <c r="G44" s="462">
        <f t="shared" si="1"/>
        <v>1.005913715E-2</v>
      </c>
      <c r="H44" s="453">
        <f>BktEur1yPL!H44</f>
        <v>1.0059137149999999</v>
      </c>
      <c r="I44" s="107" t="str">
        <v>11Y</v>
      </c>
      <c r="J44" s="106" t="str">
        <f>IF(LEN(I44)&gt;0,IF((MID(I44,4,1)=" "),#REF!,IF((LEN(I44)=8),DATE("20" &amp; RIGHT(I44,2),MID(I44,4,2),LEFT(I44,2)),SimplifyTenor(I44))),"")</f>
        <v>132M</v>
      </c>
      <c r="K44" s="448">
        <f>_xll.qlCalendarAdvance("TARGET",SettlementDate,J44)</f>
        <v>46713</v>
      </c>
      <c r="M44" s="99" t="str">
        <v>11Y</v>
      </c>
      <c r="N44" s="465">
        <v>862.74766509487699</v>
      </c>
      <c r="P44" s="106" t="b">
        <f t="shared" si="3"/>
        <v>0</v>
      </c>
      <c r="Q44" s="460">
        <f t="array" ref="Q44:CC44">C44*ForwardToZero(OisBuckets,E44,F44,G44)</f>
        <v>0</v>
      </c>
      <c r="R44" s="460">
        <v>0</v>
      </c>
      <c r="S44" s="460">
        <v>0</v>
      </c>
      <c r="T44" s="460">
        <v>0</v>
      </c>
      <c r="U44" s="460">
        <v>0</v>
      </c>
      <c r="V44" s="460">
        <v>0</v>
      </c>
      <c r="W44" s="460">
        <v>0</v>
      </c>
      <c r="X44" s="460">
        <v>0</v>
      </c>
      <c r="Y44" s="460">
        <v>0</v>
      </c>
      <c r="Z44" s="460">
        <v>0</v>
      </c>
      <c r="AA44" s="460">
        <v>0</v>
      </c>
      <c r="AB44" s="460">
        <v>0</v>
      </c>
      <c r="AC44" s="460">
        <v>0</v>
      </c>
      <c r="AD44" s="460">
        <v>0</v>
      </c>
      <c r="AE44" s="460">
        <v>0</v>
      </c>
      <c r="AF44" s="460">
        <v>0</v>
      </c>
      <c r="AG44" s="460">
        <v>0</v>
      </c>
      <c r="AH44" s="460">
        <v>0</v>
      </c>
      <c r="AI44" s="460">
        <v>0</v>
      </c>
      <c r="AJ44" s="460">
        <v>0</v>
      </c>
      <c r="AK44" s="460">
        <v>0</v>
      </c>
      <c r="AL44" s="460">
        <v>0</v>
      </c>
      <c r="AM44" s="460">
        <v>0</v>
      </c>
      <c r="AN44" s="460">
        <v>0</v>
      </c>
      <c r="AO44" s="460">
        <v>0</v>
      </c>
      <c r="AP44" s="460">
        <v>0</v>
      </c>
      <c r="AQ44" s="460">
        <v>0</v>
      </c>
      <c r="AR44" s="460">
        <v>0</v>
      </c>
      <c r="AS44" s="460">
        <v>0</v>
      </c>
      <c r="AT44" s="460">
        <v>0</v>
      </c>
      <c r="AU44" s="460">
        <v>0</v>
      </c>
      <c r="AV44" s="460">
        <v>0</v>
      </c>
      <c r="AW44" s="460">
        <v>0</v>
      </c>
      <c r="AX44" s="460">
        <v>0</v>
      </c>
      <c r="AY44" s="460">
        <v>0</v>
      </c>
      <c r="AZ44" s="460">
        <v>0</v>
      </c>
      <c r="BA44" s="460">
        <v>0</v>
      </c>
      <c r="BB44" s="460">
        <v>0</v>
      </c>
      <c r="BC44" s="460">
        <v>0</v>
      </c>
      <c r="BD44" s="460">
        <v>0</v>
      </c>
      <c r="BE44" s="460">
        <v>-5404.92363017768</v>
      </c>
      <c r="BF44" s="460">
        <v>0</v>
      </c>
      <c r="BG44" s="460">
        <v>0</v>
      </c>
      <c r="BH44" s="460">
        <v>0</v>
      </c>
      <c r="BI44" s="460">
        <v>0</v>
      </c>
      <c r="BJ44" s="460">
        <v>0</v>
      </c>
      <c r="BK44" s="460">
        <v>0</v>
      </c>
      <c r="BL44" s="460">
        <v>0</v>
      </c>
      <c r="BM44" s="460">
        <v>0</v>
      </c>
      <c r="BN44" s="460">
        <v>0</v>
      </c>
      <c r="BO44" s="460">
        <v>0</v>
      </c>
      <c r="BP44" s="460">
        <v>0</v>
      </c>
      <c r="BQ44" s="460">
        <v>0</v>
      </c>
      <c r="BR44" s="460">
        <v>0</v>
      </c>
      <c r="BS44" s="460">
        <v>0</v>
      </c>
      <c r="BT44" s="460">
        <v>0</v>
      </c>
      <c r="BU44" s="460">
        <v>0</v>
      </c>
      <c r="BV44" s="460">
        <v>0</v>
      </c>
      <c r="BW44" s="460">
        <v>0</v>
      </c>
      <c r="BX44" s="460">
        <v>0</v>
      </c>
      <c r="BY44" s="460">
        <v>0</v>
      </c>
      <c r="BZ44" s="460">
        <v>0</v>
      </c>
      <c r="CA44" s="460" t="e">
        <v>#N/A</v>
      </c>
      <c r="CB44" s="460" t="e">
        <v>#N/A</v>
      </c>
      <c r="CC44" s="460" t="e">
        <v>#N/A</v>
      </c>
    </row>
    <row r="45" spans="1:81" ht="12.75" customHeight="1">
      <c r="A45" s="105">
        <v>40</v>
      </c>
      <c r="B45" s="458" t="str">
        <v>14Y</v>
      </c>
      <c r="C45" s="262">
        <f>'eur disaggregated'!AT56</f>
        <v>803.11538088440795</v>
      </c>
      <c r="D45" s="111" t="str">
        <f t="shared" si="2"/>
        <v>168M</v>
      </c>
      <c r="E45" s="441">
        <f>BktEur1yPL!E45</f>
        <v>42696</v>
      </c>
      <c r="F45" s="441">
        <f>BktEur1yPL!F45</f>
        <v>47809</v>
      </c>
      <c r="G45" s="462">
        <f t="shared" si="1"/>
        <v>1.0570979689999999E-2</v>
      </c>
      <c r="H45" s="453">
        <f>BktEur1yPL!H45</f>
        <v>1.057097969</v>
      </c>
      <c r="I45" s="107" t="str">
        <v>12Y</v>
      </c>
      <c r="J45" s="106" t="str">
        <f>IF(LEN(I45)&gt;0,IF((MID(I45,4,1)=" "),#REF!,IF((LEN(I45)=8),DATE("20" &amp; RIGHT(I45,2),MID(I45,4,2),LEFT(I45,2)),SimplifyTenor(I45))),"")</f>
        <v>144M</v>
      </c>
      <c r="K45" s="448">
        <f>_xll.qlCalendarAdvance("TARGET",SettlementDate,J45)</f>
        <v>47079</v>
      </c>
      <c r="M45" s="99" t="str">
        <v>12Y</v>
      </c>
      <c r="N45" s="465">
        <v>-20041.7225387488</v>
      </c>
      <c r="P45" s="106" t="b">
        <f t="shared" si="3"/>
        <v>0</v>
      </c>
      <c r="Q45" s="460">
        <f t="array" ref="Q45:CC45">C45*ForwardToZero(OisBuckets,E45,F45,G45)</f>
        <v>0</v>
      </c>
      <c r="R45" s="460">
        <v>0</v>
      </c>
      <c r="S45" s="460">
        <v>0</v>
      </c>
      <c r="T45" s="460">
        <v>0</v>
      </c>
      <c r="U45" s="460">
        <v>0</v>
      </c>
      <c r="V45" s="460">
        <v>0</v>
      </c>
      <c r="W45" s="460">
        <v>0</v>
      </c>
      <c r="X45" s="460">
        <v>0</v>
      </c>
      <c r="Y45" s="460">
        <v>0</v>
      </c>
      <c r="Z45" s="460">
        <v>0</v>
      </c>
      <c r="AA45" s="460">
        <v>0</v>
      </c>
      <c r="AB45" s="460">
        <v>0</v>
      </c>
      <c r="AC45" s="460">
        <v>0</v>
      </c>
      <c r="AD45" s="460">
        <v>0</v>
      </c>
      <c r="AE45" s="460">
        <v>0</v>
      </c>
      <c r="AF45" s="460">
        <v>0</v>
      </c>
      <c r="AG45" s="460">
        <v>0</v>
      </c>
      <c r="AH45" s="460">
        <v>0</v>
      </c>
      <c r="AI45" s="460">
        <v>0</v>
      </c>
      <c r="AJ45" s="460">
        <v>0</v>
      </c>
      <c r="AK45" s="460">
        <v>0</v>
      </c>
      <c r="AL45" s="460">
        <v>0</v>
      </c>
      <c r="AM45" s="460">
        <v>0</v>
      </c>
      <c r="AN45" s="460">
        <v>0</v>
      </c>
      <c r="AO45" s="460">
        <v>0</v>
      </c>
      <c r="AP45" s="460">
        <v>0</v>
      </c>
      <c r="AQ45" s="460">
        <v>0</v>
      </c>
      <c r="AR45" s="460">
        <v>0</v>
      </c>
      <c r="AS45" s="460">
        <v>0</v>
      </c>
      <c r="AT45" s="460">
        <v>0</v>
      </c>
      <c r="AU45" s="460">
        <v>0</v>
      </c>
      <c r="AV45" s="460">
        <v>0</v>
      </c>
      <c r="AW45" s="460">
        <v>0</v>
      </c>
      <c r="AX45" s="460">
        <v>0</v>
      </c>
      <c r="AY45" s="460">
        <v>0</v>
      </c>
      <c r="AZ45" s="460">
        <v>0</v>
      </c>
      <c r="BA45" s="460">
        <v>0</v>
      </c>
      <c r="BB45" s="460">
        <v>0</v>
      </c>
      <c r="BC45" s="460">
        <v>0</v>
      </c>
      <c r="BD45" s="460">
        <v>0</v>
      </c>
      <c r="BE45" s="460">
        <v>0</v>
      </c>
      <c r="BF45" s="460">
        <v>803.11538088440795</v>
      </c>
      <c r="BG45" s="460">
        <v>0</v>
      </c>
      <c r="BH45" s="460">
        <v>0</v>
      </c>
      <c r="BI45" s="460">
        <v>0</v>
      </c>
      <c r="BJ45" s="460">
        <v>0</v>
      </c>
      <c r="BK45" s="460">
        <v>0</v>
      </c>
      <c r="BL45" s="460">
        <v>0</v>
      </c>
      <c r="BM45" s="460">
        <v>0</v>
      </c>
      <c r="BN45" s="460">
        <v>0</v>
      </c>
      <c r="BO45" s="460">
        <v>0</v>
      </c>
      <c r="BP45" s="460">
        <v>0</v>
      </c>
      <c r="BQ45" s="460">
        <v>0</v>
      </c>
      <c r="BR45" s="460">
        <v>0</v>
      </c>
      <c r="BS45" s="460">
        <v>0</v>
      </c>
      <c r="BT45" s="460">
        <v>0</v>
      </c>
      <c r="BU45" s="460">
        <v>0</v>
      </c>
      <c r="BV45" s="460">
        <v>0</v>
      </c>
      <c r="BW45" s="460">
        <v>0</v>
      </c>
      <c r="BX45" s="460">
        <v>0</v>
      </c>
      <c r="BY45" s="460">
        <v>0</v>
      </c>
      <c r="BZ45" s="460">
        <v>0</v>
      </c>
      <c r="CA45" s="460" t="e">
        <v>#N/A</v>
      </c>
      <c r="CB45" s="460" t="e">
        <v>#N/A</v>
      </c>
      <c r="CC45" s="460" t="e">
        <v>#N/A</v>
      </c>
    </row>
    <row r="46" spans="1:81" ht="12.75" customHeight="1">
      <c r="A46" s="105">
        <v>41</v>
      </c>
      <c r="B46" s="458" t="str">
        <v>15Y</v>
      </c>
      <c r="C46" s="262">
        <f>'eur disaggregated'!AT57</f>
        <v>-468.45610789465798</v>
      </c>
      <c r="D46" s="111" t="str">
        <f t="shared" si="2"/>
        <v>180M</v>
      </c>
      <c r="E46" s="441">
        <f>BktEur1yPL!E46</f>
        <v>42696</v>
      </c>
      <c r="F46" s="441">
        <f>BktEur1yPL!F46</f>
        <v>48176</v>
      </c>
      <c r="G46" s="462">
        <f t="shared" si="1"/>
        <v>1.1000000000000001E-2</v>
      </c>
      <c r="H46" s="453">
        <f>BktEur1yPL!H46</f>
        <v>1.1000000000000001</v>
      </c>
      <c r="I46" s="107" t="str">
        <v>13Y</v>
      </c>
      <c r="J46" s="106" t="str">
        <f>IF(LEN(I46)&gt;0,IF((MID(I46,4,1)=" "),#REF!,IF((LEN(I46)=8),DATE("20" &amp; RIGHT(I46,2),MID(I46,4,2),LEFT(I46,2)),SimplifyTenor(I46))),"")</f>
        <v>156M</v>
      </c>
      <c r="K46" s="448">
        <f>_xll.qlCalendarAdvance("TARGET",SettlementDate,J46)</f>
        <v>47444</v>
      </c>
      <c r="M46" s="99" t="str">
        <v>13Y</v>
      </c>
      <c r="N46" s="465">
        <v>-5404.92363017768</v>
      </c>
      <c r="P46" s="106" t="b">
        <f t="shared" si="3"/>
        <v>0</v>
      </c>
      <c r="Q46" s="460">
        <f t="array" ref="Q46:CC46">C46*ForwardToZero(OisBuckets,E46,F46,G46)</f>
        <v>0</v>
      </c>
      <c r="R46" s="460">
        <v>0</v>
      </c>
      <c r="S46" s="460">
        <v>0</v>
      </c>
      <c r="T46" s="460">
        <v>0</v>
      </c>
      <c r="U46" s="460">
        <v>0</v>
      </c>
      <c r="V46" s="460">
        <v>0</v>
      </c>
      <c r="W46" s="460">
        <v>0</v>
      </c>
      <c r="X46" s="460">
        <v>0</v>
      </c>
      <c r="Y46" s="460">
        <v>0</v>
      </c>
      <c r="Z46" s="460">
        <v>0</v>
      </c>
      <c r="AA46" s="460">
        <v>0</v>
      </c>
      <c r="AB46" s="460">
        <v>0</v>
      </c>
      <c r="AC46" s="460">
        <v>0</v>
      </c>
      <c r="AD46" s="460">
        <v>0</v>
      </c>
      <c r="AE46" s="460">
        <v>0</v>
      </c>
      <c r="AF46" s="460">
        <v>0</v>
      </c>
      <c r="AG46" s="460">
        <v>0</v>
      </c>
      <c r="AH46" s="460">
        <v>0</v>
      </c>
      <c r="AI46" s="460">
        <v>0</v>
      </c>
      <c r="AJ46" s="460">
        <v>0</v>
      </c>
      <c r="AK46" s="460">
        <v>0</v>
      </c>
      <c r="AL46" s="460">
        <v>0</v>
      </c>
      <c r="AM46" s="460">
        <v>0</v>
      </c>
      <c r="AN46" s="460">
        <v>0</v>
      </c>
      <c r="AO46" s="460">
        <v>0</v>
      </c>
      <c r="AP46" s="460">
        <v>0</v>
      </c>
      <c r="AQ46" s="460">
        <v>0</v>
      </c>
      <c r="AR46" s="460">
        <v>0</v>
      </c>
      <c r="AS46" s="460">
        <v>0</v>
      </c>
      <c r="AT46" s="460">
        <v>0</v>
      </c>
      <c r="AU46" s="460">
        <v>0</v>
      </c>
      <c r="AV46" s="460">
        <v>0</v>
      </c>
      <c r="AW46" s="460">
        <v>0</v>
      </c>
      <c r="AX46" s="460">
        <v>0</v>
      </c>
      <c r="AY46" s="460">
        <v>0</v>
      </c>
      <c r="AZ46" s="460">
        <v>0</v>
      </c>
      <c r="BA46" s="460">
        <v>0</v>
      </c>
      <c r="BB46" s="460">
        <v>0</v>
      </c>
      <c r="BC46" s="460">
        <v>0</v>
      </c>
      <c r="BD46" s="460">
        <v>0</v>
      </c>
      <c r="BE46" s="460">
        <v>0</v>
      </c>
      <c r="BF46" s="460">
        <v>0</v>
      </c>
      <c r="BG46" s="460">
        <v>-468.45610789465798</v>
      </c>
      <c r="BH46" s="460">
        <v>0</v>
      </c>
      <c r="BI46" s="460">
        <v>0</v>
      </c>
      <c r="BJ46" s="460">
        <v>0</v>
      </c>
      <c r="BK46" s="460">
        <v>0</v>
      </c>
      <c r="BL46" s="460">
        <v>0</v>
      </c>
      <c r="BM46" s="460">
        <v>0</v>
      </c>
      <c r="BN46" s="460">
        <v>0</v>
      </c>
      <c r="BO46" s="460">
        <v>0</v>
      </c>
      <c r="BP46" s="460">
        <v>0</v>
      </c>
      <c r="BQ46" s="460">
        <v>0</v>
      </c>
      <c r="BR46" s="460">
        <v>0</v>
      </c>
      <c r="BS46" s="460">
        <v>0</v>
      </c>
      <c r="BT46" s="460">
        <v>0</v>
      </c>
      <c r="BU46" s="460">
        <v>0</v>
      </c>
      <c r="BV46" s="460">
        <v>0</v>
      </c>
      <c r="BW46" s="460">
        <v>0</v>
      </c>
      <c r="BX46" s="460">
        <v>0</v>
      </c>
      <c r="BY46" s="460">
        <v>0</v>
      </c>
      <c r="BZ46" s="460">
        <v>0</v>
      </c>
      <c r="CA46" s="460" t="e">
        <v>#N/A</v>
      </c>
      <c r="CB46" s="460" t="e">
        <v>#N/A</v>
      </c>
      <c r="CC46" s="460" t="e">
        <v>#N/A</v>
      </c>
    </row>
    <row r="47" spans="1:81" ht="12.75" customHeight="1">
      <c r="A47" s="105">
        <v>42</v>
      </c>
      <c r="B47" s="458" t="str">
        <v>16Y</v>
      </c>
      <c r="C47" s="262">
        <f>'eur disaggregated'!AT58</f>
        <v>2834.3729592667401</v>
      </c>
      <c r="D47" s="111" t="str">
        <f t="shared" si="2"/>
        <v>192M</v>
      </c>
      <c r="E47" s="441">
        <f>BktEur1yPL!E47</f>
        <v>42696</v>
      </c>
      <c r="F47" s="441">
        <f>BktEur1yPL!F47</f>
        <v>48540</v>
      </c>
      <c r="G47" s="462">
        <f t="shared" si="1"/>
        <v>1.1351840619999999E-2</v>
      </c>
      <c r="H47" s="453">
        <f>BktEur1yPL!H47</f>
        <v>1.135184062</v>
      </c>
      <c r="I47" s="107" t="str">
        <v>14Y</v>
      </c>
      <c r="J47" s="106" t="str">
        <f>IF(LEN(I47)&gt;0,IF((MID(I47,4,1)=" "),#REF!,IF((LEN(I47)=8),DATE("20" &amp; RIGHT(I47,2),MID(I47,4,2),LEFT(I47,2)),SimplifyTenor(I47))),"")</f>
        <v>168M</v>
      </c>
      <c r="K47" s="448">
        <f>_xll.qlCalendarAdvance("TARGET",SettlementDate,J47)</f>
        <v>47809</v>
      </c>
      <c r="M47" s="99" t="str">
        <v>14Y</v>
      </c>
      <c r="N47" s="465">
        <v>803.11538088440795</v>
      </c>
      <c r="P47" s="106" t="b">
        <f t="shared" si="3"/>
        <v>0</v>
      </c>
      <c r="Q47" s="460">
        <f t="array" ref="Q47:CC47">C47*ForwardToZero(OisBuckets,E47,F47,G47)</f>
        <v>0</v>
      </c>
      <c r="R47" s="460">
        <v>0</v>
      </c>
      <c r="S47" s="460">
        <v>0</v>
      </c>
      <c r="T47" s="460">
        <v>0</v>
      </c>
      <c r="U47" s="460">
        <v>0</v>
      </c>
      <c r="V47" s="460">
        <v>0</v>
      </c>
      <c r="W47" s="460">
        <v>0</v>
      </c>
      <c r="X47" s="460">
        <v>0</v>
      </c>
      <c r="Y47" s="460">
        <v>0</v>
      </c>
      <c r="Z47" s="460">
        <v>0</v>
      </c>
      <c r="AA47" s="460">
        <v>0</v>
      </c>
      <c r="AB47" s="460">
        <v>0</v>
      </c>
      <c r="AC47" s="460">
        <v>0</v>
      </c>
      <c r="AD47" s="460">
        <v>0</v>
      </c>
      <c r="AE47" s="460">
        <v>0</v>
      </c>
      <c r="AF47" s="460">
        <v>0</v>
      </c>
      <c r="AG47" s="460">
        <v>0</v>
      </c>
      <c r="AH47" s="460">
        <v>0</v>
      </c>
      <c r="AI47" s="460">
        <v>0</v>
      </c>
      <c r="AJ47" s="460">
        <v>0</v>
      </c>
      <c r="AK47" s="460">
        <v>0</v>
      </c>
      <c r="AL47" s="460">
        <v>0</v>
      </c>
      <c r="AM47" s="460">
        <v>0</v>
      </c>
      <c r="AN47" s="460">
        <v>0</v>
      </c>
      <c r="AO47" s="460">
        <v>0</v>
      </c>
      <c r="AP47" s="460">
        <v>0</v>
      </c>
      <c r="AQ47" s="460">
        <v>0</v>
      </c>
      <c r="AR47" s="460">
        <v>0</v>
      </c>
      <c r="AS47" s="460">
        <v>0</v>
      </c>
      <c r="AT47" s="460">
        <v>0</v>
      </c>
      <c r="AU47" s="460">
        <v>0</v>
      </c>
      <c r="AV47" s="460">
        <v>0</v>
      </c>
      <c r="AW47" s="460">
        <v>0</v>
      </c>
      <c r="AX47" s="460">
        <v>0</v>
      </c>
      <c r="AY47" s="460">
        <v>0</v>
      </c>
      <c r="AZ47" s="460">
        <v>0</v>
      </c>
      <c r="BA47" s="460">
        <v>0</v>
      </c>
      <c r="BB47" s="460">
        <v>0</v>
      </c>
      <c r="BC47" s="460">
        <v>0</v>
      </c>
      <c r="BD47" s="460">
        <v>0</v>
      </c>
      <c r="BE47" s="460">
        <v>0</v>
      </c>
      <c r="BF47" s="460">
        <v>0</v>
      </c>
      <c r="BG47" s="460">
        <v>0</v>
      </c>
      <c r="BH47" s="460">
        <v>2834.3729592667401</v>
      </c>
      <c r="BI47" s="460">
        <v>0</v>
      </c>
      <c r="BJ47" s="460">
        <v>0</v>
      </c>
      <c r="BK47" s="460">
        <v>0</v>
      </c>
      <c r="BL47" s="460">
        <v>0</v>
      </c>
      <c r="BM47" s="460">
        <v>0</v>
      </c>
      <c r="BN47" s="460">
        <v>0</v>
      </c>
      <c r="BO47" s="460">
        <v>0</v>
      </c>
      <c r="BP47" s="460">
        <v>0</v>
      </c>
      <c r="BQ47" s="460">
        <v>0</v>
      </c>
      <c r="BR47" s="460">
        <v>0</v>
      </c>
      <c r="BS47" s="460">
        <v>0</v>
      </c>
      <c r="BT47" s="460">
        <v>0</v>
      </c>
      <c r="BU47" s="460">
        <v>0</v>
      </c>
      <c r="BV47" s="460">
        <v>0</v>
      </c>
      <c r="BW47" s="460">
        <v>0</v>
      </c>
      <c r="BX47" s="460">
        <v>0</v>
      </c>
      <c r="BY47" s="460">
        <v>0</v>
      </c>
      <c r="BZ47" s="460">
        <v>0</v>
      </c>
      <c r="CA47" s="460" t="e">
        <v>#N/A</v>
      </c>
      <c r="CB47" s="460" t="e">
        <v>#N/A</v>
      </c>
      <c r="CC47" s="460" t="e">
        <v>#N/A</v>
      </c>
    </row>
    <row r="48" spans="1:81" ht="12.75" customHeight="1">
      <c r="A48" s="105">
        <v>43</v>
      </c>
      <c r="B48" s="458" t="str">
        <v>17Y</v>
      </c>
      <c r="C48" s="262">
        <f>'eur disaggregated'!AT59</f>
        <v>-27413.470929782299</v>
      </c>
      <c r="D48" s="111" t="str">
        <f t="shared" si="2"/>
        <v>204M</v>
      </c>
      <c r="E48" s="441">
        <f>BktEur1yPL!E48</f>
        <v>42696</v>
      </c>
      <c r="F48" s="441">
        <f>BktEur1yPL!F48</f>
        <v>48905</v>
      </c>
      <c r="G48" s="462">
        <f t="shared" si="1"/>
        <v>1.163006934E-2</v>
      </c>
      <c r="H48" s="453">
        <f>BktEur1yPL!H48</f>
        <v>1.163006934</v>
      </c>
      <c r="I48" s="107" t="str">
        <v>15Y</v>
      </c>
      <c r="J48" s="106" t="str">
        <f>IF(LEN(I48)&gt;0,IF((MID(I48,4,1)=" "),#REF!,IF((LEN(I48)=8),DATE("20" &amp; RIGHT(I48,2),MID(I48,4,2),LEFT(I48,2)),SimplifyTenor(I48))),"")</f>
        <v>180M</v>
      </c>
      <c r="K48" s="448">
        <f>_xll.qlCalendarAdvance("TARGET",SettlementDate,J48)</f>
        <v>48176</v>
      </c>
      <c r="M48" s="99" t="str">
        <v>15Y</v>
      </c>
      <c r="N48" s="465">
        <v>-468.45610789465798</v>
      </c>
      <c r="P48" s="106" t="b">
        <f t="shared" si="3"/>
        <v>0</v>
      </c>
      <c r="Q48" s="460">
        <f t="array" ref="Q48:CC48">C48*ForwardToZero(OisBuckets,E48,F48,G48)</f>
        <v>0</v>
      </c>
      <c r="R48" s="460">
        <v>0</v>
      </c>
      <c r="S48" s="460">
        <v>0</v>
      </c>
      <c r="T48" s="460">
        <v>0</v>
      </c>
      <c r="U48" s="460">
        <v>0</v>
      </c>
      <c r="V48" s="460">
        <v>0</v>
      </c>
      <c r="W48" s="460">
        <v>0</v>
      </c>
      <c r="X48" s="460">
        <v>0</v>
      </c>
      <c r="Y48" s="460">
        <v>0</v>
      </c>
      <c r="Z48" s="460">
        <v>0</v>
      </c>
      <c r="AA48" s="460">
        <v>0</v>
      </c>
      <c r="AB48" s="460">
        <v>0</v>
      </c>
      <c r="AC48" s="460">
        <v>0</v>
      </c>
      <c r="AD48" s="460">
        <v>0</v>
      </c>
      <c r="AE48" s="460">
        <v>0</v>
      </c>
      <c r="AF48" s="460">
        <v>0</v>
      </c>
      <c r="AG48" s="460">
        <v>0</v>
      </c>
      <c r="AH48" s="460">
        <v>0</v>
      </c>
      <c r="AI48" s="460">
        <v>0</v>
      </c>
      <c r="AJ48" s="460">
        <v>0</v>
      </c>
      <c r="AK48" s="460">
        <v>0</v>
      </c>
      <c r="AL48" s="460">
        <v>0</v>
      </c>
      <c r="AM48" s="460">
        <v>0</v>
      </c>
      <c r="AN48" s="460">
        <v>0</v>
      </c>
      <c r="AO48" s="460">
        <v>0</v>
      </c>
      <c r="AP48" s="460">
        <v>0</v>
      </c>
      <c r="AQ48" s="460">
        <v>0</v>
      </c>
      <c r="AR48" s="460">
        <v>0</v>
      </c>
      <c r="AS48" s="460">
        <v>0</v>
      </c>
      <c r="AT48" s="460">
        <v>0</v>
      </c>
      <c r="AU48" s="460">
        <v>0</v>
      </c>
      <c r="AV48" s="460">
        <v>0</v>
      </c>
      <c r="AW48" s="460">
        <v>0</v>
      </c>
      <c r="AX48" s="460">
        <v>0</v>
      </c>
      <c r="AY48" s="460">
        <v>0</v>
      </c>
      <c r="AZ48" s="460">
        <v>0</v>
      </c>
      <c r="BA48" s="460">
        <v>0</v>
      </c>
      <c r="BB48" s="460">
        <v>0</v>
      </c>
      <c r="BC48" s="460">
        <v>0</v>
      </c>
      <c r="BD48" s="460">
        <v>0</v>
      </c>
      <c r="BE48" s="460">
        <v>0</v>
      </c>
      <c r="BF48" s="460">
        <v>0</v>
      </c>
      <c r="BG48" s="460">
        <v>0</v>
      </c>
      <c r="BH48" s="460">
        <v>0</v>
      </c>
      <c r="BI48" s="460">
        <v>-27413.470929782299</v>
      </c>
      <c r="BJ48" s="460">
        <v>0</v>
      </c>
      <c r="BK48" s="460">
        <v>0</v>
      </c>
      <c r="BL48" s="460">
        <v>0</v>
      </c>
      <c r="BM48" s="460">
        <v>0</v>
      </c>
      <c r="BN48" s="460">
        <v>0</v>
      </c>
      <c r="BO48" s="460">
        <v>0</v>
      </c>
      <c r="BP48" s="460">
        <v>0</v>
      </c>
      <c r="BQ48" s="460">
        <v>0</v>
      </c>
      <c r="BR48" s="460">
        <v>0</v>
      </c>
      <c r="BS48" s="460">
        <v>0</v>
      </c>
      <c r="BT48" s="460">
        <v>0</v>
      </c>
      <c r="BU48" s="460">
        <v>0</v>
      </c>
      <c r="BV48" s="460">
        <v>0</v>
      </c>
      <c r="BW48" s="460">
        <v>0</v>
      </c>
      <c r="BX48" s="460">
        <v>0</v>
      </c>
      <c r="BY48" s="460">
        <v>0</v>
      </c>
      <c r="BZ48" s="460">
        <v>0</v>
      </c>
      <c r="CA48" s="460" t="e">
        <v>#N/A</v>
      </c>
      <c r="CB48" s="460" t="e">
        <v>#N/A</v>
      </c>
      <c r="CC48" s="460" t="e">
        <v>#N/A</v>
      </c>
    </row>
    <row r="49" spans="1:81" ht="12.75" customHeight="1">
      <c r="A49" s="105">
        <v>44</v>
      </c>
      <c r="B49" s="458" t="str">
        <v>18Y</v>
      </c>
      <c r="C49" s="262">
        <f>'eur disaggregated'!AT60</f>
        <v>-80566.952559293393</v>
      </c>
      <c r="D49" s="111" t="str">
        <f t="shared" si="2"/>
        <v>216M</v>
      </c>
      <c r="E49" s="441">
        <f>BktEur1yPL!E49</f>
        <v>42696</v>
      </c>
      <c r="F49" s="441">
        <f>BktEur1yPL!F49</f>
        <v>49270</v>
      </c>
      <c r="G49" s="462">
        <f t="shared" si="1"/>
        <v>1.1848519790000001E-2</v>
      </c>
      <c r="H49" s="453">
        <f>BktEur1yPL!H49</f>
        <v>1.1848519790000001</v>
      </c>
      <c r="I49" s="107" t="str">
        <v>16Y</v>
      </c>
      <c r="J49" s="106" t="str">
        <f>IF(LEN(I49)&gt;0,IF((MID(I49,4,1)=" "),#REF!,IF((LEN(I49)=8),DATE("20" &amp; RIGHT(I49,2),MID(I49,4,2),LEFT(I49,2)),SimplifyTenor(I49))),"")</f>
        <v>192M</v>
      </c>
      <c r="K49" s="448">
        <f>_xll.qlCalendarAdvance("TARGET",SettlementDate,J49)</f>
        <v>48540</v>
      </c>
      <c r="M49" s="99" t="str">
        <v>16Y</v>
      </c>
      <c r="N49" s="465">
        <v>2834.3729592667401</v>
      </c>
      <c r="P49" s="106" t="b">
        <f t="shared" si="3"/>
        <v>0</v>
      </c>
      <c r="Q49" s="460">
        <f t="array" ref="Q49:CC49">C49*ForwardToZero(OisBuckets,E49,F49,G49)</f>
        <v>0</v>
      </c>
      <c r="R49" s="460">
        <v>0</v>
      </c>
      <c r="S49" s="460">
        <v>0</v>
      </c>
      <c r="T49" s="460">
        <v>0</v>
      </c>
      <c r="U49" s="460">
        <v>0</v>
      </c>
      <c r="V49" s="460">
        <v>0</v>
      </c>
      <c r="W49" s="460">
        <v>0</v>
      </c>
      <c r="X49" s="460">
        <v>0</v>
      </c>
      <c r="Y49" s="460">
        <v>0</v>
      </c>
      <c r="Z49" s="460">
        <v>0</v>
      </c>
      <c r="AA49" s="460">
        <v>0</v>
      </c>
      <c r="AB49" s="460">
        <v>0</v>
      </c>
      <c r="AC49" s="460">
        <v>0</v>
      </c>
      <c r="AD49" s="460">
        <v>0</v>
      </c>
      <c r="AE49" s="460">
        <v>0</v>
      </c>
      <c r="AF49" s="460">
        <v>0</v>
      </c>
      <c r="AG49" s="460">
        <v>0</v>
      </c>
      <c r="AH49" s="460">
        <v>0</v>
      </c>
      <c r="AI49" s="460">
        <v>0</v>
      </c>
      <c r="AJ49" s="460">
        <v>0</v>
      </c>
      <c r="AK49" s="460">
        <v>0</v>
      </c>
      <c r="AL49" s="460">
        <v>0</v>
      </c>
      <c r="AM49" s="460">
        <v>0</v>
      </c>
      <c r="AN49" s="460">
        <v>0</v>
      </c>
      <c r="AO49" s="460">
        <v>0</v>
      </c>
      <c r="AP49" s="460">
        <v>0</v>
      </c>
      <c r="AQ49" s="460">
        <v>0</v>
      </c>
      <c r="AR49" s="460">
        <v>0</v>
      </c>
      <c r="AS49" s="460">
        <v>0</v>
      </c>
      <c r="AT49" s="460">
        <v>0</v>
      </c>
      <c r="AU49" s="460">
        <v>0</v>
      </c>
      <c r="AV49" s="460">
        <v>0</v>
      </c>
      <c r="AW49" s="460">
        <v>0</v>
      </c>
      <c r="AX49" s="460">
        <v>0</v>
      </c>
      <c r="AY49" s="460">
        <v>0</v>
      </c>
      <c r="AZ49" s="460">
        <v>0</v>
      </c>
      <c r="BA49" s="460">
        <v>0</v>
      </c>
      <c r="BB49" s="460">
        <v>0</v>
      </c>
      <c r="BC49" s="460">
        <v>0</v>
      </c>
      <c r="BD49" s="460">
        <v>0</v>
      </c>
      <c r="BE49" s="460">
        <v>0</v>
      </c>
      <c r="BF49" s="460">
        <v>0</v>
      </c>
      <c r="BG49" s="460">
        <v>0</v>
      </c>
      <c r="BH49" s="460">
        <v>0</v>
      </c>
      <c r="BI49" s="460">
        <v>0</v>
      </c>
      <c r="BJ49" s="460">
        <v>-80566.952559293393</v>
      </c>
      <c r="BK49" s="460">
        <v>0</v>
      </c>
      <c r="BL49" s="460">
        <v>0</v>
      </c>
      <c r="BM49" s="460">
        <v>0</v>
      </c>
      <c r="BN49" s="460">
        <v>0</v>
      </c>
      <c r="BO49" s="460">
        <v>0</v>
      </c>
      <c r="BP49" s="460">
        <v>0</v>
      </c>
      <c r="BQ49" s="460">
        <v>0</v>
      </c>
      <c r="BR49" s="460">
        <v>0</v>
      </c>
      <c r="BS49" s="460">
        <v>0</v>
      </c>
      <c r="BT49" s="460">
        <v>0</v>
      </c>
      <c r="BU49" s="460">
        <v>0</v>
      </c>
      <c r="BV49" s="460">
        <v>0</v>
      </c>
      <c r="BW49" s="460">
        <v>0</v>
      </c>
      <c r="BX49" s="460">
        <v>0</v>
      </c>
      <c r="BY49" s="460">
        <v>0</v>
      </c>
      <c r="BZ49" s="460">
        <v>0</v>
      </c>
      <c r="CA49" s="460" t="e">
        <v>#N/A</v>
      </c>
      <c r="CB49" s="460" t="e">
        <v>#N/A</v>
      </c>
      <c r="CC49" s="460" t="e">
        <v>#N/A</v>
      </c>
    </row>
    <row r="50" spans="1:81" ht="12.75" customHeight="1">
      <c r="A50" s="105">
        <v>45</v>
      </c>
      <c r="B50" s="458" t="str">
        <v>19Y</v>
      </c>
      <c r="C50" s="262">
        <f>'eur disaggregated'!AT61</f>
        <v>114448.62245516801</v>
      </c>
      <c r="D50" s="111" t="str">
        <f t="shared" si="2"/>
        <v>228M</v>
      </c>
      <c r="E50" s="441">
        <f>BktEur1yPL!E50</f>
        <v>42696</v>
      </c>
      <c r="F50" s="441">
        <f>BktEur1yPL!F50</f>
        <v>49635</v>
      </c>
      <c r="G50" s="462">
        <f t="shared" si="1"/>
        <v>1.2014147349999999E-2</v>
      </c>
      <c r="H50" s="453">
        <f>BktEur1yPL!H50</f>
        <v>1.201414735</v>
      </c>
      <c r="I50" s="107" t="str">
        <v>17Y</v>
      </c>
      <c r="J50" s="106" t="str">
        <f>IF(LEN(I50)&gt;0,IF((MID(I50,4,1)=" "),#REF!,IF((LEN(I50)=8),DATE("20" &amp; RIGHT(I50,2),MID(I50,4,2),LEFT(I50,2)),SimplifyTenor(I50))),"")</f>
        <v>204M</v>
      </c>
      <c r="K50" s="448">
        <f>_xll.qlCalendarAdvance("TARGET",SettlementDate,J50)</f>
        <v>48905</v>
      </c>
      <c r="M50" s="99" t="str">
        <v>17Y</v>
      </c>
      <c r="N50" s="465">
        <v>-27413.470929782299</v>
      </c>
      <c r="P50" s="106" t="b">
        <f t="shared" si="3"/>
        <v>0</v>
      </c>
      <c r="Q50" s="460">
        <f t="array" ref="Q50:CC50">C50*ForwardToZero(OisBuckets,E50,F50,G50)</f>
        <v>0</v>
      </c>
      <c r="R50" s="460">
        <v>0</v>
      </c>
      <c r="S50" s="460">
        <v>0</v>
      </c>
      <c r="T50" s="460">
        <v>0</v>
      </c>
      <c r="U50" s="460">
        <v>0</v>
      </c>
      <c r="V50" s="460">
        <v>0</v>
      </c>
      <c r="W50" s="460">
        <v>0</v>
      </c>
      <c r="X50" s="460">
        <v>0</v>
      </c>
      <c r="Y50" s="460">
        <v>0</v>
      </c>
      <c r="Z50" s="460">
        <v>0</v>
      </c>
      <c r="AA50" s="460">
        <v>0</v>
      </c>
      <c r="AB50" s="460">
        <v>0</v>
      </c>
      <c r="AC50" s="460">
        <v>0</v>
      </c>
      <c r="AD50" s="460">
        <v>0</v>
      </c>
      <c r="AE50" s="460">
        <v>0</v>
      </c>
      <c r="AF50" s="460">
        <v>0</v>
      </c>
      <c r="AG50" s="460">
        <v>0</v>
      </c>
      <c r="AH50" s="460">
        <v>0</v>
      </c>
      <c r="AI50" s="460">
        <v>0</v>
      </c>
      <c r="AJ50" s="460">
        <v>0</v>
      </c>
      <c r="AK50" s="460">
        <v>0</v>
      </c>
      <c r="AL50" s="460">
        <v>0</v>
      </c>
      <c r="AM50" s="460">
        <v>0</v>
      </c>
      <c r="AN50" s="460">
        <v>0</v>
      </c>
      <c r="AO50" s="460">
        <v>0</v>
      </c>
      <c r="AP50" s="460">
        <v>0</v>
      </c>
      <c r="AQ50" s="460">
        <v>0</v>
      </c>
      <c r="AR50" s="460">
        <v>0</v>
      </c>
      <c r="AS50" s="460">
        <v>0</v>
      </c>
      <c r="AT50" s="460">
        <v>0</v>
      </c>
      <c r="AU50" s="460">
        <v>0</v>
      </c>
      <c r="AV50" s="460">
        <v>0</v>
      </c>
      <c r="AW50" s="460">
        <v>0</v>
      </c>
      <c r="AX50" s="460">
        <v>0</v>
      </c>
      <c r="AY50" s="460">
        <v>0</v>
      </c>
      <c r="AZ50" s="460">
        <v>0</v>
      </c>
      <c r="BA50" s="460">
        <v>0</v>
      </c>
      <c r="BB50" s="460">
        <v>0</v>
      </c>
      <c r="BC50" s="460">
        <v>0</v>
      </c>
      <c r="BD50" s="460">
        <v>0</v>
      </c>
      <c r="BE50" s="460">
        <v>0</v>
      </c>
      <c r="BF50" s="460">
        <v>0</v>
      </c>
      <c r="BG50" s="460">
        <v>0</v>
      </c>
      <c r="BH50" s="460">
        <v>0</v>
      </c>
      <c r="BI50" s="460">
        <v>0</v>
      </c>
      <c r="BJ50" s="460">
        <v>0</v>
      </c>
      <c r="BK50" s="460">
        <v>114448.62245516801</v>
      </c>
      <c r="BL50" s="460">
        <v>0</v>
      </c>
      <c r="BM50" s="460">
        <v>0</v>
      </c>
      <c r="BN50" s="460">
        <v>0</v>
      </c>
      <c r="BO50" s="460">
        <v>0</v>
      </c>
      <c r="BP50" s="460">
        <v>0</v>
      </c>
      <c r="BQ50" s="460">
        <v>0</v>
      </c>
      <c r="BR50" s="460">
        <v>0</v>
      </c>
      <c r="BS50" s="460">
        <v>0</v>
      </c>
      <c r="BT50" s="460">
        <v>0</v>
      </c>
      <c r="BU50" s="460">
        <v>0</v>
      </c>
      <c r="BV50" s="460">
        <v>0</v>
      </c>
      <c r="BW50" s="460">
        <v>0</v>
      </c>
      <c r="BX50" s="460">
        <v>0</v>
      </c>
      <c r="BY50" s="460">
        <v>0</v>
      </c>
      <c r="BZ50" s="460">
        <v>0</v>
      </c>
      <c r="CA50" s="460" t="e">
        <v>#N/A</v>
      </c>
      <c r="CB50" s="460" t="e">
        <v>#N/A</v>
      </c>
      <c r="CC50" s="460" t="e">
        <v>#N/A</v>
      </c>
    </row>
    <row r="51" spans="1:81" ht="12.75" customHeight="1">
      <c r="A51" s="105">
        <v>46</v>
      </c>
      <c r="B51" s="458" t="str">
        <v>20Y</v>
      </c>
      <c r="C51" s="262">
        <f>'eur disaggregated'!AT62</f>
        <v>240845.81626304699</v>
      </c>
      <c r="D51" s="111" t="str">
        <f t="shared" si="2"/>
        <v>240M</v>
      </c>
      <c r="E51" s="441">
        <f>BktEur1yPL!E51</f>
        <v>42696</v>
      </c>
      <c r="F51" s="441">
        <f>BktEur1yPL!F51</f>
        <v>50003</v>
      </c>
      <c r="G51" s="462">
        <f t="shared" si="1"/>
        <v>1.214E-2</v>
      </c>
      <c r="H51" s="453">
        <f>BktEur1yPL!H51</f>
        <v>1.214</v>
      </c>
      <c r="I51" s="107" t="str">
        <v>18Y</v>
      </c>
      <c r="J51" s="106" t="str">
        <f>IF(LEN(I51)&gt;0,IF((MID(I51,4,1)=" "),#REF!,IF((LEN(I51)=8),DATE("20" &amp; RIGHT(I51,2),MID(I51,4,2),LEFT(I51,2)),SimplifyTenor(I51))),"")</f>
        <v>216M</v>
      </c>
      <c r="K51" s="448">
        <f>_xll.qlCalendarAdvance("TARGET",SettlementDate,J51)</f>
        <v>49270</v>
      </c>
      <c r="M51" s="99" t="str">
        <v>18Y</v>
      </c>
      <c r="N51" s="465">
        <v>-80566.952559293393</v>
      </c>
      <c r="P51" s="106" t="b">
        <f t="shared" si="3"/>
        <v>0</v>
      </c>
      <c r="Q51" s="460">
        <f t="array" ref="Q51:CC51">C51*ForwardToZero(OisBuckets,E51,F51,G51)</f>
        <v>0</v>
      </c>
      <c r="R51" s="460">
        <v>0</v>
      </c>
      <c r="S51" s="460">
        <v>0</v>
      </c>
      <c r="T51" s="460">
        <v>0</v>
      </c>
      <c r="U51" s="460">
        <v>0</v>
      </c>
      <c r="V51" s="460">
        <v>0</v>
      </c>
      <c r="W51" s="460">
        <v>0</v>
      </c>
      <c r="X51" s="460">
        <v>0</v>
      </c>
      <c r="Y51" s="460">
        <v>0</v>
      </c>
      <c r="Z51" s="460">
        <v>0</v>
      </c>
      <c r="AA51" s="460">
        <v>0</v>
      </c>
      <c r="AB51" s="460">
        <v>0</v>
      </c>
      <c r="AC51" s="460">
        <v>0</v>
      </c>
      <c r="AD51" s="460">
        <v>0</v>
      </c>
      <c r="AE51" s="460">
        <v>0</v>
      </c>
      <c r="AF51" s="460">
        <v>0</v>
      </c>
      <c r="AG51" s="460">
        <v>0</v>
      </c>
      <c r="AH51" s="460">
        <v>0</v>
      </c>
      <c r="AI51" s="460">
        <v>0</v>
      </c>
      <c r="AJ51" s="460">
        <v>0</v>
      </c>
      <c r="AK51" s="460">
        <v>0</v>
      </c>
      <c r="AL51" s="460">
        <v>0</v>
      </c>
      <c r="AM51" s="460">
        <v>0</v>
      </c>
      <c r="AN51" s="460">
        <v>0</v>
      </c>
      <c r="AO51" s="460">
        <v>0</v>
      </c>
      <c r="AP51" s="460">
        <v>0</v>
      </c>
      <c r="AQ51" s="460">
        <v>0</v>
      </c>
      <c r="AR51" s="460">
        <v>0</v>
      </c>
      <c r="AS51" s="460">
        <v>0</v>
      </c>
      <c r="AT51" s="460">
        <v>0</v>
      </c>
      <c r="AU51" s="460">
        <v>0</v>
      </c>
      <c r="AV51" s="460">
        <v>0</v>
      </c>
      <c r="AW51" s="460">
        <v>0</v>
      </c>
      <c r="AX51" s="460">
        <v>0</v>
      </c>
      <c r="AY51" s="460">
        <v>0</v>
      </c>
      <c r="AZ51" s="460">
        <v>0</v>
      </c>
      <c r="BA51" s="460">
        <v>0</v>
      </c>
      <c r="BB51" s="460">
        <v>0</v>
      </c>
      <c r="BC51" s="460">
        <v>0</v>
      </c>
      <c r="BD51" s="460">
        <v>0</v>
      </c>
      <c r="BE51" s="460">
        <v>0</v>
      </c>
      <c r="BF51" s="460">
        <v>0</v>
      </c>
      <c r="BG51" s="460">
        <v>0</v>
      </c>
      <c r="BH51" s="460">
        <v>0</v>
      </c>
      <c r="BI51" s="460">
        <v>0</v>
      </c>
      <c r="BJ51" s="460">
        <v>0</v>
      </c>
      <c r="BK51" s="460">
        <v>0</v>
      </c>
      <c r="BL51" s="460">
        <v>240845.81626304699</v>
      </c>
      <c r="BM51" s="460">
        <v>0</v>
      </c>
      <c r="BN51" s="460">
        <v>0</v>
      </c>
      <c r="BO51" s="460">
        <v>0</v>
      </c>
      <c r="BP51" s="460">
        <v>0</v>
      </c>
      <c r="BQ51" s="460">
        <v>0</v>
      </c>
      <c r="BR51" s="460">
        <v>0</v>
      </c>
      <c r="BS51" s="460">
        <v>0</v>
      </c>
      <c r="BT51" s="460">
        <v>0</v>
      </c>
      <c r="BU51" s="460">
        <v>0</v>
      </c>
      <c r="BV51" s="460">
        <v>0</v>
      </c>
      <c r="BW51" s="460">
        <v>0</v>
      </c>
      <c r="BX51" s="460">
        <v>0</v>
      </c>
      <c r="BY51" s="460">
        <v>0</v>
      </c>
      <c r="BZ51" s="460">
        <v>0</v>
      </c>
      <c r="CA51" s="460" t="e">
        <v>#N/A</v>
      </c>
      <c r="CB51" s="460" t="e">
        <v>#N/A</v>
      </c>
      <c r="CC51" s="460" t="e">
        <v>#N/A</v>
      </c>
    </row>
    <row r="52" spans="1:81" ht="12.75" customHeight="1">
      <c r="A52" s="105">
        <v>47</v>
      </c>
      <c r="B52" s="458" t="str">
        <v>21Y</v>
      </c>
      <c r="C52" s="262">
        <f>'eur disaggregated'!AT63</f>
        <v>-190562.77177239201</v>
      </c>
      <c r="D52" s="111" t="str">
        <f t="shared" si="2"/>
        <v>252M</v>
      </c>
      <c r="E52" s="441">
        <f>BktEur1yPL!E52</f>
        <v>42696</v>
      </c>
      <c r="F52" s="441">
        <f>BktEur1yPL!F52</f>
        <v>50367</v>
      </c>
      <c r="G52" s="462">
        <f t="shared" si="1"/>
        <v>1.2231231010000001E-2</v>
      </c>
      <c r="H52" s="453">
        <f>BktEur1yPL!H52</f>
        <v>1.2231231010000001</v>
      </c>
      <c r="I52" s="107" t="str">
        <v>19Y</v>
      </c>
      <c r="J52" s="106" t="str">
        <f>IF(LEN(I52)&gt;0,IF((MID(I52,4,1)=" "),#REF!,IF((LEN(I52)=8),DATE("20" &amp; RIGHT(I52,2),MID(I52,4,2),LEFT(I52,2)),SimplifyTenor(I52))),"")</f>
        <v>228M</v>
      </c>
      <c r="K52" s="448">
        <f>_xll.qlCalendarAdvance("TARGET",SettlementDate,J52)</f>
        <v>49635</v>
      </c>
      <c r="M52" s="99" t="str">
        <v>19Y</v>
      </c>
      <c r="N52" s="465">
        <v>114448.62245516801</v>
      </c>
      <c r="P52" s="106" t="b">
        <f t="shared" si="3"/>
        <v>0</v>
      </c>
      <c r="Q52" s="460">
        <f t="array" ref="Q52:CC52">C52*ForwardToZero(OisBuckets,E52,F52,G52)</f>
        <v>0</v>
      </c>
      <c r="R52" s="460">
        <v>0</v>
      </c>
      <c r="S52" s="460">
        <v>0</v>
      </c>
      <c r="T52" s="460">
        <v>0</v>
      </c>
      <c r="U52" s="460">
        <v>0</v>
      </c>
      <c r="V52" s="460">
        <v>0</v>
      </c>
      <c r="W52" s="460">
        <v>0</v>
      </c>
      <c r="X52" s="460">
        <v>0</v>
      </c>
      <c r="Y52" s="460">
        <v>0</v>
      </c>
      <c r="Z52" s="460">
        <v>0</v>
      </c>
      <c r="AA52" s="460">
        <v>0</v>
      </c>
      <c r="AB52" s="460">
        <v>0</v>
      </c>
      <c r="AC52" s="460">
        <v>0</v>
      </c>
      <c r="AD52" s="460">
        <v>0</v>
      </c>
      <c r="AE52" s="460">
        <v>0</v>
      </c>
      <c r="AF52" s="460">
        <v>0</v>
      </c>
      <c r="AG52" s="460">
        <v>0</v>
      </c>
      <c r="AH52" s="460">
        <v>0</v>
      </c>
      <c r="AI52" s="460">
        <v>0</v>
      </c>
      <c r="AJ52" s="460">
        <v>0</v>
      </c>
      <c r="AK52" s="460">
        <v>0</v>
      </c>
      <c r="AL52" s="460">
        <v>0</v>
      </c>
      <c r="AM52" s="460">
        <v>0</v>
      </c>
      <c r="AN52" s="460">
        <v>0</v>
      </c>
      <c r="AO52" s="460">
        <v>0</v>
      </c>
      <c r="AP52" s="460">
        <v>0</v>
      </c>
      <c r="AQ52" s="460">
        <v>0</v>
      </c>
      <c r="AR52" s="460">
        <v>0</v>
      </c>
      <c r="AS52" s="460">
        <v>0</v>
      </c>
      <c r="AT52" s="460">
        <v>0</v>
      </c>
      <c r="AU52" s="460">
        <v>0</v>
      </c>
      <c r="AV52" s="460">
        <v>0</v>
      </c>
      <c r="AW52" s="460">
        <v>0</v>
      </c>
      <c r="AX52" s="460">
        <v>0</v>
      </c>
      <c r="AY52" s="460">
        <v>0</v>
      </c>
      <c r="AZ52" s="460">
        <v>0</v>
      </c>
      <c r="BA52" s="460">
        <v>0</v>
      </c>
      <c r="BB52" s="460">
        <v>0</v>
      </c>
      <c r="BC52" s="460">
        <v>0</v>
      </c>
      <c r="BD52" s="460">
        <v>0</v>
      </c>
      <c r="BE52" s="460">
        <v>0</v>
      </c>
      <c r="BF52" s="460">
        <v>0</v>
      </c>
      <c r="BG52" s="460">
        <v>0</v>
      </c>
      <c r="BH52" s="460">
        <v>0</v>
      </c>
      <c r="BI52" s="460">
        <v>0</v>
      </c>
      <c r="BJ52" s="460">
        <v>0</v>
      </c>
      <c r="BK52" s="460">
        <v>0</v>
      </c>
      <c r="BL52" s="460">
        <v>0</v>
      </c>
      <c r="BM52" s="460">
        <v>-190562.77177239201</v>
      </c>
      <c r="BN52" s="460">
        <v>0</v>
      </c>
      <c r="BO52" s="460">
        <v>0</v>
      </c>
      <c r="BP52" s="460">
        <v>0</v>
      </c>
      <c r="BQ52" s="460">
        <v>0</v>
      </c>
      <c r="BR52" s="460">
        <v>0</v>
      </c>
      <c r="BS52" s="460">
        <v>0</v>
      </c>
      <c r="BT52" s="460">
        <v>0</v>
      </c>
      <c r="BU52" s="460">
        <v>0</v>
      </c>
      <c r="BV52" s="460">
        <v>0</v>
      </c>
      <c r="BW52" s="460">
        <v>0</v>
      </c>
      <c r="BX52" s="460">
        <v>0</v>
      </c>
      <c r="BY52" s="460">
        <v>0</v>
      </c>
      <c r="BZ52" s="460">
        <v>0</v>
      </c>
      <c r="CA52" s="460" t="e">
        <v>#N/A</v>
      </c>
      <c r="CB52" s="460" t="e">
        <v>#N/A</v>
      </c>
      <c r="CC52" s="460" t="e">
        <v>#N/A</v>
      </c>
    </row>
    <row r="53" spans="1:81" ht="12.75" customHeight="1">
      <c r="A53" s="105">
        <v>48</v>
      </c>
      <c r="B53" s="458" t="str">
        <v>22Y</v>
      </c>
      <c r="C53" s="262">
        <f>'eur disaggregated'!AT64</f>
        <v>-52084.329749373799</v>
      </c>
      <c r="D53" s="111" t="str">
        <f t="shared" si="2"/>
        <v>264M</v>
      </c>
      <c r="E53" s="441">
        <f>BktEur1yPL!E53</f>
        <v>42696</v>
      </c>
      <c r="F53" s="441">
        <f>BktEur1yPL!F53</f>
        <v>50731</v>
      </c>
      <c r="G53" s="462">
        <f t="shared" si="1"/>
        <v>1.229587993E-2</v>
      </c>
      <c r="H53" s="453">
        <f>BktEur1yPL!H53</f>
        <v>1.229587993</v>
      </c>
      <c r="I53" s="107" t="str">
        <v>20Y</v>
      </c>
      <c r="J53" s="106" t="str">
        <f>IF(LEN(I53)&gt;0,IF((MID(I53,4,1)=" "),#REF!,IF((LEN(I53)=8),DATE("20" &amp; RIGHT(I53,2),MID(I53,4,2),LEFT(I53,2)),SimplifyTenor(I53))),"")</f>
        <v>240M</v>
      </c>
      <c r="K53" s="448">
        <f>_xll.qlCalendarAdvance("TARGET",SettlementDate,J53)</f>
        <v>50003</v>
      </c>
      <c r="M53" s="99" t="str">
        <v>20Y</v>
      </c>
      <c r="N53" s="465">
        <v>240845.81626304699</v>
      </c>
      <c r="P53" s="106" t="b">
        <f t="shared" si="3"/>
        <v>0</v>
      </c>
      <c r="Q53" s="460">
        <f t="array" ref="Q53:CC53">C53*ForwardToZero(OisBuckets,E53,F53,G53)</f>
        <v>0</v>
      </c>
      <c r="R53" s="460">
        <v>0</v>
      </c>
      <c r="S53" s="460">
        <v>0</v>
      </c>
      <c r="T53" s="460">
        <v>0</v>
      </c>
      <c r="U53" s="460">
        <v>0</v>
      </c>
      <c r="V53" s="460">
        <v>0</v>
      </c>
      <c r="W53" s="460">
        <v>0</v>
      </c>
      <c r="X53" s="460">
        <v>0</v>
      </c>
      <c r="Y53" s="460">
        <v>0</v>
      </c>
      <c r="Z53" s="460">
        <v>0</v>
      </c>
      <c r="AA53" s="460">
        <v>0</v>
      </c>
      <c r="AB53" s="460">
        <v>0</v>
      </c>
      <c r="AC53" s="460">
        <v>0</v>
      </c>
      <c r="AD53" s="460">
        <v>0</v>
      </c>
      <c r="AE53" s="460">
        <v>0</v>
      </c>
      <c r="AF53" s="460">
        <v>0</v>
      </c>
      <c r="AG53" s="460">
        <v>0</v>
      </c>
      <c r="AH53" s="460">
        <v>0</v>
      </c>
      <c r="AI53" s="460">
        <v>0</v>
      </c>
      <c r="AJ53" s="460">
        <v>0</v>
      </c>
      <c r="AK53" s="460">
        <v>0</v>
      </c>
      <c r="AL53" s="460">
        <v>0</v>
      </c>
      <c r="AM53" s="460">
        <v>0</v>
      </c>
      <c r="AN53" s="460">
        <v>0</v>
      </c>
      <c r="AO53" s="460">
        <v>0</v>
      </c>
      <c r="AP53" s="460">
        <v>0</v>
      </c>
      <c r="AQ53" s="460">
        <v>0</v>
      </c>
      <c r="AR53" s="460">
        <v>0</v>
      </c>
      <c r="AS53" s="460">
        <v>0</v>
      </c>
      <c r="AT53" s="460">
        <v>0</v>
      </c>
      <c r="AU53" s="460">
        <v>0</v>
      </c>
      <c r="AV53" s="460">
        <v>0</v>
      </c>
      <c r="AW53" s="460">
        <v>0</v>
      </c>
      <c r="AX53" s="460">
        <v>0</v>
      </c>
      <c r="AY53" s="460">
        <v>0</v>
      </c>
      <c r="AZ53" s="460">
        <v>0</v>
      </c>
      <c r="BA53" s="460">
        <v>0</v>
      </c>
      <c r="BB53" s="460">
        <v>0</v>
      </c>
      <c r="BC53" s="460">
        <v>0</v>
      </c>
      <c r="BD53" s="460">
        <v>0</v>
      </c>
      <c r="BE53" s="460">
        <v>0</v>
      </c>
      <c r="BF53" s="460">
        <v>0</v>
      </c>
      <c r="BG53" s="460">
        <v>0</v>
      </c>
      <c r="BH53" s="460">
        <v>0</v>
      </c>
      <c r="BI53" s="460">
        <v>0</v>
      </c>
      <c r="BJ53" s="460">
        <v>0</v>
      </c>
      <c r="BK53" s="460">
        <v>0</v>
      </c>
      <c r="BL53" s="460">
        <v>0</v>
      </c>
      <c r="BM53" s="460">
        <v>0</v>
      </c>
      <c r="BN53" s="460">
        <v>-52084.329749373799</v>
      </c>
      <c r="BO53" s="460">
        <v>0</v>
      </c>
      <c r="BP53" s="460">
        <v>0</v>
      </c>
      <c r="BQ53" s="460">
        <v>0</v>
      </c>
      <c r="BR53" s="460">
        <v>0</v>
      </c>
      <c r="BS53" s="460">
        <v>0</v>
      </c>
      <c r="BT53" s="460">
        <v>0</v>
      </c>
      <c r="BU53" s="460">
        <v>0</v>
      </c>
      <c r="BV53" s="460">
        <v>0</v>
      </c>
      <c r="BW53" s="460">
        <v>0</v>
      </c>
      <c r="BX53" s="460">
        <v>0</v>
      </c>
      <c r="BY53" s="460">
        <v>0</v>
      </c>
      <c r="BZ53" s="460">
        <v>0</v>
      </c>
      <c r="CA53" s="460" t="e">
        <v>#N/A</v>
      </c>
      <c r="CB53" s="460" t="e">
        <v>#N/A</v>
      </c>
      <c r="CC53" s="460" t="e">
        <v>#N/A</v>
      </c>
    </row>
    <row r="54" spans="1:81" ht="12.75" customHeight="1">
      <c r="A54" s="105">
        <v>49</v>
      </c>
      <c r="B54" s="458" t="str">
        <v>23Y</v>
      </c>
      <c r="C54" s="262">
        <f>'eur disaggregated'!AT65</f>
        <v>6676.4861121958702</v>
      </c>
      <c r="D54" s="111" t="str">
        <f t="shared" si="2"/>
        <v>276M</v>
      </c>
      <c r="E54" s="441">
        <f>BktEur1yPL!E54</f>
        <v>42696</v>
      </c>
      <c r="F54" s="441">
        <f>BktEur1yPL!F54</f>
        <v>51096</v>
      </c>
      <c r="G54" s="462">
        <f t="shared" si="1"/>
        <v>1.2339844280000001E-2</v>
      </c>
      <c r="H54" s="453">
        <f>BktEur1yPL!H54</f>
        <v>1.2339844280000001</v>
      </c>
      <c r="I54" s="107" t="str">
        <v>21Y</v>
      </c>
      <c r="J54" s="106" t="str">
        <f>IF(LEN(I54)&gt;0,IF((MID(I54,4,1)=" "),#REF!,IF((LEN(I54)=8),DATE("20" &amp; RIGHT(I54,2),MID(I54,4,2),LEFT(I54,2)),SimplifyTenor(I54))),"")</f>
        <v>252M</v>
      </c>
      <c r="K54" s="448">
        <f>_xll.qlCalendarAdvance("TARGET",SettlementDate,J54)</f>
        <v>50367</v>
      </c>
      <c r="M54" s="99" t="str">
        <v>21Y</v>
      </c>
      <c r="N54" s="465">
        <v>-190562.77177239201</v>
      </c>
      <c r="P54" s="106" t="b">
        <f t="shared" si="3"/>
        <v>0</v>
      </c>
      <c r="Q54" s="460">
        <f t="array" ref="Q54:CC54">C54*ForwardToZero(OisBuckets,E54,F54,G54)</f>
        <v>0</v>
      </c>
      <c r="R54" s="460">
        <v>0</v>
      </c>
      <c r="S54" s="460">
        <v>0</v>
      </c>
      <c r="T54" s="460">
        <v>0</v>
      </c>
      <c r="U54" s="460">
        <v>0</v>
      </c>
      <c r="V54" s="460">
        <v>0</v>
      </c>
      <c r="W54" s="460">
        <v>0</v>
      </c>
      <c r="X54" s="460">
        <v>0</v>
      </c>
      <c r="Y54" s="460">
        <v>0</v>
      </c>
      <c r="Z54" s="460">
        <v>0</v>
      </c>
      <c r="AA54" s="460">
        <v>0</v>
      </c>
      <c r="AB54" s="460">
        <v>0</v>
      </c>
      <c r="AC54" s="460">
        <v>0</v>
      </c>
      <c r="AD54" s="460">
        <v>0</v>
      </c>
      <c r="AE54" s="460">
        <v>0</v>
      </c>
      <c r="AF54" s="460">
        <v>0</v>
      </c>
      <c r="AG54" s="460">
        <v>0</v>
      </c>
      <c r="AH54" s="460">
        <v>0</v>
      </c>
      <c r="AI54" s="460">
        <v>0</v>
      </c>
      <c r="AJ54" s="460">
        <v>0</v>
      </c>
      <c r="AK54" s="460">
        <v>0</v>
      </c>
      <c r="AL54" s="460">
        <v>0</v>
      </c>
      <c r="AM54" s="460">
        <v>0</v>
      </c>
      <c r="AN54" s="460">
        <v>0</v>
      </c>
      <c r="AO54" s="460">
        <v>0</v>
      </c>
      <c r="AP54" s="460">
        <v>0</v>
      </c>
      <c r="AQ54" s="460">
        <v>0</v>
      </c>
      <c r="AR54" s="460">
        <v>0</v>
      </c>
      <c r="AS54" s="460">
        <v>0</v>
      </c>
      <c r="AT54" s="460">
        <v>0</v>
      </c>
      <c r="AU54" s="460">
        <v>0</v>
      </c>
      <c r="AV54" s="460">
        <v>0</v>
      </c>
      <c r="AW54" s="460">
        <v>0</v>
      </c>
      <c r="AX54" s="460">
        <v>0</v>
      </c>
      <c r="AY54" s="460">
        <v>0</v>
      </c>
      <c r="AZ54" s="460">
        <v>0</v>
      </c>
      <c r="BA54" s="460">
        <v>0</v>
      </c>
      <c r="BB54" s="460">
        <v>0</v>
      </c>
      <c r="BC54" s="460">
        <v>0</v>
      </c>
      <c r="BD54" s="460">
        <v>0</v>
      </c>
      <c r="BE54" s="460">
        <v>0</v>
      </c>
      <c r="BF54" s="460">
        <v>0</v>
      </c>
      <c r="BG54" s="460">
        <v>0</v>
      </c>
      <c r="BH54" s="460">
        <v>0</v>
      </c>
      <c r="BI54" s="460">
        <v>0</v>
      </c>
      <c r="BJ54" s="460">
        <v>0</v>
      </c>
      <c r="BK54" s="460">
        <v>0</v>
      </c>
      <c r="BL54" s="460">
        <v>0</v>
      </c>
      <c r="BM54" s="460">
        <v>0</v>
      </c>
      <c r="BN54" s="460">
        <v>0</v>
      </c>
      <c r="BO54" s="460">
        <v>6676.4861121958702</v>
      </c>
      <c r="BP54" s="460">
        <v>0</v>
      </c>
      <c r="BQ54" s="460">
        <v>0</v>
      </c>
      <c r="BR54" s="460">
        <v>0</v>
      </c>
      <c r="BS54" s="460">
        <v>0</v>
      </c>
      <c r="BT54" s="460">
        <v>0</v>
      </c>
      <c r="BU54" s="460">
        <v>0</v>
      </c>
      <c r="BV54" s="460">
        <v>0</v>
      </c>
      <c r="BW54" s="460">
        <v>0</v>
      </c>
      <c r="BX54" s="460">
        <v>0</v>
      </c>
      <c r="BY54" s="460">
        <v>0</v>
      </c>
      <c r="BZ54" s="460">
        <v>0</v>
      </c>
      <c r="CA54" s="460" t="e">
        <v>#N/A</v>
      </c>
      <c r="CB54" s="460" t="e">
        <v>#N/A</v>
      </c>
      <c r="CC54" s="460" t="e">
        <v>#N/A</v>
      </c>
    </row>
    <row r="55" spans="1:81" ht="12.75" customHeight="1">
      <c r="A55" s="105">
        <v>50</v>
      </c>
      <c r="B55" s="458" t="str">
        <v>24Y</v>
      </c>
      <c r="C55" s="262">
        <f>'eur disaggregated'!AT66</f>
        <v>-0.27480742764294502</v>
      </c>
      <c r="D55" s="111" t="str">
        <f t="shared" si="2"/>
        <v>288M</v>
      </c>
      <c r="E55" s="441">
        <f>BktEur1yPL!E55</f>
        <v>42696</v>
      </c>
      <c r="F55" s="441">
        <f>BktEur1yPL!F55</f>
        <v>51462</v>
      </c>
      <c r="G55" s="462">
        <f t="shared" si="1"/>
        <v>1.237024171E-2</v>
      </c>
      <c r="H55" s="453">
        <f>BktEur1yPL!H55</f>
        <v>1.2370241710000001</v>
      </c>
      <c r="I55" s="107" t="str">
        <v>22Y</v>
      </c>
      <c r="J55" s="106" t="str">
        <f>IF(LEN(I55)&gt;0,IF((MID(I55,4,1)=" "),#REF!,IF((LEN(I55)=8),DATE("20" &amp; RIGHT(I55,2),MID(I55,4,2),LEFT(I55,2)),SimplifyTenor(I55))),"")</f>
        <v>264M</v>
      </c>
      <c r="K55" s="448">
        <f>_xll.qlCalendarAdvance("TARGET",SettlementDate,J55)</f>
        <v>50731</v>
      </c>
      <c r="M55" s="99" t="str">
        <v>22Y</v>
      </c>
      <c r="N55" s="465">
        <v>-52084.329749373799</v>
      </c>
      <c r="P55" s="106" t="b">
        <f t="shared" si="3"/>
        <v>0</v>
      </c>
      <c r="Q55" s="460">
        <f t="array" ref="Q55:CC55">C55*ForwardToZero(OisBuckets,E55,F55,G55)</f>
        <v>0</v>
      </c>
      <c r="R55" s="460">
        <v>0</v>
      </c>
      <c r="S55" s="460">
        <v>0</v>
      </c>
      <c r="T55" s="460">
        <v>0</v>
      </c>
      <c r="U55" s="460">
        <v>0</v>
      </c>
      <c r="V55" s="460">
        <v>0</v>
      </c>
      <c r="W55" s="460">
        <v>0</v>
      </c>
      <c r="X55" s="460">
        <v>0</v>
      </c>
      <c r="Y55" s="460">
        <v>0</v>
      </c>
      <c r="Z55" s="460">
        <v>0</v>
      </c>
      <c r="AA55" s="460">
        <v>0</v>
      </c>
      <c r="AB55" s="460">
        <v>0</v>
      </c>
      <c r="AC55" s="460">
        <v>0</v>
      </c>
      <c r="AD55" s="460">
        <v>0</v>
      </c>
      <c r="AE55" s="460">
        <v>0</v>
      </c>
      <c r="AF55" s="460">
        <v>0</v>
      </c>
      <c r="AG55" s="460">
        <v>0</v>
      </c>
      <c r="AH55" s="460">
        <v>0</v>
      </c>
      <c r="AI55" s="460">
        <v>0</v>
      </c>
      <c r="AJ55" s="460">
        <v>0</v>
      </c>
      <c r="AK55" s="460">
        <v>0</v>
      </c>
      <c r="AL55" s="460">
        <v>0</v>
      </c>
      <c r="AM55" s="460">
        <v>0</v>
      </c>
      <c r="AN55" s="460">
        <v>0</v>
      </c>
      <c r="AO55" s="460">
        <v>0</v>
      </c>
      <c r="AP55" s="460">
        <v>0</v>
      </c>
      <c r="AQ55" s="460">
        <v>0</v>
      </c>
      <c r="AR55" s="460">
        <v>0</v>
      </c>
      <c r="AS55" s="460">
        <v>0</v>
      </c>
      <c r="AT55" s="460">
        <v>0</v>
      </c>
      <c r="AU55" s="460">
        <v>0</v>
      </c>
      <c r="AV55" s="460">
        <v>0</v>
      </c>
      <c r="AW55" s="460">
        <v>0</v>
      </c>
      <c r="AX55" s="460">
        <v>0</v>
      </c>
      <c r="AY55" s="460">
        <v>0</v>
      </c>
      <c r="AZ55" s="460">
        <v>0</v>
      </c>
      <c r="BA55" s="460">
        <v>0</v>
      </c>
      <c r="BB55" s="460">
        <v>0</v>
      </c>
      <c r="BC55" s="460">
        <v>0</v>
      </c>
      <c r="BD55" s="460">
        <v>0</v>
      </c>
      <c r="BE55" s="460">
        <v>0</v>
      </c>
      <c r="BF55" s="460">
        <v>0</v>
      </c>
      <c r="BG55" s="460">
        <v>0</v>
      </c>
      <c r="BH55" s="460">
        <v>0</v>
      </c>
      <c r="BI55" s="460">
        <v>0</v>
      </c>
      <c r="BJ55" s="460">
        <v>0</v>
      </c>
      <c r="BK55" s="460">
        <v>0</v>
      </c>
      <c r="BL55" s="460">
        <v>0</v>
      </c>
      <c r="BM55" s="460">
        <v>0</v>
      </c>
      <c r="BN55" s="460">
        <v>0</v>
      </c>
      <c r="BO55" s="460">
        <v>0</v>
      </c>
      <c r="BP55" s="460">
        <v>-0.27480742764294502</v>
      </c>
      <c r="BQ55" s="460">
        <v>0</v>
      </c>
      <c r="BR55" s="460">
        <v>0</v>
      </c>
      <c r="BS55" s="460">
        <v>0</v>
      </c>
      <c r="BT55" s="460">
        <v>0</v>
      </c>
      <c r="BU55" s="460">
        <v>0</v>
      </c>
      <c r="BV55" s="460">
        <v>0</v>
      </c>
      <c r="BW55" s="460">
        <v>0</v>
      </c>
      <c r="BX55" s="460">
        <v>0</v>
      </c>
      <c r="BY55" s="460">
        <v>0</v>
      </c>
      <c r="BZ55" s="460">
        <v>0</v>
      </c>
      <c r="CA55" s="460" t="e">
        <v>#N/A</v>
      </c>
      <c r="CB55" s="460" t="e">
        <v>#N/A</v>
      </c>
      <c r="CC55" s="460" t="e">
        <v>#N/A</v>
      </c>
    </row>
    <row r="56" spans="1:81" ht="12.75" customHeight="1">
      <c r="A56" s="105">
        <v>51</v>
      </c>
      <c r="B56" s="458" t="str">
        <v>25Y</v>
      </c>
      <c r="C56" s="262">
        <f>'eur disaggregated'!AT67</f>
        <v>0</v>
      </c>
      <c r="D56" s="111" t="str">
        <f t="shared" si="2"/>
        <v>300M</v>
      </c>
      <c r="E56" s="441">
        <f>BktEur1yPL!E56</f>
        <v>42696</v>
      </c>
      <c r="F56" s="441">
        <f>BktEur1yPL!F56</f>
        <v>51827</v>
      </c>
      <c r="G56" s="462">
        <f t="shared" si="1"/>
        <v>1.2390000000000002E-2</v>
      </c>
      <c r="H56" s="453">
        <f>BktEur1yPL!H56</f>
        <v>1.2390000000000001</v>
      </c>
      <c r="I56" s="107" t="str">
        <v>23Y</v>
      </c>
      <c r="J56" s="106" t="str">
        <f>IF(LEN(I56)&gt;0,IF((MID(I56,4,1)=" "),#REF!,IF((LEN(I56)=8),DATE("20" &amp; RIGHT(I56,2),MID(I56,4,2),LEFT(I56,2)),SimplifyTenor(I56))),"")</f>
        <v>276M</v>
      </c>
      <c r="K56" s="448">
        <f>_xll.qlCalendarAdvance("TARGET",SettlementDate,J56)</f>
        <v>51096</v>
      </c>
      <c r="M56" s="99" t="str">
        <v>23Y</v>
      </c>
      <c r="N56" s="465">
        <v>6676.4861121958702</v>
      </c>
      <c r="P56" s="106" t="b">
        <f t="shared" si="3"/>
        <v>0</v>
      </c>
      <c r="Q56" s="460">
        <f t="array" ref="Q56:CC56">C56*ForwardToZero(OisBuckets,E56,F56,G56)</f>
        <v>0</v>
      </c>
      <c r="R56" s="460">
        <v>0</v>
      </c>
      <c r="S56" s="460">
        <v>0</v>
      </c>
      <c r="T56" s="460">
        <v>0</v>
      </c>
      <c r="U56" s="460">
        <v>0</v>
      </c>
      <c r="V56" s="460">
        <v>0</v>
      </c>
      <c r="W56" s="460">
        <v>0</v>
      </c>
      <c r="X56" s="460">
        <v>0</v>
      </c>
      <c r="Y56" s="460">
        <v>0</v>
      </c>
      <c r="Z56" s="460">
        <v>0</v>
      </c>
      <c r="AA56" s="460">
        <v>0</v>
      </c>
      <c r="AB56" s="460">
        <v>0</v>
      </c>
      <c r="AC56" s="460">
        <v>0</v>
      </c>
      <c r="AD56" s="460">
        <v>0</v>
      </c>
      <c r="AE56" s="460">
        <v>0</v>
      </c>
      <c r="AF56" s="460">
        <v>0</v>
      </c>
      <c r="AG56" s="460">
        <v>0</v>
      </c>
      <c r="AH56" s="460">
        <v>0</v>
      </c>
      <c r="AI56" s="460">
        <v>0</v>
      </c>
      <c r="AJ56" s="460">
        <v>0</v>
      </c>
      <c r="AK56" s="460">
        <v>0</v>
      </c>
      <c r="AL56" s="460">
        <v>0</v>
      </c>
      <c r="AM56" s="460">
        <v>0</v>
      </c>
      <c r="AN56" s="460">
        <v>0</v>
      </c>
      <c r="AO56" s="460">
        <v>0</v>
      </c>
      <c r="AP56" s="460">
        <v>0</v>
      </c>
      <c r="AQ56" s="460">
        <v>0</v>
      </c>
      <c r="AR56" s="460">
        <v>0</v>
      </c>
      <c r="AS56" s="460">
        <v>0</v>
      </c>
      <c r="AT56" s="460">
        <v>0</v>
      </c>
      <c r="AU56" s="460">
        <v>0</v>
      </c>
      <c r="AV56" s="460">
        <v>0</v>
      </c>
      <c r="AW56" s="460">
        <v>0</v>
      </c>
      <c r="AX56" s="460">
        <v>0</v>
      </c>
      <c r="AY56" s="460">
        <v>0</v>
      </c>
      <c r="AZ56" s="460">
        <v>0</v>
      </c>
      <c r="BA56" s="460">
        <v>0</v>
      </c>
      <c r="BB56" s="460">
        <v>0</v>
      </c>
      <c r="BC56" s="460">
        <v>0</v>
      </c>
      <c r="BD56" s="460">
        <v>0</v>
      </c>
      <c r="BE56" s="460">
        <v>0</v>
      </c>
      <c r="BF56" s="460">
        <v>0</v>
      </c>
      <c r="BG56" s="460">
        <v>0</v>
      </c>
      <c r="BH56" s="460">
        <v>0</v>
      </c>
      <c r="BI56" s="460">
        <v>0</v>
      </c>
      <c r="BJ56" s="460">
        <v>0</v>
      </c>
      <c r="BK56" s="460">
        <v>0</v>
      </c>
      <c r="BL56" s="460">
        <v>0</v>
      </c>
      <c r="BM56" s="460">
        <v>0</v>
      </c>
      <c r="BN56" s="460">
        <v>0</v>
      </c>
      <c r="BO56" s="460">
        <v>0</v>
      </c>
      <c r="BP56" s="460">
        <v>0</v>
      </c>
      <c r="BQ56" s="460">
        <v>0</v>
      </c>
      <c r="BR56" s="460">
        <v>0</v>
      </c>
      <c r="BS56" s="460">
        <v>0</v>
      </c>
      <c r="BT56" s="460">
        <v>0</v>
      </c>
      <c r="BU56" s="460">
        <v>0</v>
      </c>
      <c r="BV56" s="460">
        <v>0</v>
      </c>
      <c r="BW56" s="460">
        <v>0</v>
      </c>
      <c r="BX56" s="460">
        <v>0</v>
      </c>
      <c r="BY56" s="460">
        <v>0</v>
      </c>
      <c r="BZ56" s="460">
        <v>0</v>
      </c>
      <c r="CA56" s="460" t="e">
        <v>#N/A</v>
      </c>
      <c r="CB56" s="460" t="e">
        <v>#N/A</v>
      </c>
      <c r="CC56" s="460" t="e">
        <v>#N/A</v>
      </c>
    </row>
    <row r="57" spans="1:81" ht="12.75" customHeight="1">
      <c r="A57" s="105">
        <v>52</v>
      </c>
      <c r="B57" s="458" t="str">
        <v>26Y</v>
      </c>
      <c r="C57" s="262">
        <f>'eur disaggregated'!AT68</f>
        <v>0</v>
      </c>
      <c r="D57" s="111" t="str">
        <f t="shared" si="2"/>
        <v>312M</v>
      </c>
      <c r="E57" s="441">
        <f>BktEur1yPL!E57</f>
        <v>42696</v>
      </c>
      <c r="F57" s="441">
        <f>BktEur1yPL!F57</f>
        <v>52194</v>
      </c>
      <c r="G57" s="462">
        <f t="shared" si="1"/>
        <v>1.2405303219999999E-2</v>
      </c>
      <c r="H57" s="453">
        <f>BktEur1yPL!H57</f>
        <v>1.2405303219999999</v>
      </c>
      <c r="I57" s="107" t="str">
        <v>24Y</v>
      </c>
      <c r="J57" s="106" t="str">
        <f>IF(LEN(I57)&gt;0,IF((MID(I57,4,1)=" "),#REF!,IF((LEN(I57)=8),DATE("20" &amp; RIGHT(I57,2),MID(I57,4,2),LEFT(I57,2)),SimplifyTenor(I57))),"")</f>
        <v>288M</v>
      </c>
      <c r="K57" s="448">
        <f>_xll.qlCalendarAdvance("TARGET",SettlementDate,J57)</f>
        <v>51462</v>
      </c>
      <c r="M57" s="99" t="str">
        <v>24Y</v>
      </c>
      <c r="N57" s="465">
        <v>-0.27480742764294502</v>
      </c>
      <c r="P57" s="106" t="b">
        <f t="shared" si="3"/>
        <v>0</v>
      </c>
      <c r="Q57" s="460">
        <f t="array" ref="Q57:CC57">C57*ForwardToZero(OisBuckets,E57,F57,G57)</f>
        <v>0</v>
      </c>
      <c r="R57" s="460">
        <v>0</v>
      </c>
      <c r="S57" s="460">
        <v>0</v>
      </c>
      <c r="T57" s="460">
        <v>0</v>
      </c>
      <c r="U57" s="460">
        <v>0</v>
      </c>
      <c r="V57" s="460">
        <v>0</v>
      </c>
      <c r="W57" s="460">
        <v>0</v>
      </c>
      <c r="X57" s="460">
        <v>0</v>
      </c>
      <c r="Y57" s="460">
        <v>0</v>
      </c>
      <c r="Z57" s="460">
        <v>0</v>
      </c>
      <c r="AA57" s="460">
        <v>0</v>
      </c>
      <c r="AB57" s="460">
        <v>0</v>
      </c>
      <c r="AC57" s="460">
        <v>0</v>
      </c>
      <c r="AD57" s="460">
        <v>0</v>
      </c>
      <c r="AE57" s="460">
        <v>0</v>
      </c>
      <c r="AF57" s="460">
        <v>0</v>
      </c>
      <c r="AG57" s="460">
        <v>0</v>
      </c>
      <c r="AH57" s="460">
        <v>0</v>
      </c>
      <c r="AI57" s="460">
        <v>0</v>
      </c>
      <c r="AJ57" s="460">
        <v>0</v>
      </c>
      <c r="AK57" s="460">
        <v>0</v>
      </c>
      <c r="AL57" s="460">
        <v>0</v>
      </c>
      <c r="AM57" s="460">
        <v>0</v>
      </c>
      <c r="AN57" s="460">
        <v>0</v>
      </c>
      <c r="AO57" s="460">
        <v>0</v>
      </c>
      <c r="AP57" s="460">
        <v>0</v>
      </c>
      <c r="AQ57" s="460">
        <v>0</v>
      </c>
      <c r="AR57" s="460">
        <v>0</v>
      </c>
      <c r="AS57" s="460">
        <v>0</v>
      </c>
      <c r="AT57" s="460">
        <v>0</v>
      </c>
      <c r="AU57" s="460">
        <v>0</v>
      </c>
      <c r="AV57" s="460">
        <v>0</v>
      </c>
      <c r="AW57" s="460">
        <v>0</v>
      </c>
      <c r="AX57" s="460">
        <v>0</v>
      </c>
      <c r="AY57" s="460">
        <v>0</v>
      </c>
      <c r="AZ57" s="460">
        <v>0</v>
      </c>
      <c r="BA57" s="460">
        <v>0</v>
      </c>
      <c r="BB57" s="460">
        <v>0</v>
      </c>
      <c r="BC57" s="460">
        <v>0</v>
      </c>
      <c r="BD57" s="460">
        <v>0</v>
      </c>
      <c r="BE57" s="460">
        <v>0</v>
      </c>
      <c r="BF57" s="460">
        <v>0</v>
      </c>
      <c r="BG57" s="460">
        <v>0</v>
      </c>
      <c r="BH57" s="460">
        <v>0</v>
      </c>
      <c r="BI57" s="460">
        <v>0</v>
      </c>
      <c r="BJ57" s="460">
        <v>0</v>
      </c>
      <c r="BK57" s="460">
        <v>0</v>
      </c>
      <c r="BL57" s="460">
        <v>0</v>
      </c>
      <c r="BM57" s="460">
        <v>0</v>
      </c>
      <c r="BN57" s="460">
        <v>0</v>
      </c>
      <c r="BO57" s="460">
        <v>0</v>
      </c>
      <c r="BP57" s="460">
        <v>0</v>
      </c>
      <c r="BQ57" s="460">
        <v>0</v>
      </c>
      <c r="BR57" s="460">
        <v>0</v>
      </c>
      <c r="BS57" s="460">
        <v>0</v>
      </c>
      <c r="BT57" s="460">
        <v>0</v>
      </c>
      <c r="BU57" s="460">
        <v>0</v>
      </c>
      <c r="BV57" s="460">
        <v>0</v>
      </c>
      <c r="BW57" s="460">
        <v>0</v>
      </c>
      <c r="BX57" s="460">
        <v>0</v>
      </c>
      <c r="BY57" s="460">
        <v>0</v>
      </c>
      <c r="BZ57" s="460">
        <v>0</v>
      </c>
      <c r="CA57" s="460" t="e">
        <v>#N/A</v>
      </c>
      <c r="CB57" s="460" t="e">
        <v>#N/A</v>
      </c>
      <c r="CC57" s="460" t="e">
        <v>#N/A</v>
      </c>
    </row>
    <row r="58" spans="1:81">
      <c r="A58" s="105">
        <v>53</v>
      </c>
      <c r="B58" s="458" t="str">
        <v>27Y</v>
      </c>
      <c r="C58" s="262">
        <f>'eur disaggregated'!AT69</f>
        <v>0</v>
      </c>
      <c r="D58" s="111" t="str">
        <f t="shared" si="2"/>
        <v>324M</v>
      </c>
      <c r="E58" s="441">
        <f>BktEur1yPL!E58</f>
        <v>42696</v>
      </c>
      <c r="F58" s="441">
        <f>BktEur1yPL!F58</f>
        <v>52558</v>
      </c>
      <c r="G58" s="462">
        <f t="shared" si="1"/>
        <v>1.2416954270000001E-2</v>
      </c>
      <c r="H58" s="453">
        <f>BktEur1yPL!H58</f>
        <v>1.241695427</v>
      </c>
      <c r="I58" s="107" t="str">
        <v>25Y</v>
      </c>
      <c r="J58" s="106" t="str">
        <f>IF(LEN(I58)&gt;0,IF((MID(I58,4,1)=" "),#REF!,IF((LEN(I58)=8),DATE("20" &amp; RIGHT(I58,2),MID(I58,4,2),LEFT(I58,2)),SimplifyTenor(I58))),"")</f>
        <v>300M</v>
      </c>
      <c r="K58" s="448">
        <f>_xll.qlCalendarAdvance("TARGET",SettlementDate,J58)</f>
        <v>51827</v>
      </c>
      <c r="M58" s="99" t="str">
        <v>25Y</v>
      </c>
      <c r="N58" s="465">
        <v>0</v>
      </c>
      <c r="P58" s="106" t="b">
        <f t="shared" si="3"/>
        <v>0</v>
      </c>
      <c r="Q58" s="460">
        <f t="array" ref="Q58:CC58">C58*ForwardToZero(OisBuckets,E58,F58,G58)</f>
        <v>0</v>
      </c>
      <c r="R58" s="460">
        <v>0</v>
      </c>
      <c r="S58" s="460">
        <v>0</v>
      </c>
      <c r="T58" s="460">
        <v>0</v>
      </c>
      <c r="U58" s="460">
        <v>0</v>
      </c>
      <c r="V58" s="460">
        <v>0</v>
      </c>
      <c r="W58" s="460">
        <v>0</v>
      </c>
      <c r="X58" s="460">
        <v>0</v>
      </c>
      <c r="Y58" s="460">
        <v>0</v>
      </c>
      <c r="Z58" s="460">
        <v>0</v>
      </c>
      <c r="AA58" s="460">
        <v>0</v>
      </c>
      <c r="AB58" s="460">
        <v>0</v>
      </c>
      <c r="AC58" s="460">
        <v>0</v>
      </c>
      <c r="AD58" s="460">
        <v>0</v>
      </c>
      <c r="AE58" s="460">
        <v>0</v>
      </c>
      <c r="AF58" s="460">
        <v>0</v>
      </c>
      <c r="AG58" s="460">
        <v>0</v>
      </c>
      <c r="AH58" s="460">
        <v>0</v>
      </c>
      <c r="AI58" s="460">
        <v>0</v>
      </c>
      <c r="AJ58" s="460">
        <v>0</v>
      </c>
      <c r="AK58" s="460">
        <v>0</v>
      </c>
      <c r="AL58" s="460">
        <v>0</v>
      </c>
      <c r="AM58" s="460">
        <v>0</v>
      </c>
      <c r="AN58" s="460">
        <v>0</v>
      </c>
      <c r="AO58" s="460">
        <v>0</v>
      </c>
      <c r="AP58" s="460">
        <v>0</v>
      </c>
      <c r="AQ58" s="460">
        <v>0</v>
      </c>
      <c r="AR58" s="460">
        <v>0</v>
      </c>
      <c r="AS58" s="460">
        <v>0</v>
      </c>
      <c r="AT58" s="460">
        <v>0</v>
      </c>
      <c r="AU58" s="460">
        <v>0</v>
      </c>
      <c r="AV58" s="460">
        <v>0</v>
      </c>
      <c r="AW58" s="460">
        <v>0</v>
      </c>
      <c r="AX58" s="460">
        <v>0</v>
      </c>
      <c r="AY58" s="460">
        <v>0</v>
      </c>
      <c r="AZ58" s="460">
        <v>0</v>
      </c>
      <c r="BA58" s="460">
        <v>0</v>
      </c>
      <c r="BB58" s="460">
        <v>0</v>
      </c>
      <c r="BC58" s="460">
        <v>0</v>
      </c>
      <c r="BD58" s="460">
        <v>0</v>
      </c>
      <c r="BE58" s="460">
        <v>0</v>
      </c>
      <c r="BF58" s="460">
        <v>0</v>
      </c>
      <c r="BG58" s="460">
        <v>0</v>
      </c>
      <c r="BH58" s="460">
        <v>0</v>
      </c>
      <c r="BI58" s="460">
        <v>0</v>
      </c>
      <c r="BJ58" s="460">
        <v>0</v>
      </c>
      <c r="BK58" s="460">
        <v>0</v>
      </c>
      <c r="BL58" s="460">
        <v>0</v>
      </c>
      <c r="BM58" s="460">
        <v>0</v>
      </c>
      <c r="BN58" s="460">
        <v>0</v>
      </c>
      <c r="BO58" s="460">
        <v>0</v>
      </c>
      <c r="BP58" s="460">
        <v>0</v>
      </c>
      <c r="BQ58" s="460">
        <v>0</v>
      </c>
      <c r="BR58" s="460">
        <v>0</v>
      </c>
      <c r="BS58" s="460">
        <v>0</v>
      </c>
      <c r="BT58" s="460">
        <v>0</v>
      </c>
      <c r="BU58" s="460">
        <v>0</v>
      </c>
      <c r="BV58" s="460">
        <v>0</v>
      </c>
      <c r="BW58" s="460">
        <v>0</v>
      </c>
      <c r="BX58" s="460">
        <v>0</v>
      </c>
      <c r="BY58" s="460">
        <v>0</v>
      </c>
      <c r="BZ58" s="460">
        <v>0</v>
      </c>
      <c r="CA58" s="460" t="e">
        <v>#N/A</v>
      </c>
      <c r="CB58" s="460" t="e">
        <v>#N/A</v>
      </c>
      <c r="CC58" s="460" t="e">
        <v>#N/A</v>
      </c>
    </row>
    <row r="59" spans="1:81" ht="12.75" customHeight="1">
      <c r="A59" s="105">
        <v>54</v>
      </c>
      <c r="B59" s="458" t="str">
        <v>28Y</v>
      </c>
      <c r="C59" s="262">
        <f>'eur disaggregated'!AT70</f>
        <v>0</v>
      </c>
      <c r="D59" s="111" t="str">
        <f t="shared" si="2"/>
        <v>336M</v>
      </c>
      <c r="E59" s="441">
        <f>BktEur1yPL!E59</f>
        <v>42696</v>
      </c>
      <c r="F59" s="441">
        <f>BktEur1yPL!F59</f>
        <v>52923</v>
      </c>
      <c r="G59" s="462">
        <f t="shared" si="1"/>
        <v>1.2425894220000001E-2</v>
      </c>
      <c r="H59" s="453">
        <f>BktEur1yPL!H59</f>
        <v>1.242589422</v>
      </c>
      <c r="I59" s="107" t="str">
        <v>26Y</v>
      </c>
      <c r="J59" s="106" t="str">
        <f>IF(LEN(I59)&gt;0,IF((MID(I59,4,1)=" "),#REF!,IF((LEN(I59)=8),DATE("20" &amp; RIGHT(I59,2),MID(I59,4,2),LEFT(I59,2)),SimplifyTenor(I59))),"")</f>
        <v>312M</v>
      </c>
      <c r="K59" s="448">
        <f>_xll.qlCalendarAdvance("TARGET",SettlementDate,J59)</f>
        <v>52194</v>
      </c>
      <c r="M59" s="99" t="str">
        <v>26Y</v>
      </c>
      <c r="N59" s="465">
        <v>0</v>
      </c>
      <c r="P59" s="106" t="b">
        <f t="shared" si="3"/>
        <v>0</v>
      </c>
      <c r="Q59" s="460">
        <f t="array" ref="Q59:CC59">C59*ForwardToZero(OisBuckets,E59,F59,G59)</f>
        <v>0</v>
      </c>
      <c r="R59" s="460">
        <v>0</v>
      </c>
      <c r="S59" s="460">
        <v>0</v>
      </c>
      <c r="T59" s="460">
        <v>0</v>
      </c>
      <c r="U59" s="460">
        <v>0</v>
      </c>
      <c r="V59" s="460">
        <v>0</v>
      </c>
      <c r="W59" s="460">
        <v>0</v>
      </c>
      <c r="X59" s="460">
        <v>0</v>
      </c>
      <c r="Y59" s="460">
        <v>0</v>
      </c>
      <c r="Z59" s="460">
        <v>0</v>
      </c>
      <c r="AA59" s="460">
        <v>0</v>
      </c>
      <c r="AB59" s="460">
        <v>0</v>
      </c>
      <c r="AC59" s="460">
        <v>0</v>
      </c>
      <c r="AD59" s="460">
        <v>0</v>
      </c>
      <c r="AE59" s="460">
        <v>0</v>
      </c>
      <c r="AF59" s="460">
        <v>0</v>
      </c>
      <c r="AG59" s="460">
        <v>0</v>
      </c>
      <c r="AH59" s="460">
        <v>0</v>
      </c>
      <c r="AI59" s="460">
        <v>0</v>
      </c>
      <c r="AJ59" s="460">
        <v>0</v>
      </c>
      <c r="AK59" s="460">
        <v>0</v>
      </c>
      <c r="AL59" s="460">
        <v>0</v>
      </c>
      <c r="AM59" s="460">
        <v>0</v>
      </c>
      <c r="AN59" s="460">
        <v>0</v>
      </c>
      <c r="AO59" s="460">
        <v>0</v>
      </c>
      <c r="AP59" s="460">
        <v>0</v>
      </c>
      <c r="AQ59" s="460">
        <v>0</v>
      </c>
      <c r="AR59" s="460">
        <v>0</v>
      </c>
      <c r="AS59" s="460">
        <v>0</v>
      </c>
      <c r="AT59" s="460">
        <v>0</v>
      </c>
      <c r="AU59" s="460">
        <v>0</v>
      </c>
      <c r="AV59" s="460">
        <v>0</v>
      </c>
      <c r="AW59" s="460">
        <v>0</v>
      </c>
      <c r="AX59" s="460">
        <v>0</v>
      </c>
      <c r="AY59" s="460">
        <v>0</v>
      </c>
      <c r="AZ59" s="460">
        <v>0</v>
      </c>
      <c r="BA59" s="460">
        <v>0</v>
      </c>
      <c r="BB59" s="460">
        <v>0</v>
      </c>
      <c r="BC59" s="460">
        <v>0</v>
      </c>
      <c r="BD59" s="460">
        <v>0</v>
      </c>
      <c r="BE59" s="460">
        <v>0</v>
      </c>
      <c r="BF59" s="460">
        <v>0</v>
      </c>
      <c r="BG59" s="460">
        <v>0</v>
      </c>
      <c r="BH59" s="460">
        <v>0</v>
      </c>
      <c r="BI59" s="460">
        <v>0</v>
      </c>
      <c r="BJ59" s="460">
        <v>0</v>
      </c>
      <c r="BK59" s="460">
        <v>0</v>
      </c>
      <c r="BL59" s="460">
        <v>0</v>
      </c>
      <c r="BM59" s="460">
        <v>0</v>
      </c>
      <c r="BN59" s="460">
        <v>0</v>
      </c>
      <c r="BO59" s="460">
        <v>0</v>
      </c>
      <c r="BP59" s="460">
        <v>0</v>
      </c>
      <c r="BQ59" s="460">
        <v>0</v>
      </c>
      <c r="BR59" s="460">
        <v>0</v>
      </c>
      <c r="BS59" s="460">
        <v>0</v>
      </c>
      <c r="BT59" s="460">
        <v>0</v>
      </c>
      <c r="BU59" s="460">
        <v>0</v>
      </c>
      <c r="BV59" s="460">
        <v>0</v>
      </c>
      <c r="BW59" s="460">
        <v>0</v>
      </c>
      <c r="BX59" s="460">
        <v>0</v>
      </c>
      <c r="BY59" s="460">
        <v>0</v>
      </c>
      <c r="BZ59" s="460">
        <v>0</v>
      </c>
      <c r="CA59" s="460" t="e">
        <v>#N/A</v>
      </c>
      <c r="CB59" s="460" t="e">
        <v>#N/A</v>
      </c>
      <c r="CC59" s="460" t="e">
        <v>#N/A</v>
      </c>
    </row>
    <row r="60" spans="1:81" ht="12.75" customHeight="1">
      <c r="A60" s="105">
        <v>55</v>
      </c>
      <c r="B60" s="458" t="str">
        <v>29Y</v>
      </c>
      <c r="C60" s="262">
        <f>'eur disaggregated'!AT71</f>
        <v>0</v>
      </c>
      <c r="D60" s="111" t="str">
        <f t="shared" si="2"/>
        <v>348M</v>
      </c>
      <c r="E60" s="441">
        <f>BktEur1yPL!E60</f>
        <v>42696</v>
      </c>
      <c r="F60" s="441">
        <f>BktEur1yPL!F60</f>
        <v>53288</v>
      </c>
      <c r="G60" s="462">
        <f t="shared" si="1"/>
        <v>1.2429919579999999E-2</v>
      </c>
      <c r="H60" s="453">
        <f>BktEur1yPL!H60</f>
        <v>1.242991958</v>
      </c>
      <c r="I60" s="107" t="str">
        <v>27Y</v>
      </c>
      <c r="J60" s="106" t="str">
        <f>IF(LEN(I60)&gt;0,IF((MID(I60,4,1)=" "),#REF!,IF((LEN(I60)=8),DATE("20" &amp; RIGHT(I60,2),MID(I60,4,2),LEFT(I60,2)),SimplifyTenor(I60))),"")</f>
        <v>324M</v>
      </c>
      <c r="K60" s="448">
        <f>_xll.qlCalendarAdvance("TARGET",SettlementDate,J60)</f>
        <v>52558</v>
      </c>
      <c r="M60" s="99" t="str">
        <v>27Y</v>
      </c>
      <c r="N60" s="465">
        <v>0</v>
      </c>
      <c r="P60" s="106" t="b">
        <f t="shared" si="3"/>
        <v>0</v>
      </c>
      <c r="Q60" s="460">
        <f t="array" ref="Q60:CC60">C60*ForwardToZero(OisBuckets,E60,F60,G60)</f>
        <v>0</v>
      </c>
      <c r="R60" s="460">
        <v>0</v>
      </c>
      <c r="S60" s="460">
        <v>0</v>
      </c>
      <c r="T60" s="460">
        <v>0</v>
      </c>
      <c r="U60" s="460">
        <v>0</v>
      </c>
      <c r="V60" s="460">
        <v>0</v>
      </c>
      <c r="W60" s="460">
        <v>0</v>
      </c>
      <c r="X60" s="460">
        <v>0</v>
      </c>
      <c r="Y60" s="460">
        <v>0</v>
      </c>
      <c r="Z60" s="460">
        <v>0</v>
      </c>
      <c r="AA60" s="460">
        <v>0</v>
      </c>
      <c r="AB60" s="460">
        <v>0</v>
      </c>
      <c r="AC60" s="460">
        <v>0</v>
      </c>
      <c r="AD60" s="460">
        <v>0</v>
      </c>
      <c r="AE60" s="460">
        <v>0</v>
      </c>
      <c r="AF60" s="460">
        <v>0</v>
      </c>
      <c r="AG60" s="460">
        <v>0</v>
      </c>
      <c r="AH60" s="460">
        <v>0</v>
      </c>
      <c r="AI60" s="460">
        <v>0</v>
      </c>
      <c r="AJ60" s="460">
        <v>0</v>
      </c>
      <c r="AK60" s="460">
        <v>0</v>
      </c>
      <c r="AL60" s="460">
        <v>0</v>
      </c>
      <c r="AM60" s="460">
        <v>0</v>
      </c>
      <c r="AN60" s="460">
        <v>0</v>
      </c>
      <c r="AO60" s="460">
        <v>0</v>
      </c>
      <c r="AP60" s="460">
        <v>0</v>
      </c>
      <c r="AQ60" s="460">
        <v>0</v>
      </c>
      <c r="AR60" s="460">
        <v>0</v>
      </c>
      <c r="AS60" s="460">
        <v>0</v>
      </c>
      <c r="AT60" s="460">
        <v>0</v>
      </c>
      <c r="AU60" s="460">
        <v>0</v>
      </c>
      <c r="AV60" s="460">
        <v>0</v>
      </c>
      <c r="AW60" s="460">
        <v>0</v>
      </c>
      <c r="AX60" s="460">
        <v>0</v>
      </c>
      <c r="AY60" s="460">
        <v>0</v>
      </c>
      <c r="AZ60" s="460">
        <v>0</v>
      </c>
      <c r="BA60" s="460">
        <v>0</v>
      </c>
      <c r="BB60" s="460">
        <v>0</v>
      </c>
      <c r="BC60" s="460">
        <v>0</v>
      </c>
      <c r="BD60" s="460">
        <v>0</v>
      </c>
      <c r="BE60" s="460">
        <v>0</v>
      </c>
      <c r="BF60" s="460">
        <v>0</v>
      </c>
      <c r="BG60" s="460">
        <v>0</v>
      </c>
      <c r="BH60" s="460">
        <v>0</v>
      </c>
      <c r="BI60" s="460">
        <v>0</v>
      </c>
      <c r="BJ60" s="460">
        <v>0</v>
      </c>
      <c r="BK60" s="460">
        <v>0</v>
      </c>
      <c r="BL60" s="460">
        <v>0</v>
      </c>
      <c r="BM60" s="460">
        <v>0</v>
      </c>
      <c r="BN60" s="460">
        <v>0</v>
      </c>
      <c r="BO60" s="460">
        <v>0</v>
      </c>
      <c r="BP60" s="460">
        <v>0</v>
      </c>
      <c r="BQ60" s="460">
        <v>0</v>
      </c>
      <c r="BR60" s="460">
        <v>0</v>
      </c>
      <c r="BS60" s="460">
        <v>0</v>
      </c>
      <c r="BT60" s="460">
        <v>0</v>
      </c>
      <c r="BU60" s="460">
        <v>0</v>
      </c>
      <c r="BV60" s="460">
        <v>0</v>
      </c>
      <c r="BW60" s="460">
        <v>0</v>
      </c>
      <c r="BX60" s="460">
        <v>0</v>
      </c>
      <c r="BY60" s="460">
        <v>0</v>
      </c>
      <c r="BZ60" s="460">
        <v>0</v>
      </c>
      <c r="CA60" s="460" t="e">
        <v>#N/A</v>
      </c>
      <c r="CB60" s="460" t="e">
        <v>#N/A</v>
      </c>
      <c r="CC60" s="460" t="e">
        <v>#N/A</v>
      </c>
    </row>
    <row r="61" spans="1:81" ht="12.75" customHeight="1">
      <c r="A61" s="105">
        <v>56</v>
      </c>
      <c r="B61" s="458" t="str">
        <v>30Y</v>
      </c>
      <c r="C61" s="262">
        <f>'eur disaggregated'!AT72</f>
        <v>0</v>
      </c>
      <c r="D61" s="111" t="str">
        <f t="shared" si="2"/>
        <v>360M</v>
      </c>
      <c r="E61" s="441">
        <f>BktEur1yPL!E61</f>
        <v>42696</v>
      </c>
      <c r="F61" s="441">
        <f>BktEur1yPL!F61</f>
        <v>53653</v>
      </c>
      <c r="G61" s="462">
        <f t="shared" si="1"/>
        <v>1.2430000000000002E-2</v>
      </c>
      <c r="H61" s="453">
        <f>BktEur1yPL!H61</f>
        <v>1.2430000000000001</v>
      </c>
      <c r="I61" s="107" t="str">
        <v>28Y</v>
      </c>
      <c r="J61" s="106" t="str">
        <f>IF(LEN(I61)&gt;0,IF((MID(I61,4,1)=" "),#REF!,IF((LEN(I61)=8),DATE("20" &amp; RIGHT(I61,2),MID(I61,4,2),LEFT(I61,2)),SimplifyTenor(I61))),"")</f>
        <v>336M</v>
      </c>
      <c r="K61" s="448">
        <f>_xll.qlCalendarAdvance("TARGET",SettlementDate,J61)</f>
        <v>52923</v>
      </c>
      <c r="M61" s="99" t="str">
        <v>28Y</v>
      </c>
      <c r="N61" s="465">
        <v>0</v>
      </c>
      <c r="P61" s="106" t="b">
        <f t="shared" si="3"/>
        <v>0</v>
      </c>
      <c r="Q61" s="460">
        <f t="array" ref="Q61:CC61">C61*ForwardToZero(OisBuckets,E61,F61,G61)</f>
        <v>0</v>
      </c>
      <c r="R61" s="460">
        <v>0</v>
      </c>
      <c r="S61" s="460">
        <v>0</v>
      </c>
      <c r="T61" s="460">
        <v>0</v>
      </c>
      <c r="U61" s="460">
        <v>0</v>
      </c>
      <c r="V61" s="460">
        <v>0</v>
      </c>
      <c r="W61" s="460">
        <v>0</v>
      </c>
      <c r="X61" s="460">
        <v>0</v>
      </c>
      <c r="Y61" s="460">
        <v>0</v>
      </c>
      <c r="Z61" s="460">
        <v>0</v>
      </c>
      <c r="AA61" s="460">
        <v>0</v>
      </c>
      <c r="AB61" s="460">
        <v>0</v>
      </c>
      <c r="AC61" s="460">
        <v>0</v>
      </c>
      <c r="AD61" s="460">
        <v>0</v>
      </c>
      <c r="AE61" s="460">
        <v>0</v>
      </c>
      <c r="AF61" s="460">
        <v>0</v>
      </c>
      <c r="AG61" s="460">
        <v>0</v>
      </c>
      <c r="AH61" s="460">
        <v>0</v>
      </c>
      <c r="AI61" s="460">
        <v>0</v>
      </c>
      <c r="AJ61" s="460">
        <v>0</v>
      </c>
      <c r="AK61" s="460">
        <v>0</v>
      </c>
      <c r="AL61" s="460">
        <v>0</v>
      </c>
      <c r="AM61" s="460">
        <v>0</v>
      </c>
      <c r="AN61" s="460">
        <v>0</v>
      </c>
      <c r="AO61" s="460">
        <v>0</v>
      </c>
      <c r="AP61" s="460">
        <v>0</v>
      </c>
      <c r="AQ61" s="460">
        <v>0</v>
      </c>
      <c r="AR61" s="460">
        <v>0</v>
      </c>
      <c r="AS61" s="460">
        <v>0</v>
      </c>
      <c r="AT61" s="460">
        <v>0</v>
      </c>
      <c r="AU61" s="460">
        <v>0</v>
      </c>
      <c r="AV61" s="460">
        <v>0</v>
      </c>
      <c r="AW61" s="460">
        <v>0</v>
      </c>
      <c r="AX61" s="460">
        <v>0</v>
      </c>
      <c r="AY61" s="460">
        <v>0</v>
      </c>
      <c r="AZ61" s="460">
        <v>0</v>
      </c>
      <c r="BA61" s="460">
        <v>0</v>
      </c>
      <c r="BB61" s="460">
        <v>0</v>
      </c>
      <c r="BC61" s="460">
        <v>0</v>
      </c>
      <c r="BD61" s="460">
        <v>0</v>
      </c>
      <c r="BE61" s="460">
        <v>0</v>
      </c>
      <c r="BF61" s="460">
        <v>0</v>
      </c>
      <c r="BG61" s="460">
        <v>0</v>
      </c>
      <c r="BH61" s="460">
        <v>0</v>
      </c>
      <c r="BI61" s="460">
        <v>0</v>
      </c>
      <c r="BJ61" s="460">
        <v>0</v>
      </c>
      <c r="BK61" s="460">
        <v>0</v>
      </c>
      <c r="BL61" s="460">
        <v>0</v>
      </c>
      <c r="BM61" s="460">
        <v>0</v>
      </c>
      <c r="BN61" s="460">
        <v>0</v>
      </c>
      <c r="BO61" s="460">
        <v>0</v>
      </c>
      <c r="BP61" s="460">
        <v>0</v>
      </c>
      <c r="BQ61" s="460">
        <v>0</v>
      </c>
      <c r="BR61" s="460">
        <v>0</v>
      </c>
      <c r="BS61" s="460">
        <v>0</v>
      </c>
      <c r="BT61" s="460">
        <v>0</v>
      </c>
      <c r="BU61" s="460">
        <v>0</v>
      </c>
      <c r="BV61" s="460">
        <v>0</v>
      </c>
      <c r="BW61" s="460">
        <v>0</v>
      </c>
      <c r="BX61" s="460">
        <v>0</v>
      </c>
      <c r="BY61" s="460">
        <v>0</v>
      </c>
      <c r="BZ61" s="460">
        <v>0</v>
      </c>
      <c r="CA61" s="460" t="e">
        <v>#N/A</v>
      </c>
      <c r="CB61" s="460" t="e">
        <v>#N/A</v>
      </c>
      <c r="CC61" s="460" t="e">
        <v>#N/A</v>
      </c>
    </row>
    <row r="62" spans="1:81" ht="12.75" customHeight="1">
      <c r="A62" s="105">
        <v>57</v>
      </c>
      <c r="B62" s="458" t="str">
        <v>31Y</v>
      </c>
      <c r="C62" s="262">
        <f>'eur disaggregated'!AT73</f>
        <v>0</v>
      </c>
      <c r="D62" s="111" t="str">
        <f t="shared" si="2"/>
        <v>372M</v>
      </c>
      <c r="E62" s="441">
        <f>BktEur1yPL!E62</f>
        <v>42696</v>
      </c>
      <c r="F62" s="441">
        <f>BktEur1yPL!F62</f>
        <v>54018</v>
      </c>
      <c r="G62" s="462">
        <f t="shared" si="1"/>
        <v>1.2426056689999999E-2</v>
      </c>
      <c r="H62" s="453">
        <f>BktEur1yPL!H62</f>
        <v>1.242605669</v>
      </c>
      <c r="I62" s="107" t="str">
        <v>29Y</v>
      </c>
      <c r="J62" s="106" t="str">
        <f>IF(LEN(I62)&gt;0,IF((MID(I62,4,1)=" "),#REF!,IF((LEN(I62)=8),DATE("20" &amp; RIGHT(I62,2),MID(I62,4,2),LEFT(I62,2)),SimplifyTenor(I62))),"")</f>
        <v>348M</v>
      </c>
      <c r="K62" s="448">
        <f>_xll.qlCalendarAdvance("TARGET",SettlementDate,J62)</f>
        <v>53288</v>
      </c>
      <c r="M62" s="99" t="str">
        <v>29Y</v>
      </c>
      <c r="N62" s="465">
        <v>0</v>
      </c>
      <c r="P62" s="106" t="b">
        <f t="shared" si="3"/>
        <v>0</v>
      </c>
      <c r="Q62" s="460">
        <f t="array" ref="Q62:CC62">C62*ForwardToZero(OisBuckets,E62,F62,G62)</f>
        <v>0</v>
      </c>
      <c r="R62" s="460">
        <v>0</v>
      </c>
      <c r="S62" s="460">
        <v>0</v>
      </c>
      <c r="T62" s="460">
        <v>0</v>
      </c>
      <c r="U62" s="460">
        <v>0</v>
      </c>
      <c r="V62" s="460">
        <v>0</v>
      </c>
      <c r="W62" s="460">
        <v>0</v>
      </c>
      <c r="X62" s="460">
        <v>0</v>
      </c>
      <c r="Y62" s="460">
        <v>0</v>
      </c>
      <c r="Z62" s="460">
        <v>0</v>
      </c>
      <c r="AA62" s="460">
        <v>0</v>
      </c>
      <c r="AB62" s="460">
        <v>0</v>
      </c>
      <c r="AC62" s="460">
        <v>0</v>
      </c>
      <c r="AD62" s="460">
        <v>0</v>
      </c>
      <c r="AE62" s="460">
        <v>0</v>
      </c>
      <c r="AF62" s="460">
        <v>0</v>
      </c>
      <c r="AG62" s="460">
        <v>0</v>
      </c>
      <c r="AH62" s="460">
        <v>0</v>
      </c>
      <c r="AI62" s="460">
        <v>0</v>
      </c>
      <c r="AJ62" s="460">
        <v>0</v>
      </c>
      <c r="AK62" s="460">
        <v>0</v>
      </c>
      <c r="AL62" s="460">
        <v>0</v>
      </c>
      <c r="AM62" s="460">
        <v>0</v>
      </c>
      <c r="AN62" s="460">
        <v>0</v>
      </c>
      <c r="AO62" s="460">
        <v>0</v>
      </c>
      <c r="AP62" s="460">
        <v>0</v>
      </c>
      <c r="AQ62" s="460">
        <v>0</v>
      </c>
      <c r="AR62" s="460">
        <v>0</v>
      </c>
      <c r="AS62" s="460">
        <v>0</v>
      </c>
      <c r="AT62" s="460">
        <v>0</v>
      </c>
      <c r="AU62" s="460">
        <v>0</v>
      </c>
      <c r="AV62" s="460">
        <v>0</v>
      </c>
      <c r="AW62" s="460">
        <v>0</v>
      </c>
      <c r="AX62" s="460">
        <v>0</v>
      </c>
      <c r="AY62" s="460">
        <v>0</v>
      </c>
      <c r="AZ62" s="460">
        <v>0</v>
      </c>
      <c r="BA62" s="460">
        <v>0</v>
      </c>
      <c r="BB62" s="460">
        <v>0</v>
      </c>
      <c r="BC62" s="460">
        <v>0</v>
      </c>
      <c r="BD62" s="460">
        <v>0</v>
      </c>
      <c r="BE62" s="460">
        <v>0</v>
      </c>
      <c r="BF62" s="460">
        <v>0</v>
      </c>
      <c r="BG62" s="460">
        <v>0</v>
      </c>
      <c r="BH62" s="460">
        <v>0</v>
      </c>
      <c r="BI62" s="460">
        <v>0</v>
      </c>
      <c r="BJ62" s="460">
        <v>0</v>
      </c>
      <c r="BK62" s="460">
        <v>0</v>
      </c>
      <c r="BL62" s="460">
        <v>0</v>
      </c>
      <c r="BM62" s="460">
        <v>0</v>
      </c>
      <c r="BN62" s="460">
        <v>0</v>
      </c>
      <c r="BO62" s="460">
        <v>0</v>
      </c>
      <c r="BP62" s="460">
        <v>0</v>
      </c>
      <c r="BQ62" s="460">
        <v>0</v>
      </c>
      <c r="BR62" s="460">
        <v>0</v>
      </c>
      <c r="BS62" s="460">
        <v>0</v>
      </c>
      <c r="BT62" s="460">
        <v>0</v>
      </c>
      <c r="BU62" s="460">
        <v>0</v>
      </c>
      <c r="BV62" s="460">
        <v>0</v>
      </c>
      <c r="BW62" s="460">
        <v>0</v>
      </c>
      <c r="BX62" s="460">
        <v>0</v>
      </c>
      <c r="BY62" s="460">
        <v>0</v>
      </c>
      <c r="BZ62" s="460">
        <v>0</v>
      </c>
      <c r="CA62" s="460" t="e">
        <v>#N/A</v>
      </c>
      <c r="CB62" s="460" t="e">
        <v>#N/A</v>
      </c>
      <c r="CC62" s="460" t="e">
        <v>#N/A</v>
      </c>
    </row>
    <row r="63" spans="1:81" ht="12.75" customHeight="1">
      <c r="A63" s="105">
        <v>58</v>
      </c>
      <c r="B63" s="458" t="str">
        <v>32Y</v>
      </c>
      <c r="C63" s="262">
        <f>'eur disaggregated'!AT74</f>
        <v>0</v>
      </c>
      <c r="D63" s="111" t="str">
        <f t="shared" si="2"/>
        <v>384M</v>
      </c>
      <c r="E63" s="441">
        <f>BktEur1yPL!E63</f>
        <v>42696</v>
      </c>
      <c r="F63" s="441">
        <f>BktEur1yPL!F63</f>
        <v>54385</v>
      </c>
      <c r="G63" s="462">
        <f t="shared" si="1"/>
        <v>1.241878152E-2</v>
      </c>
      <c r="H63" s="453">
        <f>BktEur1yPL!H63</f>
        <v>1.241878152</v>
      </c>
      <c r="I63" s="107" t="str">
        <v>30Y</v>
      </c>
      <c r="J63" s="106" t="str">
        <f>IF(LEN(I63)&gt;0,IF((MID(I63,4,1)=" "),#REF!,IF((LEN(I63)=8),DATE("20" &amp; RIGHT(I63,2),MID(I63,4,2),LEFT(I63,2)),SimplifyTenor(I63))),"")</f>
        <v>360M</v>
      </c>
      <c r="K63" s="448">
        <f>_xll.qlCalendarAdvance("TARGET",SettlementDate,J63)</f>
        <v>53653</v>
      </c>
      <c r="M63" s="99" t="str">
        <v>30Y</v>
      </c>
      <c r="N63" s="465">
        <v>0</v>
      </c>
      <c r="P63" s="106" t="b">
        <f t="shared" si="3"/>
        <v>0</v>
      </c>
      <c r="Q63" s="460">
        <f t="array" ref="Q63:CC63">C63*ForwardToZero(OisBuckets,E63,F63,G63)</f>
        <v>0</v>
      </c>
      <c r="R63" s="460">
        <v>0</v>
      </c>
      <c r="S63" s="460">
        <v>0</v>
      </c>
      <c r="T63" s="460">
        <v>0</v>
      </c>
      <c r="U63" s="460">
        <v>0</v>
      </c>
      <c r="V63" s="460">
        <v>0</v>
      </c>
      <c r="W63" s="460">
        <v>0</v>
      </c>
      <c r="X63" s="460">
        <v>0</v>
      </c>
      <c r="Y63" s="460">
        <v>0</v>
      </c>
      <c r="Z63" s="460">
        <v>0</v>
      </c>
      <c r="AA63" s="460">
        <v>0</v>
      </c>
      <c r="AB63" s="460">
        <v>0</v>
      </c>
      <c r="AC63" s="460">
        <v>0</v>
      </c>
      <c r="AD63" s="460">
        <v>0</v>
      </c>
      <c r="AE63" s="460">
        <v>0</v>
      </c>
      <c r="AF63" s="460">
        <v>0</v>
      </c>
      <c r="AG63" s="460">
        <v>0</v>
      </c>
      <c r="AH63" s="460">
        <v>0</v>
      </c>
      <c r="AI63" s="460">
        <v>0</v>
      </c>
      <c r="AJ63" s="460">
        <v>0</v>
      </c>
      <c r="AK63" s="460">
        <v>0</v>
      </c>
      <c r="AL63" s="460">
        <v>0</v>
      </c>
      <c r="AM63" s="460">
        <v>0</v>
      </c>
      <c r="AN63" s="460">
        <v>0</v>
      </c>
      <c r="AO63" s="460">
        <v>0</v>
      </c>
      <c r="AP63" s="460">
        <v>0</v>
      </c>
      <c r="AQ63" s="460">
        <v>0</v>
      </c>
      <c r="AR63" s="460">
        <v>0</v>
      </c>
      <c r="AS63" s="460">
        <v>0</v>
      </c>
      <c r="AT63" s="460">
        <v>0</v>
      </c>
      <c r="AU63" s="460">
        <v>0</v>
      </c>
      <c r="AV63" s="460">
        <v>0</v>
      </c>
      <c r="AW63" s="460">
        <v>0</v>
      </c>
      <c r="AX63" s="460">
        <v>0</v>
      </c>
      <c r="AY63" s="460">
        <v>0</v>
      </c>
      <c r="AZ63" s="460">
        <v>0</v>
      </c>
      <c r="BA63" s="460">
        <v>0</v>
      </c>
      <c r="BB63" s="460">
        <v>0</v>
      </c>
      <c r="BC63" s="460">
        <v>0</v>
      </c>
      <c r="BD63" s="460">
        <v>0</v>
      </c>
      <c r="BE63" s="460">
        <v>0</v>
      </c>
      <c r="BF63" s="460">
        <v>0</v>
      </c>
      <c r="BG63" s="460">
        <v>0</v>
      </c>
      <c r="BH63" s="460">
        <v>0</v>
      </c>
      <c r="BI63" s="460">
        <v>0</v>
      </c>
      <c r="BJ63" s="460">
        <v>0</v>
      </c>
      <c r="BK63" s="460">
        <v>0</v>
      </c>
      <c r="BL63" s="460">
        <v>0</v>
      </c>
      <c r="BM63" s="460">
        <v>0</v>
      </c>
      <c r="BN63" s="460">
        <v>0</v>
      </c>
      <c r="BO63" s="460">
        <v>0</v>
      </c>
      <c r="BP63" s="460">
        <v>0</v>
      </c>
      <c r="BQ63" s="460">
        <v>0</v>
      </c>
      <c r="BR63" s="460">
        <v>0</v>
      </c>
      <c r="BS63" s="460">
        <v>0</v>
      </c>
      <c r="BT63" s="460">
        <v>0</v>
      </c>
      <c r="BU63" s="460">
        <v>0</v>
      </c>
      <c r="BV63" s="460">
        <v>0</v>
      </c>
      <c r="BW63" s="460">
        <v>0</v>
      </c>
      <c r="BX63" s="460">
        <v>0</v>
      </c>
      <c r="BY63" s="460">
        <v>0</v>
      </c>
      <c r="BZ63" s="460">
        <v>0</v>
      </c>
      <c r="CA63" s="460" t="e">
        <v>#N/A</v>
      </c>
      <c r="CB63" s="460" t="e">
        <v>#N/A</v>
      </c>
      <c r="CC63" s="460" t="e">
        <v>#N/A</v>
      </c>
    </row>
    <row r="64" spans="1:81" ht="12.75" customHeight="1">
      <c r="A64" s="105">
        <v>59</v>
      </c>
      <c r="B64" s="458" t="str">
        <v>33Y</v>
      </c>
      <c r="C64" s="262">
        <f>'eur disaggregated'!AT75</f>
        <v>0</v>
      </c>
      <c r="D64" s="111" t="str">
        <f t="shared" si="2"/>
        <v>396M</v>
      </c>
      <c r="E64" s="441">
        <f>BktEur1yPL!E64</f>
        <v>42696</v>
      </c>
      <c r="F64" s="441">
        <f>BktEur1yPL!F64</f>
        <v>54749</v>
      </c>
      <c r="G64" s="462">
        <f t="shared" si="1"/>
        <v>1.2406356059999998E-2</v>
      </c>
      <c r="H64" s="453">
        <f>BktEur1yPL!H64</f>
        <v>1.2406356059999999</v>
      </c>
      <c r="I64" s="107" t="str">
        <v>35Y</v>
      </c>
      <c r="J64" s="106" t="str">
        <f>IF(LEN(I64)&gt;0,IF((MID(I64,4,1)=" "),#REF!,IF((LEN(I64)=8),DATE("20" &amp; RIGHT(I64,2),MID(I64,4,2),LEFT(I64,2)),SimplifyTenor(I64))),"")</f>
        <v>420M</v>
      </c>
      <c r="K64" s="448">
        <f>_xll.qlCalendarAdvance("TARGET",SettlementDate,J64)</f>
        <v>55479</v>
      </c>
      <c r="M64" s="99" t="str">
        <v>35Y</v>
      </c>
      <c r="N64" s="465">
        <v>0</v>
      </c>
      <c r="P64" s="106" t="b">
        <f t="shared" si="3"/>
        <v>0</v>
      </c>
      <c r="Q64" s="460">
        <f t="array" ref="Q64:CC64">C64*ForwardToZero(OisBuckets,E64,F64,G64)</f>
        <v>0</v>
      </c>
      <c r="R64" s="460">
        <v>0</v>
      </c>
      <c r="S64" s="460">
        <v>0</v>
      </c>
      <c r="T64" s="460">
        <v>0</v>
      </c>
      <c r="U64" s="460">
        <v>0</v>
      </c>
      <c r="V64" s="460">
        <v>0</v>
      </c>
      <c r="W64" s="460">
        <v>0</v>
      </c>
      <c r="X64" s="460">
        <v>0</v>
      </c>
      <c r="Y64" s="460">
        <v>0</v>
      </c>
      <c r="Z64" s="460">
        <v>0</v>
      </c>
      <c r="AA64" s="460">
        <v>0</v>
      </c>
      <c r="AB64" s="460">
        <v>0</v>
      </c>
      <c r="AC64" s="460">
        <v>0</v>
      </c>
      <c r="AD64" s="460">
        <v>0</v>
      </c>
      <c r="AE64" s="460">
        <v>0</v>
      </c>
      <c r="AF64" s="460">
        <v>0</v>
      </c>
      <c r="AG64" s="460">
        <v>0</v>
      </c>
      <c r="AH64" s="460">
        <v>0</v>
      </c>
      <c r="AI64" s="460">
        <v>0</v>
      </c>
      <c r="AJ64" s="460">
        <v>0</v>
      </c>
      <c r="AK64" s="460">
        <v>0</v>
      </c>
      <c r="AL64" s="460">
        <v>0</v>
      </c>
      <c r="AM64" s="460">
        <v>0</v>
      </c>
      <c r="AN64" s="460">
        <v>0</v>
      </c>
      <c r="AO64" s="460">
        <v>0</v>
      </c>
      <c r="AP64" s="460">
        <v>0</v>
      </c>
      <c r="AQ64" s="460">
        <v>0</v>
      </c>
      <c r="AR64" s="460">
        <v>0</v>
      </c>
      <c r="AS64" s="460">
        <v>0</v>
      </c>
      <c r="AT64" s="460">
        <v>0</v>
      </c>
      <c r="AU64" s="460">
        <v>0</v>
      </c>
      <c r="AV64" s="460">
        <v>0</v>
      </c>
      <c r="AW64" s="460">
        <v>0</v>
      </c>
      <c r="AX64" s="460">
        <v>0</v>
      </c>
      <c r="AY64" s="460">
        <v>0</v>
      </c>
      <c r="AZ64" s="460">
        <v>0</v>
      </c>
      <c r="BA64" s="460">
        <v>0</v>
      </c>
      <c r="BB64" s="460">
        <v>0</v>
      </c>
      <c r="BC64" s="460">
        <v>0</v>
      </c>
      <c r="BD64" s="460">
        <v>0</v>
      </c>
      <c r="BE64" s="460">
        <v>0</v>
      </c>
      <c r="BF64" s="460">
        <v>0</v>
      </c>
      <c r="BG64" s="460">
        <v>0</v>
      </c>
      <c r="BH64" s="460">
        <v>0</v>
      </c>
      <c r="BI64" s="460">
        <v>0</v>
      </c>
      <c r="BJ64" s="460">
        <v>0</v>
      </c>
      <c r="BK64" s="460">
        <v>0</v>
      </c>
      <c r="BL64" s="460">
        <v>0</v>
      </c>
      <c r="BM64" s="460">
        <v>0</v>
      </c>
      <c r="BN64" s="460">
        <v>0</v>
      </c>
      <c r="BO64" s="460">
        <v>0</v>
      </c>
      <c r="BP64" s="460">
        <v>0</v>
      </c>
      <c r="BQ64" s="460">
        <v>0</v>
      </c>
      <c r="BR64" s="460">
        <v>0</v>
      </c>
      <c r="BS64" s="460">
        <v>0</v>
      </c>
      <c r="BT64" s="460">
        <v>0</v>
      </c>
      <c r="BU64" s="460">
        <v>0</v>
      </c>
      <c r="BV64" s="460">
        <v>0</v>
      </c>
      <c r="BW64" s="460">
        <v>0</v>
      </c>
      <c r="BX64" s="460">
        <v>0</v>
      </c>
      <c r="BY64" s="460">
        <v>0</v>
      </c>
      <c r="BZ64" s="460">
        <v>0</v>
      </c>
      <c r="CA64" s="460" t="e">
        <v>#N/A</v>
      </c>
      <c r="CB64" s="460" t="e">
        <v>#N/A</v>
      </c>
      <c r="CC64" s="460" t="e">
        <v>#N/A</v>
      </c>
    </row>
    <row r="65" spans="1:81" ht="12.75" customHeight="1">
      <c r="A65" s="105">
        <v>60</v>
      </c>
      <c r="B65" s="458" t="str">
        <v>34Y</v>
      </c>
      <c r="C65" s="262">
        <f>'eur disaggregated'!AT76</f>
        <v>0</v>
      </c>
      <c r="D65" s="111" t="str">
        <f t="shared" si="2"/>
        <v>408M</v>
      </c>
      <c r="E65" s="441">
        <f>BktEur1yPL!E65</f>
        <v>42696</v>
      </c>
      <c r="F65" s="441">
        <f>BktEur1yPL!F65</f>
        <v>55114</v>
      </c>
      <c r="G65" s="462">
        <f t="shared" si="1"/>
        <v>1.2389534529999999E-2</v>
      </c>
      <c r="H65" s="453">
        <f>BktEur1yPL!H65</f>
        <v>1.2389534529999999</v>
      </c>
      <c r="I65" s="107" t="str">
        <v>40Y</v>
      </c>
      <c r="J65" s="106" t="str">
        <f>IF(LEN(I65)&gt;0,IF((MID(I65,4,1)=" "),#REF!,IF((LEN(I65)=8),DATE("20" &amp; RIGHT(I65,2),MID(I65,4,2),LEFT(I65,2)),SimplifyTenor(I65))),"")</f>
        <v>480M</v>
      </c>
      <c r="K65" s="448">
        <f>_xll.qlCalendarAdvance("TARGET",SettlementDate,J65)</f>
        <v>57306</v>
      </c>
      <c r="M65" s="99" t="str">
        <v>40Y</v>
      </c>
      <c r="N65" s="465">
        <v>0</v>
      </c>
      <c r="P65" s="106" t="b">
        <f t="shared" si="3"/>
        <v>0</v>
      </c>
      <c r="Q65" s="460">
        <f t="array" ref="Q65:CC65">C65*ForwardToZero(OisBuckets,E65,F65,G65)</f>
        <v>0</v>
      </c>
      <c r="R65" s="460">
        <v>0</v>
      </c>
      <c r="S65" s="460">
        <v>0</v>
      </c>
      <c r="T65" s="460">
        <v>0</v>
      </c>
      <c r="U65" s="460">
        <v>0</v>
      </c>
      <c r="V65" s="460">
        <v>0</v>
      </c>
      <c r="W65" s="460">
        <v>0</v>
      </c>
      <c r="X65" s="460">
        <v>0</v>
      </c>
      <c r="Y65" s="460">
        <v>0</v>
      </c>
      <c r="Z65" s="460">
        <v>0</v>
      </c>
      <c r="AA65" s="460">
        <v>0</v>
      </c>
      <c r="AB65" s="460">
        <v>0</v>
      </c>
      <c r="AC65" s="460">
        <v>0</v>
      </c>
      <c r="AD65" s="460">
        <v>0</v>
      </c>
      <c r="AE65" s="460">
        <v>0</v>
      </c>
      <c r="AF65" s="460">
        <v>0</v>
      </c>
      <c r="AG65" s="460">
        <v>0</v>
      </c>
      <c r="AH65" s="460">
        <v>0</v>
      </c>
      <c r="AI65" s="460">
        <v>0</v>
      </c>
      <c r="AJ65" s="460">
        <v>0</v>
      </c>
      <c r="AK65" s="460">
        <v>0</v>
      </c>
      <c r="AL65" s="460">
        <v>0</v>
      </c>
      <c r="AM65" s="460">
        <v>0</v>
      </c>
      <c r="AN65" s="460">
        <v>0</v>
      </c>
      <c r="AO65" s="460">
        <v>0</v>
      </c>
      <c r="AP65" s="460">
        <v>0</v>
      </c>
      <c r="AQ65" s="460">
        <v>0</v>
      </c>
      <c r="AR65" s="460">
        <v>0</v>
      </c>
      <c r="AS65" s="460">
        <v>0</v>
      </c>
      <c r="AT65" s="460">
        <v>0</v>
      </c>
      <c r="AU65" s="460">
        <v>0</v>
      </c>
      <c r="AV65" s="460">
        <v>0</v>
      </c>
      <c r="AW65" s="460">
        <v>0</v>
      </c>
      <c r="AX65" s="460">
        <v>0</v>
      </c>
      <c r="AY65" s="460">
        <v>0</v>
      </c>
      <c r="AZ65" s="460">
        <v>0</v>
      </c>
      <c r="BA65" s="460">
        <v>0</v>
      </c>
      <c r="BB65" s="460">
        <v>0</v>
      </c>
      <c r="BC65" s="460">
        <v>0</v>
      </c>
      <c r="BD65" s="460">
        <v>0</v>
      </c>
      <c r="BE65" s="460">
        <v>0</v>
      </c>
      <c r="BF65" s="460">
        <v>0</v>
      </c>
      <c r="BG65" s="460">
        <v>0</v>
      </c>
      <c r="BH65" s="460">
        <v>0</v>
      </c>
      <c r="BI65" s="460">
        <v>0</v>
      </c>
      <c r="BJ65" s="460">
        <v>0</v>
      </c>
      <c r="BK65" s="460">
        <v>0</v>
      </c>
      <c r="BL65" s="460">
        <v>0</v>
      </c>
      <c r="BM65" s="460">
        <v>0</v>
      </c>
      <c r="BN65" s="460">
        <v>0</v>
      </c>
      <c r="BO65" s="460">
        <v>0</v>
      </c>
      <c r="BP65" s="460">
        <v>0</v>
      </c>
      <c r="BQ65" s="460">
        <v>0</v>
      </c>
      <c r="BR65" s="460">
        <v>0</v>
      </c>
      <c r="BS65" s="460">
        <v>0</v>
      </c>
      <c r="BT65" s="460">
        <v>0</v>
      </c>
      <c r="BU65" s="460">
        <v>0</v>
      </c>
      <c r="BV65" s="460">
        <v>0</v>
      </c>
      <c r="BW65" s="460">
        <v>0</v>
      </c>
      <c r="BX65" s="460">
        <v>0</v>
      </c>
      <c r="BY65" s="460">
        <v>0</v>
      </c>
      <c r="BZ65" s="460">
        <v>0</v>
      </c>
      <c r="CA65" s="460" t="e">
        <v>#N/A</v>
      </c>
      <c r="CB65" s="460" t="e">
        <v>#N/A</v>
      </c>
      <c r="CC65" s="460" t="e">
        <v>#N/A</v>
      </c>
    </row>
    <row r="66" spans="1:81" ht="12.75" customHeight="1">
      <c r="A66" s="105">
        <v>61</v>
      </c>
      <c r="B66" s="458" t="str">
        <v>35Y</v>
      </c>
      <c r="C66" s="262">
        <f>'eur disaggregated'!AT77</f>
        <v>0</v>
      </c>
      <c r="D66" s="111" t="str">
        <f t="shared" si="2"/>
        <v>420M</v>
      </c>
      <c r="E66" s="441">
        <f>BktEur1yPL!E66</f>
        <v>42696</v>
      </c>
      <c r="F66" s="441">
        <f>BktEur1yPL!F66</f>
        <v>55479</v>
      </c>
      <c r="G66" s="462">
        <f t="shared" si="1"/>
        <v>1.236805207E-2</v>
      </c>
      <c r="H66" s="453">
        <f>BktEur1yPL!H66</f>
        <v>1.236805207</v>
      </c>
      <c r="I66" s="107" t="str">
        <v>50Y</v>
      </c>
      <c r="J66" s="106" t="str">
        <f>IF(LEN(I66)&gt;0,IF((MID(I66,4,1)=" "),#REF!,IF((LEN(I66)=8),DATE("20" &amp; RIGHT(I66,2),MID(I66,4,2),LEFT(I66,2)),SimplifyTenor(I66))),"")</f>
        <v>600M</v>
      </c>
      <c r="K66" s="448">
        <f>_xll.qlCalendarAdvance("TARGET",SettlementDate,J66)</f>
        <v>60958</v>
      </c>
      <c r="M66" s="99" t="str">
        <v>50Y</v>
      </c>
      <c r="N66" s="465">
        <v>0</v>
      </c>
      <c r="P66" s="106" t="b">
        <f t="shared" si="3"/>
        <v>0</v>
      </c>
      <c r="Q66" s="460">
        <f t="array" ref="Q66:CC66">C66*ForwardToZero(OisBuckets,E66,F66,G66)</f>
        <v>0</v>
      </c>
      <c r="R66" s="460">
        <v>0</v>
      </c>
      <c r="S66" s="460">
        <v>0</v>
      </c>
      <c r="T66" s="460">
        <v>0</v>
      </c>
      <c r="U66" s="460">
        <v>0</v>
      </c>
      <c r="V66" s="460">
        <v>0</v>
      </c>
      <c r="W66" s="460">
        <v>0</v>
      </c>
      <c r="X66" s="460">
        <v>0</v>
      </c>
      <c r="Y66" s="460">
        <v>0</v>
      </c>
      <c r="Z66" s="460">
        <v>0</v>
      </c>
      <c r="AA66" s="460">
        <v>0</v>
      </c>
      <c r="AB66" s="460">
        <v>0</v>
      </c>
      <c r="AC66" s="460">
        <v>0</v>
      </c>
      <c r="AD66" s="460">
        <v>0</v>
      </c>
      <c r="AE66" s="460">
        <v>0</v>
      </c>
      <c r="AF66" s="460">
        <v>0</v>
      </c>
      <c r="AG66" s="460">
        <v>0</v>
      </c>
      <c r="AH66" s="460">
        <v>0</v>
      </c>
      <c r="AI66" s="460">
        <v>0</v>
      </c>
      <c r="AJ66" s="460">
        <v>0</v>
      </c>
      <c r="AK66" s="460">
        <v>0</v>
      </c>
      <c r="AL66" s="460">
        <v>0</v>
      </c>
      <c r="AM66" s="460">
        <v>0</v>
      </c>
      <c r="AN66" s="460">
        <v>0</v>
      </c>
      <c r="AO66" s="460">
        <v>0</v>
      </c>
      <c r="AP66" s="460">
        <v>0</v>
      </c>
      <c r="AQ66" s="460">
        <v>0</v>
      </c>
      <c r="AR66" s="460">
        <v>0</v>
      </c>
      <c r="AS66" s="460">
        <v>0</v>
      </c>
      <c r="AT66" s="460">
        <v>0</v>
      </c>
      <c r="AU66" s="460">
        <v>0</v>
      </c>
      <c r="AV66" s="460">
        <v>0</v>
      </c>
      <c r="AW66" s="460">
        <v>0</v>
      </c>
      <c r="AX66" s="460">
        <v>0</v>
      </c>
      <c r="AY66" s="460">
        <v>0</v>
      </c>
      <c r="AZ66" s="460">
        <v>0</v>
      </c>
      <c r="BA66" s="460">
        <v>0</v>
      </c>
      <c r="BB66" s="460">
        <v>0</v>
      </c>
      <c r="BC66" s="460">
        <v>0</v>
      </c>
      <c r="BD66" s="460">
        <v>0</v>
      </c>
      <c r="BE66" s="460">
        <v>0</v>
      </c>
      <c r="BF66" s="460">
        <v>0</v>
      </c>
      <c r="BG66" s="460">
        <v>0</v>
      </c>
      <c r="BH66" s="460">
        <v>0</v>
      </c>
      <c r="BI66" s="460">
        <v>0</v>
      </c>
      <c r="BJ66" s="460">
        <v>0</v>
      </c>
      <c r="BK66" s="460">
        <v>0</v>
      </c>
      <c r="BL66" s="460">
        <v>0</v>
      </c>
      <c r="BM66" s="460">
        <v>0</v>
      </c>
      <c r="BN66" s="460">
        <v>0</v>
      </c>
      <c r="BO66" s="460">
        <v>0</v>
      </c>
      <c r="BP66" s="460">
        <v>0</v>
      </c>
      <c r="BQ66" s="460">
        <v>0</v>
      </c>
      <c r="BR66" s="460">
        <v>0</v>
      </c>
      <c r="BS66" s="460">
        <v>0</v>
      </c>
      <c r="BT66" s="460">
        <v>0</v>
      </c>
      <c r="BU66" s="460">
        <v>0</v>
      </c>
      <c r="BV66" s="460">
        <v>0</v>
      </c>
      <c r="BW66" s="460">
        <v>0</v>
      </c>
      <c r="BX66" s="460">
        <v>0</v>
      </c>
      <c r="BY66" s="460">
        <v>0</v>
      </c>
      <c r="BZ66" s="460">
        <v>0</v>
      </c>
      <c r="CA66" s="460" t="e">
        <v>#N/A</v>
      </c>
      <c r="CB66" s="460" t="e">
        <v>#N/A</v>
      </c>
      <c r="CC66" s="460" t="e">
        <v>#N/A</v>
      </c>
    </row>
    <row r="67" spans="1:81" ht="12.75" customHeight="1">
      <c r="A67" s="105">
        <v>62</v>
      </c>
      <c r="B67" s="458" t="str">
        <v>36Y</v>
      </c>
      <c r="C67" s="262">
        <f>'eur disaggregated'!AT78</f>
        <v>0</v>
      </c>
      <c r="D67" s="111" t="str">
        <f t="shared" si="2"/>
        <v>432M</v>
      </c>
      <c r="E67" s="441">
        <f>BktEur1yPL!E67</f>
        <v>42696</v>
      </c>
      <c r="F67" s="441">
        <f>BktEur1yPL!F67</f>
        <v>55845</v>
      </c>
      <c r="G67" s="462">
        <f t="shared" si="1"/>
        <v>1.2342882520000001E-2</v>
      </c>
      <c r="H67" s="453">
        <f>BktEur1yPL!H67</f>
        <v>1.234288252</v>
      </c>
      <c r="I67" s="107" t="str">
        <v>60Y</v>
      </c>
      <c r="J67" s="106" t="str">
        <f>IF(LEN(I67)&gt;0,IF((MID(I67,4,1)=" "),#REF!,IF((LEN(I67)=8),DATE("20" &amp; RIGHT(I67,2),MID(I67,4,2),LEFT(I67,2)),SimplifyTenor(I67))),"")</f>
        <v>720M</v>
      </c>
      <c r="K67" s="448">
        <f>_xll.qlCalendarAdvance("TARGET",SettlementDate,J67)</f>
        <v>64612</v>
      </c>
      <c r="M67" s="99" t="str">
        <v>60Y</v>
      </c>
      <c r="N67" s="465">
        <v>0</v>
      </c>
      <c r="P67" s="106" t="b">
        <f t="shared" si="3"/>
        <v>0</v>
      </c>
      <c r="Q67" s="460">
        <f t="array" ref="Q67:CC67">C67*ForwardToZero(OisBuckets,E67,F67,G67)</f>
        <v>0</v>
      </c>
      <c r="R67" s="460">
        <v>0</v>
      </c>
      <c r="S67" s="460">
        <v>0</v>
      </c>
      <c r="T67" s="460">
        <v>0</v>
      </c>
      <c r="U67" s="460">
        <v>0</v>
      </c>
      <c r="V67" s="460">
        <v>0</v>
      </c>
      <c r="W67" s="460">
        <v>0</v>
      </c>
      <c r="X67" s="460">
        <v>0</v>
      </c>
      <c r="Y67" s="460">
        <v>0</v>
      </c>
      <c r="Z67" s="460">
        <v>0</v>
      </c>
      <c r="AA67" s="460">
        <v>0</v>
      </c>
      <c r="AB67" s="460">
        <v>0</v>
      </c>
      <c r="AC67" s="460">
        <v>0</v>
      </c>
      <c r="AD67" s="460">
        <v>0</v>
      </c>
      <c r="AE67" s="460">
        <v>0</v>
      </c>
      <c r="AF67" s="460">
        <v>0</v>
      </c>
      <c r="AG67" s="460">
        <v>0</v>
      </c>
      <c r="AH67" s="460">
        <v>0</v>
      </c>
      <c r="AI67" s="460">
        <v>0</v>
      </c>
      <c r="AJ67" s="460">
        <v>0</v>
      </c>
      <c r="AK67" s="460">
        <v>0</v>
      </c>
      <c r="AL67" s="460">
        <v>0</v>
      </c>
      <c r="AM67" s="460">
        <v>0</v>
      </c>
      <c r="AN67" s="460">
        <v>0</v>
      </c>
      <c r="AO67" s="460">
        <v>0</v>
      </c>
      <c r="AP67" s="460">
        <v>0</v>
      </c>
      <c r="AQ67" s="460">
        <v>0</v>
      </c>
      <c r="AR67" s="460">
        <v>0</v>
      </c>
      <c r="AS67" s="460">
        <v>0</v>
      </c>
      <c r="AT67" s="460">
        <v>0</v>
      </c>
      <c r="AU67" s="460">
        <v>0</v>
      </c>
      <c r="AV67" s="460">
        <v>0</v>
      </c>
      <c r="AW67" s="460">
        <v>0</v>
      </c>
      <c r="AX67" s="460">
        <v>0</v>
      </c>
      <c r="AY67" s="460">
        <v>0</v>
      </c>
      <c r="AZ67" s="460">
        <v>0</v>
      </c>
      <c r="BA67" s="460">
        <v>0</v>
      </c>
      <c r="BB67" s="460">
        <v>0</v>
      </c>
      <c r="BC67" s="460">
        <v>0</v>
      </c>
      <c r="BD67" s="460">
        <v>0</v>
      </c>
      <c r="BE67" s="460">
        <v>0</v>
      </c>
      <c r="BF67" s="460">
        <v>0</v>
      </c>
      <c r="BG67" s="460">
        <v>0</v>
      </c>
      <c r="BH67" s="460">
        <v>0</v>
      </c>
      <c r="BI67" s="460">
        <v>0</v>
      </c>
      <c r="BJ67" s="460">
        <v>0</v>
      </c>
      <c r="BK67" s="460">
        <v>0</v>
      </c>
      <c r="BL67" s="460">
        <v>0</v>
      </c>
      <c r="BM67" s="460">
        <v>0</v>
      </c>
      <c r="BN67" s="460">
        <v>0</v>
      </c>
      <c r="BO67" s="460">
        <v>0</v>
      </c>
      <c r="BP67" s="460">
        <v>0</v>
      </c>
      <c r="BQ67" s="460">
        <v>0</v>
      </c>
      <c r="BR67" s="460">
        <v>0</v>
      </c>
      <c r="BS67" s="460">
        <v>0</v>
      </c>
      <c r="BT67" s="460">
        <v>0</v>
      </c>
      <c r="BU67" s="460">
        <v>0</v>
      </c>
      <c r="BV67" s="460">
        <v>0</v>
      </c>
      <c r="BW67" s="460">
        <v>0</v>
      </c>
      <c r="BX67" s="460">
        <v>0</v>
      </c>
      <c r="BY67" s="460">
        <v>0</v>
      </c>
      <c r="BZ67" s="460">
        <v>0</v>
      </c>
      <c r="CA67" s="460" t="e">
        <v>#N/A</v>
      </c>
      <c r="CB67" s="460" t="e">
        <v>#N/A</v>
      </c>
      <c r="CC67" s="460" t="e">
        <v>#N/A</v>
      </c>
    </row>
    <row r="68" spans="1:81" ht="12.75" customHeight="1">
      <c r="A68" s="105">
        <v>63</v>
      </c>
      <c r="B68" s="458" t="str">
        <v>37Y</v>
      </c>
      <c r="C68" s="262">
        <f>'eur disaggregated'!AT79</f>
        <v>0</v>
      </c>
      <c r="D68" s="111" t="str">
        <f t="shared" si="2"/>
        <v>444M</v>
      </c>
      <c r="E68" s="441">
        <f>BktEur1yPL!E68</f>
        <v>42696</v>
      </c>
      <c r="F68" s="441">
        <f>BktEur1yPL!F68</f>
        <v>56212</v>
      </c>
      <c r="G68" s="462">
        <f t="shared" si="1"/>
        <v>1.2312094860000001E-2</v>
      </c>
      <c r="H68" s="453">
        <f>BktEur1yPL!H68</f>
        <v>1.231209486</v>
      </c>
      <c r="I68" s="107" t="e">
        <v>#N/A</v>
      </c>
      <c r="J68" s="106" t="e">
        <f>IF(LEN(I68)&gt;0,IF((MID(I68,4,1)=" "),#REF!,IF((LEN(I68)=8),DATE("20" &amp; RIGHT(I68,2),MID(I68,4,2),LEFT(I68,2)),SimplifyTenor(I68))),"")</f>
        <v>#N/A</v>
      </c>
      <c r="K68" s="448" t="e">
        <f>_xll.qlCalendarAdvance("TARGET",SettlementDate,J68)</f>
        <v>#NUM!</v>
      </c>
      <c r="M68" s="99" t="e">
        <v>#N/A</v>
      </c>
      <c r="N68" s="465" t="e">
        <v>#N/A</v>
      </c>
      <c r="P68" s="106" t="b">
        <f t="shared" si="3"/>
        <v>0</v>
      </c>
      <c r="Q68" s="460">
        <f t="array" ref="Q68:CC68">C68*ForwardToZero(OisBuckets,E68,F68,G68)</f>
        <v>0</v>
      </c>
      <c r="R68" s="460">
        <v>0</v>
      </c>
      <c r="S68" s="460">
        <v>0</v>
      </c>
      <c r="T68" s="460">
        <v>0</v>
      </c>
      <c r="U68" s="460">
        <v>0</v>
      </c>
      <c r="V68" s="460">
        <v>0</v>
      </c>
      <c r="W68" s="460">
        <v>0</v>
      </c>
      <c r="X68" s="460">
        <v>0</v>
      </c>
      <c r="Y68" s="460">
        <v>0</v>
      </c>
      <c r="Z68" s="460">
        <v>0</v>
      </c>
      <c r="AA68" s="460">
        <v>0</v>
      </c>
      <c r="AB68" s="460">
        <v>0</v>
      </c>
      <c r="AC68" s="460">
        <v>0</v>
      </c>
      <c r="AD68" s="460">
        <v>0</v>
      </c>
      <c r="AE68" s="460">
        <v>0</v>
      </c>
      <c r="AF68" s="460">
        <v>0</v>
      </c>
      <c r="AG68" s="460">
        <v>0</v>
      </c>
      <c r="AH68" s="460">
        <v>0</v>
      </c>
      <c r="AI68" s="460">
        <v>0</v>
      </c>
      <c r="AJ68" s="460">
        <v>0</v>
      </c>
      <c r="AK68" s="460">
        <v>0</v>
      </c>
      <c r="AL68" s="460">
        <v>0</v>
      </c>
      <c r="AM68" s="460">
        <v>0</v>
      </c>
      <c r="AN68" s="460">
        <v>0</v>
      </c>
      <c r="AO68" s="460">
        <v>0</v>
      </c>
      <c r="AP68" s="460">
        <v>0</v>
      </c>
      <c r="AQ68" s="460">
        <v>0</v>
      </c>
      <c r="AR68" s="460">
        <v>0</v>
      </c>
      <c r="AS68" s="460">
        <v>0</v>
      </c>
      <c r="AT68" s="460">
        <v>0</v>
      </c>
      <c r="AU68" s="460">
        <v>0</v>
      </c>
      <c r="AV68" s="460">
        <v>0</v>
      </c>
      <c r="AW68" s="460">
        <v>0</v>
      </c>
      <c r="AX68" s="460">
        <v>0</v>
      </c>
      <c r="AY68" s="460">
        <v>0</v>
      </c>
      <c r="AZ68" s="460">
        <v>0</v>
      </c>
      <c r="BA68" s="460">
        <v>0</v>
      </c>
      <c r="BB68" s="460">
        <v>0</v>
      </c>
      <c r="BC68" s="460">
        <v>0</v>
      </c>
      <c r="BD68" s="460">
        <v>0</v>
      </c>
      <c r="BE68" s="460">
        <v>0</v>
      </c>
      <c r="BF68" s="460">
        <v>0</v>
      </c>
      <c r="BG68" s="460">
        <v>0</v>
      </c>
      <c r="BH68" s="460">
        <v>0</v>
      </c>
      <c r="BI68" s="460">
        <v>0</v>
      </c>
      <c r="BJ68" s="460">
        <v>0</v>
      </c>
      <c r="BK68" s="460">
        <v>0</v>
      </c>
      <c r="BL68" s="460">
        <v>0</v>
      </c>
      <c r="BM68" s="460">
        <v>0</v>
      </c>
      <c r="BN68" s="460">
        <v>0</v>
      </c>
      <c r="BO68" s="460">
        <v>0</v>
      </c>
      <c r="BP68" s="460">
        <v>0</v>
      </c>
      <c r="BQ68" s="460">
        <v>0</v>
      </c>
      <c r="BR68" s="460">
        <v>0</v>
      </c>
      <c r="BS68" s="460">
        <v>0</v>
      </c>
      <c r="BT68" s="460">
        <v>0</v>
      </c>
      <c r="BU68" s="460">
        <v>0</v>
      </c>
      <c r="BV68" s="460">
        <v>0</v>
      </c>
      <c r="BW68" s="460">
        <v>0</v>
      </c>
      <c r="BX68" s="460">
        <v>0</v>
      </c>
      <c r="BY68" s="460">
        <v>0</v>
      </c>
      <c r="BZ68" s="460">
        <v>0</v>
      </c>
      <c r="CA68" s="460" t="e">
        <v>#N/A</v>
      </c>
      <c r="CB68" s="460" t="e">
        <v>#N/A</v>
      </c>
      <c r="CC68" s="460" t="e">
        <v>#N/A</v>
      </c>
    </row>
    <row r="69" spans="1:81" ht="12.75" customHeight="1">
      <c r="A69" s="105">
        <v>64</v>
      </c>
      <c r="B69" s="458" t="str">
        <v>38Y</v>
      </c>
      <c r="C69" s="262">
        <f>'eur disaggregated'!AT80</f>
        <v>0</v>
      </c>
      <c r="D69" s="111" t="str">
        <f t="shared" si="2"/>
        <v>456M</v>
      </c>
      <c r="E69" s="441">
        <f>BktEur1yPL!E69</f>
        <v>42696</v>
      </c>
      <c r="F69" s="441">
        <f>BktEur1yPL!F69</f>
        <v>56576</v>
      </c>
      <c r="G69" s="462">
        <f t="shared" si="1"/>
        <v>1.227640302E-2</v>
      </c>
      <c r="H69" s="453">
        <f>BktEur1yPL!H69</f>
        <v>1.227640302</v>
      </c>
      <c r="I69" s="107" t="e">
        <v>#N/A</v>
      </c>
      <c r="J69" s="106" t="e">
        <f>IF(LEN(I69)&gt;0,IF((MID(I69,4,1)=" "),#REF!,IF((LEN(I69)=8),DATE("20" &amp; RIGHT(I69,2),MID(I69,4,2),LEFT(I69,2)),SimplifyTenor(I69))),"")</f>
        <v>#N/A</v>
      </c>
      <c r="K69" s="448" t="e">
        <f>_xll.qlCalendarAdvance("TARGET",SettlementDate,J69)</f>
        <v>#NUM!</v>
      </c>
      <c r="M69" s="99" t="e">
        <v>#N/A</v>
      </c>
      <c r="N69" s="465" t="e">
        <v>#N/A</v>
      </c>
      <c r="P69" s="106" t="b">
        <f t="shared" si="3"/>
        <v>0</v>
      </c>
      <c r="Q69" s="460">
        <f t="array" ref="Q69:CC69">C69*ForwardToZero(OisBuckets,E69,F69,G69)</f>
        <v>0</v>
      </c>
      <c r="R69" s="460">
        <v>0</v>
      </c>
      <c r="S69" s="460">
        <v>0</v>
      </c>
      <c r="T69" s="460">
        <v>0</v>
      </c>
      <c r="U69" s="460">
        <v>0</v>
      </c>
      <c r="V69" s="460">
        <v>0</v>
      </c>
      <c r="W69" s="460">
        <v>0</v>
      </c>
      <c r="X69" s="460">
        <v>0</v>
      </c>
      <c r="Y69" s="460">
        <v>0</v>
      </c>
      <c r="Z69" s="460">
        <v>0</v>
      </c>
      <c r="AA69" s="460">
        <v>0</v>
      </c>
      <c r="AB69" s="460">
        <v>0</v>
      </c>
      <c r="AC69" s="460">
        <v>0</v>
      </c>
      <c r="AD69" s="460">
        <v>0</v>
      </c>
      <c r="AE69" s="460">
        <v>0</v>
      </c>
      <c r="AF69" s="460">
        <v>0</v>
      </c>
      <c r="AG69" s="460">
        <v>0</v>
      </c>
      <c r="AH69" s="460">
        <v>0</v>
      </c>
      <c r="AI69" s="460">
        <v>0</v>
      </c>
      <c r="AJ69" s="460">
        <v>0</v>
      </c>
      <c r="AK69" s="460">
        <v>0</v>
      </c>
      <c r="AL69" s="460">
        <v>0</v>
      </c>
      <c r="AM69" s="460">
        <v>0</v>
      </c>
      <c r="AN69" s="460">
        <v>0</v>
      </c>
      <c r="AO69" s="460">
        <v>0</v>
      </c>
      <c r="AP69" s="460">
        <v>0</v>
      </c>
      <c r="AQ69" s="460">
        <v>0</v>
      </c>
      <c r="AR69" s="460">
        <v>0</v>
      </c>
      <c r="AS69" s="460">
        <v>0</v>
      </c>
      <c r="AT69" s="460">
        <v>0</v>
      </c>
      <c r="AU69" s="460">
        <v>0</v>
      </c>
      <c r="AV69" s="460">
        <v>0</v>
      </c>
      <c r="AW69" s="460">
        <v>0</v>
      </c>
      <c r="AX69" s="460">
        <v>0</v>
      </c>
      <c r="AY69" s="460">
        <v>0</v>
      </c>
      <c r="AZ69" s="460">
        <v>0</v>
      </c>
      <c r="BA69" s="460">
        <v>0</v>
      </c>
      <c r="BB69" s="460">
        <v>0</v>
      </c>
      <c r="BC69" s="460">
        <v>0</v>
      </c>
      <c r="BD69" s="460">
        <v>0</v>
      </c>
      <c r="BE69" s="460">
        <v>0</v>
      </c>
      <c r="BF69" s="460">
        <v>0</v>
      </c>
      <c r="BG69" s="460">
        <v>0</v>
      </c>
      <c r="BH69" s="460">
        <v>0</v>
      </c>
      <c r="BI69" s="460">
        <v>0</v>
      </c>
      <c r="BJ69" s="460">
        <v>0</v>
      </c>
      <c r="BK69" s="460">
        <v>0</v>
      </c>
      <c r="BL69" s="460">
        <v>0</v>
      </c>
      <c r="BM69" s="460">
        <v>0</v>
      </c>
      <c r="BN69" s="460">
        <v>0</v>
      </c>
      <c r="BO69" s="460">
        <v>0</v>
      </c>
      <c r="BP69" s="460">
        <v>0</v>
      </c>
      <c r="BQ69" s="460">
        <v>0</v>
      </c>
      <c r="BR69" s="460">
        <v>0</v>
      </c>
      <c r="BS69" s="460">
        <v>0</v>
      </c>
      <c r="BT69" s="460">
        <v>0</v>
      </c>
      <c r="BU69" s="460">
        <v>0</v>
      </c>
      <c r="BV69" s="460">
        <v>0</v>
      </c>
      <c r="BW69" s="460">
        <v>0</v>
      </c>
      <c r="BX69" s="460">
        <v>0</v>
      </c>
      <c r="BY69" s="460">
        <v>0</v>
      </c>
      <c r="BZ69" s="460">
        <v>0</v>
      </c>
      <c r="CA69" s="460" t="e">
        <v>#N/A</v>
      </c>
      <c r="CB69" s="460" t="e">
        <v>#N/A</v>
      </c>
      <c r="CC69" s="460" t="e">
        <v>#N/A</v>
      </c>
    </row>
    <row r="70" spans="1:81" ht="12.75" customHeight="1">
      <c r="A70" s="105">
        <v>65</v>
      </c>
      <c r="B70" s="458" t="str">
        <v>39Y</v>
      </c>
      <c r="C70" s="262">
        <f>'eur disaggregated'!AT81</f>
        <v>0</v>
      </c>
      <c r="D70" s="111" t="str">
        <f t="shared" si="2"/>
        <v>468M</v>
      </c>
      <c r="E70" s="441">
        <f>BktEur1yPL!E70</f>
        <v>42696</v>
      </c>
      <c r="F70" s="441">
        <f>BktEur1yPL!F70</f>
        <v>56940</v>
      </c>
      <c r="G70" s="462">
        <f t="shared" si="1"/>
        <v>1.2235670739999999E-2</v>
      </c>
      <c r="H70" s="453">
        <f>BktEur1yPL!H70</f>
        <v>1.223567074</v>
      </c>
      <c r="I70" s="107" t="e">
        <v>#N/A</v>
      </c>
      <c r="J70" s="106" t="e">
        <f>IF(LEN(I70)&gt;0,IF((MID(I70,4,1)=" "),#REF!,IF((LEN(I70)=8),DATE("20" &amp; RIGHT(I70,2),MID(I70,4,2),LEFT(I70,2)),SimplifyTenor(I70))),"")</f>
        <v>#N/A</v>
      </c>
      <c r="K70" s="448" t="e">
        <f>_xll.qlCalendarAdvance("TARGET",SettlementDate,J70)</f>
        <v>#NUM!</v>
      </c>
      <c r="M70" s="99" t="e">
        <v>#N/A</v>
      </c>
      <c r="N70" s="465" t="e">
        <v>#N/A</v>
      </c>
      <c r="P70" s="106" t="b">
        <f t="shared" si="3"/>
        <v>0</v>
      </c>
      <c r="Q70" s="460">
        <f t="array" ref="Q70:CC70">C70*ForwardToZero(OisBuckets,E70,F70,G70)</f>
        <v>0</v>
      </c>
      <c r="R70" s="460">
        <v>0</v>
      </c>
      <c r="S70" s="460">
        <v>0</v>
      </c>
      <c r="T70" s="460">
        <v>0</v>
      </c>
      <c r="U70" s="460">
        <v>0</v>
      </c>
      <c r="V70" s="460">
        <v>0</v>
      </c>
      <c r="W70" s="460">
        <v>0</v>
      </c>
      <c r="X70" s="460">
        <v>0</v>
      </c>
      <c r="Y70" s="460">
        <v>0</v>
      </c>
      <c r="Z70" s="460">
        <v>0</v>
      </c>
      <c r="AA70" s="460">
        <v>0</v>
      </c>
      <c r="AB70" s="460">
        <v>0</v>
      </c>
      <c r="AC70" s="460">
        <v>0</v>
      </c>
      <c r="AD70" s="460">
        <v>0</v>
      </c>
      <c r="AE70" s="460">
        <v>0</v>
      </c>
      <c r="AF70" s="460">
        <v>0</v>
      </c>
      <c r="AG70" s="460">
        <v>0</v>
      </c>
      <c r="AH70" s="460">
        <v>0</v>
      </c>
      <c r="AI70" s="460">
        <v>0</v>
      </c>
      <c r="AJ70" s="460">
        <v>0</v>
      </c>
      <c r="AK70" s="460">
        <v>0</v>
      </c>
      <c r="AL70" s="460">
        <v>0</v>
      </c>
      <c r="AM70" s="460">
        <v>0</v>
      </c>
      <c r="AN70" s="460">
        <v>0</v>
      </c>
      <c r="AO70" s="460">
        <v>0</v>
      </c>
      <c r="AP70" s="460">
        <v>0</v>
      </c>
      <c r="AQ70" s="460">
        <v>0</v>
      </c>
      <c r="AR70" s="460">
        <v>0</v>
      </c>
      <c r="AS70" s="460">
        <v>0</v>
      </c>
      <c r="AT70" s="460">
        <v>0</v>
      </c>
      <c r="AU70" s="460">
        <v>0</v>
      </c>
      <c r="AV70" s="460">
        <v>0</v>
      </c>
      <c r="AW70" s="460">
        <v>0</v>
      </c>
      <c r="AX70" s="460">
        <v>0</v>
      </c>
      <c r="AY70" s="460">
        <v>0</v>
      </c>
      <c r="AZ70" s="460">
        <v>0</v>
      </c>
      <c r="BA70" s="460">
        <v>0</v>
      </c>
      <c r="BB70" s="460">
        <v>0</v>
      </c>
      <c r="BC70" s="460">
        <v>0</v>
      </c>
      <c r="BD70" s="460">
        <v>0</v>
      </c>
      <c r="BE70" s="460">
        <v>0</v>
      </c>
      <c r="BF70" s="460">
        <v>0</v>
      </c>
      <c r="BG70" s="460">
        <v>0</v>
      </c>
      <c r="BH70" s="460">
        <v>0</v>
      </c>
      <c r="BI70" s="460">
        <v>0</v>
      </c>
      <c r="BJ70" s="460">
        <v>0</v>
      </c>
      <c r="BK70" s="460">
        <v>0</v>
      </c>
      <c r="BL70" s="460">
        <v>0</v>
      </c>
      <c r="BM70" s="460">
        <v>0</v>
      </c>
      <c r="BN70" s="460">
        <v>0</v>
      </c>
      <c r="BO70" s="460">
        <v>0</v>
      </c>
      <c r="BP70" s="460">
        <v>0</v>
      </c>
      <c r="BQ70" s="460">
        <v>0</v>
      </c>
      <c r="BR70" s="460">
        <v>0</v>
      </c>
      <c r="BS70" s="460">
        <v>0</v>
      </c>
      <c r="BT70" s="460">
        <v>0</v>
      </c>
      <c r="BU70" s="460">
        <v>0</v>
      </c>
      <c r="BV70" s="460">
        <v>0</v>
      </c>
      <c r="BW70" s="460">
        <v>0</v>
      </c>
      <c r="BX70" s="460">
        <v>0</v>
      </c>
      <c r="BY70" s="460">
        <v>0</v>
      </c>
      <c r="BZ70" s="460">
        <v>0</v>
      </c>
      <c r="CA70" s="460" t="e">
        <v>#N/A</v>
      </c>
      <c r="CB70" s="460" t="e">
        <v>#N/A</v>
      </c>
      <c r="CC70" s="460" t="e">
        <v>#N/A</v>
      </c>
    </row>
    <row r="71" spans="1:81" ht="12.75" customHeight="1">
      <c r="A71" s="458">
        <v>66</v>
      </c>
      <c r="B71" s="458" t="str">
        <v>40Y</v>
      </c>
      <c r="C71" s="262">
        <f>'eur disaggregated'!AT82</f>
        <v>0</v>
      </c>
      <c r="D71" s="111" t="str">
        <f t="shared" si="2"/>
        <v>480M</v>
      </c>
      <c r="E71" s="441">
        <f>BktEur1yPL!E71</f>
        <v>42696</v>
      </c>
      <c r="F71" s="441">
        <f>BktEur1yPL!F71</f>
        <v>57306</v>
      </c>
      <c r="G71" s="462">
        <f t="shared" ref="G71:G73" si="4">IF(AND(70&lt;H71, H71&lt;130),(100-H71)/100,H71/100)</f>
        <v>1.2190000000000001E-2</v>
      </c>
      <c r="H71" s="453">
        <f>BktEur1yPL!H71</f>
        <v>1.2190000000000001</v>
      </c>
      <c r="I71" s="481"/>
      <c r="J71" s="481"/>
      <c r="K71" s="482"/>
      <c r="M71" s="481"/>
      <c r="N71" s="481"/>
      <c r="P71" s="106" t="b">
        <f t="shared" ref="P71:P73" si="5">MID(B71,4,1)=" "</f>
        <v>0</v>
      </c>
      <c r="Q71" s="460">
        <f t="array" ref="Q71:CC71">C71*ForwardToZero(OisBuckets,E71,F71,G71)</f>
        <v>0</v>
      </c>
      <c r="R71" s="460">
        <v>0</v>
      </c>
      <c r="S71" s="460">
        <v>0</v>
      </c>
      <c r="T71" s="460">
        <v>0</v>
      </c>
      <c r="U71" s="460">
        <v>0</v>
      </c>
      <c r="V71" s="460">
        <v>0</v>
      </c>
      <c r="W71" s="460">
        <v>0</v>
      </c>
      <c r="X71" s="460">
        <v>0</v>
      </c>
      <c r="Y71" s="460">
        <v>0</v>
      </c>
      <c r="Z71" s="460">
        <v>0</v>
      </c>
      <c r="AA71" s="460">
        <v>0</v>
      </c>
      <c r="AB71" s="460">
        <v>0</v>
      </c>
      <c r="AC71" s="460">
        <v>0</v>
      </c>
      <c r="AD71" s="460">
        <v>0</v>
      </c>
      <c r="AE71" s="460">
        <v>0</v>
      </c>
      <c r="AF71" s="460">
        <v>0</v>
      </c>
      <c r="AG71" s="460">
        <v>0</v>
      </c>
      <c r="AH71" s="460">
        <v>0</v>
      </c>
      <c r="AI71" s="460">
        <v>0</v>
      </c>
      <c r="AJ71" s="460">
        <v>0</v>
      </c>
      <c r="AK71" s="460">
        <v>0</v>
      </c>
      <c r="AL71" s="460">
        <v>0</v>
      </c>
      <c r="AM71" s="460">
        <v>0</v>
      </c>
      <c r="AN71" s="460">
        <v>0</v>
      </c>
      <c r="AO71" s="460">
        <v>0</v>
      </c>
      <c r="AP71" s="460">
        <v>0</v>
      </c>
      <c r="AQ71" s="460">
        <v>0</v>
      </c>
      <c r="AR71" s="460">
        <v>0</v>
      </c>
      <c r="AS71" s="460">
        <v>0</v>
      </c>
      <c r="AT71" s="460">
        <v>0</v>
      </c>
      <c r="AU71" s="460">
        <v>0</v>
      </c>
      <c r="AV71" s="460">
        <v>0</v>
      </c>
      <c r="AW71" s="460">
        <v>0</v>
      </c>
      <c r="AX71" s="460">
        <v>0</v>
      </c>
      <c r="AY71" s="460">
        <v>0</v>
      </c>
      <c r="AZ71" s="460">
        <v>0</v>
      </c>
      <c r="BA71" s="460">
        <v>0</v>
      </c>
      <c r="BB71" s="460">
        <v>0</v>
      </c>
      <c r="BC71" s="460">
        <v>0</v>
      </c>
      <c r="BD71" s="460">
        <v>0</v>
      </c>
      <c r="BE71" s="460">
        <v>0</v>
      </c>
      <c r="BF71" s="460">
        <v>0</v>
      </c>
      <c r="BG71" s="460">
        <v>0</v>
      </c>
      <c r="BH71" s="460">
        <v>0</v>
      </c>
      <c r="BI71" s="460">
        <v>0</v>
      </c>
      <c r="BJ71" s="460">
        <v>0</v>
      </c>
      <c r="BK71" s="460">
        <v>0</v>
      </c>
      <c r="BL71" s="460">
        <v>0</v>
      </c>
      <c r="BM71" s="460">
        <v>0</v>
      </c>
      <c r="BN71" s="460">
        <v>0</v>
      </c>
      <c r="BO71" s="460">
        <v>0</v>
      </c>
      <c r="BP71" s="460">
        <v>0</v>
      </c>
      <c r="BQ71" s="460">
        <v>0</v>
      </c>
      <c r="BR71" s="460">
        <v>0</v>
      </c>
      <c r="BS71" s="460">
        <v>0</v>
      </c>
      <c r="BT71" s="460">
        <v>0</v>
      </c>
      <c r="BU71" s="460">
        <v>0</v>
      </c>
      <c r="BV71" s="460">
        <v>0</v>
      </c>
      <c r="BW71" s="460">
        <v>0</v>
      </c>
      <c r="BX71" s="460">
        <v>0</v>
      </c>
      <c r="BY71" s="460">
        <v>0</v>
      </c>
      <c r="BZ71" s="460">
        <v>0</v>
      </c>
      <c r="CA71" s="460" t="e">
        <v>#N/A</v>
      </c>
      <c r="CB71" s="460" t="e">
        <v>#N/A</v>
      </c>
      <c r="CC71" s="460" t="e">
        <v>#N/A</v>
      </c>
    </row>
    <row r="72" spans="1:81" ht="12.75" customHeight="1">
      <c r="A72" s="458">
        <v>67</v>
      </c>
      <c r="B72" s="458" t="str">
        <v>50Y</v>
      </c>
      <c r="C72" s="262">
        <f>'eur disaggregated'!AT83</f>
        <v>0</v>
      </c>
      <c r="D72" s="111" t="str">
        <f t="shared" ref="D72:D73" si="6">IF(LEN(B72)&gt;3, "12M",IF(LEN(B72)&gt;0,SimplifyTenor(B72),""))</f>
        <v>600M</v>
      </c>
      <c r="E72" s="441">
        <f>BktEur1yPL!E72</f>
        <v>42696</v>
      </c>
      <c r="F72" s="441">
        <f>BktEur1yPL!F72</f>
        <v>60958</v>
      </c>
      <c r="G72" s="462">
        <f t="shared" si="4"/>
        <v>1.1599999999999999E-2</v>
      </c>
      <c r="H72" s="453">
        <f>BktEur1yPL!H72</f>
        <v>1.1599999999999999</v>
      </c>
      <c r="I72" s="481"/>
      <c r="J72" s="481"/>
      <c r="K72" s="482"/>
      <c r="M72" s="481"/>
      <c r="N72" s="481"/>
      <c r="P72" s="106" t="b">
        <f t="shared" si="5"/>
        <v>0</v>
      </c>
      <c r="Q72" s="460">
        <f t="array" ref="Q72:CC72">C72*ForwardToZero(OisBuckets,E72,F72,G72)</f>
        <v>0</v>
      </c>
      <c r="R72" s="460">
        <v>0</v>
      </c>
      <c r="S72" s="460">
        <v>0</v>
      </c>
      <c r="T72" s="460">
        <v>0</v>
      </c>
      <c r="U72" s="460">
        <v>0</v>
      </c>
      <c r="V72" s="460">
        <v>0</v>
      </c>
      <c r="W72" s="460">
        <v>0</v>
      </c>
      <c r="X72" s="460">
        <v>0</v>
      </c>
      <c r="Y72" s="460">
        <v>0</v>
      </c>
      <c r="Z72" s="460">
        <v>0</v>
      </c>
      <c r="AA72" s="460">
        <v>0</v>
      </c>
      <c r="AB72" s="460">
        <v>0</v>
      </c>
      <c r="AC72" s="460">
        <v>0</v>
      </c>
      <c r="AD72" s="460">
        <v>0</v>
      </c>
      <c r="AE72" s="460">
        <v>0</v>
      </c>
      <c r="AF72" s="460">
        <v>0</v>
      </c>
      <c r="AG72" s="460">
        <v>0</v>
      </c>
      <c r="AH72" s="460">
        <v>0</v>
      </c>
      <c r="AI72" s="460">
        <v>0</v>
      </c>
      <c r="AJ72" s="460">
        <v>0</v>
      </c>
      <c r="AK72" s="460">
        <v>0</v>
      </c>
      <c r="AL72" s="460">
        <v>0</v>
      </c>
      <c r="AM72" s="460">
        <v>0</v>
      </c>
      <c r="AN72" s="460">
        <v>0</v>
      </c>
      <c r="AO72" s="460">
        <v>0</v>
      </c>
      <c r="AP72" s="460">
        <v>0</v>
      </c>
      <c r="AQ72" s="460">
        <v>0</v>
      </c>
      <c r="AR72" s="460">
        <v>0</v>
      </c>
      <c r="AS72" s="460">
        <v>0</v>
      </c>
      <c r="AT72" s="460">
        <v>0</v>
      </c>
      <c r="AU72" s="460">
        <v>0</v>
      </c>
      <c r="AV72" s="460">
        <v>0</v>
      </c>
      <c r="AW72" s="460">
        <v>0</v>
      </c>
      <c r="AX72" s="460">
        <v>0</v>
      </c>
      <c r="AY72" s="460">
        <v>0</v>
      </c>
      <c r="AZ72" s="460">
        <v>0</v>
      </c>
      <c r="BA72" s="460">
        <v>0</v>
      </c>
      <c r="BB72" s="460">
        <v>0</v>
      </c>
      <c r="BC72" s="460">
        <v>0</v>
      </c>
      <c r="BD72" s="460">
        <v>0</v>
      </c>
      <c r="BE72" s="460">
        <v>0</v>
      </c>
      <c r="BF72" s="460">
        <v>0</v>
      </c>
      <c r="BG72" s="460">
        <v>0</v>
      </c>
      <c r="BH72" s="460">
        <v>0</v>
      </c>
      <c r="BI72" s="460">
        <v>0</v>
      </c>
      <c r="BJ72" s="460">
        <v>0</v>
      </c>
      <c r="BK72" s="460">
        <v>0</v>
      </c>
      <c r="BL72" s="460">
        <v>0</v>
      </c>
      <c r="BM72" s="460">
        <v>0</v>
      </c>
      <c r="BN72" s="460">
        <v>0</v>
      </c>
      <c r="BO72" s="460">
        <v>0</v>
      </c>
      <c r="BP72" s="460">
        <v>0</v>
      </c>
      <c r="BQ72" s="460">
        <v>0</v>
      </c>
      <c r="BR72" s="460">
        <v>0</v>
      </c>
      <c r="BS72" s="460">
        <v>0</v>
      </c>
      <c r="BT72" s="460">
        <v>0</v>
      </c>
      <c r="BU72" s="460">
        <v>0</v>
      </c>
      <c r="BV72" s="460">
        <v>0</v>
      </c>
      <c r="BW72" s="460">
        <v>0</v>
      </c>
      <c r="BX72" s="460">
        <v>0</v>
      </c>
      <c r="BY72" s="460">
        <v>0</v>
      </c>
      <c r="BZ72" s="460">
        <v>0</v>
      </c>
      <c r="CA72" s="460" t="e">
        <v>#N/A</v>
      </c>
      <c r="CB72" s="460" t="e">
        <v>#N/A</v>
      </c>
      <c r="CC72" s="460" t="e">
        <v>#N/A</v>
      </c>
    </row>
    <row r="73" spans="1:81" ht="12.75" customHeight="1">
      <c r="A73" s="458">
        <v>68</v>
      </c>
      <c r="B73" s="458" t="str">
        <v>60Y</v>
      </c>
      <c r="C73" s="262">
        <f>'eur disaggregated'!AT84</f>
        <v>0</v>
      </c>
      <c r="D73" s="111" t="str">
        <f t="shared" si="6"/>
        <v>720M</v>
      </c>
      <c r="E73" s="441">
        <f>BktEur1yPL!E73</f>
        <v>42696</v>
      </c>
      <c r="F73" s="441">
        <f>BktEur1yPL!F73</f>
        <v>64612</v>
      </c>
      <c r="G73" s="462">
        <f t="shared" si="4"/>
        <v>1.1209999999999999E-2</v>
      </c>
      <c r="H73" s="453">
        <f>BktEur1yPL!H73</f>
        <v>1.121</v>
      </c>
      <c r="I73" s="481"/>
      <c r="J73" s="481"/>
      <c r="K73" s="482"/>
      <c r="M73" s="481"/>
      <c r="N73" s="481"/>
      <c r="P73" s="106" t="b">
        <f t="shared" si="5"/>
        <v>0</v>
      </c>
      <c r="Q73" s="460"/>
      <c r="R73" s="460"/>
      <c r="S73" s="460"/>
      <c r="T73" s="460"/>
      <c r="U73" s="460"/>
      <c r="V73" s="460"/>
      <c r="W73" s="460"/>
      <c r="X73" s="460"/>
      <c r="Y73" s="460"/>
      <c r="Z73" s="460"/>
      <c r="AA73" s="460"/>
      <c r="AB73" s="460"/>
      <c r="AC73" s="460"/>
      <c r="AD73" s="460"/>
      <c r="AE73" s="460"/>
      <c r="AF73" s="460"/>
      <c r="AG73" s="460"/>
      <c r="AH73" s="460"/>
      <c r="AI73" s="460"/>
      <c r="AJ73" s="460"/>
      <c r="AK73" s="460"/>
      <c r="AL73" s="460"/>
      <c r="AM73" s="460"/>
      <c r="AN73" s="460"/>
      <c r="AO73" s="460"/>
      <c r="AP73" s="460"/>
      <c r="AQ73" s="460"/>
      <c r="AR73" s="460"/>
      <c r="AS73" s="460"/>
      <c r="AT73" s="460"/>
      <c r="AU73" s="460"/>
      <c r="AV73" s="460"/>
      <c r="AW73" s="460"/>
      <c r="AX73" s="460"/>
      <c r="AY73" s="460"/>
      <c r="AZ73" s="460"/>
      <c r="BA73" s="460"/>
      <c r="BB73" s="460"/>
      <c r="BC73" s="460"/>
      <c r="BD73" s="460"/>
      <c r="BE73" s="460"/>
      <c r="BF73" s="460"/>
      <c r="BG73" s="460"/>
      <c r="BH73" s="460"/>
      <c r="BI73" s="460"/>
      <c r="BJ73" s="460"/>
      <c r="BK73" s="460"/>
      <c r="BL73" s="460"/>
      <c r="BM73" s="460"/>
      <c r="BN73" s="460"/>
      <c r="BO73" s="460"/>
      <c r="BP73" s="460"/>
      <c r="BQ73" s="460"/>
      <c r="BR73" s="460"/>
      <c r="BS73" s="460"/>
      <c r="BT73" s="460"/>
      <c r="BU73" s="460"/>
      <c r="BV73" s="460"/>
      <c r="BW73" s="460"/>
      <c r="BX73" s="460"/>
      <c r="BY73" s="460"/>
      <c r="BZ73" s="460"/>
      <c r="CA73" s="460"/>
      <c r="CB73" s="460"/>
      <c r="CC73" s="460"/>
    </row>
    <row r="74" spans="1:81" ht="12.75" customHeight="1">
      <c r="A74" s="335"/>
      <c r="B74" s="335"/>
      <c r="C74" s="335"/>
      <c r="D74" s="335"/>
      <c r="E74" s="335"/>
      <c r="F74" s="335"/>
      <c r="G74" s="335"/>
      <c r="H74" s="335"/>
      <c r="I74" s="335"/>
      <c r="J74" s="335"/>
      <c r="K74" s="335"/>
      <c r="M74" s="335"/>
      <c r="N74" s="335"/>
      <c r="P74" s="335"/>
      <c r="Q74" s="335"/>
      <c r="R74" s="335"/>
      <c r="S74" s="335"/>
      <c r="T74" s="335"/>
      <c r="U74" s="335"/>
      <c r="V74" s="335"/>
      <c r="W74" s="335"/>
      <c r="X74" s="335"/>
      <c r="Y74" s="335"/>
      <c r="Z74" s="335"/>
      <c r="AA74" s="335"/>
      <c r="AB74" s="335"/>
      <c r="AC74" s="335"/>
      <c r="AD74" s="335"/>
      <c r="AE74" s="335"/>
      <c r="AF74" s="335"/>
      <c r="AG74" s="335"/>
      <c r="AH74" s="335"/>
      <c r="AI74" s="335"/>
      <c r="AJ74" s="335"/>
      <c r="AK74" s="335"/>
      <c r="AL74" s="335"/>
      <c r="AM74" s="335"/>
      <c r="AN74" s="335"/>
      <c r="AO74" s="335"/>
      <c r="AP74" s="335"/>
      <c r="AQ74" s="335"/>
      <c r="AR74" s="335"/>
      <c r="AS74" s="335"/>
      <c r="AT74" s="335"/>
      <c r="AU74" s="335"/>
      <c r="AV74" s="335"/>
      <c r="AW74" s="335"/>
      <c r="AX74" s="335"/>
      <c r="AY74" s="335"/>
      <c r="AZ74" s="335"/>
      <c r="BA74" s="335"/>
      <c r="BB74" s="335"/>
      <c r="BC74" s="335"/>
      <c r="BD74" s="335"/>
      <c r="BE74" s="335"/>
      <c r="BF74" s="335"/>
      <c r="BG74" s="335"/>
      <c r="BH74" s="335"/>
      <c r="BI74" s="335"/>
      <c r="BJ74" s="335"/>
      <c r="BK74" s="335"/>
      <c r="BL74" s="335"/>
      <c r="BM74" s="335"/>
      <c r="BN74" s="335"/>
      <c r="BO74" s="335"/>
      <c r="BP74" s="335"/>
      <c r="BQ74" s="335"/>
      <c r="BR74" s="335"/>
      <c r="BS74" s="335"/>
      <c r="BT74" s="335"/>
      <c r="BU74" s="335"/>
      <c r="BV74" s="335"/>
      <c r="BW74" s="335"/>
      <c r="BX74" s="335"/>
      <c r="BY74" s="335"/>
      <c r="BZ74" s="335"/>
      <c r="CA74" s="335"/>
      <c r="CB74" s="335"/>
      <c r="CC74" s="335"/>
    </row>
    <row r="75" spans="1:81" ht="12.75" customHeight="1" thickBot="1">
      <c r="P75" s="99" t="s">
        <v>5155</v>
      </c>
      <c r="Q75" s="465">
        <f>SUM(Q6:Q70)</f>
        <v>0</v>
      </c>
      <c r="R75" s="465">
        <f t="shared" ref="R75:CC75" si="7">SUM(R6:R70)</f>
        <v>0</v>
      </c>
      <c r="S75" s="465">
        <f t="shared" si="7"/>
        <v>7.1042012957035903</v>
      </c>
      <c r="T75" s="465">
        <f t="shared" si="7"/>
        <v>0</v>
      </c>
      <c r="U75" s="465">
        <f t="shared" si="7"/>
        <v>0</v>
      </c>
      <c r="V75" s="465">
        <f t="shared" si="7"/>
        <v>0</v>
      </c>
      <c r="W75" s="465">
        <f t="shared" si="7"/>
        <v>0.29579304949419605</v>
      </c>
      <c r="X75" s="465">
        <f t="shared" si="7"/>
        <v>641.18008657470227</v>
      </c>
      <c r="Y75" s="465">
        <f t="shared" si="7"/>
        <v>2533.7631581533751</v>
      </c>
      <c r="Z75" s="465">
        <f t="shared" si="7"/>
        <v>1.2126536495319442</v>
      </c>
      <c r="AA75" s="465">
        <f t="shared" si="7"/>
        <v>0</v>
      </c>
      <c r="AB75" s="465">
        <f t="shared" si="7"/>
        <v>533.66804582037389</v>
      </c>
      <c r="AC75" s="465">
        <f t="shared" si="7"/>
        <v>-6912.5889877679347</v>
      </c>
      <c r="AD75" s="465">
        <f t="shared" si="7"/>
        <v>-1427.2146010754227</v>
      </c>
      <c r="AE75" s="465">
        <f t="shared" si="7"/>
        <v>183.99849007912155</v>
      </c>
      <c r="AF75" s="465">
        <f t="shared" si="7"/>
        <v>-23.654743720824893</v>
      </c>
      <c r="AG75" s="465">
        <f t="shared" si="7"/>
        <v>337.06473956503658</v>
      </c>
      <c r="AH75" s="465">
        <f t="shared" si="7"/>
        <v>80.170151087360068</v>
      </c>
      <c r="AI75" s="465">
        <f t="shared" si="7"/>
        <v>-29.376609638340998</v>
      </c>
      <c r="AJ75" s="465">
        <f t="shared" si="7"/>
        <v>341.05919822915467</v>
      </c>
      <c r="AK75" s="465">
        <f t="shared" si="7"/>
        <v>-91.911217917466828</v>
      </c>
      <c r="AL75" s="465">
        <f t="shared" si="7"/>
        <v>-148.15678874862513</v>
      </c>
      <c r="AM75" s="465">
        <f t="shared" si="7"/>
        <v>0</v>
      </c>
      <c r="AN75" s="465">
        <f t="shared" si="7"/>
        <v>6.5294325091156384</v>
      </c>
      <c r="AO75" s="465">
        <f t="shared" si="7"/>
        <v>-76.719158377364252</v>
      </c>
      <c r="AP75" s="465">
        <f t="shared" si="7"/>
        <v>-15.327616055158554</v>
      </c>
      <c r="AQ75" s="465">
        <f t="shared" si="7"/>
        <v>-7.4684491166830433</v>
      </c>
      <c r="AR75" s="465">
        <f t="shared" si="7"/>
        <v>-0.58788122147176325</v>
      </c>
      <c r="AS75" s="465">
        <f t="shared" si="7"/>
        <v>-905.85062105940199</v>
      </c>
      <c r="AT75" s="465">
        <f t="shared" si="7"/>
        <v>1246.17941645214</v>
      </c>
      <c r="AU75" s="465">
        <f t="shared" si="7"/>
        <v>539.814957009826</v>
      </c>
      <c r="AV75" s="465">
        <f t="shared" si="7"/>
        <v>-499.627648172308</v>
      </c>
      <c r="AW75" s="465">
        <f t="shared" si="7"/>
        <v>-726.10747468906504</v>
      </c>
      <c r="AX75" s="465">
        <f t="shared" si="7"/>
        <v>169.333386094302</v>
      </c>
      <c r="AY75" s="465">
        <f t="shared" si="7"/>
        <v>78.8475576590168</v>
      </c>
      <c r="AZ75" s="465">
        <f t="shared" si="7"/>
        <v>-35.766774867537599</v>
      </c>
      <c r="BA75" s="465">
        <f t="shared" si="7"/>
        <v>-271.00985269240999</v>
      </c>
      <c r="BB75" s="465">
        <f t="shared" si="7"/>
        <v>183.32053664015899</v>
      </c>
      <c r="BC75" s="465">
        <f t="shared" si="7"/>
        <v>862.74766509487699</v>
      </c>
      <c r="BD75" s="465">
        <f t="shared" si="7"/>
        <v>-20041.7225387488</v>
      </c>
      <c r="BE75" s="465">
        <f t="shared" si="7"/>
        <v>-5404.92363017768</v>
      </c>
      <c r="BF75" s="465">
        <f t="shared" si="7"/>
        <v>803.11538088440795</v>
      </c>
      <c r="BG75" s="465">
        <f t="shared" si="7"/>
        <v>-468.45610789465798</v>
      </c>
      <c r="BH75" s="465">
        <f t="shared" si="7"/>
        <v>2834.3729592667401</v>
      </c>
      <c r="BI75" s="465">
        <f t="shared" si="7"/>
        <v>-27413.470929782299</v>
      </c>
      <c r="BJ75" s="465">
        <f t="shared" si="7"/>
        <v>-80566.952559293393</v>
      </c>
      <c r="BK75" s="465">
        <f t="shared" si="7"/>
        <v>114448.62245516801</v>
      </c>
      <c r="BL75" s="465">
        <f t="shared" si="7"/>
        <v>240845.81626304699</v>
      </c>
      <c r="BM75" s="465">
        <f t="shared" si="7"/>
        <v>-190562.77177239201</v>
      </c>
      <c r="BN75" s="465">
        <f t="shared" si="7"/>
        <v>-52084.329749373799</v>
      </c>
      <c r="BO75" s="465">
        <f t="shared" si="7"/>
        <v>6676.4861121958702</v>
      </c>
      <c r="BP75" s="465">
        <f t="shared" si="7"/>
        <v>-0.27480742764294502</v>
      </c>
      <c r="BQ75" s="465">
        <f t="shared" si="7"/>
        <v>0</v>
      </c>
      <c r="BR75" s="465">
        <f t="shared" si="7"/>
        <v>0</v>
      </c>
      <c r="BS75" s="465">
        <f t="shared" si="7"/>
        <v>0</v>
      </c>
      <c r="BT75" s="465">
        <f t="shared" si="7"/>
        <v>0</v>
      </c>
      <c r="BU75" s="465">
        <f t="shared" si="7"/>
        <v>0</v>
      </c>
      <c r="BV75" s="465">
        <f t="shared" si="7"/>
        <v>0</v>
      </c>
      <c r="BW75" s="465">
        <f t="shared" si="7"/>
        <v>0</v>
      </c>
      <c r="BX75" s="465">
        <f t="shared" si="7"/>
        <v>0</v>
      </c>
      <c r="BY75" s="465">
        <f t="shared" si="7"/>
        <v>0</v>
      </c>
      <c r="BZ75" s="465">
        <f t="shared" si="7"/>
        <v>0</v>
      </c>
      <c r="CA75" s="465" t="e">
        <f t="shared" si="7"/>
        <v>#N/A</v>
      </c>
      <c r="CB75" s="465" t="e">
        <f t="shared" si="7"/>
        <v>#N/A</v>
      </c>
      <c r="CC75" s="465" t="e">
        <f t="shared" si="7"/>
        <v>#N/A</v>
      </c>
    </row>
    <row r="76" spans="1:81" ht="45" customHeight="1" thickBot="1">
      <c r="B76" s="478" t="s">
        <v>5146</v>
      </c>
      <c r="C76" s="477">
        <f>SUM(C6:INDEX(C6:C70,COUNT(C6:C70)))</f>
        <v>-14359.567880685019</v>
      </c>
      <c r="N76" s="477">
        <f>SUM(N6:INDEX(N6:N70,COUNT(N6:N70)))</f>
        <v>-14359.567880685019</v>
      </c>
    </row>
    <row r="79" spans="1:81" ht="12.75" customHeight="1">
      <c r="H79" s="52"/>
    </row>
  </sheetData>
  <mergeCells count="4">
    <mergeCell ref="B3:K3"/>
    <mergeCell ref="B4:H4"/>
    <mergeCell ref="I4:K4"/>
    <mergeCell ref="N4:N5"/>
  </mergeCells>
  <conditionalFormatting sqref="P6:CC70">
    <cfRule type="expression" dxfId="12" priority="1">
      <formula>OR(LEN($I6)=0,LEN(P$4)=0)</formula>
    </cfRule>
  </conditionalFormatting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>
    <tabColor theme="3" tint="0.59999389629810485"/>
  </sheetPr>
  <dimension ref="A1:CA76"/>
  <sheetViews>
    <sheetView topLeftCell="A4" workbookViewId="0">
      <selection activeCell="C4" sqref="C4"/>
    </sheetView>
  </sheetViews>
  <sheetFormatPr defaultRowHeight="12.75" outlineLevelRow="1" outlineLevelCol="1"/>
  <cols>
    <col min="1" max="1" width="2.7109375" style="414" customWidth="1"/>
    <col min="2" max="3" width="11.5703125" style="414" customWidth="1"/>
    <col min="4" max="4" width="7.28515625" style="414" customWidth="1"/>
    <col min="5" max="5" width="9.85546875" style="414" customWidth="1"/>
    <col min="6" max="7" width="10.140625" style="414" customWidth="1"/>
    <col min="8" max="9" width="9.140625" style="414" customWidth="1"/>
    <col min="10" max="10" width="11.28515625" style="414" customWidth="1"/>
    <col min="11" max="11" width="2.7109375" style="414" customWidth="1"/>
    <col min="12" max="12" width="11.5703125" style="414" bestFit="1" customWidth="1"/>
    <col min="13" max="13" width="2.7109375" style="414" customWidth="1"/>
    <col min="14" max="16" width="10" style="414" hidden="1" customWidth="1" outlineLevel="1"/>
    <col min="17" max="17" width="8.42578125" style="414" bestFit="1" customWidth="1" collapsed="1"/>
    <col min="18" max="82" width="7.7109375" style="414" customWidth="1"/>
    <col min="83" max="87" width="8.7109375" style="414" customWidth="1"/>
    <col min="88" max="258" width="9.140625" style="414"/>
    <col min="259" max="259" width="2.7109375" style="414" customWidth="1"/>
    <col min="260" max="261" width="11.5703125" style="414" customWidth="1"/>
    <col min="262" max="262" width="7.28515625" style="414" customWidth="1"/>
    <col min="263" max="263" width="9.85546875" style="414" customWidth="1"/>
    <col min="264" max="264" width="10.140625" style="414" customWidth="1"/>
    <col min="265" max="265" width="11.28515625" style="414" customWidth="1"/>
    <col min="266" max="266" width="2.7109375" style="414" customWidth="1"/>
    <col min="267" max="267" width="9.42578125" style="414" customWidth="1"/>
    <col min="268" max="268" width="2.7109375" style="414" customWidth="1"/>
    <col min="269" max="272" width="0" style="414" hidden="1" customWidth="1"/>
    <col min="273" max="273" width="10" style="414" customWidth="1"/>
    <col min="274" max="343" width="6.7109375" style="414" customWidth="1"/>
    <col min="344" max="514" width="9.140625" style="414"/>
    <col min="515" max="515" width="2.7109375" style="414" customWidth="1"/>
    <col min="516" max="517" width="11.5703125" style="414" customWidth="1"/>
    <col min="518" max="518" width="7.28515625" style="414" customWidth="1"/>
    <col min="519" max="519" width="9.85546875" style="414" customWidth="1"/>
    <col min="520" max="520" width="10.140625" style="414" customWidth="1"/>
    <col min="521" max="521" width="11.28515625" style="414" customWidth="1"/>
    <col min="522" max="522" width="2.7109375" style="414" customWidth="1"/>
    <col min="523" max="523" width="9.42578125" style="414" customWidth="1"/>
    <col min="524" max="524" width="2.7109375" style="414" customWidth="1"/>
    <col min="525" max="528" width="0" style="414" hidden="1" customWidth="1"/>
    <col min="529" max="529" width="10" style="414" customWidth="1"/>
    <col min="530" max="599" width="6.7109375" style="414" customWidth="1"/>
    <col min="600" max="770" width="9.140625" style="414"/>
    <col min="771" max="771" width="2.7109375" style="414" customWidth="1"/>
    <col min="772" max="773" width="11.5703125" style="414" customWidth="1"/>
    <col min="774" max="774" width="7.28515625" style="414" customWidth="1"/>
    <col min="775" max="775" width="9.85546875" style="414" customWidth="1"/>
    <col min="776" max="776" width="10.140625" style="414" customWidth="1"/>
    <col min="777" max="777" width="11.28515625" style="414" customWidth="1"/>
    <col min="778" max="778" width="2.7109375" style="414" customWidth="1"/>
    <col min="779" max="779" width="9.42578125" style="414" customWidth="1"/>
    <col min="780" max="780" width="2.7109375" style="414" customWidth="1"/>
    <col min="781" max="784" width="0" style="414" hidden="1" customWidth="1"/>
    <col min="785" max="785" width="10" style="414" customWidth="1"/>
    <col min="786" max="855" width="6.7109375" style="414" customWidth="1"/>
    <col min="856" max="1026" width="9.140625" style="414"/>
    <col min="1027" max="1027" width="2.7109375" style="414" customWidth="1"/>
    <col min="1028" max="1029" width="11.5703125" style="414" customWidth="1"/>
    <col min="1030" max="1030" width="7.28515625" style="414" customWidth="1"/>
    <col min="1031" max="1031" width="9.85546875" style="414" customWidth="1"/>
    <col min="1032" max="1032" width="10.140625" style="414" customWidth="1"/>
    <col min="1033" max="1033" width="11.28515625" style="414" customWidth="1"/>
    <col min="1034" max="1034" width="2.7109375" style="414" customWidth="1"/>
    <col min="1035" max="1035" width="9.42578125" style="414" customWidth="1"/>
    <col min="1036" max="1036" width="2.7109375" style="414" customWidth="1"/>
    <col min="1037" max="1040" width="0" style="414" hidden="1" customWidth="1"/>
    <col min="1041" max="1041" width="10" style="414" customWidth="1"/>
    <col min="1042" max="1111" width="6.7109375" style="414" customWidth="1"/>
    <col min="1112" max="1282" width="9.140625" style="414"/>
    <col min="1283" max="1283" width="2.7109375" style="414" customWidth="1"/>
    <col min="1284" max="1285" width="11.5703125" style="414" customWidth="1"/>
    <col min="1286" max="1286" width="7.28515625" style="414" customWidth="1"/>
    <col min="1287" max="1287" width="9.85546875" style="414" customWidth="1"/>
    <col min="1288" max="1288" width="10.140625" style="414" customWidth="1"/>
    <col min="1289" max="1289" width="11.28515625" style="414" customWidth="1"/>
    <col min="1290" max="1290" width="2.7109375" style="414" customWidth="1"/>
    <col min="1291" max="1291" width="9.42578125" style="414" customWidth="1"/>
    <col min="1292" max="1292" width="2.7109375" style="414" customWidth="1"/>
    <col min="1293" max="1296" width="0" style="414" hidden="1" customWidth="1"/>
    <col min="1297" max="1297" width="10" style="414" customWidth="1"/>
    <col min="1298" max="1367" width="6.7109375" style="414" customWidth="1"/>
    <col min="1368" max="1538" width="9.140625" style="414"/>
    <col min="1539" max="1539" width="2.7109375" style="414" customWidth="1"/>
    <col min="1540" max="1541" width="11.5703125" style="414" customWidth="1"/>
    <col min="1542" max="1542" width="7.28515625" style="414" customWidth="1"/>
    <col min="1543" max="1543" width="9.85546875" style="414" customWidth="1"/>
    <col min="1544" max="1544" width="10.140625" style="414" customWidth="1"/>
    <col min="1545" max="1545" width="11.28515625" style="414" customWidth="1"/>
    <col min="1546" max="1546" width="2.7109375" style="414" customWidth="1"/>
    <col min="1547" max="1547" width="9.42578125" style="414" customWidth="1"/>
    <col min="1548" max="1548" width="2.7109375" style="414" customWidth="1"/>
    <col min="1549" max="1552" width="0" style="414" hidden="1" customWidth="1"/>
    <col min="1553" max="1553" width="10" style="414" customWidth="1"/>
    <col min="1554" max="1623" width="6.7109375" style="414" customWidth="1"/>
    <col min="1624" max="1794" width="9.140625" style="414"/>
    <col min="1795" max="1795" width="2.7109375" style="414" customWidth="1"/>
    <col min="1796" max="1797" width="11.5703125" style="414" customWidth="1"/>
    <col min="1798" max="1798" width="7.28515625" style="414" customWidth="1"/>
    <col min="1799" max="1799" width="9.85546875" style="414" customWidth="1"/>
    <col min="1800" max="1800" width="10.140625" style="414" customWidth="1"/>
    <col min="1801" max="1801" width="11.28515625" style="414" customWidth="1"/>
    <col min="1802" max="1802" width="2.7109375" style="414" customWidth="1"/>
    <col min="1803" max="1803" width="9.42578125" style="414" customWidth="1"/>
    <col min="1804" max="1804" width="2.7109375" style="414" customWidth="1"/>
    <col min="1805" max="1808" width="0" style="414" hidden="1" customWidth="1"/>
    <col min="1809" max="1809" width="10" style="414" customWidth="1"/>
    <col min="1810" max="1879" width="6.7109375" style="414" customWidth="1"/>
    <col min="1880" max="2050" width="9.140625" style="414"/>
    <col min="2051" max="2051" width="2.7109375" style="414" customWidth="1"/>
    <col min="2052" max="2053" width="11.5703125" style="414" customWidth="1"/>
    <col min="2054" max="2054" width="7.28515625" style="414" customWidth="1"/>
    <col min="2055" max="2055" width="9.85546875" style="414" customWidth="1"/>
    <col min="2056" max="2056" width="10.140625" style="414" customWidth="1"/>
    <col min="2057" max="2057" width="11.28515625" style="414" customWidth="1"/>
    <col min="2058" max="2058" width="2.7109375" style="414" customWidth="1"/>
    <col min="2059" max="2059" width="9.42578125" style="414" customWidth="1"/>
    <col min="2060" max="2060" width="2.7109375" style="414" customWidth="1"/>
    <col min="2061" max="2064" width="0" style="414" hidden="1" customWidth="1"/>
    <col min="2065" max="2065" width="10" style="414" customWidth="1"/>
    <col min="2066" max="2135" width="6.7109375" style="414" customWidth="1"/>
    <col min="2136" max="2306" width="9.140625" style="414"/>
    <col min="2307" max="2307" width="2.7109375" style="414" customWidth="1"/>
    <col min="2308" max="2309" width="11.5703125" style="414" customWidth="1"/>
    <col min="2310" max="2310" width="7.28515625" style="414" customWidth="1"/>
    <col min="2311" max="2311" width="9.85546875" style="414" customWidth="1"/>
    <col min="2312" max="2312" width="10.140625" style="414" customWidth="1"/>
    <col min="2313" max="2313" width="11.28515625" style="414" customWidth="1"/>
    <col min="2314" max="2314" width="2.7109375" style="414" customWidth="1"/>
    <col min="2315" max="2315" width="9.42578125" style="414" customWidth="1"/>
    <col min="2316" max="2316" width="2.7109375" style="414" customWidth="1"/>
    <col min="2317" max="2320" width="0" style="414" hidden="1" customWidth="1"/>
    <col min="2321" max="2321" width="10" style="414" customWidth="1"/>
    <col min="2322" max="2391" width="6.7109375" style="414" customWidth="1"/>
    <col min="2392" max="2562" width="9.140625" style="414"/>
    <col min="2563" max="2563" width="2.7109375" style="414" customWidth="1"/>
    <col min="2564" max="2565" width="11.5703125" style="414" customWidth="1"/>
    <col min="2566" max="2566" width="7.28515625" style="414" customWidth="1"/>
    <col min="2567" max="2567" width="9.85546875" style="414" customWidth="1"/>
    <col min="2568" max="2568" width="10.140625" style="414" customWidth="1"/>
    <col min="2569" max="2569" width="11.28515625" style="414" customWidth="1"/>
    <col min="2570" max="2570" width="2.7109375" style="414" customWidth="1"/>
    <col min="2571" max="2571" width="9.42578125" style="414" customWidth="1"/>
    <col min="2572" max="2572" width="2.7109375" style="414" customWidth="1"/>
    <col min="2573" max="2576" width="0" style="414" hidden="1" customWidth="1"/>
    <col min="2577" max="2577" width="10" style="414" customWidth="1"/>
    <col min="2578" max="2647" width="6.7109375" style="414" customWidth="1"/>
    <col min="2648" max="2818" width="9.140625" style="414"/>
    <col min="2819" max="2819" width="2.7109375" style="414" customWidth="1"/>
    <col min="2820" max="2821" width="11.5703125" style="414" customWidth="1"/>
    <col min="2822" max="2822" width="7.28515625" style="414" customWidth="1"/>
    <col min="2823" max="2823" width="9.85546875" style="414" customWidth="1"/>
    <col min="2824" max="2824" width="10.140625" style="414" customWidth="1"/>
    <col min="2825" max="2825" width="11.28515625" style="414" customWidth="1"/>
    <col min="2826" max="2826" width="2.7109375" style="414" customWidth="1"/>
    <col min="2827" max="2827" width="9.42578125" style="414" customWidth="1"/>
    <col min="2828" max="2828" width="2.7109375" style="414" customWidth="1"/>
    <col min="2829" max="2832" width="0" style="414" hidden="1" customWidth="1"/>
    <col min="2833" max="2833" width="10" style="414" customWidth="1"/>
    <col min="2834" max="2903" width="6.7109375" style="414" customWidth="1"/>
    <col min="2904" max="3074" width="9.140625" style="414"/>
    <col min="3075" max="3075" width="2.7109375" style="414" customWidth="1"/>
    <col min="3076" max="3077" width="11.5703125" style="414" customWidth="1"/>
    <col min="3078" max="3078" width="7.28515625" style="414" customWidth="1"/>
    <col min="3079" max="3079" width="9.85546875" style="414" customWidth="1"/>
    <col min="3080" max="3080" width="10.140625" style="414" customWidth="1"/>
    <col min="3081" max="3081" width="11.28515625" style="414" customWidth="1"/>
    <col min="3082" max="3082" width="2.7109375" style="414" customWidth="1"/>
    <col min="3083" max="3083" width="9.42578125" style="414" customWidth="1"/>
    <col min="3084" max="3084" width="2.7109375" style="414" customWidth="1"/>
    <col min="3085" max="3088" width="0" style="414" hidden="1" customWidth="1"/>
    <col min="3089" max="3089" width="10" style="414" customWidth="1"/>
    <col min="3090" max="3159" width="6.7109375" style="414" customWidth="1"/>
    <col min="3160" max="3330" width="9.140625" style="414"/>
    <col min="3331" max="3331" width="2.7109375" style="414" customWidth="1"/>
    <col min="3332" max="3333" width="11.5703125" style="414" customWidth="1"/>
    <col min="3334" max="3334" width="7.28515625" style="414" customWidth="1"/>
    <col min="3335" max="3335" width="9.85546875" style="414" customWidth="1"/>
    <col min="3336" max="3336" width="10.140625" style="414" customWidth="1"/>
    <col min="3337" max="3337" width="11.28515625" style="414" customWidth="1"/>
    <col min="3338" max="3338" width="2.7109375" style="414" customWidth="1"/>
    <col min="3339" max="3339" width="9.42578125" style="414" customWidth="1"/>
    <col min="3340" max="3340" width="2.7109375" style="414" customWidth="1"/>
    <col min="3341" max="3344" width="0" style="414" hidden="1" customWidth="1"/>
    <col min="3345" max="3345" width="10" style="414" customWidth="1"/>
    <col min="3346" max="3415" width="6.7109375" style="414" customWidth="1"/>
    <col min="3416" max="3586" width="9.140625" style="414"/>
    <col min="3587" max="3587" width="2.7109375" style="414" customWidth="1"/>
    <col min="3588" max="3589" width="11.5703125" style="414" customWidth="1"/>
    <col min="3590" max="3590" width="7.28515625" style="414" customWidth="1"/>
    <col min="3591" max="3591" width="9.85546875" style="414" customWidth="1"/>
    <col min="3592" max="3592" width="10.140625" style="414" customWidth="1"/>
    <col min="3593" max="3593" width="11.28515625" style="414" customWidth="1"/>
    <col min="3594" max="3594" width="2.7109375" style="414" customWidth="1"/>
    <col min="3595" max="3595" width="9.42578125" style="414" customWidth="1"/>
    <col min="3596" max="3596" width="2.7109375" style="414" customWidth="1"/>
    <col min="3597" max="3600" width="0" style="414" hidden="1" customWidth="1"/>
    <col min="3601" max="3601" width="10" style="414" customWidth="1"/>
    <col min="3602" max="3671" width="6.7109375" style="414" customWidth="1"/>
    <col min="3672" max="3842" width="9.140625" style="414"/>
    <col min="3843" max="3843" width="2.7109375" style="414" customWidth="1"/>
    <col min="3844" max="3845" width="11.5703125" style="414" customWidth="1"/>
    <col min="3846" max="3846" width="7.28515625" style="414" customWidth="1"/>
    <col min="3847" max="3847" width="9.85546875" style="414" customWidth="1"/>
    <col min="3848" max="3848" width="10.140625" style="414" customWidth="1"/>
    <col min="3849" max="3849" width="11.28515625" style="414" customWidth="1"/>
    <col min="3850" max="3850" width="2.7109375" style="414" customWidth="1"/>
    <col min="3851" max="3851" width="9.42578125" style="414" customWidth="1"/>
    <col min="3852" max="3852" width="2.7109375" style="414" customWidth="1"/>
    <col min="3853" max="3856" width="0" style="414" hidden="1" customWidth="1"/>
    <col min="3857" max="3857" width="10" style="414" customWidth="1"/>
    <col min="3858" max="3927" width="6.7109375" style="414" customWidth="1"/>
    <col min="3928" max="4098" width="9.140625" style="414"/>
    <col min="4099" max="4099" width="2.7109375" style="414" customWidth="1"/>
    <col min="4100" max="4101" width="11.5703125" style="414" customWidth="1"/>
    <col min="4102" max="4102" width="7.28515625" style="414" customWidth="1"/>
    <col min="4103" max="4103" width="9.85546875" style="414" customWidth="1"/>
    <col min="4104" max="4104" width="10.140625" style="414" customWidth="1"/>
    <col min="4105" max="4105" width="11.28515625" style="414" customWidth="1"/>
    <col min="4106" max="4106" width="2.7109375" style="414" customWidth="1"/>
    <col min="4107" max="4107" width="9.42578125" style="414" customWidth="1"/>
    <col min="4108" max="4108" width="2.7109375" style="414" customWidth="1"/>
    <col min="4109" max="4112" width="0" style="414" hidden="1" customWidth="1"/>
    <col min="4113" max="4113" width="10" style="414" customWidth="1"/>
    <col min="4114" max="4183" width="6.7109375" style="414" customWidth="1"/>
    <col min="4184" max="4354" width="9.140625" style="414"/>
    <col min="4355" max="4355" width="2.7109375" style="414" customWidth="1"/>
    <col min="4356" max="4357" width="11.5703125" style="414" customWidth="1"/>
    <col min="4358" max="4358" width="7.28515625" style="414" customWidth="1"/>
    <col min="4359" max="4359" width="9.85546875" style="414" customWidth="1"/>
    <col min="4360" max="4360" width="10.140625" style="414" customWidth="1"/>
    <col min="4361" max="4361" width="11.28515625" style="414" customWidth="1"/>
    <col min="4362" max="4362" width="2.7109375" style="414" customWidth="1"/>
    <col min="4363" max="4363" width="9.42578125" style="414" customWidth="1"/>
    <col min="4364" max="4364" width="2.7109375" style="414" customWidth="1"/>
    <col min="4365" max="4368" width="0" style="414" hidden="1" customWidth="1"/>
    <col min="4369" max="4369" width="10" style="414" customWidth="1"/>
    <col min="4370" max="4439" width="6.7109375" style="414" customWidth="1"/>
    <col min="4440" max="4610" width="9.140625" style="414"/>
    <col min="4611" max="4611" width="2.7109375" style="414" customWidth="1"/>
    <col min="4612" max="4613" width="11.5703125" style="414" customWidth="1"/>
    <col min="4614" max="4614" width="7.28515625" style="414" customWidth="1"/>
    <col min="4615" max="4615" width="9.85546875" style="414" customWidth="1"/>
    <col min="4616" max="4616" width="10.140625" style="414" customWidth="1"/>
    <col min="4617" max="4617" width="11.28515625" style="414" customWidth="1"/>
    <col min="4618" max="4618" width="2.7109375" style="414" customWidth="1"/>
    <col min="4619" max="4619" width="9.42578125" style="414" customWidth="1"/>
    <col min="4620" max="4620" width="2.7109375" style="414" customWidth="1"/>
    <col min="4621" max="4624" width="0" style="414" hidden="1" customWidth="1"/>
    <col min="4625" max="4625" width="10" style="414" customWidth="1"/>
    <col min="4626" max="4695" width="6.7109375" style="414" customWidth="1"/>
    <col min="4696" max="4866" width="9.140625" style="414"/>
    <col min="4867" max="4867" width="2.7109375" style="414" customWidth="1"/>
    <col min="4868" max="4869" width="11.5703125" style="414" customWidth="1"/>
    <col min="4870" max="4870" width="7.28515625" style="414" customWidth="1"/>
    <col min="4871" max="4871" width="9.85546875" style="414" customWidth="1"/>
    <col min="4872" max="4872" width="10.140625" style="414" customWidth="1"/>
    <col min="4873" max="4873" width="11.28515625" style="414" customWidth="1"/>
    <col min="4874" max="4874" width="2.7109375" style="414" customWidth="1"/>
    <col min="4875" max="4875" width="9.42578125" style="414" customWidth="1"/>
    <col min="4876" max="4876" width="2.7109375" style="414" customWidth="1"/>
    <col min="4877" max="4880" width="0" style="414" hidden="1" customWidth="1"/>
    <col min="4881" max="4881" width="10" style="414" customWidth="1"/>
    <col min="4882" max="4951" width="6.7109375" style="414" customWidth="1"/>
    <col min="4952" max="5122" width="9.140625" style="414"/>
    <col min="5123" max="5123" width="2.7109375" style="414" customWidth="1"/>
    <col min="5124" max="5125" width="11.5703125" style="414" customWidth="1"/>
    <col min="5126" max="5126" width="7.28515625" style="414" customWidth="1"/>
    <col min="5127" max="5127" width="9.85546875" style="414" customWidth="1"/>
    <col min="5128" max="5128" width="10.140625" style="414" customWidth="1"/>
    <col min="5129" max="5129" width="11.28515625" style="414" customWidth="1"/>
    <col min="5130" max="5130" width="2.7109375" style="414" customWidth="1"/>
    <col min="5131" max="5131" width="9.42578125" style="414" customWidth="1"/>
    <col min="5132" max="5132" width="2.7109375" style="414" customWidth="1"/>
    <col min="5133" max="5136" width="0" style="414" hidden="1" customWidth="1"/>
    <col min="5137" max="5137" width="10" style="414" customWidth="1"/>
    <col min="5138" max="5207" width="6.7109375" style="414" customWidth="1"/>
    <col min="5208" max="5378" width="9.140625" style="414"/>
    <col min="5379" max="5379" width="2.7109375" style="414" customWidth="1"/>
    <col min="5380" max="5381" width="11.5703125" style="414" customWidth="1"/>
    <col min="5382" max="5382" width="7.28515625" style="414" customWidth="1"/>
    <col min="5383" max="5383" width="9.85546875" style="414" customWidth="1"/>
    <col min="5384" max="5384" width="10.140625" style="414" customWidth="1"/>
    <col min="5385" max="5385" width="11.28515625" style="414" customWidth="1"/>
    <col min="5386" max="5386" width="2.7109375" style="414" customWidth="1"/>
    <col min="5387" max="5387" width="9.42578125" style="414" customWidth="1"/>
    <col min="5388" max="5388" width="2.7109375" style="414" customWidth="1"/>
    <col min="5389" max="5392" width="0" style="414" hidden="1" customWidth="1"/>
    <col min="5393" max="5393" width="10" style="414" customWidth="1"/>
    <col min="5394" max="5463" width="6.7109375" style="414" customWidth="1"/>
    <col min="5464" max="5634" width="9.140625" style="414"/>
    <col min="5635" max="5635" width="2.7109375" style="414" customWidth="1"/>
    <col min="5636" max="5637" width="11.5703125" style="414" customWidth="1"/>
    <col min="5638" max="5638" width="7.28515625" style="414" customWidth="1"/>
    <col min="5639" max="5639" width="9.85546875" style="414" customWidth="1"/>
    <col min="5640" max="5640" width="10.140625" style="414" customWidth="1"/>
    <col min="5641" max="5641" width="11.28515625" style="414" customWidth="1"/>
    <col min="5642" max="5642" width="2.7109375" style="414" customWidth="1"/>
    <col min="5643" max="5643" width="9.42578125" style="414" customWidth="1"/>
    <col min="5644" max="5644" width="2.7109375" style="414" customWidth="1"/>
    <col min="5645" max="5648" width="0" style="414" hidden="1" customWidth="1"/>
    <col min="5649" max="5649" width="10" style="414" customWidth="1"/>
    <col min="5650" max="5719" width="6.7109375" style="414" customWidth="1"/>
    <col min="5720" max="5890" width="9.140625" style="414"/>
    <col min="5891" max="5891" width="2.7109375" style="414" customWidth="1"/>
    <col min="5892" max="5893" width="11.5703125" style="414" customWidth="1"/>
    <col min="5894" max="5894" width="7.28515625" style="414" customWidth="1"/>
    <col min="5895" max="5895" width="9.85546875" style="414" customWidth="1"/>
    <col min="5896" max="5896" width="10.140625" style="414" customWidth="1"/>
    <col min="5897" max="5897" width="11.28515625" style="414" customWidth="1"/>
    <col min="5898" max="5898" width="2.7109375" style="414" customWidth="1"/>
    <col min="5899" max="5899" width="9.42578125" style="414" customWidth="1"/>
    <col min="5900" max="5900" width="2.7109375" style="414" customWidth="1"/>
    <col min="5901" max="5904" width="0" style="414" hidden="1" customWidth="1"/>
    <col min="5905" max="5905" width="10" style="414" customWidth="1"/>
    <col min="5906" max="5975" width="6.7109375" style="414" customWidth="1"/>
    <col min="5976" max="6146" width="9.140625" style="414"/>
    <col min="6147" max="6147" width="2.7109375" style="414" customWidth="1"/>
    <col min="6148" max="6149" width="11.5703125" style="414" customWidth="1"/>
    <col min="6150" max="6150" width="7.28515625" style="414" customWidth="1"/>
    <col min="6151" max="6151" width="9.85546875" style="414" customWidth="1"/>
    <col min="6152" max="6152" width="10.140625" style="414" customWidth="1"/>
    <col min="6153" max="6153" width="11.28515625" style="414" customWidth="1"/>
    <col min="6154" max="6154" width="2.7109375" style="414" customWidth="1"/>
    <col min="6155" max="6155" width="9.42578125" style="414" customWidth="1"/>
    <col min="6156" max="6156" width="2.7109375" style="414" customWidth="1"/>
    <col min="6157" max="6160" width="0" style="414" hidden="1" customWidth="1"/>
    <col min="6161" max="6161" width="10" style="414" customWidth="1"/>
    <col min="6162" max="6231" width="6.7109375" style="414" customWidth="1"/>
    <col min="6232" max="6402" width="9.140625" style="414"/>
    <col min="6403" max="6403" width="2.7109375" style="414" customWidth="1"/>
    <col min="6404" max="6405" width="11.5703125" style="414" customWidth="1"/>
    <col min="6406" max="6406" width="7.28515625" style="414" customWidth="1"/>
    <col min="6407" max="6407" width="9.85546875" style="414" customWidth="1"/>
    <col min="6408" max="6408" width="10.140625" style="414" customWidth="1"/>
    <col min="6409" max="6409" width="11.28515625" style="414" customWidth="1"/>
    <col min="6410" max="6410" width="2.7109375" style="414" customWidth="1"/>
    <col min="6411" max="6411" width="9.42578125" style="414" customWidth="1"/>
    <col min="6412" max="6412" width="2.7109375" style="414" customWidth="1"/>
    <col min="6413" max="6416" width="0" style="414" hidden="1" customWidth="1"/>
    <col min="6417" max="6417" width="10" style="414" customWidth="1"/>
    <col min="6418" max="6487" width="6.7109375" style="414" customWidth="1"/>
    <col min="6488" max="6658" width="9.140625" style="414"/>
    <col min="6659" max="6659" width="2.7109375" style="414" customWidth="1"/>
    <col min="6660" max="6661" width="11.5703125" style="414" customWidth="1"/>
    <col min="6662" max="6662" width="7.28515625" style="414" customWidth="1"/>
    <col min="6663" max="6663" width="9.85546875" style="414" customWidth="1"/>
    <col min="6664" max="6664" width="10.140625" style="414" customWidth="1"/>
    <col min="6665" max="6665" width="11.28515625" style="414" customWidth="1"/>
    <col min="6666" max="6666" width="2.7109375" style="414" customWidth="1"/>
    <col min="6667" max="6667" width="9.42578125" style="414" customWidth="1"/>
    <col min="6668" max="6668" width="2.7109375" style="414" customWidth="1"/>
    <col min="6669" max="6672" width="0" style="414" hidden="1" customWidth="1"/>
    <col min="6673" max="6673" width="10" style="414" customWidth="1"/>
    <col min="6674" max="6743" width="6.7109375" style="414" customWidth="1"/>
    <col min="6744" max="6914" width="9.140625" style="414"/>
    <col min="6915" max="6915" width="2.7109375" style="414" customWidth="1"/>
    <col min="6916" max="6917" width="11.5703125" style="414" customWidth="1"/>
    <col min="6918" max="6918" width="7.28515625" style="414" customWidth="1"/>
    <col min="6919" max="6919" width="9.85546875" style="414" customWidth="1"/>
    <col min="6920" max="6920" width="10.140625" style="414" customWidth="1"/>
    <col min="6921" max="6921" width="11.28515625" style="414" customWidth="1"/>
    <col min="6922" max="6922" width="2.7109375" style="414" customWidth="1"/>
    <col min="6923" max="6923" width="9.42578125" style="414" customWidth="1"/>
    <col min="6924" max="6924" width="2.7109375" style="414" customWidth="1"/>
    <col min="6925" max="6928" width="0" style="414" hidden="1" customWidth="1"/>
    <col min="6929" max="6929" width="10" style="414" customWidth="1"/>
    <col min="6930" max="6999" width="6.7109375" style="414" customWidth="1"/>
    <col min="7000" max="7170" width="9.140625" style="414"/>
    <col min="7171" max="7171" width="2.7109375" style="414" customWidth="1"/>
    <col min="7172" max="7173" width="11.5703125" style="414" customWidth="1"/>
    <col min="7174" max="7174" width="7.28515625" style="414" customWidth="1"/>
    <col min="7175" max="7175" width="9.85546875" style="414" customWidth="1"/>
    <col min="7176" max="7176" width="10.140625" style="414" customWidth="1"/>
    <col min="7177" max="7177" width="11.28515625" style="414" customWidth="1"/>
    <col min="7178" max="7178" width="2.7109375" style="414" customWidth="1"/>
    <col min="7179" max="7179" width="9.42578125" style="414" customWidth="1"/>
    <col min="7180" max="7180" width="2.7109375" style="414" customWidth="1"/>
    <col min="7181" max="7184" width="0" style="414" hidden="1" customWidth="1"/>
    <col min="7185" max="7185" width="10" style="414" customWidth="1"/>
    <col min="7186" max="7255" width="6.7109375" style="414" customWidth="1"/>
    <col min="7256" max="7426" width="9.140625" style="414"/>
    <col min="7427" max="7427" width="2.7109375" style="414" customWidth="1"/>
    <col min="7428" max="7429" width="11.5703125" style="414" customWidth="1"/>
    <col min="7430" max="7430" width="7.28515625" style="414" customWidth="1"/>
    <col min="7431" max="7431" width="9.85546875" style="414" customWidth="1"/>
    <col min="7432" max="7432" width="10.140625" style="414" customWidth="1"/>
    <col min="7433" max="7433" width="11.28515625" style="414" customWidth="1"/>
    <col min="7434" max="7434" width="2.7109375" style="414" customWidth="1"/>
    <col min="7435" max="7435" width="9.42578125" style="414" customWidth="1"/>
    <col min="7436" max="7436" width="2.7109375" style="414" customWidth="1"/>
    <col min="7437" max="7440" width="0" style="414" hidden="1" customWidth="1"/>
    <col min="7441" max="7441" width="10" style="414" customWidth="1"/>
    <col min="7442" max="7511" width="6.7109375" style="414" customWidth="1"/>
    <col min="7512" max="7682" width="9.140625" style="414"/>
    <col min="7683" max="7683" width="2.7109375" style="414" customWidth="1"/>
    <col min="7684" max="7685" width="11.5703125" style="414" customWidth="1"/>
    <col min="7686" max="7686" width="7.28515625" style="414" customWidth="1"/>
    <col min="7687" max="7687" width="9.85546875" style="414" customWidth="1"/>
    <col min="7688" max="7688" width="10.140625" style="414" customWidth="1"/>
    <col min="7689" max="7689" width="11.28515625" style="414" customWidth="1"/>
    <col min="7690" max="7690" width="2.7109375" style="414" customWidth="1"/>
    <col min="7691" max="7691" width="9.42578125" style="414" customWidth="1"/>
    <col min="7692" max="7692" width="2.7109375" style="414" customWidth="1"/>
    <col min="7693" max="7696" width="0" style="414" hidden="1" customWidth="1"/>
    <col min="7697" max="7697" width="10" style="414" customWidth="1"/>
    <col min="7698" max="7767" width="6.7109375" style="414" customWidth="1"/>
    <col min="7768" max="7938" width="9.140625" style="414"/>
    <col min="7939" max="7939" width="2.7109375" style="414" customWidth="1"/>
    <col min="7940" max="7941" width="11.5703125" style="414" customWidth="1"/>
    <col min="7942" max="7942" width="7.28515625" style="414" customWidth="1"/>
    <col min="7943" max="7943" width="9.85546875" style="414" customWidth="1"/>
    <col min="7944" max="7944" width="10.140625" style="414" customWidth="1"/>
    <col min="7945" max="7945" width="11.28515625" style="414" customWidth="1"/>
    <col min="7946" max="7946" width="2.7109375" style="414" customWidth="1"/>
    <col min="7947" max="7947" width="9.42578125" style="414" customWidth="1"/>
    <col min="7948" max="7948" width="2.7109375" style="414" customWidth="1"/>
    <col min="7949" max="7952" width="0" style="414" hidden="1" customWidth="1"/>
    <col min="7953" max="7953" width="10" style="414" customWidth="1"/>
    <col min="7954" max="8023" width="6.7109375" style="414" customWidth="1"/>
    <col min="8024" max="8194" width="9.140625" style="414"/>
    <col min="8195" max="8195" width="2.7109375" style="414" customWidth="1"/>
    <col min="8196" max="8197" width="11.5703125" style="414" customWidth="1"/>
    <col min="8198" max="8198" width="7.28515625" style="414" customWidth="1"/>
    <col min="8199" max="8199" width="9.85546875" style="414" customWidth="1"/>
    <col min="8200" max="8200" width="10.140625" style="414" customWidth="1"/>
    <col min="8201" max="8201" width="11.28515625" style="414" customWidth="1"/>
    <col min="8202" max="8202" width="2.7109375" style="414" customWidth="1"/>
    <col min="8203" max="8203" width="9.42578125" style="414" customWidth="1"/>
    <col min="8204" max="8204" width="2.7109375" style="414" customWidth="1"/>
    <col min="8205" max="8208" width="0" style="414" hidden="1" customWidth="1"/>
    <col min="8209" max="8209" width="10" style="414" customWidth="1"/>
    <col min="8210" max="8279" width="6.7109375" style="414" customWidth="1"/>
    <col min="8280" max="8450" width="9.140625" style="414"/>
    <col min="8451" max="8451" width="2.7109375" style="414" customWidth="1"/>
    <col min="8452" max="8453" width="11.5703125" style="414" customWidth="1"/>
    <col min="8454" max="8454" width="7.28515625" style="414" customWidth="1"/>
    <col min="8455" max="8455" width="9.85546875" style="414" customWidth="1"/>
    <col min="8456" max="8456" width="10.140625" style="414" customWidth="1"/>
    <col min="8457" max="8457" width="11.28515625" style="414" customWidth="1"/>
    <col min="8458" max="8458" width="2.7109375" style="414" customWidth="1"/>
    <col min="8459" max="8459" width="9.42578125" style="414" customWidth="1"/>
    <col min="8460" max="8460" width="2.7109375" style="414" customWidth="1"/>
    <col min="8461" max="8464" width="0" style="414" hidden="1" customWidth="1"/>
    <col min="8465" max="8465" width="10" style="414" customWidth="1"/>
    <col min="8466" max="8535" width="6.7109375" style="414" customWidth="1"/>
    <col min="8536" max="8706" width="9.140625" style="414"/>
    <col min="8707" max="8707" width="2.7109375" style="414" customWidth="1"/>
    <col min="8708" max="8709" width="11.5703125" style="414" customWidth="1"/>
    <col min="8710" max="8710" width="7.28515625" style="414" customWidth="1"/>
    <col min="8711" max="8711" width="9.85546875" style="414" customWidth="1"/>
    <col min="8712" max="8712" width="10.140625" style="414" customWidth="1"/>
    <col min="8713" max="8713" width="11.28515625" style="414" customWidth="1"/>
    <col min="8714" max="8714" width="2.7109375" style="414" customWidth="1"/>
    <col min="8715" max="8715" width="9.42578125" style="414" customWidth="1"/>
    <col min="8716" max="8716" width="2.7109375" style="414" customWidth="1"/>
    <col min="8717" max="8720" width="0" style="414" hidden="1" customWidth="1"/>
    <col min="8721" max="8721" width="10" style="414" customWidth="1"/>
    <col min="8722" max="8791" width="6.7109375" style="414" customWidth="1"/>
    <col min="8792" max="8962" width="9.140625" style="414"/>
    <col min="8963" max="8963" width="2.7109375" style="414" customWidth="1"/>
    <col min="8964" max="8965" width="11.5703125" style="414" customWidth="1"/>
    <col min="8966" max="8966" width="7.28515625" style="414" customWidth="1"/>
    <col min="8967" max="8967" width="9.85546875" style="414" customWidth="1"/>
    <col min="8968" max="8968" width="10.140625" style="414" customWidth="1"/>
    <col min="8969" max="8969" width="11.28515625" style="414" customWidth="1"/>
    <col min="8970" max="8970" width="2.7109375" style="414" customWidth="1"/>
    <col min="8971" max="8971" width="9.42578125" style="414" customWidth="1"/>
    <col min="8972" max="8972" width="2.7109375" style="414" customWidth="1"/>
    <col min="8973" max="8976" width="0" style="414" hidden="1" customWidth="1"/>
    <col min="8977" max="8977" width="10" style="414" customWidth="1"/>
    <col min="8978" max="9047" width="6.7109375" style="414" customWidth="1"/>
    <col min="9048" max="9218" width="9.140625" style="414"/>
    <col min="9219" max="9219" width="2.7109375" style="414" customWidth="1"/>
    <col min="9220" max="9221" width="11.5703125" style="414" customWidth="1"/>
    <col min="9222" max="9222" width="7.28515625" style="414" customWidth="1"/>
    <col min="9223" max="9223" width="9.85546875" style="414" customWidth="1"/>
    <col min="9224" max="9224" width="10.140625" style="414" customWidth="1"/>
    <col min="9225" max="9225" width="11.28515625" style="414" customWidth="1"/>
    <col min="9226" max="9226" width="2.7109375" style="414" customWidth="1"/>
    <col min="9227" max="9227" width="9.42578125" style="414" customWidth="1"/>
    <col min="9228" max="9228" width="2.7109375" style="414" customWidth="1"/>
    <col min="9229" max="9232" width="0" style="414" hidden="1" customWidth="1"/>
    <col min="9233" max="9233" width="10" style="414" customWidth="1"/>
    <col min="9234" max="9303" width="6.7109375" style="414" customWidth="1"/>
    <col min="9304" max="9474" width="9.140625" style="414"/>
    <col min="9475" max="9475" width="2.7109375" style="414" customWidth="1"/>
    <col min="9476" max="9477" width="11.5703125" style="414" customWidth="1"/>
    <col min="9478" max="9478" width="7.28515625" style="414" customWidth="1"/>
    <col min="9479" max="9479" width="9.85546875" style="414" customWidth="1"/>
    <col min="9480" max="9480" width="10.140625" style="414" customWidth="1"/>
    <col min="9481" max="9481" width="11.28515625" style="414" customWidth="1"/>
    <col min="9482" max="9482" width="2.7109375" style="414" customWidth="1"/>
    <col min="9483" max="9483" width="9.42578125" style="414" customWidth="1"/>
    <col min="9484" max="9484" width="2.7109375" style="414" customWidth="1"/>
    <col min="9485" max="9488" width="0" style="414" hidden="1" customWidth="1"/>
    <col min="9489" max="9489" width="10" style="414" customWidth="1"/>
    <col min="9490" max="9559" width="6.7109375" style="414" customWidth="1"/>
    <col min="9560" max="9730" width="9.140625" style="414"/>
    <col min="9731" max="9731" width="2.7109375" style="414" customWidth="1"/>
    <col min="9732" max="9733" width="11.5703125" style="414" customWidth="1"/>
    <col min="9734" max="9734" width="7.28515625" style="414" customWidth="1"/>
    <col min="9735" max="9735" width="9.85546875" style="414" customWidth="1"/>
    <col min="9736" max="9736" width="10.140625" style="414" customWidth="1"/>
    <col min="9737" max="9737" width="11.28515625" style="414" customWidth="1"/>
    <col min="9738" max="9738" width="2.7109375" style="414" customWidth="1"/>
    <col min="9739" max="9739" width="9.42578125" style="414" customWidth="1"/>
    <col min="9740" max="9740" width="2.7109375" style="414" customWidth="1"/>
    <col min="9741" max="9744" width="0" style="414" hidden="1" customWidth="1"/>
    <col min="9745" max="9745" width="10" style="414" customWidth="1"/>
    <col min="9746" max="9815" width="6.7109375" style="414" customWidth="1"/>
    <col min="9816" max="9986" width="9.140625" style="414"/>
    <col min="9987" max="9987" width="2.7109375" style="414" customWidth="1"/>
    <col min="9988" max="9989" width="11.5703125" style="414" customWidth="1"/>
    <col min="9990" max="9990" width="7.28515625" style="414" customWidth="1"/>
    <col min="9991" max="9991" width="9.85546875" style="414" customWidth="1"/>
    <col min="9992" max="9992" width="10.140625" style="414" customWidth="1"/>
    <col min="9993" max="9993" width="11.28515625" style="414" customWidth="1"/>
    <col min="9994" max="9994" width="2.7109375" style="414" customWidth="1"/>
    <col min="9995" max="9995" width="9.42578125" style="414" customWidth="1"/>
    <col min="9996" max="9996" width="2.7109375" style="414" customWidth="1"/>
    <col min="9997" max="10000" width="0" style="414" hidden="1" customWidth="1"/>
    <col min="10001" max="10001" width="10" style="414" customWidth="1"/>
    <col min="10002" max="10071" width="6.7109375" style="414" customWidth="1"/>
    <col min="10072" max="10242" width="9.140625" style="414"/>
    <col min="10243" max="10243" width="2.7109375" style="414" customWidth="1"/>
    <col min="10244" max="10245" width="11.5703125" style="414" customWidth="1"/>
    <col min="10246" max="10246" width="7.28515625" style="414" customWidth="1"/>
    <col min="10247" max="10247" width="9.85546875" style="414" customWidth="1"/>
    <col min="10248" max="10248" width="10.140625" style="414" customWidth="1"/>
    <col min="10249" max="10249" width="11.28515625" style="414" customWidth="1"/>
    <col min="10250" max="10250" width="2.7109375" style="414" customWidth="1"/>
    <col min="10251" max="10251" width="9.42578125" style="414" customWidth="1"/>
    <col min="10252" max="10252" width="2.7109375" style="414" customWidth="1"/>
    <col min="10253" max="10256" width="0" style="414" hidden="1" customWidth="1"/>
    <col min="10257" max="10257" width="10" style="414" customWidth="1"/>
    <col min="10258" max="10327" width="6.7109375" style="414" customWidth="1"/>
    <col min="10328" max="10498" width="9.140625" style="414"/>
    <col min="10499" max="10499" width="2.7109375" style="414" customWidth="1"/>
    <col min="10500" max="10501" width="11.5703125" style="414" customWidth="1"/>
    <col min="10502" max="10502" width="7.28515625" style="414" customWidth="1"/>
    <col min="10503" max="10503" width="9.85546875" style="414" customWidth="1"/>
    <col min="10504" max="10504" width="10.140625" style="414" customWidth="1"/>
    <col min="10505" max="10505" width="11.28515625" style="414" customWidth="1"/>
    <col min="10506" max="10506" width="2.7109375" style="414" customWidth="1"/>
    <col min="10507" max="10507" width="9.42578125" style="414" customWidth="1"/>
    <col min="10508" max="10508" width="2.7109375" style="414" customWidth="1"/>
    <col min="10509" max="10512" width="0" style="414" hidden="1" customWidth="1"/>
    <col min="10513" max="10513" width="10" style="414" customWidth="1"/>
    <col min="10514" max="10583" width="6.7109375" style="414" customWidth="1"/>
    <col min="10584" max="10754" width="9.140625" style="414"/>
    <col min="10755" max="10755" width="2.7109375" style="414" customWidth="1"/>
    <col min="10756" max="10757" width="11.5703125" style="414" customWidth="1"/>
    <col min="10758" max="10758" width="7.28515625" style="414" customWidth="1"/>
    <col min="10759" max="10759" width="9.85546875" style="414" customWidth="1"/>
    <col min="10760" max="10760" width="10.140625" style="414" customWidth="1"/>
    <col min="10761" max="10761" width="11.28515625" style="414" customWidth="1"/>
    <col min="10762" max="10762" width="2.7109375" style="414" customWidth="1"/>
    <col min="10763" max="10763" width="9.42578125" style="414" customWidth="1"/>
    <col min="10764" max="10764" width="2.7109375" style="414" customWidth="1"/>
    <col min="10765" max="10768" width="0" style="414" hidden="1" customWidth="1"/>
    <col min="10769" max="10769" width="10" style="414" customWidth="1"/>
    <col min="10770" max="10839" width="6.7109375" style="414" customWidth="1"/>
    <col min="10840" max="11010" width="9.140625" style="414"/>
    <col min="11011" max="11011" width="2.7109375" style="414" customWidth="1"/>
    <col min="11012" max="11013" width="11.5703125" style="414" customWidth="1"/>
    <col min="11014" max="11014" width="7.28515625" style="414" customWidth="1"/>
    <col min="11015" max="11015" width="9.85546875" style="414" customWidth="1"/>
    <col min="11016" max="11016" width="10.140625" style="414" customWidth="1"/>
    <col min="11017" max="11017" width="11.28515625" style="414" customWidth="1"/>
    <col min="11018" max="11018" width="2.7109375" style="414" customWidth="1"/>
    <col min="11019" max="11019" width="9.42578125" style="414" customWidth="1"/>
    <col min="11020" max="11020" width="2.7109375" style="414" customWidth="1"/>
    <col min="11021" max="11024" width="0" style="414" hidden="1" customWidth="1"/>
    <col min="11025" max="11025" width="10" style="414" customWidth="1"/>
    <col min="11026" max="11095" width="6.7109375" style="414" customWidth="1"/>
    <col min="11096" max="11266" width="9.140625" style="414"/>
    <col min="11267" max="11267" width="2.7109375" style="414" customWidth="1"/>
    <col min="11268" max="11269" width="11.5703125" style="414" customWidth="1"/>
    <col min="11270" max="11270" width="7.28515625" style="414" customWidth="1"/>
    <col min="11271" max="11271" width="9.85546875" style="414" customWidth="1"/>
    <col min="11272" max="11272" width="10.140625" style="414" customWidth="1"/>
    <col min="11273" max="11273" width="11.28515625" style="414" customWidth="1"/>
    <col min="11274" max="11274" width="2.7109375" style="414" customWidth="1"/>
    <col min="11275" max="11275" width="9.42578125" style="414" customWidth="1"/>
    <col min="11276" max="11276" width="2.7109375" style="414" customWidth="1"/>
    <col min="11277" max="11280" width="0" style="414" hidden="1" customWidth="1"/>
    <col min="11281" max="11281" width="10" style="414" customWidth="1"/>
    <col min="11282" max="11351" width="6.7109375" style="414" customWidth="1"/>
    <col min="11352" max="11522" width="9.140625" style="414"/>
    <col min="11523" max="11523" width="2.7109375" style="414" customWidth="1"/>
    <col min="11524" max="11525" width="11.5703125" style="414" customWidth="1"/>
    <col min="11526" max="11526" width="7.28515625" style="414" customWidth="1"/>
    <col min="11527" max="11527" width="9.85546875" style="414" customWidth="1"/>
    <col min="11528" max="11528" width="10.140625" style="414" customWidth="1"/>
    <col min="11529" max="11529" width="11.28515625" style="414" customWidth="1"/>
    <col min="11530" max="11530" width="2.7109375" style="414" customWidth="1"/>
    <col min="11531" max="11531" width="9.42578125" style="414" customWidth="1"/>
    <col min="11532" max="11532" width="2.7109375" style="414" customWidth="1"/>
    <col min="11533" max="11536" width="0" style="414" hidden="1" customWidth="1"/>
    <col min="11537" max="11537" width="10" style="414" customWidth="1"/>
    <col min="11538" max="11607" width="6.7109375" style="414" customWidth="1"/>
    <col min="11608" max="11778" width="9.140625" style="414"/>
    <col min="11779" max="11779" width="2.7109375" style="414" customWidth="1"/>
    <col min="11780" max="11781" width="11.5703125" style="414" customWidth="1"/>
    <col min="11782" max="11782" width="7.28515625" style="414" customWidth="1"/>
    <col min="11783" max="11783" width="9.85546875" style="414" customWidth="1"/>
    <col min="11784" max="11784" width="10.140625" style="414" customWidth="1"/>
    <col min="11785" max="11785" width="11.28515625" style="414" customWidth="1"/>
    <col min="11786" max="11786" width="2.7109375" style="414" customWidth="1"/>
    <col min="11787" max="11787" width="9.42578125" style="414" customWidth="1"/>
    <col min="11788" max="11788" width="2.7109375" style="414" customWidth="1"/>
    <col min="11789" max="11792" width="0" style="414" hidden="1" customWidth="1"/>
    <col min="11793" max="11793" width="10" style="414" customWidth="1"/>
    <col min="11794" max="11863" width="6.7109375" style="414" customWidth="1"/>
    <col min="11864" max="12034" width="9.140625" style="414"/>
    <col min="12035" max="12035" width="2.7109375" style="414" customWidth="1"/>
    <col min="12036" max="12037" width="11.5703125" style="414" customWidth="1"/>
    <col min="12038" max="12038" width="7.28515625" style="414" customWidth="1"/>
    <col min="12039" max="12039" width="9.85546875" style="414" customWidth="1"/>
    <col min="12040" max="12040" width="10.140625" style="414" customWidth="1"/>
    <col min="12041" max="12041" width="11.28515625" style="414" customWidth="1"/>
    <col min="12042" max="12042" width="2.7109375" style="414" customWidth="1"/>
    <col min="12043" max="12043" width="9.42578125" style="414" customWidth="1"/>
    <col min="12044" max="12044" width="2.7109375" style="414" customWidth="1"/>
    <col min="12045" max="12048" width="0" style="414" hidden="1" customWidth="1"/>
    <col min="12049" max="12049" width="10" style="414" customWidth="1"/>
    <col min="12050" max="12119" width="6.7109375" style="414" customWidth="1"/>
    <col min="12120" max="12290" width="9.140625" style="414"/>
    <col min="12291" max="12291" width="2.7109375" style="414" customWidth="1"/>
    <col min="12292" max="12293" width="11.5703125" style="414" customWidth="1"/>
    <col min="12294" max="12294" width="7.28515625" style="414" customWidth="1"/>
    <col min="12295" max="12295" width="9.85546875" style="414" customWidth="1"/>
    <col min="12296" max="12296" width="10.140625" style="414" customWidth="1"/>
    <col min="12297" max="12297" width="11.28515625" style="414" customWidth="1"/>
    <col min="12298" max="12298" width="2.7109375" style="414" customWidth="1"/>
    <col min="12299" max="12299" width="9.42578125" style="414" customWidth="1"/>
    <col min="12300" max="12300" width="2.7109375" style="414" customWidth="1"/>
    <col min="12301" max="12304" width="0" style="414" hidden="1" customWidth="1"/>
    <col min="12305" max="12305" width="10" style="414" customWidth="1"/>
    <col min="12306" max="12375" width="6.7109375" style="414" customWidth="1"/>
    <col min="12376" max="12546" width="9.140625" style="414"/>
    <col min="12547" max="12547" width="2.7109375" style="414" customWidth="1"/>
    <col min="12548" max="12549" width="11.5703125" style="414" customWidth="1"/>
    <col min="12550" max="12550" width="7.28515625" style="414" customWidth="1"/>
    <col min="12551" max="12551" width="9.85546875" style="414" customWidth="1"/>
    <col min="12552" max="12552" width="10.140625" style="414" customWidth="1"/>
    <col min="12553" max="12553" width="11.28515625" style="414" customWidth="1"/>
    <col min="12554" max="12554" width="2.7109375" style="414" customWidth="1"/>
    <col min="12555" max="12555" width="9.42578125" style="414" customWidth="1"/>
    <col min="12556" max="12556" width="2.7109375" style="414" customWidth="1"/>
    <col min="12557" max="12560" width="0" style="414" hidden="1" customWidth="1"/>
    <col min="12561" max="12561" width="10" style="414" customWidth="1"/>
    <col min="12562" max="12631" width="6.7109375" style="414" customWidth="1"/>
    <col min="12632" max="12802" width="9.140625" style="414"/>
    <col min="12803" max="12803" width="2.7109375" style="414" customWidth="1"/>
    <col min="12804" max="12805" width="11.5703125" style="414" customWidth="1"/>
    <col min="12806" max="12806" width="7.28515625" style="414" customWidth="1"/>
    <col min="12807" max="12807" width="9.85546875" style="414" customWidth="1"/>
    <col min="12808" max="12808" width="10.140625" style="414" customWidth="1"/>
    <col min="12809" max="12809" width="11.28515625" style="414" customWidth="1"/>
    <col min="12810" max="12810" width="2.7109375" style="414" customWidth="1"/>
    <col min="12811" max="12811" width="9.42578125" style="414" customWidth="1"/>
    <col min="12812" max="12812" width="2.7109375" style="414" customWidth="1"/>
    <col min="12813" max="12816" width="0" style="414" hidden="1" customWidth="1"/>
    <col min="12817" max="12817" width="10" style="414" customWidth="1"/>
    <col min="12818" max="12887" width="6.7109375" style="414" customWidth="1"/>
    <col min="12888" max="13058" width="9.140625" style="414"/>
    <col min="13059" max="13059" width="2.7109375" style="414" customWidth="1"/>
    <col min="13060" max="13061" width="11.5703125" style="414" customWidth="1"/>
    <col min="13062" max="13062" width="7.28515625" style="414" customWidth="1"/>
    <col min="13063" max="13063" width="9.85546875" style="414" customWidth="1"/>
    <col min="13064" max="13064" width="10.140625" style="414" customWidth="1"/>
    <col min="13065" max="13065" width="11.28515625" style="414" customWidth="1"/>
    <col min="13066" max="13066" width="2.7109375" style="414" customWidth="1"/>
    <col min="13067" max="13067" width="9.42578125" style="414" customWidth="1"/>
    <col min="13068" max="13068" width="2.7109375" style="414" customWidth="1"/>
    <col min="13069" max="13072" width="0" style="414" hidden="1" customWidth="1"/>
    <col min="13073" max="13073" width="10" style="414" customWidth="1"/>
    <col min="13074" max="13143" width="6.7109375" style="414" customWidth="1"/>
    <col min="13144" max="13314" width="9.140625" style="414"/>
    <col min="13315" max="13315" width="2.7109375" style="414" customWidth="1"/>
    <col min="13316" max="13317" width="11.5703125" style="414" customWidth="1"/>
    <col min="13318" max="13318" width="7.28515625" style="414" customWidth="1"/>
    <col min="13319" max="13319" width="9.85546875" style="414" customWidth="1"/>
    <col min="13320" max="13320" width="10.140625" style="414" customWidth="1"/>
    <col min="13321" max="13321" width="11.28515625" style="414" customWidth="1"/>
    <col min="13322" max="13322" width="2.7109375" style="414" customWidth="1"/>
    <col min="13323" max="13323" width="9.42578125" style="414" customWidth="1"/>
    <col min="13324" max="13324" width="2.7109375" style="414" customWidth="1"/>
    <col min="13325" max="13328" width="0" style="414" hidden="1" customWidth="1"/>
    <col min="13329" max="13329" width="10" style="414" customWidth="1"/>
    <col min="13330" max="13399" width="6.7109375" style="414" customWidth="1"/>
    <col min="13400" max="13570" width="9.140625" style="414"/>
    <col min="13571" max="13571" width="2.7109375" style="414" customWidth="1"/>
    <col min="13572" max="13573" width="11.5703125" style="414" customWidth="1"/>
    <col min="13574" max="13574" width="7.28515625" style="414" customWidth="1"/>
    <col min="13575" max="13575" width="9.85546875" style="414" customWidth="1"/>
    <col min="13576" max="13576" width="10.140625" style="414" customWidth="1"/>
    <col min="13577" max="13577" width="11.28515625" style="414" customWidth="1"/>
    <col min="13578" max="13578" width="2.7109375" style="414" customWidth="1"/>
    <col min="13579" max="13579" width="9.42578125" style="414" customWidth="1"/>
    <col min="13580" max="13580" width="2.7109375" style="414" customWidth="1"/>
    <col min="13581" max="13584" width="0" style="414" hidden="1" customWidth="1"/>
    <col min="13585" max="13585" width="10" style="414" customWidth="1"/>
    <col min="13586" max="13655" width="6.7109375" style="414" customWidth="1"/>
    <col min="13656" max="13826" width="9.140625" style="414"/>
    <col min="13827" max="13827" width="2.7109375" style="414" customWidth="1"/>
    <col min="13828" max="13829" width="11.5703125" style="414" customWidth="1"/>
    <col min="13830" max="13830" width="7.28515625" style="414" customWidth="1"/>
    <col min="13831" max="13831" width="9.85546875" style="414" customWidth="1"/>
    <col min="13832" max="13832" width="10.140625" style="414" customWidth="1"/>
    <col min="13833" max="13833" width="11.28515625" style="414" customWidth="1"/>
    <col min="13834" max="13834" width="2.7109375" style="414" customWidth="1"/>
    <col min="13835" max="13835" width="9.42578125" style="414" customWidth="1"/>
    <col min="13836" max="13836" width="2.7109375" style="414" customWidth="1"/>
    <col min="13837" max="13840" width="0" style="414" hidden="1" customWidth="1"/>
    <col min="13841" max="13841" width="10" style="414" customWidth="1"/>
    <col min="13842" max="13911" width="6.7109375" style="414" customWidth="1"/>
    <col min="13912" max="14082" width="9.140625" style="414"/>
    <col min="14083" max="14083" width="2.7109375" style="414" customWidth="1"/>
    <col min="14084" max="14085" width="11.5703125" style="414" customWidth="1"/>
    <col min="14086" max="14086" width="7.28515625" style="414" customWidth="1"/>
    <col min="14087" max="14087" width="9.85546875" style="414" customWidth="1"/>
    <col min="14088" max="14088" width="10.140625" style="414" customWidth="1"/>
    <col min="14089" max="14089" width="11.28515625" style="414" customWidth="1"/>
    <col min="14090" max="14090" width="2.7109375" style="414" customWidth="1"/>
    <col min="14091" max="14091" width="9.42578125" style="414" customWidth="1"/>
    <col min="14092" max="14092" width="2.7109375" style="414" customWidth="1"/>
    <col min="14093" max="14096" width="0" style="414" hidden="1" customWidth="1"/>
    <col min="14097" max="14097" width="10" style="414" customWidth="1"/>
    <col min="14098" max="14167" width="6.7109375" style="414" customWidth="1"/>
    <col min="14168" max="14338" width="9.140625" style="414"/>
    <col min="14339" max="14339" width="2.7109375" style="414" customWidth="1"/>
    <col min="14340" max="14341" width="11.5703125" style="414" customWidth="1"/>
    <col min="14342" max="14342" width="7.28515625" style="414" customWidth="1"/>
    <col min="14343" max="14343" width="9.85546875" style="414" customWidth="1"/>
    <col min="14344" max="14344" width="10.140625" style="414" customWidth="1"/>
    <col min="14345" max="14345" width="11.28515625" style="414" customWidth="1"/>
    <col min="14346" max="14346" width="2.7109375" style="414" customWidth="1"/>
    <col min="14347" max="14347" width="9.42578125" style="414" customWidth="1"/>
    <col min="14348" max="14348" width="2.7109375" style="414" customWidth="1"/>
    <col min="14349" max="14352" width="0" style="414" hidden="1" customWidth="1"/>
    <col min="14353" max="14353" width="10" style="414" customWidth="1"/>
    <col min="14354" max="14423" width="6.7109375" style="414" customWidth="1"/>
    <col min="14424" max="14594" width="9.140625" style="414"/>
    <col min="14595" max="14595" width="2.7109375" style="414" customWidth="1"/>
    <col min="14596" max="14597" width="11.5703125" style="414" customWidth="1"/>
    <col min="14598" max="14598" width="7.28515625" style="414" customWidth="1"/>
    <col min="14599" max="14599" width="9.85546875" style="414" customWidth="1"/>
    <col min="14600" max="14600" width="10.140625" style="414" customWidth="1"/>
    <col min="14601" max="14601" width="11.28515625" style="414" customWidth="1"/>
    <col min="14602" max="14602" width="2.7109375" style="414" customWidth="1"/>
    <col min="14603" max="14603" width="9.42578125" style="414" customWidth="1"/>
    <col min="14604" max="14604" width="2.7109375" style="414" customWidth="1"/>
    <col min="14605" max="14608" width="0" style="414" hidden="1" customWidth="1"/>
    <col min="14609" max="14609" width="10" style="414" customWidth="1"/>
    <col min="14610" max="14679" width="6.7109375" style="414" customWidth="1"/>
    <col min="14680" max="14850" width="9.140625" style="414"/>
    <col min="14851" max="14851" width="2.7109375" style="414" customWidth="1"/>
    <col min="14852" max="14853" width="11.5703125" style="414" customWidth="1"/>
    <col min="14854" max="14854" width="7.28515625" style="414" customWidth="1"/>
    <col min="14855" max="14855" width="9.85546875" style="414" customWidth="1"/>
    <col min="14856" max="14856" width="10.140625" style="414" customWidth="1"/>
    <col min="14857" max="14857" width="11.28515625" style="414" customWidth="1"/>
    <col min="14858" max="14858" width="2.7109375" style="414" customWidth="1"/>
    <col min="14859" max="14859" width="9.42578125" style="414" customWidth="1"/>
    <col min="14860" max="14860" width="2.7109375" style="414" customWidth="1"/>
    <col min="14861" max="14864" width="0" style="414" hidden="1" customWidth="1"/>
    <col min="14865" max="14865" width="10" style="414" customWidth="1"/>
    <col min="14866" max="14935" width="6.7109375" style="414" customWidth="1"/>
    <col min="14936" max="15106" width="9.140625" style="414"/>
    <col min="15107" max="15107" width="2.7109375" style="414" customWidth="1"/>
    <col min="15108" max="15109" width="11.5703125" style="414" customWidth="1"/>
    <col min="15110" max="15110" width="7.28515625" style="414" customWidth="1"/>
    <col min="15111" max="15111" width="9.85546875" style="414" customWidth="1"/>
    <col min="15112" max="15112" width="10.140625" style="414" customWidth="1"/>
    <col min="15113" max="15113" width="11.28515625" style="414" customWidth="1"/>
    <col min="15114" max="15114" width="2.7109375" style="414" customWidth="1"/>
    <col min="15115" max="15115" width="9.42578125" style="414" customWidth="1"/>
    <col min="15116" max="15116" width="2.7109375" style="414" customWidth="1"/>
    <col min="15117" max="15120" width="0" style="414" hidden="1" customWidth="1"/>
    <col min="15121" max="15121" width="10" style="414" customWidth="1"/>
    <col min="15122" max="15191" width="6.7109375" style="414" customWidth="1"/>
    <col min="15192" max="15362" width="9.140625" style="414"/>
    <col min="15363" max="15363" width="2.7109375" style="414" customWidth="1"/>
    <col min="15364" max="15365" width="11.5703125" style="414" customWidth="1"/>
    <col min="15366" max="15366" width="7.28515625" style="414" customWidth="1"/>
    <col min="15367" max="15367" width="9.85546875" style="414" customWidth="1"/>
    <col min="15368" max="15368" width="10.140625" style="414" customWidth="1"/>
    <col min="15369" max="15369" width="11.28515625" style="414" customWidth="1"/>
    <col min="15370" max="15370" width="2.7109375" style="414" customWidth="1"/>
    <col min="15371" max="15371" width="9.42578125" style="414" customWidth="1"/>
    <col min="15372" max="15372" width="2.7109375" style="414" customWidth="1"/>
    <col min="15373" max="15376" width="0" style="414" hidden="1" customWidth="1"/>
    <col min="15377" max="15377" width="10" style="414" customWidth="1"/>
    <col min="15378" max="15447" width="6.7109375" style="414" customWidth="1"/>
    <col min="15448" max="15618" width="9.140625" style="414"/>
    <col min="15619" max="15619" width="2.7109375" style="414" customWidth="1"/>
    <col min="15620" max="15621" width="11.5703125" style="414" customWidth="1"/>
    <col min="15622" max="15622" width="7.28515625" style="414" customWidth="1"/>
    <col min="15623" max="15623" width="9.85546875" style="414" customWidth="1"/>
    <col min="15624" max="15624" width="10.140625" style="414" customWidth="1"/>
    <col min="15625" max="15625" width="11.28515625" style="414" customWidth="1"/>
    <col min="15626" max="15626" width="2.7109375" style="414" customWidth="1"/>
    <col min="15627" max="15627" width="9.42578125" style="414" customWidth="1"/>
    <col min="15628" max="15628" width="2.7109375" style="414" customWidth="1"/>
    <col min="15629" max="15632" width="0" style="414" hidden="1" customWidth="1"/>
    <col min="15633" max="15633" width="10" style="414" customWidth="1"/>
    <col min="15634" max="15703" width="6.7109375" style="414" customWidth="1"/>
    <col min="15704" max="15874" width="9.140625" style="414"/>
    <col min="15875" max="15875" width="2.7109375" style="414" customWidth="1"/>
    <col min="15876" max="15877" width="11.5703125" style="414" customWidth="1"/>
    <col min="15878" max="15878" width="7.28515625" style="414" customWidth="1"/>
    <col min="15879" max="15879" width="9.85546875" style="414" customWidth="1"/>
    <col min="15880" max="15880" width="10.140625" style="414" customWidth="1"/>
    <col min="15881" max="15881" width="11.28515625" style="414" customWidth="1"/>
    <col min="15882" max="15882" width="2.7109375" style="414" customWidth="1"/>
    <col min="15883" max="15883" width="9.42578125" style="414" customWidth="1"/>
    <col min="15884" max="15884" width="2.7109375" style="414" customWidth="1"/>
    <col min="15885" max="15888" width="0" style="414" hidden="1" customWidth="1"/>
    <col min="15889" max="15889" width="10" style="414" customWidth="1"/>
    <col min="15890" max="15959" width="6.7109375" style="414" customWidth="1"/>
    <col min="15960" max="16130" width="9.140625" style="414"/>
    <col min="16131" max="16131" width="2.7109375" style="414" customWidth="1"/>
    <col min="16132" max="16133" width="11.5703125" style="414" customWidth="1"/>
    <col min="16134" max="16134" width="7.28515625" style="414" customWidth="1"/>
    <col min="16135" max="16135" width="9.85546875" style="414" customWidth="1"/>
    <col min="16136" max="16136" width="10.140625" style="414" customWidth="1"/>
    <col min="16137" max="16137" width="11.28515625" style="414" customWidth="1"/>
    <col min="16138" max="16138" width="2.7109375" style="414" customWidth="1"/>
    <col min="16139" max="16139" width="9.42578125" style="414" customWidth="1"/>
    <col min="16140" max="16140" width="2.7109375" style="414" customWidth="1"/>
    <col min="16141" max="16144" width="0" style="414" hidden="1" customWidth="1"/>
    <col min="16145" max="16145" width="10" style="414" customWidth="1"/>
    <col min="16146" max="16215" width="6.7109375" style="414" customWidth="1"/>
    <col min="16216" max="16384" width="9.140625" style="414"/>
  </cols>
  <sheetData>
    <row r="1" spans="1:79" hidden="1" outlineLevel="1">
      <c r="B1" s="501" t="s">
        <v>5159</v>
      </c>
      <c r="C1" s="502" t="s">
        <v>237</v>
      </c>
      <c r="D1" s="502" t="s">
        <v>237</v>
      </c>
      <c r="E1" s="502" t="s">
        <v>238</v>
      </c>
      <c r="F1" s="502" t="s">
        <v>5160</v>
      </c>
      <c r="G1" s="502"/>
      <c r="H1" s="502" t="s">
        <v>5160</v>
      </c>
      <c r="I1" s="502"/>
    </row>
    <row r="2" spans="1:79" hidden="1" outlineLevel="1">
      <c r="B2" s="501" t="s">
        <v>5161</v>
      </c>
      <c r="C2" s="503" t="s">
        <v>230</v>
      </c>
      <c r="D2" s="503" t="s">
        <v>206</v>
      </c>
      <c r="E2" s="503" t="s">
        <v>206</v>
      </c>
      <c r="F2" s="504" t="s">
        <v>228</v>
      </c>
      <c r="G2" s="504"/>
      <c r="H2" s="503" t="s">
        <v>158</v>
      </c>
      <c r="I2" s="503"/>
    </row>
    <row r="3" spans="1:79" hidden="1" outlineLevel="1">
      <c r="B3" s="501"/>
      <c r="C3" s="505">
        <v>3</v>
      </c>
      <c r="D3" s="505">
        <v>6</v>
      </c>
      <c r="E3" s="505">
        <v>5</v>
      </c>
      <c r="F3" s="505" t="s">
        <v>241</v>
      </c>
      <c r="G3" s="505"/>
      <c r="H3" s="505">
        <v>6</v>
      </c>
      <c r="I3" s="505"/>
    </row>
    <row r="4" spans="1:79" collapsed="1">
      <c r="B4" s="95" t="s">
        <v>748</v>
      </c>
      <c r="C4" s="506">
        <v>42669.378217592595</v>
      </c>
      <c r="N4" s="94"/>
      <c r="O4" s="94"/>
      <c r="AP4" s="53"/>
    </row>
    <row r="6" spans="1:79" ht="50.25">
      <c r="A6" s="108"/>
      <c r="B6" s="587" t="s">
        <v>232</v>
      </c>
      <c r="C6" s="587"/>
      <c r="D6" s="587"/>
      <c r="E6" s="587"/>
      <c r="F6" s="587"/>
      <c r="G6" s="587"/>
      <c r="H6" s="587"/>
      <c r="I6" s="587"/>
      <c r="J6" s="587"/>
      <c r="L6" s="507" t="s">
        <v>239</v>
      </c>
      <c r="N6" s="508"/>
      <c r="O6" s="508"/>
      <c r="P6" s="508"/>
      <c r="Q6" s="509" t="s">
        <v>229</v>
      </c>
      <c r="R6" s="510">
        <f t="array" ref="R6:CA6">TRANSPOSE(C9:C70)</f>
        <v>0</v>
      </c>
      <c r="S6" s="510">
        <v>0</v>
      </c>
      <c r="T6" s="510">
        <v>0</v>
      </c>
      <c r="U6" s="510">
        <v>-177.45825655531547</v>
      </c>
      <c r="V6" s="510">
        <v>-14.277819415007434</v>
      </c>
      <c r="W6" s="510">
        <v>-58.863728512695644</v>
      </c>
      <c r="X6" s="510">
        <v>10.73496056429755</v>
      </c>
      <c r="Y6" s="510">
        <v>54.99457052959805</v>
      </c>
      <c r="Z6" s="510">
        <v>-25.355856588566521</v>
      </c>
      <c r="AA6" s="510">
        <v>49.43008190874324</v>
      </c>
      <c r="AB6" s="510">
        <v>-71.326014724844043</v>
      </c>
      <c r="AC6" s="510">
        <v>43.619140742190041</v>
      </c>
      <c r="AD6" s="510">
        <v>117.48888568605851</v>
      </c>
      <c r="AE6" s="510">
        <v>-160.84122653634495</v>
      </c>
      <c r="AF6" s="510">
        <v>-252.87593101127783</v>
      </c>
      <c r="AG6" s="510">
        <v>170.63216438229915</v>
      </c>
      <c r="AH6" s="510">
        <v>-681.88110941742127</v>
      </c>
      <c r="AI6" s="510">
        <v>-239.7772485328482</v>
      </c>
      <c r="AJ6" s="510">
        <v>-531.01823013688943</v>
      </c>
      <c r="AK6" s="510">
        <v>-13210.432771468966</v>
      </c>
      <c r="AL6" s="510">
        <v>31288.979690847231</v>
      </c>
      <c r="AM6" s="510">
        <v>-24206.20028075562</v>
      </c>
      <c r="AN6" s="510">
        <v>-3392.1216043271788</v>
      </c>
      <c r="AO6" s="510">
        <v>-15461.723338468615</v>
      </c>
      <c r="AP6" s="510">
        <v>11988.40396689975</v>
      </c>
      <c r="AQ6" s="510">
        <v>24296.509408257698</v>
      </c>
      <c r="AR6" s="510">
        <v>44793.663879845655</v>
      </c>
      <c r="AS6" s="510">
        <v>74136.455377146471</v>
      </c>
      <c r="AT6" s="510">
        <v>-48959.965531596143</v>
      </c>
      <c r="AU6" s="510">
        <v>20867.454360729556</v>
      </c>
      <c r="AV6" s="510">
        <v>-43342.841850832272</v>
      </c>
      <c r="AW6" s="510">
        <v>179969.06586361307</v>
      </c>
      <c r="AX6" s="510">
        <v>-195594.6479149911</v>
      </c>
      <c r="AY6" s="510">
        <v>79827.489469657972</v>
      </c>
      <c r="AZ6" s="510">
        <v>4163.7703483380037</v>
      </c>
      <c r="BA6" s="510">
        <v>11.838043330143176</v>
      </c>
      <c r="BB6" s="510">
        <v>0.154583921982582</v>
      </c>
      <c r="BC6" s="510">
        <v>1.8782487669238483E-3</v>
      </c>
      <c r="BD6" s="510">
        <v>0</v>
      </c>
      <c r="BE6" s="510">
        <v>0</v>
      </c>
      <c r="BF6" s="510">
        <v>0</v>
      </c>
      <c r="BG6" s="510">
        <v>0</v>
      </c>
      <c r="BH6" s="510">
        <v>0</v>
      </c>
      <c r="BI6" s="510">
        <v>0</v>
      </c>
      <c r="BJ6" s="510">
        <v>0</v>
      </c>
      <c r="BK6" s="510">
        <v>0</v>
      </c>
      <c r="BL6" s="510">
        <v>0</v>
      </c>
      <c r="BM6" s="510">
        <v>0</v>
      </c>
      <c r="BN6" s="510">
        <v>0</v>
      </c>
      <c r="BO6" s="510">
        <v>0</v>
      </c>
      <c r="BP6" s="510">
        <v>0</v>
      </c>
      <c r="BQ6" s="510">
        <v>0</v>
      </c>
      <c r="BR6" s="510">
        <v>0</v>
      </c>
      <c r="BS6" s="510">
        <v>0</v>
      </c>
      <c r="BT6" s="510">
        <v>0</v>
      </c>
      <c r="BU6" s="510">
        <v>0</v>
      </c>
      <c r="BV6" s="510">
        <v>0</v>
      </c>
      <c r="BW6" s="510">
        <v>0</v>
      </c>
      <c r="BX6" s="510">
        <v>0</v>
      </c>
      <c r="BY6" s="510">
        <v>0</v>
      </c>
      <c r="BZ6" s="510">
        <v>0</v>
      </c>
      <c r="CA6" s="510">
        <v>0</v>
      </c>
    </row>
    <row r="7" spans="1:79">
      <c r="A7" s="108"/>
      <c r="B7" s="588" t="s">
        <v>233</v>
      </c>
      <c r="C7" s="589"/>
      <c r="D7" s="589"/>
      <c r="E7" s="590"/>
      <c r="F7" s="589" t="s">
        <v>234</v>
      </c>
      <c r="G7" s="589"/>
      <c r="H7" s="589"/>
      <c r="I7" s="589"/>
      <c r="J7" s="589"/>
      <c r="L7" s="592" t="s">
        <v>159</v>
      </c>
      <c r="N7" s="593" t="s">
        <v>5162</v>
      </c>
      <c r="O7" s="594"/>
      <c r="P7" s="595"/>
      <c r="Q7" s="98" t="s">
        <v>235</v>
      </c>
      <c r="R7" s="99" t="str">
        <f t="array" ref="R7:CA7">TRANSPOSE(B9:B70&amp;"")</f>
        <v>O/N</v>
      </c>
      <c r="S7" s="99" t="str">
        <v>T/N</v>
      </c>
      <c r="T7" s="99" t="str">
        <v>S/N</v>
      </c>
      <c r="U7" s="99" t="str">
        <v>1W</v>
      </c>
      <c r="V7" s="99" t="str">
        <v>2W</v>
      </c>
      <c r="W7" s="99" t="str">
        <v>3W</v>
      </c>
      <c r="X7" s="99" t="str">
        <v>1M</v>
      </c>
      <c r="Y7" s="99" t="str">
        <v>2M</v>
      </c>
      <c r="Z7" s="99" t="str">
        <v>3M</v>
      </c>
      <c r="AA7" s="99" t="str">
        <v>4M</v>
      </c>
      <c r="AB7" s="99" t="str">
        <v>5M</v>
      </c>
      <c r="AC7" s="99" t="str">
        <v>6M</v>
      </c>
      <c r="AD7" s="99" t="str">
        <v>7M</v>
      </c>
      <c r="AE7" s="99" t="str">
        <v>8M</v>
      </c>
      <c r="AF7" s="99" t="str">
        <v>9M</v>
      </c>
      <c r="AG7" s="99" t="str">
        <v>10M</v>
      </c>
      <c r="AH7" s="99" t="str">
        <v>11M</v>
      </c>
      <c r="AI7" s="99" t="str">
        <v>1Y</v>
      </c>
      <c r="AJ7" s="99" t="str">
        <v>15M</v>
      </c>
      <c r="AK7" s="99" t="str">
        <v>18M</v>
      </c>
      <c r="AL7" s="99" t="str">
        <v>21M</v>
      </c>
      <c r="AM7" s="99" t="str">
        <v>2Y</v>
      </c>
      <c r="AN7" s="99" t="str">
        <v>3Y</v>
      </c>
      <c r="AO7" s="99" t="str">
        <v>4Y</v>
      </c>
      <c r="AP7" s="99" t="str">
        <v>5Y</v>
      </c>
      <c r="AQ7" s="99" t="str">
        <v>6Y</v>
      </c>
      <c r="AR7" s="99" t="str">
        <v>7Y</v>
      </c>
      <c r="AS7" s="99" t="str">
        <v>8Y</v>
      </c>
      <c r="AT7" s="99" t="str">
        <v>9Y</v>
      </c>
      <c r="AU7" s="99" t="str">
        <v>10Y</v>
      </c>
      <c r="AV7" s="99" t="str">
        <v>12Y</v>
      </c>
      <c r="AW7" s="99" t="str">
        <v>15Y</v>
      </c>
      <c r="AX7" s="99" t="str">
        <v>20Y</v>
      </c>
      <c r="AY7" s="99" t="str">
        <v>25Y</v>
      </c>
      <c r="AZ7" s="99" t="str">
        <v>30Y</v>
      </c>
      <c r="BA7" s="99" t="str">
        <v>40Y</v>
      </c>
      <c r="BB7" s="99" t="str">
        <v>50Y</v>
      </c>
      <c r="BC7" s="99" t="str">
        <v>60Y</v>
      </c>
      <c r="BD7" s="99" t="str">
        <v/>
      </c>
      <c r="BE7" s="99" t="str">
        <v/>
      </c>
      <c r="BF7" s="99" t="str">
        <v/>
      </c>
      <c r="BG7" s="99" t="str">
        <v/>
      </c>
      <c r="BH7" s="99" t="str">
        <v/>
      </c>
      <c r="BI7" s="99" t="str">
        <v/>
      </c>
      <c r="BJ7" s="99" t="str">
        <v/>
      </c>
      <c r="BK7" s="99" t="str">
        <v/>
      </c>
      <c r="BL7" s="99" t="str">
        <v/>
      </c>
      <c r="BM7" s="99" t="str">
        <v/>
      </c>
      <c r="BN7" s="99" t="str">
        <v/>
      </c>
      <c r="BO7" s="99" t="str">
        <v/>
      </c>
      <c r="BP7" s="99" t="str">
        <v/>
      </c>
      <c r="BQ7" s="99" t="str">
        <v/>
      </c>
      <c r="BR7" s="99" t="str">
        <v/>
      </c>
      <c r="BS7" s="99" t="str">
        <v/>
      </c>
      <c r="BT7" s="99" t="str">
        <v/>
      </c>
      <c r="BU7" s="99" t="str">
        <v/>
      </c>
      <c r="BV7" s="99" t="str">
        <v/>
      </c>
      <c r="BW7" s="99" t="str">
        <v/>
      </c>
      <c r="BX7" s="99" t="str">
        <v/>
      </c>
      <c r="BY7" s="99" t="str">
        <v/>
      </c>
      <c r="BZ7" s="99" t="str">
        <v/>
      </c>
      <c r="CA7" s="99" t="str">
        <v/>
      </c>
    </row>
    <row r="8" spans="1:79" ht="44.25">
      <c r="A8" s="108" t="s">
        <v>236</v>
      </c>
      <c r="B8" s="263" t="s">
        <v>1164</v>
      </c>
      <c r="C8" s="499" t="s">
        <v>159</v>
      </c>
      <c r="D8" s="101" t="s">
        <v>240</v>
      </c>
      <c r="E8" s="511" t="s">
        <v>231</v>
      </c>
      <c r="F8" s="109" t="s">
        <v>242</v>
      </c>
      <c r="G8" s="109"/>
      <c r="H8" s="109" t="s">
        <v>5163</v>
      </c>
      <c r="I8" s="109" t="s">
        <v>5164</v>
      </c>
      <c r="J8" s="102" t="s">
        <v>231</v>
      </c>
      <c r="L8" s="591"/>
      <c r="N8" s="98" t="s">
        <v>5165</v>
      </c>
      <c r="O8" s="98" t="s">
        <v>5166</v>
      </c>
      <c r="P8" s="98" t="s">
        <v>5167</v>
      </c>
      <c r="Q8" s="496" t="b">
        <v>0</v>
      </c>
      <c r="R8" s="104">
        <f t="array" ref="R8:CA8">TRANSPOSE(E9:E70)</f>
        <v>42670.378217592595</v>
      </c>
      <c r="S8" s="104">
        <v>42671.378217592595</v>
      </c>
      <c r="T8" s="104">
        <v>42674.378217592595</v>
      </c>
      <c r="U8" s="104">
        <v>42676.378217592595</v>
      </c>
      <c r="V8" s="104">
        <v>42683.378217592595</v>
      </c>
      <c r="W8" s="104">
        <v>42690.378217592595</v>
      </c>
      <c r="X8" s="104">
        <v>42702</v>
      </c>
      <c r="Y8" s="104">
        <v>42730</v>
      </c>
      <c r="Z8" s="104">
        <v>42761</v>
      </c>
      <c r="AA8" s="104">
        <v>42793</v>
      </c>
      <c r="AB8" s="104">
        <v>42821</v>
      </c>
      <c r="AC8" s="104">
        <v>42851</v>
      </c>
      <c r="AD8" s="104">
        <v>42881</v>
      </c>
      <c r="AE8" s="104">
        <v>42912</v>
      </c>
      <c r="AF8" s="104">
        <v>42942</v>
      </c>
      <c r="AG8" s="104">
        <v>42975</v>
      </c>
      <c r="AH8" s="104">
        <v>43004</v>
      </c>
      <c r="AI8" s="104">
        <v>43034</v>
      </c>
      <c r="AJ8" s="104">
        <v>43126</v>
      </c>
      <c r="AK8" s="104">
        <v>43216</v>
      </c>
      <c r="AL8" s="104">
        <v>43307</v>
      </c>
      <c r="AM8" s="104">
        <v>43399</v>
      </c>
      <c r="AN8" s="104">
        <v>43766</v>
      </c>
      <c r="AO8" s="104">
        <v>44130</v>
      </c>
      <c r="AP8" s="104">
        <v>44495</v>
      </c>
      <c r="AQ8" s="104">
        <v>44860</v>
      </c>
      <c r="AR8" s="104">
        <v>45225</v>
      </c>
      <c r="AS8" s="104">
        <v>45593</v>
      </c>
      <c r="AT8" s="104">
        <v>45957</v>
      </c>
      <c r="AU8" s="104">
        <v>46321</v>
      </c>
      <c r="AV8" s="104">
        <v>47052</v>
      </c>
      <c r="AW8" s="104">
        <v>48148</v>
      </c>
      <c r="AX8" s="104">
        <v>49975</v>
      </c>
      <c r="AY8" s="104">
        <v>51802</v>
      </c>
      <c r="AZ8" s="104">
        <v>53626</v>
      </c>
      <c r="BA8" s="104">
        <v>57279</v>
      </c>
      <c r="BB8" s="104">
        <v>60931</v>
      </c>
      <c r="BC8" s="104">
        <v>64584</v>
      </c>
      <c r="BD8" s="104" t="str">
        <v/>
      </c>
      <c r="BE8" s="104" t="str">
        <v/>
      </c>
      <c r="BF8" s="104" t="str">
        <v/>
      </c>
      <c r="BG8" s="104" t="str">
        <v/>
      </c>
      <c r="BH8" s="104" t="str">
        <v/>
      </c>
      <c r="BI8" s="104" t="str">
        <v/>
      </c>
      <c r="BJ8" s="104" t="str">
        <v/>
      </c>
      <c r="BK8" s="104" t="str">
        <v/>
      </c>
      <c r="BL8" s="104" t="str">
        <v/>
      </c>
      <c r="BM8" s="104" t="str">
        <v/>
      </c>
      <c r="BN8" s="104" t="str">
        <v/>
      </c>
      <c r="BO8" s="104" t="str">
        <v/>
      </c>
      <c r="BP8" s="104" t="str">
        <v/>
      </c>
      <c r="BQ8" s="104" t="str">
        <v/>
      </c>
      <c r="BR8" s="104" t="str">
        <v/>
      </c>
      <c r="BS8" s="104" t="str">
        <v/>
      </c>
      <c r="BT8" s="104" t="str">
        <v/>
      </c>
      <c r="BU8" s="104" t="str">
        <v/>
      </c>
      <c r="BV8" s="104" t="str">
        <v/>
      </c>
      <c r="BW8" s="104" t="str">
        <v/>
      </c>
      <c r="BX8" s="104" t="str">
        <v/>
      </c>
      <c r="BY8" s="104" t="str">
        <v/>
      </c>
      <c r="BZ8" s="104" t="str">
        <v/>
      </c>
      <c r="CA8" s="104" t="str">
        <v/>
      </c>
    </row>
    <row r="9" spans="1:79">
      <c r="A9" s="105">
        <v>1</v>
      </c>
      <c r="B9" s="112" t="str">
        <f t="array" ref="B9:B46">UsdBucketOIS</f>
        <v>O/N</v>
      </c>
      <c r="C9" s="512">
        <f>'usd disaggregated'!AO17</f>
        <v>0</v>
      </c>
      <c r="D9" s="111" t="str">
        <f t="shared" ref="D9" si="0">IF(LEN(B9)&gt;0,SimplifyTenor(B9),"")</f>
        <v>1D</v>
      </c>
      <c r="E9" s="513">
        <f>IF(
      LEN(B9)&gt;0,
      CHOOSE(MATCH(RIGHT(D9,1),{"D","W","M"},0),
                        NextBusDay($C$4,LEFT(D9,LEN(D9)-1)),
                        NextBusDay($C$4+7*LEFT(D9,LEN(D9)-1)),
                        NextBusDay(EDATE($C$4,LEFT(D9,LEN(D9)-1)))),
      ""
  )</f>
        <v>42670.378217592595</v>
      </c>
      <c r="F9" s="107" t="str">
        <f t="array" ref="F9:F59">UsdCommonMxSearch</f>
        <v>O/N</v>
      </c>
      <c r="G9" s="106" t="str">
        <f t="array" ref="G9:G59">UsdCommonBucket</f>
        <v>O/N</v>
      </c>
      <c r="H9" s="514" t="str">
        <f t="shared" ref="H9" si="1">IF(
      LEN(F9)&gt;0,
      IF(
          (MID(F9,4,1)=" "),
          G9+0*TYPE("FUTURE Terzo mercoledì del mese calcolato sulla maturity"),
          IF(
               (LEN(F9)=8),
               DATE("20" &amp; RIGHT(F9,2),MID(F9,4,2),LEFT(F9,2))+0*TYPE("STUB"),
               SimplifyTenor(F9)
          )
      ),
      ""
   )</f>
        <v>1D</v>
      </c>
      <c r="I9" s="261" t="str">
        <f t="array" ref="I9:I59">UsdCommon_Instrument</f>
        <v>D</v>
      </c>
      <c r="J9" s="514">
        <f>IF(
      LEN(F9)&gt;0,
      IF(I9="S",
          H9,
          IF(I9="F",
              EDATE(H9,3),
              CHOOSE(MATCH(RIGHT(H9,1),{"D","W","M"},0),
                    NextBusDay($C$4,LEFT(H9,LEN(H9)-1)),
                    NextBusDay($C$4+7*LEFT(H9,LEN(H9)-1)),
                    NextBusDay(EDATE($C$4,LEFT(H9,LEN(H9)-1))))
              )
          ),
      ""
)</f>
        <v>42670.378217592595</v>
      </c>
      <c r="L9" s="515">
        <f t="shared" ref="L9:L40" si="2">IF(LEN(F9)&gt;0,SUM(R9:CI9),0)</f>
        <v>0</v>
      </c>
      <c r="N9" s="106" t="str">
        <f t="shared" ref="N9:N70" si="3">IF(AND(LEN(Q10)&gt;0,Q10,NOT(Q9)),J9,IF(OR(Q9,Q8),N8,"-"))</f>
        <v>-</v>
      </c>
      <c r="O9" s="106" t="str">
        <f t="shared" ref="O9:O27" si="4">IF(AND(Q8,NOT(Q9)),J8,IF(OR(Q9,Q10),O10,"-"))</f>
        <v>-</v>
      </c>
      <c r="P9" s="106" t="str">
        <f t="shared" ref="P9:P70" si="5">IF(AND(Q8,NOT(Q9)),J9,IF(OR(Q9,Q10),P10,"-"))</f>
        <v>-</v>
      </c>
      <c r="Q9" s="106" t="b">
        <f t="shared" ref="Q9:Q72" si="6">MID(F9,4,1)=" "</f>
        <v>0</v>
      </c>
      <c r="R9" s="516">
        <f>IF(LEN($F9)&gt;0,IF(AND(R$8=$J9,NOT(AND(R$8&gt;=$N9,R$8&lt;$P9))),R$6,IF(AND(NOT(R$8&gt;$J8),R$8&lt;$J9),"-",IF(AND(R$8&gt;=$N9,R$8&lt;$P9),"???",IF(AND(R$8&gt;$J8,R$8&lt;$J9),R$6*(R$8-$J8)/($J9-$J8),IF(AND(R$8&gt;$J9,R$8&lt;$J10),R$6*($J10-R$8)/($J10-$J9),"-"))))),"-")</f>
        <v>0</v>
      </c>
      <c r="S9" s="516" t="str">
        <f t="shared" ref="S9:CA13" si="7">IF(LEN($F9)&gt;0,IF(AND(S$8=$J9,NOT(AND(S$8&gt;=$N9,S$8&lt;$P9))),S$6,IF(AND(NOT(S$8&gt;$J8),S$8&lt;$J9),"-",IF(AND(S$8&gt;=$N9,S$8&lt;$P9),"???",IF(AND(S$8&gt;$J8,S$8&lt;$J9),S$6*(S$8-$J8)/($J9-$J8),IF(AND(S$8&gt;$J9,S$8&lt;$J10),S$6*($J10-S$8)/($J10-$J9),"-"))))),"-")</f>
        <v>-</v>
      </c>
      <c r="T9" s="516" t="str">
        <f t="shared" si="7"/>
        <v>-</v>
      </c>
      <c r="U9" s="516" t="str">
        <f t="shared" si="7"/>
        <v>-</v>
      </c>
      <c r="V9" s="516" t="str">
        <f t="shared" si="7"/>
        <v>-</v>
      </c>
      <c r="W9" s="516" t="str">
        <f t="shared" si="7"/>
        <v>-</v>
      </c>
      <c r="X9" s="516" t="str">
        <f t="shared" si="7"/>
        <v>-</v>
      </c>
      <c r="Y9" s="516" t="str">
        <f t="shared" si="7"/>
        <v>-</v>
      </c>
      <c r="Z9" s="516" t="str">
        <f t="shared" si="7"/>
        <v>-</v>
      </c>
      <c r="AA9" s="516" t="str">
        <f t="shared" si="7"/>
        <v>-</v>
      </c>
      <c r="AB9" s="516" t="str">
        <f t="shared" si="7"/>
        <v>-</v>
      </c>
      <c r="AC9" s="516" t="str">
        <f t="shared" si="7"/>
        <v>-</v>
      </c>
      <c r="AD9" s="516" t="str">
        <f t="shared" si="7"/>
        <v>-</v>
      </c>
      <c r="AE9" s="516" t="str">
        <f t="shared" si="7"/>
        <v>-</v>
      </c>
      <c r="AF9" s="516" t="str">
        <f t="shared" si="7"/>
        <v>-</v>
      </c>
      <c r="AG9" s="516" t="str">
        <f t="shared" si="7"/>
        <v>-</v>
      </c>
      <c r="AH9" s="516" t="str">
        <f t="shared" si="7"/>
        <v>-</v>
      </c>
      <c r="AI9" s="516" t="str">
        <f t="shared" si="7"/>
        <v>-</v>
      </c>
      <c r="AJ9" s="516" t="str">
        <f t="shared" si="7"/>
        <v>-</v>
      </c>
      <c r="AK9" s="516" t="str">
        <f t="shared" si="7"/>
        <v>-</v>
      </c>
      <c r="AL9" s="516" t="str">
        <f t="shared" si="7"/>
        <v>-</v>
      </c>
      <c r="AM9" s="516" t="str">
        <f t="shared" si="7"/>
        <v>-</v>
      </c>
      <c r="AN9" s="516" t="str">
        <f t="shared" si="7"/>
        <v>-</v>
      </c>
      <c r="AO9" s="516" t="str">
        <f t="shared" si="7"/>
        <v>-</v>
      </c>
      <c r="AP9" s="516" t="str">
        <f t="shared" si="7"/>
        <v>-</v>
      </c>
      <c r="AQ9" s="516" t="str">
        <f t="shared" si="7"/>
        <v>-</v>
      </c>
      <c r="AR9" s="516" t="str">
        <f t="shared" si="7"/>
        <v>-</v>
      </c>
      <c r="AS9" s="516" t="str">
        <f t="shared" si="7"/>
        <v>-</v>
      </c>
      <c r="AT9" s="516" t="str">
        <f t="shared" si="7"/>
        <v>-</v>
      </c>
      <c r="AU9" s="516" t="str">
        <f t="shared" si="7"/>
        <v>-</v>
      </c>
      <c r="AV9" s="516" t="str">
        <f t="shared" si="7"/>
        <v>-</v>
      </c>
      <c r="AW9" s="516" t="str">
        <f t="shared" si="7"/>
        <v>-</v>
      </c>
      <c r="AX9" s="516" t="str">
        <f t="shared" si="7"/>
        <v>-</v>
      </c>
      <c r="AY9" s="516" t="str">
        <f t="shared" si="7"/>
        <v>-</v>
      </c>
      <c r="AZ9" s="516" t="str">
        <f t="shared" si="7"/>
        <v>-</v>
      </c>
      <c r="BA9" s="516" t="str">
        <f t="shared" si="7"/>
        <v>-</v>
      </c>
      <c r="BB9" s="516" t="str">
        <f t="shared" si="7"/>
        <v>-</v>
      </c>
      <c r="BC9" s="516" t="str">
        <f t="shared" si="7"/>
        <v>-</v>
      </c>
      <c r="BD9" s="516" t="str">
        <f t="shared" si="7"/>
        <v>-</v>
      </c>
      <c r="BE9" s="516" t="str">
        <f t="shared" si="7"/>
        <v>-</v>
      </c>
      <c r="BF9" s="516" t="str">
        <f t="shared" si="7"/>
        <v>-</v>
      </c>
      <c r="BG9" s="516" t="str">
        <f t="shared" si="7"/>
        <v>-</v>
      </c>
      <c r="BH9" s="516" t="str">
        <f t="shared" si="7"/>
        <v>-</v>
      </c>
      <c r="BI9" s="516" t="str">
        <f t="shared" si="7"/>
        <v>-</v>
      </c>
      <c r="BJ9" s="516" t="str">
        <f t="shared" si="7"/>
        <v>-</v>
      </c>
      <c r="BK9" s="516" t="str">
        <f t="shared" si="7"/>
        <v>-</v>
      </c>
      <c r="BL9" s="516" t="str">
        <f t="shared" si="7"/>
        <v>-</v>
      </c>
      <c r="BM9" s="516" t="str">
        <f t="shared" si="7"/>
        <v>-</v>
      </c>
      <c r="BN9" s="516" t="str">
        <f t="shared" si="7"/>
        <v>-</v>
      </c>
      <c r="BO9" s="516" t="str">
        <f t="shared" si="7"/>
        <v>-</v>
      </c>
      <c r="BP9" s="516" t="str">
        <f t="shared" si="7"/>
        <v>-</v>
      </c>
      <c r="BQ9" s="516" t="str">
        <f t="shared" si="7"/>
        <v>-</v>
      </c>
      <c r="BR9" s="516" t="str">
        <f t="shared" si="7"/>
        <v>-</v>
      </c>
      <c r="BS9" s="516" t="str">
        <f t="shared" si="7"/>
        <v>-</v>
      </c>
      <c r="BT9" s="516" t="str">
        <f t="shared" si="7"/>
        <v>-</v>
      </c>
      <c r="BU9" s="516" t="str">
        <f t="shared" si="7"/>
        <v>-</v>
      </c>
      <c r="BV9" s="516" t="str">
        <f t="shared" si="7"/>
        <v>-</v>
      </c>
      <c r="BW9" s="516" t="str">
        <f t="shared" si="7"/>
        <v>-</v>
      </c>
      <c r="BX9" s="516" t="str">
        <f t="shared" si="7"/>
        <v>-</v>
      </c>
      <c r="BY9" s="516" t="str">
        <f t="shared" si="7"/>
        <v>-</v>
      </c>
      <c r="BZ9" s="516" t="str">
        <f t="shared" si="7"/>
        <v>-</v>
      </c>
      <c r="CA9" s="516" t="str">
        <f t="shared" si="7"/>
        <v>-</v>
      </c>
    </row>
    <row r="10" spans="1:79">
      <c r="A10" s="105">
        <v>2</v>
      </c>
      <c r="B10" s="112" t="str">
        <v>T/N</v>
      </c>
      <c r="C10" s="512">
        <f>'usd disaggregated'!AO18</f>
        <v>0</v>
      </c>
      <c r="D10" s="111" t="str">
        <f t="shared" ref="D10:D70" si="8">IF(LEN(B10)&gt;0,SimplifyTenor(B10),"")</f>
        <v>2D</v>
      </c>
      <c r="E10" s="517">
        <f>IF(LEN(B10)&gt;0,CHOOSE(MATCH(RIGHT(D10,1),{"D","W","M"},0),NextBusDay($C$4,LEFT(D10,LEN(D10)-1)),NextBusDay($C$4+7*LEFT(D10,LEN(D10)-1)),NextBusDay(EDATE($C$4,LEFT(D10,LEN(D10)-1)))),"")</f>
        <v>42671.378217592595</v>
      </c>
      <c r="F10" s="107" t="str">
        <v>T/N</v>
      </c>
      <c r="G10" s="106" t="str">
        <v>T/N</v>
      </c>
      <c r="H10" s="106" t="str">
        <f t="shared" ref="H10:H41" si="9">IF(LEN(F10)&gt;0,IF((MID(F10,4,1)=" "),G10,IF((LEN(F10)=8),DATE("20" &amp; RIGHT(F10,2),MID(F10,4,2),LEFT(F10,2)),SimplifyTenor(F10))),"")</f>
        <v>2D</v>
      </c>
      <c r="I10" s="261" t="str">
        <v>D</v>
      </c>
      <c r="J10" s="106">
        <f>IF(LEN(F10)&gt;0,IF(I10="S",H10,IF(I10="F",EDATE(H10,3),CHOOSE(MATCH(RIGHT(H10,1),{"D","W","M"},0),NextBusDay($C$4,LEFT(H10,LEN(H10)-1)),NextBusDay($C$4+7*LEFT(H10,LEN(H10)-1)),NextBusDay(EDATE($C$4,LEFT(H10,LEN(H10)-1)))))),"")</f>
        <v>42671.378217592595</v>
      </c>
      <c r="L10" s="515">
        <f t="shared" si="2"/>
        <v>0</v>
      </c>
      <c r="N10" s="106" t="str">
        <f t="shared" si="3"/>
        <v>-</v>
      </c>
      <c r="O10" s="106" t="str">
        <f t="shared" si="4"/>
        <v>-</v>
      </c>
      <c r="P10" s="106" t="str">
        <f t="shared" si="5"/>
        <v>-</v>
      </c>
      <c r="Q10" s="106" t="b">
        <f t="shared" si="6"/>
        <v>0</v>
      </c>
      <c r="R10" s="516" t="str">
        <f>IF(LEN($F10)&gt;0,IF(AND(R$8=$J10,NOT(AND(R$8&gt;=$N10,R$8&lt;$P10))),R$6,IF(AND(NOT(R$8&gt;$J9),R$8&lt;$J10),"-",IF(AND(R$8&gt;=$N10,R$8&lt;$P10),"???",IF(AND(R$8&gt;$J9,R$8&lt;$J10),R$6*(R$8-$J9)/($J10-$J9),IF(AND(R$8&gt;$J10,R$8&lt;$J11),R$6*($J11-R$8)/($J11-$J10),"-"))))),"-")</f>
        <v>-</v>
      </c>
      <c r="S10" s="516">
        <f t="shared" si="7"/>
        <v>0</v>
      </c>
      <c r="T10" s="516" t="str">
        <f t="shared" si="7"/>
        <v>-</v>
      </c>
      <c r="U10" s="516" t="str">
        <f t="shared" si="7"/>
        <v>-</v>
      </c>
      <c r="V10" s="516" t="str">
        <f t="shared" si="7"/>
        <v>-</v>
      </c>
      <c r="W10" s="516" t="str">
        <f t="shared" si="7"/>
        <v>-</v>
      </c>
      <c r="X10" s="516" t="str">
        <f t="shared" si="7"/>
        <v>-</v>
      </c>
      <c r="Y10" s="516" t="str">
        <f t="shared" si="7"/>
        <v>-</v>
      </c>
      <c r="Z10" s="516" t="str">
        <f t="shared" si="7"/>
        <v>-</v>
      </c>
      <c r="AA10" s="516" t="str">
        <f t="shared" si="7"/>
        <v>-</v>
      </c>
      <c r="AB10" s="516" t="str">
        <f t="shared" si="7"/>
        <v>-</v>
      </c>
      <c r="AC10" s="516" t="str">
        <f t="shared" si="7"/>
        <v>-</v>
      </c>
      <c r="AD10" s="516" t="str">
        <f t="shared" si="7"/>
        <v>-</v>
      </c>
      <c r="AE10" s="516" t="str">
        <f t="shared" si="7"/>
        <v>-</v>
      </c>
      <c r="AF10" s="516" t="str">
        <f t="shared" si="7"/>
        <v>-</v>
      </c>
      <c r="AG10" s="516" t="str">
        <f t="shared" si="7"/>
        <v>-</v>
      </c>
      <c r="AH10" s="516" t="str">
        <f t="shared" si="7"/>
        <v>-</v>
      </c>
      <c r="AI10" s="516" t="str">
        <f t="shared" si="7"/>
        <v>-</v>
      </c>
      <c r="AJ10" s="516" t="str">
        <f t="shared" si="7"/>
        <v>-</v>
      </c>
      <c r="AK10" s="516" t="str">
        <f t="shared" si="7"/>
        <v>-</v>
      </c>
      <c r="AL10" s="516" t="str">
        <f t="shared" si="7"/>
        <v>-</v>
      </c>
      <c r="AM10" s="516" t="str">
        <f t="shared" si="7"/>
        <v>-</v>
      </c>
      <c r="AN10" s="516" t="str">
        <f t="shared" si="7"/>
        <v>-</v>
      </c>
      <c r="AO10" s="516" t="str">
        <f t="shared" si="7"/>
        <v>-</v>
      </c>
      <c r="AP10" s="516" t="str">
        <f t="shared" si="7"/>
        <v>-</v>
      </c>
      <c r="AQ10" s="516" t="str">
        <f t="shared" si="7"/>
        <v>-</v>
      </c>
      <c r="AR10" s="516" t="str">
        <f t="shared" si="7"/>
        <v>-</v>
      </c>
      <c r="AS10" s="516" t="str">
        <f t="shared" si="7"/>
        <v>-</v>
      </c>
      <c r="AT10" s="516" t="str">
        <f t="shared" si="7"/>
        <v>-</v>
      </c>
      <c r="AU10" s="516" t="str">
        <f t="shared" si="7"/>
        <v>-</v>
      </c>
      <c r="AV10" s="516" t="str">
        <f t="shared" si="7"/>
        <v>-</v>
      </c>
      <c r="AW10" s="516" t="str">
        <f t="shared" si="7"/>
        <v>-</v>
      </c>
      <c r="AX10" s="516" t="str">
        <f t="shared" si="7"/>
        <v>-</v>
      </c>
      <c r="AY10" s="516" t="str">
        <f t="shared" si="7"/>
        <v>-</v>
      </c>
      <c r="AZ10" s="516" t="str">
        <f t="shared" si="7"/>
        <v>-</v>
      </c>
      <c r="BA10" s="516" t="str">
        <f t="shared" si="7"/>
        <v>-</v>
      </c>
      <c r="BB10" s="516" t="str">
        <f t="shared" si="7"/>
        <v>-</v>
      </c>
      <c r="BC10" s="516" t="str">
        <f t="shared" si="7"/>
        <v>-</v>
      </c>
      <c r="BD10" s="516" t="str">
        <f t="shared" si="7"/>
        <v>-</v>
      </c>
      <c r="BE10" s="516" t="str">
        <f t="shared" si="7"/>
        <v>-</v>
      </c>
      <c r="BF10" s="516" t="str">
        <f t="shared" si="7"/>
        <v>-</v>
      </c>
      <c r="BG10" s="516" t="str">
        <f t="shared" si="7"/>
        <v>-</v>
      </c>
      <c r="BH10" s="516" t="str">
        <f t="shared" si="7"/>
        <v>-</v>
      </c>
      <c r="BI10" s="516" t="str">
        <f t="shared" si="7"/>
        <v>-</v>
      </c>
      <c r="BJ10" s="516" t="str">
        <f t="shared" si="7"/>
        <v>-</v>
      </c>
      <c r="BK10" s="516" t="str">
        <f t="shared" si="7"/>
        <v>-</v>
      </c>
      <c r="BL10" s="516" t="str">
        <f t="shared" si="7"/>
        <v>-</v>
      </c>
      <c r="BM10" s="516" t="str">
        <f t="shared" si="7"/>
        <v>-</v>
      </c>
      <c r="BN10" s="516" t="str">
        <f t="shared" si="7"/>
        <v>-</v>
      </c>
      <c r="BO10" s="516" t="str">
        <f t="shared" si="7"/>
        <v>-</v>
      </c>
      <c r="BP10" s="516" t="str">
        <f t="shared" si="7"/>
        <v>-</v>
      </c>
      <c r="BQ10" s="516" t="str">
        <f t="shared" si="7"/>
        <v>-</v>
      </c>
      <c r="BR10" s="516" t="str">
        <f t="shared" si="7"/>
        <v>-</v>
      </c>
      <c r="BS10" s="516" t="str">
        <f t="shared" si="7"/>
        <v>-</v>
      </c>
      <c r="BT10" s="516" t="str">
        <f t="shared" si="7"/>
        <v>-</v>
      </c>
      <c r="BU10" s="516" t="str">
        <f t="shared" si="7"/>
        <v>-</v>
      </c>
      <c r="BV10" s="516" t="str">
        <f t="shared" si="7"/>
        <v>-</v>
      </c>
      <c r="BW10" s="516" t="str">
        <f t="shared" si="7"/>
        <v>-</v>
      </c>
      <c r="BX10" s="516" t="str">
        <f t="shared" si="7"/>
        <v>-</v>
      </c>
      <c r="BY10" s="516" t="str">
        <f t="shared" si="7"/>
        <v>-</v>
      </c>
      <c r="BZ10" s="516" t="str">
        <f t="shared" si="7"/>
        <v>-</v>
      </c>
      <c r="CA10" s="516" t="str">
        <f t="shared" si="7"/>
        <v>-</v>
      </c>
    </row>
    <row r="11" spans="1:79">
      <c r="A11" s="105">
        <v>3</v>
      </c>
      <c r="B11" s="112" t="str">
        <v>S/N</v>
      </c>
      <c r="C11" s="512">
        <f>'usd disaggregated'!AO19</f>
        <v>0</v>
      </c>
      <c r="D11" s="111" t="str">
        <f t="shared" si="8"/>
        <v>3D</v>
      </c>
      <c r="E11" s="517">
        <f>IF(LEN(B11)&gt;0,CHOOSE(MATCH(RIGHT(D11,1),{"D","W","M"},0),NextBusDay($C$4,LEFT(D11,LEN(D11)-1)),NextBusDay($C$4+7*LEFT(D11,LEN(D11)-1)),NextBusDay(EDATE($C$4,LEFT(D11,LEN(D11)-1)))),"")</f>
        <v>42674.378217592595</v>
      </c>
      <c r="F11" s="107" t="str">
        <v>S/N</v>
      </c>
      <c r="G11" s="106" t="str">
        <v>S/N</v>
      </c>
      <c r="H11" s="106" t="str">
        <f t="shared" si="9"/>
        <v>3D</v>
      </c>
      <c r="I11" s="261" t="str">
        <v>D</v>
      </c>
      <c r="J11" s="106">
        <f>IF(LEN(F11)&gt;0,IF(I11="S",H11,IF(I11="F",EDATE(H11,3),CHOOSE(MATCH(RIGHT(H11,1),{"D","W","M"},0),NextBusDay($C$4,LEFT(H11,LEN(H11)-1)),NextBusDay($C$4+7*LEFT(H11,LEN(H11)-1)),NextBusDay(EDATE($C$4,LEFT(H11,LEN(H11)-1)))))),"")</f>
        <v>42674.378217592595</v>
      </c>
      <c r="L11" s="515">
        <f t="shared" si="2"/>
        <v>0</v>
      </c>
      <c r="N11" s="106" t="str">
        <f t="shared" si="3"/>
        <v>-</v>
      </c>
      <c r="O11" s="106" t="str">
        <f t="shared" si="4"/>
        <v>-</v>
      </c>
      <c r="P11" s="106" t="str">
        <f t="shared" si="5"/>
        <v>-</v>
      </c>
      <c r="Q11" s="106" t="b">
        <f t="shared" si="6"/>
        <v>0</v>
      </c>
      <c r="R11" s="516" t="str">
        <f t="shared" ref="R11:AG19" si="10">IF(LEN($F11)&gt;0,IF(AND(R$8=$J11,NOT(AND(R$8&gt;=$N11,R$8&lt;$P11))),R$6,IF(AND(NOT(R$8&gt;$J10),R$8&lt;$J11),"-",IF(AND(R$8&gt;=$N11,R$8&lt;$P11),"???",IF(AND(R$8&gt;$J10,R$8&lt;$J11),R$6*(R$8-$J10)/($J11-$J10),IF(AND(R$8&gt;$J11,R$8&lt;$J12),R$6*($J12-R$8)/($J12-$J11),"-"))))),"-")</f>
        <v>-</v>
      </c>
      <c r="S11" s="516" t="str">
        <f t="shared" si="7"/>
        <v>-</v>
      </c>
      <c r="T11" s="516">
        <f t="shared" si="7"/>
        <v>0</v>
      </c>
      <c r="U11" s="516" t="str">
        <f t="shared" si="7"/>
        <v>-</v>
      </c>
      <c r="V11" s="516" t="str">
        <f t="shared" si="7"/>
        <v>-</v>
      </c>
      <c r="W11" s="516" t="str">
        <f t="shared" si="7"/>
        <v>-</v>
      </c>
      <c r="X11" s="516" t="str">
        <f t="shared" si="7"/>
        <v>-</v>
      </c>
      <c r="Y11" s="516" t="str">
        <f t="shared" si="7"/>
        <v>-</v>
      </c>
      <c r="Z11" s="516" t="str">
        <f t="shared" si="7"/>
        <v>-</v>
      </c>
      <c r="AA11" s="516" t="str">
        <f t="shared" si="7"/>
        <v>-</v>
      </c>
      <c r="AB11" s="516" t="str">
        <f t="shared" si="7"/>
        <v>-</v>
      </c>
      <c r="AC11" s="516" t="str">
        <f t="shared" si="7"/>
        <v>-</v>
      </c>
      <c r="AD11" s="516" t="str">
        <f t="shared" si="7"/>
        <v>-</v>
      </c>
      <c r="AE11" s="516" t="str">
        <f t="shared" si="7"/>
        <v>-</v>
      </c>
      <c r="AF11" s="516" t="str">
        <f t="shared" si="7"/>
        <v>-</v>
      </c>
      <c r="AG11" s="516" t="str">
        <f t="shared" si="7"/>
        <v>-</v>
      </c>
      <c r="AH11" s="516" t="str">
        <f t="shared" si="7"/>
        <v>-</v>
      </c>
      <c r="AI11" s="516" t="str">
        <f t="shared" si="7"/>
        <v>-</v>
      </c>
      <c r="AJ11" s="516" t="str">
        <f t="shared" si="7"/>
        <v>-</v>
      </c>
      <c r="AK11" s="516" t="str">
        <f t="shared" si="7"/>
        <v>-</v>
      </c>
      <c r="AL11" s="516" t="str">
        <f t="shared" si="7"/>
        <v>-</v>
      </c>
      <c r="AM11" s="516" t="str">
        <f t="shared" si="7"/>
        <v>-</v>
      </c>
      <c r="AN11" s="516" t="str">
        <f t="shared" si="7"/>
        <v>-</v>
      </c>
      <c r="AO11" s="516" t="str">
        <f t="shared" si="7"/>
        <v>-</v>
      </c>
      <c r="AP11" s="516" t="str">
        <f t="shared" si="7"/>
        <v>-</v>
      </c>
      <c r="AQ11" s="516" t="str">
        <f t="shared" si="7"/>
        <v>-</v>
      </c>
      <c r="AR11" s="516" t="str">
        <f t="shared" si="7"/>
        <v>-</v>
      </c>
      <c r="AS11" s="516" t="str">
        <f t="shared" si="7"/>
        <v>-</v>
      </c>
      <c r="AT11" s="516" t="str">
        <f t="shared" si="7"/>
        <v>-</v>
      </c>
      <c r="AU11" s="516" t="str">
        <f t="shared" si="7"/>
        <v>-</v>
      </c>
      <c r="AV11" s="516" t="str">
        <f t="shared" si="7"/>
        <v>-</v>
      </c>
      <c r="AW11" s="516" t="str">
        <f t="shared" si="7"/>
        <v>-</v>
      </c>
      <c r="AX11" s="516" t="str">
        <f t="shared" si="7"/>
        <v>-</v>
      </c>
      <c r="AY11" s="516" t="str">
        <f t="shared" si="7"/>
        <v>-</v>
      </c>
      <c r="AZ11" s="516" t="str">
        <f t="shared" si="7"/>
        <v>-</v>
      </c>
      <c r="BA11" s="516" t="str">
        <f t="shared" si="7"/>
        <v>-</v>
      </c>
      <c r="BB11" s="516" t="str">
        <f t="shared" si="7"/>
        <v>-</v>
      </c>
      <c r="BC11" s="516" t="str">
        <f t="shared" si="7"/>
        <v>-</v>
      </c>
      <c r="BD11" s="516" t="str">
        <f t="shared" si="7"/>
        <v>-</v>
      </c>
      <c r="BE11" s="516" t="str">
        <f t="shared" si="7"/>
        <v>-</v>
      </c>
      <c r="BF11" s="516" t="str">
        <f t="shared" si="7"/>
        <v>-</v>
      </c>
      <c r="BG11" s="516" t="str">
        <f t="shared" si="7"/>
        <v>-</v>
      </c>
      <c r="BH11" s="516" t="str">
        <f t="shared" si="7"/>
        <v>-</v>
      </c>
      <c r="BI11" s="516" t="str">
        <f t="shared" si="7"/>
        <v>-</v>
      </c>
      <c r="BJ11" s="516" t="str">
        <f t="shared" si="7"/>
        <v>-</v>
      </c>
      <c r="BK11" s="516" t="str">
        <f t="shared" si="7"/>
        <v>-</v>
      </c>
      <c r="BL11" s="516" t="str">
        <f t="shared" si="7"/>
        <v>-</v>
      </c>
      <c r="BM11" s="516" t="str">
        <f t="shared" si="7"/>
        <v>-</v>
      </c>
      <c r="BN11" s="516" t="str">
        <f t="shared" si="7"/>
        <v>-</v>
      </c>
      <c r="BO11" s="516" t="str">
        <f t="shared" si="7"/>
        <v>-</v>
      </c>
      <c r="BP11" s="516" t="str">
        <f t="shared" si="7"/>
        <v>-</v>
      </c>
      <c r="BQ11" s="516" t="str">
        <f t="shared" si="7"/>
        <v>-</v>
      </c>
      <c r="BR11" s="516" t="str">
        <f t="shared" si="7"/>
        <v>-</v>
      </c>
      <c r="BS11" s="516" t="str">
        <f t="shared" si="7"/>
        <v>-</v>
      </c>
      <c r="BT11" s="516" t="str">
        <f t="shared" si="7"/>
        <v>-</v>
      </c>
      <c r="BU11" s="516" t="str">
        <f t="shared" si="7"/>
        <v>-</v>
      </c>
      <c r="BV11" s="516" t="str">
        <f t="shared" si="7"/>
        <v>-</v>
      </c>
      <c r="BW11" s="516" t="str">
        <f t="shared" si="7"/>
        <v>-</v>
      </c>
      <c r="BX11" s="516" t="str">
        <f t="shared" si="7"/>
        <v>-</v>
      </c>
      <c r="BY11" s="516" t="str">
        <f t="shared" si="7"/>
        <v>-</v>
      </c>
      <c r="BZ11" s="516" t="str">
        <f t="shared" si="7"/>
        <v>-</v>
      </c>
      <c r="CA11" s="516" t="str">
        <f t="shared" si="7"/>
        <v>-</v>
      </c>
    </row>
    <row r="12" spans="1:79">
      <c r="A12" s="105">
        <v>4</v>
      </c>
      <c r="B12" s="112" t="str">
        <v>1W</v>
      </c>
      <c r="C12" s="512">
        <f>'usd disaggregated'!AO20</f>
        <v>-177.45825655531547</v>
      </c>
      <c r="D12" s="111" t="str">
        <f t="shared" si="8"/>
        <v>1W</v>
      </c>
      <c r="E12" s="517">
        <f>IF(LEN(B12)&gt;0,CHOOSE(MATCH(RIGHT(D12,1),{"D","W","M"},0),NextBusDay($C$4,LEFT(D12,LEN(D12)-1)),NextBusDay($C$4+7*LEFT(D12,LEN(D12)-1)),NextBusDay(EDATE($C$4,LEFT(D12,LEN(D12)-1)))),"")</f>
        <v>42676.378217592595</v>
      </c>
      <c r="F12" s="107" t="str">
        <v>1W</v>
      </c>
      <c r="G12" s="106" t="str">
        <v>1W</v>
      </c>
      <c r="H12" s="106" t="str">
        <f t="shared" si="9"/>
        <v>1W</v>
      </c>
      <c r="I12" s="261" t="str">
        <v>D</v>
      </c>
      <c r="J12" s="106">
        <f>IF(LEN(F12)&gt;0,IF(I12="S",H12,IF(I12="F",EDATE(H12,3),CHOOSE(MATCH(RIGHT(H12,1),{"D","W","M"},0),NextBusDay($C$4,LEFT(H12,LEN(H12)-1)),NextBusDay($C$4+7*LEFT(H12,LEN(H12)-1)),NextBusDay(EDATE($C$4,LEFT(H12,LEN(H12)-1)))))),"")</f>
        <v>42676.378217592595</v>
      </c>
      <c r="L12" s="515">
        <f t="shared" si="2"/>
        <v>-177.45825655531547</v>
      </c>
      <c r="N12" s="106" t="str">
        <f t="shared" si="3"/>
        <v>-</v>
      </c>
      <c r="O12" s="106" t="str">
        <f t="shared" si="4"/>
        <v>-</v>
      </c>
      <c r="P12" s="106" t="str">
        <f t="shared" si="5"/>
        <v>-</v>
      </c>
      <c r="Q12" s="106" t="b">
        <f t="shared" si="6"/>
        <v>0</v>
      </c>
      <c r="R12" s="516" t="str">
        <f t="shared" si="10"/>
        <v>-</v>
      </c>
      <c r="S12" s="516" t="str">
        <f t="shared" si="7"/>
        <v>-</v>
      </c>
      <c r="T12" s="516" t="str">
        <f t="shared" si="7"/>
        <v>-</v>
      </c>
      <c r="U12" s="516">
        <f t="shared" si="7"/>
        <v>-177.45825655531547</v>
      </c>
      <c r="V12" s="516" t="str">
        <f t="shared" si="7"/>
        <v>-</v>
      </c>
      <c r="W12" s="516" t="str">
        <f t="shared" si="7"/>
        <v>-</v>
      </c>
      <c r="X12" s="516" t="str">
        <f t="shared" si="7"/>
        <v>-</v>
      </c>
      <c r="Y12" s="516" t="str">
        <f t="shared" si="7"/>
        <v>-</v>
      </c>
      <c r="Z12" s="516" t="str">
        <f t="shared" si="7"/>
        <v>-</v>
      </c>
      <c r="AA12" s="516" t="str">
        <f t="shared" si="7"/>
        <v>-</v>
      </c>
      <c r="AB12" s="516" t="str">
        <f t="shared" si="7"/>
        <v>-</v>
      </c>
      <c r="AC12" s="516" t="str">
        <f t="shared" si="7"/>
        <v>-</v>
      </c>
      <c r="AD12" s="516" t="str">
        <f t="shared" si="7"/>
        <v>-</v>
      </c>
      <c r="AE12" s="516" t="str">
        <f t="shared" si="7"/>
        <v>-</v>
      </c>
      <c r="AF12" s="516" t="str">
        <f t="shared" si="7"/>
        <v>-</v>
      </c>
      <c r="AG12" s="516" t="str">
        <f t="shared" si="7"/>
        <v>-</v>
      </c>
      <c r="AH12" s="516" t="str">
        <f t="shared" si="7"/>
        <v>-</v>
      </c>
      <c r="AI12" s="516" t="str">
        <f t="shared" si="7"/>
        <v>-</v>
      </c>
      <c r="AJ12" s="516" t="str">
        <f t="shared" si="7"/>
        <v>-</v>
      </c>
      <c r="AK12" s="516" t="str">
        <f t="shared" si="7"/>
        <v>-</v>
      </c>
      <c r="AL12" s="516" t="str">
        <f t="shared" si="7"/>
        <v>-</v>
      </c>
      <c r="AM12" s="516" t="str">
        <f t="shared" si="7"/>
        <v>-</v>
      </c>
      <c r="AN12" s="516" t="str">
        <f t="shared" si="7"/>
        <v>-</v>
      </c>
      <c r="AO12" s="516" t="str">
        <f t="shared" si="7"/>
        <v>-</v>
      </c>
      <c r="AP12" s="516" t="str">
        <f t="shared" si="7"/>
        <v>-</v>
      </c>
      <c r="AQ12" s="516" t="str">
        <f t="shared" si="7"/>
        <v>-</v>
      </c>
      <c r="AR12" s="516" t="str">
        <f t="shared" si="7"/>
        <v>-</v>
      </c>
      <c r="AS12" s="516" t="str">
        <f t="shared" si="7"/>
        <v>-</v>
      </c>
      <c r="AT12" s="516" t="str">
        <f t="shared" si="7"/>
        <v>-</v>
      </c>
      <c r="AU12" s="516" t="str">
        <f t="shared" si="7"/>
        <v>-</v>
      </c>
      <c r="AV12" s="516" t="str">
        <f t="shared" si="7"/>
        <v>-</v>
      </c>
      <c r="AW12" s="516" t="str">
        <f t="shared" si="7"/>
        <v>-</v>
      </c>
      <c r="AX12" s="516" t="str">
        <f t="shared" si="7"/>
        <v>-</v>
      </c>
      <c r="AY12" s="516" t="str">
        <f t="shared" si="7"/>
        <v>-</v>
      </c>
      <c r="AZ12" s="516" t="str">
        <f t="shared" si="7"/>
        <v>-</v>
      </c>
      <c r="BA12" s="516" t="str">
        <f t="shared" si="7"/>
        <v>-</v>
      </c>
      <c r="BB12" s="516" t="str">
        <f t="shared" si="7"/>
        <v>-</v>
      </c>
      <c r="BC12" s="516" t="str">
        <f t="shared" si="7"/>
        <v>-</v>
      </c>
      <c r="BD12" s="516" t="str">
        <f t="shared" si="7"/>
        <v>-</v>
      </c>
      <c r="BE12" s="516" t="str">
        <f t="shared" si="7"/>
        <v>-</v>
      </c>
      <c r="BF12" s="516" t="str">
        <f t="shared" si="7"/>
        <v>-</v>
      </c>
      <c r="BG12" s="516" t="str">
        <f t="shared" si="7"/>
        <v>-</v>
      </c>
      <c r="BH12" s="516" t="str">
        <f t="shared" si="7"/>
        <v>-</v>
      </c>
      <c r="BI12" s="516" t="str">
        <f t="shared" si="7"/>
        <v>-</v>
      </c>
      <c r="BJ12" s="516" t="str">
        <f t="shared" si="7"/>
        <v>-</v>
      </c>
      <c r="BK12" s="516" t="str">
        <f t="shared" si="7"/>
        <v>-</v>
      </c>
      <c r="BL12" s="516" t="str">
        <f t="shared" si="7"/>
        <v>-</v>
      </c>
      <c r="BM12" s="516" t="str">
        <f t="shared" si="7"/>
        <v>-</v>
      </c>
      <c r="BN12" s="516" t="str">
        <f t="shared" si="7"/>
        <v>-</v>
      </c>
      <c r="BO12" s="516" t="str">
        <f t="shared" si="7"/>
        <v>-</v>
      </c>
      <c r="BP12" s="516" t="str">
        <f t="shared" si="7"/>
        <v>-</v>
      </c>
      <c r="BQ12" s="516" t="str">
        <f t="shared" si="7"/>
        <v>-</v>
      </c>
      <c r="BR12" s="516" t="str">
        <f t="shared" si="7"/>
        <v>-</v>
      </c>
      <c r="BS12" s="516" t="str">
        <f t="shared" si="7"/>
        <v>-</v>
      </c>
      <c r="BT12" s="516" t="str">
        <f t="shared" si="7"/>
        <v>-</v>
      </c>
      <c r="BU12" s="516" t="str">
        <f t="shared" si="7"/>
        <v>-</v>
      </c>
      <c r="BV12" s="516" t="str">
        <f t="shared" si="7"/>
        <v>-</v>
      </c>
      <c r="BW12" s="516" t="str">
        <f t="shared" si="7"/>
        <v>-</v>
      </c>
      <c r="BX12" s="516" t="str">
        <f t="shared" si="7"/>
        <v>-</v>
      </c>
      <c r="BY12" s="516" t="str">
        <f t="shared" si="7"/>
        <v>-</v>
      </c>
      <c r="BZ12" s="516" t="str">
        <f t="shared" si="7"/>
        <v>-</v>
      </c>
      <c r="CA12" s="516" t="str">
        <f t="shared" si="7"/>
        <v>-</v>
      </c>
    </row>
    <row r="13" spans="1:79">
      <c r="A13" s="105">
        <v>5</v>
      </c>
      <c r="B13" s="112" t="str">
        <v>2W</v>
      </c>
      <c r="C13" s="512">
        <f>'usd disaggregated'!AO21</f>
        <v>-14.277819415007434</v>
      </c>
      <c r="D13" s="111" t="str">
        <f t="shared" si="8"/>
        <v>2W</v>
      </c>
      <c r="E13" s="517">
        <f>IF(LEN(B13)&gt;0,CHOOSE(MATCH(RIGHT(D13,1),{"D","W","M"},0),NextBusDay($C$4,LEFT(D13,LEN(D13)-1)),NextBusDay($C$4+7*LEFT(D13,LEN(D13)-1)),NextBusDay(EDATE($C$4,LEFT(D13,LEN(D13)-1)))),"")</f>
        <v>42683.378217592595</v>
      </c>
      <c r="F13" s="107" t="str">
        <v>2W</v>
      </c>
      <c r="G13" s="106" t="str">
        <v>2W</v>
      </c>
      <c r="H13" s="106" t="str">
        <f t="shared" si="9"/>
        <v>2W</v>
      </c>
      <c r="I13" s="261" t="str">
        <v>D</v>
      </c>
      <c r="J13" s="106">
        <f>IF(LEN(F13)&gt;0,IF(I13="S",H13,IF(I13="F",EDATE(H13,3),CHOOSE(MATCH(RIGHT(H13,1),{"D","W","M"},0),NextBusDay($C$4,LEFT(H13,LEN(H13)-1)),NextBusDay($C$4+7*LEFT(H13,LEN(H13)-1)),NextBusDay(EDATE($C$4,LEFT(H13,LEN(H13)-1)))))),"")</f>
        <v>42683.378217592595</v>
      </c>
      <c r="L13" s="515">
        <f t="shared" si="2"/>
        <v>-14.277819415007434</v>
      </c>
      <c r="N13" s="106" t="str">
        <f t="shared" si="3"/>
        <v>-</v>
      </c>
      <c r="O13" s="106" t="str">
        <f t="shared" si="4"/>
        <v>-</v>
      </c>
      <c r="P13" s="106" t="str">
        <f t="shared" si="5"/>
        <v>-</v>
      </c>
      <c r="Q13" s="106" t="b">
        <f t="shared" si="6"/>
        <v>0</v>
      </c>
      <c r="R13" s="516" t="str">
        <f t="shared" si="10"/>
        <v>-</v>
      </c>
      <c r="S13" s="516" t="str">
        <f t="shared" si="7"/>
        <v>-</v>
      </c>
      <c r="T13" s="516" t="str">
        <f t="shared" si="7"/>
        <v>-</v>
      </c>
      <c r="U13" s="516" t="str">
        <f t="shared" si="7"/>
        <v>-</v>
      </c>
      <c r="V13" s="516">
        <f t="shared" si="7"/>
        <v>-14.277819415007434</v>
      </c>
      <c r="W13" s="516" t="str">
        <f t="shared" si="7"/>
        <v>-</v>
      </c>
      <c r="X13" s="516" t="str">
        <f t="shared" si="7"/>
        <v>-</v>
      </c>
      <c r="Y13" s="516" t="str">
        <f t="shared" si="7"/>
        <v>-</v>
      </c>
      <c r="Z13" s="516" t="str">
        <f t="shared" si="7"/>
        <v>-</v>
      </c>
      <c r="AA13" s="516" t="str">
        <f t="shared" si="7"/>
        <v>-</v>
      </c>
      <c r="AB13" s="516" t="str">
        <f t="shared" si="7"/>
        <v>-</v>
      </c>
      <c r="AC13" s="516" t="str">
        <f t="shared" si="7"/>
        <v>-</v>
      </c>
      <c r="AD13" s="516" t="str">
        <f t="shared" ref="AD13:CA18" si="11">IF(LEN($F13)&gt;0,IF(AND(AD$8=$J13,NOT(AND(AD$8&gt;=$N13,AD$8&lt;$P13))),AD$6,IF(AND(NOT(AD$8&gt;$J12),AD$8&lt;$J13),"-",IF(AND(AD$8&gt;=$N13,AD$8&lt;$P13),"???",IF(AND(AD$8&gt;$J12,AD$8&lt;$J13),AD$6*(AD$8-$J12)/($J13-$J12),IF(AND(AD$8&gt;$J13,AD$8&lt;$J14),AD$6*($J14-AD$8)/($J14-$J13),"-"))))),"-")</f>
        <v>-</v>
      </c>
      <c r="AE13" s="516" t="str">
        <f t="shared" si="11"/>
        <v>-</v>
      </c>
      <c r="AF13" s="516" t="str">
        <f t="shared" si="11"/>
        <v>-</v>
      </c>
      <c r="AG13" s="516" t="str">
        <f t="shared" si="11"/>
        <v>-</v>
      </c>
      <c r="AH13" s="516" t="str">
        <f t="shared" si="11"/>
        <v>-</v>
      </c>
      <c r="AI13" s="516" t="str">
        <f t="shared" si="11"/>
        <v>-</v>
      </c>
      <c r="AJ13" s="516" t="str">
        <f t="shared" si="11"/>
        <v>-</v>
      </c>
      <c r="AK13" s="516" t="str">
        <f t="shared" si="11"/>
        <v>-</v>
      </c>
      <c r="AL13" s="516" t="str">
        <f t="shared" si="11"/>
        <v>-</v>
      </c>
      <c r="AM13" s="516" t="str">
        <f t="shared" si="11"/>
        <v>-</v>
      </c>
      <c r="AN13" s="516" t="str">
        <f t="shared" si="11"/>
        <v>-</v>
      </c>
      <c r="AO13" s="516" t="str">
        <f t="shared" si="11"/>
        <v>-</v>
      </c>
      <c r="AP13" s="516" t="str">
        <f t="shared" si="11"/>
        <v>-</v>
      </c>
      <c r="AQ13" s="516" t="str">
        <f t="shared" si="11"/>
        <v>-</v>
      </c>
      <c r="AR13" s="516" t="str">
        <f t="shared" si="11"/>
        <v>-</v>
      </c>
      <c r="AS13" s="516" t="str">
        <f t="shared" si="11"/>
        <v>-</v>
      </c>
      <c r="AT13" s="516" t="str">
        <f t="shared" si="11"/>
        <v>-</v>
      </c>
      <c r="AU13" s="516" t="str">
        <f t="shared" si="11"/>
        <v>-</v>
      </c>
      <c r="AV13" s="516" t="str">
        <f t="shared" si="11"/>
        <v>-</v>
      </c>
      <c r="AW13" s="516" t="str">
        <f t="shared" si="11"/>
        <v>-</v>
      </c>
      <c r="AX13" s="516" t="str">
        <f t="shared" si="11"/>
        <v>-</v>
      </c>
      <c r="AY13" s="516" t="str">
        <f t="shared" si="11"/>
        <v>-</v>
      </c>
      <c r="AZ13" s="516" t="str">
        <f t="shared" si="11"/>
        <v>-</v>
      </c>
      <c r="BA13" s="516" t="str">
        <f t="shared" si="11"/>
        <v>-</v>
      </c>
      <c r="BB13" s="516" t="str">
        <f t="shared" si="11"/>
        <v>-</v>
      </c>
      <c r="BC13" s="516" t="str">
        <f t="shared" si="11"/>
        <v>-</v>
      </c>
      <c r="BD13" s="516" t="str">
        <f t="shared" si="11"/>
        <v>-</v>
      </c>
      <c r="BE13" s="516" t="str">
        <f t="shared" si="11"/>
        <v>-</v>
      </c>
      <c r="BF13" s="516" t="str">
        <f t="shared" si="11"/>
        <v>-</v>
      </c>
      <c r="BG13" s="516" t="str">
        <f t="shared" si="11"/>
        <v>-</v>
      </c>
      <c r="BH13" s="516" t="str">
        <f t="shared" si="11"/>
        <v>-</v>
      </c>
      <c r="BI13" s="516" t="str">
        <f t="shared" si="11"/>
        <v>-</v>
      </c>
      <c r="BJ13" s="516" t="str">
        <f t="shared" si="11"/>
        <v>-</v>
      </c>
      <c r="BK13" s="516" t="str">
        <f t="shared" si="11"/>
        <v>-</v>
      </c>
      <c r="BL13" s="516" t="str">
        <f t="shared" si="11"/>
        <v>-</v>
      </c>
      <c r="BM13" s="516" t="str">
        <f t="shared" si="11"/>
        <v>-</v>
      </c>
      <c r="BN13" s="516" t="str">
        <f t="shared" si="11"/>
        <v>-</v>
      </c>
      <c r="BO13" s="516" t="str">
        <f t="shared" si="11"/>
        <v>-</v>
      </c>
      <c r="BP13" s="516" t="str">
        <f t="shared" si="11"/>
        <v>-</v>
      </c>
      <c r="BQ13" s="516" t="str">
        <f t="shared" si="11"/>
        <v>-</v>
      </c>
      <c r="BR13" s="516" t="str">
        <f t="shared" si="11"/>
        <v>-</v>
      </c>
      <c r="BS13" s="516" t="str">
        <f t="shared" si="11"/>
        <v>-</v>
      </c>
      <c r="BT13" s="516" t="str">
        <f t="shared" si="11"/>
        <v>-</v>
      </c>
      <c r="BU13" s="516" t="str">
        <f t="shared" si="11"/>
        <v>-</v>
      </c>
      <c r="BV13" s="516" t="str">
        <f t="shared" si="11"/>
        <v>-</v>
      </c>
      <c r="BW13" s="516" t="str">
        <f t="shared" si="11"/>
        <v>-</v>
      </c>
      <c r="BX13" s="516" t="str">
        <f t="shared" si="11"/>
        <v>-</v>
      </c>
      <c r="BY13" s="516" t="str">
        <f t="shared" si="11"/>
        <v>-</v>
      </c>
      <c r="BZ13" s="516" t="str">
        <f t="shared" si="11"/>
        <v>-</v>
      </c>
      <c r="CA13" s="516" t="str">
        <f t="shared" si="11"/>
        <v>-</v>
      </c>
    </row>
    <row r="14" spans="1:79">
      <c r="A14" s="105">
        <v>6</v>
      </c>
      <c r="B14" s="112" t="str">
        <v>3W</v>
      </c>
      <c r="C14" s="512">
        <f>'usd disaggregated'!AO22</f>
        <v>-58.863728512695644</v>
      </c>
      <c r="D14" s="111" t="str">
        <f t="shared" si="8"/>
        <v>3W</v>
      </c>
      <c r="E14" s="517">
        <f>IF(LEN(B14)&gt;0,CHOOSE(MATCH(RIGHT(D14,1),{"D","W","M"},0),NextBusDay($C$4,LEFT(D14,LEN(D14)-1)),NextBusDay($C$4+7*LEFT(D14,LEN(D14)-1)),NextBusDay(EDATE($C$4,LEFT(D14,LEN(D14)-1)))),"")</f>
        <v>42690.378217592595</v>
      </c>
      <c r="F14" s="107" t="str">
        <v>3W</v>
      </c>
      <c r="G14" s="106" t="str">
        <v>3W</v>
      </c>
      <c r="H14" s="106" t="str">
        <f t="shared" si="9"/>
        <v>3W</v>
      </c>
      <c r="I14" s="261" t="str">
        <v>D</v>
      </c>
      <c r="J14" s="106">
        <f>IF(LEN(F14)&gt;0,IF(I14="S",H14,IF(I14="F",EDATE(H14,3),CHOOSE(MATCH(RIGHT(H14,1),{"D","W","M"},0),NextBusDay($C$4,LEFT(H14,LEN(H14)-1)),NextBusDay($C$4+7*LEFT(H14,LEN(H14)-1)),NextBusDay(EDATE($C$4,LEFT(H14,LEN(H14)-1)))))),"")</f>
        <v>42690.378217592595</v>
      </c>
      <c r="L14" s="515">
        <f t="shared" si="2"/>
        <v>-58.863728512695644</v>
      </c>
      <c r="N14" s="106" t="str">
        <f t="shared" si="3"/>
        <v>-</v>
      </c>
      <c r="O14" s="106" t="str">
        <f t="shared" si="4"/>
        <v>-</v>
      </c>
      <c r="P14" s="106" t="str">
        <f t="shared" si="5"/>
        <v>-</v>
      </c>
      <c r="Q14" s="106" t="b">
        <f t="shared" si="6"/>
        <v>0</v>
      </c>
      <c r="R14" s="516" t="str">
        <f t="shared" si="10"/>
        <v>-</v>
      </c>
      <c r="S14" s="516" t="str">
        <f t="shared" si="10"/>
        <v>-</v>
      </c>
      <c r="T14" s="516" t="str">
        <f t="shared" si="10"/>
        <v>-</v>
      </c>
      <c r="U14" s="516" t="str">
        <f t="shared" si="10"/>
        <v>-</v>
      </c>
      <c r="V14" s="516" t="str">
        <f t="shared" si="10"/>
        <v>-</v>
      </c>
      <c r="W14" s="516">
        <f t="shared" si="10"/>
        <v>-58.863728512695644</v>
      </c>
      <c r="X14" s="516" t="str">
        <f t="shared" si="10"/>
        <v>-</v>
      </c>
      <c r="Y14" s="516" t="str">
        <f t="shared" si="10"/>
        <v>-</v>
      </c>
      <c r="Z14" s="516" t="str">
        <f t="shared" si="10"/>
        <v>-</v>
      </c>
      <c r="AA14" s="516" t="str">
        <f t="shared" si="10"/>
        <v>-</v>
      </c>
      <c r="AB14" s="516" t="str">
        <f t="shared" si="10"/>
        <v>-</v>
      </c>
      <c r="AC14" s="516" t="str">
        <f t="shared" si="10"/>
        <v>-</v>
      </c>
      <c r="AD14" s="516" t="str">
        <f t="shared" si="11"/>
        <v>-</v>
      </c>
      <c r="AE14" s="516" t="str">
        <f t="shared" si="11"/>
        <v>-</v>
      </c>
      <c r="AF14" s="516" t="str">
        <f t="shared" si="11"/>
        <v>-</v>
      </c>
      <c r="AG14" s="516" t="str">
        <f t="shared" si="11"/>
        <v>-</v>
      </c>
      <c r="AH14" s="516" t="str">
        <f t="shared" si="11"/>
        <v>-</v>
      </c>
      <c r="AI14" s="516" t="str">
        <f t="shared" si="11"/>
        <v>-</v>
      </c>
      <c r="AJ14" s="516" t="str">
        <f t="shared" si="11"/>
        <v>-</v>
      </c>
      <c r="AK14" s="516" t="str">
        <f t="shared" si="11"/>
        <v>-</v>
      </c>
      <c r="AL14" s="516" t="str">
        <f t="shared" si="11"/>
        <v>-</v>
      </c>
      <c r="AM14" s="516" t="str">
        <f t="shared" si="11"/>
        <v>-</v>
      </c>
      <c r="AN14" s="516" t="str">
        <f t="shared" si="11"/>
        <v>-</v>
      </c>
      <c r="AO14" s="516" t="str">
        <f t="shared" si="11"/>
        <v>-</v>
      </c>
      <c r="AP14" s="516" t="str">
        <f t="shared" si="11"/>
        <v>-</v>
      </c>
      <c r="AQ14" s="516" t="str">
        <f t="shared" si="11"/>
        <v>-</v>
      </c>
      <c r="AR14" s="516" t="str">
        <f t="shared" si="11"/>
        <v>-</v>
      </c>
      <c r="AS14" s="516" t="str">
        <f t="shared" si="11"/>
        <v>-</v>
      </c>
      <c r="AT14" s="516" t="str">
        <f t="shared" si="11"/>
        <v>-</v>
      </c>
      <c r="AU14" s="516" t="str">
        <f t="shared" si="11"/>
        <v>-</v>
      </c>
      <c r="AV14" s="516" t="str">
        <f t="shared" si="11"/>
        <v>-</v>
      </c>
      <c r="AW14" s="516" t="str">
        <f t="shared" si="11"/>
        <v>-</v>
      </c>
      <c r="AX14" s="516" t="str">
        <f t="shared" si="11"/>
        <v>-</v>
      </c>
      <c r="AY14" s="516" t="str">
        <f t="shared" si="11"/>
        <v>-</v>
      </c>
      <c r="AZ14" s="516" t="str">
        <f t="shared" si="11"/>
        <v>-</v>
      </c>
      <c r="BA14" s="516" t="str">
        <f t="shared" si="11"/>
        <v>-</v>
      </c>
      <c r="BB14" s="516" t="str">
        <f t="shared" si="11"/>
        <v>-</v>
      </c>
      <c r="BC14" s="516" t="str">
        <f t="shared" si="11"/>
        <v>-</v>
      </c>
      <c r="BD14" s="516" t="str">
        <f t="shared" si="11"/>
        <v>-</v>
      </c>
      <c r="BE14" s="516" t="str">
        <f t="shared" si="11"/>
        <v>-</v>
      </c>
      <c r="BF14" s="516" t="str">
        <f t="shared" si="11"/>
        <v>-</v>
      </c>
      <c r="BG14" s="516" t="str">
        <f t="shared" si="11"/>
        <v>-</v>
      </c>
      <c r="BH14" s="516" t="str">
        <f t="shared" si="11"/>
        <v>-</v>
      </c>
      <c r="BI14" s="516" t="str">
        <f t="shared" si="11"/>
        <v>-</v>
      </c>
      <c r="BJ14" s="516" t="str">
        <f t="shared" si="11"/>
        <v>-</v>
      </c>
      <c r="BK14" s="516" t="str">
        <f t="shared" si="11"/>
        <v>-</v>
      </c>
      <c r="BL14" s="516" t="str">
        <f t="shared" si="11"/>
        <v>-</v>
      </c>
      <c r="BM14" s="516" t="str">
        <f t="shared" si="11"/>
        <v>-</v>
      </c>
      <c r="BN14" s="516" t="str">
        <f t="shared" si="11"/>
        <v>-</v>
      </c>
      <c r="BO14" s="516" t="str">
        <f t="shared" si="11"/>
        <v>-</v>
      </c>
      <c r="BP14" s="516" t="str">
        <f t="shared" si="11"/>
        <v>-</v>
      </c>
      <c r="BQ14" s="516" t="str">
        <f t="shared" si="11"/>
        <v>-</v>
      </c>
      <c r="BR14" s="516" t="str">
        <f t="shared" si="11"/>
        <v>-</v>
      </c>
      <c r="BS14" s="516" t="str">
        <f t="shared" si="11"/>
        <v>-</v>
      </c>
      <c r="BT14" s="516" t="str">
        <f t="shared" si="11"/>
        <v>-</v>
      </c>
      <c r="BU14" s="516" t="str">
        <f t="shared" si="11"/>
        <v>-</v>
      </c>
      <c r="BV14" s="516" t="str">
        <f t="shared" si="11"/>
        <v>-</v>
      </c>
      <c r="BW14" s="516" t="str">
        <f t="shared" si="11"/>
        <v>-</v>
      </c>
      <c r="BX14" s="516" t="str">
        <f t="shared" si="11"/>
        <v>-</v>
      </c>
      <c r="BY14" s="516" t="str">
        <f t="shared" si="11"/>
        <v>-</v>
      </c>
      <c r="BZ14" s="516" t="str">
        <f t="shared" si="11"/>
        <v>-</v>
      </c>
      <c r="CA14" s="516" t="str">
        <f t="shared" si="11"/>
        <v>-</v>
      </c>
    </row>
    <row r="15" spans="1:79">
      <c r="A15" s="105">
        <v>7</v>
      </c>
      <c r="B15" s="112" t="str">
        <v>1M</v>
      </c>
      <c r="C15" s="512">
        <f>'usd disaggregated'!AO23</f>
        <v>10.73496056429755</v>
      </c>
      <c r="D15" s="111" t="str">
        <f t="shared" si="8"/>
        <v>1M</v>
      </c>
      <c r="E15" s="517">
        <f>IF(LEN(B15)&gt;0,CHOOSE(MATCH(RIGHT(D15,1),{"D","W","M"},0),NextBusDay($C$4,LEFT(D15,LEN(D15)-1)),NextBusDay($C$4+7*LEFT(D15,LEN(D15)-1)),NextBusDay(EDATE($C$4,LEFT(D15,LEN(D15)-1)))),"")</f>
        <v>42702</v>
      </c>
      <c r="F15" s="107" t="str">
        <v>1M</v>
      </c>
      <c r="G15" s="106" t="str">
        <v>1M</v>
      </c>
      <c r="H15" s="106" t="str">
        <f t="shared" si="9"/>
        <v>1M</v>
      </c>
      <c r="I15" s="261" t="str">
        <v>D</v>
      </c>
      <c r="J15" s="106">
        <f>IF(LEN(F15)&gt;0,IF(I15="S",H15,IF(I15="F",EDATE(H15,3),CHOOSE(MATCH(RIGHT(H15,1),{"D","W","M"},0),NextBusDay($C$4,LEFT(H15,LEN(H15)-1)),NextBusDay($C$4+7*LEFT(H15,LEN(H15)-1)),NextBusDay(EDATE($C$4,LEFT(H15,LEN(H15)-1)))))),"")</f>
        <v>42702</v>
      </c>
      <c r="L15" s="515">
        <f t="shared" si="2"/>
        <v>10.73496056429755</v>
      </c>
      <c r="N15" s="106" t="str">
        <f t="shared" si="3"/>
        <v>-</v>
      </c>
      <c r="O15" s="106" t="str">
        <f t="shared" si="4"/>
        <v>-</v>
      </c>
      <c r="P15" s="106" t="str">
        <f t="shared" si="5"/>
        <v>-</v>
      </c>
      <c r="Q15" s="106" t="b">
        <f t="shared" si="6"/>
        <v>0</v>
      </c>
      <c r="R15" s="516" t="str">
        <f t="shared" si="10"/>
        <v>-</v>
      </c>
      <c r="S15" s="516" t="str">
        <f t="shared" si="10"/>
        <v>-</v>
      </c>
      <c r="T15" s="516" t="str">
        <f t="shared" si="10"/>
        <v>-</v>
      </c>
      <c r="U15" s="516" t="str">
        <f t="shared" si="10"/>
        <v>-</v>
      </c>
      <c r="V15" s="516" t="str">
        <f t="shared" si="10"/>
        <v>-</v>
      </c>
      <c r="W15" s="516" t="str">
        <f t="shared" si="10"/>
        <v>-</v>
      </c>
      <c r="X15" s="516">
        <f t="shared" si="10"/>
        <v>10.73496056429755</v>
      </c>
      <c r="Y15" s="516" t="str">
        <f t="shared" si="10"/>
        <v>-</v>
      </c>
      <c r="Z15" s="516" t="str">
        <f t="shared" si="10"/>
        <v>-</v>
      </c>
      <c r="AA15" s="516" t="str">
        <f t="shared" si="10"/>
        <v>-</v>
      </c>
      <c r="AB15" s="516" t="str">
        <f t="shared" si="10"/>
        <v>-</v>
      </c>
      <c r="AC15" s="516" t="str">
        <f t="shared" si="10"/>
        <v>-</v>
      </c>
      <c r="AD15" s="516" t="str">
        <f t="shared" si="11"/>
        <v>-</v>
      </c>
      <c r="AE15" s="516" t="str">
        <f t="shared" si="11"/>
        <v>-</v>
      </c>
      <c r="AF15" s="516" t="str">
        <f t="shared" si="11"/>
        <v>-</v>
      </c>
      <c r="AG15" s="516" t="str">
        <f t="shared" si="11"/>
        <v>-</v>
      </c>
      <c r="AH15" s="516" t="str">
        <f t="shared" si="11"/>
        <v>-</v>
      </c>
      <c r="AI15" s="516" t="str">
        <f t="shared" si="11"/>
        <v>-</v>
      </c>
      <c r="AJ15" s="516" t="str">
        <f t="shared" si="11"/>
        <v>-</v>
      </c>
      <c r="AK15" s="516" t="str">
        <f t="shared" si="11"/>
        <v>-</v>
      </c>
      <c r="AL15" s="516" t="str">
        <f t="shared" si="11"/>
        <v>-</v>
      </c>
      <c r="AM15" s="516" t="str">
        <f t="shared" si="11"/>
        <v>-</v>
      </c>
      <c r="AN15" s="516" t="str">
        <f t="shared" si="11"/>
        <v>-</v>
      </c>
      <c r="AO15" s="516" t="str">
        <f t="shared" si="11"/>
        <v>-</v>
      </c>
      <c r="AP15" s="516" t="str">
        <f t="shared" si="11"/>
        <v>-</v>
      </c>
      <c r="AQ15" s="516" t="str">
        <f t="shared" si="11"/>
        <v>-</v>
      </c>
      <c r="AR15" s="516" t="str">
        <f t="shared" si="11"/>
        <v>-</v>
      </c>
      <c r="AS15" s="516" t="str">
        <f t="shared" si="11"/>
        <v>-</v>
      </c>
      <c r="AT15" s="516" t="str">
        <f t="shared" si="11"/>
        <v>-</v>
      </c>
      <c r="AU15" s="516" t="str">
        <f t="shared" si="11"/>
        <v>-</v>
      </c>
      <c r="AV15" s="516" t="str">
        <f t="shared" si="11"/>
        <v>-</v>
      </c>
      <c r="AW15" s="516" t="str">
        <f t="shared" si="11"/>
        <v>-</v>
      </c>
      <c r="AX15" s="516" t="str">
        <f t="shared" si="11"/>
        <v>-</v>
      </c>
      <c r="AY15" s="516" t="str">
        <f t="shared" si="11"/>
        <v>-</v>
      </c>
      <c r="AZ15" s="516" t="str">
        <f t="shared" si="11"/>
        <v>-</v>
      </c>
      <c r="BA15" s="516" t="str">
        <f t="shared" si="11"/>
        <v>-</v>
      </c>
      <c r="BB15" s="516" t="str">
        <f t="shared" si="11"/>
        <v>-</v>
      </c>
      <c r="BC15" s="516" t="str">
        <f t="shared" si="11"/>
        <v>-</v>
      </c>
      <c r="BD15" s="516" t="str">
        <f t="shared" si="11"/>
        <v>-</v>
      </c>
      <c r="BE15" s="516" t="str">
        <f t="shared" si="11"/>
        <v>-</v>
      </c>
      <c r="BF15" s="516" t="str">
        <f t="shared" si="11"/>
        <v>-</v>
      </c>
      <c r="BG15" s="516" t="str">
        <f t="shared" si="11"/>
        <v>-</v>
      </c>
      <c r="BH15" s="516" t="str">
        <f t="shared" si="11"/>
        <v>-</v>
      </c>
      <c r="BI15" s="516" t="str">
        <f t="shared" si="11"/>
        <v>-</v>
      </c>
      <c r="BJ15" s="516" t="str">
        <f t="shared" si="11"/>
        <v>-</v>
      </c>
      <c r="BK15" s="516" t="str">
        <f t="shared" si="11"/>
        <v>-</v>
      </c>
      <c r="BL15" s="516" t="str">
        <f t="shared" si="11"/>
        <v>-</v>
      </c>
      <c r="BM15" s="516" t="str">
        <f t="shared" si="11"/>
        <v>-</v>
      </c>
      <c r="BN15" s="516" t="str">
        <f t="shared" si="11"/>
        <v>-</v>
      </c>
      <c r="BO15" s="516" t="str">
        <f t="shared" si="11"/>
        <v>-</v>
      </c>
      <c r="BP15" s="516" t="str">
        <f t="shared" si="11"/>
        <v>-</v>
      </c>
      <c r="BQ15" s="516" t="str">
        <f t="shared" si="11"/>
        <v>-</v>
      </c>
      <c r="BR15" s="516" t="str">
        <f t="shared" si="11"/>
        <v>-</v>
      </c>
      <c r="BS15" s="516" t="str">
        <f t="shared" si="11"/>
        <v>-</v>
      </c>
      <c r="BT15" s="516" t="str">
        <f t="shared" si="11"/>
        <v>-</v>
      </c>
      <c r="BU15" s="516" t="str">
        <f t="shared" si="11"/>
        <v>-</v>
      </c>
      <c r="BV15" s="516" t="str">
        <f t="shared" si="11"/>
        <v>-</v>
      </c>
      <c r="BW15" s="516" t="str">
        <f t="shared" si="11"/>
        <v>-</v>
      </c>
      <c r="BX15" s="516" t="str">
        <f t="shared" si="11"/>
        <v>-</v>
      </c>
      <c r="BY15" s="516" t="str">
        <f t="shared" si="11"/>
        <v>-</v>
      </c>
      <c r="BZ15" s="516" t="str">
        <f t="shared" si="11"/>
        <v>-</v>
      </c>
      <c r="CA15" s="516" t="str">
        <f t="shared" si="11"/>
        <v>-</v>
      </c>
    </row>
    <row r="16" spans="1:79">
      <c r="A16" s="105">
        <v>8</v>
      </c>
      <c r="B16" s="112" t="str">
        <v>2M</v>
      </c>
      <c r="C16" s="512">
        <f>'usd disaggregated'!AO24</f>
        <v>54.99457052959805</v>
      </c>
      <c r="D16" s="111" t="str">
        <f t="shared" si="8"/>
        <v>2M</v>
      </c>
      <c r="E16" s="517">
        <f>IF(LEN(B16)&gt;0,CHOOSE(MATCH(RIGHT(D16,1),{"D","W","M"},0),NextBusDay($C$4,LEFT(D16,LEN(D16)-1)),NextBusDay($C$4+7*LEFT(D16,LEN(D16)-1)),NextBusDay(EDATE($C$4,LEFT(D16,LEN(D16)-1)))),"")</f>
        <v>42730</v>
      </c>
      <c r="F16" s="107" t="str">
        <v>2M</v>
      </c>
      <c r="G16" s="106" t="str">
        <v>2M</v>
      </c>
      <c r="H16" s="106" t="str">
        <f t="shared" si="9"/>
        <v>2M</v>
      </c>
      <c r="I16" s="261" t="str">
        <v>D</v>
      </c>
      <c r="J16" s="106">
        <f>IF(LEN(F16)&gt;0,IF(I16="S",H16,IF(I16="F",EDATE(H16,3),CHOOSE(MATCH(RIGHT(H16,1),{"D","W","M"},0),NextBusDay($C$4,LEFT(H16,LEN(H16)-1)),NextBusDay($C$4+7*LEFT(H16,LEN(H16)-1)),NextBusDay(EDATE($C$4,LEFT(H16,LEN(H16)-1)))))),"")</f>
        <v>42730</v>
      </c>
      <c r="L16" s="515">
        <f t="shared" si="2"/>
        <v>54.99457052959805</v>
      </c>
      <c r="N16" s="106" t="str">
        <f t="shared" si="3"/>
        <v>-</v>
      </c>
      <c r="O16" s="106" t="str">
        <f t="shared" si="4"/>
        <v>-</v>
      </c>
      <c r="P16" s="106" t="str">
        <f t="shared" si="5"/>
        <v>-</v>
      </c>
      <c r="Q16" s="106" t="b">
        <f t="shared" si="6"/>
        <v>0</v>
      </c>
      <c r="R16" s="516" t="str">
        <f t="shared" si="10"/>
        <v>-</v>
      </c>
      <c r="S16" s="516" t="str">
        <f t="shared" si="10"/>
        <v>-</v>
      </c>
      <c r="T16" s="516" t="str">
        <f t="shared" si="10"/>
        <v>-</v>
      </c>
      <c r="U16" s="516" t="str">
        <f t="shared" si="10"/>
        <v>-</v>
      </c>
      <c r="V16" s="516" t="str">
        <f t="shared" si="10"/>
        <v>-</v>
      </c>
      <c r="W16" s="516" t="str">
        <f t="shared" si="10"/>
        <v>-</v>
      </c>
      <c r="X16" s="516" t="str">
        <f t="shared" si="10"/>
        <v>-</v>
      </c>
      <c r="Y16" s="516">
        <f t="shared" si="10"/>
        <v>54.99457052959805</v>
      </c>
      <c r="Z16" s="516" t="str">
        <f t="shared" si="10"/>
        <v>-</v>
      </c>
      <c r="AA16" s="516" t="str">
        <f t="shared" si="10"/>
        <v>-</v>
      </c>
      <c r="AB16" s="516" t="str">
        <f t="shared" si="10"/>
        <v>-</v>
      </c>
      <c r="AC16" s="516" t="str">
        <f t="shared" si="10"/>
        <v>-</v>
      </c>
      <c r="AD16" s="516" t="str">
        <f t="shared" si="11"/>
        <v>-</v>
      </c>
      <c r="AE16" s="516" t="str">
        <f t="shared" si="11"/>
        <v>-</v>
      </c>
      <c r="AF16" s="516" t="str">
        <f t="shared" si="11"/>
        <v>-</v>
      </c>
      <c r="AG16" s="516" t="str">
        <f t="shared" si="11"/>
        <v>-</v>
      </c>
      <c r="AH16" s="516" t="str">
        <f t="shared" si="11"/>
        <v>-</v>
      </c>
      <c r="AI16" s="516" t="str">
        <f t="shared" si="11"/>
        <v>-</v>
      </c>
      <c r="AJ16" s="516" t="str">
        <f t="shared" si="11"/>
        <v>-</v>
      </c>
      <c r="AK16" s="516" t="str">
        <f t="shared" si="11"/>
        <v>-</v>
      </c>
      <c r="AL16" s="516" t="str">
        <f t="shared" si="11"/>
        <v>-</v>
      </c>
      <c r="AM16" s="516" t="str">
        <f t="shared" si="11"/>
        <v>-</v>
      </c>
      <c r="AN16" s="516" t="str">
        <f t="shared" si="11"/>
        <v>-</v>
      </c>
      <c r="AO16" s="516" t="str">
        <f t="shared" si="11"/>
        <v>-</v>
      </c>
      <c r="AP16" s="516" t="str">
        <f t="shared" si="11"/>
        <v>-</v>
      </c>
      <c r="AQ16" s="516" t="str">
        <f t="shared" si="11"/>
        <v>-</v>
      </c>
      <c r="AR16" s="516" t="str">
        <f t="shared" si="11"/>
        <v>-</v>
      </c>
      <c r="AS16" s="516" t="str">
        <f t="shared" si="11"/>
        <v>-</v>
      </c>
      <c r="AT16" s="516" t="str">
        <f t="shared" si="11"/>
        <v>-</v>
      </c>
      <c r="AU16" s="516" t="str">
        <f t="shared" si="11"/>
        <v>-</v>
      </c>
      <c r="AV16" s="516" t="str">
        <f t="shared" si="11"/>
        <v>-</v>
      </c>
      <c r="AW16" s="516" t="str">
        <f t="shared" si="11"/>
        <v>-</v>
      </c>
      <c r="AX16" s="516" t="str">
        <f t="shared" si="11"/>
        <v>-</v>
      </c>
      <c r="AY16" s="516" t="str">
        <f t="shared" si="11"/>
        <v>-</v>
      </c>
      <c r="AZ16" s="516" t="str">
        <f t="shared" si="11"/>
        <v>-</v>
      </c>
      <c r="BA16" s="516" t="str">
        <f t="shared" si="11"/>
        <v>-</v>
      </c>
      <c r="BB16" s="516" t="str">
        <f t="shared" si="11"/>
        <v>-</v>
      </c>
      <c r="BC16" s="516" t="str">
        <f t="shared" si="11"/>
        <v>-</v>
      </c>
      <c r="BD16" s="516" t="str">
        <f t="shared" si="11"/>
        <v>-</v>
      </c>
      <c r="BE16" s="516" t="str">
        <f t="shared" si="11"/>
        <v>-</v>
      </c>
      <c r="BF16" s="516" t="str">
        <f t="shared" si="11"/>
        <v>-</v>
      </c>
      <c r="BG16" s="516" t="str">
        <f t="shared" si="11"/>
        <v>-</v>
      </c>
      <c r="BH16" s="516" t="str">
        <f t="shared" si="11"/>
        <v>-</v>
      </c>
      <c r="BI16" s="516" t="str">
        <f t="shared" si="11"/>
        <v>-</v>
      </c>
      <c r="BJ16" s="516" t="str">
        <f t="shared" si="11"/>
        <v>-</v>
      </c>
      <c r="BK16" s="516" t="str">
        <f t="shared" si="11"/>
        <v>-</v>
      </c>
      <c r="BL16" s="516" t="str">
        <f t="shared" si="11"/>
        <v>-</v>
      </c>
      <c r="BM16" s="516" t="str">
        <f t="shared" si="11"/>
        <v>-</v>
      </c>
      <c r="BN16" s="516" t="str">
        <f t="shared" si="11"/>
        <v>-</v>
      </c>
      <c r="BO16" s="516" t="str">
        <f t="shared" si="11"/>
        <v>-</v>
      </c>
      <c r="BP16" s="516" t="str">
        <f t="shared" si="11"/>
        <v>-</v>
      </c>
      <c r="BQ16" s="516" t="str">
        <f t="shared" si="11"/>
        <v>-</v>
      </c>
      <c r="BR16" s="516" t="str">
        <f t="shared" si="11"/>
        <v>-</v>
      </c>
      <c r="BS16" s="516" t="str">
        <f t="shared" si="11"/>
        <v>-</v>
      </c>
      <c r="BT16" s="516" t="str">
        <f t="shared" si="11"/>
        <v>-</v>
      </c>
      <c r="BU16" s="516" t="str">
        <f t="shared" si="11"/>
        <v>-</v>
      </c>
      <c r="BV16" s="516" t="str">
        <f t="shared" si="11"/>
        <v>-</v>
      </c>
      <c r="BW16" s="516" t="str">
        <f t="shared" si="11"/>
        <v>-</v>
      </c>
      <c r="BX16" s="516" t="str">
        <f t="shared" si="11"/>
        <v>-</v>
      </c>
      <c r="BY16" s="516" t="str">
        <f t="shared" si="11"/>
        <v>-</v>
      </c>
      <c r="BZ16" s="516" t="str">
        <f t="shared" si="11"/>
        <v>-</v>
      </c>
      <c r="CA16" s="516" t="str">
        <f t="shared" si="11"/>
        <v>-</v>
      </c>
    </row>
    <row r="17" spans="1:79">
      <c r="A17" s="105">
        <v>9</v>
      </c>
      <c r="B17" s="112" t="str">
        <v>3M</v>
      </c>
      <c r="C17" s="512">
        <f>'usd disaggregated'!AO25</f>
        <v>-25.355856588566521</v>
      </c>
      <c r="D17" s="111" t="str">
        <f t="shared" si="8"/>
        <v>3M</v>
      </c>
      <c r="E17" s="517">
        <f>IF(LEN(B17)&gt;0,CHOOSE(MATCH(RIGHT(D17,1),{"D","W","M"},0),NextBusDay($C$4,LEFT(D17,LEN(D17)-1)),NextBusDay($C$4+7*LEFT(D17,LEN(D17)-1)),NextBusDay(EDATE($C$4,LEFT(D17,LEN(D17)-1)))),"")</f>
        <v>42761</v>
      </c>
      <c r="F17" s="107" t="str">
        <v>3M</v>
      </c>
      <c r="G17" s="106" t="str">
        <v>3M</v>
      </c>
      <c r="H17" s="106" t="str">
        <f t="shared" si="9"/>
        <v>3M</v>
      </c>
      <c r="I17" s="261" t="str">
        <v>D</v>
      </c>
      <c r="J17" s="106">
        <f>IF(LEN(F17)&gt;0,IF(I17="S",H17,IF(I17="F",EDATE(H17,3),CHOOSE(MATCH(RIGHT(H17,1),{"D","W","M"},0),NextBusDay($C$4,LEFT(H17,LEN(H17)-1)),NextBusDay($C$4+7*LEFT(H17,LEN(H17)-1)),NextBusDay(EDATE($C$4,LEFT(H17,LEN(H17)-1)))))),"")</f>
        <v>42761</v>
      </c>
      <c r="L17" s="515">
        <f t="shared" si="2"/>
        <v>-25.355856588566521</v>
      </c>
      <c r="N17" s="106" t="str">
        <f t="shared" si="3"/>
        <v>-</v>
      </c>
      <c r="O17" s="106" t="str">
        <f t="shared" si="4"/>
        <v>-</v>
      </c>
      <c r="P17" s="106" t="str">
        <f t="shared" si="5"/>
        <v>-</v>
      </c>
      <c r="Q17" s="106" t="b">
        <f t="shared" si="6"/>
        <v>0</v>
      </c>
      <c r="R17" s="516" t="str">
        <f t="shared" si="10"/>
        <v>-</v>
      </c>
      <c r="S17" s="516" t="str">
        <f t="shared" si="10"/>
        <v>-</v>
      </c>
      <c r="T17" s="516" t="str">
        <f t="shared" si="10"/>
        <v>-</v>
      </c>
      <c r="U17" s="516" t="str">
        <f t="shared" si="10"/>
        <v>-</v>
      </c>
      <c r="V17" s="516" t="str">
        <f t="shared" si="10"/>
        <v>-</v>
      </c>
      <c r="W17" s="516" t="str">
        <f t="shared" si="10"/>
        <v>-</v>
      </c>
      <c r="X17" s="516" t="str">
        <f t="shared" si="10"/>
        <v>-</v>
      </c>
      <c r="Y17" s="516" t="str">
        <f t="shared" si="10"/>
        <v>-</v>
      </c>
      <c r="Z17" s="516">
        <f t="shared" si="10"/>
        <v>-25.355856588566521</v>
      </c>
      <c r="AA17" s="516" t="str">
        <f t="shared" si="10"/>
        <v>-</v>
      </c>
      <c r="AB17" s="516" t="str">
        <f t="shared" si="10"/>
        <v>-</v>
      </c>
      <c r="AC17" s="516" t="str">
        <f t="shared" si="10"/>
        <v>-</v>
      </c>
      <c r="AD17" s="516" t="str">
        <f t="shared" si="11"/>
        <v>-</v>
      </c>
      <c r="AE17" s="516" t="str">
        <f t="shared" si="11"/>
        <v>-</v>
      </c>
      <c r="AF17" s="516" t="str">
        <f t="shared" si="11"/>
        <v>-</v>
      </c>
      <c r="AG17" s="516" t="str">
        <f t="shared" si="11"/>
        <v>-</v>
      </c>
      <c r="AH17" s="516" t="str">
        <f t="shared" si="11"/>
        <v>-</v>
      </c>
      <c r="AI17" s="516" t="str">
        <f t="shared" si="11"/>
        <v>-</v>
      </c>
      <c r="AJ17" s="516" t="str">
        <f t="shared" si="11"/>
        <v>-</v>
      </c>
      <c r="AK17" s="516" t="str">
        <f t="shared" si="11"/>
        <v>-</v>
      </c>
      <c r="AL17" s="516" t="str">
        <f t="shared" si="11"/>
        <v>-</v>
      </c>
      <c r="AM17" s="516" t="str">
        <f t="shared" si="11"/>
        <v>-</v>
      </c>
      <c r="AN17" s="516" t="str">
        <f t="shared" si="11"/>
        <v>-</v>
      </c>
      <c r="AO17" s="516" t="str">
        <f t="shared" si="11"/>
        <v>-</v>
      </c>
      <c r="AP17" s="516" t="str">
        <f t="shared" si="11"/>
        <v>-</v>
      </c>
      <c r="AQ17" s="516" t="str">
        <f t="shared" si="11"/>
        <v>-</v>
      </c>
      <c r="AR17" s="516" t="str">
        <f t="shared" si="11"/>
        <v>-</v>
      </c>
      <c r="AS17" s="516" t="str">
        <f t="shared" si="11"/>
        <v>-</v>
      </c>
      <c r="AT17" s="516" t="str">
        <f t="shared" si="11"/>
        <v>-</v>
      </c>
      <c r="AU17" s="516" t="str">
        <f t="shared" si="11"/>
        <v>-</v>
      </c>
      <c r="AV17" s="516" t="str">
        <f t="shared" si="11"/>
        <v>-</v>
      </c>
      <c r="AW17" s="516" t="str">
        <f t="shared" si="11"/>
        <v>-</v>
      </c>
      <c r="AX17" s="516" t="str">
        <f t="shared" si="11"/>
        <v>-</v>
      </c>
      <c r="AY17" s="516" t="str">
        <f t="shared" si="11"/>
        <v>-</v>
      </c>
      <c r="AZ17" s="516" t="str">
        <f t="shared" si="11"/>
        <v>-</v>
      </c>
      <c r="BA17" s="516" t="str">
        <f t="shared" si="11"/>
        <v>-</v>
      </c>
      <c r="BB17" s="516" t="str">
        <f t="shared" si="11"/>
        <v>-</v>
      </c>
      <c r="BC17" s="516" t="str">
        <f t="shared" si="11"/>
        <v>-</v>
      </c>
      <c r="BD17" s="516" t="str">
        <f t="shared" si="11"/>
        <v>-</v>
      </c>
      <c r="BE17" s="516" t="str">
        <f t="shared" si="11"/>
        <v>-</v>
      </c>
      <c r="BF17" s="516" t="str">
        <f t="shared" si="11"/>
        <v>-</v>
      </c>
      <c r="BG17" s="516" t="str">
        <f t="shared" si="11"/>
        <v>-</v>
      </c>
      <c r="BH17" s="516" t="str">
        <f t="shared" si="11"/>
        <v>-</v>
      </c>
      <c r="BI17" s="516" t="str">
        <f t="shared" si="11"/>
        <v>-</v>
      </c>
      <c r="BJ17" s="516" t="str">
        <f t="shared" si="11"/>
        <v>-</v>
      </c>
      <c r="BK17" s="516" t="str">
        <f t="shared" si="11"/>
        <v>-</v>
      </c>
      <c r="BL17" s="516" t="str">
        <f t="shared" si="11"/>
        <v>-</v>
      </c>
      <c r="BM17" s="516" t="str">
        <f t="shared" si="11"/>
        <v>-</v>
      </c>
      <c r="BN17" s="516" t="str">
        <f t="shared" si="11"/>
        <v>-</v>
      </c>
      <c r="BO17" s="516" t="str">
        <f t="shared" si="11"/>
        <v>-</v>
      </c>
      <c r="BP17" s="516" t="str">
        <f t="shared" si="11"/>
        <v>-</v>
      </c>
      <c r="BQ17" s="516" t="str">
        <f t="shared" si="11"/>
        <v>-</v>
      </c>
      <c r="BR17" s="516" t="str">
        <f t="shared" si="11"/>
        <v>-</v>
      </c>
      <c r="BS17" s="516" t="str">
        <f t="shared" si="11"/>
        <v>-</v>
      </c>
      <c r="BT17" s="516" t="str">
        <f t="shared" si="11"/>
        <v>-</v>
      </c>
      <c r="BU17" s="516" t="str">
        <f t="shared" si="11"/>
        <v>-</v>
      </c>
      <c r="BV17" s="516" t="str">
        <f t="shared" si="11"/>
        <v>-</v>
      </c>
      <c r="BW17" s="516" t="str">
        <f t="shared" si="11"/>
        <v>-</v>
      </c>
      <c r="BX17" s="516" t="str">
        <f t="shared" si="11"/>
        <v>-</v>
      </c>
      <c r="BY17" s="516" t="str">
        <f t="shared" si="11"/>
        <v>-</v>
      </c>
      <c r="BZ17" s="516" t="str">
        <f t="shared" si="11"/>
        <v>-</v>
      </c>
      <c r="CA17" s="516" t="str">
        <f t="shared" si="11"/>
        <v>-</v>
      </c>
    </row>
    <row r="18" spans="1:79">
      <c r="A18" s="105">
        <v>10</v>
      </c>
      <c r="B18" s="112" t="str">
        <v>4M</v>
      </c>
      <c r="C18" s="512">
        <f>'usd disaggregated'!AO26</f>
        <v>49.43008190874324</v>
      </c>
      <c r="D18" s="111" t="str">
        <f t="shared" si="8"/>
        <v>4M</v>
      </c>
      <c r="E18" s="517">
        <f>IF(LEN(B18)&gt;0,CHOOSE(MATCH(RIGHT(D18,1),{"D","W","M"},0),NextBusDay($C$4,LEFT(D18,LEN(D18)-1)),NextBusDay($C$4+7*LEFT(D18,LEN(D18)-1)),NextBusDay(EDATE($C$4,LEFT(D18,LEN(D18)-1)))),"")</f>
        <v>42793</v>
      </c>
      <c r="F18" s="107" t="str">
        <v>4M</v>
      </c>
      <c r="G18" s="106" t="str">
        <v>4M</v>
      </c>
      <c r="H18" s="106" t="str">
        <f t="shared" si="9"/>
        <v>4M</v>
      </c>
      <c r="I18" s="261" t="str">
        <v>D</v>
      </c>
      <c r="J18" s="106">
        <f>IF(LEN(F18)&gt;0,IF(I18="S",H18,IF(I18="F",EDATE(H18,3),CHOOSE(MATCH(RIGHT(H18,1),{"D","W","M"},0),NextBusDay($C$4,LEFT(H18,LEN(H18)-1)),NextBusDay($C$4+7*LEFT(H18,LEN(H18)-1)),NextBusDay(EDATE($C$4,LEFT(H18,LEN(H18)-1)))))),"")</f>
        <v>42793</v>
      </c>
      <c r="L18" s="515">
        <f t="shared" si="2"/>
        <v>49.43008190874324</v>
      </c>
      <c r="N18" s="106" t="str">
        <f t="shared" si="3"/>
        <v>-</v>
      </c>
      <c r="O18" s="106" t="str">
        <f t="shared" si="4"/>
        <v>-</v>
      </c>
      <c r="P18" s="106" t="str">
        <f t="shared" si="5"/>
        <v>-</v>
      </c>
      <c r="Q18" s="106" t="b">
        <f t="shared" si="6"/>
        <v>0</v>
      </c>
      <c r="R18" s="516" t="str">
        <f t="shared" si="10"/>
        <v>-</v>
      </c>
      <c r="S18" s="516" t="str">
        <f t="shared" si="10"/>
        <v>-</v>
      </c>
      <c r="T18" s="516" t="str">
        <f t="shared" si="10"/>
        <v>-</v>
      </c>
      <c r="U18" s="516" t="str">
        <f t="shared" si="10"/>
        <v>-</v>
      </c>
      <c r="V18" s="516" t="str">
        <f t="shared" si="10"/>
        <v>-</v>
      </c>
      <c r="W18" s="516" t="str">
        <f t="shared" si="10"/>
        <v>-</v>
      </c>
      <c r="X18" s="516" t="str">
        <f t="shared" si="10"/>
        <v>-</v>
      </c>
      <c r="Y18" s="516" t="str">
        <f t="shared" si="10"/>
        <v>-</v>
      </c>
      <c r="Z18" s="516" t="str">
        <f t="shared" si="10"/>
        <v>-</v>
      </c>
      <c r="AA18" s="516">
        <f t="shared" si="10"/>
        <v>49.43008190874324</v>
      </c>
      <c r="AB18" s="516" t="str">
        <f t="shared" si="10"/>
        <v>-</v>
      </c>
      <c r="AC18" s="516" t="str">
        <f t="shared" si="10"/>
        <v>-</v>
      </c>
      <c r="AD18" s="516" t="str">
        <f t="shared" si="11"/>
        <v>-</v>
      </c>
      <c r="AE18" s="516" t="str">
        <f t="shared" si="11"/>
        <v>-</v>
      </c>
      <c r="AF18" s="516" t="str">
        <f t="shared" si="11"/>
        <v>-</v>
      </c>
      <c r="AG18" s="516" t="str">
        <f t="shared" si="11"/>
        <v>-</v>
      </c>
      <c r="AH18" s="516" t="str">
        <f t="shared" si="11"/>
        <v>-</v>
      </c>
      <c r="AI18" s="516" t="str">
        <f t="shared" ref="AI18:CA19" si="12">IF(LEN($F18)&gt;0,IF(AND(AI$8=$J18,NOT(AND(AI$8&gt;=$N18,AI$8&lt;$P18))),AI$6,IF(AND(NOT(AI$8&gt;$J17),AI$8&lt;$J18),"-",IF(AND(AI$8&gt;=$N18,AI$8&lt;$P18),"???",IF(AND(AI$8&gt;$J17,AI$8&lt;$J18),AI$6*(AI$8-$J17)/($J18-$J17),IF(AND(AI$8&gt;$J18,AI$8&lt;$J19),AI$6*($J19-AI$8)/($J19-$J18),"-"))))),"-")</f>
        <v>-</v>
      </c>
      <c r="AJ18" s="516" t="str">
        <f t="shared" si="12"/>
        <v>-</v>
      </c>
      <c r="AK18" s="516" t="str">
        <f t="shared" si="12"/>
        <v>-</v>
      </c>
      <c r="AL18" s="516" t="str">
        <f t="shared" si="12"/>
        <v>-</v>
      </c>
      <c r="AM18" s="516" t="str">
        <f t="shared" si="12"/>
        <v>-</v>
      </c>
      <c r="AN18" s="516" t="str">
        <f t="shared" si="12"/>
        <v>-</v>
      </c>
      <c r="AO18" s="516" t="str">
        <f t="shared" si="12"/>
        <v>-</v>
      </c>
      <c r="AP18" s="516" t="str">
        <f t="shared" si="12"/>
        <v>-</v>
      </c>
      <c r="AQ18" s="516" t="str">
        <f t="shared" si="12"/>
        <v>-</v>
      </c>
      <c r="AR18" s="516" t="str">
        <f t="shared" si="12"/>
        <v>-</v>
      </c>
      <c r="AS18" s="516" t="str">
        <f t="shared" si="12"/>
        <v>-</v>
      </c>
      <c r="AT18" s="516" t="str">
        <f t="shared" si="12"/>
        <v>-</v>
      </c>
      <c r="AU18" s="516" t="str">
        <f t="shared" si="12"/>
        <v>-</v>
      </c>
      <c r="AV18" s="516" t="str">
        <f t="shared" si="12"/>
        <v>-</v>
      </c>
      <c r="AW18" s="516" t="str">
        <f t="shared" si="12"/>
        <v>-</v>
      </c>
      <c r="AX18" s="516" t="str">
        <f t="shared" si="12"/>
        <v>-</v>
      </c>
      <c r="AY18" s="516" t="str">
        <f t="shared" si="12"/>
        <v>-</v>
      </c>
      <c r="AZ18" s="516" t="str">
        <f t="shared" si="12"/>
        <v>-</v>
      </c>
      <c r="BA18" s="516" t="str">
        <f t="shared" si="12"/>
        <v>-</v>
      </c>
      <c r="BB18" s="516" t="str">
        <f t="shared" si="12"/>
        <v>-</v>
      </c>
      <c r="BC18" s="516" t="str">
        <f t="shared" si="12"/>
        <v>-</v>
      </c>
      <c r="BD18" s="516" t="str">
        <f t="shared" si="12"/>
        <v>-</v>
      </c>
      <c r="BE18" s="516" t="str">
        <f t="shared" si="12"/>
        <v>-</v>
      </c>
      <c r="BF18" s="516" t="str">
        <f t="shared" si="12"/>
        <v>-</v>
      </c>
      <c r="BG18" s="516" t="str">
        <f t="shared" si="12"/>
        <v>-</v>
      </c>
      <c r="BH18" s="516" t="str">
        <f t="shared" si="12"/>
        <v>-</v>
      </c>
      <c r="BI18" s="516" t="str">
        <f t="shared" si="12"/>
        <v>-</v>
      </c>
      <c r="BJ18" s="516" t="str">
        <f t="shared" si="12"/>
        <v>-</v>
      </c>
      <c r="BK18" s="516" t="str">
        <f t="shared" si="12"/>
        <v>-</v>
      </c>
      <c r="BL18" s="516" t="str">
        <f t="shared" si="12"/>
        <v>-</v>
      </c>
      <c r="BM18" s="516" t="str">
        <f t="shared" si="12"/>
        <v>-</v>
      </c>
      <c r="BN18" s="516" t="str">
        <f t="shared" si="12"/>
        <v>-</v>
      </c>
      <c r="BO18" s="516" t="str">
        <f t="shared" si="12"/>
        <v>-</v>
      </c>
      <c r="BP18" s="516" t="str">
        <f t="shared" si="12"/>
        <v>-</v>
      </c>
      <c r="BQ18" s="516" t="str">
        <f t="shared" si="12"/>
        <v>-</v>
      </c>
      <c r="BR18" s="516" t="str">
        <f t="shared" si="12"/>
        <v>-</v>
      </c>
      <c r="BS18" s="516" t="str">
        <f t="shared" si="12"/>
        <v>-</v>
      </c>
      <c r="BT18" s="516" t="str">
        <f t="shared" si="12"/>
        <v>-</v>
      </c>
      <c r="BU18" s="516" t="str">
        <f t="shared" si="12"/>
        <v>-</v>
      </c>
      <c r="BV18" s="516" t="str">
        <f t="shared" si="12"/>
        <v>-</v>
      </c>
      <c r="BW18" s="516" t="str">
        <f t="shared" si="12"/>
        <v>-</v>
      </c>
      <c r="BX18" s="516" t="str">
        <f t="shared" si="12"/>
        <v>-</v>
      </c>
      <c r="BY18" s="516" t="str">
        <f t="shared" si="12"/>
        <v>-</v>
      </c>
      <c r="BZ18" s="516" t="str">
        <f t="shared" si="12"/>
        <v>-</v>
      </c>
      <c r="CA18" s="516" t="str">
        <f t="shared" si="12"/>
        <v>-</v>
      </c>
    </row>
    <row r="19" spans="1:79">
      <c r="A19" s="105">
        <v>11</v>
      </c>
      <c r="B19" s="112" t="str">
        <v>5M</v>
      </c>
      <c r="C19" s="512">
        <f>'usd disaggregated'!AO27</f>
        <v>-71.326014724844043</v>
      </c>
      <c r="D19" s="111" t="str">
        <f t="shared" si="8"/>
        <v>5M</v>
      </c>
      <c r="E19" s="517">
        <f>IF(LEN(B19)&gt;0,CHOOSE(MATCH(RIGHT(D19,1),{"D","W","M"},0),NextBusDay($C$4,LEFT(D19,LEN(D19)-1)),NextBusDay($C$4+7*LEFT(D19,LEN(D19)-1)),NextBusDay(EDATE($C$4,LEFT(D19,LEN(D19)-1)))),"")</f>
        <v>42821</v>
      </c>
      <c r="F19" s="107" t="str">
        <v>5M</v>
      </c>
      <c r="G19" s="106" t="str">
        <v>5M</v>
      </c>
      <c r="H19" s="106" t="str">
        <f t="shared" si="9"/>
        <v>5M</v>
      </c>
      <c r="I19" s="261" t="str">
        <v>D</v>
      </c>
      <c r="J19" s="106">
        <f>IF(LEN(F19)&gt;0,IF(I19="S",H19,IF(I19="F",EDATE(H19,3),CHOOSE(MATCH(RIGHT(H19,1),{"D","W","M"},0),NextBusDay($C$4,LEFT(H19,LEN(H19)-1)),NextBusDay($C$4+7*LEFT(H19,LEN(H19)-1)),NextBusDay(EDATE($C$4,LEFT(H19,LEN(H19)-1)))))),"")</f>
        <v>42821</v>
      </c>
      <c r="L19" s="515">
        <f t="shared" si="2"/>
        <v>-71.326014724844043</v>
      </c>
      <c r="N19" s="106" t="str">
        <f t="shared" si="3"/>
        <v>-</v>
      </c>
      <c r="O19" s="106" t="str">
        <f t="shared" si="4"/>
        <v>-</v>
      </c>
      <c r="P19" s="106" t="str">
        <f t="shared" si="5"/>
        <v>-</v>
      </c>
      <c r="Q19" s="106" t="b">
        <f t="shared" si="6"/>
        <v>0</v>
      </c>
      <c r="R19" s="516" t="str">
        <f t="shared" si="10"/>
        <v>-</v>
      </c>
      <c r="S19" s="516" t="str">
        <f t="shared" si="10"/>
        <v>-</v>
      </c>
      <c r="T19" s="516" t="str">
        <f t="shared" si="10"/>
        <v>-</v>
      </c>
      <c r="U19" s="516" t="str">
        <f t="shared" si="10"/>
        <v>-</v>
      </c>
      <c r="V19" s="516" t="str">
        <f t="shared" si="10"/>
        <v>-</v>
      </c>
      <c r="W19" s="516" t="str">
        <f t="shared" si="10"/>
        <v>-</v>
      </c>
      <c r="X19" s="516" t="str">
        <f t="shared" si="10"/>
        <v>-</v>
      </c>
      <c r="Y19" s="516" t="str">
        <f t="shared" si="10"/>
        <v>-</v>
      </c>
      <c r="Z19" s="516" t="str">
        <f t="shared" si="10"/>
        <v>-</v>
      </c>
      <c r="AA19" s="516" t="str">
        <f t="shared" si="10"/>
        <v>-</v>
      </c>
      <c r="AB19" s="516">
        <f t="shared" si="10"/>
        <v>-71.326014724844043</v>
      </c>
      <c r="AC19" s="516" t="str">
        <f t="shared" si="10"/>
        <v>-</v>
      </c>
      <c r="AD19" s="516" t="str">
        <f t="shared" si="10"/>
        <v>-</v>
      </c>
      <c r="AE19" s="516" t="str">
        <f t="shared" si="10"/>
        <v>-</v>
      </c>
      <c r="AF19" s="516" t="str">
        <f t="shared" si="10"/>
        <v>-</v>
      </c>
      <c r="AG19" s="516" t="str">
        <f t="shared" si="10"/>
        <v>-</v>
      </c>
      <c r="AH19" s="516" t="str">
        <f t="shared" ref="AH19" si="13">IF(LEN($F19)&gt;0,IF(AND(AH$8=$J19,NOT(AND(AH$8&gt;=$N19,AH$8&lt;$P19))),AH$6,IF(AND(NOT(AH$8&gt;$J18),AH$8&lt;$J19),"-",IF(AND(AH$8&gt;=$N19,AH$8&lt;$P19),"???",IF(AND(AH$8&gt;$J18,AH$8&lt;$J19),AH$6*(AH$8-$J18)/($J19-$J18),IF(AND(AH$8&gt;$J19,AH$8&lt;$J20),AH$6*($J20-AH$8)/($J20-$J19),"-"))))),"-")</f>
        <v>-</v>
      </c>
      <c r="AI19" s="516" t="str">
        <f t="shared" si="12"/>
        <v>-</v>
      </c>
      <c r="AJ19" s="516" t="str">
        <f t="shared" si="12"/>
        <v>-</v>
      </c>
      <c r="AK19" s="516" t="str">
        <f t="shared" si="12"/>
        <v>-</v>
      </c>
      <c r="AL19" s="516" t="str">
        <f t="shared" si="12"/>
        <v>-</v>
      </c>
      <c r="AM19" s="516" t="str">
        <f t="shared" si="12"/>
        <v>-</v>
      </c>
      <c r="AN19" s="516" t="str">
        <f t="shared" si="12"/>
        <v>-</v>
      </c>
      <c r="AO19" s="516" t="str">
        <f t="shared" si="12"/>
        <v>-</v>
      </c>
      <c r="AP19" s="516" t="str">
        <f t="shared" si="12"/>
        <v>-</v>
      </c>
      <c r="AQ19" s="516" t="str">
        <f t="shared" si="12"/>
        <v>-</v>
      </c>
      <c r="AR19" s="516" t="str">
        <f t="shared" si="12"/>
        <v>-</v>
      </c>
      <c r="AS19" s="516" t="str">
        <f t="shared" si="12"/>
        <v>-</v>
      </c>
      <c r="AT19" s="516" t="str">
        <f t="shared" si="12"/>
        <v>-</v>
      </c>
      <c r="AU19" s="516" t="str">
        <f t="shared" si="12"/>
        <v>-</v>
      </c>
      <c r="AV19" s="516" t="str">
        <f t="shared" si="12"/>
        <v>-</v>
      </c>
      <c r="AW19" s="516" t="str">
        <f t="shared" si="12"/>
        <v>-</v>
      </c>
      <c r="AX19" s="516" t="str">
        <f t="shared" si="12"/>
        <v>-</v>
      </c>
      <c r="AY19" s="516" t="str">
        <f t="shared" si="12"/>
        <v>-</v>
      </c>
      <c r="AZ19" s="516" t="str">
        <f t="shared" si="12"/>
        <v>-</v>
      </c>
      <c r="BA19" s="516" t="str">
        <f t="shared" si="12"/>
        <v>-</v>
      </c>
      <c r="BB19" s="516" t="str">
        <f t="shared" si="12"/>
        <v>-</v>
      </c>
      <c r="BC19" s="516" t="str">
        <f t="shared" si="12"/>
        <v>-</v>
      </c>
      <c r="BD19" s="516" t="str">
        <f t="shared" si="12"/>
        <v>-</v>
      </c>
      <c r="BE19" s="516" t="str">
        <f t="shared" si="12"/>
        <v>-</v>
      </c>
      <c r="BF19" s="516" t="str">
        <f t="shared" si="12"/>
        <v>-</v>
      </c>
      <c r="BG19" s="516" t="str">
        <f t="shared" si="12"/>
        <v>-</v>
      </c>
      <c r="BH19" s="516" t="str">
        <f t="shared" si="12"/>
        <v>-</v>
      </c>
      <c r="BI19" s="516" t="str">
        <f t="shared" si="12"/>
        <v>-</v>
      </c>
      <c r="BJ19" s="516" t="str">
        <f t="shared" si="12"/>
        <v>-</v>
      </c>
      <c r="BK19" s="516" t="str">
        <f t="shared" si="12"/>
        <v>-</v>
      </c>
      <c r="BL19" s="516" t="str">
        <f t="shared" si="12"/>
        <v>-</v>
      </c>
      <c r="BM19" s="516" t="str">
        <f t="shared" si="12"/>
        <v>-</v>
      </c>
      <c r="BN19" s="516" t="str">
        <f t="shared" si="12"/>
        <v>-</v>
      </c>
      <c r="BO19" s="516" t="str">
        <f t="shared" si="12"/>
        <v>-</v>
      </c>
      <c r="BP19" s="516" t="str">
        <f t="shared" si="12"/>
        <v>-</v>
      </c>
      <c r="BQ19" s="516" t="str">
        <f t="shared" si="12"/>
        <v>-</v>
      </c>
      <c r="BR19" s="516" t="str">
        <f t="shared" si="12"/>
        <v>-</v>
      </c>
      <c r="BS19" s="516" t="str">
        <f t="shared" si="12"/>
        <v>-</v>
      </c>
      <c r="BT19" s="516" t="str">
        <f t="shared" si="12"/>
        <v>-</v>
      </c>
      <c r="BU19" s="516" t="str">
        <f t="shared" si="12"/>
        <v>-</v>
      </c>
      <c r="BV19" s="516" t="str">
        <f t="shared" si="12"/>
        <v>-</v>
      </c>
      <c r="BW19" s="516" t="str">
        <f t="shared" si="12"/>
        <v>-</v>
      </c>
      <c r="BX19" s="516" t="str">
        <f t="shared" si="12"/>
        <v>-</v>
      </c>
      <c r="BY19" s="516" t="str">
        <f t="shared" si="12"/>
        <v>-</v>
      </c>
      <c r="BZ19" s="516" t="str">
        <f t="shared" si="12"/>
        <v>-</v>
      </c>
      <c r="CA19" s="516" t="str">
        <f t="shared" si="12"/>
        <v>-</v>
      </c>
    </row>
    <row r="20" spans="1:79">
      <c r="A20" s="105">
        <v>12</v>
      </c>
      <c r="B20" s="112" t="str">
        <v>6M</v>
      </c>
      <c r="C20" s="512">
        <f>'usd disaggregated'!AO28</f>
        <v>43.619140742190041</v>
      </c>
      <c r="D20" s="111" t="str">
        <f t="shared" si="8"/>
        <v>6M</v>
      </c>
      <c r="E20" s="517">
        <f>IF(LEN(B20)&gt;0,CHOOSE(MATCH(RIGHT(D20,1),{"D","W","M"},0),NextBusDay($C$4,LEFT(D20,LEN(D20)-1)),NextBusDay($C$4+7*LEFT(D20,LEN(D20)-1)),NextBusDay(EDATE($C$4,LEFT(D20,LEN(D20)-1)))),"")</f>
        <v>42851</v>
      </c>
      <c r="F20" s="107" t="str">
        <v>6M</v>
      </c>
      <c r="G20" s="106" t="str">
        <v>6M</v>
      </c>
      <c r="H20" s="106" t="str">
        <f t="shared" si="9"/>
        <v>6M</v>
      </c>
      <c r="I20" s="261" t="str">
        <v>D</v>
      </c>
      <c r="J20" s="106">
        <f>IF(LEN(F20)&gt;0,IF(I20="S",H20,IF(I20="F",EDATE(H20,3),CHOOSE(MATCH(RIGHT(H20,1),{"D","W","M"},0),NextBusDay($C$4,LEFT(H20,LEN(H20)-1)),NextBusDay($C$4+7*LEFT(H20,LEN(H20)-1)),NextBusDay(EDATE($C$4,LEFT(H20,LEN(H20)-1)))))),"")</f>
        <v>42851</v>
      </c>
      <c r="L20" s="515">
        <f t="shared" si="2"/>
        <v>98.167551953574346</v>
      </c>
      <c r="N20" s="106" t="str">
        <f t="shared" si="3"/>
        <v>-</v>
      </c>
      <c r="O20" s="106" t="str">
        <f t="shared" si="4"/>
        <v>-</v>
      </c>
      <c r="P20" s="106" t="str">
        <f t="shared" si="5"/>
        <v>-</v>
      </c>
      <c r="Q20" s="106" t="b">
        <f t="shared" si="6"/>
        <v>0</v>
      </c>
      <c r="R20" s="518" t="str">
        <f t="shared" ref="R20:CA24" si="14">IF(LEN($F20)&gt;0,IF(AND(R$8=$J20,NOT(AND(R$8&gt;=$N20,R$8&lt;$P20))),R$6,IF(AND(NOT(R$8&gt;$J19),R$8&lt;$J20),"-",IF(AND(R$8&gt;=$N20,R$8&lt;$P20),IF(R$8&lt;$O20,IF($J20=$N20,R$6*($J20-$C$4)/(R$8-$C$4),IF(R$8&lt;$J20,R$6*((R$8-$C$4)-($J19-$C$4))/(R$8-$C$4),R$6*(($J20-$J19))/(R$8-$C$4) )),IF($J20=$N20,R$6*($P20-R$8)/($P20-$O20)*($J20-$C$4)/($O20-$C$4),IF(R$8&lt;$J20,R$6*(R$8-$O20)/($P20-$O20),R$6*($P20-R$8)/($P20-$O20)*($J20-$J19)/($O20-$C$4)))),IF(AND(R$8&gt;$J19,R$8&lt;$J20),R$6*(R$8-$J19)/($J20-$J19),IF(AND(R$8&gt;$J20,R$8&lt;$J21),R$6*($J21-R$8)/($J21-$J20),"-"))))),"-")</f>
        <v>-</v>
      </c>
      <c r="S20" s="518" t="str">
        <f t="shared" si="14"/>
        <v>-</v>
      </c>
      <c r="T20" s="518" t="str">
        <f t="shared" si="14"/>
        <v>-</v>
      </c>
      <c r="U20" s="518" t="str">
        <f t="shared" si="14"/>
        <v>-</v>
      </c>
      <c r="V20" s="518" t="str">
        <f t="shared" si="14"/>
        <v>-</v>
      </c>
      <c r="W20" s="518" t="str">
        <f t="shared" si="14"/>
        <v>-</v>
      </c>
      <c r="X20" s="518" t="str">
        <f t="shared" si="14"/>
        <v>-</v>
      </c>
      <c r="Y20" s="518" t="str">
        <f t="shared" si="14"/>
        <v>-</v>
      </c>
      <c r="Z20" s="518" t="str">
        <f t="shared" si="14"/>
        <v>-</v>
      </c>
      <c r="AA20" s="518" t="str">
        <f t="shared" si="14"/>
        <v>-</v>
      </c>
      <c r="AB20" s="518" t="str">
        <f t="shared" si="14"/>
        <v>-</v>
      </c>
      <c r="AC20" s="518">
        <f t="shared" si="14"/>
        <v>43.619140742190041</v>
      </c>
      <c r="AD20" s="518">
        <f t="shared" si="14"/>
        <v>54.548411211384305</v>
      </c>
      <c r="AE20" s="518" t="str">
        <f t="shared" si="14"/>
        <v>-</v>
      </c>
      <c r="AF20" s="518" t="str">
        <f t="shared" si="14"/>
        <v>-</v>
      </c>
      <c r="AG20" s="518" t="str">
        <f t="shared" si="14"/>
        <v>-</v>
      </c>
      <c r="AH20" s="518" t="str">
        <f t="shared" si="14"/>
        <v>-</v>
      </c>
      <c r="AI20" s="518" t="str">
        <f t="shared" si="14"/>
        <v>-</v>
      </c>
      <c r="AJ20" s="518" t="str">
        <f t="shared" si="14"/>
        <v>-</v>
      </c>
      <c r="AK20" s="518" t="str">
        <f t="shared" si="14"/>
        <v>-</v>
      </c>
      <c r="AL20" s="518" t="str">
        <f t="shared" si="14"/>
        <v>-</v>
      </c>
      <c r="AM20" s="518" t="str">
        <f t="shared" si="14"/>
        <v>-</v>
      </c>
      <c r="AN20" s="518" t="str">
        <f t="shared" si="14"/>
        <v>-</v>
      </c>
      <c r="AO20" s="518" t="str">
        <f t="shared" si="14"/>
        <v>-</v>
      </c>
      <c r="AP20" s="518" t="str">
        <f t="shared" si="14"/>
        <v>-</v>
      </c>
      <c r="AQ20" s="518" t="str">
        <f t="shared" si="14"/>
        <v>-</v>
      </c>
      <c r="AR20" s="518" t="str">
        <f t="shared" si="14"/>
        <v>-</v>
      </c>
      <c r="AS20" s="518" t="str">
        <f t="shared" si="14"/>
        <v>-</v>
      </c>
      <c r="AT20" s="518" t="str">
        <f t="shared" si="14"/>
        <v>-</v>
      </c>
      <c r="AU20" s="518" t="str">
        <f t="shared" si="14"/>
        <v>-</v>
      </c>
      <c r="AV20" s="518" t="str">
        <f t="shared" si="14"/>
        <v>-</v>
      </c>
      <c r="AW20" s="518" t="str">
        <f t="shared" si="14"/>
        <v>-</v>
      </c>
      <c r="AX20" s="518" t="str">
        <f t="shared" si="14"/>
        <v>-</v>
      </c>
      <c r="AY20" s="518" t="str">
        <f t="shared" si="14"/>
        <v>-</v>
      </c>
      <c r="AZ20" s="518" t="str">
        <f t="shared" si="14"/>
        <v>-</v>
      </c>
      <c r="BA20" s="518" t="str">
        <f t="shared" si="14"/>
        <v>-</v>
      </c>
      <c r="BB20" s="518" t="str">
        <f t="shared" si="14"/>
        <v>-</v>
      </c>
      <c r="BC20" s="518" t="str">
        <f t="shared" si="14"/>
        <v>-</v>
      </c>
      <c r="BD20" s="518" t="str">
        <f t="shared" si="14"/>
        <v>-</v>
      </c>
      <c r="BE20" s="518" t="str">
        <f t="shared" si="14"/>
        <v>-</v>
      </c>
      <c r="BF20" s="518" t="str">
        <f t="shared" si="14"/>
        <v>-</v>
      </c>
      <c r="BG20" s="518" t="str">
        <f t="shared" si="14"/>
        <v>-</v>
      </c>
      <c r="BH20" s="518" t="str">
        <f t="shared" si="14"/>
        <v>-</v>
      </c>
      <c r="BI20" s="518" t="str">
        <f t="shared" si="14"/>
        <v>-</v>
      </c>
      <c r="BJ20" s="518" t="str">
        <f t="shared" si="14"/>
        <v>-</v>
      </c>
      <c r="BK20" s="518" t="str">
        <f t="shared" si="14"/>
        <v>-</v>
      </c>
      <c r="BL20" s="518" t="str">
        <f t="shared" si="14"/>
        <v>-</v>
      </c>
      <c r="BM20" s="518" t="str">
        <f t="shared" si="14"/>
        <v>-</v>
      </c>
      <c r="BN20" s="518" t="str">
        <f t="shared" si="14"/>
        <v>-</v>
      </c>
      <c r="BO20" s="518" t="str">
        <f t="shared" si="14"/>
        <v>-</v>
      </c>
      <c r="BP20" s="518" t="str">
        <f t="shared" si="14"/>
        <v>-</v>
      </c>
      <c r="BQ20" s="518" t="str">
        <f t="shared" si="14"/>
        <v>-</v>
      </c>
      <c r="BR20" s="518" t="str">
        <f t="shared" si="14"/>
        <v>-</v>
      </c>
      <c r="BS20" s="518" t="str">
        <f t="shared" si="14"/>
        <v>-</v>
      </c>
      <c r="BT20" s="518" t="str">
        <f t="shared" si="14"/>
        <v>-</v>
      </c>
      <c r="BU20" s="518" t="str">
        <f t="shared" si="14"/>
        <v>-</v>
      </c>
      <c r="BV20" s="518" t="str">
        <f t="shared" si="14"/>
        <v>-</v>
      </c>
      <c r="BW20" s="518" t="str">
        <f t="shared" si="14"/>
        <v>-</v>
      </c>
      <c r="BX20" s="518" t="str">
        <f t="shared" si="14"/>
        <v>-</v>
      </c>
      <c r="BY20" s="518" t="str">
        <f t="shared" si="14"/>
        <v>-</v>
      </c>
      <c r="BZ20" s="518" t="str">
        <f t="shared" si="14"/>
        <v>-</v>
      </c>
      <c r="CA20" s="518" t="str">
        <f t="shared" si="14"/>
        <v>-</v>
      </c>
    </row>
    <row r="21" spans="1:79">
      <c r="A21" s="105">
        <v>13</v>
      </c>
      <c r="B21" s="112" t="str">
        <v>7M</v>
      </c>
      <c r="C21" s="512">
        <f>'usd disaggregated'!AO29</f>
        <v>117.48888568605851</v>
      </c>
      <c r="D21" s="111" t="str">
        <f t="shared" si="8"/>
        <v>7M</v>
      </c>
      <c r="E21" s="517">
        <f>IF(LEN(B21)&gt;0,CHOOSE(MATCH(RIGHT(D21,1),{"D","W","M"},0),NextBusDay($C$4,LEFT(D21,LEN(D21)-1)),NextBusDay($C$4+7*LEFT(D21,LEN(D21)-1)),NextBusDay(EDATE($C$4,LEFT(D21,LEN(D21)-1)))),"")</f>
        <v>42881</v>
      </c>
      <c r="F21" s="107" t="str">
        <v>21/06/17</v>
      </c>
      <c r="G21" s="106" t="str">
        <v>#20170621</v>
      </c>
      <c r="H21" s="106">
        <f t="shared" si="9"/>
        <v>42907</v>
      </c>
      <c r="I21" s="261" t="str">
        <v>S</v>
      </c>
      <c r="J21" s="106">
        <f>IF(LEN(F21)&gt;0,IF(I21="S",H21,IF(I21="F",EDATE(H21,3),CHOOSE(MATCH(RIGHT(H21,1),{"D","W","M"},0),NextBusDay($C$4,LEFT(H21,LEN(H21)-1)),NextBusDay($C$4+7*LEFT(H21,LEN(H21)-1)),NextBusDay(EDATE($C$4,LEFT(H21,LEN(H21)-1)))))),"")</f>
        <v>42907</v>
      </c>
      <c r="L21" s="515">
        <f t="shared" si="2"/>
        <v>-3064.848431270706</v>
      </c>
      <c r="N21" s="106">
        <f t="shared" si="3"/>
        <v>42907</v>
      </c>
      <c r="O21" s="106">
        <f t="shared" si="4"/>
        <v>43453</v>
      </c>
      <c r="P21" s="106">
        <f t="shared" si="5"/>
        <v>43766</v>
      </c>
      <c r="Q21" s="106" t="b">
        <f t="shared" si="6"/>
        <v>0</v>
      </c>
      <c r="R21" s="518" t="str">
        <f t="shared" si="14"/>
        <v>-</v>
      </c>
      <c r="S21" s="518" t="str">
        <f t="shared" si="14"/>
        <v>-</v>
      </c>
      <c r="T21" s="518" t="str">
        <f t="shared" si="14"/>
        <v>-</v>
      </c>
      <c r="U21" s="518" t="str">
        <f t="shared" si="14"/>
        <v>-</v>
      </c>
      <c r="V21" s="518" t="str">
        <f t="shared" si="14"/>
        <v>-</v>
      </c>
      <c r="W21" s="518" t="str">
        <f t="shared" si="14"/>
        <v>-</v>
      </c>
      <c r="X21" s="518" t="str">
        <f t="shared" si="14"/>
        <v>-</v>
      </c>
      <c r="Y21" s="518" t="str">
        <f t="shared" si="14"/>
        <v>-</v>
      </c>
      <c r="Z21" s="518" t="str">
        <f t="shared" si="14"/>
        <v>-</v>
      </c>
      <c r="AA21" s="518" t="str">
        <f t="shared" si="14"/>
        <v>-</v>
      </c>
      <c r="AB21" s="518" t="str">
        <f t="shared" si="14"/>
        <v>-</v>
      </c>
      <c r="AC21" s="518" t="str">
        <f t="shared" si="14"/>
        <v>-</v>
      </c>
      <c r="AD21" s="518">
        <f t="shared" si="14"/>
        <v>62.940474474674204</v>
      </c>
      <c r="AE21" s="518">
        <f t="shared" si="14"/>
        <v>-157.52657718910984</v>
      </c>
      <c r="AF21" s="518">
        <f t="shared" si="14"/>
        <v>-220.41096248514464</v>
      </c>
      <c r="AG21" s="518">
        <f t="shared" si="14"/>
        <v>132.66698046576423</v>
      </c>
      <c r="AH21" s="518">
        <f t="shared" si="14"/>
        <v>-484.21774411694935</v>
      </c>
      <c r="AI21" s="518">
        <f t="shared" si="14"/>
        <v>-156.26136431272511</v>
      </c>
      <c r="AJ21" s="518">
        <f t="shared" si="14"/>
        <v>-276.33701062331733</v>
      </c>
      <c r="AK21" s="518">
        <f t="shared" si="14"/>
        <v>-5742.7030582364214</v>
      </c>
      <c r="AL21" s="518">
        <f t="shared" si="14"/>
        <v>11660.428374602941</v>
      </c>
      <c r="AM21" s="518">
        <f t="shared" si="14"/>
        <v>-7883.4275438504183</v>
      </c>
      <c r="AN21" s="518" t="str">
        <f t="shared" si="14"/>
        <v>-</v>
      </c>
      <c r="AO21" s="518" t="str">
        <f t="shared" si="14"/>
        <v>-</v>
      </c>
      <c r="AP21" s="518" t="str">
        <f t="shared" si="14"/>
        <v>-</v>
      </c>
      <c r="AQ21" s="518" t="str">
        <f t="shared" si="14"/>
        <v>-</v>
      </c>
      <c r="AR21" s="518" t="str">
        <f t="shared" si="14"/>
        <v>-</v>
      </c>
      <c r="AS21" s="518" t="str">
        <f t="shared" si="14"/>
        <v>-</v>
      </c>
      <c r="AT21" s="518" t="str">
        <f t="shared" si="14"/>
        <v>-</v>
      </c>
      <c r="AU21" s="518" t="str">
        <f t="shared" si="14"/>
        <v>-</v>
      </c>
      <c r="AV21" s="518" t="str">
        <f t="shared" si="14"/>
        <v>-</v>
      </c>
      <c r="AW21" s="518" t="str">
        <f t="shared" si="14"/>
        <v>-</v>
      </c>
      <c r="AX21" s="518" t="str">
        <f t="shared" si="14"/>
        <v>-</v>
      </c>
      <c r="AY21" s="518" t="str">
        <f t="shared" si="14"/>
        <v>-</v>
      </c>
      <c r="AZ21" s="518" t="str">
        <f t="shared" si="14"/>
        <v>-</v>
      </c>
      <c r="BA21" s="518" t="str">
        <f t="shared" si="14"/>
        <v>-</v>
      </c>
      <c r="BB21" s="518" t="str">
        <f t="shared" si="14"/>
        <v>-</v>
      </c>
      <c r="BC21" s="518" t="str">
        <f t="shared" si="14"/>
        <v>-</v>
      </c>
      <c r="BD21" s="518" t="str">
        <f t="shared" si="14"/>
        <v>-</v>
      </c>
      <c r="BE21" s="518" t="str">
        <f t="shared" si="14"/>
        <v>-</v>
      </c>
      <c r="BF21" s="518" t="str">
        <f t="shared" si="14"/>
        <v>-</v>
      </c>
      <c r="BG21" s="518" t="str">
        <f t="shared" si="14"/>
        <v>-</v>
      </c>
      <c r="BH21" s="518" t="str">
        <f t="shared" si="14"/>
        <v>-</v>
      </c>
      <c r="BI21" s="518" t="str">
        <f t="shared" si="14"/>
        <v>-</v>
      </c>
      <c r="BJ21" s="518" t="str">
        <f t="shared" si="14"/>
        <v>-</v>
      </c>
      <c r="BK21" s="518" t="str">
        <f t="shared" si="14"/>
        <v>-</v>
      </c>
      <c r="BL21" s="518" t="str">
        <f t="shared" si="14"/>
        <v>-</v>
      </c>
      <c r="BM21" s="518" t="str">
        <f t="shared" si="14"/>
        <v>-</v>
      </c>
      <c r="BN21" s="518" t="str">
        <f t="shared" si="14"/>
        <v>-</v>
      </c>
      <c r="BO21" s="518" t="str">
        <f t="shared" si="14"/>
        <v>-</v>
      </c>
      <c r="BP21" s="518" t="str">
        <f t="shared" si="14"/>
        <v>-</v>
      </c>
      <c r="BQ21" s="518" t="str">
        <f t="shared" si="14"/>
        <v>-</v>
      </c>
      <c r="BR21" s="518" t="str">
        <f t="shared" si="14"/>
        <v>-</v>
      </c>
      <c r="BS21" s="518" t="str">
        <f t="shared" si="14"/>
        <v>-</v>
      </c>
      <c r="BT21" s="518" t="str">
        <f t="shared" si="14"/>
        <v>-</v>
      </c>
      <c r="BU21" s="518" t="str">
        <f t="shared" si="14"/>
        <v>-</v>
      </c>
      <c r="BV21" s="518" t="str">
        <f t="shared" si="14"/>
        <v>-</v>
      </c>
      <c r="BW21" s="518" t="str">
        <f t="shared" si="14"/>
        <v>-</v>
      </c>
      <c r="BX21" s="518" t="str">
        <f t="shared" si="14"/>
        <v>-</v>
      </c>
      <c r="BY21" s="518" t="str">
        <f t="shared" si="14"/>
        <v>-</v>
      </c>
      <c r="BZ21" s="518" t="str">
        <f t="shared" si="14"/>
        <v>-</v>
      </c>
      <c r="CA21" s="518" t="str">
        <f t="shared" si="14"/>
        <v>-</v>
      </c>
    </row>
    <row r="22" spans="1:79">
      <c r="A22" s="105">
        <v>14</v>
      </c>
      <c r="B22" s="112" t="str">
        <v>8M</v>
      </c>
      <c r="C22" s="512">
        <f>'usd disaggregated'!AO30</f>
        <v>-160.84122653634495</v>
      </c>
      <c r="D22" s="111" t="str">
        <f t="shared" si="8"/>
        <v>8M</v>
      </c>
      <c r="E22" s="517">
        <f>IF(LEN(B22)&gt;0,CHOOSE(MATCH(RIGHT(D22,1),{"D","W","M"},0),NextBusDay($C$4,LEFT(D22,LEN(D22)-1)),NextBusDay($C$4+7*LEFT(D22,LEN(D22)-1)),NextBusDay(EDATE($C$4,LEFT(D22,LEN(D22)-1)))),"")</f>
        <v>42912</v>
      </c>
      <c r="F22" s="107" t="str">
        <v>JUN 17</v>
      </c>
      <c r="G22" s="106">
        <v>42907</v>
      </c>
      <c r="H22" s="106">
        <f t="shared" si="9"/>
        <v>42907</v>
      </c>
      <c r="I22" s="261" t="str">
        <v>F</v>
      </c>
      <c r="J22" s="106">
        <f>IF(LEN(F22)&gt;0,IF(I22="S",H22,IF(I22="F",EDATE(H22,3),CHOOSE(MATCH(RIGHT(H22,1),{"D","W","M"},0),NextBusDay($C$4,LEFT(H22,LEN(H22)-1)),NextBusDay($C$4+7*LEFT(H22,LEN(H22)-1)),NextBusDay(EDATE($C$4,LEFT(H22,LEN(H22)-1)))))),"")</f>
        <v>42999</v>
      </c>
      <c r="L22" s="515">
        <f t="shared" si="2"/>
        <v>-1113.8387529172905</v>
      </c>
      <c r="N22" s="106">
        <f t="shared" si="3"/>
        <v>42907</v>
      </c>
      <c r="O22" s="106">
        <f t="shared" si="4"/>
        <v>43453</v>
      </c>
      <c r="P22" s="106">
        <f t="shared" si="5"/>
        <v>43766</v>
      </c>
      <c r="Q22" s="106" t="b">
        <f t="shared" si="6"/>
        <v>1</v>
      </c>
      <c r="R22" s="518" t="str">
        <f t="shared" si="14"/>
        <v>-</v>
      </c>
      <c r="S22" s="518" t="str">
        <f t="shared" si="14"/>
        <v>-</v>
      </c>
      <c r="T22" s="518" t="str">
        <f t="shared" si="14"/>
        <v>-</v>
      </c>
      <c r="U22" s="518" t="str">
        <f t="shared" si="14"/>
        <v>-</v>
      </c>
      <c r="V22" s="518" t="str">
        <f t="shared" si="14"/>
        <v>-</v>
      </c>
      <c r="W22" s="518" t="str">
        <f t="shared" si="14"/>
        <v>-</v>
      </c>
      <c r="X22" s="518" t="str">
        <f t="shared" si="14"/>
        <v>-</v>
      </c>
      <c r="Y22" s="518" t="str">
        <f t="shared" si="14"/>
        <v>-</v>
      </c>
      <c r="Z22" s="518" t="str">
        <f t="shared" si="14"/>
        <v>-</v>
      </c>
      <c r="AA22" s="518" t="str">
        <f t="shared" si="14"/>
        <v>-</v>
      </c>
      <c r="AB22" s="518" t="str">
        <f t="shared" si="14"/>
        <v>-</v>
      </c>
      <c r="AC22" s="518" t="str">
        <f t="shared" si="14"/>
        <v>-</v>
      </c>
      <c r="AD22" s="518" t="str">
        <f t="shared" si="14"/>
        <v>-</v>
      </c>
      <c r="AE22" s="518">
        <f t="shared" si="14"/>
        <v>-3.3146493472351177</v>
      </c>
      <c r="AF22" s="518">
        <f t="shared" si="14"/>
        <v>-32.464968526133191</v>
      </c>
      <c r="AG22" s="518">
        <f t="shared" si="14"/>
        <v>37.965183916534947</v>
      </c>
      <c r="AH22" s="518">
        <f t="shared" si="14"/>
        <v>-187.474532037561</v>
      </c>
      <c r="AI22" s="518">
        <f t="shared" si="14"/>
        <v>-60.499695655522238</v>
      </c>
      <c r="AJ22" s="518">
        <f t="shared" si="14"/>
        <v>-106.98937075455997</v>
      </c>
      <c r="AK22" s="518">
        <f t="shared" si="14"/>
        <v>-2223.4017269171327</v>
      </c>
      <c r="AL22" s="518">
        <f t="shared" si="14"/>
        <v>4514.5668027361862</v>
      </c>
      <c r="AM22" s="518">
        <f t="shared" si="14"/>
        <v>-3052.2257963318675</v>
      </c>
      <c r="AN22" s="518" t="str">
        <f t="shared" si="14"/>
        <v>-</v>
      </c>
      <c r="AO22" s="518" t="str">
        <f t="shared" si="14"/>
        <v>-</v>
      </c>
      <c r="AP22" s="518" t="str">
        <f t="shared" si="14"/>
        <v>-</v>
      </c>
      <c r="AQ22" s="518" t="str">
        <f t="shared" si="14"/>
        <v>-</v>
      </c>
      <c r="AR22" s="518" t="str">
        <f t="shared" si="14"/>
        <v>-</v>
      </c>
      <c r="AS22" s="518" t="str">
        <f t="shared" si="14"/>
        <v>-</v>
      </c>
      <c r="AT22" s="518" t="str">
        <f t="shared" si="14"/>
        <v>-</v>
      </c>
      <c r="AU22" s="518" t="str">
        <f t="shared" si="14"/>
        <v>-</v>
      </c>
      <c r="AV22" s="518" t="str">
        <f t="shared" si="14"/>
        <v>-</v>
      </c>
      <c r="AW22" s="518" t="str">
        <f t="shared" si="14"/>
        <v>-</v>
      </c>
      <c r="AX22" s="518" t="str">
        <f t="shared" si="14"/>
        <v>-</v>
      </c>
      <c r="AY22" s="518" t="str">
        <f t="shared" si="14"/>
        <v>-</v>
      </c>
      <c r="AZ22" s="518" t="str">
        <f t="shared" si="14"/>
        <v>-</v>
      </c>
      <c r="BA22" s="518" t="str">
        <f t="shared" si="14"/>
        <v>-</v>
      </c>
      <c r="BB22" s="518" t="str">
        <f t="shared" si="14"/>
        <v>-</v>
      </c>
      <c r="BC22" s="518" t="str">
        <f t="shared" si="14"/>
        <v>-</v>
      </c>
      <c r="BD22" s="518" t="str">
        <f t="shared" si="14"/>
        <v>-</v>
      </c>
      <c r="BE22" s="518" t="str">
        <f t="shared" si="14"/>
        <v>-</v>
      </c>
      <c r="BF22" s="518" t="str">
        <f t="shared" si="14"/>
        <v>-</v>
      </c>
      <c r="BG22" s="518" t="str">
        <f t="shared" si="14"/>
        <v>-</v>
      </c>
      <c r="BH22" s="518" t="str">
        <f t="shared" si="14"/>
        <v>-</v>
      </c>
      <c r="BI22" s="518" t="str">
        <f t="shared" si="14"/>
        <v>-</v>
      </c>
      <c r="BJ22" s="518" t="str">
        <f t="shared" si="14"/>
        <v>-</v>
      </c>
      <c r="BK22" s="518" t="str">
        <f t="shared" si="14"/>
        <v>-</v>
      </c>
      <c r="BL22" s="518" t="str">
        <f t="shared" si="14"/>
        <v>-</v>
      </c>
      <c r="BM22" s="518" t="str">
        <f t="shared" si="14"/>
        <v>-</v>
      </c>
      <c r="BN22" s="518" t="str">
        <f t="shared" si="14"/>
        <v>-</v>
      </c>
      <c r="BO22" s="518" t="str">
        <f t="shared" si="14"/>
        <v>-</v>
      </c>
      <c r="BP22" s="518" t="str">
        <f t="shared" si="14"/>
        <v>-</v>
      </c>
      <c r="BQ22" s="518" t="str">
        <f t="shared" si="14"/>
        <v>-</v>
      </c>
      <c r="BR22" s="518" t="str">
        <f t="shared" si="14"/>
        <v>-</v>
      </c>
      <c r="BS22" s="518" t="str">
        <f t="shared" si="14"/>
        <v>-</v>
      </c>
      <c r="BT22" s="518" t="str">
        <f t="shared" si="14"/>
        <v>-</v>
      </c>
      <c r="BU22" s="518" t="str">
        <f t="shared" si="14"/>
        <v>-</v>
      </c>
      <c r="BV22" s="518" t="str">
        <f t="shared" si="14"/>
        <v>-</v>
      </c>
      <c r="BW22" s="518" t="str">
        <f t="shared" si="14"/>
        <v>-</v>
      </c>
      <c r="BX22" s="518" t="str">
        <f t="shared" si="14"/>
        <v>-</v>
      </c>
      <c r="BY22" s="518" t="str">
        <f t="shared" si="14"/>
        <v>-</v>
      </c>
      <c r="BZ22" s="518" t="str">
        <f t="shared" si="14"/>
        <v>-</v>
      </c>
      <c r="CA22" s="518" t="str">
        <f t="shared" si="14"/>
        <v>-</v>
      </c>
    </row>
    <row r="23" spans="1:79">
      <c r="A23" s="105">
        <v>15</v>
      </c>
      <c r="B23" s="112" t="str">
        <v>9M</v>
      </c>
      <c r="C23" s="512">
        <f>'usd disaggregated'!AO31</f>
        <v>-252.87593101127783</v>
      </c>
      <c r="D23" s="111" t="str">
        <f t="shared" si="8"/>
        <v>9M</v>
      </c>
      <c r="E23" s="517">
        <f>IF(LEN(B23)&gt;0,CHOOSE(MATCH(RIGHT(D23,1),{"D","W","M"},0),NextBusDay($C$4,LEFT(D23,LEN(D23)-1)),NextBusDay($C$4+7*LEFT(D23,LEN(D23)-1)),NextBusDay(EDATE($C$4,LEFT(D23,LEN(D23)-1)))),"")</f>
        <v>42942</v>
      </c>
      <c r="F23" s="107" t="str">
        <v>SEP 17</v>
      </c>
      <c r="G23" s="106">
        <v>42998</v>
      </c>
      <c r="H23" s="106">
        <f t="shared" si="9"/>
        <v>42998</v>
      </c>
      <c r="I23" s="261" t="str">
        <v>F</v>
      </c>
      <c r="J23" s="106">
        <f>IF(LEN(F23)&gt;0,IF(I23="S",H23,IF(I23="F",EDATE(H23,3),CHOOSE(MATCH(RIGHT(H23,1),{"D","W","M"},0),NextBusDay($C$4,LEFT(H23,LEN(H23)-1)),NextBusDay($C$4+7*LEFT(H23,LEN(H23)-1)),NextBusDay(EDATE($C$4,LEFT(H23,LEN(H23)-1)))))),"")</f>
        <v>43089</v>
      </c>
      <c r="L23" s="515">
        <f t="shared" si="2"/>
        <v>-882.38445893690005</v>
      </c>
      <c r="N23" s="106">
        <f t="shared" si="3"/>
        <v>42907</v>
      </c>
      <c r="O23" s="106">
        <f t="shared" si="4"/>
        <v>43453</v>
      </c>
      <c r="P23" s="106">
        <f t="shared" si="5"/>
        <v>43766</v>
      </c>
      <c r="Q23" s="106" t="b">
        <f t="shared" si="6"/>
        <v>1</v>
      </c>
      <c r="R23" s="518" t="str">
        <f t="shared" si="14"/>
        <v>-</v>
      </c>
      <c r="S23" s="518" t="str">
        <f t="shared" si="14"/>
        <v>-</v>
      </c>
      <c r="T23" s="518" t="str">
        <f t="shared" si="14"/>
        <v>-</v>
      </c>
      <c r="U23" s="518" t="str">
        <f t="shared" si="14"/>
        <v>-</v>
      </c>
      <c r="V23" s="518" t="str">
        <f t="shared" si="14"/>
        <v>-</v>
      </c>
      <c r="W23" s="518" t="str">
        <f t="shared" si="14"/>
        <v>-</v>
      </c>
      <c r="X23" s="518" t="str">
        <f t="shared" si="14"/>
        <v>-</v>
      </c>
      <c r="Y23" s="518" t="str">
        <f t="shared" si="14"/>
        <v>-</v>
      </c>
      <c r="Z23" s="518" t="str">
        <f t="shared" si="14"/>
        <v>-</v>
      </c>
      <c r="AA23" s="518" t="str">
        <f t="shared" si="14"/>
        <v>-</v>
      </c>
      <c r="AB23" s="518" t="str">
        <f t="shared" si="14"/>
        <v>-</v>
      </c>
      <c r="AC23" s="518" t="str">
        <f t="shared" si="14"/>
        <v>-</v>
      </c>
      <c r="AD23" s="518" t="str">
        <f t="shared" si="14"/>
        <v>-</v>
      </c>
      <c r="AE23" s="518" t="str">
        <f t="shared" si="14"/>
        <v>-</v>
      </c>
      <c r="AF23" s="518" t="str">
        <f t="shared" si="14"/>
        <v>-</v>
      </c>
      <c r="AG23" s="518" t="str">
        <f t="shared" si="14"/>
        <v>-</v>
      </c>
      <c r="AH23" s="518">
        <f t="shared" si="14"/>
        <v>-10.188833262910924</v>
      </c>
      <c r="AI23" s="518">
        <f t="shared" si="14"/>
        <v>-23.016188564600853</v>
      </c>
      <c r="AJ23" s="518">
        <f t="shared" si="14"/>
        <v>-104.66351486859128</v>
      </c>
      <c r="AK23" s="518">
        <f t="shared" si="14"/>
        <v>-2175.0669067667609</v>
      </c>
      <c r="AL23" s="518">
        <f t="shared" si="14"/>
        <v>4416.4240461549643</v>
      </c>
      <c r="AM23" s="518">
        <f t="shared" si="14"/>
        <v>-2985.8730616290004</v>
      </c>
      <c r="AN23" s="518" t="str">
        <f t="shared" si="14"/>
        <v>-</v>
      </c>
      <c r="AO23" s="518" t="str">
        <f t="shared" si="14"/>
        <v>-</v>
      </c>
      <c r="AP23" s="518" t="str">
        <f t="shared" si="14"/>
        <v>-</v>
      </c>
      <c r="AQ23" s="518" t="str">
        <f t="shared" si="14"/>
        <v>-</v>
      </c>
      <c r="AR23" s="518" t="str">
        <f t="shared" si="14"/>
        <v>-</v>
      </c>
      <c r="AS23" s="518" t="str">
        <f t="shared" si="14"/>
        <v>-</v>
      </c>
      <c r="AT23" s="518" t="str">
        <f t="shared" si="14"/>
        <v>-</v>
      </c>
      <c r="AU23" s="518" t="str">
        <f t="shared" si="14"/>
        <v>-</v>
      </c>
      <c r="AV23" s="518" t="str">
        <f t="shared" si="14"/>
        <v>-</v>
      </c>
      <c r="AW23" s="518" t="str">
        <f t="shared" si="14"/>
        <v>-</v>
      </c>
      <c r="AX23" s="518" t="str">
        <f t="shared" si="14"/>
        <v>-</v>
      </c>
      <c r="AY23" s="518" t="str">
        <f t="shared" si="14"/>
        <v>-</v>
      </c>
      <c r="AZ23" s="518" t="str">
        <f t="shared" si="14"/>
        <v>-</v>
      </c>
      <c r="BA23" s="518" t="str">
        <f t="shared" si="14"/>
        <v>-</v>
      </c>
      <c r="BB23" s="518" t="str">
        <f t="shared" si="14"/>
        <v>-</v>
      </c>
      <c r="BC23" s="518" t="str">
        <f t="shared" si="14"/>
        <v>-</v>
      </c>
      <c r="BD23" s="518" t="str">
        <f t="shared" si="14"/>
        <v>-</v>
      </c>
      <c r="BE23" s="518" t="str">
        <f t="shared" si="14"/>
        <v>-</v>
      </c>
      <c r="BF23" s="518" t="str">
        <f t="shared" si="14"/>
        <v>-</v>
      </c>
      <c r="BG23" s="518" t="str">
        <f t="shared" si="14"/>
        <v>-</v>
      </c>
      <c r="BH23" s="518" t="str">
        <f t="shared" si="14"/>
        <v>-</v>
      </c>
      <c r="BI23" s="518" t="str">
        <f t="shared" si="14"/>
        <v>-</v>
      </c>
      <c r="BJ23" s="518" t="str">
        <f t="shared" si="14"/>
        <v>-</v>
      </c>
      <c r="BK23" s="518" t="str">
        <f t="shared" si="14"/>
        <v>-</v>
      </c>
      <c r="BL23" s="518" t="str">
        <f t="shared" si="14"/>
        <v>-</v>
      </c>
      <c r="BM23" s="518" t="str">
        <f t="shared" si="14"/>
        <v>-</v>
      </c>
      <c r="BN23" s="518" t="str">
        <f t="shared" si="14"/>
        <v>-</v>
      </c>
      <c r="BO23" s="518" t="str">
        <f t="shared" si="14"/>
        <v>-</v>
      </c>
      <c r="BP23" s="518" t="str">
        <f t="shared" si="14"/>
        <v>-</v>
      </c>
      <c r="BQ23" s="518" t="str">
        <f t="shared" si="14"/>
        <v>-</v>
      </c>
      <c r="BR23" s="518" t="str">
        <f t="shared" si="14"/>
        <v>-</v>
      </c>
      <c r="BS23" s="518" t="str">
        <f t="shared" si="14"/>
        <v>-</v>
      </c>
      <c r="BT23" s="518" t="str">
        <f t="shared" si="14"/>
        <v>-</v>
      </c>
      <c r="BU23" s="518" t="str">
        <f t="shared" si="14"/>
        <v>-</v>
      </c>
      <c r="BV23" s="518" t="str">
        <f t="shared" si="14"/>
        <v>-</v>
      </c>
      <c r="BW23" s="518" t="str">
        <f t="shared" si="14"/>
        <v>-</v>
      </c>
      <c r="BX23" s="518" t="str">
        <f t="shared" si="14"/>
        <v>-</v>
      </c>
      <c r="BY23" s="518" t="str">
        <f t="shared" si="14"/>
        <v>-</v>
      </c>
      <c r="BZ23" s="518" t="str">
        <f t="shared" si="14"/>
        <v>-</v>
      </c>
      <c r="CA23" s="518" t="str">
        <f t="shared" si="14"/>
        <v>-</v>
      </c>
    </row>
    <row r="24" spans="1:79">
      <c r="A24" s="105">
        <v>16</v>
      </c>
      <c r="B24" s="112" t="str">
        <v>10M</v>
      </c>
      <c r="C24" s="512">
        <f>'usd disaggregated'!AO32</f>
        <v>170.63216438229915</v>
      </c>
      <c r="D24" s="111" t="str">
        <f t="shared" si="8"/>
        <v>10M</v>
      </c>
      <c r="E24" s="517">
        <f>IF(LEN(B24)&gt;0,CHOOSE(MATCH(RIGHT(D24,1),{"D","W","M"},0),NextBusDay($C$4,LEFT(D24,LEN(D24)-1)),NextBusDay($C$4+7*LEFT(D24,LEN(D24)-1)),NextBusDay(EDATE($C$4,LEFT(D24,LEN(D24)-1)))),"")</f>
        <v>42975</v>
      </c>
      <c r="F24" s="107" t="str">
        <v>DEC 17</v>
      </c>
      <c r="G24" s="106">
        <v>43089</v>
      </c>
      <c r="H24" s="106">
        <f t="shared" si="9"/>
        <v>43089</v>
      </c>
      <c r="I24" s="261" t="str">
        <v>F</v>
      </c>
      <c r="J24" s="106">
        <f>IF(LEN(F24)&gt;0,IF(I24="S",H24,IF(I24="F",EDATE(H24,3),CHOOSE(MATCH(RIGHT(H24,1),{"D","W","M"},0),NextBusDay($C$4,LEFT(H24,LEN(H24)-1)),NextBusDay($C$4+7*LEFT(H24,LEN(H24)-1)),NextBusDay(EDATE($C$4,LEFT(H24,LEN(H24)-1)))))),"")</f>
        <v>43179</v>
      </c>
      <c r="L24" s="515">
        <f t="shared" si="2"/>
        <v>-787.54425613121794</v>
      </c>
      <c r="N24" s="106">
        <f t="shared" si="3"/>
        <v>42907</v>
      </c>
      <c r="O24" s="106">
        <f t="shared" si="4"/>
        <v>43453</v>
      </c>
      <c r="P24" s="106">
        <f t="shared" si="5"/>
        <v>43766</v>
      </c>
      <c r="Q24" s="106" t="b">
        <f t="shared" si="6"/>
        <v>1</v>
      </c>
      <c r="R24" s="518" t="str">
        <f t="shared" si="14"/>
        <v>-</v>
      </c>
      <c r="S24" s="518" t="str">
        <f t="shared" si="14"/>
        <v>-</v>
      </c>
      <c r="T24" s="518" t="str">
        <f t="shared" si="14"/>
        <v>-</v>
      </c>
      <c r="U24" s="518" t="str">
        <f t="shared" si="14"/>
        <v>-</v>
      </c>
      <c r="V24" s="518" t="str">
        <f t="shared" si="14"/>
        <v>-</v>
      </c>
      <c r="W24" s="518" t="str">
        <f t="shared" si="14"/>
        <v>-</v>
      </c>
      <c r="X24" s="518" t="str">
        <f t="shared" si="14"/>
        <v>-</v>
      </c>
      <c r="Y24" s="518" t="str">
        <f t="shared" ref="Y24:CA25" si="15">IF(LEN($F24)&gt;0,IF(AND(Y$8=$J24,NOT(AND(Y$8&gt;=$N24,Y$8&lt;$P24))),Y$6,IF(AND(NOT(Y$8&gt;$J23),Y$8&lt;$J24),"-",IF(AND(Y$8&gt;=$N24,Y$8&lt;$P24),IF(Y$8&lt;$O24,IF($J24=$N24,Y$6*($J24-$C$4)/(Y$8-$C$4),IF(Y$8&lt;$J24,Y$6*((Y$8-$C$4)-($J23-$C$4))/(Y$8-$C$4),Y$6*(($J24-$J23))/(Y$8-$C$4) )),IF($J24=$N24,Y$6*($P24-Y$8)/($P24-$O24)*($J24-$C$4)/($O24-$C$4),IF(Y$8&lt;$J24,Y$6*(Y$8-$O24)/($P24-$O24),Y$6*($P24-Y$8)/($P24-$O24)*($J24-$J23)/($O24-$C$4)))),IF(AND(Y$8&gt;$J23,Y$8&lt;$J24),Y$6*(Y$8-$J23)/($J24-$J23),IF(AND(Y$8&gt;$J24,Y$8&lt;$J25),Y$6*($J25-Y$8)/($J25-$J24),"-"))))),"-")</f>
        <v>-</v>
      </c>
      <c r="Z24" s="518" t="str">
        <f t="shared" si="15"/>
        <v>-</v>
      </c>
      <c r="AA24" s="518" t="str">
        <f t="shared" si="15"/>
        <v>-</v>
      </c>
      <c r="AB24" s="518" t="str">
        <f t="shared" si="15"/>
        <v>-</v>
      </c>
      <c r="AC24" s="518" t="str">
        <f t="shared" si="15"/>
        <v>-</v>
      </c>
      <c r="AD24" s="518" t="str">
        <f t="shared" si="15"/>
        <v>-</v>
      </c>
      <c r="AE24" s="518" t="str">
        <f t="shared" si="15"/>
        <v>-</v>
      </c>
      <c r="AF24" s="518" t="str">
        <f t="shared" si="15"/>
        <v>-</v>
      </c>
      <c r="AG24" s="518" t="str">
        <f t="shared" si="15"/>
        <v>-</v>
      </c>
      <c r="AH24" s="518" t="str">
        <f t="shared" si="15"/>
        <v>-</v>
      </c>
      <c r="AI24" s="518" t="str">
        <f t="shared" si="15"/>
        <v>-</v>
      </c>
      <c r="AJ24" s="518">
        <f t="shared" si="15"/>
        <v>-43.028333890420853</v>
      </c>
      <c r="AK24" s="518">
        <f t="shared" si="15"/>
        <v>-2175.0669067667609</v>
      </c>
      <c r="AL24" s="518">
        <f t="shared" si="15"/>
        <v>4416.4240461549643</v>
      </c>
      <c r="AM24" s="518">
        <f t="shared" si="15"/>
        <v>-2985.8730616290004</v>
      </c>
      <c r="AN24" s="518" t="str">
        <f t="shared" si="15"/>
        <v>-</v>
      </c>
      <c r="AO24" s="518" t="str">
        <f t="shared" si="15"/>
        <v>-</v>
      </c>
      <c r="AP24" s="518" t="str">
        <f t="shared" si="15"/>
        <v>-</v>
      </c>
      <c r="AQ24" s="518" t="str">
        <f t="shared" si="15"/>
        <v>-</v>
      </c>
      <c r="AR24" s="518" t="str">
        <f t="shared" si="15"/>
        <v>-</v>
      </c>
      <c r="AS24" s="518" t="str">
        <f t="shared" si="15"/>
        <v>-</v>
      </c>
      <c r="AT24" s="518" t="str">
        <f t="shared" si="15"/>
        <v>-</v>
      </c>
      <c r="AU24" s="518" t="str">
        <f t="shared" si="15"/>
        <v>-</v>
      </c>
      <c r="AV24" s="518" t="str">
        <f t="shared" si="15"/>
        <v>-</v>
      </c>
      <c r="AW24" s="518" t="str">
        <f t="shared" si="15"/>
        <v>-</v>
      </c>
      <c r="AX24" s="518" t="str">
        <f t="shared" si="15"/>
        <v>-</v>
      </c>
      <c r="AY24" s="518" t="str">
        <f t="shared" si="15"/>
        <v>-</v>
      </c>
      <c r="AZ24" s="518" t="str">
        <f t="shared" si="15"/>
        <v>-</v>
      </c>
      <c r="BA24" s="518" t="str">
        <f t="shared" si="15"/>
        <v>-</v>
      </c>
      <c r="BB24" s="518" t="str">
        <f t="shared" si="15"/>
        <v>-</v>
      </c>
      <c r="BC24" s="518" t="str">
        <f t="shared" si="15"/>
        <v>-</v>
      </c>
      <c r="BD24" s="518" t="str">
        <f t="shared" si="15"/>
        <v>-</v>
      </c>
      <c r="BE24" s="518" t="str">
        <f t="shared" si="15"/>
        <v>-</v>
      </c>
      <c r="BF24" s="518" t="str">
        <f t="shared" si="15"/>
        <v>-</v>
      </c>
      <c r="BG24" s="518" t="str">
        <f t="shared" si="15"/>
        <v>-</v>
      </c>
      <c r="BH24" s="518" t="str">
        <f t="shared" si="15"/>
        <v>-</v>
      </c>
      <c r="BI24" s="518" t="str">
        <f t="shared" si="15"/>
        <v>-</v>
      </c>
      <c r="BJ24" s="518" t="str">
        <f t="shared" si="15"/>
        <v>-</v>
      </c>
      <c r="BK24" s="518" t="str">
        <f t="shared" si="15"/>
        <v>-</v>
      </c>
      <c r="BL24" s="518" t="str">
        <f t="shared" si="15"/>
        <v>-</v>
      </c>
      <c r="BM24" s="518" t="str">
        <f t="shared" si="15"/>
        <v>-</v>
      </c>
      <c r="BN24" s="518" t="str">
        <f t="shared" si="15"/>
        <v>-</v>
      </c>
      <c r="BO24" s="518" t="str">
        <f t="shared" si="15"/>
        <v>-</v>
      </c>
      <c r="BP24" s="518" t="str">
        <f t="shared" si="15"/>
        <v>-</v>
      </c>
      <c r="BQ24" s="518" t="str">
        <f t="shared" si="15"/>
        <v>-</v>
      </c>
      <c r="BR24" s="518" t="str">
        <f t="shared" si="15"/>
        <v>-</v>
      </c>
      <c r="BS24" s="518" t="str">
        <f t="shared" si="15"/>
        <v>-</v>
      </c>
      <c r="BT24" s="518" t="str">
        <f t="shared" si="15"/>
        <v>-</v>
      </c>
      <c r="BU24" s="518" t="str">
        <f t="shared" si="15"/>
        <v>-</v>
      </c>
      <c r="BV24" s="518" t="str">
        <f t="shared" si="15"/>
        <v>-</v>
      </c>
      <c r="BW24" s="518" t="str">
        <f t="shared" si="15"/>
        <v>-</v>
      </c>
      <c r="BX24" s="518" t="str">
        <f t="shared" si="15"/>
        <v>-</v>
      </c>
      <c r="BY24" s="518" t="str">
        <f t="shared" si="15"/>
        <v>-</v>
      </c>
      <c r="BZ24" s="518" t="str">
        <f t="shared" si="15"/>
        <v>-</v>
      </c>
      <c r="CA24" s="518" t="str">
        <f t="shared" si="15"/>
        <v>-</v>
      </c>
    </row>
    <row r="25" spans="1:79">
      <c r="A25" s="105">
        <v>17</v>
      </c>
      <c r="B25" s="112" t="str">
        <v>11M</v>
      </c>
      <c r="C25" s="512">
        <f>'usd disaggregated'!AO33</f>
        <v>-681.88110941742127</v>
      </c>
      <c r="D25" s="111" t="str">
        <f t="shared" si="8"/>
        <v>11M</v>
      </c>
      <c r="E25" s="517">
        <f>IF(LEN(B25)&gt;0,CHOOSE(MATCH(RIGHT(D25,1),{"D","W","M"},0),NextBusDay($C$4,LEFT(D25,LEN(D25)-1)),NextBusDay($C$4+7*LEFT(D25,LEN(D25)-1)),NextBusDay(EDATE($C$4,LEFT(D25,LEN(D25)-1)))),"")</f>
        <v>43004</v>
      </c>
      <c r="F25" s="107" t="str">
        <v>MAR 18</v>
      </c>
      <c r="G25" s="106">
        <v>43180</v>
      </c>
      <c r="H25" s="106">
        <f t="shared" si="9"/>
        <v>43180</v>
      </c>
      <c r="I25" s="261" t="str">
        <v>F</v>
      </c>
      <c r="J25" s="106">
        <f>IF(LEN(F25)&gt;0,IF(I25="S",H25,IF(I25="F",EDATE(H25,3),CHOOSE(MATCH(RIGHT(H25,1),{"D","W","M"},0),NextBusDay($C$4,LEFT(H25,LEN(H25)-1)),NextBusDay($C$4+7*LEFT(H25,LEN(H25)-1)),NextBusDay(EDATE($C$4,LEFT(H25,LEN(H25)-1)))))),"")</f>
        <v>43272</v>
      </c>
      <c r="L25" s="515">
        <f t="shared" si="2"/>
        <v>584.04184456160692</v>
      </c>
      <c r="N25" s="106">
        <f t="shared" si="3"/>
        <v>42907</v>
      </c>
      <c r="O25" s="106">
        <f t="shared" si="4"/>
        <v>43453</v>
      </c>
      <c r="P25" s="106">
        <f t="shared" si="5"/>
        <v>43766</v>
      </c>
      <c r="Q25" s="106" t="b">
        <f t="shared" si="6"/>
        <v>1</v>
      </c>
      <c r="R25" s="518" t="str">
        <f t="shared" ref="R25:CA29" si="16">IF(LEN($F25)&gt;0,IF(AND(R$8=$J25,NOT(AND(R$8&gt;=$N25,R$8&lt;$P25))),R$6,IF(AND(NOT(R$8&gt;$J24),R$8&lt;$J25),"-",IF(AND(R$8&gt;=$N25,R$8&lt;$P25),IF(R$8&lt;$O25,IF($J25=$N25,R$6*($J25-$C$4)/(R$8-$C$4),IF(R$8&lt;$J25,R$6*((R$8-$C$4)-($J24-$C$4))/(R$8-$C$4),R$6*(($J25-$J24))/(R$8-$C$4) )),IF($J25=$N25,R$6*($P25-R$8)/($P25-$O25)*($J25-$C$4)/($O25-$C$4),IF(R$8&lt;$J25,R$6*(R$8-$O25)/($P25-$O25),R$6*($P25-R$8)/($P25-$O25)*($J25-$J24)/($O25-$C$4)))),IF(AND(R$8&gt;$J24,R$8&lt;$J25),R$6*(R$8-$J24)/($J25-$J24),IF(AND(R$8&gt;$J25,R$8&lt;$J26),R$6*($J26-R$8)/($J26-$J25),"-"))))),"-")</f>
        <v>-</v>
      </c>
      <c r="S25" s="518" t="str">
        <f t="shared" si="16"/>
        <v>-</v>
      </c>
      <c r="T25" s="518" t="str">
        <f t="shared" si="16"/>
        <v>-</v>
      </c>
      <c r="U25" s="518" t="str">
        <f t="shared" si="16"/>
        <v>-</v>
      </c>
      <c r="V25" s="518" t="str">
        <f t="shared" si="16"/>
        <v>-</v>
      </c>
      <c r="W25" s="518" t="str">
        <f t="shared" si="16"/>
        <v>-</v>
      </c>
      <c r="X25" s="518" t="str">
        <f t="shared" si="16"/>
        <v>-</v>
      </c>
      <c r="Y25" s="518" t="str">
        <f t="shared" si="15"/>
        <v>-</v>
      </c>
      <c r="Z25" s="518" t="str">
        <f t="shared" si="15"/>
        <v>-</v>
      </c>
      <c r="AA25" s="518" t="str">
        <f t="shared" si="15"/>
        <v>-</v>
      </c>
      <c r="AB25" s="518" t="str">
        <f t="shared" si="15"/>
        <v>-</v>
      </c>
      <c r="AC25" s="518" t="str">
        <f t="shared" si="15"/>
        <v>-</v>
      </c>
      <c r="AD25" s="518" t="str">
        <f t="shared" si="15"/>
        <v>-</v>
      </c>
      <c r="AE25" s="518" t="str">
        <f t="shared" si="15"/>
        <v>-</v>
      </c>
      <c r="AF25" s="518" t="str">
        <f t="shared" si="15"/>
        <v>-</v>
      </c>
      <c r="AG25" s="518" t="str">
        <f t="shared" si="15"/>
        <v>-</v>
      </c>
      <c r="AH25" s="518" t="str">
        <f t="shared" si="15"/>
        <v>-</v>
      </c>
      <c r="AI25" s="518" t="str">
        <f t="shared" si="15"/>
        <v>-</v>
      </c>
      <c r="AJ25" s="518" t="str">
        <f t="shared" si="15"/>
        <v>-</v>
      </c>
      <c r="AK25" s="518">
        <f t="shared" si="15"/>
        <v>-894.19417278189042</v>
      </c>
      <c r="AL25" s="518">
        <f t="shared" si="15"/>
        <v>4563.6381810267976</v>
      </c>
      <c r="AM25" s="518">
        <f t="shared" si="15"/>
        <v>-3085.4021636833004</v>
      </c>
      <c r="AN25" s="518" t="str">
        <f t="shared" si="15"/>
        <v>-</v>
      </c>
      <c r="AO25" s="518" t="str">
        <f t="shared" si="15"/>
        <v>-</v>
      </c>
      <c r="AP25" s="518" t="str">
        <f t="shared" si="15"/>
        <v>-</v>
      </c>
      <c r="AQ25" s="518" t="str">
        <f t="shared" si="15"/>
        <v>-</v>
      </c>
      <c r="AR25" s="518" t="str">
        <f t="shared" si="15"/>
        <v>-</v>
      </c>
      <c r="AS25" s="518" t="str">
        <f t="shared" si="15"/>
        <v>-</v>
      </c>
      <c r="AT25" s="518" t="str">
        <f t="shared" si="15"/>
        <v>-</v>
      </c>
      <c r="AU25" s="518" t="str">
        <f t="shared" si="15"/>
        <v>-</v>
      </c>
      <c r="AV25" s="518" t="str">
        <f t="shared" si="15"/>
        <v>-</v>
      </c>
      <c r="AW25" s="518" t="str">
        <f t="shared" si="15"/>
        <v>-</v>
      </c>
      <c r="AX25" s="518" t="str">
        <f t="shared" si="15"/>
        <v>-</v>
      </c>
      <c r="AY25" s="518" t="str">
        <f t="shared" si="15"/>
        <v>-</v>
      </c>
      <c r="AZ25" s="518" t="str">
        <f t="shared" si="15"/>
        <v>-</v>
      </c>
      <c r="BA25" s="518" t="str">
        <f t="shared" si="15"/>
        <v>-</v>
      </c>
      <c r="BB25" s="518" t="str">
        <f t="shared" si="15"/>
        <v>-</v>
      </c>
      <c r="BC25" s="518" t="str">
        <f t="shared" si="15"/>
        <v>-</v>
      </c>
      <c r="BD25" s="518" t="str">
        <f t="shared" si="15"/>
        <v>-</v>
      </c>
      <c r="BE25" s="518" t="str">
        <f t="shared" si="15"/>
        <v>-</v>
      </c>
      <c r="BF25" s="518" t="str">
        <f t="shared" si="15"/>
        <v>-</v>
      </c>
      <c r="BG25" s="518" t="str">
        <f t="shared" si="15"/>
        <v>-</v>
      </c>
      <c r="BH25" s="518" t="str">
        <f t="shared" si="15"/>
        <v>-</v>
      </c>
      <c r="BI25" s="518" t="str">
        <f t="shared" si="15"/>
        <v>-</v>
      </c>
      <c r="BJ25" s="518" t="str">
        <f t="shared" si="15"/>
        <v>-</v>
      </c>
      <c r="BK25" s="518" t="str">
        <f t="shared" si="15"/>
        <v>-</v>
      </c>
      <c r="BL25" s="518" t="str">
        <f t="shared" si="15"/>
        <v>-</v>
      </c>
      <c r="BM25" s="518" t="str">
        <f t="shared" si="15"/>
        <v>-</v>
      </c>
      <c r="BN25" s="518" t="str">
        <f t="shared" si="15"/>
        <v>-</v>
      </c>
      <c r="BO25" s="518" t="str">
        <f t="shared" si="15"/>
        <v>-</v>
      </c>
      <c r="BP25" s="518" t="str">
        <f t="shared" si="15"/>
        <v>-</v>
      </c>
      <c r="BQ25" s="518" t="str">
        <f t="shared" si="15"/>
        <v>-</v>
      </c>
      <c r="BR25" s="518" t="str">
        <f t="shared" si="15"/>
        <v>-</v>
      </c>
      <c r="BS25" s="518" t="str">
        <f t="shared" si="15"/>
        <v>-</v>
      </c>
      <c r="BT25" s="518" t="str">
        <f t="shared" si="15"/>
        <v>-</v>
      </c>
      <c r="BU25" s="518" t="str">
        <f t="shared" si="15"/>
        <v>-</v>
      </c>
      <c r="BV25" s="518" t="str">
        <f t="shared" si="15"/>
        <v>-</v>
      </c>
      <c r="BW25" s="518" t="str">
        <f t="shared" si="15"/>
        <v>-</v>
      </c>
      <c r="BX25" s="518" t="str">
        <f t="shared" si="15"/>
        <v>-</v>
      </c>
      <c r="BY25" s="518" t="str">
        <f t="shared" si="15"/>
        <v>-</v>
      </c>
      <c r="BZ25" s="518" t="str">
        <f t="shared" si="15"/>
        <v>-</v>
      </c>
      <c r="CA25" s="518" t="str">
        <f t="shared" si="15"/>
        <v>-</v>
      </c>
    </row>
    <row r="26" spans="1:79">
      <c r="A26" s="105">
        <v>18</v>
      </c>
      <c r="B26" s="112" t="str">
        <v>1Y</v>
      </c>
      <c r="C26" s="512">
        <f>'usd disaggregated'!AO34</f>
        <v>-239.7772485328482</v>
      </c>
      <c r="D26" s="111" t="str">
        <f t="shared" si="8"/>
        <v>12M</v>
      </c>
      <c r="E26" s="517">
        <f>IF(LEN(B26)&gt;0,CHOOSE(MATCH(RIGHT(D26,1),{"D","W","M"},0),NextBusDay($C$4,LEFT(D26,LEN(D26)-1)),NextBusDay($C$4+7*LEFT(D26,LEN(D26)-1)),NextBusDay(EDATE($C$4,LEFT(D26,LEN(D26)-1)))),"")</f>
        <v>43034</v>
      </c>
      <c r="F26" s="107" t="str">
        <v>JUN 18</v>
      </c>
      <c r="G26" s="106">
        <v>43271</v>
      </c>
      <c r="H26" s="106">
        <f t="shared" si="9"/>
        <v>43271</v>
      </c>
      <c r="I26" s="261" t="str">
        <v>F</v>
      </c>
      <c r="J26" s="106">
        <f>IF(LEN(F26)&gt;0,IF(I26="S",H26,IF(I26="F",EDATE(H26,3),CHOOSE(MATCH(RIGHT(H26,1),{"D","W","M"},0),NextBusDay($C$4,LEFT(H26,LEN(H26)-1)),NextBusDay($C$4+7*LEFT(H26,LEN(H26)-1)),NextBusDay(EDATE($C$4,LEFT(H26,LEN(H26)-1)))))),"")</f>
        <v>43363</v>
      </c>
      <c r="L26" s="515">
        <f t="shared" si="2"/>
        <v>-1301.5511888090584</v>
      </c>
      <c r="N26" s="106">
        <f t="shared" si="3"/>
        <v>42907</v>
      </c>
      <c r="O26" s="106">
        <f t="shared" si="4"/>
        <v>43453</v>
      </c>
      <c r="P26" s="106">
        <f t="shared" si="5"/>
        <v>43766</v>
      </c>
      <c r="Q26" s="106" t="b">
        <f t="shared" si="6"/>
        <v>1</v>
      </c>
      <c r="R26" s="518" t="str">
        <f t="shared" si="16"/>
        <v>-</v>
      </c>
      <c r="S26" s="518" t="str">
        <f t="shared" si="16"/>
        <v>-</v>
      </c>
      <c r="T26" s="518" t="str">
        <f t="shared" si="16"/>
        <v>-</v>
      </c>
      <c r="U26" s="518" t="str">
        <f t="shared" si="16"/>
        <v>-</v>
      </c>
      <c r="V26" s="518" t="str">
        <f t="shared" si="16"/>
        <v>-</v>
      </c>
      <c r="W26" s="518" t="str">
        <f t="shared" si="16"/>
        <v>-</v>
      </c>
      <c r="X26" s="518" t="str">
        <f t="shared" si="16"/>
        <v>-</v>
      </c>
      <c r="Y26" s="518" t="str">
        <f t="shared" si="16"/>
        <v>-</v>
      </c>
      <c r="Z26" s="518" t="str">
        <f t="shared" si="16"/>
        <v>-</v>
      </c>
      <c r="AA26" s="518" t="str">
        <f t="shared" si="16"/>
        <v>-</v>
      </c>
      <c r="AB26" s="518" t="str">
        <f t="shared" si="16"/>
        <v>-</v>
      </c>
      <c r="AC26" s="518" t="str">
        <f t="shared" si="16"/>
        <v>-</v>
      </c>
      <c r="AD26" s="518" t="str">
        <f t="shared" si="16"/>
        <v>-</v>
      </c>
      <c r="AE26" s="518" t="str">
        <f t="shared" si="16"/>
        <v>-</v>
      </c>
      <c r="AF26" s="518" t="str">
        <f t="shared" si="16"/>
        <v>-</v>
      </c>
      <c r="AG26" s="518" t="str">
        <f t="shared" si="16"/>
        <v>-</v>
      </c>
      <c r="AH26" s="518" t="str">
        <f t="shared" si="16"/>
        <v>-</v>
      </c>
      <c r="AI26" s="518" t="str">
        <f t="shared" si="16"/>
        <v>-</v>
      </c>
      <c r="AJ26" s="518" t="str">
        <f t="shared" si="16"/>
        <v>-</v>
      </c>
      <c r="AK26" s="518" t="str">
        <f t="shared" si="16"/>
        <v>-</v>
      </c>
      <c r="AL26" s="518">
        <f t="shared" si="16"/>
        <v>1717.4982401713753</v>
      </c>
      <c r="AM26" s="518">
        <f t="shared" si="16"/>
        <v>-3019.0494289804337</v>
      </c>
      <c r="AN26" s="518" t="str">
        <f t="shared" si="16"/>
        <v>-</v>
      </c>
      <c r="AO26" s="518" t="str">
        <f t="shared" si="16"/>
        <v>-</v>
      </c>
      <c r="AP26" s="518" t="str">
        <f t="shared" si="16"/>
        <v>-</v>
      </c>
      <c r="AQ26" s="518" t="str">
        <f t="shared" si="16"/>
        <v>-</v>
      </c>
      <c r="AR26" s="518" t="str">
        <f t="shared" si="16"/>
        <v>-</v>
      </c>
      <c r="AS26" s="518" t="str">
        <f t="shared" si="16"/>
        <v>-</v>
      </c>
      <c r="AT26" s="518" t="str">
        <f t="shared" si="16"/>
        <v>-</v>
      </c>
      <c r="AU26" s="518" t="str">
        <f t="shared" si="16"/>
        <v>-</v>
      </c>
      <c r="AV26" s="518" t="str">
        <f t="shared" si="16"/>
        <v>-</v>
      </c>
      <c r="AW26" s="518" t="str">
        <f t="shared" si="16"/>
        <v>-</v>
      </c>
      <c r="AX26" s="518" t="str">
        <f t="shared" si="16"/>
        <v>-</v>
      </c>
      <c r="AY26" s="518" t="str">
        <f t="shared" si="16"/>
        <v>-</v>
      </c>
      <c r="AZ26" s="518" t="str">
        <f t="shared" si="16"/>
        <v>-</v>
      </c>
      <c r="BA26" s="518" t="str">
        <f t="shared" si="16"/>
        <v>-</v>
      </c>
      <c r="BB26" s="518" t="str">
        <f t="shared" si="16"/>
        <v>-</v>
      </c>
      <c r="BC26" s="518" t="str">
        <f t="shared" si="16"/>
        <v>-</v>
      </c>
      <c r="BD26" s="518" t="str">
        <f t="shared" si="16"/>
        <v>-</v>
      </c>
      <c r="BE26" s="518" t="str">
        <f t="shared" si="16"/>
        <v>-</v>
      </c>
      <c r="BF26" s="518" t="str">
        <f t="shared" si="16"/>
        <v>-</v>
      </c>
      <c r="BG26" s="518" t="str">
        <f t="shared" si="16"/>
        <v>-</v>
      </c>
      <c r="BH26" s="518" t="str">
        <f t="shared" si="16"/>
        <v>-</v>
      </c>
      <c r="BI26" s="518" t="str">
        <f t="shared" si="16"/>
        <v>-</v>
      </c>
      <c r="BJ26" s="518" t="str">
        <f t="shared" si="16"/>
        <v>-</v>
      </c>
      <c r="BK26" s="518" t="str">
        <f t="shared" si="16"/>
        <v>-</v>
      </c>
      <c r="BL26" s="518" t="str">
        <f t="shared" si="16"/>
        <v>-</v>
      </c>
      <c r="BM26" s="518" t="str">
        <f t="shared" si="16"/>
        <v>-</v>
      </c>
      <c r="BN26" s="518" t="str">
        <f t="shared" si="16"/>
        <v>-</v>
      </c>
      <c r="BO26" s="518" t="str">
        <f t="shared" si="16"/>
        <v>-</v>
      </c>
      <c r="BP26" s="518" t="str">
        <f t="shared" si="16"/>
        <v>-</v>
      </c>
      <c r="BQ26" s="518" t="str">
        <f t="shared" si="16"/>
        <v>-</v>
      </c>
      <c r="BR26" s="518" t="str">
        <f t="shared" si="16"/>
        <v>-</v>
      </c>
      <c r="BS26" s="518" t="str">
        <f t="shared" si="16"/>
        <v>-</v>
      </c>
      <c r="BT26" s="518" t="str">
        <f t="shared" si="16"/>
        <v>-</v>
      </c>
      <c r="BU26" s="518" t="str">
        <f t="shared" si="16"/>
        <v>-</v>
      </c>
      <c r="BV26" s="518" t="str">
        <f t="shared" si="16"/>
        <v>-</v>
      </c>
      <c r="BW26" s="518" t="str">
        <f t="shared" si="16"/>
        <v>-</v>
      </c>
      <c r="BX26" s="518" t="str">
        <f t="shared" si="16"/>
        <v>-</v>
      </c>
      <c r="BY26" s="518" t="str">
        <f t="shared" si="16"/>
        <v>-</v>
      </c>
      <c r="BZ26" s="518" t="str">
        <f t="shared" si="16"/>
        <v>-</v>
      </c>
      <c r="CA26" s="518" t="str">
        <f t="shared" si="16"/>
        <v>-</v>
      </c>
    </row>
    <row r="27" spans="1:79">
      <c r="A27" s="105">
        <v>19</v>
      </c>
      <c r="B27" s="112" t="str">
        <v>15M</v>
      </c>
      <c r="C27" s="512">
        <f>'usd disaggregated'!AO35</f>
        <v>-531.01823013688943</v>
      </c>
      <c r="D27" s="111" t="str">
        <f t="shared" si="8"/>
        <v>15M</v>
      </c>
      <c r="E27" s="517">
        <f>IF(LEN(B27)&gt;0,CHOOSE(MATCH(RIGHT(D27,1),{"D","W","M"},0),NextBusDay($C$4,LEFT(D27,LEN(D27)-1)),NextBusDay($C$4+7*LEFT(D27,LEN(D27)-1)),NextBusDay(EDATE($C$4,LEFT(D27,LEN(D27)-1)))),"")</f>
        <v>43126</v>
      </c>
      <c r="F27" s="107" t="str">
        <v>SEP 18</v>
      </c>
      <c r="G27" s="106">
        <v>43362</v>
      </c>
      <c r="H27" s="106">
        <f t="shared" si="9"/>
        <v>43362</v>
      </c>
      <c r="I27" s="261" t="str">
        <v>F</v>
      </c>
      <c r="J27" s="106">
        <f>IF(LEN(F27)&gt;0,IF(I27="S",H27,IF(I27="F",EDATE(H27,3),CHOOSE(MATCH(RIGHT(H27,1),{"D","W","M"},0),NextBusDay($C$4,LEFT(H27,LEN(H27)-1)),NextBusDay($C$4+7*LEFT(H27,LEN(H27)-1)),NextBusDay(EDATE($C$4,LEFT(H27,LEN(H27)-1)))))),"")</f>
        <v>43453</v>
      </c>
      <c r="L27" s="515">
        <f t="shared" si="2"/>
        <v>-1194.3492246516003</v>
      </c>
      <c r="N27" s="106">
        <f t="shared" si="3"/>
        <v>42907</v>
      </c>
      <c r="O27" s="106">
        <f t="shared" si="4"/>
        <v>43453</v>
      </c>
      <c r="P27" s="106">
        <f t="shared" si="5"/>
        <v>43766</v>
      </c>
      <c r="Q27" s="106" t="b">
        <f t="shared" si="6"/>
        <v>1</v>
      </c>
      <c r="R27" s="518" t="str">
        <f t="shared" si="16"/>
        <v>-</v>
      </c>
      <c r="S27" s="518" t="str">
        <f t="shared" si="16"/>
        <v>-</v>
      </c>
      <c r="T27" s="518" t="str">
        <f t="shared" si="16"/>
        <v>-</v>
      </c>
      <c r="U27" s="518" t="str">
        <f t="shared" si="16"/>
        <v>-</v>
      </c>
      <c r="V27" s="518" t="str">
        <f t="shared" si="16"/>
        <v>-</v>
      </c>
      <c r="W27" s="518" t="str">
        <f t="shared" si="16"/>
        <v>-</v>
      </c>
      <c r="X27" s="518" t="str">
        <f t="shared" si="16"/>
        <v>-</v>
      </c>
      <c r="Y27" s="518" t="str">
        <f t="shared" si="16"/>
        <v>-</v>
      </c>
      <c r="Z27" s="518" t="str">
        <f t="shared" si="16"/>
        <v>-</v>
      </c>
      <c r="AA27" s="518" t="str">
        <f t="shared" si="16"/>
        <v>-</v>
      </c>
      <c r="AB27" s="518" t="str">
        <f t="shared" si="16"/>
        <v>-</v>
      </c>
      <c r="AC27" s="518" t="str">
        <f t="shared" si="16"/>
        <v>-</v>
      </c>
      <c r="AD27" s="518" t="str">
        <f t="shared" si="16"/>
        <v>-</v>
      </c>
      <c r="AE27" s="518" t="str">
        <f t="shared" si="16"/>
        <v>-</v>
      </c>
      <c r="AF27" s="518" t="str">
        <f t="shared" si="16"/>
        <v>-</v>
      </c>
      <c r="AG27" s="518" t="str">
        <f t="shared" si="16"/>
        <v>-</v>
      </c>
      <c r="AH27" s="518" t="str">
        <f t="shared" si="16"/>
        <v>-</v>
      </c>
      <c r="AI27" s="518" t="str">
        <f t="shared" si="16"/>
        <v>-</v>
      </c>
      <c r="AJ27" s="518" t="str">
        <f t="shared" si="16"/>
        <v>-</v>
      </c>
      <c r="AK27" s="518" t="str">
        <f t="shared" si="16"/>
        <v>-</v>
      </c>
      <c r="AL27" s="518" t="str">
        <f t="shared" si="16"/>
        <v>-</v>
      </c>
      <c r="AM27" s="518">
        <f t="shared" si="16"/>
        <v>-1194.3492246516003</v>
      </c>
      <c r="AN27" s="518" t="str">
        <f t="shared" si="16"/>
        <v>-</v>
      </c>
      <c r="AO27" s="518" t="str">
        <f t="shared" si="16"/>
        <v>-</v>
      </c>
      <c r="AP27" s="518" t="str">
        <f t="shared" si="16"/>
        <v>-</v>
      </c>
      <c r="AQ27" s="518" t="str">
        <f t="shared" si="16"/>
        <v>-</v>
      </c>
      <c r="AR27" s="518" t="str">
        <f t="shared" si="16"/>
        <v>-</v>
      </c>
      <c r="AS27" s="518" t="str">
        <f t="shared" si="16"/>
        <v>-</v>
      </c>
      <c r="AT27" s="518" t="str">
        <f t="shared" si="16"/>
        <v>-</v>
      </c>
      <c r="AU27" s="518" t="str">
        <f t="shared" si="16"/>
        <v>-</v>
      </c>
      <c r="AV27" s="518" t="str">
        <f t="shared" si="16"/>
        <v>-</v>
      </c>
      <c r="AW27" s="518" t="str">
        <f t="shared" si="16"/>
        <v>-</v>
      </c>
      <c r="AX27" s="518" t="str">
        <f t="shared" si="16"/>
        <v>-</v>
      </c>
      <c r="AY27" s="518" t="str">
        <f t="shared" si="16"/>
        <v>-</v>
      </c>
      <c r="AZ27" s="518" t="str">
        <f t="shared" si="16"/>
        <v>-</v>
      </c>
      <c r="BA27" s="518" t="str">
        <f t="shared" si="16"/>
        <v>-</v>
      </c>
      <c r="BB27" s="518" t="str">
        <f t="shared" si="16"/>
        <v>-</v>
      </c>
      <c r="BC27" s="518" t="str">
        <f t="shared" si="16"/>
        <v>-</v>
      </c>
      <c r="BD27" s="518" t="str">
        <f t="shared" si="16"/>
        <v>-</v>
      </c>
      <c r="BE27" s="518" t="str">
        <f t="shared" si="16"/>
        <v>-</v>
      </c>
      <c r="BF27" s="518" t="str">
        <f t="shared" si="16"/>
        <v>-</v>
      </c>
      <c r="BG27" s="518" t="str">
        <f t="shared" si="16"/>
        <v>-</v>
      </c>
      <c r="BH27" s="518" t="str">
        <f t="shared" si="16"/>
        <v>-</v>
      </c>
      <c r="BI27" s="518" t="str">
        <f t="shared" si="16"/>
        <v>-</v>
      </c>
      <c r="BJ27" s="518" t="str">
        <f t="shared" si="16"/>
        <v>-</v>
      </c>
      <c r="BK27" s="518" t="str">
        <f t="shared" si="16"/>
        <v>-</v>
      </c>
      <c r="BL27" s="518" t="str">
        <f t="shared" si="16"/>
        <v>-</v>
      </c>
      <c r="BM27" s="518" t="str">
        <f t="shared" si="16"/>
        <v>-</v>
      </c>
      <c r="BN27" s="518" t="str">
        <f t="shared" si="16"/>
        <v>-</v>
      </c>
      <c r="BO27" s="518" t="str">
        <f t="shared" si="16"/>
        <v>-</v>
      </c>
      <c r="BP27" s="518" t="str">
        <f t="shared" si="16"/>
        <v>-</v>
      </c>
      <c r="BQ27" s="518" t="str">
        <f t="shared" si="16"/>
        <v>-</v>
      </c>
      <c r="BR27" s="518" t="str">
        <f t="shared" si="16"/>
        <v>-</v>
      </c>
      <c r="BS27" s="518" t="str">
        <f t="shared" si="16"/>
        <v>-</v>
      </c>
      <c r="BT27" s="518" t="str">
        <f t="shared" si="16"/>
        <v>-</v>
      </c>
      <c r="BU27" s="518" t="str">
        <f t="shared" si="16"/>
        <v>-</v>
      </c>
      <c r="BV27" s="518" t="str">
        <f t="shared" si="16"/>
        <v>-</v>
      </c>
      <c r="BW27" s="518" t="str">
        <f t="shared" si="16"/>
        <v>-</v>
      </c>
      <c r="BX27" s="518" t="str">
        <f t="shared" si="16"/>
        <v>-</v>
      </c>
      <c r="BY27" s="518" t="str">
        <f t="shared" si="16"/>
        <v>-</v>
      </c>
      <c r="BZ27" s="518" t="str">
        <f t="shared" si="16"/>
        <v>-</v>
      </c>
      <c r="CA27" s="518" t="str">
        <f t="shared" si="16"/>
        <v>-</v>
      </c>
    </row>
    <row r="28" spans="1:79">
      <c r="A28" s="105">
        <v>20</v>
      </c>
      <c r="B28" s="112" t="str">
        <v>18M</v>
      </c>
      <c r="C28" s="512">
        <f>'usd disaggregated'!AO36</f>
        <v>-13210.432771468966</v>
      </c>
      <c r="D28" s="111" t="str">
        <f t="shared" si="8"/>
        <v>18M</v>
      </c>
      <c r="E28" s="517">
        <f>IF(LEN(B28)&gt;0,CHOOSE(MATCH(RIGHT(D28,1),{"D","W","M"},0),NextBusDay($C$4,LEFT(D28,LEN(D28)-1)),NextBusDay($C$4+7*LEFT(D28,LEN(D28)-1)),NextBusDay(EDATE($C$4,LEFT(D28,LEN(D28)-1)))),"")</f>
        <v>43216</v>
      </c>
      <c r="F28" s="107" t="str">
        <v>3Y</v>
      </c>
      <c r="G28" s="106" t="str">
        <v>3Y</v>
      </c>
      <c r="H28" s="106" t="str">
        <f t="shared" si="9"/>
        <v>36M</v>
      </c>
      <c r="I28" s="261" t="str">
        <v>W</v>
      </c>
      <c r="J28" s="106">
        <f>IF(LEN(F28)&gt;0,IF(I28="S",H28,IF(I28="F",EDATE(H28,3),CHOOSE(MATCH(RIGHT(H28,1),{"D","W","M"},0),NextBusDay($C$4,LEFT(H28,LEN(H28)-1)),NextBusDay($C$4+7*LEFT(H28,LEN(H28)-1)),NextBusDay(EDATE($C$4,LEFT(H28,LEN(H28)-1)))))),"")</f>
        <v>43766</v>
      </c>
      <c r="L28" s="515">
        <f t="shared" si="2"/>
        <v>-3392.1216043271788</v>
      </c>
      <c r="N28" s="106">
        <f t="shared" si="3"/>
        <v>42907</v>
      </c>
      <c r="O28" s="106">
        <f>IF(AND(Q27,NOT(Q28)),J27,IF(OR(Q28,Q29),O29,"-"))</f>
        <v>43453</v>
      </c>
      <c r="P28" s="106">
        <f t="shared" si="5"/>
        <v>43766</v>
      </c>
      <c r="Q28" s="106" t="b">
        <f t="shared" si="6"/>
        <v>0</v>
      </c>
      <c r="R28" s="518" t="str">
        <f t="shared" si="16"/>
        <v>-</v>
      </c>
      <c r="S28" s="518" t="str">
        <f t="shared" si="16"/>
        <v>-</v>
      </c>
      <c r="T28" s="518" t="str">
        <f t="shared" si="16"/>
        <v>-</v>
      </c>
      <c r="U28" s="518" t="str">
        <f t="shared" si="16"/>
        <v>-</v>
      </c>
      <c r="V28" s="518" t="str">
        <f t="shared" si="16"/>
        <v>-</v>
      </c>
      <c r="W28" s="518" t="str">
        <f t="shared" si="16"/>
        <v>-</v>
      </c>
      <c r="X28" s="518" t="str">
        <f t="shared" si="16"/>
        <v>-</v>
      </c>
      <c r="Y28" s="518" t="str">
        <f t="shared" si="16"/>
        <v>-</v>
      </c>
      <c r="Z28" s="518" t="str">
        <f t="shared" si="16"/>
        <v>-</v>
      </c>
      <c r="AA28" s="518" t="str">
        <f t="shared" si="16"/>
        <v>-</v>
      </c>
      <c r="AB28" s="518" t="str">
        <f t="shared" si="16"/>
        <v>-</v>
      </c>
      <c r="AC28" s="518" t="str">
        <f t="shared" si="16"/>
        <v>-</v>
      </c>
      <c r="AD28" s="518" t="str">
        <f t="shared" si="16"/>
        <v>-</v>
      </c>
      <c r="AE28" s="518" t="str">
        <f t="shared" si="16"/>
        <v>-</v>
      </c>
      <c r="AF28" s="518" t="str">
        <f t="shared" si="16"/>
        <v>-</v>
      </c>
      <c r="AG28" s="518" t="str">
        <f t="shared" si="16"/>
        <v>-</v>
      </c>
      <c r="AH28" s="518" t="str">
        <f t="shared" si="16"/>
        <v>-</v>
      </c>
      <c r="AI28" s="518" t="str">
        <f t="shared" si="16"/>
        <v>-</v>
      </c>
      <c r="AJ28" s="518" t="str">
        <f t="shared" si="16"/>
        <v>-</v>
      </c>
      <c r="AK28" s="518" t="str">
        <f t="shared" si="16"/>
        <v>-</v>
      </c>
      <c r="AL28" s="518" t="str">
        <f t="shared" si="16"/>
        <v>-</v>
      </c>
      <c r="AM28" s="518" t="str">
        <f t="shared" si="16"/>
        <v>-</v>
      </c>
      <c r="AN28" s="518">
        <f t="shared" si="16"/>
        <v>-3392.1216043271788</v>
      </c>
      <c r="AO28" s="518" t="str">
        <f t="shared" si="16"/>
        <v>-</v>
      </c>
      <c r="AP28" s="518" t="str">
        <f t="shared" si="16"/>
        <v>-</v>
      </c>
      <c r="AQ28" s="518" t="str">
        <f t="shared" si="16"/>
        <v>-</v>
      </c>
      <c r="AR28" s="518" t="str">
        <f t="shared" si="16"/>
        <v>-</v>
      </c>
      <c r="AS28" s="518" t="str">
        <f t="shared" si="16"/>
        <v>-</v>
      </c>
      <c r="AT28" s="518" t="str">
        <f t="shared" si="16"/>
        <v>-</v>
      </c>
      <c r="AU28" s="518" t="str">
        <f t="shared" si="16"/>
        <v>-</v>
      </c>
      <c r="AV28" s="518" t="str">
        <f t="shared" si="16"/>
        <v>-</v>
      </c>
      <c r="AW28" s="518" t="str">
        <f t="shared" si="16"/>
        <v>-</v>
      </c>
      <c r="AX28" s="518" t="str">
        <f t="shared" si="16"/>
        <v>-</v>
      </c>
      <c r="AY28" s="518" t="str">
        <f t="shared" si="16"/>
        <v>-</v>
      </c>
      <c r="AZ28" s="518" t="str">
        <f t="shared" si="16"/>
        <v>-</v>
      </c>
      <c r="BA28" s="518" t="str">
        <f t="shared" si="16"/>
        <v>-</v>
      </c>
      <c r="BB28" s="518" t="str">
        <f t="shared" si="16"/>
        <v>-</v>
      </c>
      <c r="BC28" s="518" t="str">
        <f t="shared" si="16"/>
        <v>-</v>
      </c>
      <c r="BD28" s="518" t="str">
        <f t="shared" si="16"/>
        <v>-</v>
      </c>
      <c r="BE28" s="518" t="str">
        <f t="shared" si="16"/>
        <v>-</v>
      </c>
      <c r="BF28" s="518" t="str">
        <f t="shared" si="16"/>
        <v>-</v>
      </c>
      <c r="BG28" s="518" t="str">
        <f t="shared" si="16"/>
        <v>-</v>
      </c>
      <c r="BH28" s="518" t="str">
        <f t="shared" si="16"/>
        <v>-</v>
      </c>
      <c r="BI28" s="518" t="str">
        <f t="shared" si="16"/>
        <v>-</v>
      </c>
      <c r="BJ28" s="518" t="str">
        <f t="shared" si="16"/>
        <v>-</v>
      </c>
      <c r="BK28" s="518" t="str">
        <f t="shared" si="16"/>
        <v>-</v>
      </c>
      <c r="BL28" s="518" t="str">
        <f t="shared" si="16"/>
        <v>-</v>
      </c>
      <c r="BM28" s="518" t="str">
        <f t="shared" si="16"/>
        <v>-</v>
      </c>
      <c r="BN28" s="518" t="str">
        <f t="shared" si="16"/>
        <v>-</v>
      </c>
      <c r="BO28" s="518" t="str">
        <f t="shared" si="16"/>
        <v>-</v>
      </c>
      <c r="BP28" s="518" t="str">
        <f t="shared" si="16"/>
        <v>-</v>
      </c>
      <c r="BQ28" s="518" t="str">
        <f t="shared" si="16"/>
        <v>-</v>
      </c>
      <c r="BR28" s="518" t="str">
        <f t="shared" si="16"/>
        <v>-</v>
      </c>
      <c r="BS28" s="518" t="str">
        <f t="shared" si="16"/>
        <v>-</v>
      </c>
      <c r="BT28" s="518" t="str">
        <f t="shared" si="16"/>
        <v>-</v>
      </c>
      <c r="BU28" s="518" t="str">
        <f t="shared" si="16"/>
        <v>-</v>
      </c>
      <c r="BV28" s="518" t="str">
        <f t="shared" si="16"/>
        <v>-</v>
      </c>
      <c r="BW28" s="518" t="str">
        <f t="shared" si="16"/>
        <v>-</v>
      </c>
      <c r="BX28" s="518" t="str">
        <f t="shared" si="16"/>
        <v>-</v>
      </c>
      <c r="BY28" s="518" t="str">
        <f t="shared" si="16"/>
        <v>-</v>
      </c>
      <c r="BZ28" s="518" t="str">
        <f t="shared" si="16"/>
        <v>-</v>
      </c>
      <c r="CA28" s="518" t="str">
        <f t="shared" si="16"/>
        <v>-</v>
      </c>
    </row>
    <row r="29" spans="1:79">
      <c r="A29" s="105">
        <v>21</v>
      </c>
      <c r="B29" s="112" t="str">
        <v>21M</v>
      </c>
      <c r="C29" s="512">
        <f>'usd disaggregated'!AO37</f>
        <v>31288.979690847231</v>
      </c>
      <c r="D29" s="111" t="str">
        <f t="shared" si="8"/>
        <v>21M</v>
      </c>
      <c r="E29" s="517">
        <f>IF(LEN(B29)&gt;0,CHOOSE(MATCH(RIGHT(D29,1),{"D","W","M"},0),NextBusDay($C$4,LEFT(D29,LEN(D29)-1)),NextBusDay($C$4+7*LEFT(D29,LEN(D29)-1)),NextBusDay(EDATE($C$4,LEFT(D29,LEN(D29)-1)))),"")</f>
        <v>43307</v>
      </c>
      <c r="F29" s="107" t="str">
        <v>4Y</v>
      </c>
      <c r="G29" s="106" t="str">
        <v>4Y</v>
      </c>
      <c r="H29" s="106" t="str">
        <f t="shared" si="9"/>
        <v>48M</v>
      </c>
      <c r="I29" s="261" t="str">
        <v>W</v>
      </c>
      <c r="J29" s="106">
        <f>IF(LEN(F29)&gt;0,IF(I29="S",H29,IF(I29="F",EDATE(H29,3),CHOOSE(MATCH(RIGHT(H29,1),{"D","W","M"},0),NextBusDay($C$4,LEFT(H29,LEN(H29)-1)),NextBusDay($C$4+7*LEFT(H29,LEN(H29)-1)),NextBusDay(EDATE($C$4,LEFT(H29,LEN(H29)-1)))))),"")</f>
        <v>44130</v>
      </c>
      <c r="L29" s="515">
        <f t="shared" si="2"/>
        <v>-15461.723338468615</v>
      </c>
      <c r="N29" s="106" t="str">
        <f t="shared" si="3"/>
        <v>-</v>
      </c>
      <c r="O29" s="106" t="str">
        <f t="shared" ref="O29:O70" si="17">IF(AND(Q28,NOT(Q29)),J28,IF(OR(Q29,Q30),O30,"-"))</f>
        <v>-</v>
      </c>
      <c r="P29" s="106" t="str">
        <f t="shared" si="5"/>
        <v>-</v>
      </c>
      <c r="Q29" s="106" t="b">
        <f t="shared" si="6"/>
        <v>0</v>
      </c>
      <c r="R29" s="518" t="str">
        <f t="shared" si="16"/>
        <v>-</v>
      </c>
      <c r="S29" s="518" t="str">
        <f t="shared" si="16"/>
        <v>-</v>
      </c>
      <c r="T29" s="518" t="str">
        <f t="shared" si="16"/>
        <v>-</v>
      </c>
      <c r="U29" s="518" t="str">
        <f t="shared" si="16"/>
        <v>-</v>
      </c>
      <c r="V29" s="518" t="str">
        <f t="shared" si="16"/>
        <v>-</v>
      </c>
      <c r="W29" s="518" t="str">
        <f t="shared" si="16"/>
        <v>-</v>
      </c>
      <c r="X29" s="518" t="str">
        <f t="shared" si="16"/>
        <v>-</v>
      </c>
      <c r="Y29" s="518" t="str">
        <f t="shared" si="16"/>
        <v>-</v>
      </c>
      <c r="Z29" s="518" t="str">
        <f t="shared" si="16"/>
        <v>-</v>
      </c>
      <c r="AA29" s="518" t="str">
        <f t="shared" si="16"/>
        <v>-</v>
      </c>
      <c r="AB29" s="518" t="str">
        <f t="shared" si="16"/>
        <v>-</v>
      </c>
      <c r="AC29" s="518" t="str">
        <f t="shared" si="16"/>
        <v>-</v>
      </c>
      <c r="AD29" s="518" t="str">
        <f t="shared" si="16"/>
        <v>-</v>
      </c>
      <c r="AE29" s="518" t="str">
        <f t="shared" si="16"/>
        <v>-</v>
      </c>
      <c r="AF29" s="518" t="str">
        <f t="shared" si="16"/>
        <v>-</v>
      </c>
      <c r="AG29" s="518" t="str">
        <f t="shared" si="16"/>
        <v>-</v>
      </c>
      <c r="AH29" s="518" t="str">
        <f t="shared" si="16"/>
        <v>-</v>
      </c>
      <c r="AI29" s="518" t="str">
        <f t="shared" si="16"/>
        <v>-</v>
      </c>
      <c r="AJ29" s="518" t="str">
        <f t="shared" si="16"/>
        <v>-</v>
      </c>
      <c r="AK29" s="518" t="str">
        <f t="shared" si="16"/>
        <v>-</v>
      </c>
      <c r="AL29" s="518" t="str">
        <f t="shared" si="16"/>
        <v>-</v>
      </c>
      <c r="AM29" s="518" t="str">
        <f t="shared" si="16"/>
        <v>-</v>
      </c>
      <c r="AN29" s="518" t="str">
        <f t="shared" si="16"/>
        <v>-</v>
      </c>
      <c r="AO29" s="518">
        <f t="shared" si="16"/>
        <v>-15461.723338468615</v>
      </c>
      <c r="AP29" s="518" t="str">
        <f t="shared" si="16"/>
        <v>-</v>
      </c>
      <c r="AQ29" s="518" t="str">
        <f t="shared" si="16"/>
        <v>-</v>
      </c>
      <c r="AR29" s="518" t="str">
        <f t="shared" si="16"/>
        <v>-</v>
      </c>
      <c r="AS29" s="518" t="str">
        <f t="shared" si="16"/>
        <v>-</v>
      </c>
      <c r="AT29" s="518" t="str">
        <f t="shared" si="16"/>
        <v>-</v>
      </c>
      <c r="AU29" s="518" t="str">
        <f t="shared" si="16"/>
        <v>-</v>
      </c>
      <c r="AV29" s="518" t="str">
        <f t="shared" si="16"/>
        <v>-</v>
      </c>
      <c r="AW29" s="518" t="str">
        <f t="shared" si="16"/>
        <v>-</v>
      </c>
      <c r="AX29" s="518" t="str">
        <f t="shared" si="16"/>
        <v>-</v>
      </c>
      <c r="AY29" s="518" t="str">
        <f t="shared" si="16"/>
        <v>-</v>
      </c>
      <c r="AZ29" s="518" t="str">
        <f t="shared" si="16"/>
        <v>-</v>
      </c>
      <c r="BA29" s="518" t="str">
        <f t="shared" si="16"/>
        <v>-</v>
      </c>
      <c r="BB29" s="518" t="str">
        <f t="shared" si="16"/>
        <v>-</v>
      </c>
      <c r="BC29" s="518" t="str">
        <f t="shared" si="16"/>
        <v>-</v>
      </c>
      <c r="BD29" s="518" t="str">
        <f t="shared" si="16"/>
        <v>-</v>
      </c>
      <c r="BE29" s="518" t="str">
        <f t="shared" si="16"/>
        <v>-</v>
      </c>
      <c r="BF29" s="518" t="str">
        <f t="shared" si="16"/>
        <v>-</v>
      </c>
      <c r="BG29" s="518" t="str">
        <f t="shared" si="16"/>
        <v>-</v>
      </c>
      <c r="BH29" s="518" t="str">
        <f t="shared" si="16"/>
        <v>-</v>
      </c>
      <c r="BI29" s="518" t="str">
        <f t="shared" si="16"/>
        <v>-</v>
      </c>
      <c r="BJ29" s="518" t="str">
        <f t="shared" si="16"/>
        <v>-</v>
      </c>
      <c r="BK29" s="518" t="str">
        <f t="shared" si="16"/>
        <v>-</v>
      </c>
      <c r="BL29" s="518" t="str">
        <f t="shared" si="16"/>
        <v>-</v>
      </c>
      <c r="BM29" s="518" t="str">
        <f t="shared" si="16"/>
        <v>-</v>
      </c>
      <c r="BN29" s="518" t="str">
        <f t="shared" si="16"/>
        <v>-</v>
      </c>
      <c r="BO29" s="518" t="str">
        <f t="shared" si="16"/>
        <v>-</v>
      </c>
      <c r="BP29" s="518" t="str">
        <f t="shared" si="16"/>
        <v>-</v>
      </c>
      <c r="BQ29" s="518" t="str">
        <f t="shared" si="16"/>
        <v>-</v>
      </c>
      <c r="BR29" s="518" t="str">
        <f t="shared" si="16"/>
        <v>-</v>
      </c>
      <c r="BS29" s="518" t="str">
        <f t="shared" si="16"/>
        <v>-</v>
      </c>
      <c r="BT29" s="518" t="str">
        <f t="shared" si="16"/>
        <v>-</v>
      </c>
      <c r="BU29" s="518" t="str">
        <f t="shared" si="16"/>
        <v>-</v>
      </c>
      <c r="BV29" s="518" t="str">
        <f t="shared" si="16"/>
        <v>-</v>
      </c>
      <c r="BW29" s="518" t="str">
        <f t="shared" si="16"/>
        <v>-</v>
      </c>
      <c r="BX29" s="518" t="str">
        <f t="shared" si="16"/>
        <v>-</v>
      </c>
      <c r="BY29" s="518" t="str">
        <f t="shared" si="16"/>
        <v>-</v>
      </c>
      <c r="BZ29" s="518" t="str">
        <f t="shared" si="16"/>
        <v>-</v>
      </c>
      <c r="CA29" s="518" t="str">
        <f t="shared" si="16"/>
        <v>-</v>
      </c>
    </row>
    <row r="30" spans="1:79">
      <c r="A30" s="105">
        <v>22</v>
      </c>
      <c r="B30" s="112" t="str">
        <v>2Y</v>
      </c>
      <c r="C30" s="512">
        <f>'usd disaggregated'!AO38</f>
        <v>-24206.20028075562</v>
      </c>
      <c r="D30" s="111" t="str">
        <f t="shared" si="8"/>
        <v>24M</v>
      </c>
      <c r="E30" s="517">
        <f>IF(LEN(B30)&gt;0,CHOOSE(MATCH(RIGHT(D30,1),{"D","W","M"},0),NextBusDay($C$4,LEFT(D30,LEN(D30)-1)),NextBusDay($C$4+7*LEFT(D30,LEN(D30)-1)),NextBusDay(EDATE($C$4,LEFT(D30,LEN(D30)-1)))),"")</f>
        <v>43399</v>
      </c>
      <c r="F30" s="107" t="str">
        <v>5Y</v>
      </c>
      <c r="G30" s="106" t="str">
        <v>5Y</v>
      </c>
      <c r="H30" s="106" t="str">
        <f t="shared" si="9"/>
        <v>60M</v>
      </c>
      <c r="I30" s="261" t="str">
        <v>W</v>
      </c>
      <c r="J30" s="106">
        <f>IF(LEN(F30)&gt;0,IF(I30="S",H30,IF(I30="F",EDATE(H30,3),CHOOSE(MATCH(RIGHT(H30,1),{"D","W","M"},0),NextBusDay($C$4,LEFT(H30,LEN(H30)-1)),NextBusDay($C$4+7*LEFT(H30,LEN(H30)-1)),NextBusDay(EDATE($C$4,LEFT(H30,LEN(H30)-1)))))),"")</f>
        <v>44495</v>
      </c>
      <c r="L30" s="515">
        <f t="shared" si="2"/>
        <v>11988.40396689975</v>
      </c>
      <c r="N30" s="106" t="str">
        <f t="shared" si="3"/>
        <v>-</v>
      </c>
      <c r="O30" s="106" t="str">
        <f t="shared" si="17"/>
        <v>-</v>
      </c>
      <c r="P30" s="106" t="str">
        <f t="shared" si="5"/>
        <v>-</v>
      </c>
      <c r="Q30" s="106" t="b">
        <f t="shared" si="6"/>
        <v>0</v>
      </c>
      <c r="R30" s="518" t="str">
        <f t="shared" ref="R30:CA31" si="18">IF(LEN($F30)&gt;0,IF(AND(R$8=$J30,NOT(AND(R$8&gt;=$N30,R$8&lt;$P30))),R$6,IF(AND(NOT(R$8&gt;$J29),R$8&lt;$J30),"-",IF(AND(R$8&gt;=$N30,R$8&lt;$P30),IF(R$8&lt;$O30,IF($J30=$N30,R$6*($J30-$C$4)/(R$8-$C$4),IF(R$8&lt;$J30,R$6*((R$8-$C$4)-($J29-$C$4))/(R$8-$C$4),R$6*(($J30-$J29))/(R$8-$C$4) )),IF($J30=$N30,R$6*($P30-R$8)/($P30-$O30)*($J30-$C$4)/($O30-$C$4),IF(R$8&lt;$J30,R$6*(R$8-$O30)/($P30-$O30),R$6*($P30-R$8)/($P30-$O30)*($J30-$J29)/($O30-$C$4)))),IF(AND(R$8&gt;$J29,R$8&lt;$J30),R$6*(R$8-$J29)/($J30-$J29),IF(AND(R$8&gt;$J30,R$8&lt;$J31),R$6*($J31-R$8)/($J31-$J30),"-"))))),"-")</f>
        <v>-</v>
      </c>
      <c r="S30" s="518" t="str">
        <f t="shared" si="18"/>
        <v>-</v>
      </c>
      <c r="T30" s="518" t="str">
        <f t="shared" si="18"/>
        <v>-</v>
      </c>
      <c r="U30" s="518" t="str">
        <f t="shared" si="18"/>
        <v>-</v>
      </c>
      <c r="V30" s="518" t="str">
        <f t="shared" si="18"/>
        <v>-</v>
      </c>
      <c r="W30" s="518" t="str">
        <f t="shared" si="18"/>
        <v>-</v>
      </c>
      <c r="X30" s="518" t="str">
        <f t="shared" si="18"/>
        <v>-</v>
      </c>
      <c r="Y30" s="518" t="str">
        <f t="shared" si="18"/>
        <v>-</v>
      </c>
      <c r="Z30" s="518" t="str">
        <f t="shared" si="18"/>
        <v>-</v>
      </c>
      <c r="AA30" s="518" t="str">
        <f t="shared" si="18"/>
        <v>-</v>
      </c>
      <c r="AB30" s="518" t="str">
        <f t="shared" si="18"/>
        <v>-</v>
      </c>
      <c r="AC30" s="518" t="str">
        <f t="shared" si="18"/>
        <v>-</v>
      </c>
      <c r="AD30" s="518" t="str">
        <f t="shared" si="18"/>
        <v>-</v>
      </c>
      <c r="AE30" s="518" t="str">
        <f t="shared" si="18"/>
        <v>-</v>
      </c>
      <c r="AF30" s="518" t="str">
        <f t="shared" si="18"/>
        <v>-</v>
      </c>
      <c r="AG30" s="518" t="str">
        <f t="shared" si="18"/>
        <v>-</v>
      </c>
      <c r="AH30" s="518" t="str">
        <f t="shared" si="18"/>
        <v>-</v>
      </c>
      <c r="AI30" s="518" t="str">
        <f t="shared" si="18"/>
        <v>-</v>
      </c>
      <c r="AJ30" s="518" t="str">
        <f t="shared" si="18"/>
        <v>-</v>
      </c>
      <c r="AK30" s="518" t="str">
        <f t="shared" si="18"/>
        <v>-</v>
      </c>
      <c r="AL30" s="518" t="str">
        <f t="shared" si="18"/>
        <v>-</v>
      </c>
      <c r="AM30" s="518" t="str">
        <f t="shared" si="18"/>
        <v>-</v>
      </c>
      <c r="AN30" s="518" t="str">
        <f t="shared" si="18"/>
        <v>-</v>
      </c>
      <c r="AO30" s="518" t="str">
        <f t="shared" si="18"/>
        <v>-</v>
      </c>
      <c r="AP30" s="518">
        <f t="shared" si="18"/>
        <v>11988.40396689975</v>
      </c>
      <c r="AQ30" s="518" t="str">
        <f t="shared" si="18"/>
        <v>-</v>
      </c>
      <c r="AR30" s="518" t="str">
        <f t="shared" si="18"/>
        <v>-</v>
      </c>
      <c r="AS30" s="518" t="str">
        <f t="shared" si="18"/>
        <v>-</v>
      </c>
      <c r="AT30" s="518" t="str">
        <f t="shared" si="18"/>
        <v>-</v>
      </c>
      <c r="AU30" s="518" t="str">
        <f t="shared" si="18"/>
        <v>-</v>
      </c>
      <c r="AV30" s="518" t="str">
        <f t="shared" si="18"/>
        <v>-</v>
      </c>
      <c r="AW30" s="518" t="str">
        <f t="shared" si="18"/>
        <v>-</v>
      </c>
      <c r="AX30" s="518" t="str">
        <f t="shared" si="18"/>
        <v>-</v>
      </c>
      <c r="AY30" s="518" t="str">
        <f t="shared" si="18"/>
        <v>-</v>
      </c>
      <c r="AZ30" s="518" t="str">
        <f t="shared" si="18"/>
        <v>-</v>
      </c>
      <c r="BA30" s="518" t="str">
        <f t="shared" si="18"/>
        <v>-</v>
      </c>
      <c r="BB30" s="518" t="str">
        <f t="shared" si="18"/>
        <v>-</v>
      </c>
      <c r="BC30" s="518" t="str">
        <f t="shared" si="18"/>
        <v>-</v>
      </c>
      <c r="BD30" s="518" t="str">
        <f t="shared" si="18"/>
        <v>-</v>
      </c>
      <c r="BE30" s="518" t="str">
        <f t="shared" si="18"/>
        <v>-</v>
      </c>
      <c r="BF30" s="518" t="str">
        <f t="shared" si="18"/>
        <v>-</v>
      </c>
      <c r="BG30" s="518" t="str">
        <f t="shared" si="18"/>
        <v>-</v>
      </c>
      <c r="BH30" s="518" t="str">
        <f t="shared" si="18"/>
        <v>-</v>
      </c>
      <c r="BI30" s="518" t="str">
        <f t="shared" si="18"/>
        <v>-</v>
      </c>
      <c r="BJ30" s="518" t="str">
        <f t="shared" si="18"/>
        <v>-</v>
      </c>
      <c r="BK30" s="518" t="str">
        <f t="shared" si="18"/>
        <v>-</v>
      </c>
      <c r="BL30" s="518" t="str">
        <f t="shared" si="18"/>
        <v>-</v>
      </c>
      <c r="BM30" s="518" t="str">
        <f t="shared" si="18"/>
        <v>-</v>
      </c>
      <c r="BN30" s="518" t="str">
        <f t="shared" si="18"/>
        <v>-</v>
      </c>
      <c r="BO30" s="518" t="str">
        <f t="shared" si="18"/>
        <v>-</v>
      </c>
      <c r="BP30" s="518" t="str">
        <f t="shared" si="18"/>
        <v>-</v>
      </c>
      <c r="BQ30" s="518" t="str">
        <f t="shared" si="18"/>
        <v>-</v>
      </c>
      <c r="BR30" s="518" t="str">
        <f t="shared" si="18"/>
        <v>-</v>
      </c>
      <c r="BS30" s="518" t="str">
        <f t="shared" si="18"/>
        <v>-</v>
      </c>
      <c r="BT30" s="518" t="str">
        <f t="shared" si="18"/>
        <v>-</v>
      </c>
      <c r="BU30" s="518" t="str">
        <f t="shared" si="18"/>
        <v>-</v>
      </c>
      <c r="BV30" s="518" t="str">
        <f t="shared" si="18"/>
        <v>-</v>
      </c>
      <c r="BW30" s="518" t="str">
        <f t="shared" si="18"/>
        <v>-</v>
      </c>
      <c r="BX30" s="518" t="str">
        <f t="shared" si="18"/>
        <v>-</v>
      </c>
      <c r="BY30" s="518" t="str">
        <f t="shared" si="18"/>
        <v>-</v>
      </c>
      <c r="BZ30" s="518" t="str">
        <f t="shared" si="18"/>
        <v>-</v>
      </c>
      <c r="CA30" s="518" t="str">
        <f t="shared" si="18"/>
        <v>-</v>
      </c>
    </row>
    <row r="31" spans="1:79">
      <c r="A31" s="105">
        <v>23</v>
      </c>
      <c r="B31" s="112" t="str">
        <v>3Y</v>
      </c>
      <c r="C31" s="512">
        <f>'usd disaggregated'!AO39</f>
        <v>-3392.1216043271788</v>
      </c>
      <c r="D31" s="111" t="str">
        <f t="shared" si="8"/>
        <v>36M</v>
      </c>
      <c r="E31" s="517">
        <f>IF(LEN(B31)&gt;0,CHOOSE(MATCH(RIGHT(D31,1),{"D","W","M"},0),NextBusDay($C$4,LEFT(D31,LEN(D31)-1)),NextBusDay($C$4+7*LEFT(D31,LEN(D31)-1)),NextBusDay(EDATE($C$4,LEFT(D31,LEN(D31)-1)))),"")</f>
        <v>43766</v>
      </c>
      <c r="F31" s="107" t="str">
        <v>6Y</v>
      </c>
      <c r="G31" s="106" t="str">
        <v>6Y</v>
      </c>
      <c r="H31" s="106" t="str">
        <f t="shared" si="9"/>
        <v>72M</v>
      </c>
      <c r="I31" s="261" t="str">
        <v>W</v>
      </c>
      <c r="J31" s="106">
        <f>IF(LEN(F31)&gt;0,IF(I31="S",H31,IF(I31="F",EDATE(H31,3),CHOOSE(MATCH(RIGHT(H31,1),{"D","W","M"},0),NextBusDay($C$4,LEFT(H31,LEN(H31)-1)),NextBusDay($C$4+7*LEFT(H31,LEN(H31)-1)),NextBusDay(EDATE($C$4,LEFT(H31,LEN(H31)-1)))))),"")</f>
        <v>44860</v>
      </c>
      <c r="L31" s="515">
        <f t="shared" si="2"/>
        <v>24296.509408257698</v>
      </c>
      <c r="N31" s="106" t="str">
        <f t="shared" si="3"/>
        <v>-</v>
      </c>
      <c r="O31" s="106" t="str">
        <f t="shared" si="17"/>
        <v>-</v>
      </c>
      <c r="P31" s="106" t="str">
        <f t="shared" si="5"/>
        <v>-</v>
      </c>
      <c r="Q31" s="106" t="b">
        <f t="shared" si="6"/>
        <v>0</v>
      </c>
      <c r="R31" s="518" t="str">
        <f t="shared" si="18"/>
        <v>-</v>
      </c>
      <c r="S31" s="518" t="str">
        <f t="shared" si="18"/>
        <v>-</v>
      </c>
      <c r="T31" s="518" t="str">
        <f t="shared" si="18"/>
        <v>-</v>
      </c>
      <c r="U31" s="518" t="str">
        <f t="shared" si="18"/>
        <v>-</v>
      </c>
      <c r="V31" s="518" t="str">
        <f t="shared" si="18"/>
        <v>-</v>
      </c>
      <c r="W31" s="518" t="str">
        <f t="shared" si="18"/>
        <v>-</v>
      </c>
      <c r="X31" s="518" t="str">
        <f t="shared" si="18"/>
        <v>-</v>
      </c>
      <c r="Y31" s="518" t="str">
        <f t="shared" si="18"/>
        <v>-</v>
      </c>
      <c r="Z31" s="518" t="str">
        <f t="shared" si="18"/>
        <v>-</v>
      </c>
      <c r="AA31" s="518" t="str">
        <f t="shared" si="18"/>
        <v>-</v>
      </c>
      <c r="AB31" s="518" t="str">
        <f t="shared" si="18"/>
        <v>-</v>
      </c>
      <c r="AC31" s="518" t="str">
        <f t="shared" si="18"/>
        <v>-</v>
      </c>
      <c r="AD31" s="518" t="str">
        <f t="shared" si="18"/>
        <v>-</v>
      </c>
      <c r="AE31" s="518" t="str">
        <f t="shared" si="18"/>
        <v>-</v>
      </c>
      <c r="AF31" s="518" t="str">
        <f t="shared" si="18"/>
        <v>-</v>
      </c>
      <c r="AG31" s="518" t="str">
        <f t="shared" si="18"/>
        <v>-</v>
      </c>
      <c r="AH31" s="518" t="str">
        <f t="shared" si="18"/>
        <v>-</v>
      </c>
      <c r="AI31" s="518" t="str">
        <f t="shared" si="18"/>
        <v>-</v>
      </c>
      <c r="AJ31" s="518" t="str">
        <f t="shared" si="18"/>
        <v>-</v>
      </c>
      <c r="AK31" s="518" t="str">
        <f t="shared" si="18"/>
        <v>-</v>
      </c>
      <c r="AL31" s="518" t="str">
        <f t="shared" si="18"/>
        <v>-</v>
      </c>
      <c r="AM31" s="518" t="str">
        <f t="shared" si="18"/>
        <v>-</v>
      </c>
      <c r="AN31" s="518" t="str">
        <f t="shared" si="18"/>
        <v>-</v>
      </c>
      <c r="AO31" s="518" t="str">
        <f t="shared" si="18"/>
        <v>-</v>
      </c>
      <c r="AP31" s="518" t="str">
        <f t="shared" si="18"/>
        <v>-</v>
      </c>
      <c r="AQ31" s="518">
        <f t="shared" si="18"/>
        <v>24296.509408257698</v>
      </c>
      <c r="AR31" s="518" t="str">
        <f t="shared" si="18"/>
        <v>-</v>
      </c>
      <c r="AS31" s="518" t="str">
        <f t="shared" si="18"/>
        <v>-</v>
      </c>
      <c r="AT31" s="518" t="str">
        <f t="shared" si="18"/>
        <v>-</v>
      </c>
      <c r="AU31" s="518" t="str">
        <f t="shared" si="18"/>
        <v>-</v>
      </c>
      <c r="AV31" s="518" t="str">
        <f t="shared" si="18"/>
        <v>-</v>
      </c>
      <c r="AW31" s="518" t="str">
        <f t="shared" si="18"/>
        <v>-</v>
      </c>
      <c r="AX31" s="518" t="str">
        <f t="shared" si="18"/>
        <v>-</v>
      </c>
      <c r="AY31" s="518" t="str">
        <f t="shared" si="18"/>
        <v>-</v>
      </c>
      <c r="AZ31" s="518" t="str">
        <f t="shared" si="18"/>
        <v>-</v>
      </c>
      <c r="BA31" s="518" t="str">
        <f t="shared" si="18"/>
        <v>-</v>
      </c>
      <c r="BB31" s="518" t="str">
        <f t="shared" si="18"/>
        <v>-</v>
      </c>
      <c r="BC31" s="518" t="str">
        <f t="shared" si="18"/>
        <v>-</v>
      </c>
      <c r="BD31" s="518" t="str">
        <f t="shared" si="18"/>
        <v>-</v>
      </c>
      <c r="BE31" s="518" t="str">
        <f t="shared" si="18"/>
        <v>-</v>
      </c>
      <c r="BF31" s="518" t="str">
        <f t="shared" si="18"/>
        <v>-</v>
      </c>
      <c r="BG31" s="518" t="str">
        <f t="shared" si="18"/>
        <v>-</v>
      </c>
      <c r="BH31" s="518" t="str">
        <f t="shared" si="18"/>
        <v>-</v>
      </c>
      <c r="BI31" s="518" t="str">
        <f t="shared" si="18"/>
        <v>-</v>
      </c>
      <c r="BJ31" s="518" t="str">
        <f t="shared" si="18"/>
        <v>-</v>
      </c>
      <c r="BK31" s="518" t="str">
        <f t="shared" si="18"/>
        <v>-</v>
      </c>
      <c r="BL31" s="518" t="str">
        <f t="shared" si="18"/>
        <v>-</v>
      </c>
      <c r="BM31" s="518" t="str">
        <f t="shared" si="18"/>
        <v>-</v>
      </c>
      <c r="BN31" s="518" t="str">
        <f t="shared" si="18"/>
        <v>-</v>
      </c>
      <c r="BO31" s="518" t="str">
        <f t="shared" si="18"/>
        <v>-</v>
      </c>
      <c r="BP31" s="518" t="str">
        <f t="shared" si="18"/>
        <v>-</v>
      </c>
      <c r="BQ31" s="518" t="str">
        <f t="shared" si="18"/>
        <v>-</v>
      </c>
      <c r="BR31" s="518" t="str">
        <f t="shared" si="18"/>
        <v>-</v>
      </c>
      <c r="BS31" s="518" t="str">
        <f t="shared" si="18"/>
        <v>-</v>
      </c>
      <c r="BT31" s="518" t="str">
        <f t="shared" si="18"/>
        <v>-</v>
      </c>
      <c r="BU31" s="518" t="str">
        <f t="shared" si="18"/>
        <v>-</v>
      </c>
      <c r="BV31" s="518" t="str">
        <f t="shared" si="18"/>
        <v>-</v>
      </c>
      <c r="BW31" s="518" t="str">
        <f t="shared" si="18"/>
        <v>-</v>
      </c>
      <c r="BX31" s="518" t="str">
        <f t="shared" si="18"/>
        <v>-</v>
      </c>
      <c r="BY31" s="518" t="str">
        <f t="shared" si="18"/>
        <v>-</v>
      </c>
      <c r="BZ31" s="518" t="str">
        <f t="shared" si="18"/>
        <v>-</v>
      </c>
      <c r="CA31" s="518" t="str">
        <f t="shared" si="18"/>
        <v>-</v>
      </c>
    </row>
    <row r="32" spans="1:79">
      <c r="A32" s="105">
        <v>24</v>
      </c>
      <c r="B32" s="112" t="str">
        <v>4Y</v>
      </c>
      <c r="C32" s="512">
        <f>'usd disaggregated'!AO40</f>
        <v>-15461.723338468615</v>
      </c>
      <c r="D32" s="111" t="str">
        <f t="shared" si="8"/>
        <v>48M</v>
      </c>
      <c r="E32" s="517">
        <f>IF(LEN(B32)&gt;0,CHOOSE(MATCH(RIGHT(D32,1),{"D","W","M"},0),NextBusDay($C$4,LEFT(D32,LEN(D32)-1)),NextBusDay($C$4+7*LEFT(D32,LEN(D32)-1)),NextBusDay(EDATE($C$4,LEFT(D32,LEN(D32)-1)))),"")</f>
        <v>44130</v>
      </c>
      <c r="F32" s="107" t="str">
        <v>7Y</v>
      </c>
      <c r="G32" s="106" t="str">
        <v>7Y</v>
      </c>
      <c r="H32" s="106" t="str">
        <f t="shared" si="9"/>
        <v>84M</v>
      </c>
      <c r="I32" s="261" t="str">
        <v>W</v>
      </c>
      <c r="J32" s="106">
        <f>IF(LEN(F32)&gt;0,IF(I32="S",H32,IF(I32="F",EDATE(H32,3),CHOOSE(MATCH(RIGHT(H32,1),{"D","W","M"},0),NextBusDay($C$4,LEFT(H32,LEN(H32)-1)),NextBusDay($C$4+7*LEFT(H32,LEN(H32)-1)),NextBusDay(EDATE($C$4,LEFT(H32,LEN(H32)-1)))))),"")</f>
        <v>45225</v>
      </c>
      <c r="L32" s="515">
        <f t="shared" si="2"/>
        <v>44793.663879845655</v>
      </c>
      <c r="N32" s="106" t="str">
        <f t="shared" si="3"/>
        <v>-</v>
      </c>
      <c r="O32" s="106" t="str">
        <f t="shared" si="17"/>
        <v>-</v>
      </c>
      <c r="P32" s="106" t="str">
        <f t="shared" si="5"/>
        <v>-</v>
      </c>
      <c r="Q32" s="106" t="b">
        <f t="shared" si="6"/>
        <v>0</v>
      </c>
      <c r="R32" s="516" t="str">
        <f t="shared" ref="R32:CA36" si="19">IF(LEN($F32)&gt;0,IF(AND(R$8=$J32,NOT(AND(R$8&gt;=$N32,R$8&lt;$P32))),R$6,IF(AND(NOT(R$8&gt;$J31),R$8&lt;$J32),"-",IF(AND(R$8&gt;=$N32,R$8&lt;$P32),"???",IF(AND(R$8&gt;$J31,R$8&lt;$J32),R$6*(R$8-$J31)/($J32-$J31),IF(AND(R$8&gt;$J32,R$8&lt;$J33),R$6*($J33-R$8)/($J33-$J32),"-"))))),"-")</f>
        <v>-</v>
      </c>
      <c r="S32" s="516" t="str">
        <f t="shared" si="19"/>
        <v>-</v>
      </c>
      <c r="T32" s="516" t="str">
        <f t="shared" si="19"/>
        <v>-</v>
      </c>
      <c r="U32" s="516" t="str">
        <f t="shared" si="19"/>
        <v>-</v>
      </c>
      <c r="V32" s="516" t="str">
        <f t="shared" si="19"/>
        <v>-</v>
      </c>
      <c r="W32" s="516" t="str">
        <f t="shared" si="19"/>
        <v>-</v>
      </c>
      <c r="X32" s="516" t="str">
        <f t="shared" si="19"/>
        <v>-</v>
      </c>
      <c r="Y32" s="516" t="str">
        <f t="shared" si="19"/>
        <v>-</v>
      </c>
      <c r="Z32" s="516" t="str">
        <f t="shared" si="19"/>
        <v>-</v>
      </c>
      <c r="AA32" s="516" t="str">
        <f t="shared" si="19"/>
        <v>-</v>
      </c>
      <c r="AB32" s="516" t="str">
        <f t="shared" si="19"/>
        <v>-</v>
      </c>
      <c r="AC32" s="516" t="str">
        <f t="shared" si="19"/>
        <v>-</v>
      </c>
      <c r="AD32" s="516" t="str">
        <f t="shared" si="19"/>
        <v>-</v>
      </c>
      <c r="AE32" s="516" t="str">
        <f t="shared" si="19"/>
        <v>-</v>
      </c>
      <c r="AF32" s="516" t="str">
        <f t="shared" si="19"/>
        <v>-</v>
      </c>
      <c r="AG32" s="516" t="str">
        <f t="shared" si="19"/>
        <v>-</v>
      </c>
      <c r="AH32" s="516" t="str">
        <f t="shared" si="19"/>
        <v>-</v>
      </c>
      <c r="AI32" s="516" t="str">
        <f t="shared" si="19"/>
        <v>-</v>
      </c>
      <c r="AJ32" s="516" t="str">
        <f t="shared" si="19"/>
        <v>-</v>
      </c>
      <c r="AK32" s="516" t="str">
        <f t="shared" si="19"/>
        <v>-</v>
      </c>
      <c r="AL32" s="516" t="str">
        <f t="shared" si="19"/>
        <v>-</v>
      </c>
      <c r="AM32" s="516" t="str">
        <f t="shared" si="19"/>
        <v>-</v>
      </c>
      <c r="AN32" s="516" t="str">
        <f t="shared" si="19"/>
        <v>-</v>
      </c>
      <c r="AO32" s="516" t="str">
        <f t="shared" si="19"/>
        <v>-</v>
      </c>
      <c r="AP32" s="516" t="str">
        <f t="shared" si="19"/>
        <v>-</v>
      </c>
      <c r="AQ32" s="516" t="str">
        <f t="shared" si="19"/>
        <v>-</v>
      </c>
      <c r="AR32" s="516">
        <f t="shared" si="19"/>
        <v>44793.663879845655</v>
      </c>
      <c r="AS32" s="516" t="str">
        <f t="shared" si="19"/>
        <v>-</v>
      </c>
      <c r="AT32" s="516" t="str">
        <f t="shared" si="19"/>
        <v>-</v>
      </c>
      <c r="AU32" s="516" t="str">
        <f t="shared" si="19"/>
        <v>-</v>
      </c>
      <c r="AV32" s="516" t="str">
        <f t="shared" si="19"/>
        <v>-</v>
      </c>
      <c r="AW32" s="516" t="str">
        <f t="shared" si="19"/>
        <v>-</v>
      </c>
      <c r="AX32" s="516" t="str">
        <f t="shared" si="19"/>
        <v>-</v>
      </c>
      <c r="AY32" s="516" t="str">
        <f t="shared" si="19"/>
        <v>-</v>
      </c>
      <c r="AZ32" s="516" t="str">
        <f t="shared" si="19"/>
        <v>-</v>
      </c>
      <c r="BA32" s="516" t="str">
        <f t="shared" si="19"/>
        <v>-</v>
      </c>
      <c r="BB32" s="516" t="str">
        <f t="shared" si="19"/>
        <v>-</v>
      </c>
      <c r="BC32" s="516" t="str">
        <f t="shared" si="19"/>
        <v>-</v>
      </c>
      <c r="BD32" s="516" t="str">
        <f t="shared" si="19"/>
        <v>-</v>
      </c>
      <c r="BE32" s="516" t="str">
        <f t="shared" si="19"/>
        <v>-</v>
      </c>
      <c r="BF32" s="516" t="str">
        <f t="shared" si="19"/>
        <v>-</v>
      </c>
      <c r="BG32" s="516" t="str">
        <f t="shared" si="19"/>
        <v>-</v>
      </c>
      <c r="BH32" s="516" t="str">
        <f t="shared" si="19"/>
        <v>-</v>
      </c>
      <c r="BI32" s="516" t="str">
        <f t="shared" si="19"/>
        <v>-</v>
      </c>
      <c r="BJ32" s="516" t="str">
        <f t="shared" si="19"/>
        <v>-</v>
      </c>
      <c r="BK32" s="516" t="str">
        <f t="shared" si="19"/>
        <v>-</v>
      </c>
      <c r="BL32" s="516" t="str">
        <f t="shared" si="19"/>
        <v>-</v>
      </c>
      <c r="BM32" s="516" t="str">
        <f t="shared" si="19"/>
        <v>-</v>
      </c>
      <c r="BN32" s="516" t="str">
        <f t="shared" si="19"/>
        <v>-</v>
      </c>
      <c r="BO32" s="516" t="str">
        <f t="shared" si="19"/>
        <v>-</v>
      </c>
      <c r="BP32" s="516" t="str">
        <f t="shared" si="19"/>
        <v>-</v>
      </c>
      <c r="BQ32" s="516" t="str">
        <f t="shared" si="19"/>
        <v>-</v>
      </c>
      <c r="BR32" s="516" t="str">
        <f t="shared" si="19"/>
        <v>-</v>
      </c>
      <c r="BS32" s="516" t="str">
        <f t="shared" si="19"/>
        <v>-</v>
      </c>
      <c r="BT32" s="516" t="str">
        <f t="shared" si="19"/>
        <v>-</v>
      </c>
      <c r="BU32" s="516" t="str">
        <f t="shared" si="19"/>
        <v>-</v>
      </c>
      <c r="BV32" s="516" t="str">
        <f t="shared" si="19"/>
        <v>-</v>
      </c>
      <c r="BW32" s="516" t="str">
        <f t="shared" si="19"/>
        <v>-</v>
      </c>
      <c r="BX32" s="516" t="str">
        <f t="shared" si="19"/>
        <v>-</v>
      </c>
      <c r="BY32" s="516" t="str">
        <f t="shared" si="19"/>
        <v>-</v>
      </c>
      <c r="BZ32" s="516" t="str">
        <f t="shared" si="19"/>
        <v>-</v>
      </c>
      <c r="CA32" s="516" t="str">
        <f t="shared" si="19"/>
        <v>-</v>
      </c>
    </row>
    <row r="33" spans="1:79">
      <c r="A33" s="105">
        <v>25</v>
      </c>
      <c r="B33" s="112" t="str">
        <v>5Y</v>
      </c>
      <c r="C33" s="512">
        <f>'usd disaggregated'!AO41</f>
        <v>11988.40396689975</v>
      </c>
      <c r="D33" s="111" t="str">
        <f t="shared" si="8"/>
        <v>60M</v>
      </c>
      <c r="E33" s="517">
        <f>IF(LEN(B33)&gt;0,CHOOSE(MATCH(RIGHT(D33,1),{"D","W","M"},0),NextBusDay($C$4,LEFT(D33,LEN(D33)-1)),NextBusDay($C$4+7*LEFT(D33,LEN(D33)-1)),NextBusDay(EDATE($C$4,LEFT(D33,LEN(D33)-1)))),"")</f>
        <v>44495</v>
      </c>
      <c r="F33" s="107" t="str">
        <v>8Y</v>
      </c>
      <c r="G33" s="106" t="str">
        <v>8Y</v>
      </c>
      <c r="H33" s="106" t="str">
        <f t="shared" si="9"/>
        <v>96M</v>
      </c>
      <c r="I33" s="261" t="str">
        <v>W</v>
      </c>
      <c r="J33" s="106">
        <f>IF(LEN(F33)&gt;0,IF(I33="S",H33,IF(I33="F",EDATE(H33,3),CHOOSE(MATCH(RIGHT(H33,1),{"D","W","M"},0),NextBusDay($C$4,LEFT(H33,LEN(H33)-1)),NextBusDay($C$4+7*LEFT(H33,LEN(H33)-1)),NextBusDay(EDATE($C$4,LEFT(H33,LEN(H33)-1)))))),"")</f>
        <v>45593</v>
      </c>
      <c r="L33" s="515">
        <f t="shared" si="2"/>
        <v>74136.455377146471</v>
      </c>
      <c r="N33" s="106" t="str">
        <f t="shared" si="3"/>
        <v>-</v>
      </c>
      <c r="O33" s="106" t="str">
        <f t="shared" si="17"/>
        <v>-</v>
      </c>
      <c r="P33" s="106" t="str">
        <f t="shared" si="5"/>
        <v>-</v>
      </c>
      <c r="Q33" s="106" t="b">
        <f t="shared" si="6"/>
        <v>0</v>
      </c>
      <c r="R33" s="516" t="str">
        <f t="shared" si="19"/>
        <v>-</v>
      </c>
      <c r="S33" s="516" t="str">
        <f t="shared" si="19"/>
        <v>-</v>
      </c>
      <c r="T33" s="516" t="str">
        <f t="shared" si="19"/>
        <v>-</v>
      </c>
      <c r="U33" s="516" t="str">
        <f t="shared" si="19"/>
        <v>-</v>
      </c>
      <c r="V33" s="516" t="str">
        <f t="shared" si="19"/>
        <v>-</v>
      </c>
      <c r="W33" s="516" t="str">
        <f t="shared" si="19"/>
        <v>-</v>
      </c>
      <c r="X33" s="516" t="str">
        <f t="shared" si="19"/>
        <v>-</v>
      </c>
      <c r="Y33" s="516" t="str">
        <f t="shared" si="19"/>
        <v>-</v>
      </c>
      <c r="Z33" s="516" t="str">
        <f t="shared" si="19"/>
        <v>-</v>
      </c>
      <c r="AA33" s="516" t="str">
        <f t="shared" si="19"/>
        <v>-</v>
      </c>
      <c r="AB33" s="516" t="str">
        <f t="shared" si="19"/>
        <v>-</v>
      </c>
      <c r="AC33" s="516" t="str">
        <f t="shared" si="19"/>
        <v>-</v>
      </c>
      <c r="AD33" s="516" t="str">
        <f t="shared" si="19"/>
        <v>-</v>
      </c>
      <c r="AE33" s="516" t="str">
        <f t="shared" si="19"/>
        <v>-</v>
      </c>
      <c r="AF33" s="516" t="str">
        <f t="shared" si="19"/>
        <v>-</v>
      </c>
      <c r="AG33" s="516" t="str">
        <f t="shared" si="19"/>
        <v>-</v>
      </c>
      <c r="AH33" s="516" t="str">
        <f t="shared" si="19"/>
        <v>-</v>
      </c>
      <c r="AI33" s="516" t="str">
        <f t="shared" si="19"/>
        <v>-</v>
      </c>
      <c r="AJ33" s="516" t="str">
        <f t="shared" si="19"/>
        <v>-</v>
      </c>
      <c r="AK33" s="516" t="str">
        <f t="shared" si="19"/>
        <v>-</v>
      </c>
      <c r="AL33" s="516" t="str">
        <f t="shared" si="19"/>
        <v>-</v>
      </c>
      <c r="AM33" s="516" t="str">
        <f t="shared" si="19"/>
        <v>-</v>
      </c>
      <c r="AN33" s="516" t="str">
        <f t="shared" si="19"/>
        <v>-</v>
      </c>
      <c r="AO33" s="516" t="str">
        <f t="shared" si="19"/>
        <v>-</v>
      </c>
      <c r="AP33" s="516" t="str">
        <f t="shared" si="19"/>
        <v>-</v>
      </c>
      <c r="AQ33" s="516" t="str">
        <f t="shared" si="19"/>
        <v>-</v>
      </c>
      <c r="AR33" s="516" t="str">
        <f t="shared" si="19"/>
        <v>-</v>
      </c>
      <c r="AS33" s="516">
        <f t="shared" si="19"/>
        <v>74136.455377146471</v>
      </c>
      <c r="AT33" s="516" t="str">
        <f t="shared" si="19"/>
        <v>-</v>
      </c>
      <c r="AU33" s="516" t="str">
        <f t="shared" si="19"/>
        <v>-</v>
      </c>
      <c r="AV33" s="516" t="str">
        <f t="shared" si="19"/>
        <v>-</v>
      </c>
      <c r="AW33" s="516" t="str">
        <f t="shared" si="19"/>
        <v>-</v>
      </c>
      <c r="AX33" s="516" t="str">
        <f t="shared" si="19"/>
        <v>-</v>
      </c>
      <c r="AY33" s="516" t="str">
        <f t="shared" si="19"/>
        <v>-</v>
      </c>
      <c r="AZ33" s="516" t="str">
        <f t="shared" si="19"/>
        <v>-</v>
      </c>
      <c r="BA33" s="516" t="str">
        <f t="shared" si="19"/>
        <v>-</v>
      </c>
      <c r="BB33" s="516" t="str">
        <f t="shared" si="19"/>
        <v>-</v>
      </c>
      <c r="BC33" s="516" t="str">
        <f t="shared" si="19"/>
        <v>-</v>
      </c>
      <c r="BD33" s="516" t="str">
        <f t="shared" si="19"/>
        <v>-</v>
      </c>
      <c r="BE33" s="516" t="str">
        <f t="shared" si="19"/>
        <v>-</v>
      </c>
      <c r="BF33" s="516" t="str">
        <f t="shared" si="19"/>
        <v>-</v>
      </c>
      <c r="BG33" s="516" t="str">
        <f t="shared" si="19"/>
        <v>-</v>
      </c>
      <c r="BH33" s="516" t="str">
        <f t="shared" si="19"/>
        <v>-</v>
      </c>
      <c r="BI33" s="516" t="str">
        <f t="shared" si="19"/>
        <v>-</v>
      </c>
      <c r="BJ33" s="516" t="str">
        <f t="shared" si="19"/>
        <v>-</v>
      </c>
      <c r="BK33" s="516" t="str">
        <f t="shared" si="19"/>
        <v>-</v>
      </c>
      <c r="BL33" s="516" t="str">
        <f t="shared" si="19"/>
        <v>-</v>
      </c>
      <c r="BM33" s="516" t="str">
        <f t="shared" si="19"/>
        <v>-</v>
      </c>
      <c r="BN33" s="516" t="str">
        <f t="shared" si="19"/>
        <v>-</v>
      </c>
      <c r="BO33" s="516" t="str">
        <f t="shared" si="19"/>
        <v>-</v>
      </c>
      <c r="BP33" s="516" t="str">
        <f t="shared" si="19"/>
        <v>-</v>
      </c>
      <c r="BQ33" s="516" t="str">
        <f t="shared" si="19"/>
        <v>-</v>
      </c>
      <c r="BR33" s="516" t="str">
        <f t="shared" si="19"/>
        <v>-</v>
      </c>
      <c r="BS33" s="516" t="str">
        <f t="shared" si="19"/>
        <v>-</v>
      </c>
      <c r="BT33" s="516" t="str">
        <f t="shared" si="19"/>
        <v>-</v>
      </c>
      <c r="BU33" s="516" t="str">
        <f t="shared" si="19"/>
        <v>-</v>
      </c>
      <c r="BV33" s="516" t="str">
        <f t="shared" si="19"/>
        <v>-</v>
      </c>
      <c r="BW33" s="516" t="str">
        <f t="shared" si="19"/>
        <v>-</v>
      </c>
      <c r="BX33" s="516" t="str">
        <f t="shared" si="19"/>
        <v>-</v>
      </c>
      <c r="BY33" s="516" t="str">
        <f t="shared" si="19"/>
        <v>-</v>
      </c>
      <c r="BZ33" s="516" t="str">
        <f t="shared" si="19"/>
        <v>-</v>
      </c>
      <c r="CA33" s="516" t="str">
        <f t="shared" si="19"/>
        <v>-</v>
      </c>
    </row>
    <row r="34" spans="1:79">
      <c r="A34" s="105">
        <v>26</v>
      </c>
      <c r="B34" s="112" t="str">
        <v>6Y</v>
      </c>
      <c r="C34" s="512">
        <f>'usd disaggregated'!AO42</f>
        <v>24296.509408257698</v>
      </c>
      <c r="D34" s="111" t="str">
        <f t="shared" si="8"/>
        <v>72M</v>
      </c>
      <c r="E34" s="517">
        <f>IF(LEN(B34)&gt;0,CHOOSE(MATCH(RIGHT(D34,1),{"D","W","M"},0),NextBusDay($C$4,LEFT(D34,LEN(D34)-1)),NextBusDay($C$4+7*LEFT(D34,LEN(D34)-1)),NextBusDay(EDATE($C$4,LEFT(D34,LEN(D34)-1)))),"")</f>
        <v>44860</v>
      </c>
      <c r="F34" s="107" t="str">
        <v>9Y</v>
      </c>
      <c r="G34" s="106" t="str">
        <v>9Y</v>
      </c>
      <c r="H34" s="106" t="str">
        <f t="shared" si="9"/>
        <v>108M</v>
      </c>
      <c r="I34" s="261" t="str">
        <v>W</v>
      </c>
      <c r="J34" s="106">
        <f>IF(LEN(F34)&gt;0,IF(I34="S",H34,IF(I34="F",EDATE(H34,3),CHOOSE(MATCH(RIGHT(H34,1),{"D","W","M"},0),NextBusDay($C$4,LEFT(H34,LEN(H34)-1)),NextBusDay($C$4+7*LEFT(H34,LEN(H34)-1)),NextBusDay(EDATE($C$4,LEFT(H34,LEN(H34)-1)))))),"")</f>
        <v>45957</v>
      </c>
      <c r="L34" s="515">
        <f t="shared" si="2"/>
        <v>-48959.965531596143</v>
      </c>
      <c r="N34" s="106" t="str">
        <f t="shared" si="3"/>
        <v>-</v>
      </c>
      <c r="O34" s="106" t="str">
        <f t="shared" si="17"/>
        <v>-</v>
      </c>
      <c r="P34" s="106" t="str">
        <f t="shared" si="5"/>
        <v>-</v>
      </c>
      <c r="Q34" s="106" t="b">
        <f t="shared" si="6"/>
        <v>0</v>
      </c>
      <c r="R34" s="516" t="str">
        <f t="shared" si="19"/>
        <v>-</v>
      </c>
      <c r="S34" s="516" t="str">
        <f t="shared" si="19"/>
        <v>-</v>
      </c>
      <c r="T34" s="516" t="str">
        <f t="shared" si="19"/>
        <v>-</v>
      </c>
      <c r="U34" s="516" t="str">
        <f t="shared" si="19"/>
        <v>-</v>
      </c>
      <c r="V34" s="516" t="str">
        <f t="shared" si="19"/>
        <v>-</v>
      </c>
      <c r="W34" s="516" t="str">
        <f t="shared" si="19"/>
        <v>-</v>
      </c>
      <c r="X34" s="516" t="str">
        <f t="shared" si="19"/>
        <v>-</v>
      </c>
      <c r="Y34" s="516" t="str">
        <f t="shared" si="19"/>
        <v>-</v>
      </c>
      <c r="Z34" s="516" t="str">
        <f t="shared" si="19"/>
        <v>-</v>
      </c>
      <c r="AA34" s="516" t="str">
        <f t="shared" si="19"/>
        <v>-</v>
      </c>
      <c r="AB34" s="516" t="str">
        <f t="shared" si="19"/>
        <v>-</v>
      </c>
      <c r="AC34" s="516" t="str">
        <f t="shared" si="19"/>
        <v>-</v>
      </c>
      <c r="AD34" s="516" t="str">
        <f t="shared" si="19"/>
        <v>-</v>
      </c>
      <c r="AE34" s="516" t="str">
        <f t="shared" si="19"/>
        <v>-</v>
      </c>
      <c r="AF34" s="516" t="str">
        <f t="shared" si="19"/>
        <v>-</v>
      </c>
      <c r="AG34" s="516" t="str">
        <f t="shared" si="19"/>
        <v>-</v>
      </c>
      <c r="AH34" s="516" t="str">
        <f t="shared" si="19"/>
        <v>-</v>
      </c>
      <c r="AI34" s="516" t="str">
        <f t="shared" si="19"/>
        <v>-</v>
      </c>
      <c r="AJ34" s="516" t="str">
        <f t="shared" si="19"/>
        <v>-</v>
      </c>
      <c r="AK34" s="516" t="str">
        <f t="shared" si="19"/>
        <v>-</v>
      </c>
      <c r="AL34" s="516" t="str">
        <f t="shared" si="19"/>
        <v>-</v>
      </c>
      <c r="AM34" s="516" t="str">
        <f t="shared" si="19"/>
        <v>-</v>
      </c>
      <c r="AN34" s="516" t="str">
        <f t="shared" si="19"/>
        <v>-</v>
      </c>
      <c r="AO34" s="516" t="str">
        <f t="shared" si="19"/>
        <v>-</v>
      </c>
      <c r="AP34" s="516" t="str">
        <f t="shared" si="19"/>
        <v>-</v>
      </c>
      <c r="AQ34" s="516" t="str">
        <f t="shared" si="19"/>
        <v>-</v>
      </c>
      <c r="AR34" s="516" t="str">
        <f t="shared" si="19"/>
        <v>-</v>
      </c>
      <c r="AS34" s="516" t="str">
        <f t="shared" si="19"/>
        <v>-</v>
      </c>
      <c r="AT34" s="516">
        <f t="shared" si="19"/>
        <v>-48959.965531596143</v>
      </c>
      <c r="AU34" s="516" t="str">
        <f t="shared" si="19"/>
        <v>-</v>
      </c>
      <c r="AV34" s="516" t="str">
        <f t="shared" si="19"/>
        <v>-</v>
      </c>
      <c r="AW34" s="516" t="str">
        <f t="shared" si="19"/>
        <v>-</v>
      </c>
      <c r="AX34" s="516" t="str">
        <f t="shared" si="19"/>
        <v>-</v>
      </c>
      <c r="AY34" s="516" t="str">
        <f t="shared" si="19"/>
        <v>-</v>
      </c>
      <c r="AZ34" s="516" t="str">
        <f t="shared" si="19"/>
        <v>-</v>
      </c>
      <c r="BA34" s="516" t="str">
        <f t="shared" si="19"/>
        <v>-</v>
      </c>
      <c r="BB34" s="516" t="str">
        <f t="shared" si="19"/>
        <v>-</v>
      </c>
      <c r="BC34" s="516" t="str">
        <f t="shared" si="19"/>
        <v>-</v>
      </c>
      <c r="BD34" s="516" t="str">
        <f t="shared" si="19"/>
        <v>-</v>
      </c>
      <c r="BE34" s="516" t="str">
        <f t="shared" si="19"/>
        <v>-</v>
      </c>
      <c r="BF34" s="516" t="str">
        <f t="shared" si="19"/>
        <v>-</v>
      </c>
      <c r="BG34" s="516" t="str">
        <f t="shared" si="19"/>
        <v>-</v>
      </c>
      <c r="BH34" s="516" t="str">
        <f t="shared" si="19"/>
        <v>-</v>
      </c>
      <c r="BI34" s="516" t="str">
        <f t="shared" si="19"/>
        <v>-</v>
      </c>
      <c r="BJ34" s="516" t="str">
        <f t="shared" si="19"/>
        <v>-</v>
      </c>
      <c r="BK34" s="516" t="str">
        <f t="shared" si="19"/>
        <v>-</v>
      </c>
      <c r="BL34" s="516" t="str">
        <f t="shared" si="19"/>
        <v>-</v>
      </c>
      <c r="BM34" s="516" t="str">
        <f t="shared" si="19"/>
        <v>-</v>
      </c>
      <c r="BN34" s="516" t="str">
        <f t="shared" si="19"/>
        <v>-</v>
      </c>
      <c r="BO34" s="516" t="str">
        <f t="shared" si="19"/>
        <v>-</v>
      </c>
      <c r="BP34" s="516" t="str">
        <f t="shared" si="19"/>
        <v>-</v>
      </c>
      <c r="BQ34" s="516" t="str">
        <f t="shared" si="19"/>
        <v>-</v>
      </c>
      <c r="BR34" s="516" t="str">
        <f t="shared" si="19"/>
        <v>-</v>
      </c>
      <c r="BS34" s="516" t="str">
        <f t="shared" si="19"/>
        <v>-</v>
      </c>
      <c r="BT34" s="516" t="str">
        <f t="shared" si="19"/>
        <v>-</v>
      </c>
      <c r="BU34" s="516" t="str">
        <f t="shared" si="19"/>
        <v>-</v>
      </c>
      <c r="BV34" s="516" t="str">
        <f t="shared" si="19"/>
        <v>-</v>
      </c>
      <c r="BW34" s="516" t="str">
        <f t="shared" si="19"/>
        <v>-</v>
      </c>
      <c r="BX34" s="516" t="str">
        <f t="shared" si="19"/>
        <v>-</v>
      </c>
      <c r="BY34" s="516" t="str">
        <f t="shared" si="19"/>
        <v>-</v>
      </c>
      <c r="BZ34" s="516" t="str">
        <f t="shared" si="19"/>
        <v>-</v>
      </c>
      <c r="CA34" s="516" t="str">
        <f t="shared" si="19"/>
        <v>-</v>
      </c>
    </row>
    <row r="35" spans="1:79">
      <c r="A35" s="105">
        <v>27</v>
      </c>
      <c r="B35" s="112" t="str">
        <v>7Y</v>
      </c>
      <c r="C35" s="512">
        <f>'usd disaggregated'!AO43</f>
        <v>44793.663879845655</v>
      </c>
      <c r="D35" s="111" t="str">
        <f t="shared" si="8"/>
        <v>84M</v>
      </c>
      <c r="E35" s="517">
        <f>IF(LEN(B35)&gt;0,CHOOSE(MATCH(RIGHT(D35,1),{"D","W","M"},0),NextBusDay($C$4,LEFT(D35,LEN(D35)-1)),NextBusDay($C$4+7*LEFT(D35,LEN(D35)-1)),NextBusDay(EDATE($C$4,LEFT(D35,LEN(D35)-1)))),"")</f>
        <v>45225</v>
      </c>
      <c r="F35" s="107" t="str">
        <v>10Y</v>
      </c>
      <c r="G35" s="106" t="str">
        <v>10Y</v>
      </c>
      <c r="H35" s="106" t="str">
        <f t="shared" si="9"/>
        <v>120M</v>
      </c>
      <c r="I35" s="261" t="str">
        <v>W</v>
      </c>
      <c r="J35" s="106">
        <f>IF(LEN(F35)&gt;0,IF(I35="S",H35,IF(I35="F",EDATE(H35,3),CHOOSE(MATCH(RIGHT(H35,1),{"D","W","M"},0),NextBusDay($C$4,LEFT(H35,LEN(H35)-1)),NextBusDay($C$4+7*LEFT(H35,LEN(H35)-1)),NextBusDay(EDATE($C$4,LEFT(H35,LEN(H35)-1)))))),"")</f>
        <v>46321</v>
      </c>
      <c r="L35" s="515">
        <f t="shared" si="2"/>
        <v>20867.454360729556</v>
      </c>
      <c r="N35" s="106" t="str">
        <f t="shared" si="3"/>
        <v>-</v>
      </c>
      <c r="O35" s="106" t="str">
        <f t="shared" si="17"/>
        <v>-</v>
      </c>
      <c r="P35" s="106" t="str">
        <f t="shared" si="5"/>
        <v>-</v>
      </c>
      <c r="Q35" s="106" t="b">
        <f t="shared" si="6"/>
        <v>0</v>
      </c>
      <c r="R35" s="516" t="str">
        <f t="shared" si="19"/>
        <v>-</v>
      </c>
      <c r="S35" s="516" t="str">
        <f t="shared" si="19"/>
        <v>-</v>
      </c>
      <c r="T35" s="516" t="str">
        <f t="shared" si="19"/>
        <v>-</v>
      </c>
      <c r="U35" s="516" t="str">
        <f t="shared" si="19"/>
        <v>-</v>
      </c>
      <c r="V35" s="516" t="str">
        <f t="shared" si="19"/>
        <v>-</v>
      </c>
      <c r="W35" s="516" t="str">
        <f t="shared" si="19"/>
        <v>-</v>
      </c>
      <c r="X35" s="516" t="str">
        <f t="shared" si="19"/>
        <v>-</v>
      </c>
      <c r="Y35" s="516" t="str">
        <f t="shared" si="19"/>
        <v>-</v>
      </c>
      <c r="Z35" s="516" t="str">
        <f t="shared" si="19"/>
        <v>-</v>
      </c>
      <c r="AA35" s="516" t="str">
        <f t="shared" si="19"/>
        <v>-</v>
      </c>
      <c r="AB35" s="516" t="str">
        <f t="shared" si="19"/>
        <v>-</v>
      </c>
      <c r="AC35" s="516" t="str">
        <f t="shared" si="19"/>
        <v>-</v>
      </c>
      <c r="AD35" s="516" t="str">
        <f t="shared" si="19"/>
        <v>-</v>
      </c>
      <c r="AE35" s="516" t="str">
        <f t="shared" si="19"/>
        <v>-</v>
      </c>
      <c r="AF35" s="516" t="str">
        <f t="shared" si="19"/>
        <v>-</v>
      </c>
      <c r="AG35" s="516" t="str">
        <f t="shared" si="19"/>
        <v>-</v>
      </c>
      <c r="AH35" s="516" t="str">
        <f t="shared" si="19"/>
        <v>-</v>
      </c>
      <c r="AI35" s="516" t="str">
        <f t="shared" si="19"/>
        <v>-</v>
      </c>
      <c r="AJ35" s="516" t="str">
        <f t="shared" si="19"/>
        <v>-</v>
      </c>
      <c r="AK35" s="516" t="str">
        <f t="shared" si="19"/>
        <v>-</v>
      </c>
      <c r="AL35" s="516" t="str">
        <f t="shared" si="19"/>
        <v>-</v>
      </c>
      <c r="AM35" s="516" t="str">
        <f t="shared" si="19"/>
        <v>-</v>
      </c>
      <c r="AN35" s="516" t="str">
        <f t="shared" si="19"/>
        <v>-</v>
      </c>
      <c r="AO35" s="516" t="str">
        <f t="shared" si="19"/>
        <v>-</v>
      </c>
      <c r="AP35" s="516" t="str">
        <f t="shared" si="19"/>
        <v>-</v>
      </c>
      <c r="AQ35" s="516" t="str">
        <f t="shared" si="19"/>
        <v>-</v>
      </c>
      <c r="AR35" s="516" t="str">
        <f t="shared" si="19"/>
        <v>-</v>
      </c>
      <c r="AS35" s="516" t="str">
        <f t="shared" si="19"/>
        <v>-</v>
      </c>
      <c r="AT35" s="516" t="str">
        <f t="shared" si="19"/>
        <v>-</v>
      </c>
      <c r="AU35" s="516">
        <f t="shared" si="19"/>
        <v>20867.454360729556</v>
      </c>
      <c r="AV35" s="516" t="str">
        <f t="shared" si="19"/>
        <v>-</v>
      </c>
      <c r="AW35" s="516" t="str">
        <f t="shared" si="19"/>
        <v>-</v>
      </c>
      <c r="AX35" s="516" t="str">
        <f t="shared" si="19"/>
        <v>-</v>
      </c>
      <c r="AY35" s="516" t="str">
        <f t="shared" si="19"/>
        <v>-</v>
      </c>
      <c r="AZ35" s="516" t="str">
        <f t="shared" si="19"/>
        <v>-</v>
      </c>
      <c r="BA35" s="516" t="str">
        <f t="shared" si="19"/>
        <v>-</v>
      </c>
      <c r="BB35" s="516" t="str">
        <f t="shared" si="19"/>
        <v>-</v>
      </c>
      <c r="BC35" s="516" t="str">
        <f t="shared" si="19"/>
        <v>-</v>
      </c>
      <c r="BD35" s="516" t="str">
        <f t="shared" si="19"/>
        <v>-</v>
      </c>
      <c r="BE35" s="516" t="str">
        <f t="shared" si="19"/>
        <v>-</v>
      </c>
      <c r="BF35" s="516" t="str">
        <f t="shared" si="19"/>
        <v>-</v>
      </c>
      <c r="BG35" s="516" t="str">
        <f t="shared" si="19"/>
        <v>-</v>
      </c>
      <c r="BH35" s="516" t="str">
        <f t="shared" si="19"/>
        <v>-</v>
      </c>
      <c r="BI35" s="516" t="str">
        <f t="shared" si="19"/>
        <v>-</v>
      </c>
      <c r="BJ35" s="516" t="str">
        <f t="shared" si="19"/>
        <v>-</v>
      </c>
      <c r="BK35" s="516" t="str">
        <f t="shared" si="19"/>
        <v>-</v>
      </c>
      <c r="BL35" s="516" t="str">
        <f t="shared" si="19"/>
        <v>-</v>
      </c>
      <c r="BM35" s="516" t="str">
        <f t="shared" si="19"/>
        <v>-</v>
      </c>
      <c r="BN35" s="516" t="str">
        <f t="shared" si="19"/>
        <v>-</v>
      </c>
      <c r="BO35" s="516" t="str">
        <f t="shared" si="19"/>
        <v>-</v>
      </c>
      <c r="BP35" s="516" t="str">
        <f t="shared" si="19"/>
        <v>-</v>
      </c>
      <c r="BQ35" s="516" t="str">
        <f t="shared" si="19"/>
        <v>-</v>
      </c>
      <c r="BR35" s="516" t="str">
        <f t="shared" si="19"/>
        <v>-</v>
      </c>
      <c r="BS35" s="516" t="str">
        <f t="shared" si="19"/>
        <v>-</v>
      </c>
      <c r="BT35" s="516" t="str">
        <f t="shared" si="19"/>
        <v>-</v>
      </c>
      <c r="BU35" s="516" t="str">
        <f t="shared" si="19"/>
        <v>-</v>
      </c>
      <c r="BV35" s="516" t="str">
        <f t="shared" si="19"/>
        <v>-</v>
      </c>
      <c r="BW35" s="516" t="str">
        <f t="shared" si="19"/>
        <v>-</v>
      </c>
      <c r="BX35" s="516" t="str">
        <f t="shared" si="19"/>
        <v>-</v>
      </c>
      <c r="BY35" s="516" t="str">
        <f t="shared" si="19"/>
        <v>-</v>
      </c>
      <c r="BZ35" s="516" t="str">
        <f t="shared" si="19"/>
        <v>-</v>
      </c>
      <c r="CA35" s="516" t="str">
        <f t="shared" si="19"/>
        <v>-</v>
      </c>
    </row>
    <row r="36" spans="1:79">
      <c r="A36" s="105">
        <v>28</v>
      </c>
      <c r="B36" s="112" t="str">
        <v>8Y</v>
      </c>
      <c r="C36" s="512">
        <f>'usd disaggregated'!AO44</f>
        <v>74136.455377146471</v>
      </c>
      <c r="D36" s="111" t="str">
        <f t="shared" si="8"/>
        <v>96M</v>
      </c>
      <c r="E36" s="517">
        <f>IF(LEN(B36)&gt;0,CHOOSE(MATCH(RIGHT(D36,1),{"D","W","M"},0),NextBusDay($C$4,LEFT(D36,LEN(D36)-1)),NextBusDay($C$4+7*LEFT(D36,LEN(D36)-1)),NextBusDay(EDATE($C$4,LEFT(D36,LEN(D36)-1)))),"")</f>
        <v>45593</v>
      </c>
      <c r="F36" s="107" t="str">
        <v>11Y</v>
      </c>
      <c r="G36" s="106" t="str">
        <v>11Y</v>
      </c>
      <c r="H36" s="106" t="str">
        <f t="shared" si="9"/>
        <v>132M</v>
      </c>
      <c r="I36" s="261" t="str">
        <v>W</v>
      </c>
      <c r="J36" s="106">
        <f>IF(LEN(F36)&gt;0,IF(I36="S",H36,IF(I36="F",EDATE(H36,3),CHOOSE(MATCH(RIGHT(H36,1),{"D","W","M"},0),NextBusDay($C$4,LEFT(H36,LEN(H36)-1)),NextBusDay($C$4+7*LEFT(H36,LEN(H36)-1)),NextBusDay(EDATE($C$4,LEFT(H36,LEN(H36)-1)))))),"")</f>
        <v>46686</v>
      </c>
      <c r="L36" s="515">
        <f t="shared" si="2"/>
        <v>0</v>
      </c>
      <c r="N36" s="106" t="str">
        <f t="shared" si="3"/>
        <v>-</v>
      </c>
      <c r="O36" s="106" t="str">
        <f t="shared" si="17"/>
        <v>-</v>
      </c>
      <c r="P36" s="106" t="str">
        <f t="shared" si="5"/>
        <v>-</v>
      </c>
      <c r="Q36" s="106" t="b">
        <f t="shared" si="6"/>
        <v>0</v>
      </c>
      <c r="R36" s="516" t="str">
        <f t="shared" si="19"/>
        <v>-</v>
      </c>
      <c r="S36" s="516" t="str">
        <f t="shared" si="19"/>
        <v>-</v>
      </c>
      <c r="T36" s="516" t="str">
        <f t="shared" si="19"/>
        <v>-</v>
      </c>
      <c r="U36" s="516" t="str">
        <f t="shared" si="19"/>
        <v>-</v>
      </c>
      <c r="V36" s="516" t="str">
        <f t="shared" si="19"/>
        <v>-</v>
      </c>
      <c r="W36" s="516" t="str">
        <f t="shared" si="19"/>
        <v>-</v>
      </c>
      <c r="X36" s="516" t="str">
        <f t="shared" si="19"/>
        <v>-</v>
      </c>
      <c r="Y36" s="516" t="str">
        <f t="shared" ref="Y36:CA40" si="20">IF(LEN($F36)&gt;0,IF(AND(Y$8=$J36,NOT(AND(Y$8&gt;=$N36,Y$8&lt;$P36))),Y$6,IF(AND(NOT(Y$8&gt;$J35),Y$8&lt;$J36),"-",IF(AND(Y$8&gt;=$N36,Y$8&lt;$P36),"???",IF(AND(Y$8&gt;$J35,Y$8&lt;$J36),Y$6*(Y$8-$J35)/($J36-$J35),IF(AND(Y$8&gt;$J36,Y$8&lt;$J37),Y$6*($J37-Y$8)/($J37-$J36),"-"))))),"-")</f>
        <v>-</v>
      </c>
      <c r="Z36" s="516" t="str">
        <f t="shared" si="20"/>
        <v>-</v>
      </c>
      <c r="AA36" s="516" t="str">
        <f t="shared" si="20"/>
        <v>-</v>
      </c>
      <c r="AB36" s="516" t="str">
        <f t="shared" si="20"/>
        <v>-</v>
      </c>
      <c r="AC36" s="516" t="str">
        <f t="shared" si="20"/>
        <v>-</v>
      </c>
      <c r="AD36" s="516" t="str">
        <f t="shared" si="20"/>
        <v>-</v>
      </c>
      <c r="AE36" s="516" t="str">
        <f t="shared" si="20"/>
        <v>-</v>
      </c>
      <c r="AF36" s="516" t="str">
        <f t="shared" si="20"/>
        <v>-</v>
      </c>
      <c r="AG36" s="516" t="str">
        <f t="shared" si="20"/>
        <v>-</v>
      </c>
      <c r="AH36" s="516" t="str">
        <f t="shared" si="20"/>
        <v>-</v>
      </c>
      <c r="AI36" s="516" t="str">
        <f t="shared" si="20"/>
        <v>-</v>
      </c>
      <c r="AJ36" s="516" t="str">
        <f t="shared" si="20"/>
        <v>-</v>
      </c>
      <c r="AK36" s="516" t="str">
        <f t="shared" si="20"/>
        <v>-</v>
      </c>
      <c r="AL36" s="516" t="str">
        <f t="shared" si="20"/>
        <v>-</v>
      </c>
      <c r="AM36" s="516" t="str">
        <f t="shared" si="20"/>
        <v>-</v>
      </c>
      <c r="AN36" s="516" t="str">
        <f t="shared" si="20"/>
        <v>-</v>
      </c>
      <c r="AO36" s="516" t="str">
        <f t="shared" si="20"/>
        <v>-</v>
      </c>
      <c r="AP36" s="516" t="str">
        <f t="shared" si="20"/>
        <v>-</v>
      </c>
      <c r="AQ36" s="516" t="str">
        <f t="shared" si="20"/>
        <v>-</v>
      </c>
      <c r="AR36" s="516" t="str">
        <f t="shared" si="20"/>
        <v>-</v>
      </c>
      <c r="AS36" s="516" t="str">
        <f t="shared" si="20"/>
        <v>-</v>
      </c>
      <c r="AT36" s="516" t="str">
        <f t="shared" si="20"/>
        <v>-</v>
      </c>
      <c r="AU36" s="516" t="str">
        <f t="shared" si="20"/>
        <v>-</v>
      </c>
      <c r="AV36" s="516" t="str">
        <f t="shared" si="20"/>
        <v>-</v>
      </c>
      <c r="AW36" s="516" t="str">
        <f t="shared" si="20"/>
        <v>-</v>
      </c>
      <c r="AX36" s="516" t="str">
        <f t="shared" si="20"/>
        <v>-</v>
      </c>
      <c r="AY36" s="516" t="str">
        <f t="shared" si="20"/>
        <v>-</v>
      </c>
      <c r="AZ36" s="516" t="str">
        <f t="shared" si="20"/>
        <v>-</v>
      </c>
      <c r="BA36" s="516" t="str">
        <f t="shared" si="20"/>
        <v>-</v>
      </c>
      <c r="BB36" s="516" t="str">
        <f t="shared" si="20"/>
        <v>-</v>
      </c>
      <c r="BC36" s="516" t="str">
        <f t="shared" si="20"/>
        <v>-</v>
      </c>
      <c r="BD36" s="516" t="str">
        <f t="shared" si="20"/>
        <v>-</v>
      </c>
      <c r="BE36" s="516" t="str">
        <f t="shared" si="20"/>
        <v>-</v>
      </c>
      <c r="BF36" s="516" t="str">
        <f t="shared" si="20"/>
        <v>-</v>
      </c>
      <c r="BG36" s="516" t="str">
        <f t="shared" si="20"/>
        <v>-</v>
      </c>
      <c r="BH36" s="516" t="str">
        <f t="shared" si="20"/>
        <v>-</v>
      </c>
      <c r="BI36" s="516" t="str">
        <f t="shared" si="20"/>
        <v>-</v>
      </c>
      <c r="BJ36" s="516" t="str">
        <f t="shared" si="20"/>
        <v>-</v>
      </c>
      <c r="BK36" s="516" t="str">
        <f t="shared" si="20"/>
        <v>-</v>
      </c>
      <c r="BL36" s="516" t="str">
        <f t="shared" si="20"/>
        <v>-</v>
      </c>
      <c r="BM36" s="516" t="str">
        <f t="shared" si="20"/>
        <v>-</v>
      </c>
      <c r="BN36" s="516" t="str">
        <f t="shared" si="20"/>
        <v>-</v>
      </c>
      <c r="BO36" s="516" t="str">
        <f t="shared" si="20"/>
        <v>-</v>
      </c>
      <c r="BP36" s="516" t="str">
        <f t="shared" si="20"/>
        <v>-</v>
      </c>
      <c r="BQ36" s="516" t="str">
        <f t="shared" si="20"/>
        <v>-</v>
      </c>
      <c r="BR36" s="516" t="str">
        <f t="shared" si="20"/>
        <v>-</v>
      </c>
      <c r="BS36" s="516" t="str">
        <f t="shared" si="20"/>
        <v>-</v>
      </c>
      <c r="BT36" s="516" t="str">
        <f t="shared" si="20"/>
        <v>-</v>
      </c>
      <c r="BU36" s="516" t="str">
        <f t="shared" si="20"/>
        <v>-</v>
      </c>
      <c r="BV36" s="516" t="str">
        <f t="shared" si="20"/>
        <v>-</v>
      </c>
      <c r="BW36" s="516" t="str">
        <f t="shared" si="20"/>
        <v>-</v>
      </c>
      <c r="BX36" s="516" t="str">
        <f t="shared" si="20"/>
        <v>-</v>
      </c>
      <c r="BY36" s="516" t="str">
        <f t="shared" si="20"/>
        <v>-</v>
      </c>
      <c r="BZ36" s="516" t="str">
        <f t="shared" si="20"/>
        <v>-</v>
      </c>
      <c r="CA36" s="516" t="str">
        <f t="shared" si="20"/>
        <v>-</v>
      </c>
    </row>
    <row r="37" spans="1:79">
      <c r="A37" s="105">
        <v>29</v>
      </c>
      <c r="B37" s="112" t="str">
        <v>9Y</v>
      </c>
      <c r="C37" s="512">
        <f>'usd disaggregated'!AO45</f>
        <v>-48959.965531596143</v>
      </c>
      <c r="D37" s="111" t="str">
        <f t="shared" si="8"/>
        <v>108M</v>
      </c>
      <c r="E37" s="517">
        <f>IF(LEN(B37)&gt;0,CHOOSE(MATCH(RIGHT(D37,1),{"D","W","M"},0),NextBusDay($C$4,LEFT(D37,LEN(D37)-1)),NextBusDay($C$4+7*LEFT(D37,LEN(D37)-1)),NextBusDay(EDATE($C$4,LEFT(D37,LEN(D37)-1)))),"")</f>
        <v>45957</v>
      </c>
      <c r="F37" s="107" t="str">
        <v>12Y</v>
      </c>
      <c r="G37" s="106" t="str">
        <v>12Y</v>
      </c>
      <c r="H37" s="106" t="str">
        <f t="shared" si="9"/>
        <v>144M</v>
      </c>
      <c r="I37" s="261" t="str">
        <v>W</v>
      </c>
      <c r="J37" s="106">
        <f>IF(LEN(F37)&gt;0,IF(I37="S",H37,IF(I37="F",EDATE(H37,3),CHOOSE(MATCH(RIGHT(H37,1),{"D","W","M"},0),NextBusDay($C$4,LEFT(H37,LEN(H37)-1)),NextBusDay($C$4+7*LEFT(H37,LEN(H37)-1)),NextBusDay(EDATE($C$4,LEFT(H37,LEN(H37)-1)))))),"")</f>
        <v>47052</v>
      </c>
      <c r="L37" s="515">
        <f t="shared" si="2"/>
        <v>-43342.841850832272</v>
      </c>
      <c r="N37" s="106" t="str">
        <f t="shared" si="3"/>
        <v>-</v>
      </c>
      <c r="O37" s="106" t="str">
        <f t="shared" si="17"/>
        <v>-</v>
      </c>
      <c r="P37" s="106" t="str">
        <f t="shared" si="5"/>
        <v>-</v>
      </c>
      <c r="Q37" s="106" t="b">
        <f t="shared" si="6"/>
        <v>0</v>
      </c>
      <c r="R37" s="516" t="str">
        <f t="shared" ref="R37:AG52" si="21">IF(LEN($F37)&gt;0,IF(AND(R$8=$J37,NOT(AND(R$8&gt;=$N37,R$8&lt;$P37))),R$6,IF(AND(NOT(R$8&gt;$J36),R$8&lt;$J37),"-",IF(AND(R$8&gt;=$N37,R$8&lt;$P37),"???",IF(AND(R$8&gt;$J36,R$8&lt;$J37),R$6*(R$8-$J36)/($J37-$J36),IF(AND(R$8&gt;$J37,R$8&lt;$J38),R$6*($J38-R$8)/($J38-$J37),"-"))))),"-")</f>
        <v>-</v>
      </c>
      <c r="S37" s="516" t="str">
        <f t="shared" si="21"/>
        <v>-</v>
      </c>
      <c r="T37" s="516" t="str">
        <f t="shared" si="21"/>
        <v>-</v>
      </c>
      <c r="U37" s="516" t="str">
        <f t="shared" si="21"/>
        <v>-</v>
      </c>
      <c r="V37" s="516" t="str">
        <f t="shared" si="21"/>
        <v>-</v>
      </c>
      <c r="W37" s="516" t="str">
        <f t="shared" si="21"/>
        <v>-</v>
      </c>
      <c r="X37" s="516" t="str">
        <f t="shared" si="21"/>
        <v>-</v>
      </c>
      <c r="Y37" s="516" t="str">
        <f t="shared" si="20"/>
        <v>-</v>
      </c>
      <c r="Z37" s="516" t="str">
        <f t="shared" si="20"/>
        <v>-</v>
      </c>
      <c r="AA37" s="516" t="str">
        <f t="shared" si="20"/>
        <v>-</v>
      </c>
      <c r="AB37" s="516" t="str">
        <f t="shared" si="20"/>
        <v>-</v>
      </c>
      <c r="AC37" s="516" t="str">
        <f t="shared" si="20"/>
        <v>-</v>
      </c>
      <c r="AD37" s="516" t="str">
        <f t="shared" si="20"/>
        <v>-</v>
      </c>
      <c r="AE37" s="516" t="str">
        <f t="shared" si="20"/>
        <v>-</v>
      </c>
      <c r="AF37" s="516" t="str">
        <f t="shared" si="20"/>
        <v>-</v>
      </c>
      <c r="AG37" s="516" t="str">
        <f t="shared" si="20"/>
        <v>-</v>
      </c>
      <c r="AH37" s="516" t="str">
        <f t="shared" si="20"/>
        <v>-</v>
      </c>
      <c r="AI37" s="516" t="str">
        <f t="shared" si="20"/>
        <v>-</v>
      </c>
      <c r="AJ37" s="516" t="str">
        <f t="shared" si="20"/>
        <v>-</v>
      </c>
      <c r="AK37" s="516" t="str">
        <f t="shared" si="20"/>
        <v>-</v>
      </c>
      <c r="AL37" s="516" t="str">
        <f t="shared" si="20"/>
        <v>-</v>
      </c>
      <c r="AM37" s="516" t="str">
        <f t="shared" si="20"/>
        <v>-</v>
      </c>
      <c r="AN37" s="516" t="str">
        <f t="shared" si="20"/>
        <v>-</v>
      </c>
      <c r="AO37" s="516" t="str">
        <f t="shared" si="20"/>
        <v>-</v>
      </c>
      <c r="AP37" s="516" t="str">
        <f t="shared" si="20"/>
        <v>-</v>
      </c>
      <c r="AQ37" s="516" t="str">
        <f t="shared" si="20"/>
        <v>-</v>
      </c>
      <c r="AR37" s="516" t="str">
        <f t="shared" si="20"/>
        <v>-</v>
      </c>
      <c r="AS37" s="516" t="str">
        <f t="shared" si="20"/>
        <v>-</v>
      </c>
      <c r="AT37" s="516" t="str">
        <f t="shared" si="20"/>
        <v>-</v>
      </c>
      <c r="AU37" s="516" t="str">
        <f t="shared" si="20"/>
        <v>-</v>
      </c>
      <c r="AV37" s="516">
        <f t="shared" si="20"/>
        <v>-43342.841850832272</v>
      </c>
      <c r="AW37" s="516" t="str">
        <f t="shared" si="20"/>
        <v>-</v>
      </c>
      <c r="AX37" s="516" t="str">
        <f t="shared" si="20"/>
        <v>-</v>
      </c>
      <c r="AY37" s="516" t="str">
        <f t="shared" si="20"/>
        <v>-</v>
      </c>
      <c r="AZ37" s="516" t="str">
        <f t="shared" si="20"/>
        <v>-</v>
      </c>
      <c r="BA37" s="516" t="str">
        <f t="shared" si="20"/>
        <v>-</v>
      </c>
      <c r="BB37" s="516" t="str">
        <f t="shared" si="20"/>
        <v>-</v>
      </c>
      <c r="BC37" s="516" t="str">
        <f t="shared" si="20"/>
        <v>-</v>
      </c>
      <c r="BD37" s="516" t="str">
        <f t="shared" si="20"/>
        <v>-</v>
      </c>
      <c r="BE37" s="516" t="str">
        <f t="shared" si="20"/>
        <v>-</v>
      </c>
      <c r="BF37" s="516" t="str">
        <f t="shared" si="20"/>
        <v>-</v>
      </c>
      <c r="BG37" s="516" t="str">
        <f t="shared" si="20"/>
        <v>-</v>
      </c>
      <c r="BH37" s="516" t="str">
        <f t="shared" si="20"/>
        <v>-</v>
      </c>
      <c r="BI37" s="516" t="str">
        <f t="shared" si="20"/>
        <v>-</v>
      </c>
      <c r="BJ37" s="516" t="str">
        <f t="shared" si="20"/>
        <v>-</v>
      </c>
      <c r="BK37" s="516" t="str">
        <f t="shared" si="20"/>
        <v>-</v>
      </c>
      <c r="BL37" s="516" t="str">
        <f t="shared" si="20"/>
        <v>-</v>
      </c>
      <c r="BM37" s="516" t="str">
        <f t="shared" si="20"/>
        <v>-</v>
      </c>
      <c r="BN37" s="516" t="str">
        <f t="shared" si="20"/>
        <v>-</v>
      </c>
      <c r="BO37" s="516" t="str">
        <f t="shared" si="20"/>
        <v>-</v>
      </c>
      <c r="BP37" s="516" t="str">
        <f t="shared" si="20"/>
        <v>-</v>
      </c>
      <c r="BQ37" s="516" t="str">
        <f t="shared" si="20"/>
        <v>-</v>
      </c>
      <c r="BR37" s="516" t="str">
        <f t="shared" si="20"/>
        <v>-</v>
      </c>
      <c r="BS37" s="516" t="str">
        <f t="shared" si="20"/>
        <v>-</v>
      </c>
      <c r="BT37" s="516" t="str">
        <f t="shared" si="20"/>
        <v>-</v>
      </c>
      <c r="BU37" s="516" t="str">
        <f t="shared" si="20"/>
        <v>-</v>
      </c>
      <c r="BV37" s="516" t="str">
        <f t="shared" si="20"/>
        <v>-</v>
      </c>
      <c r="BW37" s="516" t="str">
        <f t="shared" si="20"/>
        <v>-</v>
      </c>
      <c r="BX37" s="516" t="str">
        <f t="shared" si="20"/>
        <v>-</v>
      </c>
      <c r="BY37" s="516" t="str">
        <f t="shared" si="20"/>
        <v>-</v>
      </c>
      <c r="BZ37" s="516" t="str">
        <f t="shared" si="20"/>
        <v>-</v>
      </c>
      <c r="CA37" s="516" t="str">
        <f t="shared" si="20"/>
        <v>-</v>
      </c>
    </row>
    <row r="38" spans="1:79">
      <c r="A38" s="105">
        <v>30</v>
      </c>
      <c r="B38" s="112" t="str">
        <v>10Y</v>
      </c>
      <c r="C38" s="512">
        <f>'usd disaggregated'!AO46</f>
        <v>20867.454360729556</v>
      </c>
      <c r="D38" s="111" t="str">
        <f t="shared" si="8"/>
        <v>120M</v>
      </c>
      <c r="E38" s="517">
        <f>IF(LEN(B38)&gt;0,CHOOSE(MATCH(RIGHT(D38,1),{"D","W","M"},0),NextBusDay($C$4,LEFT(D38,LEN(D38)-1)),NextBusDay($C$4+7*LEFT(D38,LEN(D38)-1)),NextBusDay(EDATE($C$4,LEFT(D38,LEN(D38)-1)))),"")</f>
        <v>46321</v>
      </c>
      <c r="F38" s="107" t="str">
        <v>13Y</v>
      </c>
      <c r="G38" s="106" t="str">
        <v>13Y</v>
      </c>
      <c r="H38" s="106" t="str">
        <f t="shared" si="9"/>
        <v>156M</v>
      </c>
      <c r="I38" s="261" t="str">
        <v>W</v>
      </c>
      <c r="J38" s="106">
        <f>IF(LEN(F38)&gt;0,IF(I38="S",H38,IF(I38="F",EDATE(H38,3),CHOOSE(MATCH(RIGHT(H38,1),{"D","W","M"},0),NextBusDay($C$4,LEFT(H38,LEN(H38)-1)),NextBusDay($C$4+7*LEFT(H38,LEN(H38)-1)),NextBusDay(EDATE($C$4,LEFT(H38,LEN(H38)-1)))))),"")</f>
        <v>47417</v>
      </c>
      <c r="L38" s="515">
        <f t="shared" si="2"/>
        <v>0</v>
      </c>
      <c r="N38" s="106" t="str">
        <f t="shared" si="3"/>
        <v>-</v>
      </c>
      <c r="O38" s="106" t="str">
        <f t="shared" si="17"/>
        <v>-</v>
      </c>
      <c r="P38" s="106" t="str">
        <f t="shared" si="5"/>
        <v>-</v>
      </c>
      <c r="Q38" s="106" t="b">
        <f t="shared" si="6"/>
        <v>0</v>
      </c>
      <c r="R38" s="516" t="str">
        <f t="shared" si="21"/>
        <v>-</v>
      </c>
      <c r="S38" s="516" t="str">
        <f t="shared" si="21"/>
        <v>-</v>
      </c>
      <c r="T38" s="516" t="str">
        <f t="shared" si="21"/>
        <v>-</v>
      </c>
      <c r="U38" s="516" t="str">
        <f t="shared" si="21"/>
        <v>-</v>
      </c>
      <c r="V38" s="516" t="str">
        <f t="shared" si="21"/>
        <v>-</v>
      </c>
      <c r="W38" s="516" t="str">
        <f t="shared" si="21"/>
        <v>-</v>
      </c>
      <c r="X38" s="516" t="str">
        <f t="shared" si="21"/>
        <v>-</v>
      </c>
      <c r="Y38" s="516" t="str">
        <f t="shared" si="20"/>
        <v>-</v>
      </c>
      <c r="Z38" s="516" t="str">
        <f t="shared" si="20"/>
        <v>-</v>
      </c>
      <c r="AA38" s="516" t="str">
        <f t="shared" si="20"/>
        <v>-</v>
      </c>
      <c r="AB38" s="516" t="str">
        <f t="shared" si="20"/>
        <v>-</v>
      </c>
      <c r="AC38" s="516" t="str">
        <f t="shared" si="20"/>
        <v>-</v>
      </c>
      <c r="AD38" s="516" t="str">
        <f t="shared" si="20"/>
        <v>-</v>
      </c>
      <c r="AE38" s="516" t="str">
        <f t="shared" si="20"/>
        <v>-</v>
      </c>
      <c r="AF38" s="516" t="str">
        <f t="shared" si="20"/>
        <v>-</v>
      </c>
      <c r="AG38" s="516" t="str">
        <f t="shared" si="20"/>
        <v>-</v>
      </c>
      <c r="AH38" s="516" t="str">
        <f t="shared" si="20"/>
        <v>-</v>
      </c>
      <c r="AI38" s="516" t="str">
        <f t="shared" si="20"/>
        <v>-</v>
      </c>
      <c r="AJ38" s="516" t="str">
        <f t="shared" si="20"/>
        <v>-</v>
      </c>
      <c r="AK38" s="516" t="str">
        <f t="shared" si="20"/>
        <v>-</v>
      </c>
      <c r="AL38" s="516" t="str">
        <f t="shared" si="20"/>
        <v>-</v>
      </c>
      <c r="AM38" s="516" t="str">
        <f t="shared" si="20"/>
        <v>-</v>
      </c>
      <c r="AN38" s="516" t="str">
        <f t="shared" si="20"/>
        <v>-</v>
      </c>
      <c r="AO38" s="516" t="str">
        <f t="shared" si="20"/>
        <v>-</v>
      </c>
      <c r="AP38" s="516" t="str">
        <f t="shared" si="20"/>
        <v>-</v>
      </c>
      <c r="AQ38" s="516" t="str">
        <f t="shared" si="20"/>
        <v>-</v>
      </c>
      <c r="AR38" s="516" t="str">
        <f t="shared" si="20"/>
        <v>-</v>
      </c>
      <c r="AS38" s="516" t="str">
        <f t="shared" si="20"/>
        <v>-</v>
      </c>
      <c r="AT38" s="516" t="str">
        <f t="shared" si="20"/>
        <v>-</v>
      </c>
      <c r="AU38" s="516" t="str">
        <f t="shared" si="20"/>
        <v>-</v>
      </c>
      <c r="AV38" s="516" t="str">
        <f t="shared" si="20"/>
        <v>-</v>
      </c>
      <c r="AW38" s="516" t="str">
        <f t="shared" si="20"/>
        <v>-</v>
      </c>
      <c r="AX38" s="516" t="str">
        <f t="shared" si="20"/>
        <v>-</v>
      </c>
      <c r="AY38" s="516" t="str">
        <f t="shared" si="20"/>
        <v>-</v>
      </c>
      <c r="AZ38" s="516" t="str">
        <f t="shared" si="20"/>
        <v>-</v>
      </c>
      <c r="BA38" s="516" t="str">
        <f t="shared" si="20"/>
        <v>-</v>
      </c>
      <c r="BB38" s="516" t="str">
        <f t="shared" si="20"/>
        <v>-</v>
      </c>
      <c r="BC38" s="516" t="str">
        <f t="shared" si="20"/>
        <v>-</v>
      </c>
      <c r="BD38" s="516" t="str">
        <f t="shared" si="20"/>
        <v>-</v>
      </c>
      <c r="BE38" s="516" t="str">
        <f t="shared" si="20"/>
        <v>-</v>
      </c>
      <c r="BF38" s="516" t="str">
        <f t="shared" si="20"/>
        <v>-</v>
      </c>
      <c r="BG38" s="516" t="str">
        <f t="shared" si="20"/>
        <v>-</v>
      </c>
      <c r="BH38" s="516" t="str">
        <f t="shared" si="20"/>
        <v>-</v>
      </c>
      <c r="BI38" s="516" t="str">
        <f t="shared" si="20"/>
        <v>-</v>
      </c>
      <c r="BJ38" s="516" t="str">
        <f t="shared" si="20"/>
        <v>-</v>
      </c>
      <c r="BK38" s="516" t="str">
        <f t="shared" si="20"/>
        <v>-</v>
      </c>
      <c r="BL38" s="516" t="str">
        <f t="shared" si="20"/>
        <v>-</v>
      </c>
      <c r="BM38" s="516" t="str">
        <f t="shared" si="20"/>
        <v>-</v>
      </c>
      <c r="BN38" s="516" t="str">
        <f t="shared" si="20"/>
        <v>-</v>
      </c>
      <c r="BO38" s="516" t="str">
        <f t="shared" si="20"/>
        <v>-</v>
      </c>
      <c r="BP38" s="516" t="str">
        <f t="shared" si="20"/>
        <v>-</v>
      </c>
      <c r="BQ38" s="516" t="str">
        <f t="shared" si="20"/>
        <v>-</v>
      </c>
      <c r="BR38" s="516" t="str">
        <f t="shared" si="20"/>
        <v>-</v>
      </c>
      <c r="BS38" s="516" t="str">
        <f t="shared" si="20"/>
        <v>-</v>
      </c>
      <c r="BT38" s="516" t="str">
        <f t="shared" si="20"/>
        <v>-</v>
      </c>
      <c r="BU38" s="516" t="str">
        <f t="shared" si="20"/>
        <v>-</v>
      </c>
      <c r="BV38" s="516" t="str">
        <f t="shared" si="20"/>
        <v>-</v>
      </c>
      <c r="BW38" s="516" t="str">
        <f t="shared" si="20"/>
        <v>-</v>
      </c>
      <c r="BX38" s="516" t="str">
        <f t="shared" si="20"/>
        <v>-</v>
      </c>
      <c r="BY38" s="516" t="str">
        <f t="shared" si="20"/>
        <v>-</v>
      </c>
      <c r="BZ38" s="516" t="str">
        <f t="shared" si="20"/>
        <v>-</v>
      </c>
      <c r="CA38" s="516" t="str">
        <f t="shared" si="20"/>
        <v>-</v>
      </c>
    </row>
    <row r="39" spans="1:79">
      <c r="A39" s="105">
        <v>31</v>
      </c>
      <c r="B39" s="112" t="str">
        <v>12Y</v>
      </c>
      <c r="C39" s="512">
        <f>'usd disaggregated'!AO47</f>
        <v>-43342.841850832272</v>
      </c>
      <c r="D39" s="111" t="str">
        <f t="shared" si="8"/>
        <v>144M</v>
      </c>
      <c r="E39" s="517">
        <f>IF(LEN(B39)&gt;0,CHOOSE(MATCH(RIGHT(D39,1),{"D","W","M"},0),NextBusDay($C$4,LEFT(D39,LEN(D39)-1)),NextBusDay($C$4+7*LEFT(D39,LEN(D39)-1)),NextBusDay(EDATE($C$4,LEFT(D39,LEN(D39)-1)))),"")</f>
        <v>47052</v>
      </c>
      <c r="F39" s="107" t="str">
        <v>14Y</v>
      </c>
      <c r="G39" s="106" t="str">
        <v>14Y</v>
      </c>
      <c r="H39" s="106" t="str">
        <f t="shared" si="9"/>
        <v>168M</v>
      </c>
      <c r="I39" s="261" t="str">
        <v>W</v>
      </c>
      <c r="J39" s="106">
        <f>IF(LEN(F39)&gt;0,IF(I39="S",H39,IF(I39="F",EDATE(H39,3),CHOOSE(MATCH(RIGHT(H39,1),{"D","W","M"},0),NextBusDay($C$4,LEFT(H39,LEN(H39)-1)),NextBusDay($C$4+7*LEFT(H39,LEN(H39)-1)),NextBusDay(EDATE($C$4,LEFT(H39,LEN(H39)-1)))))),"")</f>
        <v>47784</v>
      </c>
      <c r="L39" s="515">
        <f t="shared" si="2"/>
        <v>0</v>
      </c>
      <c r="N39" s="106" t="str">
        <f t="shared" si="3"/>
        <v>-</v>
      </c>
      <c r="O39" s="106" t="str">
        <f t="shared" si="17"/>
        <v>-</v>
      </c>
      <c r="P39" s="106" t="str">
        <f t="shared" si="5"/>
        <v>-</v>
      </c>
      <c r="Q39" s="106" t="b">
        <f t="shared" si="6"/>
        <v>0</v>
      </c>
      <c r="R39" s="516" t="str">
        <f t="shared" si="21"/>
        <v>-</v>
      </c>
      <c r="S39" s="516" t="str">
        <f t="shared" si="21"/>
        <v>-</v>
      </c>
      <c r="T39" s="516" t="str">
        <f t="shared" si="21"/>
        <v>-</v>
      </c>
      <c r="U39" s="516" t="str">
        <f t="shared" si="21"/>
        <v>-</v>
      </c>
      <c r="V39" s="516" t="str">
        <f t="shared" si="21"/>
        <v>-</v>
      </c>
      <c r="W39" s="516" t="str">
        <f t="shared" si="21"/>
        <v>-</v>
      </c>
      <c r="X39" s="516" t="str">
        <f t="shared" si="21"/>
        <v>-</v>
      </c>
      <c r="Y39" s="516" t="str">
        <f t="shared" si="20"/>
        <v>-</v>
      </c>
      <c r="Z39" s="516" t="str">
        <f t="shared" si="20"/>
        <v>-</v>
      </c>
      <c r="AA39" s="516" t="str">
        <f t="shared" si="20"/>
        <v>-</v>
      </c>
      <c r="AB39" s="516" t="str">
        <f t="shared" si="20"/>
        <v>-</v>
      </c>
      <c r="AC39" s="516" t="str">
        <f t="shared" si="20"/>
        <v>-</v>
      </c>
      <c r="AD39" s="516" t="str">
        <f t="shared" si="20"/>
        <v>-</v>
      </c>
      <c r="AE39" s="516" t="str">
        <f t="shared" si="20"/>
        <v>-</v>
      </c>
      <c r="AF39" s="516" t="str">
        <f t="shared" si="20"/>
        <v>-</v>
      </c>
      <c r="AG39" s="516" t="str">
        <f t="shared" si="20"/>
        <v>-</v>
      </c>
      <c r="AH39" s="516" t="str">
        <f t="shared" si="20"/>
        <v>-</v>
      </c>
      <c r="AI39" s="516" t="str">
        <f t="shared" si="20"/>
        <v>-</v>
      </c>
      <c r="AJ39" s="516" t="str">
        <f t="shared" si="20"/>
        <v>-</v>
      </c>
      <c r="AK39" s="516" t="str">
        <f t="shared" si="20"/>
        <v>-</v>
      </c>
      <c r="AL39" s="516" t="str">
        <f t="shared" si="20"/>
        <v>-</v>
      </c>
      <c r="AM39" s="516" t="str">
        <f t="shared" si="20"/>
        <v>-</v>
      </c>
      <c r="AN39" s="516" t="str">
        <f t="shared" si="20"/>
        <v>-</v>
      </c>
      <c r="AO39" s="516" t="str">
        <f t="shared" si="20"/>
        <v>-</v>
      </c>
      <c r="AP39" s="516" t="str">
        <f t="shared" si="20"/>
        <v>-</v>
      </c>
      <c r="AQ39" s="516" t="str">
        <f t="shared" si="20"/>
        <v>-</v>
      </c>
      <c r="AR39" s="516" t="str">
        <f t="shared" si="20"/>
        <v>-</v>
      </c>
      <c r="AS39" s="516" t="str">
        <f t="shared" si="20"/>
        <v>-</v>
      </c>
      <c r="AT39" s="516" t="str">
        <f t="shared" si="20"/>
        <v>-</v>
      </c>
      <c r="AU39" s="516" t="str">
        <f t="shared" si="20"/>
        <v>-</v>
      </c>
      <c r="AV39" s="516" t="str">
        <f t="shared" si="20"/>
        <v>-</v>
      </c>
      <c r="AW39" s="516" t="str">
        <f t="shared" si="20"/>
        <v>-</v>
      </c>
      <c r="AX39" s="516" t="str">
        <f t="shared" si="20"/>
        <v>-</v>
      </c>
      <c r="AY39" s="516" t="str">
        <f t="shared" si="20"/>
        <v>-</v>
      </c>
      <c r="AZ39" s="516" t="str">
        <f t="shared" si="20"/>
        <v>-</v>
      </c>
      <c r="BA39" s="516" t="str">
        <f t="shared" si="20"/>
        <v>-</v>
      </c>
      <c r="BB39" s="516" t="str">
        <f t="shared" si="20"/>
        <v>-</v>
      </c>
      <c r="BC39" s="516" t="str">
        <f t="shared" si="20"/>
        <v>-</v>
      </c>
      <c r="BD39" s="516" t="str">
        <f t="shared" si="20"/>
        <v>-</v>
      </c>
      <c r="BE39" s="516" t="str">
        <f t="shared" si="20"/>
        <v>-</v>
      </c>
      <c r="BF39" s="516" t="str">
        <f t="shared" si="20"/>
        <v>-</v>
      </c>
      <c r="BG39" s="516" t="str">
        <f t="shared" si="20"/>
        <v>-</v>
      </c>
      <c r="BH39" s="516" t="str">
        <f t="shared" si="20"/>
        <v>-</v>
      </c>
      <c r="BI39" s="516" t="str">
        <f t="shared" si="20"/>
        <v>-</v>
      </c>
      <c r="BJ39" s="516" t="str">
        <f t="shared" si="20"/>
        <v>-</v>
      </c>
      <c r="BK39" s="516" t="str">
        <f t="shared" si="20"/>
        <v>-</v>
      </c>
      <c r="BL39" s="516" t="str">
        <f t="shared" si="20"/>
        <v>-</v>
      </c>
      <c r="BM39" s="516" t="str">
        <f t="shared" si="20"/>
        <v>-</v>
      </c>
      <c r="BN39" s="516" t="str">
        <f t="shared" si="20"/>
        <v>-</v>
      </c>
      <c r="BO39" s="516" t="str">
        <f t="shared" si="20"/>
        <v>-</v>
      </c>
      <c r="BP39" s="516" t="str">
        <f t="shared" si="20"/>
        <v>-</v>
      </c>
      <c r="BQ39" s="516" t="str">
        <f t="shared" si="20"/>
        <v>-</v>
      </c>
      <c r="BR39" s="516" t="str">
        <f t="shared" si="20"/>
        <v>-</v>
      </c>
      <c r="BS39" s="516" t="str">
        <f t="shared" si="20"/>
        <v>-</v>
      </c>
      <c r="BT39" s="516" t="str">
        <f t="shared" si="20"/>
        <v>-</v>
      </c>
      <c r="BU39" s="516" t="str">
        <f t="shared" si="20"/>
        <v>-</v>
      </c>
      <c r="BV39" s="516" t="str">
        <f t="shared" si="20"/>
        <v>-</v>
      </c>
      <c r="BW39" s="516" t="str">
        <f t="shared" si="20"/>
        <v>-</v>
      </c>
      <c r="BX39" s="516" t="str">
        <f t="shared" si="20"/>
        <v>-</v>
      </c>
      <c r="BY39" s="516" t="str">
        <f t="shared" si="20"/>
        <v>-</v>
      </c>
      <c r="BZ39" s="516" t="str">
        <f t="shared" si="20"/>
        <v>-</v>
      </c>
      <c r="CA39" s="516" t="str">
        <f t="shared" si="20"/>
        <v>-</v>
      </c>
    </row>
    <row r="40" spans="1:79">
      <c r="A40" s="105">
        <v>32</v>
      </c>
      <c r="B40" s="112" t="str">
        <v>15Y</v>
      </c>
      <c r="C40" s="512">
        <f>'usd disaggregated'!AO48</f>
        <v>179969.06586361307</v>
      </c>
      <c r="D40" s="111" t="str">
        <f t="shared" si="8"/>
        <v>180M</v>
      </c>
      <c r="E40" s="517">
        <f>IF(LEN(B40)&gt;0,CHOOSE(MATCH(RIGHT(D40,1),{"D","W","M"},0),NextBusDay($C$4,LEFT(D40,LEN(D40)-1)),NextBusDay($C$4+7*LEFT(D40,LEN(D40)-1)),NextBusDay(EDATE($C$4,LEFT(D40,LEN(D40)-1)))),"")</f>
        <v>48148</v>
      </c>
      <c r="F40" s="107" t="str">
        <v>15Y</v>
      </c>
      <c r="G40" s="106" t="str">
        <v>15Y</v>
      </c>
      <c r="H40" s="106" t="str">
        <f t="shared" si="9"/>
        <v>180M</v>
      </c>
      <c r="I40" s="261" t="str">
        <v>W</v>
      </c>
      <c r="J40" s="106">
        <f>IF(LEN(F40)&gt;0,IF(I40="S",H40,IF(I40="F",EDATE(H40,3),CHOOSE(MATCH(RIGHT(H40,1),{"D","W","M"},0),NextBusDay($C$4,LEFT(H40,LEN(H40)-1)),NextBusDay($C$4+7*LEFT(H40,LEN(H40)-1)),NextBusDay(EDATE($C$4,LEFT(H40,LEN(H40)-1)))))),"")</f>
        <v>48148</v>
      </c>
      <c r="L40" s="515">
        <f t="shared" si="2"/>
        <v>179969.06586361307</v>
      </c>
      <c r="N40" s="106" t="str">
        <f t="shared" si="3"/>
        <v>-</v>
      </c>
      <c r="O40" s="106" t="str">
        <f t="shared" si="17"/>
        <v>-</v>
      </c>
      <c r="P40" s="106" t="str">
        <f t="shared" si="5"/>
        <v>-</v>
      </c>
      <c r="Q40" s="106" t="b">
        <f t="shared" si="6"/>
        <v>0</v>
      </c>
      <c r="R40" s="516" t="str">
        <f t="shared" si="21"/>
        <v>-</v>
      </c>
      <c r="S40" s="516" t="str">
        <f t="shared" si="21"/>
        <v>-</v>
      </c>
      <c r="T40" s="516" t="str">
        <f t="shared" si="21"/>
        <v>-</v>
      </c>
      <c r="U40" s="516" t="str">
        <f t="shared" si="21"/>
        <v>-</v>
      </c>
      <c r="V40" s="516" t="str">
        <f t="shared" si="21"/>
        <v>-</v>
      </c>
      <c r="W40" s="516" t="str">
        <f t="shared" si="21"/>
        <v>-</v>
      </c>
      <c r="X40" s="516" t="str">
        <f t="shared" si="21"/>
        <v>-</v>
      </c>
      <c r="Y40" s="516" t="str">
        <f t="shared" si="20"/>
        <v>-</v>
      </c>
      <c r="Z40" s="516" t="str">
        <f t="shared" si="20"/>
        <v>-</v>
      </c>
      <c r="AA40" s="516" t="str">
        <f t="shared" si="20"/>
        <v>-</v>
      </c>
      <c r="AB40" s="516" t="str">
        <f t="shared" si="20"/>
        <v>-</v>
      </c>
      <c r="AC40" s="516" t="str">
        <f t="shared" si="20"/>
        <v>-</v>
      </c>
      <c r="AD40" s="516" t="str">
        <f t="shared" si="20"/>
        <v>-</v>
      </c>
      <c r="AE40" s="516" t="str">
        <f t="shared" si="20"/>
        <v>-</v>
      </c>
      <c r="AF40" s="516" t="str">
        <f t="shared" si="20"/>
        <v>-</v>
      </c>
      <c r="AG40" s="516" t="str">
        <f t="shared" si="20"/>
        <v>-</v>
      </c>
      <c r="AH40" s="516" t="str">
        <f t="shared" si="20"/>
        <v>-</v>
      </c>
      <c r="AI40" s="516" t="str">
        <f t="shared" si="20"/>
        <v>-</v>
      </c>
      <c r="AJ40" s="516" t="str">
        <f t="shared" si="20"/>
        <v>-</v>
      </c>
      <c r="AK40" s="516" t="str">
        <f t="shared" si="20"/>
        <v>-</v>
      </c>
      <c r="AL40" s="516" t="str">
        <f t="shared" si="20"/>
        <v>-</v>
      </c>
      <c r="AM40" s="516" t="str">
        <f t="shared" si="20"/>
        <v>-</v>
      </c>
      <c r="AN40" s="516" t="str">
        <f t="shared" si="20"/>
        <v>-</v>
      </c>
      <c r="AO40" s="516" t="str">
        <f t="shared" si="20"/>
        <v>-</v>
      </c>
      <c r="AP40" s="516" t="str">
        <f t="shared" si="20"/>
        <v>-</v>
      </c>
      <c r="AQ40" s="516" t="str">
        <f t="shared" si="20"/>
        <v>-</v>
      </c>
      <c r="AR40" s="516" t="str">
        <f t="shared" si="20"/>
        <v>-</v>
      </c>
      <c r="AS40" s="516" t="str">
        <f t="shared" si="20"/>
        <v>-</v>
      </c>
      <c r="AT40" s="516" t="str">
        <f t="shared" si="20"/>
        <v>-</v>
      </c>
      <c r="AU40" s="516" t="str">
        <f t="shared" si="20"/>
        <v>-</v>
      </c>
      <c r="AV40" s="516" t="str">
        <f t="shared" si="20"/>
        <v>-</v>
      </c>
      <c r="AW40" s="516">
        <f t="shared" si="20"/>
        <v>179969.06586361307</v>
      </c>
      <c r="AX40" s="516" t="str">
        <f t="shared" si="20"/>
        <v>-</v>
      </c>
      <c r="AY40" s="516" t="str">
        <f t="shared" si="20"/>
        <v>-</v>
      </c>
      <c r="AZ40" s="516" t="str">
        <f t="shared" si="20"/>
        <v>-</v>
      </c>
      <c r="BA40" s="516" t="str">
        <f t="shared" si="20"/>
        <v>-</v>
      </c>
      <c r="BB40" s="516" t="str">
        <f t="shared" si="20"/>
        <v>-</v>
      </c>
      <c r="BC40" s="516" t="str">
        <f t="shared" si="20"/>
        <v>-</v>
      </c>
      <c r="BD40" s="516" t="str">
        <f t="shared" si="20"/>
        <v>-</v>
      </c>
      <c r="BE40" s="516" t="str">
        <f t="shared" si="20"/>
        <v>-</v>
      </c>
      <c r="BF40" s="516" t="str">
        <f t="shared" si="20"/>
        <v>-</v>
      </c>
      <c r="BG40" s="516" t="str">
        <f t="shared" si="20"/>
        <v>-</v>
      </c>
      <c r="BH40" s="516" t="str">
        <f t="shared" ref="BH40:CA52" si="22">IF(LEN($F40)&gt;0,IF(AND(BH$8=$J40,NOT(AND(BH$8&gt;=$N40,BH$8&lt;$P40))),BH$6,IF(AND(NOT(BH$8&gt;$J39),BH$8&lt;$J40),"-",IF(AND(BH$8&gt;=$N40,BH$8&lt;$P40),"???",IF(AND(BH$8&gt;$J39,BH$8&lt;$J40),BH$6*(BH$8-$J39)/($J40-$J39),IF(AND(BH$8&gt;$J40,BH$8&lt;$J41),BH$6*($J41-BH$8)/($J41-$J40),"-"))))),"-")</f>
        <v>-</v>
      </c>
      <c r="BI40" s="516" t="str">
        <f t="shared" si="22"/>
        <v>-</v>
      </c>
      <c r="BJ40" s="516" t="str">
        <f t="shared" si="22"/>
        <v>-</v>
      </c>
      <c r="BK40" s="516" t="str">
        <f t="shared" si="22"/>
        <v>-</v>
      </c>
      <c r="BL40" s="516" t="str">
        <f t="shared" si="22"/>
        <v>-</v>
      </c>
      <c r="BM40" s="516" t="str">
        <f t="shared" si="22"/>
        <v>-</v>
      </c>
      <c r="BN40" s="516" t="str">
        <f t="shared" si="22"/>
        <v>-</v>
      </c>
      <c r="BO40" s="516" t="str">
        <f t="shared" si="22"/>
        <v>-</v>
      </c>
      <c r="BP40" s="516" t="str">
        <f t="shared" si="22"/>
        <v>-</v>
      </c>
      <c r="BQ40" s="516" t="str">
        <f t="shared" si="22"/>
        <v>-</v>
      </c>
      <c r="BR40" s="516" t="str">
        <f t="shared" si="22"/>
        <v>-</v>
      </c>
      <c r="BS40" s="516" t="str">
        <f t="shared" si="22"/>
        <v>-</v>
      </c>
      <c r="BT40" s="516" t="str">
        <f t="shared" si="22"/>
        <v>-</v>
      </c>
      <c r="BU40" s="516" t="str">
        <f t="shared" si="22"/>
        <v>-</v>
      </c>
      <c r="BV40" s="516" t="str">
        <f t="shared" si="22"/>
        <v>-</v>
      </c>
      <c r="BW40" s="516" t="str">
        <f t="shared" si="22"/>
        <v>-</v>
      </c>
      <c r="BX40" s="516" t="str">
        <f t="shared" si="22"/>
        <v>-</v>
      </c>
      <c r="BY40" s="516" t="str">
        <f t="shared" si="22"/>
        <v>-</v>
      </c>
      <c r="BZ40" s="516" t="str">
        <f t="shared" si="22"/>
        <v>-</v>
      </c>
      <c r="CA40" s="516" t="str">
        <f t="shared" si="22"/>
        <v>-</v>
      </c>
    </row>
    <row r="41" spans="1:79">
      <c r="A41" s="105">
        <v>33</v>
      </c>
      <c r="B41" s="112" t="str">
        <v>20Y</v>
      </c>
      <c r="C41" s="512">
        <f>'usd disaggregated'!AO49</f>
        <v>-195594.6479149911</v>
      </c>
      <c r="D41" s="111" t="str">
        <f t="shared" si="8"/>
        <v>240M</v>
      </c>
      <c r="E41" s="517">
        <f>IF(LEN(B41)&gt;0,CHOOSE(MATCH(RIGHT(D41,1),{"D","W","M"},0),NextBusDay($C$4,LEFT(D41,LEN(D41)-1)),NextBusDay($C$4+7*LEFT(D41,LEN(D41)-1)),NextBusDay(EDATE($C$4,LEFT(D41,LEN(D41)-1)))),"")</f>
        <v>49975</v>
      </c>
      <c r="F41" s="107" t="str">
        <v>16Y</v>
      </c>
      <c r="G41" s="106" t="str">
        <v>16Y</v>
      </c>
      <c r="H41" s="106" t="str">
        <f t="shared" si="9"/>
        <v>192M</v>
      </c>
      <c r="I41" s="261" t="str">
        <v>W</v>
      </c>
      <c r="J41" s="106">
        <f>IF(LEN(F41)&gt;0,IF(I41="S",H41,IF(I41="F",EDATE(H41,3),CHOOSE(MATCH(RIGHT(H41,1),{"D","W","M"},0),NextBusDay($C$4,LEFT(H41,LEN(H41)-1)),NextBusDay($C$4+7*LEFT(H41,LEN(H41)-1)),NextBusDay(EDATE($C$4,LEFT(H41,LEN(H41)-1)))))),"")</f>
        <v>48513</v>
      </c>
      <c r="L41" s="515">
        <f t="shared" ref="L41:L73" si="23">IF(LEN(F41)&gt;0,SUM(R41:CI41),0)</f>
        <v>0</v>
      </c>
      <c r="N41" s="106" t="str">
        <f t="shared" si="3"/>
        <v>-</v>
      </c>
      <c r="O41" s="106" t="str">
        <f t="shared" si="17"/>
        <v>-</v>
      </c>
      <c r="P41" s="106" t="str">
        <f t="shared" si="5"/>
        <v>-</v>
      </c>
      <c r="Q41" s="106" t="b">
        <f t="shared" si="6"/>
        <v>0</v>
      </c>
      <c r="R41" s="516" t="str">
        <f t="shared" si="21"/>
        <v>-</v>
      </c>
      <c r="S41" s="516" t="str">
        <f t="shared" si="21"/>
        <v>-</v>
      </c>
      <c r="T41" s="516" t="str">
        <f t="shared" si="21"/>
        <v>-</v>
      </c>
      <c r="U41" s="516" t="str">
        <f t="shared" si="21"/>
        <v>-</v>
      </c>
      <c r="V41" s="516" t="str">
        <f t="shared" si="21"/>
        <v>-</v>
      </c>
      <c r="W41" s="516" t="str">
        <f t="shared" si="21"/>
        <v>-</v>
      </c>
      <c r="X41" s="516" t="str">
        <f t="shared" si="21"/>
        <v>-</v>
      </c>
      <c r="Y41" s="516" t="str">
        <f t="shared" si="21"/>
        <v>-</v>
      </c>
      <c r="Z41" s="516" t="str">
        <f t="shared" si="21"/>
        <v>-</v>
      </c>
      <c r="AA41" s="516" t="str">
        <f t="shared" si="21"/>
        <v>-</v>
      </c>
      <c r="AB41" s="516" t="str">
        <f t="shared" si="21"/>
        <v>-</v>
      </c>
      <c r="AC41" s="516" t="str">
        <f t="shared" si="21"/>
        <v>-</v>
      </c>
      <c r="AD41" s="516" t="str">
        <f t="shared" si="21"/>
        <v>-</v>
      </c>
      <c r="AE41" s="516" t="str">
        <f t="shared" si="21"/>
        <v>-</v>
      </c>
      <c r="AF41" s="516" t="str">
        <f t="shared" si="21"/>
        <v>-</v>
      </c>
      <c r="AG41" s="516" t="str">
        <f t="shared" si="21"/>
        <v>-</v>
      </c>
      <c r="AH41" s="516" t="str">
        <f t="shared" ref="AH41:BG50" si="24">IF(LEN($F41)&gt;0,IF(AND(AH$8=$J41,NOT(AND(AH$8&gt;=$N41,AH$8&lt;$P41))),AH$6,IF(AND(NOT(AH$8&gt;$J40),AH$8&lt;$J41),"-",IF(AND(AH$8&gt;=$N41,AH$8&lt;$P41),"???",IF(AND(AH$8&gt;$J40,AH$8&lt;$J41),AH$6*(AH$8-$J40)/($J41-$J40),IF(AND(AH$8&gt;$J41,AH$8&lt;$J42),AH$6*($J42-AH$8)/($J42-$J41),"-"))))),"-")</f>
        <v>-</v>
      </c>
      <c r="AI41" s="516" t="str">
        <f t="shared" si="24"/>
        <v>-</v>
      </c>
      <c r="AJ41" s="516" t="str">
        <f t="shared" si="24"/>
        <v>-</v>
      </c>
      <c r="AK41" s="516" t="str">
        <f t="shared" si="24"/>
        <v>-</v>
      </c>
      <c r="AL41" s="516" t="str">
        <f t="shared" si="24"/>
        <v>-</v>
      </c>
      <c r="AM41" s="516" t="str">
        <f t="shared" si="24"/>
        <v>-</v>
      </c>
      <c r="AN41" s="516" t="str">
        <f t="shared" si="24"/>
        <v>-</v>
      </c>
      <c r="AO41" s="516" t="str">
        <f t="shared" si="24"/>
        <v>-</v>
      </c>
      <c r="AP41" s="516" t="str">
        <f t="shared" si="24"/>
        <v>-</v>
      </c>
      <c r="AQ41" s="516" t="str">
        <f t="shared" si="24"/>
        <v>-</v>
      </c>
      <c r="AR41" s="516" t="str">
        <f t="shared" si="24"/>
        <v>-</v>
      </c>
      <c r="AS41" s="516" t="str">
        <f t="shared" si="24"/>
        <v>-</v>
      </c>
      <c r="AT41" s="516" t="str">
        <f t="shared" si="24"/>
        <v>-</v>
      </c>
      <c r="AU41" s="516" t="str">
        <f t="shared" si="24"/>
        <v>-</v>
      </c>
      <c r="AV41" s="516" t="str">
        <f t="shared" si="24"/>
        <v>-</v>
      </c>
      <c r="AW41" s="516" t="str">
        <f t="shared" si="24"/>
        <v>-</v>
      </c>
      <c r="AX41" s="516" t="str">
        <f t="shared" si="24"/>
        <v>-</v>
      </c>
      <c r="AY41" s="516" t="str">
        <f t="shared" si="24"/>
        <v>-</v>
      </c>
      <c r="AZ41" s="516" t="str">
        <f t="shared" si="24"/>
        <v>-</v>
      </c>
      <c r="BA41" s="516" t="str">
        <f t="shared" si="24"/>
        <v>-</v>
      </c>
      <c r="BB41" s="516" t="str">
        <f t="shared" si="24"/>
        <v>-</v>
      </c>
      <c r="BC41" s="516" t="str">
        <f t="shared" si="24"/>
        <v>-</v>
      </c>
      <c r="BD41" s="516" t="str">
        <f t="shared" si="24"/>
        <v>-</v>
      </c>
      <c r="BE41" s="516" t="str">
        <f t="shared" si="24"/>
        <v>-</v>
      </c>
      <c r="BF41" s="516" t="str">
        <f t="shared" si="24"/>
        <v>-</v>
      </c>
      <c r="BG41" s="516" t="str">
        <f t="shared" si="24"/>
        <v>-</v>
      </c>
      <c r="BH41" s="516" t="str">
        <f t="shared" si="22"/>
        <v>-</v>
      </c>
      <c r="BI41" s="516" t="str">
        <f t="shared" si="22"/>
        <v>-</v>
      </c>
      <c r="BJ41" s="516" t="str">
        <f t="shared" si="22"/>
        <v>-</v>
      </c>
      <c r="BK41" s="516" t="str">
        <f t="shared" si="22"/>
        <v>-</v>
      </c>
      <c r="BL41" s="516" t="str">
        <f t="shared" si="22"/>
        <v>-</v>
      </c>
      <c r="BM41" s="516" t="str">
        <f t="shared" si="22"/>
        <v>-</v>
      </c>
      <c r="BN41" s="516" t="str">
        <f t="shared" si="22"/>
        <v>-</v>
      </c>
      <c r="BO41" s="516" t="str">
        <f t="shared" si="22"/>
        <v>-</v>
      </c>
      <c r="BP41" s="516" t="str">
        <f t="shared" si="22"/>
        <v>-</v>
      </c>
      <c r="BQ41" s="516" t="str">
        <f t="shared" si="22"/>
        <v>-</v>
      </c>
      <c r="BR41" s="516" t="str">
        <f t="shared" si="22"/>
        <v>-</v>
      </c>
      <c r="BS41" s="516" t="str">
        <f t="shared" si="22"/>
        <v>-</v>
      </c>
      <c r="BT41" s="516" t="str">
        <f t="shared" si="22"/>
        <v>-</v>
      </c>
      <c r="BU41" s="516" t="str">
        <f t="shared" si="22"/>
        <v>-</v>
      </c>
      <c r="BV41" s="516" t="str">
        <f t="shared" si="22"/>
        <v>-</v>
      </c>
      <c r="BW41" s="516" t="str">
        <f t="shared" si="22"/>
        <v>-</v>
      </c>
      <c r="BX41" s="516" t="str">
        <f t="shared" si="22"/>
        <v>-</v>
      </c>
      <c r="BY41" s="516" t="str">
        <f t="shared" si="22"/>
        <v>-</v>
      </c>
      <c r="BZ41" s="516" t="str">
        <f t="shared" si="22"/>
        <v>-</v>
      </c>
      <c r="CA41" s="516" t="str">
        <f t="shared" si="22"/>
        <v>-</v>
      </c>
    </row>
    <row r="42" spans="1:79">
      <c r="A42" s="105">
        <v>34</v>
      </c>
      <c r="B42" s="112" t="str">
        <v>25Y</v>
      </c>
      <c r="C42" s="512">
        <f>'usd disaggregated'!AO50</f>
        <v>79827.489469657972</v>
      </c>
      <c r="D42" s="111" t="str">
        <f t="shared" si="8"/>
        <v>300M</v>
      </c>
      <c r="E42" s="517">
        <f>IF(LEN(B42)&gt;0,CHOOSE(MATCH(RIGHT(D42,1),{"D","W","M"},0),NextBusDay($C$4,LEFT(D42,LEN(D42)-1)),NextBusDay($C$4+7*LEFT(D42,LEN(D42)-1)),NextBusDay(EDATE($C$4,LEFT(D42,LEN(D42)-1)))),"")</f>
        <v>51802</v>
      </c>
      <c r="F42" s="107" t="str">
        <v>17Y</v>
      </c>
      <c r="G42" s="106" t="str">
        <v>17Y</v>
      </c>
      <c r="H42" s="106" t="str">
        <f t="shared" ref="H42:H73" si="25">IF(LEN(F42)&gt;0,IF((MID(F42,4,1)=" "),G42,IF((LEN(F42)=8),DATE("20" &amp; RIGHT(F42,2),MID(F42,4,2),LEFT(F42,2)),SimplifyTenor(F42))),"")</f>
        <v>204M</v>
      </c>
      <c r="I42" s="261" t="str">
        <v>W</v>
      </c>
      <c r="J42" s="106">
        <f>IF(LEN(F42)&gt;0,IF(I42="S",H42,IF(I42="F",EDATE(H42,3),CHOOSE(MATCH(RIGHT(H42,1),{"D","W","M"},0),NextBusDay($C$4,LEFT(H42,LEN(H42)-1)),NextBusDay($C$4+7*LEFT(H42,LEN(H42)-1)),NextBusDay(EDATE($C$4,LEFT(H42,LEN(H42)-1)))))),"")</f>
        <v>48878</v>
      </c>
      <c r="L42" s="515">
        <f t="shared" si="23"/>
        <v>0</v>
      </c>
      <c r="N42" s="106" t="str">
        <f t="shared" si="3"/>
        <v>-</v>
      </c>
      <c r="O42" s="106" t="str">
        <f t="shared" si="17"/>
        <v>-</v>
      </c>
      <c r="P42" s="106" t="str">
        <f t="shared" si="5"/>
        <v>-</v>
      </c>
      <c r="Q42" s="106" t="b">
        <f t="shared" si="6"/>
        <v>0</v>
      </c>
      <c r="R42" s="516" t="str">
        <f t="shared" si="21"/>
        <v>-</v>
      </c>
      <c r="S42" s="516" t="str">
        <f t="shared" si="21"/>
        <v>-</v>
      </c>
      <c r="T42" s="516" t="str">
        <f t="shared" si="21"/>
        <v>-</v>
      </c>
      <c r="U42" s="516" t="str">
        <f t="shared" si="21"/>
        <v>-</v>
      </c>
      <c r="V42" s="516" t="str">
        <f t="shared" si="21"/>
        <v>-</v>
      </c>
      <c r="W42" s="516" t="str">
        <f t="shared" si="21"/>
        <v>-</v>
      </c>
      <c r="X42" s="516" t="str">
        <f t="shared" si="21"/>
        <v>-</v>
      </c>
      <c r="Y42" s="516" t="str">
        <f t="shared" si="21"/>
        <v>-</v>
      </c>
      <c r="Z42" s="516" t="str">
        <f t="shared" si="21"/>
        <v>-</v>
      </c>
      <c r="AA42" s="516" t="str">
        <f t="shared" si="21"/>
        <v>-</v>
      </c>
      <c r="AB42" s="516" t="str">
        <f t="shared" si="21"/>
        <v>-</v>
      </c>
      <c r="AC42" s="516" t="str">
        <f t="shared" si="21"/>
        <v>-</v>
      </c>
      <c r="AD42" s="516" t="str">
        <f t="shared" si="21"/>
        <v>-</v>
      </c>
      <c r="AE42" s="516" t="str">
        <f t="shared" si="21"/>
        <v>-</v>
      </c>
      <c r="AF42" s="516" t="str">
        <f t="shared" si="21"/>
        <v>-</v>
      </c>
      <c r="AG42" s="516" t="str">
        <f t="shared" si="21"/>
        <v>-</v>
      </c>
      <c r="AH42" s="516" t="str">
        <f t="shared" si="24"/>
        <v>-</v>
      </c>
      <c r="AI42" s="516" t="str">
        <f t="shared" si="24"/>
        <v>-</v>
      </c>
      <c r="AJ42" s="516" t="str">
        <f t="shared" si="24"/>
        <v>-</v>
      </c>
      <c r="AK42" s="516" t="str">
        <f t="shared" si="24"/>
        <v>-</v>
      </c>
      <c r="AL42" s="516" t="str">
        <f t="shared" si="24"/>
        <v>-</v>
      </c>
      <c r="AM42" s="516" t="str">
        <f t="shared" si="24"/>
        <v>-</v>
      </c>
      <c r="AN42" s="516" t="str">
        <f t="shared" si="24"/>
        <v>-</v>
      </c>
      <c r="AO42" s="516" t="str">
        <f t="shared" si="24"/>
        <v>-</v>
      </c>
      <c r="AP42" s="516" t="str">
        <f t="shared" si="24"/>
        <v>-</v>
      </c>
      <c r="AQ42" s="516" t="str">
        <f t="shared" si="24"/>
        <v>-</v>
      </c>
      <c r="AR42" s="516" t="str">
        <f t="shared" si="24"/>
        <v>-</v>
      </c>
      <c r="AS42" s="516" t="str">
        <f t="shared" si="24"/>
        <v>-</v>
      </c>
      <c r="AT42" s="516" t="str">
        <f t="shared" si="24"/>
        <v>-</v>
      </c>
      <c r="AU42" s="516" t="str">
        <f t="shared" si="24"/>
        <v>-</v>
      </c>
      <c r="AV42" s="516" t="str">
        <f t="shared" si="24"/>
        <v>-</v>
      </c>
      <c r="AW42" s="516" t="str">
        <f t="shared" si="24"/>
        <v>-</v>
      </c>
      <c r="AX42" s="516" t="str">
        <f t="shared" si="24"/>
        <v>-</v>
      </c>
      <c r="AY42" s="516" t="str">
        <f t="shared" si="24"/>
        <v>-</v>
      </c>
      <c r="AZ42" s="516" t="str">
        <f t="shared" si="24"/>
        <v>-</v>
      </c>
      <c r="BA42" s="516" t="str">
        <f t="shared" si="24"/>
        <v>-</v>
      </c>
      <c r="BB42" s="516" t="str">
        <f t="shared" si="24"/>
        <v>-</v>
      </c>
      <c r="BC42" s="516" t="str">
        <f t="shared" si="24"/>
        <v>-</v>
      </c>
      <c r="BD42" s="516" t="str">
        <f t="shared" si="24"/>
        <v>-</v>
      </c>
      <c r="BE42" s="516" t="str">
        <f t="shared" si="24"/>
        <v>-</v>
      </c>
      <c r="BF42" s="516" t="str">
        <f t="shared" si="24"/>
        <v>-</v>
      </c>
      <c r="BG42" s="516" t="str">
        <f t="shared" si="24"/>
        <v>-</v>
      </c>
      <c r="BH42" s="516" t="str">
        <f t="shared" si="22"/>
        <v>-</v>
      </c>
      <c r="BI42" s="516" t="str">
        <f t="shared" si="22"/>
        <v>-</v>
      </c>
      <c r="BJ42" s="516" t="str">
        <f t="shared" si="22"/>
        <v>-</v>
      </c>
      <c r="BK42" s="516" t="str">
        <f t="shared" si="22"/>
        <v>-</v>
      </c>
      <c r="BL42" s="516" t="str">
        <f t="shared" si="22"/>
        <v>-</v>
      </c>
      <c r="BM42" s="516" t="str">
        <f t="shared" si="22"/>
        <v>-</v>
      </c>
      <c r="BN42" s="516" t="str">
        <f t="shared" si="22"/>
        <v>-</v>
      </c>
      <c r="BO42" s="516" t="str">
        <f t="shared" si="22"/>
        <v>-</v>
      </c>
      <c r="BP42" s="516" t="str">
        <f t="shared" si="22"/>
        <v>-</v>
      </c>
      <c r="BQ42" s="516" t="str">
        <f t="shared" si="22"/>
        <v>-</v>
      </c>
      <c r="BR42" s="516" t="str">
        <f t="shared" si="22"/>
        <v>-</v>
      </c>
      <c r="BS42" s="516" t="str">
        <f t="shared" si="22"/>
        <v>-</v>
      </c>
      <c r="BT42" s="516" t="str">
        <f t="shared" si="22"/>
        <v>-</v>
      </c>
      <c r="BU42" s="516" t="str">
        <f t="shared" si="22"/>
        <v>-</v>
      </c>
      <c r="BV42" s="516" t="str">
        <f t="shared" si="22"/>
        <v>-</v>
      </c>
      <c r="BW42" s="516" t="str">
        <f t="shared" si="22"/>
        <v>-</v>
      </c>
      <c r="BX42" s="516" t="str">
        <f t="shared" si="22"/>
        <v>-</v>
      </c>
      <c r="BY42" s="516" t="str">
        <f t="shared" si="22"/>
        <v>-</v>
      </c>
      <c r="BZ42" s="516" t="str">
        <f t="shared" si="22"/>
        <v>-</v>
      </c>
      <c r="CA42" s="516" t="str">
        <f t="shared" si="22"/>
        <v>-</v>
      </c>
    </row>
    <row r="43" spans="1:79">
      <c r="A43" s="105">
        <v>35</v>
      </c>
      <c r="B43" s="112" t="str">
        <v>30Y</v>
      </c>
      <c r="C43" s="512">
        <f>'usd disaggregated'!AO51</f>
        <v>4163.7703483380037</v>
      </c>
      <c r="D43" s="111" t="str">
        <f t="shared" si="8"/>
        <v>360M</v>
      </c>
      <c r="E43" s="517">
        <f>IF(LEN(B43)&gt;0,CHOOSE(MATCH(RIGHT(D43,1),{"D","W","M"},0),NextBusDay($C$4,LEFT(D43,LEN(D43)-1)),NextBusDay($C$4+7*LEFT(D43,LEN(D43)-1)),NextBusDay(EDATE($C$4,LEFT(D43,LEN(D43)-1)))),"")</f>
        <v>53626</v>
      </c>
      <c r="F43" s="107" t="str">
        <v>18Y</v>
      </c>
      <c r="G43" s="106" t="str">
        <v>18Y</v>
      </c>
      <c r="H43" s="106" t="str">
        <f t="shared" si="25"/>
        <v>216M</v>
      </c>
      <c r="I43" s="261" t="str">
        <v>W</v>
      </c>
      <c r="J43" s="106">
        <f>IF(LEN(F43)&gt;0,IF(I43="S",H43,IF(I43="F",EDATE(H43,3),CHOOSE(MATCH(RIGHT(H43,1),{"D","W","M"},0),NextBusDay($C$4,LEFT(H43,LEN(H43)-1)),NextBusDay($C$4+7*LEFT(H43,LEN(H43)-1)),NextBusDay(EDATE($C$4,LEFT(H43,LEN(H43)-1)))))),"")</f>
        <v>49243</v>
      </c>
      <c r="L43" s="515">
        <f t="shared" si="23"/>
        <v>0</v>
      </c>
      <c r="N43" s="106" t="str">
        <f t="shared" si="3"/>
        <v>-</v>
      </c>
      <c r="O43" s="106" t="str">
        <f t="shared" si="17"/>
        <v>-</v>
      </c>
      <c r="P43" s="106" t="str">
        <f t="shared" si="5"/>
        <v>-</v>
      </c>
      <c r="Q43" s="106" t="b">
        <f t="shared" si="6"/>
        <v>0</v>
      </c>
      <c r="R43" s="516" t="str">
        <f t="shared" si="21"/>
        <v>-</v>
      </c>
      <c r="S43" s="516" t="str">
        <f t="shared" si="21"/>
        <v>-</v>
      </c>
      <c r="T43" s="516" t="str">
        <f t="shared" si="21"/>
        <v>-</v>
      </c>
      <c r="U43" s="516" t="str">
        <f t="shared" si="21"/>
        <v>-</v>
      </c>
      <c r="V43" s="516" t="str">
        <f t="shared" si="21"/>
        <v>-</v>
      </c>
      <c r="W43" s="516" t="str">
        <f t="shared" si="21"/>
        <v>-</v>
      </c>
      <c r="X43" s="516" t="str">
        <f t="shared" si="21"/>
        <v>-</v>
      </c>
      <c r="Y43" s="516" t="str">
        <f t="shared" si="21"/>
        <v>-</v>
      </c>
      <c r="Z43" s="516" t="str">
        <f t="shared" si="21"/>
        <v>-</v>
      </c>
      <c r="AA43" s="516" t="str">
        <f t="shared" si="21"/>
        <v>-</v>
      </c>
      <c r="AB43" s="516" t="str">
        <f t="shared" si="21"/>
        <v>-</v>
      </c>
      <c r="AC43" s="516" t="str">
        <f t="shared" si="21"/>
        <v>-</v>
      </c>
      <c r="AD43" s="516" t="str">
        <f t="shared" si="21"/>
        <v>-</v>
      </c>
      <c r="AE43" s="516" t="str">
        <f t="shared" si="21"/>
        <v>-</v>
      </c>
      <c r="AF43" s="516" t="str">
        <f t="shared" si="21"/>
        <v>-</v>
      </c>
      <c r="AG43" s="516" t="str">
        <f t="shared" si="21"/>
        <v>-</v>
      </c>
      <c r="AH43" s="516" t="str">
        <f t="shared" si="24"/>
        <v>-</v>
      </c>
      <c r="AI43" s="516" t="str">
        <f t="shared" si="24"/>
        <v>-</v>
      </c>
      <c r="AJ43" s="516" t="str">
        <f t="shared" si="24"/>
        <v>-</v>
      </c>
      <c r="AK43" s="516" t="str">
        <f t="shared" si="24"/>
        <v>-</v>
      </c>
      <c r="AL43" s="516" t="str">
        <f t="shared" si="24"/>
        <v>-</v>
      </c>
      <c r="AM43" s="516" t="str">
        <f t="shared" si="24"/>
        <v>-</v>
      </c>
      <c r="AN43" s="516" t="str">
        <f t="shared" si="24"/>
        <v>-</v>
      </c>
      <c r="AO43" s="516" t="str">
        <f t="shared" si="24"/>
        <v>-</v>
      </c>
      <c r="AP43" s="516" t="str">
        <f t="shared" si="24"/>
        <v>-</v>
      </c>
      <c r="AQ43" s="516" t="str">
        <f t="shared" si="24"/>
        <v>-</v>
      </c>
      <c r="AR43" s="516" t="str">
        <f t="shared" si="24"/>
        <v>-</v>
      </c>
      <c r="AS43" s="516" t="str">
        <f t="shared" si="24"/>
        <v>-</v>
      </c>
      <c r="AT43" s="516" t="str">
        <f t="shared" si="24"/>
        <v>-</v>
      </c>
      <c r="AU43" s="516" t="str">
        <f t="shared" si="24"/>
        <v>-</v>
      </c>
      <c r="AV43" s="516" t="str">
        <f t="shared" si="24"/>
        <v>-</v>
      </c>
      <c r="AW43" s="516" t="str">
        <f t="shared" si="24"/>
        <v>-</v>
      </c>
      <c r="AX43" s="516" t="str">
        <f t="shared" si="24"/>
        <v>-</v>
      </c>
      <c r="AY43" s="516" t="str">
        <f t="shared" si="24"/>
        <v>-</v>
      </c>
      <c r="AZ43" s="516" t="str">
        <f t="shared" si="24"/>
        <v>-</v>
      </c>
      <c r="BA43" s="516" t="str">
        <f t="shared" si="24"/>
        <v>-</v>
      </c>
      <c r="BB43" s="516" t="str">
        <f t="shared" si="24"/>
        <v>-</v>
      </c>
      <c r="BC43" s="516" t="str">
        <f t="shared" si="24"/>
        <v>-</v>
      </c>
      <c r="BD43" s="516" t="str">
        <f t="shared" si="24"/>
        <v>-</v>
      </c>
      <c r="BE43" s="516" t="str">
        <f t="shared" si="24"/>
        <v>-</v>
      </c>
      <c r="BF43" s="516" t="str">
        <f t="shared" si="24"/>
        <v>-</v>
      </c>
      <c r="BG43" s="516" t="str">
        <f t="shared" si="24"/>
        <v>-</v>
      </c>
      <c r="BH43" s="516" t="str">
        <f t="shared" si="22"/>
        <v>-</v>
      </c>
      <c r="BI43" s="516" t="str">
        <f t="shared" si="22"/>
        <v>-</v>
      </c>
      <c r="BJ43" s="516" t="str">
        <f t="shared" si="22"/>
        <v>-</v>
      </c>
      <c r="BK43" s="516" t="str">
        <f t="shared" si="22"/>
        <v>-</v>
      </c>
      <c r="BL43" s="516" t="str">
        <f t="shared" si="22"/>
        <v>-</v>
      </c>
      <c r="BM43" s="516" t="str">
        <f t="shared" si="22"/>
        <v>-</v>
      </c>
      <c r="BN43" s="516" t="str">
        <f t="shared" si="22"/>
        <v>-</v>
      </c>
      <c r="BO43" s="516" t="str">
        <f t="shared" si="22"/>
        <v>-</v>
      </c>
      <c r="BP43" s="516" t="str">
        <f t="shared" si="22"/>
        <v>-</v>
      </c>
      <c r="BQ43" s="516" t="str">
        <f t="shared" si="22"/>
        <v>-</v>
      </c>
      <c r="BR43" s="516" t="str">
        <f t="shared" si="22"/>
        <v>-</v>
      </c>
      <c r="BS43" s="516" t="str">
        <f t="shared" si="22"/>
        <v>-</v>
      </c>
      <c r="BT43" s="516" t="str">
        <f t="shared" si="22"/>
        <v>-</v>
      </c>
      <c r="BU43" s="516" t="str">
        <f t="shared" si="22"/>
        <v>-</v>
      </c>
      <c r="BV43" s="516" t="str">
        <f t="shared" si="22"/>
        <v>-</v>
      </c>
      <c r="BW43" s="516" t="str">
        <f t="shared" si="22"/>
        <v>-</v>
      </c>
      <c r="BX43" s="516" t="str">
        <f t="shared" si="22"/>
        <v>-</v>
      </c>
      <c r="BY43" s="516" t="str">
        <f t="shared" si="22"/>
        <v>-</v>
      </c>
      <c r="BZ43" s="516" t="str">
        <f t="shared" si="22"/>
        <v>-</v>
      </c>
      <c r="CA43" s="516" t="str">
        <f t="shared" si="22"/>
        <v>-</v>
      </c>
    </row>
    <row r="44" spans="1:79">
      <c r="A44" s="105">
        <v>36</v>
      </c>
      <c r="B44" s="112" t="str">
        <v>40Y</v>
      </c>
      <c r="C44" s="512">
        <f>'usd disaggregated'!AO52</f>
        <v>11.838043330143176</v>
      </c>
      <c r="D44" s="111" t="str">
        <f t="shared" si="8"/>
        <v>480M</v>
      </c>
      <c r="E44" s="517">
        <f>IF(LEN(B44)&gt;0,CHOOSE(MATCH(RIGHT(D44,1),{"D","W","M"},0),NextBusDay($C$4,LEFT(D44,LEN(D44)-1)),NextBusDay($C$4+7*LEFT(D44,LEN(D44)-1)),NextBusDay(EDATE($C$4,LEFT(D44,LEN(D44)-1)))),"")</f>
        <v>57279</v>
      </c>
      <c r="F44" s="107" t="str">
        <v>19Y</v>
      </c>
      <c r="G44" s="106" t="str">
        <v>19Y</v>
      </c>
      <c r="H44" s="106" t="str">
        <f t="shared" si="25"/>
        <v>228M</v>
      </c>
      <c r="I44" s="261" t="str">
        <v>W</v>
      </c>
      <c r="J44" s="106">
        <f>IF(LEN(F44)&gt;0,IF(I44="S",H44,IF(I44="F",EDATE(H44,3),CHOOSE(MATCH(RIGHT(H44,1),{"D","W","M"},0),NextBusDay($C$4,LEFT(H44,LEN(H44)-1)),NextBusDay($C$4+7*LEFT(H44,LEN(H44)-1)),NextBusDay(EDATE($C$4,LEFT(H44,LEN(H44)-1)))))),"")</f>
        <v>49608</v>
      </c>
      <c r="L44" s="515">
        <f t="shared" si="23"/>
        <v>0</v>
      </c>
      <c r="N44" s="106" t="str">
        <f t="shared" si="3"/>
        <v>-</v>
      </c>
      <c r="O44" s="106" t="str">
        <f t="shared" si="17"/>
        <v>-</v>
      </c>
      <c r="P44" s="106" t="str">
        <f t="shared" si="5"/>
        <v>-</v>
      </c>
      <c r="Q44" s="106" t="b">
        <f t="shared" si="6"/>
        <v>0</v>
      </c>
      <c r="R44" s="516" t="str">
        <f t="shared" si="21"/>
        <v>-</v>
      </c>
      <c r="S44" s="516" t="str">
        <f t="shared" si="21"/>
        <v>-</v>
      </c>
      <c r="T44" s="516" t="str">
        <f t="shared" si="21"/>
        <v>-</v>
      </c>
      <c r="U44" s="516" t="str">
        <f t="shared" si="21"/>
        <v>-</v>
      </c>
      <c r="V44" s="516" t="str">
        <f t="shared" si="21"/>
        <v>-</v>
      </c>
      <c r="W44" s="516" t="str">
        <f t="shared" si="21"/>
        <v>-</v>
      </c>
      <c r="X44" s="516" t="str">
        <f t="shared" si="21"/>
        <v>-</v>
      </c>
      <c r="Y44" s="516" t="str">
        <f t="shared" si="21"/>
        <v>-</v>
      </c>
      <c r="Z44" s="516" t="str">
        <f t="shared" si="21"/>
        <v>-</v>
      </c>
      <c r="AA44" s="516" t="str">
        <f t="shared" si="21"/>
        <v>-</v>
      </c>
      <c r="AB44" s="516" t="str">
        <f t="shared" si="21"/>
        <v>-</v>
      </c>
      <c r="AC44" s="516" t="str">
        <f t="shared" si="21"/>
        <v>-</v>
      </c>
      <c r="AD44" s="516" t="str">
        <f t="shared" si="21"/>
        <v>-</v>
      </c>
      <c r="AE44" s="516" t="str">
        <f t="shared" si="21"/>
        <v>-</v>
      </c>
      <c r="AF44" s="516" t="str">
        <f t="shared" si="21"/>
        <v>-</v>
      </c>
      <c r="AG44" s="516" t="str">
        <f t="shared" si="21"/>
        <v>-</v>
      </c>
      <c r="AH44" s="516" t="str">
        <f t="shared" si="24"/>
        <v>-</v>
      </c>
      <c r="AI44" s="516" t="str">
        <f t="shared" si="24"/>
        <v>-</v>
      </c>
      <c r="AJ44" s="516" t="str">
        <f t="shared" si="24"/>
        <v>-</v>
      </c>
      <c r="AK44" s="516" t="str">
        <f t="shared" si="24"/>
        <v>-</v>
      </c>
      <c r="AL44" s="516" t="str">
        <f t="shared" si="24"/>
        <v>-</v>
      </c>
      <c r="AM44" s="516" t="str">
        <f t="shared" si="24"/>
        <v>-</v>
      </c>
      <c r="AN44" s="516" t="str">
        <f t="shared" si="24"/>
        <v>-</v>
      </c>
      <c r="AO44" s="516" t="str">
        <f t="shared" si="24"/>
        <v>-</v>
      </c>
      <c r="AP44" s="516" t="str">
        <f t="shared" si="24"/>
        <v>-</v>
      </c>
      <c r="AQ44" s="516" t="str">
        <f t="shared" si="24"/>
        <v>-</v>
      </c>
      <c r="AR44" s="516" t="str">
        <f t="shared" si="24"/>
        <v>-</v>
      </c>
      <c r="AS44" s="516" t="str">
        <f t="shared" si="24"/>
        <v>-</v>
      </c>
      <c r="AT44" s="516" t="str">
        <f t="shared" si="24"/>
        <v>-</v>
      </c>
      <c r="AU44" s="516" t="str">
        <f t="shared" si="24"/>
        <v>-</v>
      </c>
      <c r="AV44" s="516" t="str">
        <f t="shared" si="24"/>
        <v>-</v>
      </c>
      <c r="AW44" s="516" t="str">
        <f t="shared" si="24"/>
        <v>-</v>
      </c>
      <c r="AX44" s="516" t="str">
        <f t="shared" si="24"/>
        <v>-</v>
      </c>
      <c r="AY44" s="516" t="str">
        <f t="shared" si="24"/>
        <v>-</v>
      </c>
      <c r="AZ44" s="516" t="str">
        <f t="shared" si="24"/>
        <v>-</v>
      </c>
      <c r="BA44" s="516" t="str">
        <f t="shared" si="24"/>
        <v>-</v>
      </c>
      <c r="BB44" s="516" t="str">
        <f t="shared" si="24"/>
        <v>-</v>
      </c>
      <c r="BC44" s="516" t="str">
        <f t="shared" si="24"/>
        <v>-</v>
      </c>
      <c r="BD44" s="516" t="str">
        <f t="shared" si="24"/>
        <v>-</v>
      </c>
      <c r="BE44" s="516" t="str">
        <f t="shared" si="24"/>
        <v>-</v>
      </c>
      <c r="BF44" s="516" t="str">
        <f t="shared" si="24"/>
        <v>-</v>
      </c>
      <c r="BG44" s="516" t="str">
        <f t="shared" si="24"/>
        <v>-</v>
      </c>
      <c r="BH44" s="516" t="str">
        <f t="shared" si="22"/>
        <v>-</v>
      </c>
      <c r="BI44" s="516" t="str">
        <f t="shared" si="22"/>
        <v>-</v>
      </c>
      <c r="BJ44" s="516" t="str">
        <f t="shared" si="22"/>
        <v>-</v>
      </c>
      <c r="BK44" s="516" t="str">
        <f t="shared" si="22"/>
        <v>-</v>
      </c>
      <c r="BL44" s="516" t="str">
        <f t="shared" si="22"/>
        <v>-</v>
      </c>
      <c r="BM44" s="516" t="str">
        <f t="shared" si="22"/>
        <v>-</v>
      </c>
      <c r="BN44" s="516" t="str">
        <f t="shared" si="22"/>
        <v>-</v>
      </c>
      <c r="BO44" s="516" t="str">
        <f t="shared" si="22"/>
        <v>-</v>
      </c>
      <c r="BP44" s="516" t="str">
        <f t="shared" si="22"/>
        <v>-</v>
      </c>
      <c r="BQ44" s="516" t="str">
        <f t="shared" si="22"/>
        <v>-</v>
      </c>
      <c r="BR44" s="516" t="str">
        <f t="shared" si="22"/>
        <v>-</v>
      </c>
      <c r="BS44" s="516" t="str">
        <f t="shared" si="22"/>
        <v>-</v>
      </c>
      <c r="BT44" s="516" t="str">
        <f t="shared" si="22"/>
        <v>-</v>
      </c>
      <c r="BU44" s="516" t="str">
        <f t="shared" si="22"/>
        <v>-</v>
      </c>
      <c r="BV44" s="516" t="str">
        <f t="shared" si="22"/>
        <v>-</v>
      </c>
      <c r="BW44" s="516" t="str">
        <f t="shared" si="22"/>
        <v>-</v>
      </c>
      <c r="BX44" s="516" t="str">
        <f t="shared" si="22"/>
        <v>-</v>
      </c>
      <c r="BY44" s="516" t="str">
        <f t="shared" si="22"/>
        <v>-</v>
      </c>
      <c r="BZ44" s="516" t="str">
        <f t="shared" si="22"/>
        <v>-</v>
      </c>
      <c r="CA44" s="516" t="str">
        <f t="shared" si="22"/>
        <v>-</v>
      </c>
    </row>
    <row r="45" spans="1:79">
      <c r="A45" s="105">
        <v>37</v>
      </c>
      <c r="B45" s="112" t="str">
        <v>50Y</v>
      </c>
      <c r="C45" s="512">
        <f>'usd disaggregated'!AO53</f>
        <v>0.154583921982582</v>
      </c>
      <c r="D45" s="111" t="str">
        <f t="shared" si="8"/>
        <v>600M</v>
      </c>
      <c r="E45" s="517">
        <f>IF(LEN(B45)&gt;0,CHOOSE(MATCH(RIGHT(D45,1),{"D","W","M"},0),NextBusDay($C$4,LEFT(D45,LEN(D45)-1)),NextBusDay($C$4+7*LEFT(D45,LEN(D45)-1)),NextBusDay(EDATE($C$4,LEFT(D45,LEN(D45)-1)))),"")</f>
        <v>60931</v>
      </c>
      <c r="F45" s="107" t="str">
        <v>20Y</v>
      </c>
      <c r="G45" s="106" t="str">
        <v>20Y</v>
      </c>
      <c r="H45" s="106" t="str">
        <f t="shared" si="25"/>
        <v>240M</v>
      </c>
      <c r="I45" s="261" t="str">
        <v>W</v>
      </c>
      <c r="J45" s="106">
        <f>IF(LEN(F45)&gt;0,IF(I45="S",H45,IF(I45="F",EDATE(H45,3),CHOOSE(MATCH(RIGHT(H45,1),{"D","W","M"},0),NextBusDay($C$4,LEFT(H45,LEN(H45)-1)),NextBusDay($C$4+7*LEFT(H45,LEN(H45)-1)),NextBusDay(EDATE($C$4,LEFT(H45,LEN(H45)-1)))))),"")</f>
        <v>49975</v>
      </c>
      <c r="L45" s="515">
        <f t="shared" si="23"/>
        <v>-195594.6479149911</v>
      </c>
      <c r="N45" s="106" t="str">
        <f t="shared" si="3"/>
        <v>-</v>
      </c>
      <c r="O45" s="106" t="str">
        <f t="shared" si="17"/>
        <v>-</v>
      </c>
      <c r="P45" s="106" t="str">
        <f t="shared" si="5"/>
        <v>-</v>
      </c>
      <c r="Q45" s="106" t="b">
        <f t="shared" si="6"/>
        <v>0</v>
      </c>
      <c r="R45" s="516" t="str">
        <f t="shared" si="21"/>
        <v>-</v>
      </c>
      <c r="S45" s="516" t="str">
        <f t="shared" si="21"/>
        <v>-</v>
      </c>
      <c r="T45" s="516" t="str">
        <f t="shared" si="21"/>
        <v>-</v>
      </c>
      <c r="U45" s="516" t="str">
        <f t="shared" si="21"/>
        <v>-</v>
      </c>
      <c r="V45" s="516" t="str">
        <f t="shared" si="21"/>
        <v>-</v>
      </c>
      <c r="W45" s="516" t="str">
        <f t="shared" si="21"/>
        <v>-</v>
      </c>
      <c r="X45" s="516" t="str">
        <f t="shared" si="21"/>
        <v>-</v>
      </c>
      <c r="Y45" s="516" t="str">
        <f t="shared" si="21"/>
        <v>-</v>
      </c>
      <c r="Z45" s="516" t="str">
        <f t="shared" si="21"/>
        <v>-</v>
      </c>
      <c r="AA45" s="516" t="str">
        <f t="shared" si="21"/>
        <v>-</v>
      </c>
      <c r="AB45" s="516" t="str">
        <f t="shared" si="21"/>
        <v>-</v>
      </c>
      <c r="AC45" s="516" t="str">
        <f t="shared" si="21"/>
        <v>-</v>
      </c>
      <c r="AD45" s="516" t="str">
        <f t="shared" si="21"/>
        <v>-</v>
      </c>
      <c r="AE45" s="516" t="str">
        <f t="shared" si="21"/>
        <v>-</v>
      </c>
      <c r="AF45" s="516" t="str">
        <f t="shared" si="21"/>
        <v>-</v>
      </c>
      <c r="AG45" s="516" t="str">
        <f t="shared" si="21"/>
        <v>-</v>
      </c>
      <c r="AH45" s="516" t="str">
        <f t="shared" si="24"/>
        <v>-</v>
      </c>
      <c r="AI45" s="516" t="str">
        <f t="shared" si="24"/>
        <v>-</v>
      </c>
      <c r="AJ45" s="516" t="str">
        <f t="shared" si="24"/>
        <v>-</v>
      </c>
      <c r="AK45" s="516" t="str">
        <f t="shared" si="24"/>
        <v>-</v>
      </c>
      <c r="AL45" s="516" t="str">
        <f t="shared" si="24"/>
        <v>-</v>
      </c>
      <c r="AM45" s="516" t="str">
        <f t="shared" si="24"/>
        <v>-</v>
      </c>
      <c r="AN45" s="516" t="str">
        <f t="shared" si="24"/>
        <v>-</v>
      </c>
      <c r="AO45" s="516" t="str">
        <f t="shared" si="24"/>
        <v>-</v>
      </c>
      <c r="AP45" s="516" t="str">
        <f t="shared" si="24"/>
        <v>-</v>
      </c>
      <c r="AQ45" s="516" t="str">
        <f t="shared" si="24"/>
        <v>-</v>
      </c>
      <c r="AR45" s="516" t="str">
        <f t="shared" si="24"/>
        <v>-</v>
      </c>
      <c r="AS45" s="516" t="str">
        <f t="shared" si="24"/>
        <v>-</v>
      </c>
      <c r="AT45" s="516" t="str">
        <f t="shared" si="24"/>
        <v>-</v>
      </c>
      <c r="AU45" s="516" t="str">
        <f t="shared" si="24"/>
        <v>-</v>
      </c>
      <c r="AV45" s="516" t="str">
        <f t="shared" si="24"/>
        <v>-</v>
      </c>
      <c r="AW45" s="516" t="str">
        <f t="shared" si="24"/>
        <v>-</v>
      </c>
      <c r="AX45" s="516">
        <f t="shared" si="24"/>
        <v>-195594.6479149911</v>
      </c>
      <c r="AY45" s="516" t="str">
        <f t="shared" si="24"/>
        <v>-</v>
      </c>
      <c r="AZ45" s="516" t="str">
        <f t="shared" si="24"/>
        <v>-</v>
      </c>
      <c r="BA45" s="516" t="str">
        <f t="shared" si="24"/>
        <v>-</v>
      </c>
      <c r="BB45" s="516" t="str">
        <f t="shared" si="24"/>
        <v>-</v>
      </c>
      <c r="BC45" s="516" t="str">
        <f t="shared" si="24"/>
        <v>-</v>
      </c>
      <c r="BD45" s="516" t="str">
        <f t="shared" si="24"/>
        <v>-</v>
      </c>
      <c r="BE45" s="516" t="str">
        <f t="shared" si="24"/>
        <v>-</v>
      </c>
      <c r="BF45" s="516" t="str">
        <f t="shared" si="24"/>
        <v>-</v>
      </c>
      <c r="BG45" s="516" t="str">
        <f t="shared" si="24"/>
        <v>-</v>
      </c>
      <c r="BH45" s="516" t="str">
        <f t="shared" si="22"/>
        <v>-</v>
      </c>
      <c r="BI45" s="516" t="str">
        <f t="shared" si="22"/>
        <v>-</v>
      </c>
      <c r="BJ45" s="516" t="str">
        <f t="shared" si="22"/>
        <v>-</v>
      </c>
      <c r="BK45" s="516" t="str">
        <f t="shared" si="22"/>
        <v>-</v>
      </c>
      <c r="BL45" s="516" t="str">
        <f t="shared" si="22"/>
        <v>-</v>
      </c>
      <c r="BM45" s="516" t="str">
        <f t="shared" si="22"/>
        <v>-</v>
      </c>
      <c r="BN45" s="516" t="str">
        <f t="shared" si="22"/>
        <v>-</v>
      </c>
      <c r="BO45" s="516" t="str">
        <f t="shared" si="22"/>
        <v>-</v>
      </c>
      <c r="BP45" s="516" t="str">
        <f t="shared" si="22"/>
        <v>-</v>
      </c>
      <c r="BQ45" s="516" t="str">
        <f t="shared" si="22"/>
        <v>-</v>
      </c>
      <c r="BR45" s="516" t="str">
        <f t="shared" si="22"/>
        <v>-</v>
      </c>
      <c r="BS45" s="516" t="str">
        <f t="shared" si="22"/>
        <v>-</v>
      </c>
      <c r="BT45" s="516" t="str">
        <f t="shared" si="22"/>
        <v>-</v>
      </c>
      <c r="BU45" s="516" t="str">
        <f t="shared" si="22"/>
        <v>-</v>
      </c>
      <c r="BV45" s="516" t="str">
        <f t="shared" si="22"/>
        <v>-</v>
      </c>
      <c r="BW45" s="516" t="str">
        <f t="shared" si="22"/>
        <v>-</v>
      </c>
      <c r="BX45" s="516" t="str">
        <f t="shared" si="22"/>
        <v>-</v>
      </c>
      <c r="BY45" s="516" t="str">
        <f t="shared" si="22"/>
        <v>-</v>
      </c>
      <c r="BZ45" s="516" t="str">
        <f t="shared" si="22"/>
        <v>-</v>
      </c>
      <c r="CA45" s="516" t="str">
        <f t="shared" si="22"/>
        <v>-</v>
      </c>
    </row>
    <row r="46" spans="1:79">
      <c r="A46" s="105">
        <v>38</v>
      </c>
      <c r="B46" s="112" t="str">
        <v>60Y</v>
      </c>
      <c r="C46" s="512">
        <f>'usd disaggregated'!AO54</f>
        <v>1.8782487669238483E-3</v>
      </c>
      <c r="D46" s="111" t="str">
        <f t="shared" si="8"/>
        <v>720M</v>
      </c>
      <c r="E46" s="517">
        <f>IF(LEN(B46)&gt;0,CHOOSE(MATCH(RIGHT(D46,1),{"D","W","M"},0),NextBusDay($C$4,LEFT(D46,LEN(D46)-1)),NextBusDay($C$4+7*LEFT(D46,LEN(D46)-1)),NextBusDay(EDATE($C$4,LEFT(D46,LEN(D46)-1)))),"")</f>
        <v>64584</v>
      </c>
      <c r="F46" s="107" t="str">
        <v>21Y</v>
      </c>
      <c r="G46" s="106" t="str">
        <v>21Y</v>
      </c>
      <c r="H46" s="106" t="str">
        <f t="shared" si="25"/>
        <v>252M</v>
      </c>
      <c r="I46" s="261" t="str">
        <v>W</v>
      </c>
      <c r="J46" s="106">
        <f>IF(LEN(F46)&gt;0,IF(I46="S",H46,IF(I46="F",EDATE(H46,3),CHOOSE(MATCH(RIGHT(H46,1),{"D","W","M"},0),NextBusDay($C$4,LEFT(H46,LEN(H46)-1)),NextBusDay($C$4+7*LEFT(H46,LEN(H46)-1)),NextBusDay(EDATE($C$4,LEFT(H46,LEN(H46)-1)))))),"")</f>
        <v>50339</v>
      </c>
      <c r="L46" s="515">
        <f t="shared" si="23"/>
        <v>0</v>
      </c>
      <c r="N46" s="106" t="str">
        <f t="shared" si="3"/>
        <v>-</v>
      </c>
      <c r="O46" s="106" t="str">
        <f t="shared" si="17"/>
        <v>-</v>
      </c>
      <c r="P46" s="106" t="str">
        <f t="shared" si="5"/>
        <v>-</v>
      </c>
      <c r="Q46" s="106" t="b">
        <f t="shared" si="6"/>
        <v>0</v>
      </c>
      <c r="R46" s="516" t="str">
        <f t="shared" si="21"/>
        <v>-</v>
      </c>
      <c r="S46" s="516" t="str">
        <f t="shared" si="21"/>
        <v>-</v>
      </c>
      <c r="T46" s="516" t="str">
        <f t="shared" si="21"/>
        <v>-</v>
      </c>
      <c r="U46" s="516" t="str">
        <f t="shared" si="21"/>
        <v>-</v>
      </c>
      <c r="V46" s="516" t="str">
        <f t="shared" si="21"/>
        <v>-</v>
      </c>
      <c r="W46" s="516" t="str">
        <f t="shared" si="21"/>
        <v>-</v>
      </c>
      <c r="X46" s="516" t="str">
        <f t="shared" si="21"/>
        <v>-</v>
      </c>
      <c r="Y46" s="516" t="str">
        <f t="shared" si="21"/>
        <v>-</v>
      </c>
      <c r="Z46" s="516" t="str">
        <f t="shared" si="21"/>
        <v>-</v>
      </c>
      <c r="AA46" s="516" t="str">
        <f t="shared" si="21"/>
        <v>-</v>
      </c>
      <c r="AB46" s="516" t="str">
        <f t="shared" si="21"/>
        <v>-</v>
      </c>
      <c r="AC46" s="516" t="str">
        <f t="shared" si="21"/>
        <v>-</v>
      </c>
      <c r="AD46" s="516" t="str">
        <f t="shared" si="21"/>
        <v>-</v>
      </c>
      <c r="AE46" s="516" t="str">
        <f t="shared" si="21"/>
        <v>-</v>
      </c>
      <c r="AF46" s="516" t="str">
        <f t="shared" si="21"/>
        <v>-</v>
      </c>
      <c r="AG46" s="516" t="str">
        <f t="shared" si="21"/>
        <v>-</v>
      </c>
      <c r="AH46" s="516" t="str">
        <f t="shared" si="24"/>
        <v>-</v>
      </c>
      <c r="AI46" s="516" t="str">
        <f t="shared" si="24"/>
        <v>-</v>
      </c>
      <c r="AJ46" s="516" t="str">
        <f t="shared" si="24"/>
        <v>-</v>
      </c>
      <c r="AK46" s="516" t="str">
        <f t="shared" si="24"/>
        <v>-</v>
      </c>
      <c r="AL46" s="516" t="str">
        <f t="shared" si="24"/>
        <v>-</v>
      </c>
      <c r="AM46" s="516" t="str">
        <f t="shared" si="24"/>
        <v>-</v>
      </c>
      <c r="AN46" s="516" t="str">
        <f t="shared" si="24"/>
        <v>-</v>
      </c>
      <c r="AO46" s="516" t="str">
        <f t="shared" si="24"/>
        <v>-</v>
      </c>
      <c r="AP46" s="516" t="str">
        <f t="shared" si="24"/>
        <v>-</v>
      </c>
      <c r="AQ46" s="516" t="str">
        <f t="shared" si="24"/>
        <v>-</v>
      </c>
      <c r="AR46" s="516" t="str">
        <f t="shared" si="24"/>
        <v>-</v>
      </c>
      <c r="AS46" s="516" t="str">
        <f t="shared" si="24"/>
        <v>-</v>
      </c>
      <c r="AT46" s="516" t="str">
        <f t="shared" si="24"/>
        <v>-</v>
      </c>
      <c r="AU46" s="516" t="str">
        <f t="shared" si="24"/>
        <v>-</v>
      </c>
      <c r="AV46" s="516" t="str">
        <f t="shared" si="24"/>
        <v>-</v>
      </c>
      <c r="AW46" s="516" t="str">
        <f t="shared" si="24"/>
        <v>-</v>
      </c>
      <c r="AX46" s="516" t="str">
        <f t="shared" si="24"/>
        <v>-</v>
      </c>
      <c r="AY46" s="516" t="str">
        <f t="shared" si="24"/>
        <v>-</v>
      </c>
      <c r="AZ46" s="516" t="str">
        <f t="shared" si="24"/>
        <v>-</v>
      </c>
      <c r="BA46" s="516" t="str">
        <f t="shared" si="24"/>
        <v>-</v>
      </c>
      <c r="BB46" s="516" t="str">
        <f t="shared" si="24"/>
        <v>-</v>
      </c>
      <c r="BC46" s="516" t="str">
        <f t="shared" si="24"/>
        <v>-</v>
      </c>
      <c r="BD46" s="516" t="str">
        <f t="shared" si="24"/>
        <v>-</v>
      </c>
      <c r="BE46" s="516" t="str">
        <f t="shared" si="24"/>
        <v>-</v>
      </c>
      <c r="BF46" s="516" t="str">
        <f t="shared" si="24"/>
        <v>-</v>
      </c>
      <c r="BG46" s="516" t="str">
        <f t="shared" si="24"/>
        <v>-</v>
      </c>
      <c r="BH46" s="516" t="str">
        <f t="shared" si="22"/>
        <v>-</v>
      </c>
      <c r="BI46" s="516" t="str">
        <f t="shared" si="22"/>
        <v>-</v>
      </c>
      <c r="BJ46" s="516" t="str">
        <f t="shared" si="22"/>
        <v>-</v>
      </c>
      <c r="BK46" s="516" t="str">
        <f t="shared" si="22"/>
        <v>-</v>
      </c>
      <c r="BL46" s="516" t="str">
        <f t="shared" si="22"/>
        <v>-</v>
      </c>
      <c r="BM46" s="516" t="str">
        <f t="shared" si="22"/>
        <v>-</v>
      </c>
      <c r="BN46" s="516" t="str">
        <f t="shared" si="22"/>
        <v>-</v>
      </c>
      <c r="BO46" s="516" t="str">
        <f t="shared" si="22"/>
        <v>-</v>
      </c>
      <c r="BP46" s="516" t="str">
        <f t="shared" si="22"/>
        <v>-</v>
      </c>
      <c r="BQ46" s="516" t="str">
        <f t="shared" si="22"/>
        <v>-</v>
      </c>
      <c r="BR46" s="516" t="str">
        <f t="shared" si="22"/>
        <v>-</v>
      </c>
      <c r="BS46" s="516" t="str">
        <f t="shared" si="22"/>
        <v>-</v>
      </c>
      <c r="BT46" s="516" t="str">
        <f t="shared" si="22"/>
        <v>-</v>
      </c>
      <c r="BU46" s="516" t="str">
        <f t="shared" si="22"/>
        <v>-</v>
      </c>
      <c r="BV46" s="516" t="str">
        <f t="shared" si="22"/>
        <v>-</v>
      </c>
      <c r="BW46" s="516" t="str">
        <f t="shared" si="22"/>
        <v>-</v>
      </c>
      <c r="BX46" s="516" t="str">
        <f t="shared" si="22"/>
        <v>-</v>
      </c>
      <c r="BY46" s="516" t="str">
        <f t="shared" si="22"/>
        <v>-</v>
      </c>
      <c r="BZ46" s="516" t="str">
        <f t="shared" si="22"/>
        <v>-</v>
      </c>
      <c r="CA46" s="516" t="str">
        <f t="shared" si="22"/>
        <v>-</v>
      </c>
    </row>
    <row r="47" spans="1:79">
      <c r="A47" s="105"/>
      <c r="B47" s="112"/>
      <c r="C47" s="512"/>
      <c r="D47" s="111" t="str">
        <f t="shared" si="8"/>
        <v/>
      </c>
      <c r="E47" s="517" t="str">
        <f>IF(LEN(B47)&gt;0,CHOOSE(MATCH(RIGHT(D47,1),{"D","W","M"},0),NextBusDay($C$4,LEFT(D47,LEN(D47)-1)),NextBusDay($C$4+7*LEFT(D47,LEN(D47)-1)),NextBusDay(EDATE($C$4,LEFT(D47,LEN(D47)-1)))),"")</f>
        <v/>
      </c>
      <c r="F47" s="107" t="str">
        <v>22Y</v>
      </c>
      <c r="G47" s="106" t="str">
        <v>22Y</v>
      </c>
      <c r="H47" s="106" t="str">
        <f t="shared" si="25"/>
        <v>264M</v>
      </c>
      <c r="I47" s="261" t="str">
        <v>W</v>
      </c>
      <c r="J47" s="106">
        <f>IF(LEN(F47)&gt;0,IF(I47="S",H47,IF(I47="F",EDATE(H47,3),CHOOSE(MATCH(RIGHT(H47,1),{"D","W","M"},0),NextBusDay($C$4,LEFT(H47,LEN(H47)-1)),NextBusDay($C$4+7*LEFT(H47,LEN(H47)-1)),NextBusDay(EDATE($C$4,LEFT(H47,LEN(H47)-1)))))),"")</f>
        <v>50704</v>
      </c>
      <c r="L47" s="515">
        <f t="shared" si="23"/>
        <v>0</v>
      </c>
      <c r="N47" s="106" t="str">
        <f t="shared" si="3"/>
        <v>-</v>
      </c>
      <c r="O47" s="106" t="str">
        <f t="shared" si="17"/>
        <v>-</v>
      </c>
      <c r="P47" s="106" t="str">
        <f t="shared" si="5"/>
        <v>-</v>
      </c>
      <c r="Q47" s="106" t="b">
        <f t="shared" si="6"/>
        <v>0</v>
      </c>
      <c r="R47" s="516" t="str">
        <f t="shared" si="21"/>
        <v>-</v>
      </c>
      <c r="S47" s="516" t="str">
        <f t="shared" si="21"/>
        <v>-</v>
      </c>
      <c r="T47" s="516" t="str">
        <f t="shared" si="21"/>
        <v>-</v>
      </c>
      <c r="U47" s="516" t="str">
        <f t="shared" si="21"/>
        <v>-</v>
      </c>
      <c r="V47" s="516" t="str">
        <f t="shared" si="21"/>
        <v>-</v>
      </c>
      <c r="W47" s="516" t="str">
        <f t="shared" si="21"/>
        <v>-</v>
      </c>
      <c r="X47" s="516" t="str">
        <f t="shared" si="21"/>
        <v>-</v>
      </c>
      <c r="Y47" s="516" t="str">
        <f t="shared" si="21"/>
        <v>-</v>
      </c>
      <c r="Z47" s="516" t="str">
        <f t="shared" si="21"/>
        <v>-</v>
      </c>
      <c r="AA47" s="516" t="str">
        <f t="shared" si="21"/>
        <v>-</v>
      </c>
      <c r="AB47" s="516" t="str">
        <f t="shared" si="21"/>
        <v>-</v>
      </c>
      <c r="AC47" s="516" t="str">
        <f t="shared" si="21"/>
        <v>-</v>
      </c>
      <c r="AD47" s="516" t="str">
        <f t="shared" si="21"/>
        <v>-</v>
      </c>
      <c r="AE47" s="516" t="str">
        <f t="shared" si="21"/>
        <v>-</v>
      </c>
      <c r="AF47" s="516" t="str">
        <f t="shared" si="21"/>
        <v>-</v>
      </c>
      <c r="AG47" s="516" t="str">
        <f t="shared" si="21"/>
        <v>-</v>
      </c>
      <c r="AH47" s="516" t="str">
        <f t="shared" si="24"/>
        <v>-</v>
      </c>
      <c r="AI47" s="516" t="str">
        <f t="shared" si="24"/>
        <v>-</v>
      </c>
      <c r="AJ47" s="516" t="str">
        <f t="shared" si="24"/>
        <v>-</v>
      </c>
      <c r="AK47" s="516" t="str">
        <f t="shared" si="24"/>
        <v>-</v>
      </c>
      <c r="AL47" s="516" t="str">
        <f t="shared" si="24"/>
        <v>-</v>
      </c>
      <c r="AM47" s="516" t="str">
        <f t="shared" si="24"/>
        <v>-</v>
      </c>
      <c r="AN47" s="516" t="str">
        <f t="shared" si="24"/>
        <v>-</v>
      </c>
      <c r="AO47" s="516" t="str">
        <f t="shared" si="24"/>
        <v>-</v>
      </c>
      <c r="AP47" s="516" t="str">
        <f t="shared" si="24"/>
        <v>-</v>
      </c>
      <c r="AQ47" s="516" t="str">
        <f t="shared" si="24"/>
        <v>-</v>
      </c>
      <c r="AR47" s="516" t="str">
        <f t="shared" si="24"/>
        <v>-</v>
      </c>
      <c r="AS47" s="516" t="str">
        <f t="shared" si="24"/>
        <v>-</v>
      </c>
      <c r="AT47" s="516" t="str">
        <f t="shared" si="24"/>
        <v>-</v>
      </c>
      <c r="AU47" s="516" t="str">
        <f t="shared" si="24"/>
        <v>-</v>
      </c>
      <c r="AV47" s="516" t="str">
        <f t="shared" si="24"/>
        <v>-</v>
      </c>
      <c r="AW47" s="516" t="str">
        <f t="shared" si="24"/>
        <v>-</v>
      </c>
      <c r="AX47" s="516" t="str">
        <f t="shared" si="24"/>
        <v>-</v>
      </c>
      <c r="AY47" s="516" t="str">
        <f t="shared" si="24"/>
        <v>-</v>
      </c>
      <c r="AZ47" s="516" t="str">
        <f t="shared" si="24"/>
        <v>-</v>
      </c>
      <c r="BA47" s="516" t="str">
        <f t="shared" si="24"/>
        <v>-</v>
      </c>
      <c r="BB47" s="516" t="str">
        <f t="shared" si="24"/>
        <v>-</v>
      </c>
      <c r="BC47" s="516" t="str">
        <f t="shared" si="24"/>
        <v>-</v>
      </c>
      <c r="BD47" s="516" t="str">
        <f t="shared" si="24"/>
        <v>-</v>
      </c>
      <c r="BE47" s="516" t="str">
        <f t="shared" si="24"/>
        <v>-</v>
      </c>
      <c r="BF47" s="516" t="str">
        <f t="shared" si="24"/>
        <v>-</v>
      </c>
      <c r="BG47" s="516" t="str">
        <f t="shared" si="24"/>
        <v>-</v>
      </c>
      <c r="BH47" s="516" t="str">
        <f t="shared" si="22"/>
        <v>-</v>
      </c>
      <c r="BI47" s="516" t="str">
        <f t="shared" si="22"/>
        <v>-</v>
      </c>
      <c r="BJ47" s="516" t="str">
        <f t="shared" si="22"/>
        <v>-</v>
      </c>
      <c r="BK47" s="516" t="str">
        <f t="shared" si="22"/>
        <v>-</v>
      </c>
      <c r="BL47" s="516" t="str">
        <f t="shared" si="22"/>
        <v>-</v>
      </c>
      <c r="BM47" s="516" t="str">
        <f t="shared" si="22"/>
        <v>-</v>
      </c>
      <c r="BN47" s="516" t="str">
        <f t="shared" si="22"/>
        <v>-</v>
      </c>
      <c r="BO47" s="516" t="str">
        <f t="shared" si="22"/>
        <v>-</v>
      </c>
      <c r="BP47" s="516" t="str">
        <f t="shared" si="22"/>
        <v>-</v>
      </c>
      <c r="BQ47" s="516" t="str">
        <f t="shared" si="22"/>
        <v>-</v>
      </c>
      <c r="BR47" s="516" t="str">
        <f t="shared" si="22"/>
        <v>-</v>
      </c>
      <c r="BS47" s="516" t="str">
        <f t="shared" si="22"/>
        <v>-</v>
      </c>
      <c r="BT47" s="516" t="str">
        <f t="shared" si="22"/>
        <v>-</v>
      </c>
      <c r="BU47" s="516" t="str">
        <f t="shared" si="22"/>
        <v>-</v>
      </c>
      <c r="BV47" s="516" t="str">
        <f t="shared" si="22"/>
        <v>-</v>
      </c>
      <c r="BW47" s="516" t="str">
        <f t="shared" si="22"/>
        <v>-</v>
      </c>
      <c r="BX47" s="516" t="str">
        <f t="shared" si="22"/>
        <v>-</v>
      </c>
      <c r="BY47" s="516" t="str">
        <f t="shared" si="22"/>
        <v>-</v>
      </c>
      <c r="BZ47" s="516" t="str">
        <f t="shared" si="22"/>
        <v>-</v>
      </c>
      <c r="CA47" s="516" t="str">
        <f t="shared" si="22"/>
        <v>-</v>
      </c>
    </row>
    <row r="48" spans="1:79">
      <c r="A48" s="105"/>
      <c r="B48" s="112"/>
      <c r="C48" s="512"/>
      <c r="D48" s="111" t="str">
        <f t="shared" si="8"/>
        <v/>
      </c>
      <c r="E48" s="517" t="str">
        <f>IF(LEN(B48)&gt;0,CHOOSE(MATCH(RIGHT(D48,1),{"D","W","M"},0),NextBusDay($C$4,LEFT(D48,LEN(D48)-1)),NextBusDay($C$4+7*LEFT(D48,LEN(D48)-1)),NextBusDay(EDATE($C$4,LEFT(D48,LEN(D48)-1)))),"")</f>
        <v/>
      </c>
      <c r="F48" s="107" t="str">
        <v>23Y</v>
      </c>
      <c r="G48" s="106" t="str">
        <v>23Y</v>
      </c>
      <c r="H48" s="106" t="str">
        <f t="shared" si="25"/>
        <v>276M</v>
      </c>
      <c r="I48" s="261" t="str">
        <v>W</v>
      </c>
      <c r="J48" s="106">
        <f>IF(LEN(F48)&gt;0,IF(I48="S",H48,IF(I48="F",EDATE(H48,3),CHOOSE(MATCH(RIGHT(H48,1),{"D","W","M"},0),NextBusDay($C$4,LEFT(H48,LEN(H48)-1)),NextBusDay($C$4+7*LEFT(H48,LEN(H48)-1)),NextBusDay(EDATE($C$4,LEFT(H48,LEN(H48)-1)))))),"")</f>
        <v>51069</v>
      </c>
      <c r="L48" s="515">
        <f t="shared" si="23"/>
        <v>0</v>
      </c>
      <c r="N48" s="106" t="str">
        <f t="shared" si="3"/>
        <v>-</v>
      </c>
      <c r="O48" s="106" t="str">
        <f t="shared" si="17"/>
        <v>-</v>
      </c>
      <c r="P48" s="106" t="str">
        <f t="shared" si="5"/>
        <v>-</v>
      </c>
      <c r="Q48" s="106" t="b">
        <f t="shared" si="6"/>
        <v>0</v>
      </c>
      <c r="R48" s="516" t="str">
        <f t="shared" si="21"/>
        <v>-</v>
      </c>
      <c r="S48" s="516" t="str">
        <f t="shared" si="21"/>
        <v>-</v>
      </c>
      <c r="T48" s="516" t="str">
        <f t="shared" si="21"/>
        <v>-</v>
      </c>
      <c r="U48" s="516" t="str">
        <f t="shared" si="21"/>
        <v>-</v>
      </c>
      <c r="V48" s="516" t="str">
        <f t="shared" si="21"/>
        <v>-</v>
      </c>
      <c r="W48" s="516" t="str">
        <f t="shared" si="21"/>
        <v>-</v>
      </c>
      <c r="X48" s="516" t="str">
        <f t="shared" si="21"/>
        <v>-</v>
      </c>
      <c r="Y48" s="516" t="str">
        <f t="shared" si="21"/>
        <v>-</v>
      </c>
      <c r="Z48" s="516" t="str">
        <f t="shared" si="21"/>
        <v>-</v>
      </c>
      <c r="AA48" s="516" t="str">
        <f t="shared" si="21"/>
        <v>-</v>
      </c>
      <c r="AB48" s="516" t="str">
        <f t="shared" si="21"/>
        <v>-</v>
      </c>
      <c r="AC48" s="516" t="str">
        <f t="shared" si="21"/>
        <v>-</v>
      </c>
      <c r="AD48" s="516" t="str">
        <f t="shared" si="21"/>
        <v>-</v>
      </c>
      <c r="AE48" s="516" t="str">
        <f t="shared" si="21"/>
        <v>-</v>
      </c>
      <c r="AF48" s="516" t="str">
        <f t="shared" si="21"/>
        <v>-</v>
      </c>
      <c r="AG48" s="516" t="str">
        <f t="shared" si="21"/>
        <v>-</v>
      </c>
      <c r="AH48" s="516" t="str">
        <f t="shared" si="24"/>
        <v>-</v>
      </c>
      <c r="AI48" s="516" t="str">
        <f t="shared" si="24"/>
        <v>-</v>
      </c>
      <c r="AJ48" s="516" t="str">
        <f t="shared" si="24"/>
        <v>-</v>
      </c>
      <c r="AK48" s="516" t="str">
        <f t="shared" si="24"/>
        <v>-</v>
      </c>
      <c r="AL48" s="516" t="str">
        <f t="shared" si="24"/>
        <v>-</v>
      </c>
      <c r="AM48" s="516" t="str">
        <f t="shared" si="24"/>
        <v>-</v>
      </c>
      <c r="AN48" s="516" t="str">
        <f t="shared" si="24"/>
        <v>-</v>
      </c>
      <c r="AO48" s="516" t="str">
        <f t="shared" si="24"/>
        <v>-</v>
      </c>
      <c r="AP48" s="516" t="str">
        <f t="shared" si="24"/>
        <v>-</v>
      </c>
      <c r="AQ48" s="516" t="str">
        <f t="shared" si="24"/>
        <v>-</v>
      </c>
      <c r="AR48" s="516" t="str">
        <f t="shared" si="24"/>
        <v>-</v>
      </c>
      <c r="AS48" s="516" t="str">
        <f t="shared" si="24"/>
        <v>-</v>
      </c>
      <c r="AT48" s="516" t="str">
        <f t="shared" si="24"/>
        <v>-</v>
      </c>
      <c r="AU48" s="516" t="str">
        <f t="shared" si="24"/>
        <v>-</v>
      </c>
      <c r="AV48" s="516" t="str">
        <f t="shared" si="24"/>
        <v>-</v>
      </c>
      <c r="AW48" s="516" t="str">
        <f t="shared" si="24"/>
        <v>-</v>
      </c>
      <c r="AX48" s="516" t="str">
        <f t="shared" si="24"/>
        <v>-</v>
      </c>
      <c r="AY48" s="516" t="str">
        <f t="shared" si="24"/>
        <v>-</v>
      </c>
      <c r="AZ48" s="516" t="str">
        <f t="shared" si="24"/>
        <v>-</v>
      </c>
      <c r="BA48" s="516" t="str">
        <f t="shared" si="24"/>
        <v>-</v>
      </c>
      <c r="BB48" s="516" t="str">
        <f t="shared" si="24"/>
        <v>-</v>
      </c>
      <c r="BC48" s="516" t="str">
        <f t="shared" si="24"/>
        <v>-</v>
      </c>
      <c r="BD48" s="516" t="str">
        <f t="shared" si="24"/>
        <v>-</v>
      </c>
      <c r="BE48" s="516" t="str">
        <f t="shared" si="24"/>
        <v>-</v>
      </c>
      <c r="BF48" s="516" t="str">
        <f t="shared" si="24"/>
        <v>-</v>
      </c>
      <c r="BG48" s="516" t="str">
        <f t="shared" si="24"/>
        <v>-</v>
      </c>
      <c r="BH48" s="516" t="str">
        <f t="shared" si="22"/>
        <v>-</v>
      </c>
      <c r="BI48" s="516" t="str">
        <f t="shared" si="22"/>
        <v>-</v>
      </c>
      <c r="BJ48" s="516" t="str">
        <f t="shared" si="22"/>
        <v>-</v>
      </c>
      <c r="BK48" s="516" t="str">
        <f t="shared" si="22"/>
        <v>-</v>
      </c>
      <c r="BL48" s="516" t="str">
        <f t="shared" si="22"/>
        <v>-</v>
      </c>
      <c r="BM48" s="516" t="str">
        <f t="shared" si="22"/>
        <v>-</v>
      </c>
      <c r="BN48" s="516" t="str">
        <f t="shared" si="22"/>
        <v>-</v>
      </c>
      <c r="BO48" s="516" t="str">
        <f t="shared" si="22"/>
        <v>-</v>
      </c>
      <c r="BP48" s="516" t="str">
        <f t="shared" si="22"/>
        <v>-</v>
      </c>
      <c r="BQ48" s="516" t="str">
        <f t="shared" si="22"/>
        <v>-</v>
      </c>
      <c r="BR48" s="516" t="str">
        <f t="shared" si="22"/>
        <v>-</v>
      </c>
      <c r="BS48" s="516" t="str">
        <f t="shared" si="22"/>
        <v>-</v>
      </c>
      <c r="BT48" s="516" t="str">
        <f t="shared" si="22"/>
        <v>-</v>
      </c>
      <c r="BU48" s="516" t="str">
        <f t="shared" si="22"/>
        <v>-</v>
      </c>
      <c r="BV48" s="516" t="str">
        <f t="shared" si="22"/>
        <v>-</v>
      </c>
      <c r="BW48" s="516" t="str">
        <f t="shared" si="22"/>
        <v>-</v>
      </c>
      <c r="BX48" s="516" t="str">
        <f t="shared" si="22"/>
        <v>-</v>
      </c>
      <c r="BY48" s="516" t="str">
        <f t="shared" si="22"/>
        <v>-</v>
      </c>
      <c r="BZ48" s="516" t="str">
        <f t="shared" si="22"/>
        <v>-</v>
      </c>
      <c r="CA48" s="516" t="str">
        <f t="shared" si="22"/>
        <v>-</v>
      </c>
    </row>
    <row r="49" spans="1:79">
      <c r="A49" s="105"/>
      <c r="B49" s="112"/>
      <c r="C49" s="512"/>
      <c r="D49" s="111" t="str">
        <f t="shared" si="8"/>
        <v/>
      </c>
      <c r="E49" s="517" t="str">
        <f>IF(LEN(B49)&gt;0,CHOOSE(MATCH(RIGHT(D49,1),{"D","W","M"},0),NextBusDay($C$4,LEFT(D49,LEN(D49)-1)),NextBusDay($C$4+7*LEFT(D49,LEN(D49)-1)),NextBusDay(EDATE($C$4,LEFT(D49,LEN(D49)-1)))),"")</f>
        <v/>
      </c>
      <c r="F49" s="107" t="str">
        <v>24Y</v>
      </c>
      <c r="G49" s="106" t="str">
        <v>24Y</v>
      </c>
      <c r="H49" s="106" t="str">
        <f t="shared" si="25"/>
        <v>288M</v>
      </c>
      <c r="I49" s="261" t="str">
        <v>W</v>
      </c>
      <c r="J49" s="106">
        <f>IF(LEN(F49)&gt;0,IF(I49="S",H49,IF(I49="F",EDATE(H49,3),CHOOSE(MATCH(RIGHT(H49,1),{"D","W","M"},0),NextBusDay($C$4,LEFT(H49,LEN(H49)-1)),NextBusDay($C$4+7*LEFT(H49,LEN(H49)-1)),NextBusDay(EDATE($C$4,LEFT(H49,LEN(H49)-1)))))),"")</f>
        <v>51435</v>
      </c>
      <c r="L49" s="515">
        <f t="shared" si="23"/>
        <v>0</v>
      </c>
      <c r="N49" s="106" t="str">
        <f t="shared" si="3"/>
        <v>-</v>
      </c>
      <c r="O49" s="106" t="str">
        <f t="shared" si="17"/>
        <v>-</v>
      </c>
      <c r="P49" s="106" t="str">
        <f t="shared" si="5"/>
        <v>-</v>
      </c>
      <c r="Q49" s="106" t="b">
        <f t="shared" si="6"/>
        <v>0</v>
      </c>
      <c r="R49" s="516" t="str">
        <f t="shared" si="21"/>
        <v>-</v>
      </c>
      <c r="S49" s="516" t="str">
        <f t="shared" si="21"/>
        <v>-</v>
      </c>
      <c r="T49" s="516" t="str">
        <f t="shared" si="21"/>
        <v>-</v>
      </c>
      <c r="U49" s="516" t="str">
        <f t="shared" si="21"/>
        <v>-</v>
      </c>
      <c r="V49" s="516" t="str">
        <f t="shared" si="21"/>
        <v>-</v>
      </c>
      <c r="W49" s="516" t="str">
        <f t="shared" si="21"/>
        <v>-</v>
      </c>
      <c r="X49" s="516" t="str">
        <f t="shared" si="21"/>
        <v>-</v>
      </c>
      <c r="Y49" s="516" t="str">
        <f t="shared" si="21"/>
        <v>-</v>
      </c>
      <c r="Z49" s="516" t="str">
        <f t="shared" si="21"/>
        <v>-</v>
      </c>
      <c r="AA49" s="516" t="str">
        <f t="shared" si="21"/>
        <v>-</v>
      </c>
      <c r="AB49" s="516" t="str">
        <f t="shared" si="21"/>
        <v>-</v>
      </c>
      <c r="AC49" s="516" t="str">
        <f t="shared" si="21"/>
        <v>-</v>
      </c>
      <c r="AD49" s="516" t="str">
        <f t="shared" si="21"/>
        <v>-</v>
      </c>
      <c r="AE49" s="516" t="str">
        <f t="shared" si="21"/>
        <v>-</v>
      </c>
      <c r="AF49" s="516" t="str">
        <f t="shared" si="21"/>
        <v>-</v>
      </c>
      <c r="AG49" s="516" t="str">
        <f t="shared" si="21"/>
        <v>-</v>
      </c>
      <c r="AH49" s="516" t="str">
        <f t="shared" si="24"/>
        <v>-</v>
      </c>
      <c r="AI49" s="516" t="str">
        <f t="shared" si="24"/>
        <v>-</v>
      </c>
      <c r="AJ49" s="516" t="str">
        <f t="shared" si="24"/>
        <v>-</v>
      </c>
      <c r="AK49" s="516" t="str">
        <f t="shared" si="24"/>
        <v>-</v>
      </c>
      <c r="AL49" s="516" t="str">
        <f t="shared" si="24"/>
        <v>-</v>
      </c>
      <c r="AM49" s="516" t="str">
        <f t="shared" si="24"/>
        <v>-</v>
      </c>
      <c r="AN49" s="516" t="str">
        <f t="shared" si="24"/>
        <v>-</v>
      </c>
      <c r="AO49" s="516" t="str">
        <f t="shared" si="24"/>
        <v>-</v>
      </c>
      <c r="AP49" s="516" t="str">
        <f t="shared" si="24"/>
        <v>-</v>
      </c>
      <c r="AQ49" s="516" t="str">
        <f t="shared" si="24"/>
        <v>-</v>
      </c>
      <c r="AR49" s="516" t="str">
        <f t="shared" si="24"/>
        <v>-</v>
      </c>
      <c r="AS49" s="516" t="str">
        <f t="shared" si="24"/>
        <v>-</v>
      </c>
      <c r="AT49" s="516" t="str">
        <f t="shared" si="24"/>
        <v>-</v>
      </c>
      <c r="AU49" s="516" t="str">
        <f t="shared" si="24"/>
        <v>-</v>
      </c>
      <c r="AV49" s="516" t="str">
        <f t="shared" si="24"/>
        <v>-</v>
      </c>
      <c r="AW49" s="516" t="str">
        <f t="shared" si="24"/>
        <v>-</v>
      </c>
      <c r="AX49" s="516" t="str">
        <f t="shared" si="24"/>
        <v>-</v>
      </c>
      <c r="AY49" s="516" t="str">
        <f t="shared" si="24"/>
        <v>-</v>
      </c>
      <c r="AZ49" s="516" t="str">
        <f t="shared" si="24"/>
        <v>-</v>
      </c>
      <c r="BA49" s="516" t="str">
        <f t="shared" si="24"/>
        <v>-</v>
      </c>
      <c r="BB49" s="516" t="str">
        <f t="shared" si="24"/>
        <v>-</v>
      </c>
      <c r="BC49" s="516" t="str">
        <f t="shared" si="24"/>
        <v>-</v>
      </c>
      <c r="BD49" s="516" t="str">
        <f t="shared" si="24"/>
        <v>-</v>
      </c>
      <c r="BE49" s="516" t="str">
        <f t="shared" si="24"/>
        <v>-</v>
      </c>
      <c r="BF49" s="516" t="str">
        <f t="shared" si="24"/>
        <v>-</v>
      </c>
      <c r="BG49" s="516" t="str">
        <f t="shared" si="24"/>
        <v>-</v>
      </c>
      <c r="BH49" s="516" t="str">
        <f t="shared" si="22"/>
        <v>-</v>
      </c>
      <c r="BI49" s="516" t="str">
        <f t="shared" si="22"/>
        <v>-</v>
      </c>
      <c r="BJ49" s="516" t="str">
        <f t="shared" si="22"/>
        <v>-</v>
      </c>
      <c r="BK49" s="516" t="str">
        <f t="shared" si="22"/>
        <v>-</v>
      </c>
      <c r="BL49" s="516" t="str">
        <f t="shared" si="22"/>
        <v>-</v>
      </c>
      <c r="BM49" s="516" t="str">
        <f t="shared" si="22"/>
        <v>-</v>
      </c>
      <c r="BN49" s="516" t="str">
        <f t="shared" si="22"/>
        <v>-</v>
      </c>
      <c r="BO49" s="516" t="str">
        <f t="shared" si="22"/>
        <v>-</v>
      </c>
      <c r="BP49" s="516" t="str">
        <f t="shared" si="22"/>
        <v>-</v>
      </c>
      <c r="BQ49" s="516" t="str">
        <f t="shared" si="22"/>
        <v>-</v>
      </c>
      <c r="BR49" s="516" t="str">
        <f t="shared" si="22"/>
        <v>-</v>
      </c>
      <c r="BS49" s="516" t="str">
        <f t="shared" si="22"/>
        <v>-</v>
      </c>
      <c r="BT49" s="516" t="str">
        <f t="shared" si="22"/>
        <v>-</v>
      </c>
      <c r="BU49" s="516" t="str">
        <f t="shared" si="22"/>
        <v>-</v>
      </c>
      <c r="BV49" s="516" t="str">
        <f t="shared" si="22"/>
        <v>-</v>
      </c>
      <c r="BW49" s="516" t="str">
        <f t="shared" si="22"/>
        <v>-</v>
      </c>
      <c r="BX49" s="516" t="str">
        <f t="shared" si="22"/>
        <v>-</v>
      </c>
      <c r="BY49" s="516" t="str">
        <f t="shared" si="22"/>
        <v>-</v>
      </c>
      <c r="BZ49" s="516" t="str">
        <f t="shared" si="22"/>
        <v>-</v>
      </c>
      <c r="CA49" s="516" t="str">
        <f t="shared" si="22"/>
        <v>-</v>
      </c>
    </row>
    <row r="50" spans="1:79">
      <c r="A50" s="105"/>
      <c r="B50" s="112"/>
      <c r="C50" s="512"/>
      <c r="D50" s="111" t="str">
        <f t="shared" si="8"/>
        <v/>
      </c>
      <c r="E50" s="517" t="str">
        <f>IF(LEN(B50)&gt;0,CHOOSE(MATCH(RIGHT(D50,1),{"D","W","M"},0),NextBusDay($C$4,LEFT(D50,LEN(D50)-1)),NextBusDay($C$4+7*LEFT(D50,LEN(D50)-1)),NextBusDay(EDATE($C$4,LEFT(D50,LEN(D50)-1)))),"")</f>
        <v/>
      </c>
      <c r="F50" s="107" t="str">
        <v>25Y</v>
      </c>
      <c r="G50" s="106" t="str">
        <v>25Y</v>
      </c>
      <c r="H50" s="106" t="str">
        <f t="shared" si="25"/>
        <v>300M</v>
      </c>
      <c r="I50" s="261" t="str">
        <v>W</v>
      </c>
      <c r="J50" s="106">
        <f>IF(LEN(F50)&gt;0,IF(I50="S",H50,IF(I50="F",EDATE(H50,3),CHOOSE(MATCH(RIGHT(H50,1),{"D","W","M"},0),NextBusDay($C$4,LEFT(H50,LEN(H50)-1)),NextBusDay($C$4+7*LEFT(H50,LEN(H50)-1)),NextBusDay(EDATE($C$4,LEFT(H50,LEN(H50)-1)))))),"")</f>
        <v>51802</v>
      </c>
      <c r="L50" s="515">
        <f t="shared" si="23"/>
        <v>79827.489469657972</v>
      </c>
      <c r="N50" s="106" t="str">
        <f t="shared" si="3"/>
        <v>-</v>
      </c>
      <c r="O50" s="106" t="str">
        <f t="shared" si="17"/>
        <v>-</v>
      </c>
      <c r="P50" s="106" t="str">
        <f t="shared" si="5"/>
        <v>-</v>
      </c>
      <c r="Q50" s="106" t="b">
        <f t="shared" si="6"/>
        <v>0</v>
      </c>
      <c r="R50" s="516" t="str">
        <f t="shared" si="21"/>
        <v>-</v>
      </c>
      <c r="S50" s="516" t="str">
        <f t="shared" si="21"/>
        <v>-</v>
      </c>
      <c r="T50" s="516" t="str">
        <f t="shared" si="21"/>
        <v>-</v>
      </c>
      <c r="U50" s="516" t="str">
        <f t="shared" si="21"/>
        <v>-</v>
      </c>
      <c r="V50" s="516" t="str">
        <f t="shared" si="21"/>
        <v>-</v>
      </c>
      <c r="W50" s="516" t="str">
        <f t="shared" si="21"/>
        <v>-</v>
      </c>
      <c r="X50" s="516" t="str">
        <f t="shared" si="21"/>
        <v>-</v>
      </c>
      <c r="Y50" s="516" t="str">
        <f t="shared" si="21"/>
        <v>-</v>
      </c>
      <c r="Z50" s="516" t="str">
        <f t="shared" si="21"/>
        <v>-</v>
      </c>
      <c r="AA50" s="516" t="str">
        <f t="shared" si="21"/>
        <v>-</v>
      </c>
      <c r="AB50" s="516" t="str">
        <f t="shared" si="21"/>
        <v>-</v>
      </c>
      <c r="AC50" s="516" t="str">
        <f t="shared" si="21"/>
        <v>-</v>
      </c>
      <c r="AD50" s="516" t="str">
        <f t="shared" si="21"/>
        <v>-</v>
      </c>
      <c r="AE50" s="516" t="str">
        <f t="shared" si="21"/>
        <v>-</v>
      </c>
      <c r="AF50" s="516" t="str">
        <f t="shared" si="21"/>
        <v>-</v>
      </c>
      <c r="AG50" s="516" t="str">
        <f t="shared" si="21"/>
        <v>-</v>
      </c>
      <c r="AH50" s="516" t="str">
        <f t="shared" si="24"/>
        <v>-</v>
      </c>
      <c r="AI50" s="516" t="str">
        <f t="shared" si="24"/>
        <v>-</v>
      </c>
      <c r="AJ50" s="516" t="str">
        <f t="shared" si="24"/>
        <v>-</v>
      </c>
      <c r="AK50" s="516" t="str">
        <f t="shared" si="24"/>
        <v>-</v>
      </c>
      <c r="AL50" s="516" t="str">
        <f t="shared" si="24"/>
        <v>-</v>
      </c>
      <c r="AM50" s="516" t="str">
        <f t="shared" si="24"/>
        <v>-</v>
      </c>
      <c r="AN50" s="516" t="str">
        <f t="shared" si="24"/>
        <v>-</v>
      </c>
      <c r="AO50" s="516" t="str">
        <f t="shared" si="24"/>
        <v>-</v>
      </c>
      <c r="AP50" s="516" t="str">
        <f t="shared" si="24"/>
        <v>-</v>
      </c>
      <c r="AQ50" s="516" t="str">
        <f t="shared" si="24"/>
        <v>-</v>
      </c>
      <c r="AR50" s="516" t="str">
        <f t="shared" si="24"/>
        <v>-</v>
      </c>
      <c r="AS50" s="516" t="str">
        <f t="shared" si="24"/>
        <v>-</v>
      </c>
      <c r="AT50" s="516" t="str">
        <f t="shared" si="24"/>
        <v>-</v>
      </c>
      <c r="AU50" s="516" t="str">
        <f t="shared" si="24"/>
        <v>-</v>
      </c>
      <c r="AV50" s="516" t="str">
        <f t="shared" si="24"/>
        <v>-</v>
      </c>
      <c r="AW50" s="516" t="str">
        <f t="shared" si="24"/>
        <v>-</v>
      </c>
      <c r="AX50" s="516" t="str">
        <f t="shared" si="24"/>
        <v>-</v>
      </c>
      <c r="AY50" s="516">
        <f t="shared" si="24"/>
        <v>79827.489469657972</v>
      </c>
      <c r="AZ50" s="516" t="str">
        <f t="shared" si="24"/>
        <v>-</v>
      </c>
      <c r="BA50" s="516" t="str">
        <f t="shared" si="24"/>
        <v>-</v>
      </c>
      <c r="BB50" s="516" t="str">
        <f t="shared" si="24"/>
        <v>-</v>
      </c>
      <c r="BC50" s="516" t="str">
        <f t="shared" ref="BC50:BR65" si="26">IF(LEN($F50)&gt;0,IF(AND(BC$8=$J50,NOT(AND(BC$8&gt;=$N50,BC$8&lt;$P50))),BC$6,IF(AND(NOT(BC$8&gt;$J49),BC$8&lt;$J50),"-",IF(AND(BC$8&gt;=$N50,BC$8&lt;$P50),"???",IF(AND(BC$8&gt;$J49,BC$8&lt;$J50),BC$6*(BC$8-$J49)/($J50-$J49),IF(AND(BC$8&gt;$J50,BC$8&lt;$J51),BC$6*($J51-BC$8)/($J51-$J50),"-"))))),"-")</f>
        <v>-</v>
      </c>
      <c r="BD50" s="516" t="str">
        <f t="shared" si="26"/>
        <v>-</v>
      </c>
      <c r="BE50" s="516" t="str">
        <f t="shared" si="26"/>
        <v>-</v>
      </c>
      <c r="BF50" s="516" t="str">
        <f t="shared" si="26"/>
        <v>-</v>
      </c>
      <c r="BG50" s="516" t="str">
        <f t="shared" si="26"/>
        <v>-</v>
      </c>
      <c r="BH50" s="516" t="str">
        <f t="shared" si="22"/>
        <v>-</v>
      </c>
      <c r="BI50" s="516" t="str">
        <f t="shared" si="22"/>
        <v>-</v>
      </c>
      <c r="BJ50" s="516" t="str">
        <f t="shared" si="22"/>
        <v>-</v>
      </c>
      <c r="BK50" s="516" t="str">
        <f t="shared" si="22"/>
        <v>-</v>
      </c>
      <c r="BL50" s="516" t="str">
        <f t="shared" si="22"/>
        <v>-</v>
      </c>
      <c r="BM50" s="516" t="str">
        <f t="shared" si="22"/>
        <v>-</v>
      </c>
      <c r="BN50" s="516" t="str">
        <f t="shared" si="22"/>
        <v>-</v>
      </c>
      <c r="BO50" s="516" t="str">
        <f t="shared" si="22"/>
        <v>-</v>
      </c>
      <c r="BP50" s="516" t="str">
        <f t="shared" si="22"/>
        <v>-</v>
      </c>
      <c r="BQ50" s="516" t="str">
        <f t="shared" si="22"/>
        <v>-</v>
      </c>
      <c r="BR50" s="516" t="str">
        <f t="shared" si="22"/>
        <v>-</v>
      </c>
      <c r="BS50" s="516" t="str">
        <f t="shared" si="22"/>
        <v>-</v>
      </c>
      <c r="BT50" s="516" t="str">
        <f t="shared" si="22"/>
        <v>-</v>
      </c>
      <c r="BU50" s="516" t="str">
        <f t="shared" si="22"/>
        <v>-</v>
      </c>
      <c r="BV50" s="516" t="str">
        <f t="shared" si="22"/>
        <v>-</v>
      </c>
      <c r="BW50" s="516" t="str">
        <f t="shared" si="22"/>
        <v>-</v>
      </c>
      <c r="BX50" s="516" t="str">
        <f t="shared" si="22"/>
        <v>-</v>
      </c>
      <c r="BY50" s="516" t="str">
        <f t="shared" si="22"/>
        <v>-</v>
      </c>
      <c r="BZ50" s="516" t="str">
        <f t="shared" si="22"/>
        <v>-</v>
      </c>
      <c r="CA50" s="516" t="str">
        <f t="shared" si="22"/>
        <v>-</v>
      </c>
    </row>
    <row r="51" spans="1:79">
      <c r="A51" s="105"/>
      <c r="B51" s="112"/>
      <c r="C51" s="512"/>
      <c r="D51" s="111" t="str">
        <f t="shared" si="8"/>
        <v/>
      </c>
      <c r="E51" s="517" t="str">
        <f>IF(LEN(B51)&gt;0,CHOOSE(MATCH(RIGHT(D51,1),{"D","W","M"},0),NextBusDay($C$4,LEFT(D51,LEN(D51)-1)),NextBusDay($C$4+7*LEFT(D51,LEN(D51)-1)),NextBusDay(EDATE($C$4,LEFT(D51,LEN(D51)-1)))),"")</f>
        <v/>
      </c>
      <c r="F51" s="107" t="str">
        <v>26Y</v>
      </c>
      <c r="G51" s="106" t="str">
        <v>26Y</v>
      </c>
      <c r="H51" s="106" t="str">
        <f t="shared" si="25"/>
        <v>312M</v>
      </c>
      <c r="I51" s="261" t="str">
        <v>W</v>
      </c>
      <c r="J51" s="106">
        <f>IF(LEN(F51)&gt;0,IF(I51="S",H51,IF(I51="F",EDATE(H51,3),CHOOSE(MATCH(RIGHT(H51,1),{"D","W","M"},0),NextBusDay($C$4,LEFT(H51,LEN(H51)-1)),NextBusDay($C$4+7*LEFT(H51,LEN(H51)-1)),NextBusDay(EDATE($C$4,LEFT(H51,LEN(H51)-1)))))),"")</f>
        <v>52166</v>
      </c>
      <c r="L51" s="515">
        <f t="shared" si="23"/>
        <v>0</v>
      </c>
      <c r="N51" s="106" t="str">
        <f t="shared" si="3"/>
        <v>-</v>
      </c>
      <c r="O51" s="106" t="str">
        <f t="shared" si="17"/>
        <v>-</v>
      </c>
      <c r="P51" s="106" t="str">
        <f t="shared" si="5"/>
        <v>-</v>
      </c>
      <c r="Q51" s="106" t="b">
        <f t="shared" si="6"/>
        <v>0</v>
      </c>
      <c r="R51" s="516" t="str">
        <f t="shared" si="21"/>
        <v>-</v>
      </c>
      <c r="S51" s="516" t="str">
        <f t="shared" si="21"/>
        <v>-</v>
      </c>
      <c r="T51" s="516" t="str">
        <f t="shared" si="21"/>
        <v>-</v>
      </c>
      <c r="U51" s="516" t="str">
        <f t="shared" si="21"/>
        <v>-</v>
      </c>
      <c r="V51" s="516" t="str">
        <f t="shared" si="21"/>
        <v>-</v>
      </c>
      <c r="W51" s="516" t="str">
        <f t="shared" si="21"/>
        <v>-</v>
      </c>
      <c r="X51" s="516" t="str">
        <f t="shared" si="21"/>
        <v>-</v>
      </c>
      <c r="Y51" s="516" t="str">
        <f t="shared" si="21"/>
        <v>-</v>
      </c>
      <c r="Z51" s="516" t="str">
        <f t="shared" si="21"/>
        <v>-</v>
      </c>
      <c r="AA51" s="516" t="str">
        <f t="shared" si="21"/>
        <v>-</v>
      </c>
      <c r="AB51" s="516" t="str">
        <f t="shared" si="21"/>
        <v>-</v>
      </c>
      <c r="AC51" s="516" t="str">
        <f t="shared" si="21"/>
        <v>-</v>
      </c>
      <c r="AD51" s="516" t="str">
        <f t="shared" si="21"/>
        <v>-</v>
      </c>
      <c r="AE51" s="516" t="str">
        <f t="shared" si="21"/>
        <v>-</v>
      </c>
      <c r="AF51" s="516" t="str">
        <f t="shared" si="21"/>
        <v>-</v>
      </c>
      <c r="AG51" s="516" t="str">
        <f t="shared" si="21"/>
        <v>-</v>
      </c>
      <c r="AH51" s="516" t="str">
        <f t="shared" ref="AH51:BB63" si="27">IF(LEN($F51)&gt;0,IF(AND(AH$8=$J51,NOT(AND(AH$8&gt;=$N51,AH$8&lt;$P51))),AH$6,IF(AND(NOT(AH$8&gt;$J50),AH$8&lt;$J51),"-",IF(AND(AH$8&gt;=$N51,AH$8&lt;$P51),"???",IF(AND(AH$8&gt;$J50,AH$8&lt;$J51),AH$6*(AH$8-$J50)/($J51-$J50),IF(AND(AH$8&gt;$J51,AH$8&lt;$J52),AH$6*($J52-AH$8)/($J52-$J51),"-"))))),"-")</f>
        <v>-</v>
      </c>
      <c r="AI51" s="516" t="str">
        <f t="shared" si="27"/>
        <v>-</v>
      </c>
      <c r="AJ51" s="516" t="str">
        <f t="shared" si="27"/>
        <v>-</v>
      </c>
      <c r="AK51" s="516" t="str">
        <f t="shared" si="27"/>
        <v>-</v>
      </c>
      <c r="AL51" s="516" t="str">
        <f t="shared" si="27"/>
        <v>-</v>
      </c>
      <c r="AM51" s="516" t="str">
        <f t="shared" si="27"/>
        <v>-</v>
      </c>
      <c r="AN51" s="516" t="str">
        <f t="shared" si="27"/>
        <v>-</v>
      </c>
      <c r="AO51" s="516" t="str">
        <f t="shared" si="27"/>
        <v>-</v>
      </c>
      <c r="AP51" s="516" t="str">
        <f t="shared" si="27"/>
        <v>-</v>
      </c>
      <c r="AQ51" s="516" t="str">
        <f t="shared" si="27"/>
        <v>-</v>
      </c>
      <c r="AR51" s="516" t="str">
        <f t="shared" si="27"/>
        <v>-</v>
      </c>
      <c r="AS51" s="516" t="str">
        <f t="shared" si="27"/>
        <v>-</v>
      </c>
      <c r="AT51" s="516" t="str">
        <f t="shared" si="27"/>
        <v>-</v>
      </c>
      <c r="AU51" s="516" t="str">
        <f t="shared" si="27"/>
        <v>-</v>
      </c>
      <c r="AV51" s="516" t="str">
        <f t="shared" si="27"/>
        <v>-</v>
      </c>
      <c r="AW51" s="516" t="str">
        <f t="shared" si="27"/>
        <v>-</v>
      </c>
      <c r="AX51" s="516" t="str">
        <f t="shared" si="27"/>
        <v>-</v>
      </c>
      <c r="AY51" s="516" t="str">
        <f t="shared" si="27"/>
        <v>-</v>
      </c>
      <c r="AZ51" s="516" t="str">
        <f t="shared" si="27"/>
        <v>-</v>
      </c>
      <c r="BA51" s="516" t="str">
        <f t="shared" si="27"/>
        <v>-</v>
      </c>
      <c r="BB51" s="516" t="str">
        <f t="shared" si="27"/>
        <v>-</v>
      </c>
      <c r="BC51" s="516" t="str">
        <f t="shared" si="26"/>
        <v>-</v>
      </c>
      <c r="BD51" s="516" t="str">
        <f t="shared" si="26"/>
        <v>-</v>
      </c>
      <c r="BE51" s="516" t="str">
        <f t="shared" si="26"/>
        <v>-</v>
      </c>
      <c r="BF51" s="516" t="str">
        <f t="shared" si="26"/>
        <v>-</v>
      </c>
      <c r="BG51" s="516" t="str">
        <f t="shared" si="26"/>
        <v>-</v>
      </c>
      <c r="BH51" s="516" t="str">
        <f t="shared" si="22"/>
        <v>-</v>
      </c>
      <c r="BI51" s="516" t="str">
        <f t="shared" si="22"/>
        <v>-</v>
      </c>
      <c r="BJ51" s="516" t="str">
        <f t="shared" si="22"/>
        <v>-</v>
      </c>
      <c r="BK51" s="516" t="str">
        <f t="shared" si="22"/>
        <v>-</v>
      </c>
      <c r="BL51" s="516" t="str">
        <f t="shared" si="22"/>
        <v>-</v>
      </c>
      <c r="BM51" s="516" t="str">
        <f t="shared" si="22"/>
        <v>-</v>
      </c>
      <c r="BN51" s="516" t="str">
        <f t="shared" si="22"/>
        <v>-</v>
      </c>
      <c r="BO51" s="516" t="str">
        <f t="shared" si="22"/>
        <v>-</v>
      </c>
      <c r="BP51" s="516" t="str">
        <f t="shared" si="22"/>
        <v>-</v>
      </c>
      <c r="BQ51" s="516" t="str">
        <f t="shared" si="22"/>
        <v>-</v>
      </c>
      <c r="BR51" s="516" t="str">
        <f t="shared" si="22"/>
        <v>-</v>
      </c>
      <c r="BS51" s="516" t="str">
        <f t="shared" si="22"/>
        <v>-</v>
      </c>
      <c r="BT51" s="516" t="str">
        <f t="shared" si="22"/>
        <v>-</v>
      </c>
      <c r="BU51" s="516" t="str">
        <f t="shared" si="22"/>
        <v>-</v>
      </c>
      <c r="BV51" s="516" t="str">
        <f t="shared" si="22"/>
        <v>-</v>
      </c>
      <c r="BW51" s="516" t="str">
        <f t="shared" si="22"/>
        <v>-</v>
      </c>
      <c r="BX51" s="516" t="str">
        <f t="shared" si="22"/>
        <v>-</v>
      </c>
      <c r="BY51" s="516" t="str">
        <f t="shared" si="22"/>
        <v>-</v>
      </c>
      <c r="BZ51" s="516" t="str">
        <f t="shared" si="22"/>
        <v>-</v>
      </c>
      <c r="CA51" s="516" t="str">
        <f t="shared" si="22"/>
        <v>-</v>
      </c>
    </row>
    <row r="52" spans="1:79">
      <c r="A52" s="105"/>
      <c r="B52" s="112"/>
      <c r="C52" s="512"/>
      <c r="D52" s="111" t="str">
        <f t="shared" si="8"/>
        <v/>
      </c>
      <c r="E52" s="517" t="str">
        <f>IF(LEN(B52)&gt;0,CHOOSE(MATCH(RIGHT(D52,1),{"D","W","M"},0),NextBusDay($C$4,LEFT(D52,LEN(D52)-1)),NextBusDay($C$4+7*LEFT(D52,LEN(D52)-1)),NextBusDay(EDATE($C$4,LEFT(D52,LEN(D52)-1)))),"")</f>
        <v/>
      </c>
      <c r="F52" s="107" t="str">
        <v>27Y</v>
      </c>
      <c r="G52" s="106" t="str">
        <v>27Y</v>
      </c>
      <c r="H52" s="106" t="str">
        <f t="shared" si="25"/>
        <v>324M</v>
      </c>
      <c r="I52" s="261" t="str">
        <v>W</v>
      </c>
      <c r="J52" s="106">
        <f>IF(LEN(F52)&gt;0,IF(I52="S",H52,IF(I52="F",EDATE(H52,3),CHOOSE(MATCH(RIGHT(H52,1),{"D","W","M"},0),NextBusDay($C$4,LEFT(H52,LEN(H52)-1)),NextBusDay($C$4+7*LEFT(H52,LEN(H52)-1)),NextBusDay(EDATE($C$4,LEFT(H52,LEN(H52)-1)))))),"")</f>
        <v>52530</v>
      </c>
      <c r="L52" s="515">
        <f t="shared" si="23"/>
        <v>0</v>
      </c>
      <c r="N52" s="106" t="str">
        <f t="shared" si="3"/>
        <v>-</v>
      </c>
      <c r="O52" s="106" t="str">
        <f t="shared" si="17"/>
        <v>-</v>
      </c>
      <c r="P52" s="106" t="str">
        <f t="shared" si="5"/>
        <v>-</v>
      </c>
      <c r="Q52" s="106" t="b">
        <f t="shared" si="6"/>
        <v>0</v>
      </c>
      <c r="R52" s="516" t="str">
        <f t="shared" si="21"/>
        <v>-</v>
      </c>
      <c r="S52" s="516" t="str">
        <f t="shared" si="21"/>
        <v>-</v>
      </c>
      <c r="T52" s="516" t="str">
        <f t="shared" si="21"/>
        <v>-</v>
      </c>
      <c r="U52" s="516" t="str">
        <f t="shared" si="21"/>
        <v>-</v>
      </c>
      <c r="V52" s="516" t="str">
        <f t="shared" si="21"/>
        <v>-</v>
      </c>
      <c r="W52" s="516" t="str">
        <f t="shared" si="21"/>
        <v>-</v>
      </c>
      <c r="X52" s="516" t="str">
        <f t="shared" si="21"/>
        <v>-</v>
      </c>
      <c r="Y52" s="516" t="str">
        <f t="shared" si="21"/>
        <v>-</v>
      </c>
      <c r="Z52" s="516" t="str">
        <f t="shared" si="21"/>
        <v>-</v>
      </c>
      <c r="AA52" s="516" t="str">
        <f t="shared" si="21"/>
        <v>-</v>
      </c>
      <c r="AB52" s="516" t="str">
        <f t="shared" si="21"/>
        <v>-</v>
      </c>
      <c r="AC52" s="516" t="str">
        <f t="shared" si="21"/>
        <v>-</v>
      </c>
      <c r="AD52" s="516" t="str">
        <f t="shared" si="21"/>
        <v>-</v>
      </c>
      <c r="AE52" s="516" t="str">
        <f t="shared" si="21"/>
        <v>-</v>
      </c>
      <c r="AF52" s="516" t="str">
        <f t="shared" si="21"/>
        <v>-</v>
      </c>
      <c r="AG52" s="516" t="str">
        <f t="shared" si="21"/>
        <v>-</v>
      </c>
      <c r="AH52" s="516" t="str">
        <f t="shared" si="27"/>
        <v>-</v>
      </c>
      <c r="AI52" s="516" t="str">
        <f t="shared" si="27"/>
        <v>-</v>
      </c>
      <c r="AJ52" s="516" t="str">
        <f t="shared" si="27"/>
        <v>-</v>
      </c>
      <c r="AK52" s="516" t="str">
        <f t="shared" si="27"/>
        <v>-</v>
      </c>
      <c r="AL52" s="516" t="str">
        <f t="shared" si="27"/>
        <v>-</v>
      </c>
      <c r="AM52" s="516" t="str">
        <f t="shared" si="27"/>
        <v>-</v>
      </c>
      <c r="AN52" s="516" t="str">
        <f t="shared" si="27"/>
        <v>-</v>
      </c>
      <c r="AO52" s="516" t="str">
        <f t="shared" si="27"/>
        <v>-</v>
      </c>
      <c r="AP52" s="516" t="str">
        <f t="shared" si="27"/>
        <v>-</v>
      </c>
      <c r="AQ52" s="516" t="str">
        <f t="shared" si="27"/>
        <v>-</v>
      </c>
      <c r="AR52" s="516" t="str">
        <f t="shared" si="27"/>
        <v>-</v>
      </c>
      <c r="AS52" s="516" t="str">
        <f t="shared" si="27"/>
        <v>-</v>
      </c>
      <c r="AT52" s="516" t="str">
        <f t="shared" si="27"/>
        <v>-</v>
      </c>
      <c r="AU52" s="516" t="str">
        <f t="shared" si="27"/>
        <v>-</v>
      </c>
      <c r="AV52" s="516" t="str">
        <f t="shared" si="27"/>
        <v>-</v>
      </c>
      <c r="AW52" s="516" t="str">
        <f t="shared" si="27"/>
        <v>-</v>
      </c>
      <c r="AX52" s="516" t="str">
        <f t="shared" si="27"/>
        <v>-</v>
      </c>
      <c r="AY52" s="516" t="str">
        <f t="shared" si="27"/>
        <v>-</v>
      </c>
      <c r="AZ52" s="516" t="str">
        <f t="shared" si="27"/>
        <v>-</v>
      </c>
      <c r="BA52" s="516" t="str">
        <f t="shared" si="27"/>
        <v>-</v>
      </c>
      <c r="BB52" s="516" t="str">
        <f t="shared" si="27"/>
        <v>-</v>
      </c>
      <c r="BC52" s="516" t="str">
        <f t="shared" si="26"/>
        <v>-</v>
      </c>
      <c r="BD52" s="516" t="str">
        <f t="shared" si="26"/>
        <v>-</v>
      </c>
      <c r="BE52" s="516" t="str">
        <f t="shared" si="26"/>
        <v>-</v>
      </c>
      <c r="BF52" s="516" t="str">
        <f t="shared" si="26"/>
        <v>-</v>
      </c>
      <c r="BG52" s="516" t="str">
        <f t="shared" si="26"/>
        <v>-</v>
      </c>
      <c r="BH52" s="516" t="str">
        <f t="shared" si="22"/>
        <v>-</v>
      </c>
      <c r="BI52" s="516" t="str">
        <f t="shared" si="22"/>
        <v>-</v>
      </c>
      <c r="BJ52" s="516" t="str">
        <f t="shared" si="22"/>
        <v>-</v>
      </c>
      <c r="BK52" s="516" t="str">
        <f t="shared" si="22"/>
        <v>-</v>
      </c>
      <c r="BL52" s="516" t="str">
        <f t="shared" si="22"/>
        <v>-</v>
      </c>
      <c r="BM52" s="516" t="str">
        <f t="shared" si="22"/>
        <v>-</v>
      </c>
      <c r="BN52" s="516" t="str">
        <f t="shared" si="22"/>
        <v>-</v>
      </c>
      <c r="BO52" s="516" t="str">
        <f t="shared" si="22"/>
        <v>-</v>
      </c>
      <c r="BP52" s="516" t="str">
        <f t="shared" si="22"/>
        <v>-</v>
      </c>
      <c r="BQ52" s="516" t="str">
        <f t="shared" si="22"/>
        <v>-</v>
      </c>
      <c r="BR52" s="516" t="str">
        <f t="shared" si="22"/>
        <v>-</v>
      </c>
      <c r="BS52" s="516" t="str">
        <f t="shared" si="22"/>
        <v>-</v>
      </c>
      <c r="BT52" s="516" t="str">
        <f t="shared" si="22"/>
        <v>-</v>
      </c>
      <c r="BU52" s="516" t="str">
        <f t="shared" si="22"/>
        <v>-</v>
      </c>
      <c r="BV52" s="516" t="str">
        <f t="shared" si="22"/>
        <v>-</v>
      </c>
      <c r="BW52" s="516" t="str">
        <f t="shared" ref="BW52:CA67" si="28">IF(LEN($F52)&gt;0,IF(AND(BW$8=$J52,NOT(AND(BW$8&gt;=$N52,BW$8&lt;$P52))),BW$6,IF(AND(NOT(BW$8&gt;$J51),BW$8&lt;$J52),"-",IF(AND(BW$8&gt;=$N52,BW$8&lt;$P52),"???",IF(AND(BW$8&gt;$J51,BW$8&lt;$J52),BW$6*(BW$8-$J51)/($J52-$J51),IF(AND(BW$8&gt;$J52,BW$8&lt;$J53),BW$6*($J53-BW$8)/($J53-$J52),"-"))))),"-")</f>
        <v>-</v>
      </c>
      <c r="BX52" s="516" t="str">
        <f t="shared" si="28"/>
        <v>-</v>
      </c>
      <c r="BY52" s="516" t="str">
        <f t="shared" si="28"/>
        <v>-</v>
      </c>
      <c r="BZ52" s="516" t="str">
        <f t="shared" si="28"/>
        <v>-</v>
      </c>
      <c r="CA52" s="516" t="str">
        <f t="shared" si="28"/>
        <v>-</v>
      </c>
    </row>
    <row r="53" spans="1:79">
      <c r="A53" s="105"/>
      <c r="B53" s="112"/>
      <c r="C53" s="512"/>
      <c r="D53" s="111" t="str">
        <f t="shared" si="8"/>
        <v/>
      </c>
      <c r="E53" s="517" t="str">
        <f>IF(LEN(B53)&gt;0,CHOOSE(MATCH(RIGHT(D53,1),{"D","W","M"},0),NextBusDay($C$4,LEFT(D53,LEN(D53)-1)),NextBusDay($C$4+7*LEFT(D53,LEN(D53)-1)),NextBusDay(EDATE($C$4,LEFT(D53,LEN(D53)-1)))),"")</f>
        <v/>
      </c>
      <c r="F53" s="107" t="str">
        <v>28Y</v>
      </c>
      <c r="G53" s="106" t="str">
        <v>28Y</v>
      </c>
      <c r="H53" s="106" t="str">
        <f t="shared" si="25"/>
        <v>336M</v>
      </c>
      <c r="I53" s="261" t="str">
        <v>W</v>
      </c>
      <c r="J53" s="106">
        <f>IF(LEN(F53)&gt;0,IF(I53="S",H53,IF(I53="F",EDATE(H53,3),CHOOSE(MATCH(RIGHT(H53,1),{"D","W","M"},0),NextBusDay($C$4,LEFT(H53,LEN(H53)-1)),NextBusDay($C$4+7*LEFT(H53,LEN(H53)-1)),NextBusDay(EDATE($C$4,LEFT(H53,LEN(H53)-1)))))),"")</f>
        <v>52896</v>
      </c>
      <c r="L53" s="515">
        <f t="shared" si="23"/>
        <v>0</v>
      </c>
      <c r="N53" s="106" t="str">
        <f t="shared" si="3"/>
        <v>-</v>
      </c>
      <c r="O53" s="106" t="str">
        <f t="shared" si="17"/>
        <v>-</v>
      </c>
      <c r="P53" s="106" t="str">
        <f t="shared" si="5"/>
        <v>-</v>
      </c>
      <c r="Q53" s="106" t="b">
        <f t="shared" si="6"/>
        <v>0</v>
      </c>
      <c r="R53" s="516" t="str">
        <f t="shared" ref="R53:AG68" si="29">IF(LEN($F53)&gt;0,IF(AND(R$8=$J53,NOT(AND(R$8&gt;=$N53,R$8&lt;$P53))),R$6,IF(AND(NOT(R$8&gt;$J52),R$8&lt;$J53),"-",IF(AND(R$8&gt;=$N53,R$8&lt;$P53),"???",IF(AND(R$8&gt;$J52,R$8&lt;$J53),R$6*(R$8-$J52)/($J53-$J52),IF(AND(R$8&gt;$J53,R$8&lt;$J54),R$6*($J54-R$8)/($J54-$J53),"-"))))),"-")</f>
        <v>-</v>
      </c>
      <c r="S53" s="516" t="str">
        <f t="shared" si="29"/>
        <v>-</v>
      </c>
      <c r="T53" s="516" t="str">
        <f t="shared" si="29"/>
        <v>-</v>
      </c>
      <c r="U53" s="516" t="str">
        <f t="shared" si="29"/>
        <v>-</v>
      </c>
      <c r="V53" s="516" t="str">
        <f t="shared" si="29"/>
        <v>-</v>
      </c>
      <c r="W53" s="516" t="str">
        <f t="shared" si="29"/>
        <v>-</v>
      </c>
      <c r="X53" s="516" t="str">
        <f t="shared" si="29"/>
        <v>-</v>
      </c>
      <c r="Y53" s="516" t="str">
        <f t="shared" si="29"/>
        <v>-</v>
      </c>
      <c r="Z53" s="516" t="str">
        <f t="shared" si="29"/>
        <v>-</v>
      </c>
      <c r="AA53" s="516" t="str">
        <f t="shared" si="29"/>
        <v>-</v>
      </c>
      <c r="AB53" s="516" t="str">
        <f t="shared" si="29"/>
        <v>-</v>
      </c>
      <c r="AC53" s="516" t="str">
        <f t="shared" si="29"/>
        <v>-</v>
      </c>
      <c r="AD53" s="516" t="str">
        <f t="shared" si="29"/>
        <v>-</v>
      </c>
      <c r="AE53" s="516" t="str">
        <f t="shared" si="29"/>
        <v>-</v>
      </c>
      <c r="AF53" s="516" t="str">
        <f t="shared" si="29"/>
        <v>-</v>
      </c>
      <c r="AG53" s="516" t="str">
        <f t="shared" si="29"/>
        <v>-</v>
      </c>
      <c r="AH53" s="516" t="str">
        <f t="shared" si="27"/>
        <v>-</v>
      </c>
      <c r="AI53" s="516" t="str">
        <f t="shared" si="27"/>
        <v>-</v>
      </c>
      <c r="AJ53" s="516" t="str">
        <f t="shared" si="27"/>
        <v>-</v>
      </c>
      <c r="AK53" s="516" t="str">
        <f t="shared" si="27"/>
        <v>-</v>
      </c>
      <c r="AL53" s="516" t="str">
        <f t="shared" si="27"/>
        <v>-</v>
      </c>
      <c r="AM53" s="516" t="str">
        <f t="shared" si="27"/>
        <v>-</v>
      </c>
      <c r="AN53" s="516" t="str">
        <f t="shared" si="27"/>
        <v>-</v>
      </c>
      <c r="AO53" s="516" t="str">
        <f t="shared" si="27"/>
        <v>-</v>
      </c>
      <c r="AP53" s="516" t="str">
        <f t="shared" si="27"/>
        <v>-</v>
      </c>
      <c r="AQ53" s="516" t="str">
        <f t="shared" si="27"/>
        <v>-</v>
      </c>
      <c r="AR53" s="516" t="str">
        <f t="shared" si="27"/>
        <v>-</v>
      </c>
      <c r="AS53" s="516" t="str">
        <f t="shared" si="27"/>
        <v>-</v>
      </c>
      <c r="AT53" s="516" t="str">
        <f t="shared" si="27"/>
        <v>-</v>
      </c>
      <c r="AU53" s="516" t="str">
        <f t="shared" si="27"/>
        <v>-</v>
      </c>
      <c r="AV53" s="516" t="str">
        <f t="shared" si="27"/>
        <v>-</v>
      </c>
      <c r="AW53" s="516" t="str">
        <f t="shared" si="27"/>
        <v>-</v>
      </c>
      <c r="AX53" s="516" t="str">
        <f t="shared" si="27"/>
        <v>-</v>
      </c>
      <c r="AY53" s="516" t="str">
        <f t="shared" si="27"/>
        <v>-</v>
      </c>
      <c r="AZ53" s="516" t="str">
        <f t="shared" si="27"/>
        <v>-</v>
      </c>
      <c r="BA53" s="516" t="str">
        <f t="shared" si="27"/>
        <v>-</v>
      </c>
      <c r="BB53" s="516" t="str">
        <f t="shared" si="27"/>
        <v>-</v>
      </c>
      <c r="BC53" s="516" t="str">
        <f t="shared" si="26"/>
        <v>-</v>
      </c>
      <c r="BD53" s="516" t="str">
        <f t="shared" si="26"/>
        <v>-</v>
      </c>
      <c r="BE53" s="516" t="str">
        <f t="shared" si="26"/>
        <v>-</v>
      </c>
      <c r="BF53" s="516" t="str">
        <f t="shared" si="26"/>
        <v>-</v>
      </c>
      <c r="BG53" s="516" t="str">
        <f t="shared" si="26"/>
        <v>-</v>
      </c>
      <c r="BH53" s="516" t="str">
        <f t="shared" si="26"/>
        <v>-</v>
      </c>
      <c r="BI53" s="516" t="str">
        <f t="shared" si="26"/>
        <v>-</v>
      </c>
      <c r="BJ53" s="516" t="str">
        <f t="shared" si="26"/>
        <v>-</v>
      </c>
      <c r="BK53" s="516" t="str">
        <f t="shared" si="26"/>
        <v>-</v>
      </c>
      <c r="BL53" s="516" t="str">
        <f t="shared" si="26"/>
        <v>-</v>
      </c>
      <c r="BM53" s="516" t="str">
        <f t="shared" si="26"/>
        <v>-</v>
      </c>
      <c r="BN53" s="516" t="str">
        <f t="shared" si="26"/>
        <v>-</v>
      </c>
      <c r="BO53" s="516" t="str">
        <f t="shared" si="26"/>
        <v>-</v>
      </c>
      <c r="BP53" s="516" t="str">
        <f t="shared" si="26"/>
        <v>-</v>
      </c>
      <c r="BQ53" s="516" t="str">
        <f t="shared" si="26"/>
        <v>-</v>
      </c>
      <c r="BR53" s="516" t="str">
        <f t="shared" si="26"/>
        <v>-</v>
      </c>
      <c r="BS53" s="516" t="str">
        <f t="shared" ref="BS53:CA68" si="30">IF(LEN($F53)&gt;0,IF(AND(BS$8=$J53,NOT(AND(BS$8&gt;=$N53,BS$8&lt;$P53))),BS$6,IF(AND(NOT(BS$8&gt;$J52),BS$8&lt;$J53),"-",IF(AND(BS$8&gt;=$N53,BS$8&lt;$P53),"???",IF(AND(BS$8&gt;$J52,BS$8&lt;$J53),BS$6*(BS$8-$J52)/($J53-$J52),IF(AND(BS$8&gt;$J53,BS$8&lt;$J54),BS$6*($J54-BS$8)/($J54-$J53),"-"))))),"-")</f>
        <v>-</v>
      </c>
      <c r="BT53" s="516" t="str">
        <f t="shared" si="30"/>
        <v>-</v>
      </c>
      <c r="BU53" s="516" t="str">
        <f t="shared" si="30"/>
        <v>-</v>
      </c>
      <c r="BV53" s="516" t="str">
        <f t="shared" si="30"/>
        <v>-</v>
      </c>
      <c r="BW53" s="516" t="str">
        <f t="shared" si="28"/>
        <v>-</v>
      </c>
      <c r="BX53" s="516" t="str">
        <f t="shared" si="28"/>
        <v>-</v>
      </c>
      <c r="BY53" s="516" t="str">
        <f t="shared" si="28"/>
        <v>-</v>
      </c>
      <c r="BZ53" s="516" t="str">
        <f t="shared" si="28"/>
        <v>-</v>
      </c>
      <c r="CA53" s="516" t="str">
        <f t="shared" si="28"/>
        <v>-</v>
      </c>
    </row>
    <row r="54" spans="1:79">
      <c r="A54" s="105"/>
      <c r="B54" s="112"/>
      <c r="C54" s="512"/>
      <c r="D54" s="111" t="str">
        <f t="shared" si="8"/>
        <v/>
      </c>
      <c r="E54" s="517" t="str">
        <f>IF(LEN(B54)&gt;0,CHOOSE(MATCH(RIGHT(D54,1),{"D","W","M"},0),NextBusDay($C$4,LEFT(D54,LEN(D54)-1)),NextBusDay($C$4+7*LEFT(D54,LEN(D54)-1)),NextBusDay(EDATE($C$4,LEFT(D54,LEN(D54)-1)))),"")</f>
        <v/>
      </c>
      <c r="F54" s="107" t="str">
        <v>29Y</v>
      </c>
      <c r="G54" s="106" t="str">
        <v>29Y</v>
      </c>
      <c r="H54" s="106" t="str">
        <f t="shared" si="25"/>
        <v>348M</v>
      </c>
      <c r="I54" s="261" t="str">
        <v>W</v>
      </c>
      <c r="J54" s="106">
        <f>IF(LEN(F54)&gt;0,IF(I54="S",H54,IF(I54="F",EDATE(H54,3),CHOOSE(MATCH(RIGHT(H54,1),{"D","W","M"},0),NextBusDay($C$4,LEFT(H54,LEN(H54)-1)),NextBusDay($C$4+7*LEFT(H54,LEN(H54)-1)),NextBusDay(EDATE($C$4,LEFT(H54,LEN(H54)-1)))))),"")</f>
        <v>53261</v>
      </c>
      <c r="L54" s="515">
        <f t="shared" si="23"/>
        <v>0</v>
      </c>
      <c r="N54" s="106" t="str">
        <f t="shared" si="3"/>
        <v>-</v>
      </c>
      <c r="O54" s="106" t="str">
        <f t="shared" si="17"/>
        <v>-</v>
      </c>
      <c r="P54" s="106" t="str">
        <f t="shared" si="5"/>
        <v>-</v>
      </c>
      <c r="Q54" s="106" t="b">
        <f t="shared" si="6"/>
        <v>0</v>
      </c>
      <c r="R54" s="516" t="str">
        <f t="shared" si="29"/>
        <v>-</v>
      </c>
      <c r="S54" s="516" t="str">
        <f t="shared" si="29"/>
        <v>-</v>
      </c>
      <c r="T54" s="516" t="str">
        <f t="shared" si="29"/>
        <v>-</v>
      </c>
      <c r="U54" s="516" t="str">
        <f t="shared" si="29"/>
        <v>-</v>
      </c>
      <c r="V54" s="516" t="str">
        <f t="shared" si="29"/>
        <v>-</v>
      </c>
      <c r="W54" s="516" t="str">
        <f t="shared" si="29"/>
        <v>-</v>
      </c>
      <c r="X54" s="516" t="str">
        <f t="shared" si="29"/>
        <v>-</v>
      </c>
      <c r="Y54" s="516" t="str">
        <f t="shared" si="29"/>
        <v>-</v>
      </c>
      <c r="Z54" s="516" t="str">
        <f t="shared" si="29"/>
        <v>-</v>
      </c>
      <c r="AA54" s="516" t="str">
        <f t="shared" si="29"/>
        <v>-</v>
      </c>
      <c r="AB54" s="516" t="str">
        <f t="shared" si="29"/>
        <v>-</v>
      </c>
      <c r="AC54" s="516" t="str">
        <f t="shared" si="29"/>
        <v>-</v>
      </c>
      <c r="AD54" s="516" t="str">
        <f t="shared" si="29"/>
        <v>-</v>
      </c>
      <c r="AE54" s="516" t="str">
        <f t="shared" si="29"/>
        <v>-</v>
      </c>
      <c r="AF54" s="516" t="str">
        <f t="shared" si="29"/>
        <v>-</v>
      </c>
      <c r="AG54" s="516" t="str">
        <f t="shared" si="29"/>
        <v>-</v>
      </c>
      <c r="AH54" s="516" t="str">
        <f t="shared" si="27"/>
        <v>-</v>
      </c>
      <c r="AI54" s="516" t="str">
        <f t="shared" si="27"/>
        <v>-</v>
      </c>
      <c r="AJ54" s="516" t="str">
        <f t="shared" si="27"/>
        <v>-</v>
      </c>
      <c r="AK54" s="516" t="str">
        <f t="shared" si="27"/>
        <v>-</v>
      </c>
      <c r="AL54" s="516" t="str">
        <f t="shared" si="27"/>
        <v>-</v>
      </c>
      <c r="AM54" s="516" t="str">
        <f t="shared" si="27"/>
        <v>-</v>
      </c>
      <c r="AN54" s="516" t="str">
        <f t="shared" si="27"/>
        <v>-</v>
      </c>
      <c r="AO54" s="516" t="str">
        <f t="shared" si="27"/>
        <v>-</v>
      </c>
      <c r="AP54" s="516" t="str">
        <f t="shared" si="27"/>
        <v>-</v>
      </c>
      <c r="AQ54" s="516" t="str">
        <f t="shared" si="27"/>
        <v>-</v>
      </c>
      <c r="AR54" s="516" t="str">
        <f t="shared" si="27"/>
        <v>-</v>
      </c>
      <c r="AS54" s="516" t="str">
        <f t="shared" si="27"/>
        <v>-</v>
      </c>
      <c r="AT54" s="516" t="str">
        <f t="shared" si="27"/>
        <v>-</v>
      </c>
      <c r="AU54" s="516" t="str">
        <f t="shared" si="27"/>
        <v>-</v>
      </c>
      <c r="AV54" s="516" t="str">
        <f t="shared" si="27"/>
        <v>-</v>
      </c>
      <c r="AW54" s="516" t="str">
        <f t="shared" si="27"/>
        <v>-</v>
      </c>
      <c r="AX54" s="516" t="str">
        <f t="shared" si="27"/>
        <v>-</v>
      </c>
      <c r="AY54" s="516" t="str">
        <f t="shared" si="27"/>
        <v>-</v>
      </c>
      <c r="AZ54" s="516" t="str">
        <f t="shared" si="27"/>
        <v>-</v>
      </c>
      <c r="BA54" s="516" t="str">
        <f t="shared" si="27"/>
        <v>-</v>
      </c>
      <c r="BB54" s="516" t="str">
        <f t="shared" si="27"/>
        <v>-</v>
      </c>
      <c r="BC54" s="516" t="str">
        <f t="shared" si="26"/>
        <v>-</v>
      </c>
      <c r="BD54" s="516" t="str">
        <f t="shared" si="26"/>
        <v>-</v>
      </c>
      <c r="BE54" s="516" t="str">
        <f t="shared" si="26"/>
        <v>-</v>
      </c>
      <c r="BF54" s="516" t="str">
        <f t="shared" si="26"/>
        <v>-</v>
      </c>
      <c r="BG54" s="516" t="str">
        <f t="shared" si="26"/>
        <v>-</v>
      </c>
      <c r="BH54" s="516" t="str">
        <f t="shared" si="26"/>
        <v>-</v>
      </c>
      <c r="BI54" s="516" t="str">
        <f t="shared" si="26"/>
        <v>-</v>
      </c>
      <c r="BJ54" s="516" t="str">
        <f t="shared" si="26"/>
        <v>-</v>
      </c>
      <c r="BK54" s="516" t="str">
        <f t="shared" si="26"/>
        <v>-</v>
      </c>
      <c r="BL54" s="516" t="str">
        <f t="shared" si="26"/>
        <v>-</v>
      </c>
      <c r="BM54" s="516" t="str">
        <f t="shared" si="26"/>
        <v>-</v>
      </c>
      <c r="BN54" s="516" t="str">
        <f t="shared" si="26"/>
        <v>-</v>
      </c>
      <c r="BO54" s="516" t="str">
        <f t="shared" si="26"/>
        <v>-</v>
      </c>
      <c r="BP54" s="516" t="str">
        <f t="shared" si="26"/>
        <v>-</v>
      </c>
      <c r="BQ54" s="516" t="str">
        <f t="shared" si="26"/>
        <v>-</v>
      </c>
      <c r="BR54" s="516" t="str">
        <f t="shared" si="26"/>
        <v>-</v>
      </c>
      <c r="BS54" s="516" t="str">
        <f t="shared" si="30"/>
        <v>-</v>
      </c>
      <c r="BT54" s="516" t="str">
        <f t="shared" si="30"/>
        <v>-</v>
      </c>
      <c r="BU54" s="516" t="str">
        <f t="shared" si="30"/>
        <v>-</v>
      </c>
      <c r="BV54" s="516" t="str">
        <f t="shared" si="30"/>
        <v>-</v>
      </c>
      <c r="BW54" s="516" t="str">
        <f t="shared" si="28"/>
        <v>-</v>
      </c>
      <c r="BX54" s="516" t="str">
        <f t="shared" si="28"/>
        <v>-</v>
      </c>
      <c r="BY54" s="516" t="str">
        <f t="shared" si="28"/>
        <v>-</v>
      </c>
      <c r="BZ54" s="516" t="str">
        <f t="shared" si="28"/>
        <v>-</v>
      </c>
      <c r="CA54" s="516" t="str">
        <f t="shared" si="28"/>
        <v>-</v>
      </c>
    </row>
    <row r="55" spans="1:79">
      <c r="A55" s="105"/>
      <c r="B55" s="112"/>
      <c r="C55" s="512"/>
      <c r="D55" s="111" t="str">
        <f t="shared" si="8"/>
        <v/>
      </c>
      <c r="E55" s="517" t="str">
        <f>IF(LEN(B55)&gt;0,CHOOSE(MATCH(RIGHT(D55,1),{"D","W","M"},0),NextBusDay($C$4,LEFT(D55,LEN(D55)-1)),NextBusDay($C$4+7*LEFT(D55,LEN(D55)-1)),NextBusDay(EDATE($C$4,LEFT(D55,LEN(D55)-1)))),"")</f>
        <v/>
      </c>
      <c r="F55" s="107" t="str">
        <v>30Y</v>
      </c>
      <c r="G55" s="106" t="str">
        <v>30Y</v>
      </c>
      <c r="H55" s="106" t="str">
        <f t="shared" si="25"/>
        <v>360M</v>
      </c>
      <c r="I55" s="261" t="str">
        <v>W</v>
      </c>
      <c r="J55" s="106">
        <f>IF(LEN(F55)&gt;0,IF(I55="S",H55,IF(I55="F",EDATE(H55,3),CHOOSE(MATCH(RIGHT(H55,1),{"D","W","M"},0),NextBusDay($C$4,LEFT(H55,LEN(H55)-1)),NextBusDay($C$4+7*LEFT(H55,LEN(H55)-1)),NextBusDay(EDATE($C$4,LEFT(H55,LEN(H55)-1)))))),"")</f>
        <v>53626</v>
      </c>
      <c r="L55" s="515">
        <f t="shared" si="23"/>
        <v>4163.7703483380037</v>
      </c>
      <c r="N55" s="106" t="str">
        <f t="shared" si="3"/>
        <v>-</v>
      </c>
      <c r="O55" s="106" t="str">
        <f t="shared" si="17"/>
        <v>-</v>
      </c>
      <c r="P55" s="106" t="str">
        <f t="shared" si="5"/>
        <v>-</v>
      </c>
      <c r="Q55" s="106" t="b">
        <f t="shared" si="6"/>
        <v>0</v>
      </c>
      <c r="R55" s="516" t="str">
        <f t="shared" si="29"/>
        <v>-</v>
      </c>
      <c r="S55" s="516" t="str">
        <f t="shared" si="29"/>
        <v>-</v>
      </c>
      <c r="T55" s="516" t="str">
        <f t="shared" si="29"/>
        <v>-</v>
      </c>
      <c r="U55" s="516" t="str">
        <f t="shared" si="29"/>
        <v>-</v>
      </c>
      <c r="V55" s="516" t="str">
        <f t="shared" si="29"/>
        <v>-</v>
      </c>
      <c r="W55" s="516" t="str">
        <f t="shared" si="29"/>
        <v>-</v>
      </c>
      <c r="X55" s="516" t="str">
        <f t="shared" si="29"/>
        <v>-</v>
      </c>
      <c r="Y55" s="516" t="str">
        <f t="shared" si="29"/>
        <v>-</v>
      </c>
      <c r="Z55" s="516" t="str">
        <f t="shared" si="29"/>
        <v>-</v>
      </c>
      <c r="AA55" s="516" t="str">
        <f t="shared" si="29"/>
        <v>-</v>
      </c>
      <c r="AB55" s="516" t="str">
        <f t="shared" si="29"/>
        <v>-</v>
      </c>
      <c r="AC55" s="516" t="str">
        <f t="shared" si="29"/>
        <v>-</v>
      </c>
      <c r="AD55" s="516" t="str">
        <f t="shared" si="29"/>
        <v>-</v>
      </c>
      <c r="AE55" s="516" t="str">
        <f t="shared" si="29"/>
        <v>-</v>
      </c>
      <c r="AF55" s="516" t="str">
        <f t="shared" si="29"/>
        <v>-</v>
      </c>
      <c r="AG55" s="516" t="str">
        <f t="shared" si="29"/>
        <v>-</v>
      </c>
      <c r="AH55" s="516" t="str">
        <f t="shared" si="27"/>
        <v>-</v>
      </c>
      <c r="AI55" s="516" t="str">
        <f t="shared" si="27"/>
        <v>-</v>
      </c>
      <c r="AJ55" s="516" t="str">
        <f t="shared" si="27"/>
        <v>-</v>
      </c>
      <c r="AK55" s="516" t="str">
        <f t="shared" si="27"/>
        <v>-</v>
      </c>
      <c r="AL55" s="516" t="str">
        <f t="shared" si="27"/>
        <v>-</v>
      </c>
      <c r="AM55" s="516" t="str">
        <f t="shared" si="27"/>
        <v>-</v>
      </c>
      <c r="AN55" s="516" t="str">
        <f t="shared" si="27"/>
        <v>-</v>
      </c>
      <c r="AO55" s="516" t="str">
        <f t="shared" si="27"/>
        <v>-</v>
      </c>
      <c r="AP55" s="516" t="str">
        <f t="shared" si="27"/>
        <v>-</v>
      </c>
      <c r="AQ55" s="516" t="str">
        <f t="shared" si="27"/>
        <v>-</v>
      </c>
      <c r="AR55" s="516" t="str">
        <f t="shared" si="27"/>
        <v>-</v>
      </c>
      <c r="AS55" s="516" t="str">
        <f t="shared" si="27"/>
        <v>-</v>
      </c>
      <c r="AT55" s="516" t="str">
        <f t="shared" si="27"/>
        <v>-</v>
      </c>
      <c r="AU55" s="516" t="str">
        <f t="shared" si="27"/>
        <v>-</v>
      </c>
      <c r="AV55" s="516" t="str">
        <f t="shared" si="27"/>
        <v>-</v>
      </c>
      <c r="AW55" s="516" t="str">
        <f t="shared" si="27"/>
        <v>-</v>
      </c>
      <c r="AX55" s="516" t="str">
        <f t="shared" si="27"/>
        <v>-</v>
      </c>
      <c r="AY55" s="516" t="str">
        <f t="shared" si="27"/>
        <v>-</v>
      </c>
      <c r="AZ55" s="516">
        <f t="shared" si="27"/>
        <v>4163.7703483380037</v>
      </c>
      <c r="BA55" s="516" t="str">
        <f t="shared" si="27"/>
        <v>-</v>
      </c>
      <c r="BB55" s="516" t="str">
        <f t="shared" si="27"/>
        <v>-</v>
      </c>
      <c r="BC55" s="516" t="str">
        <f t="shared" si="26"/>
        <v>-</v>
      </c>
      <c r="BD55" s="516" t="str">
        <f t="shared" si="26"/>
        <v>-</v>
      </c>
      <c r="BE55" s="516" t="str">
        <f t="shared" si="26"/>
        <v>-</v>
      </c>
      <c r="BF55" s="516" t="str">
        <f t="shared" si="26"/>
        <v>-</v>
      </c>
      <c r="BG55" s="516" t="str">
        <f t="shared" si="26"/>
        <v>-</v>
      </c>
      <c r="BH55" s="516" t="str">
        <f t="shared" si="26"/>
        <v>-</v>
      </c>
      <c r="BI55" s="516" t="str">
        <f t="shared" si="26"/>
        <v>-</v>
      </c>
      <c r="BJ55" s="516" t="str">
        <f t="shared" si="26"/>
        <v>-</v>
      </c>
      <c r="BK55" s="516" t="str">
        <f t="shared" si="26"/>
        <v>-</v>
      </c>
      <c r="BL55" s="516" t="str">
        <f t="shared" si="26"/>
        <v>-</v>
      </c>
      <c r="BM55" s="516" t="str">
        <f t="shared" si="26"/>
        <v>-</v>
      </c>
      <c r="BN55" s="516" t="str">
        <f t="shared" si="26"/>
        <v>-</v>
      </c>
      <c r="BO55" s="516" t="str">
        <f t="shared" si="26"/>
        <v>-</v>
      </c>
      <c r="BP55" s="516" t="str">
        <f t="shared" si="26"/>
        <v>-</v>
      </c>
      <c r="BQ55" s="516" t="str">
        <f t="shared" si="26"/>
        <v>-</v>
      </c>
      <c r="BR55" s="516" t="str">
        <f t="shared" si="26"/>
        <v>-</v>
      </c>
      <c r="BS55" s="516" t="str">
        <f t="shared" si="30"/>
        <v>-</v>
      </c>
      <c r="BT55" s="516" t="str">
        <f t="shared" si="30"/>
        <v>-</v>
      </c>
      <c r="BU55" s="516" t="str">
        <f t="shared" si="30"/>
        <v>-</v>
      </c>
      <c r="BV55" s="516" t="str">
        <f t="shared" si="30"/>
        <v>-</v>
      </c>
      <c r="BW55" s="516" t="str">
        <f t="shared" si="28"/>
        <v>-</v>
      </c>
      <c r="BX55" s="516" t="str">
        <f t="shared" si="28"/>
        <v>-</v>
      </c>
      <c r="BY55" s="516" t="str">
        <f t="shared" si="28"/>
        <v>-</v>
      </c>
      <c r="BZ55" s="516" t="str">
        <f t="shared" si="28"/>
        <v>-</v>
      </c>
      <c r="CA55" s="516" t="str">
        <f t="shared" si="28"/>
        <v>-</v>
      </c>
    </row>
    <row r="56" spans="1:79">
      <c r="A56" s="105"/>
      <c r="B56" s="112"/>
      <c r="C56" s="512"/>
      <c r="D56" s="111" t="str">
        <f t="shared" si="8"/>
        <v/>
      </c>
      <c r="E56" s="517" t="str">
        <f>IF(LEN(B56)&gt;0,CHOOSE(MATCH(RIGHT(D56,1),{"D","W","M"},0),NextBusDay($C$4,LEFT(D56,LEN(D56)-1)),NextBusDay($C$4+7*LEFT(D56,LEN(D56)-1)),NextBusDay(EDATE($C$4,LEFT(D56,LEN(D56)-1)))),"")</f>
        <v/>
      </c>
      <c r="F56" s="107" t="str">
        <v>40Y</v>
      </c>
      <c r="G56" s="106" t="str">
        <v>40Y</v>
      </c>
      <c r="H56" s="106" t="str">
        <f t="shared" si="25"/>
        <v>480M</v>
      </c>
      <c r="I56" s="261" t="str">
        <v>W</v>
      </c>
      <c r="J56" s="106">
        <f>IF(LEN(F56)&gt;0,IF(I56="S",H56,IF(I56="F",EDATE(H56,3),CHOOSE(MATCH(RIGHT(H56,1),{"D","W","M"},0),NextBusDay($C$4,LEFT(H56,LEN(H56)-1)),NextBusDay($C$4+7*LEFT(H56,LEN(H56)-1)),NextBusDay(EDATE($C$4,LEFT(H56,LEN(H56)-1)))))),"")</f>
        <v>57279</v>
      </c>
      <c r="L56" s="515">
        <f t="shared" si="23"/>
        <v>11.838043330143176</v>
      </c>
      <c r="N56" s="106" t="str">
        <f t="shared" si="3"/>
        <v>-</v>
      </c>
      <c r="O56" s="106" t="str">
        <f t="shared" si="17"/>
        <v>-</v>
      </c>
      <c r="P56" s="106" t="str">
        <f t="shared" si="5"/>
        <v>-</v>
      </c>
      <c r="Q56" s="106" t="b">
        <f t="shared" si="6"/>
        <v>0</v>
      </c>
      <c r="R56" s="516" t="str">
        <f t="shared" si="29"/>
        <v>-</v>
      </c>
      <c r="S56" s="516" t="str">
        <f t="shared" si="29"/>
        <v>-</v>
      </c>
      <c r="T56" s="516" t="str">
        <f t="shared" si="29"/>
        <v>-</v>
      </c>
      <c r="U56" s="516" t="str">
        <f t="shared" si="29"/>
        <v>-</v>
      </c>
      <c r="V56" s="516" t="str">
        <f t="shared" si="29"/>
        <v>-</v>
      </c>
      <c r="W56" s="516" t="str">
        <f t="shared" si="29"/>
        <v>-</v>
      </c>
      <c r="X56" s="516" t="str">
        <f t="shared" si="29"/>
        <v>-</v>
      </c>
      <c r="Y56" s="516" t="str">
        <f t="shared" si="29"/>
        <v>-</v>
      </c>
      <c r="Z56" s="516" t="str">
        <f t="shared" si="29"/>
        <v>-</v>
      </c>
      <c r="AA56" s="516" t="str">
        <f t="shared" si="29"/>
        <v>-</v>
      </c>
      <c r="AB56" s="516" t="str">
        <f t="shared" si="29"/>
        <v>-</v>
      </c>
      <c r="AC56" s="516" t="str">
        <f t="shared" si="29"/>
        <v>-</v>
      </c>
      <c r="AD56" s="516" t="str">
        <f t="shared" si="29"/>
        <v>-</v>
      </c>
      <c r="AE56" s="516" t="str">
        <f t="shared" si="29"/>
        <v>-</v>
      </c>
      <c r="AF56" s="516" t="str">
        <f t="shared" si="29"/>
        <v>-</v>
      </c>
      <c r="AG56" s="516" t="str">
        <f t="shared" si="29"/>
        <v>-</v>
      </c>
      <c r="AH56" s="516" t="str">
        <f t="shared" si="27"/>
        <v>-</v>
      </c>
      <c r="AI56" s="516" t="str">
        <f t="shared" si="27"/>
        <v>-</v>
      </c>
      <c r="AJ56" s="516" t="str">
        <f t="shared" si="27"/>
        <v>-</v>
      </c>
      <c r="AK56" s="516" t="str">
        <f t="shared" si="27"/>
        <v>-</v>
      </c>
      <c r="AL56" s="516" t="str">
        <f t="shared" si="27"/>
        <v>-</v>
      </c>
      <c r="AM56" s="516" t="str">
        <f t="shared" si="27"/>
        <v>-</v>
      </c>
      <c r="AN56" s="516" t="str">
        <f t="shared" si="27"/>
        <v>-</v>
      </c>
      <c r="AO56" s="516" t="str">
        <f t="shared" si="27"/>
        <v>-</v>
      </c>
      <c r="AP56" s="516" t="str">
        <f t="shared" si="27"/>
        <v>-</v>
      </c>
      <c r="AQ56" s="516" t="str">
        <f t="shared" si="27"/>
        <v>-</v>
      </c>
      <c r="AR56" s="516" t="str">
        <f t="shared" si="27"/>
        <v>-</v>
      </c>
      <c r="AS56" s="516" t="str">
        <f t="shared" si="27"/>
        <v>-</v>
      </c>
      <c r="AT56" s="516" t="str">
        <f t="shared" si="27"/>
        <v>-</v>
      </c>
      <c r="AU56" s="516" t="str">
        <f t="shared" si="27"/>
        <v>-</v>
      </c>
      <c r="AV56" s="516" t="str">
        <f t="shared" si="27"/>
        <v>-</v>
      </c>
      <c r="AW56" s="516" t="str">
        <f t="shared" si="27"/>
        <v>-</v>
      </c>
      <c r="AX56" s="516" t="str">
        <f t="shared" si="27"/>
        <v>-</v>
      </c>
      <c r="AY56" s="516" t="str">
        <f t="shared" si="27"/>
        <v>-</v>
      </c>
      <c r="AZ56" s="516" t="str">
        <f t="shared" si="27"/>
        <v>-</v>
      </c>
      <c r="BA56" s="516">
        <f t="shared" si="27"/>
        <v>11.838043330143176</v>
      </c>
      <c r="BB56" s="516" t="str">
        <f t="shared" si="27"/>
        <v>-</v>
      </c>
      <c r="BC56" s="516" t="str">
        <f t="shared" si="26"/>
        <v>-</v>
      </c>
      <c r="BD56" s="516" t="str">
        <f t="shared" si="26"/>
        <v>-</v>
      </c>
      <c r="BE56" s="516" t="str">
        <f t="shared" si="26"/>
        <v>-</v>
      </c>
      <c r="BF56" s="516" t="str">
        <f t="shared" si="26"/>
        <v>-</v>
      </c>
      <c r="BG56" s="516" t="str">
        <f t="shared" si="26"/>
        <v>-</v>
      </c>
      <c r="BH56" s="516" t="str">
        <f t="shared" si="26"/>
        <v>-</v>
      </c>
      <c r="BI56" s="516" t="str">
        <f t="shared" si="26"/>
        <v>-</v>
      </c>
      <c r="BJ56" s="516" t="str">
        <f t="shared" si="26"/>
        <v>-</v>
      </c>
      <c r="BK56" s="516" t="str">
        <f t="shared" si="26"/>
        <v>-</v>
      </c>
      <c r="BL56" s="516" t="str">
        <f t="shared" si="26"/>
        <v>-</v>
      </c>
      <c r="BM56" s="516" t="str">
        <f t="shared" si="26"/>
        <v>-</v>
      </c>
      <c r="BN56" s="516" t="str">
        <f t="shared" si="26"/>
        <v>-</v>
      </c>
      <c r="BO56" s="516" t="str">
        <f t="shared" si="26"/>
        <v>-</v>
      </c>
      <c r="BP56" s="516" t="str">
        <f t="shared" si="26"/>
        <v>-</v>
      </c>
      <c r="BQ56" s="516" t="str">
        <f t="shared" si="26"/>
        <v>-</v>
      </c>
      <c r="BR56" s="516" t="str">
        <f t="shared" si="26"/>
        <v>-</v>
      </c>
      <c r="BS56" s="516" t="str">
        <f t="shared" si="30"/>
        <v>-</v>
      </c>
      <c r="BT56" s="516" t="str">
        <f t="shared" si="30"/>
        <v>-</v>
      </c>
      <c r="BU56" s="516" t="str">
        <f t="shared" si="30"/>
        <v>-</v>
      </c>
      <c r="BV56" s="516" t="str">
        <f t="shared" si="30"/>
        <v>-</v>
      </c>
      <c r="BW56" s="516" t="str">
        <f t="shared" si="28"/>
        <v>-</v>
      </c>
      <c r="BX56" s="516" t="str">
        <f t="shared" si="28"/>
        <v>-</v>
      </c>
      <c r="BY56" s="516" t="str">
        <f t="shared" si="28"/>
        <v>-</v>
      </c>
      <c r="BZ56" s="516" t="str">
        <f t="shared" si="28"/>
        <v>-</v>
      </c>
      <c r="CA56" s="516" t="str">
        <f t="shared" si="28"/>
        <v>-</v>
      </c>
    </row>
    <row r="57" spans="1:79">
      <c r="A57" s="105"/>
      <c r="B57" s="112"/>
      <c r="C57" s="512"/>
      <c r="D57" s="111" t="str">
        <f t="shared" si="8"/>
        <v/>
      </c>
      <c r="E57" s="517" t="str">
        <f>IF(LEN(B57)&gt;0,CHOOSE(MATCH(RIGHT(D57,1),{"D","W","M"},0),NextBusDay($C$4,LEFT(D57,LEN(D57)-1)),NextBusDay($C$4+7*LEFT(D57,LEN(D57)-1)),NextBusDay(EDATE($C$4,LEFT(D57,LEN(D57)-1)))),"")</f>
        <v/>
      </c>
      <c r="F57" s="107" t="str">
        <v>50Y</v>
      </c>
      <c r="G57" s="106" t="str">
        <v>50Y</v>
      </c>
      <c r="H57" s="106" t="str">
        <f t="shared" si="25"/>
        <v>600M</v>
      </c>
      <c r="I57" s="261" t="str">
        <v>W</v>
      </c>
      <c r="J57" s="106">
        <f>IF(LEN(F57)&gt;0,IF(I57="S",H57,IF(I57="F",EDATE(H57,3),CHOOSE(MATCH(RIGHT(H57,1),{"D","W","M"},0),NextBusDay($C$4,LEFT(H57,LEN(H57)-1)),NextBusDay($C$4+7*LEFT(H57,LEN(H57)-1)),NextBusDay(EDATE($C$4,LEFT(H57,LEN(H57)-1)))))),"")</f>
        <v>60931</v>
      </c>
      <c r="L57" s="515">
        <f t="shared" si="23"/>
        <v>0.154583921982582</v>
      </c>
      <c r="N57" s="106" t="str">
        <f t="shared" si="3"/>
        <v>-</v>
      </c>
      <c r="O57" s="106" t="str">
        <f t="shared" si="17"/>
        <v>-</v>
      </c>
      <c r="P57" s="106" t="str">
        <f t="shared" si="5"/>
        <v>-</v>
      </c>
      <c r="Q57" s="106" t="b">
        <f t="shared" si="6"/>
        <v>0</v>
      </c>
      <c r="R57" s="516" t="str">
        <f t="shared" si="29"/>
        <v>-</v>
      </c>
      <c r="S57" s="516" t="str">
        <f t="shared" si="29"/>
        <v>-</v>
      </c>
      <c r="T57" s="516" t="str">
        <f t="shared" si="29"/>
        <v>-</v>
      </c>
      <c r="U57" s="516" t="str">
        <f t="shared" si="29"/>
        <v>-</v>
      </c>
      <c r="V57" s="516" t="str">
        <f t="shared" si="29"/>
        <v>-</v>
      </c>
      <c r="W57" s="516" t="str">
        <f t="shared" si="29"/>
        <v>-</v>
      </c>
      <c r="X57" s="516" t="str">
        <f t="shared" si="29"/>
        <v>-</v>
      </c>
      <c r="Y57" s="516" t="str">
        <f t="shared" si="29"/>
        <v>-</v>
      </c>
      <c r="Z57" s="516" t="str">
        <f t="shared" si="29"/>
        <v>-</v>
      </c>
      <c r="AA57" s="516" t="str">
        <f t="shared" si="29"/>
        <v>-</v>
      </c>
      <c r="AB57" s="516" t="str">
        <f t="shared" si="29"/>
        <v>-</v>
      </c>
      <c r="AC57" s="516" t="str">
        <f t="shared" si="29"/>
        <v>-</v>
      </c>
      <c r="AD57" s="516" t="str">
        <f t="shared" si="29"/>
        <v>-</v>
      </c>
      <c r="AE57" s="516" t="str">
        <f t="shared" si="29"/>
        <v>-</v>
      </c>
      <c r="AF57" s="516" t="str">
        <f t="shared" si="29"/>
        <v>-</v>
      </c>
      <c r="AG57" s="516" t="str">
        <f t="shared" si="29"/>
        <v>-</v>
      </c>
      <c r="AH57" s="516" t="str">
        <f t="shared" si="27"/>
        <v>-</v>
      </c>
      <c r="AI57" s="516" t="str">
        <f t="shared" si="27"/>
        <v>-</v>
      </c>
      <c r="AJ57" s="516" t="str">
        <f t="shared" si="27"/>
        <v>-</v>
      </c>
      <c r="AK57" s="516" t="str">
        <f t="shared" si="27"/>
        <v>-</v>
      </c>
      <c r="AL57" s="516" t="str">
        <f t="shared" si="27"/>
        <v>-</v>
      </c>
      <c r="AM57" s="516" t="str">
        <f t="shared" si="27"/>
        <v>-</v>
      </c>
      <c r="AN57" s="516" t="str">
        <f t="shared" si="27"/>
        <v>-</v>
      </c>
      <c r="AO57" s="516" t="str">
        <f t="shared" si="27"/>
        <v>-</v>
      </c>
      <c r="AP57" s="516" t="str">
        <f t="shared" si="27"/>
        <v>-</v>
      </c>
      <c r="AQ57" s="516" t="str">
        <f t="shared" si="27"/>
        <v>-</v>
      </c>
      <c r="AR57" s="516" t="str">
        <f t="shared" si="27"/>
        <v>-</v>
      </c>
      <c r="AS57" s="516" t="str">
        <f t="shared" si="27"/>
        <v>-</v>
      </c>
      <c r="AT57" s="516" t="str">
        <f t="shared" si="27"/>
        <v>-</v>
      </c>
      <c r="AU57" s="516" t="str">
        <f t="shared" si="27"/>
        <v>-</v>
      </c>
      <c r="AV57" s="516" t="str">
        <f t="shared" si="27"/>
        <v>-</v>
      </c>
      <c r="AW57" s="516" t="str">
        <f t="shared" si="27"/>
        <v>-</v>
      </c>
      <c r="AX57" s="516" t="str">
        <f t="shared" si="27"/>
        <v>-</v>
      </c>
      <c r="AY57" s="516" t="str">
        <f t="shared" si="27"/>
        <v>-</v>
      </c>
      <c r="AZ57" s="516" t="str">
        <f t="shared" si="27"/>
        <v>-</v>
      </c>
      <c r="BA57" s="516" t="str">
        <f t="shared" si="27"/>
        <v>-</v>
      </c>
      <c r="BB57" s="516">
        <f t="shared" si="27"/>
        <v>0.154583921982582</v>
      </c>
      <c r="BC57" s="516" t="str">
        <f t="shared" si="26"/>
        <v>-</v>
      </c>
      <c r="BD57" s="516" t="str">
        <f t="shared" si="26"/>
        <v>-</v>
      </c>
      <c r="BE57" s="516" t="str">
        <f t="shared" si="26"/>
        <v>-</v>
      </c>
      <c r="BF57" s="516" t="str">
        <f t="shared" si="26"/>
        <v>-</v>
      </c>
      <c r="BG57" s="516" t="str">
        <f t="shared" si="26"/>
        <v>-</v>
      </c>
      <c r="BH57" s="516" t="str">
        <f t="shared" si="26"/>
        <v>-</v>
      </c>
      <c r="BI57" s="516" t="str">
        <f t="shared" si="26"/>
        <v>-</v>
      </c>
      <c r="BJ57" s="516" t="str">
        <f t="shared" si="26"/>
        <v>-</v>
      </c>
      <c r="BK57" s="516" t="str">
        <f t="shared" si="26"/>
        <v>-</v>
      </c>
      <c r="BL57" s="516" t="str">
        <f t="shared" si="26"/>
        <v>-</v>
      </c>
      <c r="BM57" s="516" t="str">
        <f t="shared" si="26"/>
        <v>-</v>
      </c>
      <c r="BN57" s="516" t="str">
        <f t="shared" si="26"/>
        <v>-</v>
      </c>
      <c r="BO57" s="516" t="str">
        <f t="shared" si="26"/>
        <v>-</v>
      </c>
      <c r="BP57" s="516" t="str">
        <f t="shared" si="26"/>
        <v>-</v>
      </c>
      <c r="BQ57" s="516" t="str">
        <f t="shared" si="26"/>
        <v>-</v>
      </c>
      <c r="BR57" s="516" t="str">
        <f t="shared" si="26"/>
        <v>-</v>
      </c>
      <c r="BS57" s="516" t="str">
        <f t="shared" si="30"/>
        <v>-</v>
      </c>
      <c r="BT57" s="516" t="str">
        <f t="shared" si="30"/>
        <v>-</v>
      </c>
      <c r="BU57" s="516" t="str">
        <f t="shared" si="30"/>
        <v>-</v>
      </c>
      <c r="BV57" s="516" t="str">
        <f t="shared" si="30"/>
        <v>-</v>
      </c>
      <c r="BW57" s="516" t="str">
        <f t="shared" si="28"/>
        <v>-</v>
      </c>
      <c r="BX57" s="516" t="str">
        <f t="shared" si="28"/>
        <v>-</v>
      </c>
      <c r="BY57" s="516" t="str">
        <f t="shared" si="28"/>
        <v>-</v>
      </c>
      <c r="BZ57" s="516" t="str">
        <f t="shared" si="28"/>
        <v>-</v>
      </c>
      <c r="CA57" s="516" t="str">
        <f t="shared" si="28"/>
        <v>-</v>
      </c>
    </row>
    <row r="58" spans="1:79">
      <c r="A58" s="105"/>
      <c r="B58" s="112"/>
      <c r="C58" s="512"/>
      <c r="D58" s="111" t="str">
        <f t="shared" si="8"/>
        <v/>
      </c>
      <c r="E58" s="517" t="str">
        <f>IF(LEN(B58)&gt;0,CHOOSE(MATCH(RIGHT(D58,1),{"D","W","M"},0),NextBusDay($C$4,LEFT(D58,LEN(D58)-1)),NextBusDay($C$4+7*LEFT(D58,LEN(D58)-1)),NextBusDay(EDATE($C$4,LEFT(D58,LEN(D58)-1)))),"")</f>
        <v/>
      </c>
      <c r="F58" s="107" t="str">
        <v>60Y</v>
      </c>
      <c r="G58" s="106" t="str">
        <v>60Y</v>
      </c>
      <c r="H58" s="106" t="str">
        <f t="shared" si="25"/>
        <v>720M</v>
      </c>
      <c r="I58" s="261" t="str">
        <v>W</v>
      </c>
      <c r="J58" s="106">
        <f>IF(LEN(F58)&gt;0,IF(I58="S",H58,IF(I58="F",EDATE(H58,3),CHOOSE(MATCH(RIGHT(H58,1),{"D","W","M"},0),NextBusDay($C$4,LEFT(H58,LEN(H58)-1)),NextBusDay($C$4+7*LEFT(H58,LEN(H58)-1)),NextBusDay(EDATE($C$4,LEFT(H58,LEN(H58)-1)))))),"")</f>
        <v>64584</v>
      </c>
      <c r="L58" s="515">
        <f t="shared" si="23"/>
        <v>1.8782487669238483E-3</v>
      </c>
      <c r="N58" s="106" t="str">
        <f t="shared" si="3"/>
        <v>-</v>
      </c>
      <c r="O58" s="106" t="str">
        <f t="shared" si="17"/>
        <v>-</v>
      </c>
      <c r="P58" s="106" t="str">
        <f t="shared" si="5"/>
        <v>-</v>
      </c>
      <c r="Q58" s="106" t="b">
        <f t="shared" si="6"/>
        <v>0</v>
      </c>
      <c r="R58" s="516" t="str">
        <f t="shared" si="29"/>
        <v>-</v>
      </c>
      <c r="S58" s="516" t="str">
        <f t="shared" si="29"/>
        <v>-</v>
      </c>
      <c r="T58" s="516" t="str">
        <f t="shared" si="29"/>
        <v>-</v>
      </c>
      <c r="U58" s="516" t="str">
        <f t="shared" si="29"/>
        <v>-</v>
      </c>
      <c r="V58" s="516" t="str">
        <f t="shared" si="29"/>
        <v>-</v>
      </c>
      <c r="W58" s="516" t="str">
        <f t="shared" si="29"/>
        <v>-</v>
      </c>
      <c r="X58" s="516" t="str">
        <f t="shared" si="29"/>
        <v>-</v>
      </c>
      <c r="Y58" s="516" t="str">
        <f t="shared" si="29"/>
        <v>-</v>
      </c>
      <c r="Z58" s="516" t="str">
        <f t="shared" si="29"/>
        <v>-</v>
      </c>
      <c r="AA58" s="516" t="str">
        <f t="shared" si="29"/>
        <v>-</v>
      </c>
      <c r="AB58" s="516" t="str">
        <f t="shared" si="29"/>
        <v>-</v>
      </c>
      <c r="AC58" s="516" t="str">
        <f t="shared" si="29"/>
        <v>-</v>
      </c>
      <c r="AD58" s="516" t="str">
        <f t="shared" si="29"/>
        <v>-</v>
      </c>
      <c r="AE58" s="516" t="str">
        <f t="shared" si="29"/>
        <v>-</v>
      </c>
      <c r="AF58" s="516" t="str">
        <f t="shared" si="29"/>
        <v>-</v>
      </c>
      <c r="AG58" s="516" t="str">
        <f t="shared" si="29"/>
        <v>-</v>
      </c>
      <c r="AH58" s="516" t="str">
        <f t="shared" si="27"/>
        <v>-</v>
      </c>
      <c r="AI58" s="516" t="str">
        <f t="shared" si="27"/>
        <v>-</v>
      </c>
      <c r="AJ58" s="516" t="str">
        <f t="shared" si="27"/>
        <v>-</v>
      </c>
      <c r="AK58" s="516" t="str">
        <f t="shared" si="27"/>
        <v>-</v>
      </c>
      <c r="AL58" s="516" t="str">
        <f t="shared" si="27"/>
        <v>-</v>
      </c>
      <c r="AM58" s="516" t="str">
        <f t="shared" si="27"/>
        <v>-</v>
      </c>
      <c r="AN58" s="516" t="str">
        <f t="shared" si="27"/>
        <v>-</v>
      </c>
      <c r="AO58" s="516" t="str">
        <f t="shared" si="27"/>
        <v>-</v>
      </c>
      <c r="AP58" s="516" t="str">
        <f t="shared" si="27"/>
        <v>-</v>
      </c>
      <c r="AQ58" s="516" t="str">
        <f t="shared" si="27"/>
        <v>-</v>
      </c>
      <c r="AR58" s="516" t="str">
        <f t="shared" si="27"/>
        <v>-</v>
      </c>
      <c r="AS58" s="516" t="str">
        <f t="shared" si="27"/>
        <v>-</v>
      </c>
      <c r="AT58" s="516" t="str">
        <f t="shared" si="27"/>
        <v>-</v>
      </c>
      <c r="AU58" s="516" t="str">
        <f t="shared" si="27"/>
        <v>-</v>
      </c>
      <c r="AV58" s="516" t="str">
        <f t="shared" si="27"/>
        <v>-</v>
      </c>
      <c r="AW58" s="516" t="str">
        <f t="shared" si="27"/>
        <v>-</v>
      </c>
      <c r="AX58" s="516" t="str">
        <f t="shared" si="27"/>
        <v>-</v>
      </c>
      <c r="AY58" s="516" t="str">
        <f t="shared" si="27"/>
        <v>-</v>
      </c>
      <c r="AZ58" s="516" t="str">
        <f t="shared" si="27"/>
        <v>-</v>
      </c>
      <c r="BA58" s="516" t="str">
        <f t="shared" si="27"/>
        <v>-</v>
      </c>
      <c r="BB58" s="516" t="str">
        <f t="shared" si="27"/>
        <v>-</v>
      </c>
      <c r="BC58" s="516">
        <f t="shared" si="26"/>
        <v>1.8782487669238483E-3</v>
      </c>
      <c r="BD58" s="516" t="str">
        <f t="shared" si="26"/>
        <v>-</v>
      </c>
      <c r="BE58" s="516" t="str">
        <f t="shared" si="26"/>
        <v>-</v>
      </c>
      <c r="BF58" s="516" t="str">
        <f t="shared" si="26"/>
        <v>-</v>
      </c>
      <c r="BG58" s="516" t="str">
        <f t="shared" si="26"/>
        <v>-</v>
      </c>
      <c r="BH58" s="516" t="str">
        <f t="shared" si="26"/>
        <v>-</v>
      </c>
      <c r="BI58" s="516" t="str">
        <f t="shared" si="26"/>
        <v>-</v>
      </c>
      <c r="BJ58" s="516" t="str">
        <f t="shared" si="26"/>
        <v>-</v>
      </c>
      <c r="BK58" s="516" t="str">
        <f t="shared" si="26"/>
        <v>-</v>
      </c>
      <c r="BL58" s="516" t="str">
        <f t="shared" si="26"/>
        <v>-</v>
      </c>
      <c r="BM58" s="516" t="str">
        <f t="shared" si="26"/>
        <v>-</v>
      </c>
      <c r="BN58" s="516" t="str">
        <f t="shared" si="26"/>
        <v>-</v>
      </c>
      <c r="BO58" s="516" t="str">
        <f t="shared" si="26"/>
        <v>-</v>
      </c>
      <c r="BP58" s="516" t="str">
        <f t="shared" si="26"/>
        <v>-</v>
      </c>
      <c r="BQ58" s="516" t="str">
        <f t="shared" si="26"/>
        <v>-</v>
      </c>
      <c r="BR58" s="516" t="str">
        <f t="shared" si="26"/>
        <v>-</v>
      </c>
      <c r="BS58" s="516" t="str">
        <f t="shared" si="30"/>
        <v>-</v>
      </c>
      <c r="BT58" s="516" t="str">
        <f t="shared" si="30"/>
        <v>-</v>
      </c>
      <c r="BU58" s="516" t="str">
        <f t="shared" si="30"/>
        <v>-</v>
      </c>
      <c r="BV58" s="516" t="str">
        <f t="shared" si="30"/>
        <v>-</v>
      </c>
      <c r="BW58" s="516" t="str">
        <f t="shared" si="28"/>
        <v>-</v>
      </c>
      <c r="BX58" s="516" t="str">
        <f t="shared" si="28"/>
        <v>-</v>
      </c>
      <c r="BY58" s="516" t="str">
        <f t="shared" si="28"/>
        <v>-</v>
      </c>
      <c r="BZ58" s="516" t="str">
        <f t="shared" si="28"/>
        <v>-</v>
      </c>
      <c r="CA58" s="516" t="str">
        <f t="shared" si="28"/>
        <v>-</v>
      </c>
    </row>
    <row r="59" spans="1:79">
      <c r="A59" s="105"/>
      <c r="B59" s="112"/>
      <c r="C59" s="512"/>
      <c r="D59" s="111" t="str">
        <f t="shared" si="8"/>
        <v/>
      </c>
      <c r="E59" s="517" t="str">
        <f>IF(LEN(B59)&gt;0,CHOOSE(MATCH(RIGHT(D59,1),{"D","W","M"},0),NextBusDay($C$4,LEFT(D59,LEN(D59)-1)),NextBusDay($C$4+7*LEFT(D59,LEN(D59)-1)),NextBusDay(EDATE($C$4,LEFT(D59,LEN(D59)-1)))),"")</f>
        <v/>
      </c>
      <c r="F59" s="107" t="str">
        <v/>
      </c>
      <c r="G59" s="106" t="str">
        <v/>
      </c>
      <c r="H59" s="106" t="str">
        <f t="shared" si="25"/>
        <v/>
      </c>
      <c r="I59" s="261" t="str">
        <v/>
      </c>
      <c r="J59" s="106" t="str">
        <f>IF(LEN(F59)&gt;0,IF(I59="S",H59,IF(I59="F",EDATE(H59,3),CHOOSE(MATCH(RIGHT(H59,1),{"D","W","M"},0),NextBusDay($C$4,LEFT(H59,LEN(H59)-1)),NextBusDay($C$4+7*LEFT(H59,LEN(H59)-1)),NextBusDay(EDATE($C$4,LEFT(H59,LEN(H59)-1)))))),"")</f>
        <v/>
      </c>
      <c r="L59" s="515">
        <f t="shared" si="23"/>
        <v>0</v>
      </c>
      <c r="N59" s="106" t="str">
        <f t="shared" si="3"/>
        <v>-</v>
      </c>
      <c r="O59" s="106" t="str">
        <f t="shared" si="17"/>
        <v>-</v>
      </c>
      <c r="P59" s="106" t="str">
        <f t="shared" si="5"/>
        <v>-</v>
      </c>
      <c r="Q59" s="106" t="b">
        <f t="shared" si="6"/>
        <v>0</v>
      </c>
      <c r="R59" s="516" t="str">
        <f t="shared" si="29"/>
        <v>-</v>
      </c>
      <c r="S59" s="516" t="str">
        <f t="shared" si="29"/>
        <v>-</v>
      </c>
      <c r="T59" s="516" t="str">
        <f t="shared" si="29"/>
        <v>-</v>
      </c>
      <c r="U59" s="516" t="str">
        <f t="shared" si="29"/>
        <v>-</v>
      </c>
      <c r="V59" s="516" t="str">
        <f t="shared" si="29"/>
        <v>-</v>
      </c>
      <c r="W59" s="516" t="str">
        <f t="shared" si="29"/>
        <v>-</v>
      </c>
      <c r="X59" s="516" t="str">
        <f t="shared" si="29"/>
        <v>-</v>
      </c>
      <c r="Y59" s="516" t="str">
        <f t="shared" si="29"/>
        <v>-</v>
      </c>
      <c r="Z59" s="516" t="str">
        <f t="shared" si="29"/>
        <v>-</v>
      </c>
      <c r="AA59" s="516" t="str">
        <f t="shared" si="29"/>
        <v>-</v>
      </c>
      <c r="AB59" s="516" t="str">
        <f t="shared" si="29"/>
        <v>-</v>
      </c>
      <c r="AC59" s="516" t="str">
        <f t="shared" si="29"/>
        <v>-</v>
      </c>
      <c r="AD59" s="516" t="str">
        <f t="shared" si="29"/>
        <v>-</v>
      </c>
      <c r="AE59" s="516" t="str">
        <f t="shared" si="29"/>
        <v>-</v>
      </c>
      <c r="AF59" s="516" t="str">
        <f t="shared" si="29"/>
        <v>-</v>
      </c>
      <c r="AG59" s="516" t="str">
        <f t="shared" si="29"/>
        <v>-</v>
      </c>
      <c r="AH59" s="516" t="str">
        <f t="shared" si="27"/>
        <v>-</v>
      </c>
      <c r="AI59" s="516" t="str">
        <f t="shared" si="27"/>
        <v>-</v>
      </c>
      <c r="AJ59" s="516" t="str">
        <f t="shared" si="27"/>
        <v>-</v>
      </c>
      <c r="AK59" s="516" t="str">
        <f t="shared" si="27"/>
        <v>-</v>
      </c>
      <c r="AL59" s="516" t="str">
        <f t="shared" si="27"/>
        <v>-</v>
      </c>
      <c r="AM59" s="516" t="str">
        <f t="shared" si="27"/>
        <v>-</v>
      </c>
      <c r="AN59" s="516" t="str">
        <f t="shared" si="27"/>
        <v>-</v>
      </c>
      <c r="AO59" s="516" t="str">
        <f t="shared" si="27"/>
        <v>-</v>
      </c>
      <c r="AP59" s="516" t="str">
        <f t="shared" si="27"/>
        <v>-</v>
      </c>
      <c r="AQ59" s="516" t="str">
        <f t="shared" si="27"/>
        <v>-</v>
      </c>
      <c r="AR59" s="516" t="str">
        <f t="shared" si="27"/>
        <v>-</v>
      </c>
      <c r="AS59" s="516" t="str">
        <f t="shared" si="27"/>
        <v>-</v>
      </c>
      <c r="AT59" s="516" t="str">
        <f t="shared" si="27"/>
        <v>-</v>
      </c>
      <c r="AU59" s="516" t="str">
        <f t="shared" si="27"/>
        <v>-</v>
      </c>
      <c r="AV59" s="516" t="str">
        <f t="shared" si="27"/>
        <v>-</v>
      </c>
      <c r="AW59" s="516" t="str">
        <f t="shared" si="27"/>
        <v>-</v>
      </c>
      <c r="AX59" s="516" t="str">
        <f t="shared" si="27"/>
        <v>-</v>
      </c>
      <c r="AY59" s="516" t="str">
        <f t="shared" si="27"/>
        <v>-</v>
      </c>
      <c r="AZ59" s="516" t="str">
        <f t="shared" si="27"/>
        <v>-</v>
      </c>
      <c r="BA59" s="516" t="str">
        <f t="shared" si="27"/>
        <v>-</v>
      </c>
      <c r="BB59" s="516" t="str">
        <f t="shared" si="27"/>
        <v>-</v>
      </c>
      <c r="BC59" s="516" t="str">
        <f t="shared" si="26"/>
        <v>-</v>
      </c>
      <c r="BD59" s="516" t="str">
        <f t="shared" si="26"/>
        <v>-</v>
      </c>
      <c r="BE59" s="516" t="str">
        <f t="shared" si="26"/>
        <v>-</v>
      </c>
      <c r="BF59" s="516" t="str">
        <f t="shared" si="26"/>
        <v>-</v>
      </c>
      <c r="BG59" s="516" t="str">
        <f t="shared" si="26"/>
        <v>-</v>
      </c>
      <c r="BH59" s="516" t="str">
        <f t="shared" si="26"/>
        <v>-</v>
      </c>
      <c r="BI59" s="516" t="str">
        <f t="shared" si="26"/>
        <v>-</v>
      </c>
      <c r="BJ59" s="516" t="str">
        <f t="shared" si="26"/>
        <v>-</v>
      </c>
      <c r="BK59" s="516" t="str">
        <f t="shared" si="26"/>
        <v>-</v>
      </c>
      <c r="BL59" s="516" t="str">
        <f t="shared" si="26"/>
        <v>-</v>
      </c>
      <c r="BM59" s="516" t="str">
        <f t="shared" si="26"/>
        <v>-</v>
      </c>
      <c r="BN59" s="516" t="str">
        <f t="shared" si="26"/>
        <v>-</v>
      </c>
      <c r="BO59" s="516" t="str">
        <f t="shared" si="26"/>
        <v>-</v>
      </c>
      <c r="BP59" s="516" t="str">
        <f t="shared" si="26"/>
        <v>-</v>
      </c>
      <c r="BQ59" s="516" t="str">
        <f t="shared" si="26"/>
        <v>-</v>
      </c>
      <c r="BR59" s="516" t="str">
        <f t="shared" si="26"/>
        <v>-</v>
      </c>
      <c r="BS59" s="516" t="str">
        <f t="shared" si="30"/>
        <v>-</v>
      </c>
      <c r="BT59" s="516" t="str">
        <f t="shared" si="30"/>
        <v>-</v>
      </c>
      <c r="BU59" s="516" t="str">
        <f t="shared" si="30"/>
        <v>-</v>
      </c>
      <c r="BV59" s="516" t="str">
        <f t="shared" si="30"/>
        <v>-</v>
      </c>
      <c r="BW59" s="516" t="str">
        <f t="shared" si="28"/>
        <v>-</v>
      </c>
      <c r="BX59" s="516" t="str">
        <f t="shared" si="28"/>
        <v>-</v>
      </c>
      <c r="BY59" s="516" t="str">
        <f t="shared" si="28"/>
        <v>-</v>
      </c>
      <c r="BZ59" s="516" t="str">
        <f t="shared" si="28"/>
        <v>-</v>
      </c>
      <c r="CA59" s="516" t="str">
        <f t="shared" si="28"/>
        <v>-</v>
      </c>
    </row>
    <row r="60" spans="1:79">
      <c r="A60" s="105"/>
      <c r="B60" s="112"/>
      <c r="C60" s="512"/>
      <c r="D60" s="111" t="str">
        <f t="shared" si="8"/>
        <v/>
      </c>
      <c r="E60" s="517" t="str">
        <f>IF(LEN(B60)&gt;0,CHOOSE(MATCH(RIGHT(D60,1),{"D","W","M"},0),NextBusDay($C$4,LEFT(D60,LEN(D60)-1)),NextBusDay($C$4+7*LEFT(D60,LEN(D60)-1)),NextBusDay(EDATE($C$4,LEFT(D60,LEN(D60)-1)))),"")</f>
        <v/>
      </c>
      <c r="F60" s="107"/>
      <c r="G60" s="106"/>
      <c r="H60" s="106" t="str">
        <f t="shared" si="25"/>
        <v/>
      </c>
      <c r="I60" s="261"/>
      <c r="J60" s="106" t="str">
        <f>IF(LEN(F60)&gt;0,IF(I60="S",H60,IF(I60="F",EDATE(H60,3),CHOOSE(MATCH(RIGHT(H60,1),{"D","W","M"},0),NextBusDay($C$4,LEFT(H60,LEN(H60)-1)),NextBusDay($C$4+7*LEFT(H60,LEN(H60)-1)),NextBusDay(EDATE($C$4,LEFT(H60,LEN(H60)-1)))))),"")</f>
        <v/>
      </c>
      <c r="L60" s="515">
        <f t="shared" si="23"/>
        <v>0</v>
      </c>
      <c r="N60" s="106" t="str">
        <f t="shared" si="3"/>
        <v>-</v>
      </c>
      <c r="O60" s="106" t="str">
        <f t="shared" si="17"/>
        <v>-</v>
      </c>
      <c r="P60" s="106" t="str">
        <f t="shared" si="5"/>
        <v>-</v>
      </c>
      <c r="Q60" s="106" t="b">
        <f t="shared" si="6"/>
        <v>0</v>
      </c>
      <c r="R60" s="516" t="str">
        <f t="shared" si="29"/>
        <v>-</v>
      </c>
      <c r="S60" s="516" t="str">
        <f t="shared" si="29"/>
        <v>-</v>
      </c>
      <c r="T60" s="516" t="str">
        <f t="shared" si="29"/>
        <v>-</v>
      </c>
      <c r="U60" s="516" t="str">
        <f t="shared" si="29"/>
        <v>-</v>
      </c>
      <c r="V60" s="516" t="str">
        <f t="shared" si="29"/>
        <v>-</v>
      </c>
      <c r="W60" s="516" t="str">
        <f t="shared" si="29"/>
        <v>-</v>
      </c>
      <c r="X60" s="516" t="str">
        <f t="shared" si="29"/>
        <v>-</v>
      </c>
      <c r="Y60" s="516" t="str">
        <f t="shared" si="29"/>
        <v>-</v>
      </c>
      <c r="Z60" s="516" t="str">
        <f t="shared" si="29"/>
        <v>-</v>
      </c>
      <c r="AA60" s="516" t="str">
        <f t="shared" si="29"/>
        <v>-</v>
      </c>
      <c r="AB60" s="516" t="str">
        <f t="shared" si="29"/>
        <v>-</v>
      </c>
      <c r="AC60" s="516" t="str">
        <f t="shared" si="29"/>
        <v>-</v>
      </c>
      <c r="AD60" s="516" t="str">
        <f t="shared" si="29"/>
        <v>-</v>
      </c>
      <c r="AE60" s="516" t="str">
        <f t="shared" si="29"/>
        <v>-</v>
      </c>
      <c r="AF60" s="516" t="str">
        <f t="shared" si="29"/>
        <v>-</v>
      </c>
      <c r="AG60" s="516" t="str">
        <f t="shared" si="29"/>
        <v>-</v>
      </c>
      <c r="AH60" s="516" t="str">
        <f t="shared" si="27"/>
        <v>-</v>
      </c>
      <c r="AI60" s="516" t="str">
        <f t="shared" si="27"/>
        <v>-</v>
      </c>
      <c r="AJ60" s="516" t="str">
        <f t="shared" si="27"/>
        <v>-</v>
      </c>
      <c r="AK60" s="516" t="str">
        <f t="shared" si="27"/>
        <v>-</v>
      </c>
      <c r="AL60" s="516" t="str">
        <f t="shared" si="27"/>
        <v>-</v>
      </c>
      <c r="AM60" s="516" t="str">
        <f t="shared" si="27"/>
        <v>-</v>
      </c>
      <c r="AN60" s="516" t="str">
        <f t="shared" si="27"/>
        <v>-</v>
      </c>
      <c r="AO60" s="516" t="str">
        <f t="shared" si="27"/>
        <v>-</v>
      </c>
      <c r="AP60" s="516" t="str">
        <f t="shared" si="27"/>
        <v>-</v>
      </c>
      <c r="AQ60" s="516" t="str">
        <f t="shared" si="27"/>
        <v>-</v>
      </c>
      <c r="AR60" s="516" t="str">
        <f t="shared" si="27"/>
        <v>-</v>
      </c>
      <c r="AS60" s="516" t="str">
        <f t="shared" si="27"/>
        <v>-</v>
      </c>
      <c r="AT60" s="516" t="str">
        <f t="shared" si="27"/>
        <v>-</v>
      </c>
      <c r="AU60" s="516" t="str">
        <f t="shared" si="27"/>
        <v>-</v>
      </c>
      <c r="AV60" s="516" t="str">
        <f t="shared" si="27"/>
        <v>-</v>
      </c>
      <c r="AW60" s="516" t="str">
        <f t="shared" si="27"/>
        <v>-</v>
      </c>
      <c r="AX60" s="516" t="str">
        <f t="shared" si="27"/>
        <v>-</v>
      </c>
      <c r="AY60" s="516" t="str">
        <f t="shared" si="27"/>
        <v>-</v>
      </c>
      <c r="AZ60" s="516" t="str">
        <f t="shared" si="27"/>
        <v>-</v>
      </c>
      <c r="BA60" s="516" t="str">
        <f t="shared" si="27"/>
        <v>-</v>
      </c>
      <c r="BB60" s="516" t="str">
        <f t="shared" si="27"/>
        <v>-</v>
      </c>
      <c r="BC60" s="516" t="str">
        <f t="shared" si="26"/>
        <v>-</v>
      </c>
      <c r="BD60" s="516" t="str">
        <f t="shared" si="26"/>
        <v>-</v>
      </c>
      <c r="BE60" s="516" t="str">
        <f t="shared" si="26"/>
        <v>-</v>
      </c>
      <c r="BF60" s="516" t="str">
        <f t="shared" si="26"/>
        <v>-</v>
      </c>
      <c r="BG60" s="516" t="str">
        <f t="shared" si="26"/>
        <v>-</v>
      </c>
      <c r="BH60" s="516" t="str">
        <f t="shared" si="26"/>
        <v>-</v>
      </c>
      <c r="BI60" s="516" t="str">
        <f t="shared" si="26"/>
        <v>-</v>
      </c>
      <c r="BJ60" s="516" t="str">
        <f t="shared" si="26"/>
        <v>-</v>
      </c>
      <c r="BK60" s="516" t="str">
        <f t="shared" si="26"/>
        <v>-</v>
      </c>
      <c r="BL60" s="516" t="str">
        <f t="shared" si="26"/>
        <v>-</v>
      </c>
      <c r="BM60" s="516" t="str">
        <f t="shared" si="26"/>
        <v>-</v>
      </c>
      <c r="BN60" s="516" t="str">
        <f t="shared" si="26"/>
        <v>-</v>
      </c>
      <c r="BO60" s="516" t="str">
        <f t="shared" si="26"/>
        <v>-</v>
      </c>
      <c r="BP60" s="516" t="str">
        <f t="shared" si="26"/>
        <v>-</v>
      </c>
      <c r="BQ60" s="516" t="str">
        <f t="shared" si="26"/>
        <v>-</v>
      </c>
      <c r="BR60" s="516" t="str">
        <f t="shared" si="26"/>
        <v>-</v>
      </c>
      <c r="BS60" s="516" t="str">
        <f t="shared" si="30"/>
        <v>-</v>
      </c>
      <c r="BT60" s="516" t="str">
        <f t="shared" si="30"/>
        <v>-</v>
      </c>
      <c r="BU60" s="516" t="str">
        <f t="shared" si="30"/>
        <v>-</v>
      </c>
      <c r="BV60" s="516" t="str">
        <f t="shared" si="30"/>
        <v>-</v>
      </c>
      <c r="BW60" s="516" t="str">
        <f t="shared" si="28"/>
        <v>-</v>
      </c>
      <c r="BX60" s="516" t="str">
        <f t="shared" si="28"/>
        <v>-</v>
      </c>
      <c r="BY60" s="516" t="str">
        <f t="shared" si="28"/>
        <v>-</v>
      </c>
      <c r="BZ60" s="516" t="str">
        <f t="shared" si="28"/>
        <v>-</v>
      </c>
      <c r="CA60" s="516" t="str">
        <f t="shared" si="28"/>
        <v>-</v>
      </c>
    </row>
    <row r="61" spans="1:79">
      <c r="A61" s="105"/>
      <c r="B61" s="112"/>
      <c r="C61" s="512"/>
      <c r="D61" s="111" t="str">
        <f t="shared" si="8"/>
        <v/>
      </c>
      <c r="E61" s="517" t="str">
        <f>IF(LEN(B61)&gt;0,CHOOSE(MATCH(RIGHT(D61,1),{"D","W","M"},0),NextBusDay($C$4,LEFT(D61,LEN(D61)-1)),NextBusDay($C$4+7*LEFT(D61,LEN(D61)-1)),NextBusDay(EDATE($C$4,LEFT(D61,LEN(D61)-1)))),"")</f>
        <v/>
      </c>
      <c r="F61" s="107"/>
      <c r="G61" s="106"/>
      <c r="H61" s="106" t="str">
        <f t="shared" si="25"/>
        <v/>
      </c>
      <c r="I61" s="261"/>
      <c r="J61" s="106" t="str">
        <f>IF(LEN(F61)&gt;0,IF(I61="S",H61,IF(I61="F",EDATE(H61,3),CHOOSE(MATCH(RIGHT(H61,1),{"D","W","M"},0),NextBusDay($C$4,LEFT(H61,LEN(H61)-1)),NextBusDay($C$4+7*LEFT(H61,LEN(H61)-1)),NextBusDay(EDATE($C$4,LEFT(H61,LEN(H61)-1)))))),"")</f>
        <v/>
      </c>
      <c r="L61" s="515">
        <f t="shared" si="23"/>
        <v>0</v>
      </c>
      <c r="N61" s="106" t="str">
        <f t="shared" si="3"/>
        <v>-</v>
      </c>
      <c r="O61" s="106" t="str">
        <f t="shared" si="17"/>
        <v>-</v>
      </c>
      <c r="P61" s="106" t="str">
        <f t="shared" si="5"/>
        <v>-</v>
      </c>
      <c r="Q61" s="106" t="b">
        <f t="shared" si="6"/>
        <v>0</v>
      </c>
      <c r="R61" s="516" t="str">
        <f t="shared" si="29"/>
        <v>-</v>
      </c>
      <c r="S61" s="516" t="str">
        <f t="shared" si="29"/>
        <v>-</v>
      </c>
      <c r="T61" s="516" t="str">
        <f t="shared" si="29"/>
        <v>-</v>
      </c>
      <c r="U61" s="516" t="str">
        <f t="shared" si="29"/>
        <v>-</v>
      </c>
      <c r="V61" s="516" t="str">
        <f t="shared" si="29"/>
        <v>-</v>
      </c>
      <c r="W61" s="516" t="str">
        <f t="shared" si="29"/>
        <v>-</v>
      </c>
      <c r="X61" s="516" t="str">
        <f t="shared" si="29"/>
        <v>-</v>
      </c>
      <c r="Y61" s="516" t="str">
        <f t="shared" si="29"/>
        <v>-</v>
      </c>
      <c r="Z61" s="516" t="str">
        <f t="shared" si="29"/>
        <v>-</v>
      </c>
      <c r="AA61" s="516" t="str">
        <f t="shared" si="29"/>
        <v>-</v>
      </c>
      <c r="AB61" s="516" t="str">
        <f t="shared" si="29"/>
        <v>-</v>
      </c>
      <c r="AC61" s="516" t="str">
        <f t="shared" si="29"/>
        <v>-</v>
      </c>
      <c r="AD61" s="516" t="str">
        <f t="shared" si="29"/>
        <v>-</v>
      </c>
      <c r="AE61" s="516" t="str">
        <f t="shared" si="29"/>
        <v>-</v>
      </c>
      <c r="AF61" s="516" t="str">
        <f t="shared" si="29"/>
        <v>-</v>
      </c>
      <c r="AG61" s="516" t="str">
        <f t="shared" si="29"/>
        <v>-</v>
      </c>
      <c r="AH61" s="516" t="str">
        <f t="shared" si="27"/>
        <v>-</v>
      </c>
      <c r="AI61" s="516" t="str">
        <f t="shared" si="27"/>
        <v>-</v>
      </c>
      <c r="AJ61" s="516" t="str">
        <f t="shared" si="27"/>
        <v>-</v>
      </c>
      <c r="AK61" s="516" t="str">
        <f t="shared" si="27"/>
        <v>-</v>
      </c>
      <c r="AL61" s="516" t="str">
        <f t="shared" si="27"/>
        <v>-</v>
      </c>
      <c r="AM61" s="516" t="str">
        <f t="shared" si="27"/>
        <v>-</v>
      </c>
      <c r="AN61" s="516" t="str">
        <f t="shared" si="27"/>
        <v>-</v>
      </c>
      <c r="AO61" s="516" t="str">
        <f t="shared" si="27"/>
        <v>-</v>
      </c>
      <c r="AP61" s="516" t="str">
        <f t="shared" si="27"/>
        <v>-</v>
      </c>
      <c r="AQ61" s="516" t="str">
        <f t="shared" si="27"/>
        <v>-</v>
      </c>
      <c r="AR61" s="516" t="str">
        <f t="shared" si="27"/>
        <v>-</v>
      </c>
      <c r="AS61" s="516" t="str">
        <f t="shared" si="27"/>
        <v>-</v>
      </c>
      <c r="AT61" s="516" t="str">
        <f t="shared" si="27"/>
        <v>-</v>
      </c>
      <c r="AU61" s="516" t="str">
        <f t="shared" si="27"/>
        <v>-</v>
      </c>
      <c r="AV61" s="516" t="str">
        <f t="shared" si="27"/>
        <v>-</v>
      </c>
      <c r="AW61" s="516" t="str">
        <f t="shared" si="27"/>
        <v>-</v>
      </c>
      <c r="AX61" s="516" t="str">
        <f t="shared" si="27"/>
        <v>-</v>
      </c>
      <c r="AY61" s="516" t="str">
        <f t="shared" si="27"/>
        <v>-</v>
      </c>
      <c r="AZ61" s="516" t="str">
        <f t="shared" si="27"/>
        <v>-</v>
      </c>
      <c r="BA61" s="516" t="str">
        <f t="shared" si="27"/>
        <v>-</v>
      </c>
      <c r="BB61" s="516" t="str">
        <f t="shared" si="27"/>
        <v>-</v>
      </c>
      <c r="BC61" s="516" t="str">
        <f t="shared" si="26"/>
        <v>-</v>
      </c>
      <c r="BD61" s="516" t="str">
        <f t="shared" si="26"/>
        <v>-</v>
      </c>
      <c r="BE61" s="516" t="str">
        <f t="shared" si="26"/>
        <v>-</v>
      </c>
      <c r="BF61" s="516" t="str">
        <f t="shared" si="26"/>
        <v>-</v>
      </c>
      <c r="BG61" s="516" t="str">
        <f t="shared" si="26"/>
        <v>-</v>
      </c>
      <c r="BH61" s="516" t="str">
        <f t="shared" si="26"/>
        <v>-</v>
      </c>
      <c r="BI61" s="516" t="str">
        <f t="shared" si="26"/>
        <v>-</v>
      </c>
      <c r="BJ61" s="516" t="str">
        <f t="shared" si="26"/>
        <v>-</v>
      </c>
      <c r="BK61" s="516" t="str">
        <f t="shared" si="26"/>
        <v>-</v>
      </c>
      <c r="BL61" s="516" t="str">
        <f t="shared" si="26"/>
        <v>-</v>
      </c>
      <c r="BM61" s="516" t="str">
        <f t="shared" si="26"/>
        <v>-</v>
      </c>
      <c r="BN61" s="516" t="str">
        <f t="shared" si="26"/>
        <v>-</v>
      </c>
      <c r="BO61" s="516" t="str">
        <f t="shared" si="26"/>
        <v>-</v>
      </c>
      <c r="BP61" s="516" t="str">
        <f t="shared" si="26"/>
        <v>-</v>
      </c>
      <c r="BQ61" s="516" t="str">
        <f t="shared" si="26"/>
        <v>-</v>
      </c>
      <c r="BR61" s="516" t="str">
        <f t="shared" si="26"/>
        <v>-</v>
      </c>
      <c r="BS61" s="516" t="str">
        <f t="shared" si="30"/>
        <v>-</v>
      </c>
      <c r="BT61" s="516" t="str">
        <f t="shared" si="30"/>
        <v>-</v>
      </c>
      <c r="BU61" s="516" t="str">
        <f t="shared" si="30"/>
        <v>-</v>
      </c>
      <c r="BV61" s="516" t="str">
        <f t="shared" si="30"/>
        <v>-</v>
      </c>
      <c r="BW61" s="516" t="str">
        <f t="shared" si="28"/>
        <v>-</v>
      </c>
      <c r="BX61" s="516" t="str">
        <f t="shared" si="28"/>
        <v>-</v>
      </c>
      <c r="BY61" s="516" t="str">
        <f t="shared" si="28"/>
        <v>-</v>
      </c>
      <c r="BZ61" s="516" t="str">
        <f t="shared" si="28"/>
        <v>-</v>
      </c>
      <c r="CA61" s="516" t="str">
        <f t="shared" si="28"/>
        <v>-</v>
      </c>
    </row>
    <row r="62" spans="1:79">
      <c r="A62" s="105"/>
      <c r="B62" s="112"/>
      <c r="C62" s="512"/>
      <c r="D62" s="111" t="str">
        <f t="shared" si="8"/>
        <v/>
      </c>
      <c r="E62" s="517" t="str">
        <f>IF(LEN(B62)&gt;0,CHOOSE(MATCH(RIGHT(D62,1),{"D","W","M"},0),NextBusDay($C$4,LEFT(D62,LEN(D62)-1)),NextBusDay($C$4+7*LEFT(D62,LEN(D62)-1)),NextBusDay(EDATE($C$4,LEFT(D62,LEN(D62)-1)))),"")</f>
        <v/>
      </c>
      <c r="F62" s="107"/>
      <c r="G62" s="106"/>
      <c r="H62" s="106" t="str">
        <f t="shared" si="25"/>
        <v/>
      </c>
      <c r="I62" s="261"/>
      <c r="J62" s="106" t="str">
        <f>IF(LEN(F62)&gt;0,IF(I62="S",H62,IF(I62="F",EDATE(H62,3),CHOOSE(MATCH(RIGHT(H62,1),{"D","W","M"},0),NextBusDay($C$4,LEFT(H62,LEN(H62)-1)),NextBusDay($C$4+7*LEFT(H62,LEN(H62)-1)),NextBusDay(EDATE($C$4,LEFT(H62,LEN(H62)-1)))))),"")</f>
        <v/>
      </c>
      <c r="L62" s="515">
        <f t="shared" si="23"/>
        <v>0</v>
      </c>
      <c r="N62" s="106" t="str">
        <f t="shared" si="3"/>
        <v>-</v>
      </c>
      <c r="O62" s="106" t="str">
        <f t="shared" si="17"/>
        <v>-</v>
      </c>
      <c r="P62" s="106" t="str">
        <f t="shared" si="5"/>
        <v>-</v>
      </c>
      <c r="Q62" s="106" t="b">
        <f t="shared" si="6"/>
        <v>0</v>
      </c>
      <c r="R62" s="516" t="str">
        <f t="shared" si="29"/>
        <v>-</v>
      </c>
      <c r="S62" s="516" t="str">
        <f t="shared" si="29"/>
        <v>-</v>
      </c>
      <c r="T62" s="516" t="str">
        <f t="shared" si="29"/>
        <v>-</v>
      </c>
      <c r="U62" s="516" t="str">
        <f t="shared" si="29"/>
        <v>-</v>
      </c>
      <c r="V62" s="516" t="str">
        <f t="shared" si="29"/>
        <v>-</v>
      </c>
      <c r="W62" s="516" t="str">
        <f t="shared" si="29"/>
        <v>-</v>
      </c>
      <c r="X62" s="516" t="str">
        <f t="shared" si="29"/>
        <v>-</v>
      </c>
      <c r="Y62" s="516" t="str">
        <f t="shared" si="29"/>
        <v>-</v>
      </c>
      <c r="Z62" s="516" t="str">
        <f t="shared" si="29"/>
        <v>-</v>
      </c>
      <c r="AA62" s="516" t="str">
        <f t="shared" si="29"/>
        <v>-</v>
      </c>
      <c r="AB62" s="516" t="str">
        <f t="shared" si="29"/>
        <v>-</v>
      </c>
      <c r="AC62" s="516" t="str">
        <f t="shared" si="29"/>
        <v>-</v>
      </c>
      <c r="AD62" s="516" t="str">
        <f t="shared" si="29"/>
        <v>-</v>
      </c>
      <c r="AE62" s="516" t="str">
        <f t="shared" si="29"/>
        <v>-</v>
      </c>
      <c r="AF62" s="516" t="str">
        <f t="shared" si="29"/>
        <v>-</v>
      </c>
      <c r="AG62" s="516" t="str">
        <f t="shared" si="29"/>
        <v>-</v>
      </c>
      <c r="AH62" s="516" t="str">
        <f t="shared" si="27"/>
        <v>-</v>
      </c>
      <c r="AI62" s="516" t="str">
        <f t="shared" si="27"/>
        <v>-</v>
      </c>
      <c r="AJ62" s="516" t="str">
        <f t="shared" si="27"/>
        <v>-</v>
      </c>
      <c r="AK62" s="516" t="str">
        <f t="shared" si="27"/>
        <v>-</v>
      </c>
      <c r="AL62" s="516" t="str">
        <f t="shared" si="27"/>
        <v>-</v>
      </c>
      <c r="AM62" s="516" t="str">
        <f t="shared" si="27"/>
        <v>-</v>
      </c>
      <c r="AN62" s="516" t="str">
        <f t="shared" si="27"/>
        <v>-</v>
      </c>
      <c r="AO62" s="516" t="str">
        <f t="shared" si="27"/>
        <v>-</v>
      </c>
      <c r="AP62" s="516" t="str">
        <f t="shared" si="27"/>
        <v>-</v>
      </c>
      <c r="AQ62" s="516" t="str">
        <f t="shared" si="27"/>
        <v>-</v>
      </c>
      <c r="AR62" s="516" t="str">
        <f t="shared" si="27"/>
        <v>-</v>
      </c>
      <c r="AS62" s="516" t="str">
        <f t="shared" si="27"/>
        <v>-</v>
      </c>
      <c r="AT62" s="516" t="str">
        <f t="shared" si="27"/>
        <v>-</v>
      </c>
      <c r="AU62" s="516" t="str">
        <f t="shared" si="27"/>
        <v>-</v>
      </c>
      <c r="AV62" s="516" t="str">
        <f t="shared" si="27"/>
        <v>-</v>
      </c>
      <c r="AW62" s="516" t="str">
        <f t="shared" si="27"/>
        <v>-</v>
      </c>
      <c r="AX62" s="516" t="str">
        <f t="shared" si="27"/>
        <v>-</v>
      </c>
      <c r="AY62" s="516" t="str">
        <f t="shared" si="27"/>
        <v>-</v>
      </c>
      <c r="AZ62" s="516" t="str">
        <f t="shared" si="27"/>
        <v>-</v>
      </c>
      <c r="BA62" s="516" t="str">
        <f t="shared" si="27"/>
        <v>-</v>
      </c>
      <c r="BB62" s="516" t="str">
        <f t="shared" si="27"/>
        <v>-</v>
      </c>
      <c r="BC62" s="516" t="str">
        <f t="shared" si="26"/>
        <v>-</v>
      </c>
      <c r="BD62" s="516" t="str">
        <f t="shared" si="26"/>
        <v>-</v>
      </c>
      <c r="BE62" s="516" t="str">
        <f t="shared" si="26"/>
        <v>-</v>
      </c>
      <c r="BF62" s="516" t="str">
        <f t="shared" si="26"/>
        <v>-</v>
      </c>
      <c r="BG62" s="516" t="str">
        <f t="shared" si="26"/>
        <v>-</v>
      </c>
      <c r="BH62" s="516" t="str">
        <f t="shared" si="26"/>
        <v>-</v>
      </c>
      <c r="BI62" s="516" t="str">
        <f t="shared" si="26"/>
        <v>-</v>
      </c>
      <c r="BJ62" s="516" t="str">
        <f t="shared" si="26"/>
        <v>-</v>
      </c>
      <c r="BK62" s="516" t="str">
        <f t="shared" si="26"/>
        <v>-</v>
      </c>
      <c r="BL62" s="516" t="str">
        <f t="shared" si="26"/>
        <v>-</v>
      </c>
      <c r="BM62" s="516" t="str">
        <f t="shared" si="26"/>
        <v>-</v>
      </c>
      <c r="BN62" s="516" t="str">
        <f t="shared" si="26"/>
        <v>-</v>
      </c>
      <c r="BO62" s="516" t="str">
        <f t="shared" si="26"/>
        <v>-</v>
      </c>
      <c r="BP62" s="516" t="str">
        <f t="shared" si="26"/>
        <v>-</v>
      </c>
      <c r="BQ62" s="516" t="str">
        <f t="shared" si="26"/>
        <v>-</v>
      </c>
      <c r="BR62" s="516" t="str">
        <f t="shared" si="26"/>
        <v>-</v>
      </c>
      <c r="BS62" s="516" t="str">
        <f t="shared" si="30"/>
        <v>-</v>
      </c>
      <c r="BT62" s="516" t="str">
        <f t="shared" si="30"/>
        <v>-</v>
      </c>
      <c r="BU62" s="516" t="str">
        <f t="shared" si="30"/>
        <v>-</v>
      </c>
      <c r="BV62" s="516" t="str">
        <f t="shared" si="30"/>
        <v>-</v>
      </c>
      <c r="BW62" s="516" t="str">
        <f t="shared" si="28"/>
        <v>-</v>
      </c>
      <c r="BX62" s="516" t="str">
        <f t="shared" si="28"/>
        <v>-</v>
      </c>
      <c r="BY62" s="516" t="str">
        <f t="shared" si="28"/>
        <v>-</v>
      </c>
      <c r="BZ62" s="516" t="str">
        <f t="shared" si="28"/>
        <v>-</v>
      </c>
      <c r="CA62" s="516" t="str">
        <f t="shared" si="28"/>
        <v>-</v>
      </c>
    </row>
    <row r="63" spans="1:79">
      <c r="A63" s="105"/>
      <c r="B63" s="112"/>
      <c r="C63" s="512"/>
      <c r="D63" s="111" t="str">
        <f t="shared" si="8"/>
        <v/>
      </c>
      <c r="E63" s="517" t="str">
        <f>IF(LEN(B63)&gt;0,CHOOSE(MATCH(RIGHT(D63,1),{"D","W","M"},0),NextBusDay($C$4,LEFT(D63,LEN(D63)-1)),NextBusDay($C$4+7*LEFT(D63,LEN(D63)-1)),NextBusDay(EDATE($C$4,LEFT(D63,LEN(D63)-1)))),"")</f>
        <v/>
      </c>
      <c r="F63" s="107"/>
      <c r="G63" s="106"/>
      <c r="H63" s="106" t="str">
        <f t="shared" si="25"/>
        <v/>
      </c>
      <c r="I63" s="261"/>
      <c r="J63" s="106" t="str">
        <f>IF(LEN(F63)&gt;0,IF(I63="S",H63,IF(I63="F",EDATE(H63,3),CHOOSE(MATCH(RIGHT(H63,1),{"D","W","M"},0),NextBusDay($C$4,LEFT(H63,LEN(H63)-1)),NextBusDay($C$4+7*LEFT(H63,LEN(H63)-1)),NextBusDay(EDATE($C$4,LEFT(H63,LEN(H63)-1)))))),"")</f>
        <v/>
      </c>
      <c r="L63" s="515">
        <f t="shared" si="23"/>
        <v>0</v>
      </c>
      <c r="N63" s="106" t="str">
        <f t="shared" si="3"/>
        <v>-</v>
      </c>
      <c r="O63" s="106" t="str">
        <f t="shared" si="17"/>
        <v>-</v>
      </c>
      <c r="P63" s="106" t="str">
        <f t="shared" si="5"/>
        <v>-</v>
      </c>
      <c r="Q63" s="106" t="b">
        <f t="shared" si="6"/>
        <v>0</v>
      </c>
      <c r="R63" s="516" t="str">
        <f t="shared" si="29"/>
        <v>-</v>
      </c>
      <c r="S63" s="516" t="str">
        <f t="shared" si="29"/>
        <v>-</v>
      </c>
      <c r="T63" s="516" t="str">
        <f t="shared" si="29"/>
        <v>-</v>
      </c>
      <c r="U63" s="516" t="str">
        <f t="shared" si="29"/>
        <v>-</v>
      </c>
      <c r="V63" s="516" t="str">
        <f t="shared" si="29"/>
        <v>-</v>
      </c>
      <c r="W63" s="516" t="str">
        <f t="shared" si="29"/>
        <v>-</v>
      </c>
      <c r="X63" s="516" t="str">
        <f t="shared" si="29"/>
        <v>-</v>
      </c>
      <c r="Y63" s="516" t="str">
        <f t="shared" si="29"/>
        <v>-</v>
      </c>
      <c r="Z63" s="516" t="str">
        <f t="shared" si="29"/>
        <v>-</v>
      </c>
      <c r="AA63" s="516" t="str">
        <f t="shared" si="29"/>
        <v>-</v>
      </c>
      <c r="AB63" s="516" t="str">
        <f t="shared" si="29"/>
        <v>-</v>
      </c>
      <c r="AC63" s="516" t="str">
        <f t="shared" si="29"/>
        <v>-</v>
      </c>
      <c r="AD63" s="516" t="str">
        <f t="shared" si="29"/>
        <v>-</v>
      </c>
      <c r="AE63" s="516" t="str">
        <f t="shared" si="29"/>
        <v>-</v>
      </c>
      <c r="AF63" s="516" t="str">
        <f t="shared" si="29"/>
        <v>-</v>
      </c>
      <c r="AG63" s="516" t="str">
        <f t="shared" si="29"/>
        <v>-</v>
      </c>
      <c r="AH63" s="516" t="str">
        <f t="shared" si="27"/>
        <v>-</v>
      </c>
      <c r="AI63" s="516" t="str">
        <f t="shared" si="27"/>
        <v>-</v>
      </c>
      <c r="AJ63" s="516" t="str">
        <f t="shared" si="27"/>
        <v>-</v>
      </c>
      <c r="AK63" s="516" t="str">
        <f t="shared" ref="AK63:BB73" si="31">IF(LEN($F63)&gt;0,IF(AND(AK$8=$J63,NOT(AND(AK$8&gt;=$N63,AK$8&lt;$P63))),AK$6,IF(AND(NOT(AK$8&gt;$J62),AK$8&lt;$J63),"-",IF(AND(AK$8&gt;=$N63,AK$8&lt;$P63),"???",IF(AND(AK$8&gt;$J62,AK$8&lt;$J63),AK$6*(AK$8-$J62)/($J63-$J62),IF(AND(AK$8&gt;$J63,AK$8&lt;$J64),AK$6*($J64-AK$8)/($J64-$J63),"-"))))),"-")</f>
        <v>-</v>
      </c>
      <c r="AL63" s="516" t="str">
        <f t="shared" si="31"/>
        <v>-</v>
      </c>
      <c r="AM63" s="516" t="str">
        <f t="shared" si="31"/>
        <v>-</v>
      </c>
      <c r="AN63" s="516" t="str">
        <f t="shared" si="31"/>
        <v>-</v>
      </c>
      <c r="AO63" s="516" t="str">
        <f t="shared" si="31"/>
        <v>-</v>
      </c>
      <c r="AP63" s="516" t="str">
        <f t="shared" si="31"/>
        <v>-</v>
      </c>
      <c r="AQ63" s="516" t="str">
        <f t="shared" si="31"/>
        <v>-</v>
      </c>
      <c r="AR63" s="516" t="str">
        <f t="shared" si="31"/>
        <v>-</v>
      </c>
      <c r="AS63" s="516" t="str">
        <f t="shared" si="31"/>
        <v>-</v>
      </c>
      <c r="AT63" s="516" t="str">
        <f t="shared" si="31"/>
        <v>-</v>
      </c>
      <c r="AU63" s="516" t="str">
        <f t="shared" si="31"/>
        <v>-</v>
      </c>
      <c r="AV63" s="516" t="str">
        <f t="shared" si="31"/>
        <v>-</v>
      </c>
      <c r="AW63" s="516" t="str">
        <f t="shared" si="31"/>
        <v>-</v>
      </c>
      <c r="AX63" s="516" t="str">
        <f t="shared" si="31"/>
        <v>-</v>
      </c>
      <c r="AY63" s="516" t="str">
        <f t="shared" si="31"/>
        <v>-</v>
      </c>
      <c r="AZ63" s="516" t="str">
        <f t="shared" si="31"/>
        <v>-</v>
      </c>
      <c r="BA63" s="516" t="str">
        <f t="shared" si="31"/>
        <v>-</v>
      </c>
      <c r="BB63" s="516" t="str">
        <f t="shared" si="31"/>
        <v>-</v>
      </c>
      <c r="BC63" s="516" t="str">
        <f t="shared" si="26"/>
        <v>-</v>
      </c>
      <c r="BD63" s="516" t="str">
        <f t="shared" si="26"/>
        <v>-</v>
      </c>
      <c r="BE63" s="516" t="str">
        <f t="shared" si="26"/>
        <v>-</v>
      </c>
      <c r="BF63" s="516" t="str">
        <f t="shared" si="26"/>
        <v>-</v>
      </c>
      <c r="BG63" s="516" t="str">
        <f t="shared" si="26"/>
        <v>-</v>
      </c>
      <c r="BH63" s="516" t="str">
        <f t="shared" si="26"/>
        <v>-</v>
      </c>
      <c r="BI63" s="516" t="str">
        <f t="shared" si="26"/>
        <v>-</v>
      </c>
      <c r="BJ63" s="516" t="str">
        <f t="shared" si="26"/>
        <v>-</v>
      </c>
      <c r="BK63" s="516" t="str">
        <f t="shared" si="26"/>
        <v>-</v>
      </c>
      <c r="BL63" s="516" t="str">
        <f t="shared" si="26"/>
        <v>-</v>
      </c>
      <c r="BM63" s="516" t="str">
        <f t="shared" si="26"/>
        <v>-</v>
      </c>
      <c r="BN63" s="516" t="str">
        <f t="shared" si="26"/>
        <v>-</v>
      </c>
      <c r="BO63" s="516" t="str">
        <f t="shared" si="26"/>
        <v>-</v>
      </c>
      <c r="BP63" s="516" t="str">
        <f t="shared" si="26"/>
        <v>-</v>
      </c>
      <c r="BQ63" s="516" t="str">
        <f t="shared" si="26"/>
        <v>-</v>
      </c>
      <c r="BR63" s="516" t="str">
        <f t="shared" si="26"/>
        <v>-</v>
      </c>
      <c r="BS63" s="516" t="str">
        <f t="shared" si="30"/>
        <v>-</v>
      </c>
      <c r="BT63" s="516" t="str">
        <f t="shared" si="30"/>
        <v>-</v>
      </c>
      <c r="BU63" s="516" t="str">
        <f t="shared" si="30"/>
        <v>-</v>
      </c>
      <c r="BV63" s="516" t="str">
        <f t="shared" si="30"/>
        <v>-</v>
      </c>
      <c r="BW63" s="516" t="str">
        <f t="shared" si="28"/>
        <v>-</v>
      </c>
      <c r="BX63" s="516" t="str">
        <f t="shared" si="28"/>
        <v>-</v>
      </c>
      <c r="BY63" s="516" t="str">
        <f t="shared" si="28"/>
        <v>-</v>
      </c>
      <c r="BZ63" s="516" t="str">
        <f t="shared" si="28"/>
        <v>-</v>
      </c>
      <c r="CA63" s="516" t="str">
        <f t="shared" si="28"/>
        <v>-</v>
      </c>
    </row>
    <row r="64" spans="1:79">
      <c r="A64" s="105"/>
      <c r="B64" s="112"/>
      <c r="C64" s="512"/>
      <c r="D64" s="111" t="str">
        <f t="shared" si="8"/>
        <v/>
      </c>
      <c r="E64" s="517" t="str">
        <f>IF(LEN(B64)&gt;0,CHOOSE(MATCH(RIGHT(D64,1),{"D","W","M"},0),NextBusDay($C$4,LEFT(D64,LEN(D64)-1)),NextBusDay($C$4+7*LEFT(D64,LEN(D64)-1)),NextBusDay(EDATE($C$4,LEFT(D64,LEN(D64)-1)))),"")</f>
        <v/>
      </c>
      <c r="F64" s="107"/>
      <c r="G64" s="106"/>
      <c r="H64" s="106" t="str">
        <f t="shared" si="25"/>
        <v/>
      </c>
      <c r="I64" s="261"/>
      <c r="J64" s="106" t="str">
        <f>IF(LEN(F64)&gt;0,IF(I64="S",H64,IF(I64="F",EDATE(H64,3),CHOOSE(MATCH(RIGHT(H64,1),{"D","W","M"},0),NextBusDay($C$4,LEFT(H64,LEN(H64)-1)),NextBusDay($C$4+7*LEFT(H64,LEN(H64)-1)),NextBusDay(EDATE($C$4,LEFT(H64,LEN(H64)-1)))))),"")</f>
        <v/>
      </c>
      <c r="L64" s="515">
        <f t="shared" si="23"/>
        <v>0</v>
      </c>
      <c r="N64" s="106" t="str">
        <f t="shared" si="3"/>
        <v>-</v>
      </c>
      <c r="O64" s="106" t="str">
        <f t="shared" si="17"/>
        <v>-</v>
      </c>
      <c r="P64" s="106" t="str">
        <f t="shared" si="5"/>
        <v>-</v>
      </c>
      <c r="Q64" s="106" t="b">
        <f t="shared" si="6"/>
        <v>0</v>
      </c>
      <c r="R64" s="516" t="str">
        <f t="shared" si="29"/>
        <v>-</v>
      </c>
      <c r="S64" s="516" t="str">
        <f t="shared" si="29"/>
        <v>-</v>
      </c>
      <c r="T64" s="516" t="str">
        <f t="shared" si="29"/>
        <v>-</v>
      </c>
      <c r="U64" s="516" t="str">
        <f t="shared" si="29"/>
        <v>-</v>
      </c>
      <c r="V64" s="516" t="str">
        <f t="shared" si="29"/>
        <v>-</v>
      </c>
      <c r="W64" s="516" t="str">
        <f t="shared" si="29"/>
        <v>-</v>
      </c>
      <c r="X64" s="516" t="str">
        <f t="shared" si="29"/>
        <v>-</v>
      </c>
      <c r="Y64" s="516" t="str">
        <f t="shared" si="29"/>
        <v>-</v>
      </c>
      <c r="Z64" s="516" t="str">
        <f t="shared" si="29"/>
        <v>-</v>
      </c>
      <c r="AA64" s="516" t="str">
        <f t="shared" si="29"/>
        <v>-</v>
      </c>
      <c r="AB64" s="516" t="str">
        <f t="shared" si="29"/>
        <v>-</v>
      </c>
      <c r="AC64" s="516" t="str">
        <f t="shared" si="29"/>
        <v>-</v>
      </c>
      <c r="AD64" s="516" t="str">
        <f t="shared" si="29"/>
        <v>-</v>
      </c>
      <c r="AE64" s="516" t="str">
        <f t="shared" si="29"/>
        <v>-</v>
      </c>
      <c r="AF64" s="516" t="str">
        <f t="shared" si="29"/>
        <v>-</v>
      </c>
      <c r="AG64" s="516" t="str">
        <f t="shared" si="29"/>
        <v>-</v>
      </c>
      <c r="AH64" s="516" t="str">
        <f t="shared" ref="AH64:AJ73" si="32">IF(LEN($F64)&gt;0,IF(AND(AH$8=$J64,NOT(AND(AH$8&gt;=$N64,AH$8&lt;$P64))),AH$6,IF(AND(NOT(AH$8&gt;$J63),AH$8&lt;$J64),"-",IF(AND(AH$8&gt;=$N64,AH$8&lt;$P64),"???",IF(AND(AH$8&gt;$J63,AH$8&lt;$J64),AH$6*(AH$8-$J63)/($J64-$J63),IF(AND(AH$8&gt;$J64,AH$8&lt;$J65),AH$6*($J65-AH$8)/($J65-$J64),"-"))))),"-")</f>
        <v>-</v>
      </c>
      <c r="AI64" s="516" t="str">
        <f t="shared" si="32"/>
        <v>-</v>
      </c>
      <c r="AJ64" s="516" t="str">
        <f t="shared" si="32"/>
        <v>-</v>
      </c>
      <c r="AK64" s="516" t="str">
        <f t="shared" si="31"/>
        <v>-</v>
      </c>
      <c r="AL64" s="516" t="str">
        <f t="shared" si="31"/>
        <v>-</v>
      </c>
      <c r="AM64" s="516" t="str">
        <f t="shared" si="31"/>
        <v>-</v>
      </c>
      <c r="AN64" s="516" t="str">
        <f t="shared" si="31"/>
        <v>-</v>
      </c>
      <c r="AO64" s="516" t="str">
        <f t="shared" si="31"/>
        <v>-</v>
      </c>
      <c r="AP64" s="516" t="str">
        <f t="shared" si="31"/>
        <v>-</v>
      </c>
      <c r="AQ64" s="516" t="str">
        <f t="shared" si="31"/>
        <v>-</v>
      </c>
      <c r="AR64" s="516" t="str">
        <f t="shared" si="31"/>
        <v>-</v>
      </c>
      <c r="AS64" s="516" t="str">
        <f t="shared" si="31"/>
        <v>-</v>
      </c>
      <c r="AT64" s="516" t="str">
        <f t="shared" si="31"/>
        <v>-</v>
      </c>
      <c r="AU64" s="516" t="str">
        <f t="shared" si="31"/>
        <v>-</v>
      </c>
      <c r="AV64" s="516" t="str">
        <f t="shared" si="31"/>
        <v>-</v>
      </c>
      <c r="AW64" s="516" t="str">
        <f t="shared" si="31"/>
        <v>-</v>
      </c>
      <c r="AX64" s="516" t="str">
        <f t="shared" si="31"/>
        <v>-</v>
      </c>
      <c r="AY64" s="516" t="str">
        <f t="shared" si="31"/>
        <v>-</v>
      </c>
      <c r="AZ64" s="516" t="str">
        <f t="shared" si="31"/>
        <v>-</v>
      </c>
      <c r="BA64" s="516" t="str">
        <f t="shared" si="31"/>
        <v>-</v>
      </c>
      <c r="BB64" s="516" t="str">
        <f t="shared" si="31"/>
        <v>-</v>
      </c>
      <c r="BC64" s="516" t="str">
        <f t="shared" si="26"/>
        <v>-</v>
      </c>
      <c r="BD64" s="516" t="str">
        <f t="shared" si="26"/>
        <v>-</v>
      </c>
      <c r="BE64" s="516" t="str">
        <f t="shared" si="26"/>
        <v>-</v>
      </c>
      <c r="BF64" s="516" t="str">
        <f t="shared" si="26"/>
        <v>-</v>
      </c>
      <c r="BG64" s="516" t="str">
        <f t="shared" si="26"/>
        <v>-</v>
      </c>
      <c r="BH64" s="516" t="str">
        <f t="shared" si="26"/>
        <v>-</v>
      </c>
      <c r="BI64" s="516" t="str">
        <f t="shared" si="26"/>
        <v>-</v>
      </c>
      <c r="BJ64" s="516" t="str">
        <f t="shared" si="26"/>
        <v>-</v>
      </c>
      <c r="BK64" s="516" t="str">
        <f t="shared" si="26"/>
        <v>-</v>
      </c>
      <c r="BL64" s="516" t="str">
        <f t="shared" si="26"/>
        <v>-</v>
      </c>
      <c r="BM64" s="516" t="str">
        <f t="shared" si="26"/>
        <v>-</v>
      </c>
      <c r="BN64" s="516" t="str">
        <f t="shared" si="26"/>
        <v>-</v>
      </c>
      <c r="BO64" s="516" t="str">
        <f t="shared" si="26"/>
        <v>-</v>
      </c>
      <c r="BP64" s="516" t="str">
        <f t="shared" si="26"/>
        <v>-</v>
      </c>
      <c r="BQ64" s="516" t="str">
        <f t="shared" si="26"/>
        <v>-</v>
      </c>
      <c r="BR64" s="516" t="str">
        <f t="shared" si="26"/>
        <v>-</v>
      </c>
      <c r="BS64" s="516" t="str">
        <f t="shared" si="30"/>
        <v>-</v>
      </c>
      <c r="BT64" s="516" t="str">
        <f t="shared" si="30"/>
        <v>-</v>
      </c>
      <c r="BU64" s="516" t="str">
        <f t="shared" si="30"/>
        <v>-</v>
      </c>
      <c r="BV64" s="516" t="str">
        <f t="shared" si="30"/>
        <v>-</v>
      </c>
      <c r="BW64" s="516" t="str">
        <f t="shared" si="28"/>
        <v>-</v>
      </c>
      <c r="BX64" s="516" t="str">
        <f t="shared" si="28"/>
        <v>-</v>
      </c>
      <c r="BY64" s="516" t="str">
        <f t="shared" si="28"/>
        <v>-</v>
      </c>
      <c r="BZ64" s="516" t="str">
        <f t="shared" si="28"/>
        <v>-</v>
      </c>
      <c r="CA64" s="516" t="str">
        <f t="shared" si="28"/>
        <v>-</v>
      </c>
    </row>
    <row r="65" spans="1:79">
      <c r="A65" s="105"/>
      <c r="B65" s="112"/>
      <c r="C65" s="512"/>
      <c r="D65" s="111" t="str">
        <f t="shared" si="8"/>
        <v/>
      </c>
      <c r="E65" s="517" t="str">
        <f>IF(LEN(B65)&gt;0,CHOOSE(MATCH(RIGHT(D65,1),{"D","W","M"},0),NextBusDay($C$4,LEFT(D65,LEN(D65)-1)),NextBusDay($C$4+7*LEFT(D65,LEN(D65)-1)),NextBusDay(EDATE($C$4,LEFT(D65,LEN(D65)-1)))),"")</f>
        <v/>
      </c>
      <c r="F65" s="107"/>
      <c r="G65" s="106"/>
      <c r="H65" s="106" t="str">
        <f t="shared" si="25"/>
        <v/>
      </c>
      <c r="I65" s="261"/>
      <c r="J65" s="106" t="str">
        <f>IF(LEN(F65)&gt;0,IF(I65="S",H65,IF(I65="F",EDATE(H65,3),CHOOSE(MATCH(RIGHT(H65,1),{"D","W","M"},0),NextBusDay($C$4,LEFT(H65,LEN(H65)-1)),NextBusDay($C$4+7*LEFT(H65,LEN(H65)-1)),NextBusDay(EDATE($C$4,LEFT(H65,LEN(H65)-1)))))),"")</f>
        <v/>
      </c>
      <c r="L65" s="515">
        <f t="shared" si="23"/>
        <v>0</v>
      </c>
      <c r="N65" s="106" t="str">
        <f t="shared" si="3"/>
        <v>-</v>
      </c>
      <c r="O65" s="106" t="str">
        <f t="shared" si="17"/>
        <v>-</v>
      </c>
      <c r="P65" s="106" t="str">
        <f t="shared" si="5"/>
        <v>-</v>
      </c>
      <c r="Q65" s="106" t="b">
        <f t="shared" si="6"/>
        <v>0</v>
      </c>
      <c r="R65" s="516" t="str">
        <f t="shared" si="29"/>
        <v>-</v>
      </c>
      <c r="S65" s="516" t="str">
        <f t="shared" si="29"/>
        <v>-</v>
      </c>
      <c r="T65" s="516" t="str">
        <f t="shared" si="29"/>
        <v>-</v>
      </c>
      <c r="U65" s="516" t="str">
        <f t="shared" si="29"/>
        <v>-</v>
      </c>
      <c r="V65" s="516" t="str">
        <f t="shared" si="29"/>
        <v>-</v>
      </c>
      <c r="W65" s="516" t="str">
        <f t="shared" si="29"/>
        <v>-</v>
      </c>
      <c r="X65" s="516" t="str">
        <f t="shared" si="29"/>
        <v>-</v>
      </c>
      <c r="Y65" s="516" t="str">
        <f t="shared" si="29"/>
        <v>-</v>
      </c>
      <c r="Z65" s="516" t="str">
        <f t="shared" si="29"/>
        <v>-</v>
      </c>
      <c r="AA65" s="516" t="str">
        <f t="shared" si="29"/>
        <v>-</v>
      </c>
      <c r="AB65" s="516" t="str">
        <f t="shared" si="29"/>
        <v>-</v>
      </c>
      <c r="AC65" s="516" t="str">
        <f t="shared" si="29"/>
        <v>-</v>
      </c>
      <c r="AD65" s="516" t="str">
        <f t="shared" si="29"/>
        <v>-</v>
      </c>
      <c r="AE65" s="516" t="str">
        <f t="shared" si="29"/>
        <v>-</v>
      </c>
      <c r="AF65" s="516" t="str">
        <f t="shared" si="29"/>
        <v>-</v>
      </c>
      <c r="AG65" s="516" t="str">
        <f t="shared" si="29"/>
        <v>-</v>
      </c>
      <c r="AH65" s="516" t="str">
        <f t="shared" si="32"/>
        <v>-</v>
      </c>
      <c r="AI65" s="516" t="str">
        <f t="shared" si="32"/>
        <v>-</v>
      </c>
      <c r="AJ65" s="516" t="str">
        <f t="shared" si="32"/>
        <v>-</v>
      </c>
      <c r="AK65" s="516" t="str">
        <f t="shared" si="31"/>
        <v>-</v>
      </c>
      <c r="AL65" s="516" t="str">
        <f t="shared" si="31"/>
        <v>-</v>
      </c>
      <c r="AM65" s="516" t="str">
        <f t="shared" si="31"/>
        <v>-</v>
      </c>
      <c r="AN65" s="516" t="str">
        <f t="shared" si="31"/>
        <v>-</v>
      </c>
      <c r="AO65" s="516" t="str">
        <f t="shared" si="31"/>
        <v>-</v>
      </c>
      <c r="AP65" s="516" t="str">
        <f t="shared" si="31"/>
        <v>-</v>
      </c>
      <c r="AQ65" s="516" t="str">
        <f t="shared" si="31"/>
        <v>-</v>
      </c>
      <c r="AR65" s="516" t="str">
        <f t="shared" si="31"/>
        <v>-</v>
      </c>
      <c r="AS65" s="516" t="str">
        <f t="shared" si="31"/>
        <v>-</v>
      </c>
      <c r="AT65" s="516" t="str">
        <f t="shared" si="31"/>
        <v>-</v>
      </c>
      <c r="AU65" s="516" t="str">
        <f t="shared" si="31"/>
        <v>-</v>
      </c>
      <c r="AV65" s="516" t="str">
        <f t="shared" si="31"/>
        <v>-</v>
      </c>
      <c r="AW65" s="516" t="str">
        <f t="shared" si="31"/>
        <v>-</v>
      </c>
      <c r="AX65" s="516" t="str">
        <f t="shared" si="31"/>
        <v>-</v>
      </c>
      <c r="AY65" s="516" t="str">
        <f t="shared" si="31"/>
        <v>-</v>
      </c>
      <c r="AZ65" s="516" t="str">
        <f t="shared" si="31"/>
        <v>-</v>
      </c>
      <c r="BA65" s="516" t="str">
        <f t="shared" si="31"/>
        <v>-</v>
      </c>
      <c r="BB65" s="516" t="str">
        <f t="shared" si="31"/>
        <v>-</v>
      </c>
      <c r="BC65" s="516" t="str">
        <f t="shared" si="26"/>
        <v>-</v>
      </c>
      <c r="BD65" s="516" t="str">
        <f t="shared" si="26"/>
        <v>-</v>
      </c>
      <c r="BE65" s="516" t="str">
        <f t="shared" si="26"/>
        <v>-</v>
      </c>
      <c r="BF65" s="516" t="str">
        <f t="shared" si="26"/>
        <v>-</v>
      </c>
      <c r="BG65" s="516" t="str">
        <f t="shared" si="26"/>
        <v>-</v>
      </c>
      <c r="BH65" s="516" t="str">
        <f t="shared" si="26"/>
        <v>-</v>
      </c>
      <c r="BI65" s="516" t="str">
        <f t="shared" si="26"/>
        <v>-</v>
      </c>
      <c r="BJ65" s="516" t="str">
        <f t="shared" si="26"/>
        <v>-</v>
      </c>
      <c r="BK65" s="516" t="str">
        <f t="shared" si="26"/>
        <v>-</v>
      </c>
      <c r="BL65" s="516" t="str">
        <f t="shared" si="26"/>
        <v>-</v>
      </c>
      <c r="BM65" s="516" t="str">
        <f t="shared" si="26"/>
        <v>-</v>
      </c>
      <c r="BN65" s="516" t="str">
        <f t="shared" si="26"/>
        <v>-</v>
      </c>
      <c r="BO65" s="516" t="str">
        <f t="shared" si="26"/>
        <v>-</v>
      </c>
      <c r="BP65" s="516" t="str">
        <f t="shared" si="26"/>
        <v>-</v>
      </c>
      <c r="BQ65" s="516" t="str">
        <f t="shared" si="26"/>
        <v>-</v>
      </c>
      <c r="BR65" s="516" t="str">
        <f t="shared" si="26"/>
        <v>-</v>
      </c>
      <c r="BS65" s="516" t="str">
        <f t="shared" si="30"/>
        <v>-</v>
      </c>
      <c r="BT65" s="516" t="str">
        <f t="shared" si="30"/>
        <v>-</v>
      </c>
      <c r="BU65" s="516" t="str">
        <f t="shared" si="30"/>
        <v>-</v>
      </c>
      <c r="BV65" s="516" t="str">
        <f t="shared" si="30"/>
        <v>-</v>
      </c>
      <c r="BW65" s="516" t="str">
        <f t="shared" si="28"/>
        <v>-</v>
      </c>
      <c r="BX65" s="516" t="str">
        <f t="shared" si="28"/>
        <v>-</v>
      </c>
      <c r="BY65" s="516" t="str">
        <f t="shared" si="28"/>
        <v>-</v>
      </c>
      <c r="BZ65" s="516" t="str">
        <f t="shared" si="28"/>
        <v>-</v>
      </c>
      <c r="CA65" s="516" t="str">
        <f t="shared" si="28"/>
        <v>-</v>
      </c>
    </row>
    <row r="66" spans="1:79">
      <c r="A66" s="105"/>
      <c r="B66" s="112"/>
      <c r="C66" s="512"/>
      <c r="D66" s="111" t="str">
        <f t="shared" si="8"/>
        <v/>
      </c>
      <c r="E66" s="517" t="str">
        <f>IF(LEN(B66)&gt;0,CHOOSE(MATCH(RIGHT(D66,1),{"D","W","M"},0),NextBusDay($C$4,LEFT(D66,LEN(D66)-1)),NextBusDay($C$4+7*LEFT(D66,LEN(D66)-1)),NextBusDay(EDATE($C$4,LEFT(D66,LEN(D66)-1)))),"")</f>
        <v/>
      </c>
      <c r="F66" s="107"/>
      <c r="G66" s="106"/>
      <c r="H66" s="106" t="str">
        <f t="shared" si="25"/>
        <v/>
      </c>
      <c r="I66" s="261"/>
      <c r="J66" s="106" t="str">
        <f>IF(LEN(F66)&gt;0,IF(I66="S",H66,IF(I66="F",EDATE(H66,3),CHOOSE(MATCH(RIGHT(H66,1),{"D","W","M"},0),NextBusDay($C$4,LEFT(H66,LEN(H66)-1)),NextBusDay($C$4+7*LEFT(H66,LEN(H66)-1)),NextBusDay(EDATE($C$4,LEFT(H66,LEN(H66)-1)))))),"")</f>
        <v/>
      </c>
      <c r="L66" s="515">
        <f t="shared" si="23"/>
        <v>0</v>
      </c>
      <c r="N66" s="106" t="str">
        <f t="shared" si="3"/>
        <v>-</v>
      </c>
      <c r="O66" s="106" t="str">
        <f t="shared" si="17"/>
        <v>-</v>
      </c>
      <c r="P66" s="106" t="str">
        <f t="shared" si="5"/>
        <v>-</v>
      </c>
      <c r="Q66" s="106" t="b">
        <f t="shared" si="6"/>
        <v>0</v>
      </c>
      <c r="R66" s="516" t="str">
        <f t="shared" si="29"/>
        <v>-</v>
      </c>
      <c r="S66" s="516" t="str">
        <f t="shared" si="29"/>
        <v>-</v>
      </c>
      <c r="T66" s="516" t="str">
        <f t="shared" si="29"/>
        <v>-</v>
      </c>
      <c r="U66" s="516" t="str">
        <f t="shared" si="29"/>
        <v>-</v>
      </c>
      <c r="V66" s="516" t="str">
        <f t="shared" si="29"/>
        <v>-</v>
      </c>
      <c r="W66" s="516" t="str">
        <f t="shared" si="29"/>
        <v>-</v>
      </c>
      <c r="X66" s="516" t="str">
        <f t="shared" si="29"/>
        <v>-</v>
      </c>
      <c r="Y66" s="516" t="str">
        <f t="shared" si="29"/>
        <v>-</v>
      </c>
      <c r="Z66" s="516" t="str">
        <f t="shared" si="29"/>
        <v>-</v>
      </c>
      <c r="AA66" s="516" t="str">
        <f t="shared" si="29"/>
        <v>-</v>
      </c>
      <c r="AB66" s="516" t="str">
        <f t="shared" si="29"/>
        <v>-</v>
      </c>
      <c r="AC66" s="516" t="str">
        <f t="shared" si="29"/>
        <v>-</v>
      </c>
      <c r="AD66" s="516" t="str">
        <f t="shared" si="29"/>
        <v>-</v>
      </c>
      <c r="AE66" s="516" t="str">
        <f t="shared" si="29"/>
        <v>-</v>
      </c>
      <c r="AF66" s="516" t="str">
        <f t="shared" si="29"/>
        <v>-</v>
      </c>
      <c r="AG66" s="516" t="str">
        <f t="shared" si="29"/>
        <v>-</v>
      </c>
      <c r="AH66" s="516" t="str">
        <f t="shared" si="32"/>
        <v>-</v>
      </c>
      <c r="AI66" s="516" t="str">
        <f t="shared" si="32"/>
        <v>-</v>
      </c>
      <c r="AJ66" s="516" t="str">
        <f t="shared" si="32"/>
        <v>-</v>
      </c>
      <c r="AK66" s="516" t="str">
        <f t="shared" si="31"/>
        <v>-</v>
      </c>
      <c r="AL66" s="516" t="str">
        <f t="shared" si="31"/>
        <v>-</v>
      </c>
      <c r="AM66" s="516" t="str">
        <f t="shared" si="31"/>
        <v>-</v>
      </c>
      <c r="AN66" s="516" t="str">
        <f t="shared" si="31"/>
        <v>-</v>
      </c>
      <c r="AO66" s="516" t="str">
        <f t="shared" si="31"/>
        <v>-</v>
      </c>
      <c r="AP66" s="516" t="str">
        <f t="shared" si="31"/>
        <v>-</v>
      </c>
      <c r="AQ66" s="516" t="str">
        <f t="shared" si="31"/>
        <v>-</v>
      </c>
      <c r="AR66" s="516" t="str">
        <f t="shared" si="31"/>
        <v>-</v>
      </c>
      <c r="AS66" s="516" t="str">
        <f t="shared" si="31"/>
        <v>-</v>
      </c>
      <c r="AT66" s="516" t="str">
        <f t="shared" si="31"/>
        <v>-</v>
      </c>
      <c r="AU66" s="516" t="str">
        <f t="shared" si="31"/>
        <v>-</v>
      </c>
      <c r="AV66" s="516" t="str">
        <f t="shared" si="31"/>
        <v>-</v>
      </c>
      <c r="AW66" s="516" t="str">
        <f t="shared" si="31"/>
        <v>-</v>
      </c>
      <c r="AX66" s="516" t="str">
        <f t="shared" si="31"/>
        <v>-</v>
      </c>
      <c r="AY66" s="516" t="str">
        <f t="shared" si="31"/>
        <v>-</v>
      </c>
      <c r="AZ66" s="516" t="str">
        <f t="shared" si="31"/>
        <v>-</v>
      </c>
      <c r="BA66" s="516" t="str">
        <f t="shared" si="31"/>
        <v>-</v>
      </c>
      <c r="BB66" s="516" t="str">
        <f t="shared" si="31"/>
        <v>-</v>
      </c>
      <c r="BC66" s="516" t="str">
        <f t="shared" ref="BC66:BR73" si="33">IF(LEN($F66)&gt;0,IF(AND(BC$8=$J66,NOT(AND(BC$8&gt;=$N66,BC$8&lt;$P66))),BC$6,IF(AND(NOT(BC$8&gt;$J65),BC$8&lt;$J66),"-",IF(AND(BC$8&gt;=$N66,BC$8&lt;$P66),"???",IF(AND(BC$8&gt;$J65,BC$8&lt;$J66),BC$6*(BC$8-$J65)/($J66-$J65),IF(AND(BC$8&gt;$J66,BC$8&lt;$J67),BC$6*($J67-BC$8)/($J67-$J66),"-"))))),"-")</f>
        <v>-</v>
      </c>
      <c r="BD66" s="516" t="str">
        <f t="shared" si="33"/>
        <v>-</v>
      </c>
      <c r="BE66" s="516" t="str">
        <f t="shared" si="33"/>
        <v>-</v>
      </c>
      <c r="BF66" s="516" t="str">
        <f t="shared" si="33"/>
        <v>-</v>
      </c>
      <c r="BG66" s="516" t="str">
        <f t="shared" si="33"/>
        <v>-</v>
      </c>
      <c r="BH66" s="516" t="str">
        <f t="shared" si="33"/>
        <v>-</v>
      </c>
      <c r="BI66" s="516" t="str">
        <f t="shared" si="33"/>
        <v>-</v>
      </c>
      <c r="BJ66" s="516" t="str">
        <f t="shared" si="33"/>
        <v>-</v>
      </c>
      <c r="BK66" s="516" t="str">
        <f t="shared" si="33"/>
        <v>-</v>
      </c>
      <c r="BL66" s="516" t="str">
        <f t="shared" si="33"/>
        <v>-</v>
      </c>
      <c r="BM66" s="516" t="str">
        <f t="shared" si="33"/>
        <v>-</v>
      </c>
      <c r="BN66" s="516" t="str">
        <f t="shared" si="33"/>
        <v>-</v>
      </c>
      <c r="BO66" s="516" t="str">
        <f t="shared" si="33"/>
        <v>-</v>
      </c>
      <c r="BP66" s="516" t="str">
        <f t="shared" si="33"/>
        <v>-</v>
      </c>
      <c r="BQ66" s="516" t="str">
        <f t="shared" si="33"/>
        <v>-</v>
      </c>
      <c r="BR66" s="516" t="str">
        <f t="shared" si="33"/>
        <v>-</v>
      </c>
      <c r="BS66" s="516" t="str">
        <f t="shared" si="30"/>
        <v>-</v>
      </c>
      <c r="BT66" s="516" t="str">
        <f t="shared" si="30"/>
        <v>-</v>
      </c>
      <c r="BU66" s="516" t="str">
        <f t="shared" si="30"/>
        <v>-</v>
      </c>
      <c r="BV66" s="516" t="str">
        <f t="shared" si="30"/>
        <v>-</v>
      </c>
      <c r="BW66" s="516" t="str">
        <f t="shared" si="28"/>
        <v>-</v>
      </c>
      <c r="BX66" s="516" t="str">
        <f t="shared" si="28"/>
        <v>-</v>
      </c>
      <c r="BY66" s="516" t="str">
        <f t="shared" si="28"/>
        <v>-</v>
      </c>
      <c r="BZ66" s="516" t="str">
        <f t="shared" si="28"/>
        <v>-</v>
      </c>
      <c r="CA66" s="516" t="str">
        <f t="shared" si="28"/>
        <v>-</v>
      </c>
    </row>
    <row r="67" spans="1:79">
      <c r="A67" s="105"/>
      <c r="B67" s="112"/>
      <c r="C67" s="512"/>
      <c r="D67" s="111" t="str">
        <f t="shared" si="8"/>
        <v/>
      </c>
      <c r="E67" s="517" t="str">
        <f>IF(LEN(B67)&gt;0,CHOOSE(MATCH(RIGHT(D67,1),{"D","W","M"},0),NextBusDay($C$4,LEFT(D67,LEN(D67)-1)),NextBusDay($C$4+7*LEFT(D67,LEN(D67)-1)),NextBusDay(EDATE($C$4,LEFT(D67,LEN(D67)-1)))),"")</f>
        <v/>
      </c>
      <c r="F67" s="107"/>
      <c r="G67" s="106"/>
      <c r="H67" s="106" t="str">
        <f t="shared" si="25"/>
        <v/>
      </c>
      <c r="I67" s="261"/>
      <c r="J67" s="106" t="str">
        <f>IF(LEN(F67)&gt;0,IF(I67="S",H67,IF(I67="F",EDATE(H67,3),CHOOSE(MATCH(RIGHT(H67,1),{"D","W","M"},0),NextBusDay($C$4,LEFT(H67,LEN(H67)-1)),NextBusDay($C$4+7*LEFT(H67,LEN(H67)-1)),NextBusDay(EDATE($C$4,LEFT(H67,LEN(H67)-1)))))),"")</f>
        <v/>
      </c>
      <c r="L67" s="515">
        <f t="shared" si="23"/>
        <v>0</v>
      </c>
      <c r="N67" s="106" t="str">
        <f t="shared" si="3"/>
        <v>-</v>
      </c>
      <c r="O67" s="106" t="str">
        <f t="shared" si="17"/>
        <v>-</v>
      </c>
      <c r="P67" s="106" t="str">
        <f t="shared" si="5"/>
        <v>-</v>
      </c>
      <c r="Q67" s="106" t="b">
        <f t="shared" si="6"/>
        <v>0</v>
      </c>
      <c r="R67" s="516" t="str">
        <f t="shared" si="29"/>
        <v>-</v>
      </c>
      <c r="S67" s="516" t="str">
        <f t="shared" si="29"/>
        <v>-</v>
      </c>
      <c r="T67" s="516" t="str">
        <f t="shared" si="29"/>
        <v>-</v>
      </c>
      <c r="U67" s="516" t="str">
        <f t="shared" si="29"/>
        <v>-</v>
      </c>
      <c r="V67" s="516" t="str">
        <f t="shared" si="29"/>
        <v>-</v>
      </c>
      <c r="W67" s="516" t="str">
        <f t="shared" si="29"/>
        <v>-</v>
      </c>
      <c r="X67" s="516" t="str">
        <f t="shared" si="29"/>
        <v>-</v>
      </c>
      <c r="Y67" s="516" t="str">
        <f t="shared" si="29"/>
        <v>-</v>
      </c>
      <c r="Z67" s="516" t="str">
        <f t="shared" si="29"/>
        <v>-</v>
      </c>
      <c r="AA67" s="516" t="str">
        <f t="shared" si="29"/>
        <v>-</v>
      </c>
      <c r="AB67" s="516" t="str">
        <f t="shared" si="29"/>
        <v>-</v>
      </c>
      <c r="AC67" s="516" t="str">
        <f t="shared" si="29"/>
        <v>-</v>
      </c>
      <c r="AD67" s="516" t="str">
        <f t="shared" si="29"/>
        <v>-</v>
      </c>
      <c r="AE67" s="516" t="str">
        <f t="shared" si="29"/>
        <v>-</v>
      </c>
      <c r="AF67" s="516" t="str">
        <f t="shared" si="29"/>
        <v>-</v>
      </c>
      <c r="AG67" s="516" t="str">
        <f t="shared" si="29"/>
        <v>-</v>
      </c>
      <c r="AH67" s="516" t="str">
        <f t="shared" si="32"/>
        <v>-</v>
      </c>
      <c r="AI67" s="516" t="str">
        <f t="shared" si="32"/>
        <v>-</v>
      </c>
      <c r="AJ67" s="516" t="str">
        <f t="shared" si="32"/>
        <v>-</v>
      </c>
      <c r="AK67" s="516" t="str">
        <f t="shared" si="31"/>
        <v>-</v>
      </c>
      <c r="AL67" s="516" t="str">
        <f t="shared" si="31"/>
        <v>-</v>
      </c>
      <c r="AM67" s="516" t="str">
        <f t="shared" si="31"/>
        <v>-</v>
      </c>
      <c r="AN67" s="516" t="str">
        <f t="shared" si="31"/>
        <v>-</v>
      </c>
      <c r="AO67" s="516" t="str">
        <f t="shared" si="31"/>
        <v>-</v>
      </c>
      <c r="AP67" s="516" t="str">
        <f t="shared" si="31"/>
        <v>-</v>
      </c>
      <c r="AQ67" s="516" t="str">
        <f t="shared" si="31"/>
        <v>-</v>
      </c>
      <c r="AR67" s="516" t="str">
        <f t="shared" si="31"/>
        <v>-</v>
      </c>
      <c r="AS67" s="516" t="str">
        <f t="shared" si="31"/>
        <v>-</v>
      </c>
      <c r="AT67" s="516" t="str">
        <f t="shared" si="31"/>
        <v>-</v>
      </c>
      <c r="AU67" s="516" t="str">
        <f t="shared" si="31"/>
        <v>-</v>
      </c>
      <c r="AV67" s="516" t="str">
        <f t="shared" si="31"/>
        <v>-</v>
      </c>
      <c r="AW67" s="516" t="str">
        <f t="shared" si="31"/>
        <v>-</v>
      </c>
      <c r="AX67" s="516" t="str">
        <f t="shared" si="31"/>
        <v>-</v>
      </c>
      <c r="AY67" s="516" t="str">
        <f t="shared" si="31"/>
        <v>-</v>
      </c>
      <c r="AZ67" s="516" t="str">
        <f t="shared" si="31"/>
        <v>-</v>
      </c>
      <c r="BA67" s="516" t="str">
        <f t="shared" si="31"/>
        <v>-</v>
      </c>
      <c r="BB67" s="516" t="str">
        <f t="shared" si="31"/>
        <v>-</v>
      </c>
      <c r="BC67" s="516" t="str">
        <f t="shared" si="33"/>
        <v>-</v>
      </c>
      <c r="BD67" s="516" t="str">
        <f t="shared" si="33"/>
        <v>-</v>
      </c>
      <c r="BE67" s="516" t="str">
        <f t="shared" si="33"/>
        <v>-</v>
      </c>
      <c r="BF67" s="516" t="str">
        <f t="shared" si="33"/>
        <v>-</v>
      </c>
      <c r="BG67" s="516" t="str">
        <f t="shared" si="33"/>
        <v>-</v>
      </c>
      <c r="BH67" s="516" t="str">
        <f t="shared" si="33"/>
        <v>-</v>
      </c>
      <c r="BI67" s="516" t="str">
        <f t="shared" si="33"/>
        <v>-</v>
      </c>
      <c r="BJ67" s="516" t="str">
        <f t="shared" si="33"/>
        <v>-</v>
      </c>
      <c r="BK67" s="516" t="str">
        <f t="shared" si="33"/>
        <v>-</v>
      </c>
      <c r="BL67" s="516" t="str">
        <f t="shared" si="33"/>
        <v>-</v>
      </c>
      <c r="BM67" s="516" t="str">
        <f t="shared" si="33"/>
        <v>-</v>
      </c>
      <c r="BN67" s="516" t="str">
        <f t="shared" si="33"/>
        <v>-</v>
      </c>
      <c r="BO67" s="516" t="str">
        <f t="shared" si="33"/>
        <v>-</v>
      </c>
      <c r="BP67" s="516" t="str">
        <f t="shared" si="33"/>
        <v>-</v>
      </c>
      <c r="BQ67" s="516" t="str">
        <f t="shared" si="33"/>
        <v>-</v>
      </c>
      <c r="BR67" s="516" t="str">
        <f t="shared" si="33"/>
        <v>-</v>
      </c>
      <c r="BS67" s="516" t="str">
        <f t="shared" si="30"/>
        <v>-</v>
      </c>
      <c r="BT67" s="516" t="str">
        <f t="shared" si="30"/>
        <v>-</v>
      </c>
      <c r="BU67" s="516" t="str">
        <f t="shared" si="30"/>
        <v>-</v>
      </c>
      <c r="BV67" s="516" t="str">
        <f t="shared" si="30"/>
        <v>-</v>
      </c>
      <c r="BW67" s="516" t="str">
        <f t="shared" si="28"/>
        <v>-</v>
      </c>
      <c r="BX67" s="516" t="str">
        <f t="shared" si="28"/>
        <v>-</v>
      </c>
      <c r="BY67" s="516" t="str">
        <f t="shared" si="28"/>
        <v>-</v>
      </c>
      <c r="BZ67" s="516" t="str">
        <f t="shared" si="28"/>
        <v>-</v>
      </c>
      <c r="CA67" s="516" t="str">
        <f t="shared" si="28"/>
        <v>-</v>
      </c>
    </row>
    <row r="68" spans="1:79">
      <c r="A68" s="105"/>
      <c r="B68" s="112"/>
      <c r="C68" s="512"/>
      <c r="D68" s="111" t="str">
        <f t="shared" si="8"/>
        <v/>
      </c>
      <c r="E68" s="517" t="str">
        <f>IF(LEN(B68)&gt;0,CHOOSE(MATCH(RIGHT(D68,1),{"D","W","M"},0),NextBusDay($C$4,LEFT(D68,LEN(D68)-1)),NextBusDay($C$4+7*LEFT(D68,LEN(D68)-1)),NextBusDay(EDATE($C$4,LEFT(D68,LEN(D68)-1)))),"")</f>
        <v/>
      </c>
      <c r="F68" s="107"/>
      <c r="G68" s="106"/>
      <c r="H68" s="106" t="str">
        <f t="shared" si="25"/>
        <v/>
      </c>
      <c r="I68" s="261"/>
      <c r="J68" s="106" t="str">
        <f>IF(LEN(F68)&gt;0,IF(I68="S",H68,IF(I68="F",EDATE(H68,3),CHOOSE(MATCH(RIGHT(H68,1),{"D","W","M"},0),NextBusDay($C$4,LEFT(H68,LEN(H68)-1)),NextBusDay($C$4+7*LEFT(H68,LEN(H68)-1)),NextBusDay(EDATE($C$4,LEFT(H68,LEN(H68)-1)))))),"")</f>
        <v/>
      </c>
      <c r="L68" s="515">
        <f t="shared" si="23"/>
        <v>0</v>
      </c>
      <c r="N68" s="106" t="str">
        <f t="shared" si="3"/>
        <v>-</v>
      </c>
      <c r="O68" s="106" t="str">
        <f t="shared" si="17"/>
        <v>-</v>
      </c>
      <c r="P68" s="106" t="str">
        <f t="shared" si="5"/>
        <v>-</v>
      </c>
      <c r="Q68" s="106" t="b">
        <f t="shared" si="6"/>
        <v>0</v>
      </c>
      <c r="R68" s="516" t="str">
        <f t="shared" si="29"/>
        <v>-</v>
      </c>
      <c r="S68" s="516" t="str">
        <f t="shared" si="29"/>
        <v>-</v>
      </c>
      <c r="T68" s="516" t="str">
        <f t="shared" si="29"/>
        <v>-</v>
      </c>
      <c r="U68" s="516" t="str">
        <f t="shared" si="29"/>
        <v>-</v>
      </c>
      <c r="V68" s="516" t="str">
        <f t="shared" si="29"/>
        <v>-</v>
      </c>
      <c r="W68" s="516" t="str">
        <f t="shared" si="29"/>
        <v>-</v>
      </c>
      <c r="X68" s="516" t="str">
        <f t="shared" si="29"/>
        <v>-</v>
      </c>
      <c r="Y68" s="516" t="str">
        <f t="shared" si="29"/>
        <v>-</v>
      </c>
      <c r="Z68" s="516" t="str">
        <f t="shared" si="29"/>
        <v>-</v>
      </c>
      <c r="AA68" s="516" t="str">
        <f t="shared" si="29"/>
        <v>-</v>
      </c>
      <c r="AB68" s="516" t="str">
        <f t="shared" si="29"/>
        <v>-</v>
      </c>
      <c r="AC68" s="516" t="str">
        <f t="shared" si="29"/>
        <v>-</v>
      </c>
      <c r="AD68" s="516" t="str">
        <f t="shared" si="29"/>
        <v>-</v>
      </c>
      <c r="AE68" s="516" t="str">
        <f t="shared" si="29"/>
        <v>-</v>
      </c>
      <c r="AF68" s="516" t="str">
        <f t="shared" si="29"/>
        <v>-</v>
      </c>
      <c r="AG68" s="516" t="str">
        <f t="shared" ref="AG68:AG73" si="34">IF(LEN($F68)&gt;0,IF(AND(AG$8=$J68,NOT(AND(AG$8&gt;=$N68,AG$8&lt;$P68))),AG$6,IF(AND(NOT(AG$8&gt;$J67),AG$8&lt;$J68),"-",IF(AND(AG$8&gt;=$N68,AG$8&lt;$P68),"???",IF(AND(AG$8&gt;$J67,AG$8&lt;$J68),AG$6*(AG$8-$J67)/($J68-$J67),IF(AND(AG$8&gt;$J68,AG$8&lt;$J69),AG$6*($J69-AG$8)/($J69-$J68),"-"))))),"-")</f>
        <v>-</v>
      </c>
      <c r="AH68" s="516" t="str">
        <f t="shared" si="32"/>
        <v>-</v>
      </c>
      <c r="AI68" s="516" t="str">
        <f t="shared" si="32"/>
        <v>-</v>
      </c>
      <c r="AJ68" s="516" t="str">
        <f t="shared" si="32"/>
        <v>-</v>
      </c>
      <c r="AK68" s="516" t="str">
        <f t="shared" si="31"/>
        <v>-</v>
      </c>
      <c r="AL68" s="516" t="str">
        <f t="shared" si="31"/>
        <v>-</v>
      </c>
      <c r="AM68" s="516" t="str">
        <f t="shared" si="31"/>
        <v>-</v>
      </c>
      <c r="AN68" s="516" t="str">
        <f t="shared" si="31"/>
        <v>-</v>
      </c>
      <c r="AO68" s="516" t="str">
        <f t="shared" si="31"/>
        <v>-</v>
      </c>
      <c r="AP68" s="516" t="str">
        <f t="shared" si="31"/>
        <v>-</v>
      </c>
      <c r="AQ68" s="516" t="str">
        <f t="shared" si="31"/>
        <v>-</v>
      </c>
      <c r="AR68" s="516" t="str">
        <f t="shared" si="31"/>
        <v>-</v>
      </c>
      <c r="AS68" s="516" t="str">
        <f t="shared" si="31"/>
        <v>-</v>
      </c>
      <c r="AT68" s="516" t="str">
        <f t="shared" si="31"/>
        <v>-</v>
      </c>
      <c r="AU68" s="516" t="str">
        <f t="shared" si="31"/>
        <v>-</v>
      </c>
      <c r="AV68" s="516" t="str">
        <f t="shared" si="31"/>
        <v>-</v>
      </c>
      <c r="AW68" s="516" t="str">
        <f t="shared" si="31"/>
        <v>-</v>
      </c>
      <c r="AX68" s="516" t="str">
        <f t="shared" si="31"/>
        <v>-</v>
      </c>
      <c r="AY68" s="516" t="str">
        <f t="shared" si="31"/>
        <v>-</v>
      </c>
      <c r="AZ68" s="516" t="str">
        <f t="shared" si="31"/>
        <v>-</v>
      </c>
      <c r="BA68" s="516" t="str">
        <f t="shared" si="31"/>
        <v>-</v>
      </c>
      <c r="BB68" s="516" t="str">
        <f t="shared" si="31"/>
        <v>-</v>
      </c>
      <c r="BC68" s="516" t="str">
        <f t="shared" si="33"/>
        <v>-</v>
      </c>
      <c r="BD68" s="516" t="str">
        <f t="shared" si="33"/>
        <v>-</v>
      </c>
      <c r="BE68" s="516" t="str">
        <f t="shared" si="33"/>
        <v>-</v>
      </c>
      <c r="BF68" s="516" t="str">
        <f t="shared" si="33"/>
        <v>-</v>
      </c>
      <c r="BG68" s="516" t="str">
        <f t="shared" si="33"/>
        <v>-</v>
      </c>
      <c r="BH68" s="516" t="str">
        <f t="shared" si="33"/>
        <v>-</v>
      </c>
      <c r="BI68" s="516" t="str">
        <f t="shared" si="33"/>
        <v>-</v>
      </c>
      <c r="BJ68" s="516" t="str">
        <f t="shared" si="33"/>
        <v>-</v>
      </c>
      <c r="BK68" s="516" t="str">
        <f t="shared" si="33"/>
        <v>-</v>
      </c>
      <c r="BL68" s="516" t="str">
        <f t="shared" si="33"/>
        <v>-</v>
      </c>
      <c r="BM68" s="516" t="str">
        <f t="shared" si="33"/>
        <v>-</v>
      </c>
      <c r="BN68" s="516" t="str">
        <f t="shared" si="33"/>
        <v>-</v>
      </c>
      <c r="BO68" s="516" t="str">
        <f t="shared" si="33"/>
        <v>-</v>
      </c>
      <c r="BP68" s="516" t="str">
        <f t="shared" si="33"/>
        <v>-</v>
      </c>
      <c r="BQ68" s="516" t="str">
        <f t="shared" si="33"/>
        <v>-</v>
      </c>
      <c r="BR68" s="516" t="str">
        <f t="shared" si="33"/>
        <v>-</v>
      </c>
      <c r="BS68" s="516" t="str">
        <f t="shared" si="30"/>
        <v>-</v>
      </c>
      <c r="BT68" s="516" t="str">
        <f t="shared" si="30"/>
        <v>-</v>
      </c>
      <c r="BU68" s="516" t="str">
        <f t="shared" si="30"/>
        <v>-</v>
      </c>
      <c r="BV68" s="516" t="str">
        <f t="shared" si="30"/>
        <v>-</v>
      </c>
      <c r="BW68" s="516" t="str">
        <f t="shared" si="30"/>
        <v>-</v>
      </c>
      <c r="BX68" s="516" t="str">
        <f t="shared" si="30"/>
        <v>-</v>
      </c>
      <c r="BY68" s="516" t="str">
        <f t="shared" si="30"/>
        <v>-</v>
      </c>
      <c r="BZ68" s="516" t="str">
        <f t="shared" si="30"/>
        <v>-</v>
      </c>
      <c r="CA68" s="516" t="str">
        <f t="shared" si="30"/>
        <v>-</v>
      </c>
    </row>
    <row r="69" spans="1:79">
      <c r="A69" s="105"/>
      <c r="B69" s="112"/>
      <c r="C69" s="512"/>
      <c r="D69" s="111" t="str">
        <f t="shared" si="8"/>
        <v/>
      </c>
      <c r="E69" s="517" t="str">
        <f>IF(LEN(B69)&gt;0,CHOOSE(MATCH(RIGHT(D69,1),{"D","W","M"},0),NextBusDay($C$4,LEFT(D69,LEN(D69)-1)),NextBusDay($C$4+7*LEFT(D69,LEN(D69)-1)),NextBusDay(EDATE($C$4,LEFT(D69,LEN(D69)-1)))),"")</f>
        <v/>
      </c>
      <c r="F69" s="107"/>
      <c r="G69" s="106"/>
      <c r="H69" s="106" t="str">
        <f t="shared" si="25"/>
        <v/>
      </c>
      <c r="I69" s="261"/>
      <c r="J69" s="106" t="str">
        <f>IF(LEN(F69)&gt;0,IF(I69="S",H69,IF(I69="F",EDATE(H69,3),CHOOSE(MATCH(RIGHT(H69,1),{"D","W","M"},0),NextBusDay($C$4,LEFT(H69,LEN(H69)-1)),NextBusDay($C$4+7*LEFT(H69,LEN(H69)-1)),NextBusDay(EDATE($C$4,LEFT(H69,LEN(H69)-1)))))),"")</f>
        <v/>
      </c>
      <c r="L69" s="515">
        <f t="shared" si="23"/>
        <v>0</v>
      </c>
      <c r="N69" s="106" t="str">
        <f t="shared" si="3"/>
        <v>-</v>
      </c>
      <c r="O69" s="106" t="str">
        <f t="shared" si="17"/>
        <v>-</v>
      </c>
      <c r="P69" s="106" t="str">
        <f t="shared" si="5"/>
        <v>-</v>
      </c>
      <c r="Q69" s="106" t="b">
        <f t="shared" si="6"/>
        <v>0</v>
      </c>
      <c r="R69" s="516" t="str">
        <f t="shared" ref="R69:AF73" si="35">IF(LEN($F69)&gt;0,IF(AND(R$8=$J69,NOT(AND(R$8&gt;=$N69,R$8&lt;$P69))),R$6,IF(AND(NOT(R$8&gt;$J68),R$8&lt;$J69),"-",IF(AND(R$8&gt;=$N69,R$8&lt;$P69),"???",IF(AND(R$8&gt;$J68,R$8&lt;$J69),R$6*(R$8-$J68)/($J69-$J68),IF(AND(R$8&gt;$J69,R$8&lt;$J70),R$6*($J70-R$8)/($J70-$J69),"-"))))),"-")</f>
        <v>-</v>
      </c>
      <c r="S69" s="516" t="str">
        <f t="shared" si="35"/>
        <v>-</v>
      </c>
      <c r="T69" s="516" t="str">
        <f t="shared" si="35"/>
        <v>-</v>
      </c>
      <c r="U69" s="516" t="str">
        <f t="shared" si="35"/>
        <v>-</v>
      </c>
      <c r="V69" s="516" t="str">
        <f t="shared" si="35"/>
        <v>-</v>
      </c>
      <c r="W69" s="516" t="str">
        <f t="shared" si="35"/>
        <v>-</v>
      </c>
      <c r="X69" s="516" t="str">
        <f t="shared" si="35"/>
        <v>-</v>
      </c>
      <c r="Y69" s="516" t="str">
        <f t="shared" si="35"/>
        <v>-</v>
      </c>
      <c r="Z69" s="516" t="str">
        <f t="shared" si="35"/>
        <v>-</v>
      </c>
      <c r="AA69" s="516" t="str">
        <f t="shared" si="35"/>
        <v>-</v>
      </c>
      <c r="AB69" s="516" t="str">
        <f t="shared" si="35"/>
        <v>-</v>
      </c>
      <c r="AC69" s="516" t="str">
        <f t="shared" si="35"/>
        <v>-</v>
      </c>
      <c r="AD69" s="516" t="str">
        <f t="shared" si="35"/>
        <v>-</v>
      </c>
      <c r="AE69" s="516" t="str">
        <f t="shared" si="35"/>
        <v>-</v>
      </c>
      <c r="AF69" s="516" t="str">
        <f t="shared" si="35"/>
        <v>-</v>
      </c>
      <c r="AG69" s="516" t="str">
        <f t="shared" si="34"/>
        <v>-</v>
      </c>
      <c r="AH69" s="516" t="str">
        <f t="shared" si="32"/>
        <v>-</v>
      </c>
      <c r="AI69" s="516" t="str">
        <f t="shared" si="32"/>
        <v>-</v>
      </c>
      <c r="AJ69" s="516" t="str">
        <f t="shared" si="32"/>
        <v>-</v>
      </c>
      <c r="AK69" s="516" t="str">
        <f t="shared" si="31"/>
        <v>-</v>
      </c>
      <c r="AL69" s="516" t="str">
        <f t="shared" si="31"/>
        <v>-</v>
      </c>
      <c r="AM69" s="516" t="str">
        <f t="shared" si="31"/>
        <v>-</v>
      </c>
      <c r="AN69" s="516" t="str">
        <f t="shared" si="31"/>
        <v>-</v>
      </c>
      <c r="AO69" s="516" t="str">
        <f t="shared" si="31"/>
        <v>-</v>
      </c>
      <c r="AP69" s="516" t="str">
        <f t="shared" si="31"/>
        <v>-</v>
      </c>
      <c r="AQ69" s="516" t="str">
        <f t="shared" si="31"/>
        <v>-</v>
      </c>
      <c r="AR69" s="516" t="str">
        <f t="shared" si="31"/>
        <v>-</v>
      </c>
      <c r="AS69" s="516" t="str">
        <f t="shared" si="31"/>
        <v>-</v>
      </c>
      <c r="AT69" s="516" t="str">
        <f t="shared" si="31"/>
        <v>-</v>
      </c>
      <c r="AU69" s="516" t="str">
        <f t="shared" si="31"/>
        <v>-</v>
      </c>
      <c r="AV69" s="516" t="str">
        <f t="shared" si="31"/>
        <v>-</v>
      </c>
      <c r="AW69" s="516" t="str">
        <f t="shared" si="31"/>
        <v>-</v>
      </c>
      <c r="AX69" s="516" t="str">
        <f t="shared" si="31"/>
        <v>-</v>
      </c>
      <c r="AY69" s="516" t="str">
        <f t="shared" si="31"/>
        <v>-</v>
      </c>
      <c r="AZ69" s="516" t="str">
        <f t="shared" si="31"/>
        <v>-</v>
      </c>
      <c r="BA69" s="516" t="str">
        <f t="shared" si="31"/>
        <v>-</v>
      </c>
      <c r="BB69" s="516" t="str">
        <f t="shared" si="31"/>
        <v>-</v>
      </c>
      <c r="BC69" s="516" t="str">
        <f t="shared" si="33"/>
        <v>-</v>
      </c>
      <c r="BD69" s="516" t="str">
        <f t="shared" si="33"/>
        <v>-</v>
      </c>
      <c r="BE69" s="516" t="str">
        <f t="shared" si="33"/>
        <v>-</v>
      </c>
      <c r="BF69" s="516" t="str">
        <f t="shared" si="33"/>
        <v>-</v>
      </c>
      <c r="BG69" s="516" t="str">
        <f t="shared" si="33"/>
        <v>-</v>
      </c>
      <c r="BH69" s="516" t="str">
        <f t="shared" si="33"/>
        <v>-</v>
      </c>
      <c r="BI69" s="516" t="str">
        <f t="shared" si="33"/>
        <v>-</v>
      </c>
      <c r="BJ69" s="516" t="str">
        <f t="shared" si="33"/>
        <v>-</v>
      </c>
      <c r="BK69" s="516" t="str">
        <f t="shared" si="33"/>
        <v>-</v>
      </c>
      <c r="BL69" s="516" t="str">
        <f t="shared" si="33"/>
        <v>-</v>
      </c>
      <c r="BM69" s="516" t="str">
        <f t="shared" si="33"/>
        <v>-</v>
      </c>
      <c r="BN69" s="516" t="str">
        <f t="shared" si="33"/>
        <v>-</v>
      </c>
      <c r="BO69" s="516" t="str">
        <f t="shared" si="33"/>
        <v>-</v>
      </c>
      <c r="BP69" s="516" t="str">
        <f t="shared" si="33"/>
        <v>-</v>
      </c>
      <c r="BQ69" s="516" t="str">
        <f t="shared" si="33"/>
        <v>-</v>
      </c>
      <c r="BR69" s="516" t="str">
        <f t="shared" si="33"/>
        <v>-</v>
      </c>
      <c r="BS69" s="516" t="str">
        <f t="shared" ref="BS69:CA73" si="36">IF(LEN($F69)&gt;0,IF(AND(BS$8=$J69,NOT(AND(BS$8&gt;=$N69,BS$8&lt;$P69))),BS$6,IF(AND(NOT(BS$8&gt;$J68),BS$8&lt;$J69),"-",IF(AND(BS$8&gt;=$N69,BS$8&lt;$P69),"???",IF(AND(BS$8&gt;$J68,BS$8&lt;$J69),BS$6*(BS$8-$J68)/($J69-$J68),IF(AND(BS$8&gt;$J69,BS$8&lt;$J70),BS$6*($J70-BS$8)/($J70-$J69),"-"))))),"-")</f>
        <v>-</v>
      </c>
      <c r="BT69" s="516" t="str">
        <f t="shared" si="36"/>
        <v>-</v>
      </c>
      <c r="BU69" s="516" t="str">
        <f t="shared" si="36"/>
        <v>-</v>
      </c>
      <c r="BV69" s="516" t="str">
        <f t="shared" si="36"/>
        <v>-</v>
      </c>
      <c r="BW69" s="516" t="str">
        <f t="shared" si="36"/>
        <v>-</v>
      </c>
      <c r="BX69" s="516" t="str">
        <f t="shared" si="36"/>
        <v>-</v>
      </c>
      <c r="BY69" s="516" t="str">
        <f t="shared" si="36"/>
        <v>-</v>
      </c>
      <c r="BZ69" s="516" t="str">
        <f t="shared" si="36"/>
        <v>-</v>
      </c>
      <c r="CA69" s="516" t="str">
        <f t="shared" si="36"/>
        <v>-</v>
      </c>
    </row>
    <row r="70" spans="1:79">
      <c r="A70" s="105"/>
      <c r="B70" s="112"/>
      <c r="C70" s="512"/>
      <c r="D70" s="111" t="str">
        <f t="shared" si="8"/>
        <v/>
      </c>
      <c r="E70" s="517" t="str">
        <f>IF(LEN(B70)&gt;0,CHOOSE(MATCH(RIGHT(D70,1),{"D","W","M"},0),NextBusDay($C$4,LEFT(D70,LEN(D70)-1)),NextBusDay($C$4+7*LEFT(D70,LEN(D70)-1)),NextBusDay(EDATE($C$4,LEFT(D70,LEN(D70)-1)))),"")</f>
        <v/>
      </c>
      <c r="F70" s="107"/>
      <c r="G70" s="106"/>
      <c r="H70" s="106" t="str">
        <f t="shared" si="25"/>
        <v/>
      </c>
      <c r="I70" s="261"/>
      <c r="J70" s="106" t="str">
        <f>IF(LEN(F70)&gt;0,IF(I70="S",H70,IF(I70="F",EDATE(H70,3),CHOOSE(MATCH(RIGHT(H70,1),{"D","W","M"},0),NextBusDay($C$4,LEFT(H70,LEN(H70)-1)),NextBusDay($C$4+7*LEFT(H70,LEN(H70)-1)),NextBusDay(EDATE($C$4,LEFT(H70,LEN(H70)-1)))))),"")</f>
        <v/>
      </c>
      <c r="L70" s="515">
        <f t="shared" si="23"/>
        <v>0</v>
      </c>
      <c r="N70" s="106" t="str">
        <f t="shared" si="3"/>
        <v>-</v>
      </c>
      <c r="O70" s="106" t="str">
        <f t="shared" si="17"/>
        <v>-</v>
      </c>
      <c r="P70" s="106" t="str">
        <f t="shared" si="5"/>
        <v>-</v>
      </c>
      <c r="Q70" s="106" t="b">
        <f t="shared" si="6"/>
        <v>0</v>
      </c>
      <c r="R70" s="516" t="str">
        <f t="shared" si="35"/>
        <v>-</v>
      </c>
      <c r="S70" s="516" t="str">
        <f t="shared" si="35"/>
        <v>-</v>
      </c>
      <c r="T70" s="516" t="str">
        <f t="shared" si="35"/>
        <v>-</v>
      </c>
      <c r="U70" s="516" t="str">
        <f t="shared" si="35"/>
        <v>-</v>
      </c>
      <c r="V70" s="516" t="str">
        <f t="shared" si="35"/>
        <v>-</v>
      </c>
      <c r="W70" s="516" t="str">
        <f t="shared" si="35"/>
        <v>-</v>
      </c>
      <c r="X70" s="516" t="str">
        <f t="shared" si="35"/>
        <v>-</v>
      </c>
      <c r="Y70" s="516" t="str">
        <f t="shared" si="35"/>
        <v>-</v>
      </c>
      <c r="Z70" s="516" t="str">
        <f t="shared" si="35"/>
        <v>-</v>
      </c>
      <c r="AA70" s="516" t="str">
        <f t="shared" si="35"/>
        <v>-</v>
      </c>
      <c r="AB70" s="516" t="str">
        <f t="shared" si="35"/>
        <v>-</v>
      </c>
      <c r="AC70" s="516" t="str">
        <f t="shared" si="35"/>
        <v>-</v>
      </c>
      <c r="AD70" s="516" t="str">
        <f t="shared" si="35"/>
        <v>-</v>
      </c>
      <c r="AE70" s="516" t="str">
        <f t="shared" si="35"/>
        <v>-</v>
      </c>
      <c r="AF70" s="516" t="str">
        <f t="shared" si="35"/>
        <v>-</v>
      </c>
      <c r="AG70" s="516" t="str">
        <f t="shared" si="34"/>
        <v>-</v>
      </c>
      <c r="AH70" s="516" t="str">
        <f t="shared" si="32"/>
        <v>-</v>
      </c>
      <c r="AI70" s="516" t="str">
        <f t="shared" si="32"/>
        <v>-</v>
      </c>
      <c r="AJ70" s="516" t="str">
        <f t="shared" si="32"/>
        <v>-</v>
      </c>
      <c r="AK70" s="516" t="str">
        <f t="shared" si="31"/>
        <v>-</v>
      </c>
      <c r="AL70" s="516" t="str">
        <f t="shared" si="31"/>
        <v>-</v>
      </c>
      <c r="AM70" s="516" t="str">
        <f t="shared" si="31"/>
        <v>-</v>
      </c>
      <c r="AN70" s="516" t="str">
        <f t="shared" si="31"/>
        <v>-</v>
      </c>
      <c r="AO70" s="516" t="str">
        <f t="shared" si="31"/>
        <v>-</v>
      </c>
      <c r="AP70" s="516" t="str">
        <f t="shared" si="31"/>
        <v>-</v>
      </c>
      <c r="AQ70" s="516" t="str">
        <f t="shared" si="31"/>
        <v>-</v>
      </c>
      <c r="AR70" s="516" t="str">
        <f t="shared" si="31"/>
        <v>-</v>
      </c>
      <c r="AS70" s="516" t="str">
        <f t="shared" si="31"/>
        <v>-</v>
      </c>
      <c r="AT70" s="516" t="str">
        <f t="shared" si="31"/>
        <v>-</v>
      </c>
      <c r="AU70" s="516" t="str">
        <f t="shared" si="31"/>
        <v>-</v>
      </c>
      <c r="AV70" s="516" t="str">
        <f t="shared" si="31"/>
        <v>-</v>
      </c>
      <c r="AW70" s="516" t="str">
        <f t="shared" si="31"/>
        <v>-</v>
      </c>
      <c r="AX70" s="516" t="str">
        <f t="shared" si="31"/>
        <v>-</v>
      </c>
      <c r="AY70" s="516" t="str">
        <f t="shared" si="31"/>
        <v>-</v>
      </c>
      <c r="AZ70" s="516" t="str">
        <f t="shared" si="31"/>
        <v>-</v>
      </c>
      <c r="BA70" s="516" t="str">
        <f t="shared" si="31"/>
        <v>-</v>
      </c>
      <c r="BB70" s="516" t="str">
        <f t="shared" si="31"/>
        <v>-</v>
      </c>
      <c r="BC70" s="516" t="str">
        <f t="shared" si="33"/>
        <v>-</v>
      </c>
      <c r="BD70" s="516" t="str">
        <f t="shared" si="33"/>
        <v>-</v>
      </c>
      <c r="BE70" s="516" t="str">
        <f t="shared" si="33"/>
        <v>-</v>
      </c>
      <c r="BF70" s="516" t="str">
        <f t="shared" si="33"/>
        <v>-</v>
      </c>
      <c r="BG70" s="516" t="str">
        <f t="shared" si="33"/>
        <v>-</v>
      </c>
      <c r="BH70" s="516" t="str">
        <f t="shared" si="33"/>
        <v>-</v>
      </c>
      <c r="BI70" s="516" t="str">
        <f t="shared" si="33"/>
        <v>-</v>
      </c>
      <c r="BJ70" s="516" t="str">
        <f t="shared" si="33"/>
        <v>-</v>
      </c>
      <c r="BK70" s="516" t="str">
        <f t="shared" si="33"/>
        <v>-</v>
      </c>
      <c r="BL70" s="516" t="str">
        <f t="shared" si="33"/>
        <v>-</v>
      </c>
      <c r="BM70" s="516" t="str">
        <f t="shared" si="33"/>
        <v>-</v>
      </c>
      <c r="BN70" s="516" t="str">
        <f t="shared" si="33"/>
        <v>-</v>
      </c>
      <c r="BO70" s="516" t="str">
        <f t="shared" si="33"/>
        <v>-</v>
      </c>
      <c r="BP70" s="516" t="str">
        <f t="shared" si="33"/>
        <v>-</v>
      </c>
      <c r="BQ70" s="516" t="str">
        <f t="shared" si="33"/>
        <v>-</v>
      </c>
      <c r="BR70" s="516" t="str">
        <f t="shared" si="33"/>
        <v>-</v>
      </c>
      <c r="BS70" s="516" t="str">
        <f t="shared" si="36"/>
        <v>-</v>
      </c>
      <c r="BT70" s="516" t="str">
        <f t="shared" si="36"/>
        <v>-</v>
      </c>
      <c r="BU70" s="516" t="str">
        <f t="shared" si="36"/>
        <v>-</v>
      </c>
      <c r="BV70" s="516" t="str">
        <f t="shared" si="36"/>
        <v>-</v>
      </c>
      <c r="BW70" s="516" t="str">
        <f t="shared" si="36"/>
        <v>-</v>
      </c>
      <c r="BX70" s="516" t="str">
        <f t="shared" si="36"/>
        <v>-</v>
      </c>
      <c r="BY70" s="516" t="str">
        <f t="shared" si="36"/>
        <v>-</v>
      </c>
      <c r="BZ70" s="516" t="str">
        <f t="shared" si="36"/>
        <v>-</v>
      </c>
      <c r="CA70" s="516" t="str">
        <f t="shared" si="36"/>
        <v>-</v>
      </c>
    </row>
    <row r="71" spans="1:79">
      <c r="A71" s="105"/>
      <c r="B71" s="112"/>
      <c r="C71" s="512"/>
      <c r="D71" s="111"/>
      <c r="E71" s="517"/>
      <c r="F71" s="107"/>
      <c r="G71" s="106"/>
      <c r="H71" s="106" t="str">
        <f t="shared" si="25"/>
        <v/>
      </c>
      <c r="I71" s="261"/>
      <c r="J71" s="106" t="str">
        <f>IF(LEN(F71)&gt;0,IF(I71="S",H71,IF(I71="F",EDATE(H71,3),CHOOSE(MATCH(RIGHT(H71,1),{"D","W","M"},0),NextBusDay($C$4,LEFT(H71,LEN(H71)-1)),NextBusDay($C$4+7*LEFT(H71,LEN(H71)-1)),NextBusDay(EDATE($C$4,LEFT(H71,LEN(H71)-1)))))),"")</f>
        <v/>
      </c>
      <c r="L71" s="515">
        <f t="shared" si="23"/>
        <v>0</v>
      </c>
      <c r="N71" s="106"/>
      <c r="O71" s="106"/>
      <c r="P71" s="106"/>
      <c r="Q71" s="106" t="b">
        <f t="shared" si="6"/>
        <v>0</v>
      </c>
      <c r="R71" s="516" t="str">
        <f t="shared" si="35"/>
        <v>-</v>
      </c>
      <c r="S71" s="516" t="str">
        <f t="shared" si="35"/>
        <v>-</v>
      </c>
      <c r="T71" s="516" t="str">
        <f t="shared" si="35"/>
        <v>-</v>
      </c>
      <c r="U71" s="516" t="str">
        <f t="shared" si="35"/>
        <v>-</v>
      </c>
      <c r="V71" s="516" t="str">
        <f t="shared" si="35"/>
        <v>-</v>
      </c>
      <c r="W71" s="516" t="str">
        <f t="shared" si="35"/>
        <v>-</v>
      </c>
      <c r="X71" s="516" t="str">
        <f t="shared" si="35"/>
        <v>-</v>
      </c>
      <c r="Y71" s="516" t="str">
        <f t="shared" si="35"/>
        <v>-</v>
      </c>
      <c r="Z71" s="516" t="str">
        <f t="shared" si="35"/>
        <v>-</v>
      </c>
      <c r="AA71" s="516" t="str">
        <f t="shared" si="35"/>
        <v>-</v>
      </c>
      <c r="AB71" s="516" t="str">
        <f t="shared" si="35"/>
        <v>-</v>
      </c>
      <c r="AC71" s="516" t="str">
        <f t="shared" si="35"/>
        <v>-</v>
      </c>
      <c r="AD71" s="516" t="str">
        <f t="shared" si="35"/>
        <v>-</v>
      </c>
      <c r="AE71" s="516" t="str">
        <f t="shared" si="35"/>
        <v>-</v>
      </c>
      <c r="AF71" s="516" t="str">
        <f t="shared" si="35"/>
        <v>-</v>
      </c>
      <c r="AG71" s="516" t="str">
        <f t="shared" si="34"/>
        <v>-</v>
      </c>
      <c r="AH71" s="516" t="str">
        <f t="shared" si="32"/>
        <v>-</v>
      </c>
      <c r="AI71" s="516" t="str">
        <f t="shared" si="32"/>
        <v>-</v>
      </c>
      <c r="AJ71" s="516" t="str">
        <f t="shared" si="32"/>
        <v>-</v>
      </c>
      <c r="AK71" s="516" t="str">
        <f t="shared" si="31"/>
        <v>-</v>
      </c>
      <c r="AL71" s="516" t="str">
        <f t="shared" si="31"/>
        <v>-</v>
      </c>
      <c r="AM71" s="516" t="str">
        <f t="shared" si="31"/>
        <v>-</v>
      </c>
      <c r="AN71" s="516" t="str">
        <f t="shared" si="31"/>
        <v>-</v>
      </c>
      <c r="AO71" s="516" t="str">
        <f t="shared" si="31"/>
        <v>-</v>
      </c>
      <c r="AP71" s="516" t="str">
        <f t="shared" si="31"/>
        <v>-</v>
      </c>
      <c r="AQ71" s="516" t="str">
        <f t="shared" si="31"/>
        <v>-</v>
      </c>
      <c r="AR71" s="516" t="str">
        <f t="shared" si="31"/>
        <v>-</v>
      </c>
      <c r="AS71" s="516" t="str">
        <f t="shared" si="31"/>
        <v>-</v>
      </c>
      <c r="AT71" s="516" t="str">
        <f t="shared" si="31"/>
        <v>-</v>
      </c>
      <c r="AU71" s="516" t="str">
        <f t="shared" si="31"/>
        <v>-</v>
      </c>
      <c r="AV71" s="516" t="str">
        <f t="shared" si="31"/>
        <v>-</v>
      </c>
      <c r="AW71" s="516" t="str">
        <f t="shared" si="31"/>
        <v>-</v>
      </c>
      <c r="AX71" s="516" t="str">
        <f t="shared" si="31"/>
        <v>-</v>
      </c>
      <c r="AY71" s="516" t="str">
        <f t="shared" si="31"/>
        <v>-</v>
      </c>
      <c r="AZ71" s="516" t="str">
        <f t="shared" si="31"/>
        <v>-</v>
      </c>
      <c r="BA71" s="516" t="str">
        <f t="shared" si="31"/>
        <v>-</v>
      </c>
      <c r="BB71" s="516" t="str">
        <f t="shared" si="31"/>
        <v>-</v>
      </c>
      <c r="BC71" s="516" t="str">
        <f t="shared" si="33"/>
        <v>-</v>
      </c>
      <c r="BD71" s="516" t="str">
        <f t="shared" si="33"/>
        <v>-</v>
      </c>
      <c r="BE71" s="516" t="str">
        <f t="shared" si="33"/>
        <v>-</v>
      </c>
      <c r="BF71" s="516" t="str">
        <f t="shared" si="33"/>
        <v>-</v>
      </c>
      <c r="BG71" s="516" t="str">
        <f t="shared" si="33"/>
        <v>-</v>
      </c>
      <c r="BH71" s="516" t="str">
        <f t="shared" si="33"/>
        <v>-</v>
      </c>
      <c r="BI71" s="516" t="str">
        <f t="shared" si="33"/>
        <v>-</v>
      </c>
      <c r="BJ71" s="516" t="str">
        <f t="shared" si="33"/>
        <v>-</v>
      </c>
      <c r="BK71" s="516" t="str">
        <f t="shared" si="33"/>
        <v>-</v>
      </c>
      <c r="BL71" s="516" t="str">
        <f t="shared" si="33"/>
        <v>-</v>
      </c>
      <c r="BM71" s="516" t="str">
        <f t="shared" si="33"/>
        <v>-</v>
      </c>
      <c r="BN71" s="516" t="str">
        <f t="shared" si="33"/>
        <v>-</v>
      </c>
      <c r="BO71" s="516" t="str">
        <f t="shared" si="33"/>
        <v>-</v>
      </c>
      <c r="BP71" s="516" t="str">
        <f t="shared" si="33"/>
        <v>-</v>
      </c>
      <c r="BQ71" s="516" t="str">
        <f t="shared" si="33"/>
        <v>-</v>
      </c>
      <c r="BR71" s="516" t="str">
        <f t="shared" si="33"/>
        <v>-</v>
      </c>
      <c r="BS71" s="516" t="str">
        <f t="shared" si="36"/>
        <v>-</v>
      </c>
      <c r="BT71" s="516" t="str">
        <f t="shared" si="36"/>
        <v>-</v>
      </c>
      <c r="BU71" s="516" t="str">
        <f t="shared" si="36"/>
        <v>-</v>
      </c>
      <c r="BV71" s="516" t="str">
        <f t="shared" si="36"/>
        <v>-</v>
      </c>
      <c r="BW71" s="516" t="str">
        <f t="shared" si="36"/>
        <v>-</v>
      </c>
      <c r="BX71" s="516" t="str">
        <f t="shared" si="36"/>
        <v>-</v>
      </c>
      <c r="BY71" s="516" t="str">
        <f t="shared" si="36"/>
        <v>-</v>
      </c>
      <c r="BZ71" s="516" t="str">
        <f t="shared" si="36"/>
        <v>-</v>
      </c>
      <c r="CA71" s="516" t="str">
        <f t="shared" si="36"/>
        <v>-</v>
      </c>
    </row>
    <row r="72" spans="1:79">
      <c r="A72" s="105"/>
      <c r="B72" s="112"/>
      <c r="C72" s="512"/>
      <c r="D72" s="111"/>
      <c r="E72" s="517"/>
      <c r="F72" s="107"/>
      <c r="G72" s="106"/>
      <c r="H72" s="106" t="str">
        <f t="shared" si="25"/>
        <v/>
      </c>
      <c r="I72" s="261"/>
      <c r="J72" s="106" t="str">
        <f>IF(LEN(F72)&gt;0,IF(I72="S",H72,IF(I72="F",EDATE(H72,3),CHOOSE(MATCH(RIGHT(H72,1),{"D","W","M"},0),NextBusDay($C$4,LEFT(H72,LEN(H72)-1)),NextBusDay($C$4+7*LEFT(H72,LEN(H72)-1)),NextBusDay(EDATE($C$4,LEFT(H72,LEN(H72)-1)))))),"")</f>
        <v/>
      </c>
      <c r="L72" s="515">
        <f t="shared" si="23"/>
        <v>0</v>
      </c>
      <c r="N72" s="106"/>
      <c r="O72" s="106"/>
      <c r="P72" s="106"/>
      <c r="Q72" s="106" t="b">
        <f t="shared" si="6"/>
        <v>0</v>
      </c>
      <c r="R72" s="516" t="str">
        <f t="shared" si="35"/>
        <v>-</v>
      </c>
      <c r="S72" s="516" t="str">
        <f t="shared" si="35"/>
        <v>-</v>
      </c>
      <c r="T72" s="516" t="str">
        <f t="shared" si="35"/>
        <v>-</v>
      </c>
      <c r="U72" s="516" t="str">
        <f t="shared" si="35"/>
        <v>-</v>
      </c>
      <c r="V72" s="516" t="str">
        <f t="shared" si="35"/>
        <v>-</v>
      </c>
      <c r="W72" s="516" t="str">
        <f t="shared" si="35"/>
        <v>-</v>
      </c>
      <c r="X72" s="516" t="str">
        <f t="shared" si="35"/>
        <v>-</v>
      </c>
      <c r="Y72" s="516" t="str">
        <f t="shared" si="35"/>
        <v>-</v>
      </c>
      <c r="Z72" s="516" t="str">
        <f t="shared" si="35"/>
        <v>-</v>
      </c>
      <c r="AA72" s="516" t="str">
        <f t="shared" si="35"/>
        <v>-</v>
      </c>
      <c r="AB72" s="516" t="str">
        <f t="shared" si="35"/>
        <v>-</v>
      </c>
      <c r="AC72" s="516" t="str">
        <f t="shared" si="35"/>
        <v>-</v>
      </c>
      <c r="AD72" s="516" t="str">
        <f t="shared" si="35"/>
        <v>-</v>
      </c>
      <c r="AE72" s="516" t="str">
        <f t="shared" si="35"/>
        <v>-</v>
      </c>
      <c r="AF72" s="516" t="str">
        <f t="shared" si="35"/>
        <v>-</v>
      </c>
      <c r="AG72" s="516" t="str">
        <f t="shared" si="34"/>
        <v>-</v>
      </c>
      <c r="AH72" s="516" t="str">
        <f t="shared" si="32"/>
        <v>-</v>
      </c>
      <c r="AI72" s="516" t="str">
        <f t="shared" si="32"/>
        <v>-</v>
      </c>
      <c r="AJ72" s="516" t="str">
        <f t="shared" si="32"/>
        <v>-</v>
      </c>
      <c r="AK72" s="516" t="str">
        <f t="shared" si="31"/>
        <v>-</v>
      </c>
      <c r="AL72" s="516" t="str">
        <f t="shared" si="31"/>
        <v>-</v>
      </c>
      <c r="AM72" s="516" t="str">
        <f t="shared" si="31"/>
        <v>-</v>
      </c>
      <c r="AN72" s="516" t="str">
        <f t="shared" si="31"/>
        <v>-</v>
      </c>
      <c r="AO72" s="516" t="str">
        <f t="shared" si="31"/>
        <v>-</v>
      </c>
      <c r="AP72" s="516" t="str">
        <f t="shared" si="31"/>
        <v>-</v>
      </c>
      <c r="AQ72" s="516" t="str">
        <f t="shared" si="31"/>
        <v>-</v>
      </c>
      <c r="AR72" s="516" t="str">
        <f t="shared" si="31"/>
        <v>-</v>
      </c>
      <c r="AS72" s="516" t="str">
        <f t="shared" si="31"/>
        <v>-</v>
      </c>
      <c r="AT72" s="516" t="str">
        <f t="shared" si="31"/>
        <v>-</v>
      </c>
      <c r="AU72" s="516" t="str">
        <f t="shared" si="31"/>
        <v>-</v>
      </c>
      <c r="AV72" s="516" t="str">
        <f t="shared" si="31"/>
        <v>-</v>
      </c>
      <c r="AW72" s="516" t="str">
        <f t="shared" si="31"/>
        <v>-</v>
      </c>
      <c r="AX72" s="516" t="str">
        <f t="shared" si="31"/>
        <v>-</v>
      </c>
      <c r="AY72" s="516" t="str">
        <f t="shared" si="31"/>
        <v>-</v>
      </c>
      <c r="AZ72" s="516" t="str">
        <f t="shared" si="31"/>
        <v>-</v>
      </c>
      <c r="BA72" s="516" t="str">
        <f t="shared" si="31"/>
        <v>-</v>
      </c>
      <c r="BB72" s="516" t="str">
        <f t="shared" si="31"/>
        <v>-</v>
      </c>
      <c r="BC72" s="516" t="str">
        <f t="shared" si="33"/>
        <v>-</v>
      </c>
      <c r="BD72" s="516" t="str">
        <f t="shared" si="33"/>
        <v>-</v>
      </c>
      <c r="BE72" s="516" t="str">
        <f t="shared" si="33"/>
        <v>-</v>
      </c>
      <c r="BF72" s="516" t="str">
        <f t="shared" si="33"/>
        <v>-</v>
      </c>
      <c r="BG72" s="516" t="str">
        <f t="shared" si="33"/>
        <v>-</v>
      </c>
      <c r="BH72" s="516" t="str">
        <f t="shared" si="33"/>
        <v>-</v>
      </c>
      <c r="BI72" s="516" t="str">
        <f t="shared" si="33"/>
        <v>-</v>
      </c>
      <c r="BJ72" s="516" t="str">
        <f t="shared" si="33"/>
        <v>-</v>
      </c>
      <c r="BK72" s="516" t="str">
        <f t="shared" si="33"/>
        <v>-</v>
      </c>
      <c r="BL72" s="516" t="str">
        <f t="shared" si="33"/>
        <v>-</v>
      </c>
      <c r="BM72" s="516" t="str">
        <f t="shared" si="33"/>
        <v>-</v>
      </c>
      <c r="BN72" s="516" t="str">
        <f t="shared" si="33"/>
        <v>-</v>
      </c>
      <c r="BO72" s="516" t="str">
        <f t="shared" si="33"/>
        <v>-</v>
      </c>
      <c r="BP72" s="516" t="str">
        <f t="shared" si="33"/>
        <v>-</v>
      </c>
      <c r="BQ72" s="516" t="str">
        <f t="shared" si="33"/>
        <v>-</v>
      </c>
      <c r="BR72" s="516" t="str">
        <f t="shared" si="33"/>
        <v>-</v>
      </c>
      <c r="BS72" s="516" t="str">
        <f t="shared" si="36"/>
        <v>-</v>
      </c>
      <c r="BT72" s="516" t="str">
        <f t="shared" si="36"/>
        <v>-</v>
      </c>
      <c r="BU72" s="516" t="str">
        <f t="shared" si="36"/>
        <v>-</v>
      </c>
      <c r="BV72" s="516" t="str">
        <f t="shared" si="36"/>
        <v>-</v>
      </c>
      <c r="BW72" s="516" t="str">
        <f t="shared" si="36"/>
        <v>-</v>
      </c>
      <c r="BX72" s="516" t="str">
        <f t="shared" si="36"/>
        <v>-</v>
      </c>
      <c r="BY72" s="516" t="str">
        <f t="shared" si="36"/>
        <v>-</v>
      </c>
      <c r="BZ72" s="516" t="str">
        <f t="shared" si="36"/>
        <v>-</v>
      </c>
      <c r="CA72" s="516" t="str">
        <f t="shared" si="36"/>
        <v>-</v>
      </c>
    </row>
    <row r="73" spans="1:79">
      <c r="A73" s="105"/>
      <c r="B73" s="112"/>
      <c r="C73" s="512"/>
      <c r="D73" s="111"/>
      <c r="E73" s="517"/>
      <c r="F73" s="107"/>
      <c r="G73" s="106"/>
      <c r="H73" s="106" t="str">
        <f t="shared" si="25"/>
        <v/>
      </c>
      <c r="I73" s="261"/>
      <c r="J73" s="106" t="str">
        <f>IF(LEN(F73)&gt;0,IF(I73="S",H73,IF(I73="F",EDATE(H73,3),CHOOSE(MATCH(RIGHT(H73,1),{"D","W","M"},0),NextBusDay($C$4,LEFT(H73,LEN(H73)-1)),NextBusDay($C$4+7*LEFT(H73,LEN(H73)-1)),NextBusDay(EDATE($C$4,LEFT(H73,LEN(H73)-1)))))),"")</f>
        <v/>
      </c>
      <c r="L73" s="515">
        <f t="shared" si="23"/>
        <v>0</v>
      </c>
      <c r="N73" s="106"/>
      <c r="O73" s="106"/>
      <c r="P73" s="106"/>
      <c r="Q73" s="106" t="b">
        <f t="shared" ref="Q73" si="37">MID(F73,4,1)=" "</f>
        <v>0</v>
      </c>
      <c r="R73" s="516" t="str">
        <f t="shared" si="35"/>
        <v>-</v>
      </c>
      <c r="S73" s="516" t="str">
        <f t="shared" si="35"/>
        <v>-</v>
      </c>
      <c r="T73" s="516" t="str">
        <f t="shared" si="35"/>
        <v>-</v>
      </c>
      <c r="U73" s="516" t="str">
        <f t="shared" si="35"/>
        <v>-</v>
      </c>
      <c r="V73" s="516" t="str">
        <f t="shared" si="35"/>
        <v>-</v>
      </c>
      <c r="W73" s="516" t="str">
        <f t="shared" si="35"/>
        <v>-</v>
      </c>
      <c r="X73" s="516" t="str">
        <f t="shared" si="35"/>
        <v>-</v>
      </c>
      <c r="Y73" s="516" t="str">
        <f t="shared" si="35"/>
        <v>-</v>
      </c>
      <c r="Z73" s="516" t="str">
        <f t="shared" si="35"/>
        <v>-</v>
      </c>
      <c r="AA73" s="516" t="str">
        <f t="shared" si="35"/>
        <v>-</v>
      </c>
      <c r="AB73" s="516" t="str">
        <f t="shared" si="35"/>
        <v>-</v>
      </c>
      <c r="AC73" s="516" t="str">
        <f t="shared" si="35"/>
        <v>-</v>
      </c>
      <c r="AD73" s="516" t="str">
        <f t="shared" si="35"/>
        <v>-</v>
      </c>
      <c r="AE73" s="516" t="str">
        <f t="shared" si="35"/>
        <v>-</v>
      </c>
      <c r="AF73" s="516" t="str">
        <f t="shared" si="35"/>
        <v>-</v>
      </c>
      <c r="AG73" s="516" t="str">
        <f t="shared" si="34"/>
        <v>-</v>
      </c>
      <c r="AH73" s="516" t="str">
        <f t="shared" si="32"/>
        <v>-</v>
      </c>
      <c r="AI73" s="516" t="str">
        <f t="shared" si="32"/>
        <v>-</v>
      </c>
      <c r="AJ73" s="516" t="str">
        <f t="shared" si="32"/>
        <v>-</v>
      </c>
      <c r="AK73" s="516" t="str">
        <f t="shared" si="31"/>
        <v>-</v>
      </c>
      <c r="AL73" s="516" t="str">
        <f t="shared" si="31"/>
        <v>-</v>
      </c>
      <c r="AM73" s="516" t="str">
        <f t="shared" si="31"/>
        <v>-</v>
      </c>
      <c r="AN73" s="516" t="str">
        <f t="shared" si="31"/>
        <v>-</v>
      </c>
      <c r="AO73" s="516" t="str">
        <f t="shared" si="31"/>
        <v>-</v>
      </c>
      <c r="AP73" s="516" t="str">
        <f t="shared" si="31"/>
        <v>-</v>
      </c>
      <c r="AQ73" s="516" t="str">
        <f t="shared" si="31"/>
        <v>-</v>
      </c>
      <c r="AR73" s="516" t="str">
        <f t="shared" si="31"/>
        <v>-</v>
      </c>
      <c r="AS73" s="516" t="str">
        <f t="shared" si="31"/>
        <v>-</v>
      </c>
      <c r="AT73" s="516" t="str">
        <f t="shared" si="31"/>
        <v>-</v>
      </c>
      <c r="AU73" s="516" t="str">
        <f t="shared" si="31"/>
        <v>-</v>
      </c>
      <c r="AV73" s="516" t="str">
        <f t="shared" si="31"/>
        <v>-</v>
      </c>
      <c r="AW73" s="516" t="str">
        <f t="shared" si="31"/>
        <v>-</v>
      </c>
      <c r="AX73" s="516" t="str">
        <f t="shared" si="31"/>
        <v>-</v>
      </c>
      <c r="AY73" s="516" t="str">
        <f t="shared" si="31"/>
        <v>-</v>
      </c>
      <c r="AZ73" s="516" t="str">
        <f t="shared" si="31"/>
        <v>-</v>
      </c>
      <c r="BA73" s="516" t="str">
        <f t="shared" si="31"/>
        <v>-</v>
      </c>
      <c r="BB73" s="516" t="str">
        <f t="shared" si="31"/>
        <v>-</v>
      </c>
      <c r="BC73" s="516" t="str">
        <f t="shared" si="33"/>
        <v>-</v>
      </c>
      <c r="BD73" s="516" t="str">
        <f t="shared" si="33"/>
        <v>-</v>
      </c>
      <c r="BE73" s="516" t="str">
        <f t="shared" si="33"/>
        <v>-</v>
      </c>
      <c r="BF73" s="516" t="str">
        <f t="shared" si="33"/>
        <v>-</v>
      </c>
      <c r="BG73" s="516" t="str">
        <f t="shared" si="33"/>
        <v>-</v>
      </c>
      <c r="BH73" s="516" t="str">
        <f t="shared" si="33"/>
        <v>-</v>
      </c>
      <c r="BI73" s="516" t="str">
        <f t="shared" si="33"/>
        <v>-</v>
      </c>
      <c r="BJ73" s="516" t="str">
        <f t="shared" si="33"/>
        <v>-</v>
      </c>
      <c r="BK73" s="516" t="str">
        <f t="shared" si="33"/>
        <v>-</v>
      </c>
      <c r="BL73" s="516" t="str">
        <f t="shared" si="33"/>
        <v>-</v>
      </c>
      <c r="BM73" s="516" t="str">
        <f t="shared" si="33"/>
        <v>-</v>
      </c>
      <c r="BN73" s="516" t="str">
        <f t="shared" si="33"/>
        <v>-</v>
      </c>
      <c r="BO73" s="516" t="str">
        <f t="shared" si="33"/>
        <v>-</v>
      </c>
      <c r="BP73" s="516" t="str">
        <f t="shared" si="33"/>
        <v>-</v>
      </c>
      <c r="BQ73" s="516" t="str">
        <f t="shared" si="33"/>
        <v>-</v>
      </c>
      <c r="BR73" s="516" t="str">
        <f t="shared" si="33"/>
        <v>-</v>
      </c>
      <c r="BS73" s="516" t="str">
        <f t="shared" si="36"/>
        <v>-</v>
      </c>
      <c r="BT73" s="516" t="str">
        <f t="shared" si="36"/>
        <v>-</v>
      </c>
      <c r="BU73" s="516" t="str">
        <f t="shared" si="36"/>
        <v>-</v>
      </c>
      <c r="BV73" s="516" t="str">
        <f t="shared" si="36"/>
        <v>-</v>
      </c>
      <c r="BW73" s="516" t="str">
        <f t="shared" si="36"/>
        <v>-</v>
      </c>
      <c r="BX73" s="516" t="str">
        <f t="shared" si="36"/>
        <v>-</v>
      </c>
      <c r="BY73" s="516" t="str">
        <f t="shared" si="36"/>
        <v>-</v>
      </c>
      <c r="BZ73" s="516" t="str">
        <f t="shared" si="36"/>
        <v>-</v>
      </c>
      <c r="CA73" s="516" t="str">
        <f t="shared" si="36"/>
        <v>-</v>
      </c>
    </row>
    <row r="76" spans="1:79">
      <c r="L76" s="519"/>
    </row>
  </sheetData>
  <mergeCells count="5">
    <mergeCell ref="B6:J6"/>
    <mergeCell ref="B7:E7"/>
    <mergeCell ref="F7:J7"/>
    <mergeCell ref="L7:L8"/>
    <mergeCell ref="N7:P7"/>
  </mergeCells>
  <conditionalFormatting sqref="R6:CA6">
    <cfRule type="expression" dxfId="11" priority="1" stopIfTrue="1">
      <formula>ABS(SUM(R$9:R$78)-R$6)&gt;0.00001</formula>
    </cfRule>
  </conditionalFormatting>
  <conditionalFormatting sqref="L9:L73 Q9:CD73">
    <cfRule type="expression" dxfId="10" priority="2">
      <formula>OR(LEN($F9)=0,LEN(L$7)=0)</formula>
    </cfRule>
  </conditionalFormatting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>
    <tabColor theme="3" tint="0.59999389629810485"/>
  </sheetPr>
  <dimension ref="A1:CA78"/>
  <sheetViews>
    <sheetView topLeftCell="A4" workbookViewId="0">
      <selection activeCell="C4" sqref="C4"/>
    </sheetView>
  </sheetViews>
  <sheetFormatPr defaultRowHeight="12.75" outlineLevelRow="1" outlineLevelCol="1"/>
  <cols>
    <col min="1" max="1" width="2.7109375" style="414" customWidth="1"/>
    <col min="2" max="3" width="11.5703125" style="414" customWidth="1"/>
    <col min="4" max="4" width="7.28515625" style="414" customWidth="1"/>
    <col min="5" max="5" width="9.85546875" style="414" customWidth="1"/>
    <col min="6" max="7" width="10.140625" style="414" customWidth="1"/>
    <col min="8" max="9" width="9.140625" style="414" customWidth="1"/>
    <col min="10" max="10" width="11.28515625" style="414" customWidth="1"/>
    <col min="11" max="11" width="2.7109375" style="414" customWidth="1"/>
    <col min="12" max="12" width="11.5703125" style="414" bestFit="1" customWidth="1"/>
    <col min="13" max="13" width="2.7109375" style="414" customWidth="1"/>
    <col min="14" max="16" width="10" style="414" hidden="1" customWidth="1" outlineLevel="1"/>
    <col min="17" max="17" width="8.42578125" style="414" bestFit="1" customWidth="1" collapsed="1"/>
    <col min="18" max="82" width="7.7109375" style="414" customWidth="1"/>
    <col min="83" max="87" width="8.7109375" style="414" customWidth="1"/>
    <col min="88" max="258" width="9.140625" style="414"/>
    <col min="259" max="259" width="2.7109375" style="414" customWidth="1"/>
    <col min="260" max="261" width="11.5703125" style="414" customWidth="1"/>
    <col min="262" max="262" width="7.28515625" style="414" customWidth="1"/>
    <col min="263" max="263" width="9.85546875" style="414" customWidth="1"/>
    <col min="264" max="264" width="10.140625" style="414" customWidth="1"/>
    <col min="265" max="265" width="11.28515625" style="414" customWidth="1"/>
    <col min="266" max="266" width="2.7109375" style="414" customWidth="1"/>
    <col min="267" max="267" width="9.42578125" style="414" customWidth="1"/>
    <col min="268" max="268" width="2.7109375" style="414" customWidth="1"/>
    <col min="269" max="272" width="0" style="414" hidden="1" customWidth="1"/>
    <col min="273" max="273" width="10" style="414" customWidth="1"/>
    <col min="274" max="343" width="6.7109375" style="414" customWidth="1"/>
    <col min="344" max="514" width="9.140625" style="414"/>
    <col min="515" max="515" width="2.7109375" style="414" customWidth="1"/>
    <col min="516" max="517" width="11.5703125" style="414" customWidth="1"/>
    <col min="518" max="518" width="7.28515625" style="414" customWidth="1"/>
    <col min="519" max="519" width="9.85546875" style="414" customWidth="1"/>
    <col min="520" max="520" width="10.140625" style="414" customWidth="1"/>
    <col min="521" max="521" width="11.28515625" style="414" customWidth="1"/>
    <col min="522" max="522" width="2.7109375" style="414" customWidth="1"/>
    <col min="523" max="523" width="9.42578125" style="414" customWidth="1"/>
    <col min="524" max="524" width="2.7109375" style="414" customWidth="1"/>
    <col min="525" max="528" width="0" style="414" hidden="1" customWidth="1"/>
    <col min="529" max="529" width="10" style="414" customWidth="1"/>
    <col min="530" max="599" width="6.7109375" style="414" customWidth="1"/>
    <col min="600" max="770" width="9.140625" style="414"/>
    <col min="771" max="771" width="2.7109375" style="414" customWidth="1"/>
    <col min="772" max="773" width="11.5703125" style="414" customWidth="1"/>
    <col min="774" max="774" width="7.28515625" style="414" customWidth="1"/>
    <col min="775" max="775" width="9.85546875" style="414" customWidth="1"/>
    <col min="776" max="776" width="10.140625" style="414" customWidth="1"/>
    <col min="777" max="777" width="11.28515625" style="414" customWidth="1"/>
    <col min="778" max="778" width="2.7109375" style="414" customWidth="1"/>
    <col min="779" max="779" width="9.42578125" style="414" customWidth="1"/>
    <col min="780" max="780" width="2.7109375" style="414" customWidth="1"/>
    <col min="781" max="784" width="0" style="414" hidden="1" customWidth="1"/>
    <col min="785" max="785" width="10" style="414" customWidth="1"/>
    <col min="786" max="855" width="6.7109375" style="414" customWidth="1"/>
    <col min="856" max="1026" width="9.140625" style="414"/>
    <col min="1027" max="1027" width="2.7109375" style="414" customWidth="1"/>
    <col min="1028" max="1029" width="11.5703125" style="414" customWidth="1"/>
    <col min="1030" max="1030" width="7.28515625" style="414" customWidth="1"/>
    <col min="1031" max="1031" width="9.85546875" style="414" customWidth="1"/>
    <col min="1032" max="1032" width="10.140625" style="414" customWidth="1"/>
    <col min="1033" max="1033" width="11.28515625" style="414" customWidth="1"/>
    <col min="1034" max="1034" width="2.7109375" style="414" customWidth="1"/>
    <col min="1035" max="1035" width="9.42578125" style="414" customWidth="1"/>
    <col min="1036" max="1036" width="2.7109375" style="414" customWidth="1"/>
    <col min="1037" max="1040" width="0" style="414" hidden="1" customWidth="1"/>
    <col min="1041" max="1041" width="10" style="414" customWidth="1"/>
    <col min="1042" max="1111" width="6.7109375" style="414" customWidth="1"/>
    <col min="1112" max="1282" width="9.140625" style="414"/>
    <col min="1283" max="1283" width="2.7109375" style="414" customWidth="1"/>
    <col min="1284" max="1285" width="11.5703125" style="414" customWidth="1"/>
    <col min="1286" max="1286" width="7.28515625" style="414" customWidth="1"/>
    <col min="1287" max="1287" width="9.85546875" style="414" customWidth="1"/>
    <col min="1288" max="1288" width="10.140625" style="414" customWidth="1"/>
    <col min="1289" max="1289" width="11.28515625" style="414" customWidth="1"/>
    <col min="1290" max="1290" width="2.7109375" style="414" customWidth="1"/>
    <col min="1291" max="1291" width="9.42578125" style="414" customWidth="1"/>
    <col min="1292" max="1292" width="2.7109375" style="414" customWidth="1"/>
    <col min="1293" max="1296" width="0" style="414" hidden="1" customWidth="1"/>
    <col min="1297" max="1297" width="10" style="414" customWidth="1"/>
    <col min="1298" max="1367" width="6.7109375" style="414" customWidth="1"/>
    <col min="1368" max="1538" width="9.140625" style="414"/>
    <col min="1539" max="1539" width="2.7109375" style="414" customWidth="1"/>
    <col min="1540" max="1541" width="11.5703125" style="414" customWidth="1"/>
    <col min="1542" max="1542" width="7.28515625" style="414" customWidth="1"/>
    <col min="1543" max="1543" width="9.85546875" style="414" customWidth="1"/>
    <col min="1544" max="1544" width="10.140625" style="414" customWidth="1"/>
    <col min="1545" max="1545" width="11.28515625" style="414" customWidth="1"/>
    <col min="1546" max="1546" width="2.7109375" style="414" customWidth="1"/>
    <col min="1547" max="1547" width="9.42578125" style="414" customWidth="1"/>
    <col min="1548" max="1548" width="2.7109375" style="414" customWidth="1"/>
    <col min="1549" max="1552" width="0" style="414" hidden="1" customWidth="1"/>
    <col min="1553" max="1553" width="10" style="414" customWidth="1"/>
    <col min="1554" max="1623" width="6.7109375" style="414" customWidth="1"/>
    <col min="1624" max="1794" width="9.140625" style="414"/>
    <col min="1795" max="1795" width="2.7109375" style="414" customWidth="1"/>
    <col min="1796" max="1797" width="11.5703125" style="414" customWidth="1"/>
    <col min="1798" max="1798" width="7.28515625" style="414" customWidth="1"/>
    <col min="1799" max="1799" width="9.85546875" style="414" customWidth="1"/>
    <col min="1800" max="1800" width="10.140625" style="414" customWidth="1"/>
    <col min="1801" max="1801" width="11.28515625" style="414" customWidth="1"/>
    <col min="1802" max="1802" width="2.7109375" style="414" customWidth="1"/>
    <col min="1803" max="1803" width="9.42578125" style="414" customWidth="1"/>
    <col min="1804" max="1804" width="2.7109375" style="414" customWidth="1"/>
    <col min="1805" max="1808" width="0" style="414" hidden="1" customWidth="1"/>
    <col min="1809" max="1809" width="10" style="414" customWidth="1"/>
    <col min="1810" max="1879" width="6.7109375" style="414" customWidth="1"/>
    <col min="1880" max="2050" width="9.140625" style="414"/>
    <col min="2051" max="2051" width="2.7109375" style="414" customWidth="1"/>
    <col min="2052" max="2053" width="11.5703125" style="414" customWidth="1"/>
    <col min="2054" max="2054" width="7.28515625" style="414" customWidth="1"/>
    <col min="2055" max="2055" width="9.85546875" style="414" customWidth="1"/>
    <col min="2056" max="2056" width="10.140625" style="414" customWidth="1"/>
    <col min="2057" max="2057" width="11.28515625" style="414" customWidth="1"/>
    <col min="2058" max="2058" width="2.7109375" style="414" customWidth="1"/>
    <col min="2059" max="2059" width="9.42578125" style="414" customWidth="1"/>
    <col min="2060" max="2060" width="2.7109375" style="414" customWidth="1"/>
    <col min="2061" max="2064" width="0" style="414" hidden="1" customWidth="1"/>
    <col min="2065" max="2065" width="10" style="414" customWidth="1"/>
    <col min="2066" max="2135" width="6.7109375" style="414" customWidth="1"/>
    <col min="2136" max="2306" width="9.140625" style="414"/>
    <col min="2307" max="2307" width="2.7109375" style="414" customWidth="1"/>
    <col min="2308" max="2309" width="11.5703125" style="414" customWidth="1"/>
    <col min="2310" max="2310" width="7.28515625" style="414" customWidth="1"/>
    <col min="2311" max="2311" width="9.85546875" style="414" customWidth="1"/>
    <col min="2312" max="2312" width="10.140625" style="414" customWidth="1"/>
    <col min="2313" max="2313" width="11.28515625" style="414" customWidth="1"/>
    <col min="2314" max="2314" width="2.7109375" style="414" customWidth="1"/>
    <col min="2315" max="2315" width="9.42578125" style="414" customWidth="1"/>
    <col min="2316" max="2316" width="2.7109375" style="414" customWidth="1"/>
    <col min="2317" max="2320" width="0" style="414" hidden="1" customWidth="1"/>
    <col min="2321" max="2321" width="10" style="414" customWidth="1"/>
    <col min="2322" max="2391" width="6.7109375" style="414" customWidth="1"/>
    <col min="2392" max="2562" width="9.140625" style="414"/>
    <col min="2563" max="2563" width="2.7109375" style="414" customWidth="1"/>
    <col min="2564" max="2565" width="11.5703125" style="414" customWidth="1"/>
    <col min="2566" max="2566" width="7.28515625" style="414" customWidth="1"/>
    <col min="2567" max="2567" width="9.85546875" style="414" customWidth="1"/>
    <col min="2568" max="2568" width="10.140625" style="414" customWidth="1"/>
    <col min="2569" max="2569" width="11.28515625" style="414" customWidth="1"/>
    <col min="2570" max="2570" width="2.7109375" style="414" customWidth="1"/>
    <col min="2571" max="2571" width="9.42578125" style="414" customWidth="1"/>
    <col min="2572" max="2572" width="2.7109375" style="414" customWidth="1"/>
    <col min="2573" max="2576" width="0" style="414" hidden="1" customWidth="1"/>
    <col min="2577" max="2577" width="10" style="414" customWidth="1"/>
    <col min="2578" max="2647" width="6.7109375" style="414" customWidth="1"/>
    <col min="2648" max="2818" width="9.140625" style="414"/>
    <col min="2819" max="2819" width="2.7109375" style="414" customWidth="1"/>
    <col min="2820" max="2821" width="11.5703125" style="414" customWidth="1"/>
    <col min="2822" max="2822" width="7.28515625" style="414" customWidth="1"/>
    <col min="2823" max="2823" width="9.85546875" style="414" customWidth="1"/>
    <col min="2824" max="2824" width="10.140625" style="414" customWidth="1"/>
    <col min="2825" max="2825" width="11.28515625" style="414" customWidth="1"/>
    <col min="2826" max="2826" width="2.7109375" style="414" customWidth="1"/>
    <col min="2827" max="2827" width="9.42578125" style="414" customWidth="1"/>
    <col min="2828" max="2828" width="2.7109375" style="414" customWidth="1"/>
    <col min="2829" max="2832" width="0" style="414" hidden="1" customWidth="1"/>
    <col min="2833" max="2833" width="10" style="414" customWidth="1"/>
    <col min="2834" max="2903" width="6.7109375" style="414" customWidth="1"/>
    <col min="2904" max="3074" width="9.140625" style="414"/>
    <col min="3075" max="3075" width="2.7109375" style="414" customWidth="1"/>
    <col min="3076" max="3077" width="11.5703125" style="414" customWidth="1"/>
    <col min="3078" max="3078" width="7.28515625" style="414" customWidth="1"/>
    <col min="3079" max="3079" width="9.85546875" style="414" customWidth="1"/>
    <col min="3080" max="3080" width="10.140625" style="414" customWidth="1"/>
    <col min="3081" max="3081" width="11.28515625" style="414" customWidth="1"/>
    <col min="3082" max="3082" width="2.7109375" style="414" customWidth="1"/>
    <col min="3083" max="3083" width="9.42578125" style="414" customWidth="1"/>
    <col min="3084" max="3084" width="2.7109375" style="414" customWidth="1"/>
    <col min="3085" max="3088" width="0" style="414" hidden="1" customWidth="1"/>
    <col min="3089" max="3089" width="10" style="414" customWidth="1"/>
    <col min="3090" max="3159" width="6.7109375" style="414" customWidth="1"/>
    <col min="3160" max="3330" width="9.140625" style="414"/>
    <col min="3331" max="3331" width="2.7109375" style="414" customWidth="1"/>
    <col min="3332" max="3333" width="11.5703125" style="414" customWidth="1"/>
    <col min="3334" max="3334" width="7.28515625" style="414" customWidth="1"/>
    <col min="3335" max="3335" width="9.85546875" style="414" customWidth="1"/>
    <col min="3336" max="3336" width="10.140625" style="414" customWidth="1"/>
    <col min="3337" max="3337" width="11.28515625" style="414" customWidth="1"/>
    <col min="3338" max="3338" width="2.7109375" style="414" customWidth="1"/>
    <col min="3339" max="3339" width="9.42578125" style="414" customWidth="1"/>
    <col min="3340" max="3340" width="2.7109375" style="414" customWidth="1"/>
    <col min="3341" max="3344" width="0" style="414" hidden="1" customWidth="1"/>
    <col min="3345" max="3345" width="10" style="414" customWidth="1"/>
    <col min="3346" max="3415" width="6.7109375" style="414" customWidth="1"/>
    <col min="3416" max="3586" width="9.140625" style="414"/>
    <col min="3587" max="3587" width="2.7109375" style="414" customWidth="1"/>
    <col min="3588" max="3589" width="11.5703125" style="414" customWidth="1"/>
    <col min="3590" max="3590" width="7.28515625" style="414" customWidth="1"/>
    <col min="3591" max="3591" width="9.85546875" style="414" customWidth="1"/>
    <col min="3592" max="3592" width="10.140625" style="414" customWidth="1"/>
    <col min="3593" max="3593" width="11.28515625" style="414" customWidth="1"/>
    <col min="3594" max="3594" width="2.7109375" style="414" customWidth="1"/>
    <col min="3595" max="3595" width="9.42578125" style="414" customWidth="1"/>
    <col min="3596" max="3596" width="2.7109375" style="414" customWidth="1"/>
    <col min="3597" max="3600" width="0" style="414" hidden="1" customWidth="1"/>
    <col min="3601" max="3601" width="10" style="414" customWidth="1"/>
    <col min="3602" max="3671" width="6.7109375" style="414" customWidth="1"/>
    <col min="3672" max="3842" width="9.140625" style="414"/>
    <col min="3843" max="3843" width="2.7109375" style="414" customWidth="1"/>
    <col min="3844" max="3845" width="11.5703125" style="414" customWidth="1"/>
    <col min="3846" max="3846" width="7.28515625" style="414" customWidth="1"/>
    <col min="3847" max="3847" width="9.85546875" style="414" customWidth="1"/>
    <col min="3848" max="3848" width="10.140625" style="414" customWidth="1"/>
    <col min="3849" max="3849" width="11.28515625" style="414" customWidth="1"/>
    <col min="3850" max="3850" width="2.7109375" style="414" customWidth="1"/>
    <col min="3851" max="3851" width="9.42578125" style="414" customWidth="1"/>
    <col min="3852" max="3852" width="2.7109375" style="414" customWidth="1"/>
    <col min="3853" max="3856" width="0" style="414" hidden="1" customWidth="1"/>
    <col min="3857" max="3857" width="10" style="414" customWidth="1"/>
    <col min="3858" max="3927" width="6.7109375" style="414" customWidth="1"/>
    <col min="3928" max="4098" width="9.140625" style="414"/>
    <col min="4099" max="4099" width="2.7109375" style="414" customWidth="1"/>
    <col min="4100" max="4101" width="11.5703125" style="414" customWidth="1"/>
    <col min="4102" max="4102" width="7.28515625" style="414" customWidth="1"/>
    <col min="4103" max="4103" width="9.85546875" style="414" customWidth="1"/>
    <col min="4104" max="4104" width="10.140625" style="414" customWidth="1"/>
    <col min="4105" max="4105" width="11.28515625" style="414" customWidth="1"/>
    <col min="4106" max="4106" width="2.7109375" style="414" customWidth="1"/>
    <col min="4107" max="4107" width="9.42578125" style="414" customWidth="1"/>
    <col min="4108" max="4108" width="2.7109375" style="414" customWidth="1"/>
    <col min="4109" max="4112" width="0" style="414" hidden="1" customWidth="1"/>
    <col min="4113" max="4113" width="10" style="414" customWidth="1"/>
    <col min="4114" max="4183" width="6.7109375" style="414" customWidth="1"/>
    <col min="4184" max="4354" width="9.140625" style="414"/>
    <col min="4355" max="4355" width="2.7109375" style="414" customWidth="1"/>
    <col min="4356" max="4357" width="11.5703125" style="414" customWidth="1"/>
    <col min="4358" max="4358" width="7.28515625" style="414" customWidth="1"/>
    <col min="4359" max="4359" width="9.85546875" style="414" customWidth="1"/>
    <col min="4360" max="4360" width="10.140625" style="414" customWidth="1"/>
    <col min="4361" max="4361" width="11.28515625" style="414" customWidth="1"/>
    <col min="4362" max="4362" width="2.7109375" style="414" customWidth="1"/>
    <col min="4363" max="4363" width="9.42578125" style="414" customWidth="1"/>
    <col min="4364" max="4364" width="2.7109375" style="414" customWidth="1"/>
    <col min="4365" max="4368" width="0" style="414" hidden="1" customWidth="1"/>
    <col min="4369" max="4369" width="10" style="414" customWidth="1"/>
    <col min="4370" max="4439" width="6.7109375" style="414" customWidth="1"/>
    <col min="4440" max="4610" width="9.140625" style="414"/>
    <col min="4611" max="4611" width="2.7109375" style="414" customWidth="1"/>
    <col min="4612" max="4613" width="11.5703125" style="414" customWidth="1"/>
    <col min="4614" max="4614" width="7.28515625" style="414" customWidth="1"/>
    <col min="4615" max="4615" width="9.85546875" style="414" customWidth="1"/>
    <col min="4616" max="4616" width="10.140625" style="414" customWidth="1"/>
    <col min="4617" max="4617" width="11.28515625" style="414" customWidth="1"/>
    <col min="4618" max="4618" width="2.7109375" style="414" customWidth="1"/>
    <col min="4619" max="4619" width="9.42578125" style="414" customWidth="1"/>
    <col min="4620" max="4620" width="2.7109375" style="414" customWidth="1"/>
    <col min="4621" max="4624" width="0" style="414" hidden="1" customWidth="1"/>
    <col min="4625" max="4625" width="10" style="414" customWidth="1"/>
    <col min="4626" max="4695" width="6.7109375" style="414" customWidth="1"/>
    <col min="4696" max="4866" width="9.140625" style="414"/>
    <col min="4867" max="4867" width="2.7109375" style="414" customWidth="1"/>
    <col min="4868" max="4869" width="11.5703125" style="414" customWidth="1"/>
    <col min="4870" max="4870" width="7.28515625" style="414" customWidth="1"/>
    <col min="4871" max="4871" width="9.85546875" style="414" customWidth="1"/>
    <col min="4872" max="4872" width="10.140625" style="414" customWidth="1"/>
    <col min="4873" max="4873" width="11.28515625" style="414" customWidth="1"/>
    <col min="4874" max="4874" width="2.7109375" style="414" customWidth="1"/>
    <col min="4875" max="4875" width="9.42578125" style="414" customWidth="1"/>
    <col min="4876" max="4876" width="2.7109375" style="414" customWidth="1"/>
    <col min="4877" max="4880" width="0" style="414" hidden="1" customWidth="1"/>
    <col min="4881" max="4881" width="10" style="414" customWidth="1"/>
    <col min="4882" max="4951" width="6.7109375" style="414" customWidth="1"/>
    <col min="4952" max="5122" width="9.140625" style="414"/>
    <col min="5123" max="5123" width="2.7109375" style="414" customWidth="1"/>
    <col min="5124" max="5125" width="11.5703125" style="414" customWidth="1"/>
    <col min="5126" max="5126" width="7.28515625" style="414" customWidth="1"/>
    <col min="5127" max="5127" width="9.85546875" style="414" customWidth="1"/>
    <col min="5128" max="5128" width="10.140625" style="414" customWidth="1"/>
    <col min="5129" max="5129" width="11.28515625" style="414" customWidth="1"/>
    <col min="5130" max="5130" width="2.7109375" style="414" customWidth="1"/>
    <col min="5131" max="5131" width="9.42578125" style="414" customWidth="1"/>
    <col min="5132" max="5132" width="2.7109375" style="414" customWidth="1"/>
    <col min="5133" max="5136" width="0" style="414" hidden="1" customWidth="1"/>
    <col min="5137" max="5137" width="10" style="414" customWidth="1"/>
    <col min="5138" max="5207" width="6.7109375" style="414" customWidth="1"/>
    <col min="5208" max="5378" width="9.140625" style="414"/>
    <col min="5379" max="5379" width="2.7109375" style="414" customWidth="1"/>
    <col min="5380" max="5381" width="11.5703125" style="414" customWidth="1"/>
    <col min="5382" max="5382" width="7.28515625" style="414" customWidth="1"/>
    <col min="5383" max="5383" width="9.85546875" style="414" customWidth="1"/>
    <col min="5384" max="5384" width="10.140625" style="414" customWidth="1"/>
    <col min="5385" max="5385" width="11.28515625" style="414" customWidth="1"/>
    <col min="5386" max="5386" width="2.7109375" style="414" customWidth="1"/>
    <col min="5387" max="5387" width="9.42578125" style="414" customWidth="1"/>
    <col min="5388" max="5388" width="2.7109375" style="414" customWidth="1"/>
    <col min="5389" max="5392" width="0" style="414" hidden="1" customWidth="1"/>
    <col min="5393" max="5393" width="10" style="414" customWidth="1"/>
    <col min="5394" max="5463" width="6.7109375" style="414" customWidth="1"/>
    <col min="5464" max="5634" width="9.140625" style="414"/>
    <col min="5635" max="5635" width="2.7109375" style="414" customWidth="1"/>
    <col min="5636" max="5637" width="11.5703125" style="414" customWidth="1"/>
    <col min="5638" max="5638" width="7.28515625" style="414" customWidth="1"/>
    <col min="5639" max="5639" width="9.85546875" style="414" customWidth="1"/>
    <col min="5640" max="5640" width="10.140625" style="414" customWidth="1"/>
    <col min="5641" max="5641" width="11.28515625" style="414" customWidth="1"/>
    <col min="5642" max="5642" width="2.7109375" style="414" customWidth="1"/>
    <col min="5643" max="5643" width="9.42578125" style="414" customWidth="1"/>
    <col min="5644" max="5644" width="2.7109375" style="414" customWidth="1"/>
    <col min="5645" max="5648" width="0" style="414" hidden="1" customWidth="1"/>
    <col min="5649" max="5649" width="10" style="414" customWidth="1"/>
    <col min="5650" max="5719" width="6.7109375" style="414" customWidth="1"/>
    <col min="5720" max="5890" width="9.140625" style="414"/>
    <col min="5891" max="5891" width="2.7109375" style="414" customWidth="1"/>
    <col min="5892" max="5893" width="11.5703125" style="414" customWidth="1"/>
    <col min="5894" max="5894" width="7.28515625" style="414" customWidth="1"/>
    <col min="5895" max="5895" width="9.85546875" style="414" customWidth="1"/>
    <col min="5896" max="5896" width="10.140625" style="414" customWidth="1"/>
    <col min="5897" max="5897" width="11.28515625" style="414" customWidth="1"/>
    <col min="5898" max="5898" width="2.7109375" style="414" customWidth="1"/>
    <col min="5899" max="5899" width="9.42578125" style="414" customWidth="1"/>
    <col min="5900" max="5900" width="2.7109375" style="414" customWidth="1"/>
    <col min="5901" max="5904" width="0" style="414" hidden="1" customWidth="1"/>
    <col min="5905" max="5905" width="10" style="414" customWidth="1"/>
    <col min="5906" max="5975" width="6.7109375" style="414" customWidth="1"/>
    <col min="5976" max="6146" width="9.140625" style="414"/>
    <col min="6147" max="6147" width="2.7109375" style="414" customWidth="1"/>
    <col min="6148" max="6149" width="11.5703125" style="414" customWidth="1"/>
    <col min="6150" max="6150" width="7.28515625" style="414" customWidth="1"/>
    <col min="6151" max="6151" width="9.85546875" style="414" customWidth="1"/>
    <col min="6152" max="6152" width="10.140625" style="414" customWidth="1"/>
    <col min="6153" max="6153" width="11.28515625" style="414" customWidth="1"/>
    <col min="6154" max="6154" width="2.7109375" style="414" customWidth="1"/>
    <col min="6155" max="6155" width="9.42578125" style="414" customWidth="1"/>
    <col min="6156" max="6156" width="2.7109375" style="414" customWidth="1"/>
    <col min="6157" max="6160" width="0" style="414" hidden="1" customWidth="1"/>
    <col min="6161" max="6161" width="10" style="414" customWidth="1"/>
    <col min="6162" max="6231" width="6.7109375" style="414" customWidth="1"/>
    <col min="6232" max="6402" width="9.140625" style="414"/>
    <col min="6403" max="6403" width="2.7109375" style="414" customWidth="1"/>
    <col min="6404" max="6405" width="11.5703125" style="414" customWidth="1"/>
    <col min="6406" max="6406" width="7.28515625" style="414" customWidth="1"/>
    <col min="6407" max="6407" width="9.85546875" style="414" customWidth="1"/>
    <col min="6408" max="6408" width="10.140625" style="414" customWidth="1"/>
    <col min="6409" max="6409" width="11.28515625" style="414" customWidth="1"/>
    <col min="6410" max="6410" width="2.7109375" style="414" customWidth="1"/>
    <col min="6411" max="6411" width="9.42578125" style="414" customWidth="1"/>
    <col min="6412" max="6412" width="2.7109375" style="414" customWidth="1"/>
    <col min="6413" max="6416" width="0" style="414" hidden="1" customWidth="1"/>
    <col min="6417" max="6417" width="10" style="414" customWidth="1"/>
    <col min="6418" max="6487" width="6.7109375" style="414" customWidth="1"/>
    <col min="6488" max="6658" width="9.140625" style="414"/>
    <col min="6659" max="6659" width="2.7109375" style="414" customWidth="1"/>
    <col min="6660" max="6661" width="11.5703125" style="414" customWidth="1"/>
    <col min="6662" max="6662" width="7.28515625" style="414" customWidth="1"/>
    <col min="6663" max="6663" width="9.85546875" style="414" customWidth="1"/>
    <col min="6664" max="6664" width="10.140625" style="414" customWidth="1"/>
    <col min="6665" max="6665" width="11.28515625" style="414" customWidth="1"/>
    <col min="6666" max="6666" width="2.7109375" style="414" customWidth="1"/>
    <col min="6667" max="6667" width="9.42578125" style="414" customWidth="1"/>
    <col min="6668" max="6668" width="2.7109375" style="414" customWidth="1"/>
    <col min="6669" max="6672" width="0" style="414" hidden="1" customWidth="1"/>
    <col min="6673" max="6673" width="10" style="414" customWidth="1"/>
    <col min="6674" max="6743" width="6.7109375" style="414" customWidth="1"/>
    <col min="6744" max="6914" width="9.140625" style="414"/>
    <col min="6915" max="6915" width="2.7109375" style="414" customWidth="1"/>
    <col min="6916" max="6917" width="11.5703125" style="414" customWidth="1"/>
    <col min="6918" max="6918" width="7.28515625" style="414" customWidth="1"/>
    <col min="6919" max="6919" width="9.85546875" style="414" customWidth="1"/>
    <col min="6920" max="6920" width="10.140625" style="414" customWidth="1"/>
    <col min="6921" max="6921" width="11.28515625" style="414" customWidth="1"/>
    <col min="6922" max="6922" width="2.7109375" style="414" customWidth="1"/>
    <col min="6923" max="6923" width="9.42578125" style="414" customWidth="1"/>
    <col min="6924" max="6924" width="2.7109375" style="414" customWidth="1"/>
    <col min="6925" max="6928" width="0" style="414" hidden="1" customWidth="1"/>
    <col min="6929" max="6929" width="10" style="414" customWidth="1"/>
    <col min="6930" max="6999" width="6.7109375" style="414" customWidth="1"/>
    <col min="7000" max="7170" width="9.140625" style="414"/>
    <col min="7171" max="7171" width="2.7109375" style="414" customWidth="1"/>
    <col min="7172" max="7173" width="11.5703125" style="414" customWidth="1"/>
    <col min="7174" max="7174" width="7.28515625" style="414" customWidth="1"/>
    <col min="7175" max="7175" width="9.85546875" style="414" customWidth="1"/>
    <col min="7176" max="7176" width="10.140625" style="414" customWidth="1"/>
    <col min="7177" max="7177" width="11.28515625" style="414" customWidth="1"/>
    <col min="7178" max="7178" width="2.7109375" style="414" customWidth="1"/>
    <col min="7179" max="7179" width="9.42578125" style="414" customWidth="1"/>
    <col min="7180" max="7180" width="2.7109375" style="414" customWidth="1"/>
    <col min="7181" max="7184" width="0" style="414" hidden="1" customWidth="1"/>
    <col min="7185" max="7185" width="10" style="414" customWidth="1"/>
    <col min="7186" max="7255" width="6.7109375" style="414" customWidth="1"/>
    <col min="7256" max="7426" width="9.140625" style="414"/>
    <col min="7427" max="7427" width="2.7109375" style="414" customWidth="1"/>
    <col min="7428" max="7429" width="11.5703125" style="414" customWidth="1"/>
    <col min="7430" max="7430" width="7.28515625" style="414" customWidth="1"/>
    <col min="7431" max="7431" width="9.85546875" style="414" customWidth="1"/>
    <col min="7432" max="7432" width="10.140625" style="414" customWidth="1"/>
    <col min="7433" max="7433" width="11.28515625" style="414" customWidth="1"/>
    <col min="7434" max="7434" width="2.7109375" style="414" customWidth="1"/>
    <col min="7435" max="7435" width="9.42578125" style="414" customWidth="1"/>
    <col min="7436" max="7436" width="2.7109375" style="414" customWidth="1"/>
    <col min="7437" max="7440" width="0" style="414" hidden="1" customWidth="1"/>
    <col min="7441" max="7441" width="10" style="414" customWidth="1"/>
    <col min="7442" max="7511" width="6.7109375" style="414" customWidth="1"/>
    <col min="7512" max="7682" width="9.140625" style="414"/>
    <col min="7683" max="7683" width="2.7109375" style="414" customWidth="1"/>
    <col min="7684" max="7685" width="11.5703125" style="414" customWidth="1"/>
    <col min="7686" max="7686" width="7.28515625" style="414" customWidth="1"/>
    <col min="7687" max="7687" width="9.85546875" style="414" customWidth="1"/>
    <col min="7688" max="7688" width="10.140625" style="414" customWidth="1"/>
    <col min="7689" max="7689" width="11.28515625" style="414" customWidth="1"/>
    <col min="7690" max="7690" width="2.7109375" style="414" customWidth="1"/>
    <col min="7691" max="7691" width="9.42578125" style="414" customWidth="1"/>
    <col min="7692" max="7692" width="2.7109375" style="414" customWidth="1"/>
    <col min="7693" max="7696" width="0" style="414" hidden="1" customWidth="1"/>
    <col min="7697" max="7697" width="10" style="414" customWidth="1"/>
    <col min="7698" max="7767" width="6.7109375" style="414" customWidth="1"/>
    <col min="7768" max="7938" width="9.140625" style="414"/>
    <col min="7939" max="7939" width="2.7109375" style="414" customWidth="1"/>
    <col min="7940" max="7941" width="11.5703125" style="414" customWidth="1"/>
    <col min="7942" max="7942" width="7.28515625" style="414" customWidth="1"/>
    <col min="7943" max="7943" width="9.85546875" style="414" customWidth="1"/>
    <col min="7944" max="7944" width="10.140625" style="414" customWidth="1"/>
    <col min="7945" max="7945" width="11.28515625" style="414" customWidth="1"/>
    <col min="7946" max="7946" width="2.7109375" style="414" customWidth="1"/>
    <col min="7947" max="7947" width="9.42578125" style="414" customWidth="1"/>
    <col min="7948" max="7948" width="2.7109375" style="414" customWidth="1"/>
    <col min="7949" max="7952" width="0" style="414" hidden="1" customWidth="1"/>
    <col min="7953" max="7953" width="10" style="414" customWidth="1"/>
    <col min="7954" max="8023" width="6.7109375" style="414" customWidth="1"/>
    <col min="8024" max="8194" width="9.140625" style="414"/>
    <col min="8195" max="8195" width="2.7109375" style="414" customWidth="1"/>
    <col min="8196" max="8197" width="11.5703125" style="414" customWidth="1"/>
    <col min="8198" max="8198" width="7.28515625" style="414" customWidth="1"/>
    <col min="8199" max="8199" width="9.85546875" style="414" customWidth="1"/>
    <col min="8200" max="8200" width="10.140625" style="414" customWidth="1"/>
    <col min="8201" max="8201" width="11.28515625" style="414" customWidth="1"/>
    <col min="8202" max="8202" width="2.7109375" style="414" customWidth="1"/>
    <col min="8203" max="8203" width="9.42578125" style="414" customWidth="1"/>
    <col min="8204" max="8204" width="2.7109375" style="414" customWidth="1"/>
    <col min="8205" max="8208" width="0" style="414" hidden="1" customWidth="1"/>
    <col min="8209" max="8209" width="10" style="414" customWidth="1"/>
    <col min="8210" max="8279" width="6.7109375" style="414" customWidth="1"/>
    <col min="8280" max="8450" width="9.140625" style="414"/>
    <col min="8451" max="8451" width="2.7109375" style="414" customWidth="1"/>
    <col min="8452" max="8453" width="11.5703125" style="414" customWidth="1"/>
    <col min="8454" max="8454" width="7.28515625" style="414" customWidth="1"/>
    <col min="8455" max="8455" width="9.85546875" style="414" customWidth="1"/>
    <col min="8456" max="8456" width="10.140625" style="414" customWidth="1"/>
    <col min="8457" max="8457" width="11.28515625" style="414" customWidth="1"/>
    <col min="8458" max="8458" width="2.7109375" style="414" customWidth="1"/>
    <col min="8459" max="8459" width="9.42578125" style="414" customWidth="1"/>
    <col min="8460" max="8460" width="2.7109375" style="414" customWidth="1"/>
    <col min="8461" max="8464" width="0" style="414" hidden="1" customWidth="1"/>
    <col min="8465" max="8465" width="10" style="414" customWidth="1"/>
    <col min="8466" max="8535" width="6.7109375" style="414" customWidth="1"/>
    <col min="8536" max="8706" width="9.140625" style="414"/>
    <col min="8707" max="8707" width="2.7109375" style="414" customWidth="1"/>
    <col min="8708" max="8709" width="11.5703125" style="414" customWidth="1"/>
    <col min="8710" max="8710" width="7.28515625" style="414" customWidth="1"/>
    <col min="8711" max="8711" width="9.85546875" style="414" customWidth="1"/>
    <col min="8712" max="8712" width="10.140625" style="414" customWidth="1"/>
    <col min="8713" max="8713" width="11.28515625" style="414" customWidth="1"/>
    <col min="8714" max="8714" width="2.7109375" style="414" customWidth="1"/>
    <col min="8715" max="8715" width="9.42578125" style="414" customWidth="1"/>
    <col min="8716" max="8716" width="2.7109375" style="414" customWidth="1"/>
    <col min="8717" max="8720" width="0" style="414" hidden="1" customWidth="1"/>
    <col min="8721" max="8721" width="10" style="414" customWidth="1"/>
    <col min="8722" max="8791" width="6.7109375" style="414" customWidth="1"/>
    <col min="8792" max="8962" width="9.140625" style="414"/>
    <col min="8963" max="8963" width="2.7109375" style="414" customWidth="1"/>
    <col min="8964" max="8965" width="11.5703125" style="414" customWidth="1"/>
    <col min="8966" max="8966" width="7.28515625" style="414" customWidth="1"/>
    <col min="8967" max="8967" width="9.85546875" style="414" customWidth="1"/>
    <col min="8968" max="8968" width="10.140625" style="414" customWidth="1"/>
    <col min="8969" max="8969" width="11.28515625" style="414" customWidth="1"/>
    <col min="8970" max="8970" width="2.7109375" style="414" customWidth="1"/>
    <col min="8971" max="8971" width="9.42578125" style="414" customWidth="1"/>
    <col min="8972" max="8972" width="2.7109375" style="414" customWidth="1"/>
    <col min="8973" max="8976" width="0" style="414" hidden="1" customWidth="1"/>
    <col min="8977" max="8977" width="10" style="414" customWidth="1"/>
    <col min="8978" max="9047" width="6.7109375" style="414" customWidth="1"/>
    <col min="9048" max="9218" width="9.140625" style="414"/>
    <col min="9219" max="9219" width="2.7109375" style="414" customWidth="1"/>
    <col min="9220" max="9221" width="11.5703125" style="414" customWidth="1"/>
    <col min="9222" max="9222" width="7.28515625" style="414" customWidth="1"/>
    <col min="9223" max="9223" width="9.85546875" style="414" customWidth="1"/>
    <col min="9224" max="9224" width="10.140625" style="414" customWidth="1"/>
    <col min="9225" max="9225" width="11.28515625" style="414" customWidth="1"/>
    <col min="9226" max="9226" width="2.7109375" style="414" customWidth="1"/>
    <col min="9227" max="9227" width="9.42578125" style="414" customWidth="1"/>
    <col min="9228" max="9228" width="2.7109375" style="414" customWidth="1"/>
    <col min="9229" max="9232" width="0" style="414" hidden="1" customWidth="1"/>
    <col min="9233" max="9233" width="10" style="414" customWidth="1"/>
    <col min="9234" max="9303" width="6.7109375" style="414" customWidth="1"/>
    <col min="9304" max="9474" width="9.140625" style="414"/>
    <col min="9475" max="9475" width="2.7109375" style="414" customWidth="1"/>
    <col min="9476" max="9477" width="11.5703125" style="414" customWidth="1"/>
    <col min="9478" max="9478" width="7.28515625" style="414" customWidth="1"/>
    <col min="9479" max="9479" width="9.85546875" style="414" customWidth="1"/>
    <col min="9480" max="9480" width="10.140625" style="414" customWidth="1"/>
    <col min="9481" max="9481" width="11.28515625" style="414" customWidth="1"/>
    <col min="9482" max="9482" width="2.7109375" style="414" customWidth="1"/>
    <col min="9483" max="9483" width="9.42578125" style="414" customWidth="1"/>
    <col min="9484" max="9484" width="2.7109375" style="414" customWidth="1"/>
    <col min="9485" max="9488" width="0" style="414" hidden="1" customWidth="1"/>
    <col min="9489" max="9489" width="10" style="414" customWidth="1"/>
    <col min="9490" max="9559" width="6.7109375" style="414" customWidth="1"/>
    <col min="9560" max="9730" width="9.140625" style="414"/>
    <col min="9731" max="9731" width="2.7109375" style="414" customWidth="1"/>
    <col min="9732" max="9733" width="11.5703125" style="414" customWidth="1"/>
    <col min="9734" max="9734" width="7.28515625" style="414" customWidth="1"/>
    <col min="9735" max="9735" width="9.85546875" style="414" customWidth="1"/>
    <col min="9736" max="9736" width="10.140625" style="414" customWidth="1"/>
    <col min="9737" max="9737" width="11.28515625" style="414" customWidth="1"/>
    <col min="9738" max="9738" width="2.7109375" style="414" customWidth="1"/>
    <col min="9739" max="9739" width="9.42578125" style="414" customWidth="1"/>
    <col min="9740" max="9740" width="2.7109375" style="414" customWidth="1"/>
    <col min="9741" max="9744" width="0" style="414" hidden="1" customWidth="1"/>
    <col min="9745" max="9745" width="10" style="414" customWidth="1"/>
    <col min="9746" max="9815" width="6.7109375" style="414" customWidth="1"/>
    <col min="9816" max="9986" width="9.140625" style="414"/>
    <col min="9987" max="9987" width="2.7109375" style="414" customWidth="1"/>
    <col min="9988" max="9989" width="11.5703125" style="414" customWidth="1"/>
    <col min="9990" max="9990" width="7.28515625" style="414" customWidth="1"/>
    <col min="9991" max="9991" width="9.85546875" style="414" customWidth="1"/>
    <col min="9992" max="9992" width="10.140625" style="414" customWidth="1"/>
    <col min="9993" max="9993" width="11.28515625" style="414" customWidth="1"/>
    <col min="9994" max="9994" width="2.7109375" style="414" customWidth="1"/>
    <col min="9995" max="9995" width="9.42578125" style="414" customWidth="1"/>
    <col min="9996" max="9996" width="2.7109375" style="414" customWidth="1"/>
    <col min="9997" max="10000" width="0" style="414" hidden="1" customWidth="1"/>
    <col min="10001" max="10001" width="10" style="414" customWidth="1"/>
    <col min="10002" max="10071" width="6.7109375" style="414" customWidth="1"/>
    <col min="10072" max="10242" width="9.140625" style="414"/>
    <col min="10243" max="10243" width="2.7109375" style="414" customWidth="1"/>
    <col min="10244" max="10245" width="11.5703125" style="414" customWidth="1"/>
    <col min="10246" max="10246" width="7.28515625" style="414" customWidth="1"/>
    <col min="10247" max="10247" width="9.85546875" style="414" customWidth="1"/>
    <col min="10248" max="10248" width="10.140625" style="414" customWidth="1"/>
    <col min="10249" max="10249" width="11.28515625" style="414" customWidth="1"/>
    <col min="10250" max="10250" width="2.7109375" style="414" customWidth="1"/>
    <col min="10251" max="10251" width="9.42578125" style="414" customWidth="1"/>
    <col min="10252" max="10252" width="2.7109375" style="414" customWidth="1"/>
    <col min="10253" max="10256" width="0" style="414" hidden="1" customWidth="1"/>
    <col min="10257" max="10257" width="10" style="414" customWidth="1"/>
    <col min="10258" max="10327" width="6.7109375" style="414" customWidth="1"/>
    <col min="10328" max="10498" width="9.140625" style="414"/>
    <col min="10499" max="10499" width="2.7109375" style="414" customWidth="1"/>
    <col min="10500" max="10501" width="11.5703125" style="414" customWidth="1"/>
    <col min="10502" max="10502" width="7.28515625" style="414" customWidth="1"/>
    <col min="10503" max="10503" width="9.85546875" style="414" customWidth="1"/>
    <col min="10504" max="10504" width="10.140625" style="414" customWidth="1"/>
    <col min="10505" max="10505" width="11.28515625" style="414" customWidth="1"/>
    <col min="10506" max="10506" width="2.7109375" style="414" customWidth="1"/>
    <col min="10507" max="10507" width="9.42578125" style="414" customWidth="1"/>
    <col min="10508" max="10508" width="2.7109375" style="414" customWidth="1"/>
    <col min="10509" max="10512" width="0" style="414" hidden="1" customWidth="1"/>
    <col min="10513" max="10513" width="10" style="414" customWidth="1"/>
    <col min="10514" max="10583" width="6.7109375" style="414" customWidth="1"/>
    <col min="10584" max="10754" width="9.140625" style="414"/>
    <col min="10755" max="10755" width="2.7109375" style="414" customWidth="1"/>
    <col min="10756" max="10757" width="11.5703125" style="414" customWidth="1"/>
    <col min="10758" max="10758" width="7.28515625" style="414" customWidth="1"/>
    <col min="10759" max="10759" width="9.85546875" style="414" customWidth="1"/>
    <col min="10760" max="10760" width="10.140625" style="414" customWidth="1"/>
    <col min="10761" max="10761" width="11.28515625" style="414" customWidth="1"/>
    <col min="10762" max="10762" width="2.7109375" style="414" customWidth="1"/>
    <col min="10763" max="10763" width="9.42578125" style="414" customWidth="1"/>
    <col min="10764" max="10764" width="2.7109375" style="414" customWidth="1"/>
    <col min="10765" max="10768" width="0" style="414" hidden="1" customWidth="1"/>
    <col min="10769" max="10769" width="10" style="414" customWidth="1"/>
    <col min="10770" max="10839" width="6.7109375" style="414" customWidth="1"/>
    <col min="10840" max="11010" width="9.140625" style="414"/>
    <col min="11011" max="11011" width="2.7109375" style="414" customWidth="1"/>
    <col min="11012" max="11013" width="11.5703125" style="414" customWidth="1"/>
    <col min="11014" max="11014" width="7.28515625" style="414" customWidth="1"/>
    <col min="11015" max="11015" width="9.85546875" style="414" customWidth="1"/>
    <col min="11016" max="11016" width="10.140625" style="414" customWidth="1"/>
    <col min="11017" max="11017" width="11.28515625" style="414" customWidth="1"/>
    <col min="11018" max="11018" width="2.7109375" style="414" customWidth="1"/>
    <col min="11019" max="11019" width="9.42578125" style="414" customWidth="1"/>
    <col min="11020" max="11020" width="2.7109375" style="414" customWidth="1"/>
    <col min="11021" max="11024" width="0" style="414" hidden="1" customWidth="1"/>
    <col min="11025" max="11025" width="10" style="414" customWidth="1"/>
    <col min="11026" max="11095" width="6.7109375" style="414" customWidth="1"/>
    <col min="11096" max="11266" width="9.140625" style="414"/>
    <col min="11267" max="11267" width="2.7109375" style="414" customWidth="1"/>
    <col min="11268" max="11269" width="11.5703125" style="414" customWidth="1"/>
    <col min="11270" max="11270" width="7.28515625" style="414" customWidth="1"/>
    <col min="11271" max="11271" width="9.85546875" style="414" customWidth="1"/>
    <col min="11272" max="11272" width="10.140625" style="414" customWidth="1"/>
    <col min="11273" max="11273" width="11.28515625" style="414" customWidth="1"/>
    <col min="11274" max="11274" width="2.7109375" style="414" customWidth="1"/>
    <col min="11275" max="11275" width="9.42578125" style="414" customWidth="1"/>
    <col min="11276" max="11276" width="2.7109375" style="414" customWidth="1"/>
    <col min="11277" max="11280" width="0" style="414" hidden="1" customWidth="1"/>
    <col min="11281" max="11281" width="10" style="414" customWidth="1"/>
    <col min="11282" max="11351" width="6.7109375" style="414" customWidth="1"/>
    <col min="11352" max="11522" width="9.140625" style="414"/>
    <col min="11523" max="11523" width="2.7109375" style="414" customWidth="1"/>
    <col min="11524" max="11525" width="11.5703125" style="414" customWidth="1"/>
    <col min="11526" max="11526" width="7.28515625" style="414" customWidth="1"/>
    <col min="11527" max="11527" width="9.85546875" style="414" customWidth="1"/>
    <col min="11528" max="11528" width="10.140625" style="414" customWidth="1"/>
    <col min="11529" max="11529" width="11.28515625" style="414" customWidth="1"/>
    <col min="11530" max="11530" width="2.7109375" style="414" customWidth="1"/>
    <col min="11531" max="11531" width="9.42578125" style="414" customWidth="1"/>
    <col min="11532" max="11532" width="2.7109375" style="414" customWidth="1"/>
    <col min="11533" max="11536" width="0" style="414" hidden="1" customWidth="1"/>
    <col min="11537" max="11537" width="10" style="414" customWidth="1"/>
    <col min="11538" max="11607" width="6.7109375" style="414" customWidth="1"/>
    <col min="11608" max="11778" width="9.140625" style="414"/>
    <col min="11779" max="11779" width="2.7109375" style="414" customWidth="1"/>
    <col min="11780" max="11781" width="11.5703125" style="414" customWidth="1"/>
    <col min="11782" max="11782" width="7.28515625" style="414" customWidth="1"/>
    <col min="11783" max="11783" width="9.85546875" style="414" customWidth="1"/>
    <col min="11784" max="11784" width="10.140625" style="414" customWidth="1"/>
    <col min="11785" max="11785" width="11.28515625" style="414" customWidth="1"/>
    <col min="11786" max="11786" width="2.7109375" style="414" customWidth="1"/>
    <col min="11787" max="11787" width="9.42578125" style="414" customWidth="1"/>
    <col min="11788" max="11788" width="2.7109375" style="414" customWidth="1"/>
    <col min="11789" max="11792" width="0" style="414" hidden="1" customWidth="1"/>
    <col min="11793" max="11793" width="10" style="414" customWidth="1"/>
    <col min="11794" max="11863" width="6.7109375" style="414" customWidth="1"/>
    <col min="11864" max="12034" width="9.140625" style="414"/>
    <col min="12035" max="12035" width="2.7109375" style="414" customWidth="1"/>
    <col min="12036" max="12037" width="11.5703125" style="414" customWidth="1"/>
    <col min="12038" max="12038" width="7.28515625" style="414" customWidth="1"/>
    <col min="12039" max="12039" width="9.85546875" style="414" customWidth="1"/>
    <col min="12040" max="12040" width="10.140625" style="414" customWidth="1"/>
    <col min="12041" max="12041" width="11.28515625" style="414" customWidth="1"/>
    <col min="12042" max="12042" width="2.7109375" style="414" customWidth="1"/>
    <col min="12043" max="12043" width="9.42578125" style="414" customWidth="1"/>
    <col min="12044" max="12044" width="2.7109375" style="414" customWidth="1"/>
    <col min="12045" max="12048" width="0" style="414" hidden="1" customWidth="1"/>
    <col min="12049" max="12049" width="10" style="414" customWidth="1"/>
    <col min="12050" max="12119" width="6.7109375" style="414" customWidth="1"/>
    <col min="12120" max="12290" width="9.140625" style="414"/>
    <col min="12291" max="12291" width="2.7109375" style="414" customWidth="1"/>
    <col min="12292" max="12293" width="11.5703125" style="414" customWidth="1"/>
    <col min="12294" max="12294" width="7.28515625" style="414" customWidth="1"/>
    <col min="12295" max="12295" width="9.85546875" style="414" customWidth="1"/>
    <col min="12296" max="12296" width="10.140625" style="414" customWidth="1"/>
    <col min="12297" max="12297" width="11.28515625" style="414" customWidth="1"/>
    <col min="12298" max="12298" width="2.7109375" style="414" customWidth="1"/>
    <col min="12299" max="12299" width="9.42578125" style="414" customWidth="1"/>
    <col min="12300" max="12300" width="2.7109375" style="414" customWidth="1"/>
    <col min="12301" max="12304" width="0" style="414" hidden="1" customWidth="1"/>
    <col min="12305" max="12305" width="10" style="414" customWidth="1"/>
    <col min="12306" max="12375" width="6.7109375" style="414" customWidth="1"/>
    <col min="12376" max="12546" width="9.140625" style="414"/>
    <col min="12547" max="12547" width="2.7109375" style="414" customWidth="1"/>
    <col min="12548" max="12549" width="11.5703125" style="414" customWidth="1"/>
    <col min="12550" max="12550" width="7.28515625" style="414" customWidth="1"/>
    <col min="12551" max="12551" width="9.85546875" style="414" customWidth="1"/>
    <col min="12552" max="12552" width="10.140625" style="414" customWidth="1"/>
    <col min="12553" max="12553" width="11.28515625" style="414" customWidth="1"/>
    <col min="12554" max="12554" width="2.7109375" style="414" customWidth="1"/>
    <col min="12555" max="12555" width="9.42578125" style="414" customWidth="1"/>
    <col min="12556" max="12556" width="2.7109375" style="414" customWidth="1"/>
    <col min="12557" max="12560" width="0" style="414" hidden="1" customWidth="1"/>
    <col min="12561" max="12561" width="10" style="414" customWidth="1"/>
    <col min="12562" max="12631" width="6.7109375" style="414" customWidth="1"/>
    <col min="12632" max="12802" width="9.140625" style="414"/>
    <col min="12803" max="12803" width="2.7109375" style="414" customWidth="1"/>
    <col min="12804" max="12805" width="11.5703125" style="414" customWidth="1"/>
    <col min="12806" max="12806" width="7.28515625" style="414" customWidth="1"/>
    <col min="12807" max="12807" width="9.85546875" style="414" customWidth="1"/>
    <col min="12808" max="12808" width="10.140625" style="414" customWidth="1"/>
    <col min="12809" max="12809" width="11.28515625" style="414" customWidth="1"/>
    <col min="12810" max="12810" width="2.7109375" style="414" customWidth="1"/>
    <col min="12811" max="12811" width="9.42578125" style="414" customWidth="1"/>
    <col min="12812" max="12812" width="2.7109375" style="414" customWidth="1"/>
    <col min="12813" max="12816" width="0" style="414" hidden="1" customWidth="1"/>
    <col min="12817" max="12817" width="10" style="414" customWidth="1"/>
    <col min="12818" max="12887" width="6.7109375" style="414" customWidth="1"/>
    <col min="12888" max="13058" width="9.140625" style="414"/>
    <col min="13059" max="13059" width="2.7109375" style="414" customWidth="1"/>
    <col min="13060" max="13061" width="11.5703125" style="414" customWidth="1"/>
    <col min="13062" max="13062" width="7.28515625" style="414" customWidth="1"/>
    <col min="13063" max="13063" width="9.85546875" style="414" customWidth="1"/>
    <col min="13064" max="13064" width="10.140625" style="414" customWidth="1"/>
    <col min="13065" max="13065" width="11.28515625" style="414" customWidth="1"/>
    <col min="13066" max="13066" width="2.7109375" style="414" customWidth="1"/>
    <col min="13067" max="13067" width="9.42578125" style="414" customWidth="1"/>
    <col min="13068" max="13068" width="2.7109375" style="414" customWidth="1"/>
    <col min="13069" max="13072" width="0" style="414" hidden="1" customWidth="1"/>
    <col min="13073" max="13073" width="10" style="414" customWidth="1"/>
    <col min="13074" max="13143" width="6.7109375" style="414" customWidth="1"/>
    <col min="13144" max="13314" width="9.140625" style="414"/>
    <col min="13315" max="13315" width="2.7109375" style="414" customWidth="1"/>
    <col min="13316" max="13317" width="11.5703125" style="414" customWidth="1"/>
    <col min="13318" max="13318" width="7.28515625" style="414" customWidth="1"/>
    <col min="13319" max="13319" width="9.85546875" style="414" customWidth="1"/>
    <col min="13320" max="13320" width="10.140625" style="414" customWidth="1"/>
    <col min="13321" max="13321" width="11.28515625" style="414" customWidth="1"/>
    <col min="13322" max="13322" width="2.7109375" style="414" customWidth="1"/>
    <col min="13323" max="13323" width="9.42578125" style="414" customWidth="1"/>
    <col min="13324" max="13324" width="2.7109375" style="414" customWidth="1"/>
    <col min="13325" max="13328" width="0" style="414" hidden="1" customWidth="1"/>
    <col min="13329" max="13329" width="10" style="414" customWidth="1"/>
    <col min="13330" max="13399" width="6.7109375" style="414" customWidth="1"/>
    <col min="13400" max="13570" width="9.140625" style="414"/>
    <col min="13571" max="13571" width="2.7109375" style="414" customWidth="1"/>
    <col min="13572" max="13573" width="11.5703125" style="414" customWidth="1"/>
    <col min="13574" max="13574" width="7.28515625" style="414" customWidth="1"/>
    <col min="13575" max="13575" width="9.85546875" style="414" customWidth="1"/>
    <col min="13576" max="13576" width="10.140625" style="414" customWidth="1"/>
    <col min="13577" max="13577" width="11.28515625" style="414" customWidth="1"/>
    <col min="13578" max="13578" width="2.7109375" style="414" customWidth="1"/>
    <col min="13579" max="13579" width="9.42578125" style="414" customWidth="1"/>
    <col min="13580" max="13580" width="2.7109375" style="414" customWidth="1"/>
    <col min="13581" max="13584" width="0" style="414" hidden="1" customWidth="1"/>
    <col min="13585" max="13585" width="10" style="414" customWidth="1"/>
    <col min="13586" max="13655" width="6.7109375" style="414" customWidth="1"/>
    <col min="13656" max="13826" width="9.140625" style="414"/>
    <col min="13827" max="13827" width="2.7109375" style="414" customWidth="1"/>
    <col min="13828" max="13829" width="11.5703125" style="414" customWidth="1"/>
    <col min="13830" max="13830" width="7.28515625" style="414" customWidth="1"/>
    <col min="13831" max="13831" width="9.85546875" style="414" customWidth="1"/>
    <col min="13832" max="13832" width="10.140625" style="414" customWidth="1"/>
    <col min="13833" max="13833" width="11.28515625" style="414" customWidth="1"/>
    <col min="13834" max="13834" width="2.7109375" style="414" customWidth="1"/>
    <col min="13835" max="13835" width="9.42578125" style="414" customWidth="1"/>
    <col min="13836" max="13836" width="2.7109375" style="414" customWidth="1"/>
    <col min="13837" max="13840" width="0" style="414" hidden="1" customWidth="1"/>
    <col min="13841" max="13841" width="10" style="414" customWidth="1"/>
    <col min="13842" max="13911" width="6.7109375" style="414" customWidth="1"/>
    <col min="13912" max="14082" width="9.140625" style="414"/>
    <col min="14083" max="14083" width="2.7109375" style="414" customWidth="1"/>
    <col min="14084" max="14085" width="11.5703125" style="414" customWidth="1"/>
    <col min="14086" max="14086" width="7.28515625" style="414" customWidth="1"/>
    <col min="14087" max="14087" width="9.85546875" style="414" customWidth="1"/>
    <col min="14088" max="14088" width="10.140625" style="414" customWidth="1"/>
    <col min="14089" max="14089" width="11.28515625" style="414" customWidth="1"/>
    <col min="14090" max="14090" width="2.7109375" style="414" customWidth="1"/>
    <col min="14091" max="14091" width="9.42578125" style="414" customWidth="1"/>
    <col min="14092" max="14092" width="2.7109375" style="414" customWidth="1"/>
    <col min="14093" max="14096" width="0" style="414" hidden="1" customWidth="1"/>
    <col min="14097" max="14097" width="10" style="414" customWidth="1"/>
    <col min="14098" max="14167" width="6.7109375" style="414" customWidth="1"/>
    <col min="14168" max="14338" width="9.140625" style="414"/>
    <col min="14339" max="14339" width="2.7109375" style="414" customWidth="1"/>
    <col min="14340" max="14341" width="11.5703125" style="414" customWidth="1"/>
    <col min="14342" max="14342" width="7.28515625" style="414" customWidth="1"/>
    <col min="14343" max="14343" width="9.85546875" style="414" customWidth="1"/>
    <col min="14344" max="14344" width="10.140625" style="414" customWidth="1"/>
    <col min="14345" max="14345" width="11.28515625" style="414" customWidth="1"/>
    <col min="14346" max="14346" width="2.7109375" style="414" customWidth="1"/>
    <col min="14347" max="14347" width="9.42578125" style="414" customWidth="1"/>
    <col min="14348" max="14348" width="2.7109375" style="414" customWidth="1"/>
    <col min="14349" max="14352" width="0" style="414" hidden="1" customWidth="1"/>
    <col min="14353" max="14353" width="10" style="414" customWidth="1"/>
    <col min="14354" max="14423" width="6.7109375" style="414" customWidth="1"/>
    <col min="14424" max="14594" width="9.140625" style="414"/>
    <col min="14595" max="14595" width="2.7109375" style="414" customWidth="1"/>
    <col min="14596" max="14597" width="11.5703125" style="414" customWidth="1"/>
    <col min="14598" max="14598" width="7.28515625" style="414" customWidth="1"/>
    <col min="14599" max="14599" width="9.85546875" style="414" customWidth="1"/>
    <col min="14600" max="14600" width="10.140625" style="414" customWidth="1"/>
    <col min="14601" max="14601" width="11.28515625" style="414" customWidth="1"/>
    <col min="14602" max="14602" width="2.7109375" style="414" customWidth="1"/>
    <col min="14603" max="14603" width="9.42578125" style="414" customWidth="1"/>
    <col min="14604" max="14604" width="2.7109375" style="414" customWidth="1"/>
    <col min="14605" max="14608" width="0" style="414" hidden="1" customWidth="1"/>
    <col min="14609" max="14609" width="10" style="414" customWidth="1"/>
    <col min="14610" max="14679" width="6.7109375" style="414" customWidth="1"/>
    <col min="14680" max="14850" width="9.140625" style="414"/>
    <col min="14851" max="14851" width="2.7109375" style="414" customWidth="1"/>
    <col min="14852" max="14853" width="11.5703125" style="414" customWidth="1"/>
    <col min="14854" max="14854" width="7.28515625" style="414" customWidth="1"/>
    <col min="14855" max="14855" width="9.85546875" style="414" customWidth="1"/>
    <col min="14856" max="14856" width="10.140625" style="414" customWidth="1"/>
    <col min="14857" max="14857" width="11.28515625" style="414" customWidth="1"/>
    <col min="14858" max="14858" width="2.7109375" style="414" customWidth="1"/>
    <col min="14859" max="14859" width="9.42578125" style="414" customWidth="1"/>
    <col min="14860" max="14860" width="2.7109375" style="414" customWidth="1"/>
    <col min="14861" max="14864" width="0" style="414" hidden="1" customWidth="1"/>
    <col min="14865" max="14865" width="10" style="414" customWidth="1"/>
    <col min="14866" max="14935" width="6.7109375" style="414" customWidth="1"/>
    <col min="14936" max="15106" width="9.140625" style="414"/>
    <col min="15107" max="15107" width="2.7109375" style="414" customWidth="1"/>
    <col min="15108" max="15109" width="11.5703125" style="414" customWidth="1"/>
    <col min="15110" max="15110" width="7.28515625" style="414" customWidth="1"/>
    <col min="15111" max="15111" width="9.85546875" style="414" customWidth="1"/>
    <col min="15112" max="15112" width="10.140625" style="414" customWidth="1"/>
    <col min="15113" max="15113" width="11.28515625" style="414" customWidth="1"/>
    <col min="15114" max="15114" width="2.7109375" style="414" customWidth="1"/>
    <col min="15115" max="15115" width="9.42578125" style="414" customWidth="1"/>
    <col min="15116" max="15116" width="2.7109375" style="414" customWidth="1"/>
    <col min="15117" max="15120" width="0" style="414" hidden="1" customWidth="1"/>
    <col min="15121" max="15121" width="10" style="414" customWidth="1"/>
    <col min="15122" max="15191" width="6.7109375" style="414" customWidth="1"/>
    <col min="15192" max="15362" width="9.140625" style="414"/>
    <col min="15363" max="15363" width="2.7109375" style="414" customWidth="1"/>
    <col min="15364" max="15365" width="11.5703125" style="414" customWidth="1"/>
    <col min="15366" max="15366" width="7.28515625" style="414" customWidth="1"/>
    <col min="15367" max="15367" width="9.85546875" style="414" customWidth="1"/>
    <col min="15368" max="15368" width="10.140625" style="414" customWidth="1"/>
    <col min="15369" max="15369" width="11.28515625" style="414" customWidth="1"/>
    <col min="15370" max="15370" width="2.7109375" style="414" customWidth="1"/>
    <col min="15371" max="15371" width="9.42578125" style="414" customWidth="1"/>
    <col min="15372" max="15372" width="2.7109375" style="414" customWidth="1"/>
    <col min="15373" max="15376" width="0" style="414" hidden="1" customWidth="1"/>
    <col min="15377" max="15377" width="10" style="414" customWidth="1"/>
    <col min="15378" max="15447" width="6.7109375" style="414" customWidth="1"/>
    <col min="15448" max="15618" width="9.140625" style="414"/>
    <col min="15619" max="15619" width="2.7109375" style="414" customWidth="1"/>
    <col min="15620" max="15621" width="11.5703125" style="414" customWidth="1"/>
    <col min="15622" max="15622" width="7.28515625" style="414" customWidth="1"/>
    <col min="15623" max="15623" width="9.85546875" style="414" customWidth="1"/>
    <col min="15624" max="15624" width="10.140625" style="414" customWidth="1"/>
    <col min="15625" max="15625" width="11.28515625" style="414" customWidth="1"/>
    <col min="15626" max="15626" width="2.7109375" style="414" customWidth="1"/>
    <col min="15627" max="15627" width="9.42578125" style="414" customWidth="1"/>
    <col min="15628" max="15628" width="2.7109375" style="414" customWidth="1"/>
    <col min="15629" max="15632" width="0" style="414" hidden="1" customWidth="1"/>
    <col min="15633" max="15633" width="10" style="414" customWidth="1"/>
    <col min="15634" max="15703" width="6.7109375" style="414" customWidth="1"/>
    <col min="15704" max="15874" width="9.140625" style="414"/>
    <col min="15875" max="15875" width="2.7109375" style="414" customWidth="1"/>
    <col min="15876" max="15877" width="11.5703125" style="414" customWidth="1"/>
    <col min="15878" max="15878" width="7.28515625" style="414" customWidth="1"/>
    <col min="15879" max="15879" width="9.85546875" style="414" customWidth="1"/>
    <col min="15880" max="15880" width="10.140625" style="414" customWidth="1"/>
    <col min="15881" max="15881" width="11.28515625" style="414" customWidth="1"/>
    <col min="15882" max="15882" width="2.7109375" style="414" customWidth="1"/>
    <col min="15883" max="15883" width="9.42578125" style="414" customWidth="1"/>
    <col min="15884" max="15884" width="2.7109375" style="414" customWidth="1"/>
    <col min="15885" max="15888" width="0" style="414" hidden="1" customWidth="1"/>
    <col min="15889" max="15889" width="10" style="414" customWidth="1"/>
    <col min="15890" max="15959" width="6.7109375" style="414" customWidth="1"/>
    <col min="15960" max="16130" width="9.140625" style="414"/>
    <col min="16131" max="16131" width="2.7109375" style="414" customWidth="1"/>
    <col min="16132" max="16133" width="11.5703125" style="414" customWidth="1"/>
    <col min="16134" max="16134" width="7.28515625" style="414" customWidth="1"/>
    <col min="16135" max="16135" width="9.85546875" style="414" customWidth="1"/>
    <col min="16136" max="16136" width="10.140625" style="414" customWidth="1"/>
    <col min="16137" max="16137" width="11.28515625" style="414" customWidth="1"/>
    <col min="16138" max="16138" width="2.7109375" style="414" customWidth="1"/>
    <col min="16139" max="16139" width="9.42578125" style="414" customWidth="1"/>
    <col min="16140" max="16140" width="2.7109375" style="414" customWidth="1"/>
    <col min="16141" max="16144" width="0" style="414" hidden="1" customWidth="1"/>
    <col min="16145" max="16145" width="10" style="414" customWidth="1"/>
    <col min="16146" max="16215" width="6.7109375" style="414" customWidth="1"/>
    <col min="16216" max="16384" width="9.140625" style="414"/>
  </cols>
  <sheetData>
    <row r="1" spans="1:79" hidden="1" outlineLevel="1">
      <c r="B1" s="501" t="s">
        <v>5159</v>
      </c>
      <c r="C1" s="502" t="s">
        <v>237</v>
      </c>
      <c r="D1" s="502" t="s">
        <v>237</v>
      </c>
      <c r="E1" s="502" t="s">
        <v>238</v>
      </c>
      <c r="F1" s="502" t="s">
        <v>5160</v>
      </c>
      <c r="G1" s="502"/>
      <c r="H1" s="502" t="s">
        <v>5160</v>
      </c>
      <c r="I1" s="502"/>
    </row>
    <row r="2" spans="1:79" hidden="1" outlineLevel="1">
      <c r="B2" s="501" t="s">
        <v>5161</v>
      </c>
      <c r="C2" s="503" t="s">
        <v>230</v>
      </c>
      <c r="D2" s="503" t="s">
        <v>206</v>
      </c>
      <c r="E2" s="503" t="s">
        <v>206</v>
      </c>
      <c r="F2" s="504" t="s">
        <v>228</v>
      </c>
      <c r="G2" s="504"/>
      <c r="H2" s="503" t="s">
        <v>158</v>
      </c>
      <c r="I2" s="503"/>
    </row>
    <row r="3" spans="1:79" hidden="1" outlineLevel="1">
      <c r="B3" s="501"/>
      <c r="C3" s="505">
        <v>3</v>
      </c>
      <c r="D3" s="505">
        <v>6</v>
      </c>
      <c r="E3" s="505">
        <v>5</v>
      </c>
      <c r="F3" s="505" t="s">
        <v>241</v>
      </c>
      <c r="G3" s="505"/>
      <c r="H3" s="505">
        <v>6</v>
      </c>
      <c r="I3" s="505"/>
    </row>
    <row r="4" spans="1:79" collapsed="1">
      <c r="B4" s="95" t="s">
        <v>748</v>
      </c>
      <c r="C4" s="506">
        <v>42669.378217592595</v>
      </c>
      <c r="E4" s="520">
        <f>S4</f>
        <v>0</v>
      </c>
      <c r="N4" s="94"/>
      <c r="O4" s="94"/>
      <c r="S4" s="520"/>
      <c r="AP4" s="53"/>
    </row>
    <row r="6" spans="1:79" ht="50.25">
      <c r="A6" s="108"/>
      <c r="B6" s="587" t="s">
        <v>232</v>
      </c>
      <c r="C6" s="587"/>
      <c r="D6" s="587"/>
      <c r="E6" s="587"/>
      <c r="F6" s="587"/>
      <c r="G6" s="587"/>
      <c r="H6" s="587"/>
      <c r="I6" s="587"/>
      <c r="J6" s="587"/>
      <c r="L6" s="507" t="s">
        <v>239</v>
      </c>
      <c r="N6" s="508"/>
      <c r="O6" s="508"/>
      <c r="P6" s="508"/>
      <c r="Q6" s="509" t="s">
        <v>229</v>
      </c>
      <c r="R6" s="521">
        <f t="array" ref="R6:CA6">TRANSPOSE(C9:C70)</f>
        <v>107.483642932772</v>
      </c>
      <c r="S6" s="521">
        <v>48.303425245799701</v>
      </c>
      <c r="T6" s="521">
        <v>51.812304994959</v>
      </c>
      <c r="U6" s="521">
        <v>-272.23937503576599</v>
      </c>
      <c r="V6" s="521">
        <v>-18.2613503888259</v>
      </c>
      <c r="W6" s="521">
        <v>-68.113548383123998</v>
      </c>
      <c r="X6" s="521">
        <v>11.927733960330601</v>
      </c>
      <c r="Y6" s="521">
        <v>109.989141059196</v>
      </c>
      <c r="Z6" s="521">
        <v>-50.711713177132999</v>
      </c>
      <c r="AA6" s="521">
        <v>123.575204771858</v>
      </c>
      <c r="AB6" s="521">
        <v>-178.31503681210501</v>
      </c>
      <c r="AC6" s="521">
        <v>145.3971358073</v>
      </c>
      <c r="AD6" s="521">
        <v>391.629618953528</v>
      </c>
      <c r="AE6" s="521">
        <v>-268.06871089390802</v>
      </c>
      <c r="AF6" s="521">
        <v>-632.18982752819397</v>
      </c>
      <c r="AG6" s="521">
        <v>341.26432876459802</v>
      </c>
      <c r="AH6" s="521">
        <v>-1136.46851569568</v>
      </c>
      <c r="AI6" s="521">
        <v>-299.72156066605999</v>
      </c>
      <c r="AJ6" s="521">
        <v>-482.74384557898998</v>
      </c>
      <c r="AK6" s="521">
        <v>-9436.0234081921099</v>
      </c>
      <c r="AL6" s="521">
        <v>19555.612306779502</v>
      </c>
      <c r="AM6" s="521">
        <v>-12740.105410923999</v>
      </c>
      <c r="AN6" s="521">
        <v>-1211.47200154542</v>
      </c>
      <c r="AO6" s="521">
        <v>-3865.4308346171501</v>
      </c>
      <c r="AP6" s="521">
        <v>2350.66744449014</v>
      </c>
      <c r="AQ6" s="521">
        <v>4118.0524420775801</v>
      </c>
      <c r="AR6" s="521">
        <v>7343.22358685995</v>
      </c>
      <c r="AS6" s="521">
        <v>11767.6913297058</v>
      </c>
      <c r="AT6" s="521">
        <v>-7532.3023894763101</v>
      </c>
      <c r="AU6" s="521">
        <v>3260.5397438639902</v>
      </c>
      <c r="AV6" s="521">
        <v>-6879.8161667987797</v>
      </c>
      <c r="AW6" s="521">
        <v>29503.1255514119</v>
      </c>
      <c r="AX6" s="521">
        <v>-31547.523857256601</v>
      </c>
      <c r="AY6" s="521">
        <v>13086.473683550499</v>
      </c>
      <c r="AZ6" s="521">
        <v>717.89143936861797</v>
      </c>
      <c r="BA6" s="521">
        <v>2.1523715145714801</v>
      </c>
      <c r="BB6" s="521">
        <v>2.7119986312733501E-2</v>
      </c>
      <c r="BC6" s="521">
        <v>3.1793433814539203E-4</v>
      </c>
      <c r="BD6" s="521">
        <v>0</v>
      </c>
      <c r="BE6" s="521">
        <v>0</v>
      </c>
      <c r="BF6" s="521">
        <v>0</v>
      </c>
      <c r="BG6" s="521">
        <v>0</v>
      </c>
      <c r="BH6" s="521">
        <v>0</v>
      </c>
      <c r="BI6" s="521">
        <v>0</v>
      </c>
      <c r="BJ6" s="521">
        <v>0</v>
      </c>
      <c r="BK6" s="521">
        <v>0</v>
      </c>
      <c r="BL6" s="521">
        <v>0</v>
      </c>
      <c r="BM6" s="521">
        <v>0</v>
      </c>
      <c r="BN6" s="521">
        <v>0</v>
      </c>
      <c r="BO6" s="521">
        <v>0</v>
      </c>
      <c r="BP6" s="521">
        <v>0</v>
      </c>
      <c r="BQ6" s="521">
        <v>0</v>
      </c>
      <c r="BR6" s="521">
        <v>0</v>
      </c>
      <c r="BS6" s="521">
        <v>0</v>
      </c>
      <c r="BT6" s="521">
        <v>0</v>
      </c>
      <c r="BU6" s="521">
        <v>0</v>
      </c>
      <c r="BV6" s="521">
        <v>0</v>
      </c>
      <c r="BW6" s="521">
        <v>0</v>
      </c>
      <c r="BX6" s="521">
        <v>0</v>
      </c>
      <c r="BY6" s="521">
        <v>0</v>
      </c>
      <c r="BZ6" s="521">
        <v>0</v>
      </c>
      <c r="CA6" s="521">
        <v>0</v>
      </c>
    </row>
    <row r="7" spans="1:79">
      <c r="A7" s="108"/>
      <c r="B7" s="588" t="s">
        <v>233</v>
      </c>
      <c r="C7" s="589"/>
      <c r="D7" s="589"/>
      <c r="E7" s="590"/>
      <c r="F7" s="589" t="s">
        <v>234</v>
      </c>
      <c r="G7" s="589"/>
      <c r="H7" s="589"/>
      <c r="I7" s="589"/>
      <c r="J7" s="589"/>
      <c r="L7" s="592" t="s">
        <v>237</v>
      </c>
      <c r="N7" s="593" t="s">
        <v>5162</v>
      </c>
      <c r="O7" s="594"/>
      <c r="P7" s="595"/>
      <c r="Q7" s="98" t="s">
        <v>235</v>
      </c>
      <c r="R7" s="99" t="str">
        <f t="array" ref="R7:CA7">TRANSPOSE(B9:B70&amp;"")</f>
        <v>O/N</v>
      </c>
      <c r="S7" s="99" t="str">
        <v>T/N</v>
      </c>
      <c r="T7" s="99" t="str">
        <v>S/N</v>
      </c>
      <c r="U7" s="99" t="str">
        <v>1W</v>
      </c>
      <c r="V7" s="99" t="str">
        <v>2W</v>
      </c>
      <c r="W7" s="99" t="str">
        <v>3W</v>
      </c>
      <c r="X7" s="99" t="str">
        <v>1M</v>
      </c>
      <c r="Y7" s="99" t="str">
        <v>2M</v>
      </c>
      <c r="Z7" s="99" t="str">
        <v>3M</v>
      </c>
      <c r="AA7" s="99" t="str">
        <v>4M</v>
      </c>
      <c r="AB7" s="99" t="str">
        <v>5M</v>
      </c>
      <c r="AC7" s="99" t="str">
        <v>6M</v>
      </c>
      <c r="AD7" s="99" t="str">
        <v>7M</v>
      </c>
      <c r="AE7" s="99" t="str">
        <v>8M</v>
      </c>
      <c r="AF7" s="99" t="str">
        <v>9M</v>
      </c>
      <c r="AG7" s="99" t="str">
        <v>10M</v>
      </c>
      <c r="AH7" s="99" t="str">
        <v>11M</v>
      </c>
      <c r="AI7" s="99" t="str">
        <v>1Y</v>
      </c>
      <c r="AJ7" s="99" t="str">
        <v>15M</v>
      </c>
      <c r="AK7" s="99" t="str">
        <v>18M</v>
      </c>
      <c r="AL7" s="99" t="str">
        <v>21M</v>
      </c>
      <c r="AM7" s="99" t="str">
        <v>2Y</v>
      </c>
      <c r="AN7" s="99" t="str">
        <v>3Y</v>
      </c>
      <c r="AO7" s="99" t="str">
        <v>4Y</v>
      </c>
      <c r="AP7" s="99" t="str">
        <v>5Y</v>
      </c>
      <c r="AQ7" s="99" t="str">
        <v>6Y</v>
      </c>
      <c r="AR7" s="99" t="str">
        <v>7Y</v>
      </c>
      <c r="AS7" s="99" t="str">
        <v>8Y</v>
      </c>
      <c r="AT7" s="99" t="str">
        <v>9Y</v>
      </c>
      <c r="AU7" s="99" t="str">
        <v>10Y</v>
      </c>
      <c r="AV7" s="99" t="str">
        <v>12Y</v>
      </c>
      <c r="AW7" s="99" t="str">
        <v>15Y</v>
      </c>
      <c r="AX7" s="99" t="str">
        <v>20Y</v>
      </c>
      <c r="AY7" s="99" t="str">
        <v>25Y</v>
      </c>
      <c r="AZ7" s="99" t="str">
        <v>30Y</v>
      </c>
      <c r="BA7" s="99" t="str">
        <v>40Y</v>
      </c>
      <c r="BB7" s="99" t="str">
        <v>50Y</v>
      </c>
      <c r="BC7" s="99" t="str">
        <v>60Y</v>
      </c>
      <c r="BD7" s="99" t="str">
        <v/>
      </c>
      <c r="BE7" s="99" t="str">
        <v/>
      </c>
      <c r="BF7" s="99" t="str">
        <v/>
      </c>
      <c r="BG7" s="99" t="str">
        <v/>
      </c>
      <c r="BH7" s="99" t="str">
        <v/>
      </c>
      <c r="BI7" s="99" t="str">
        <v/>
      </c>
      <c r="BJ7" s="99" t="str">
        <v/>
      </c>
      <c r="BK7" s="99" t="str">
        <v/>
      </c>
      <c r="BL7" s="99" t="str">
        <v/>
      </c>
      <c r="BM7" s="99" t="str">
        <v/>
      </c>
      <c r="BN7" s="99" t="str">
        <v/>
      </c>
      <c r="BO7" s="99" t="str">
        <v/>
      </c>
      <c r="BP7" s="99" t="str">
        <v/>
      </c>
      <c r="BQ7" s="99" t="str">
        <v/>
      </c>
      <c r="BR7" s="99" t="str">
        <v/>
      </c>
      <c r="BS7" s="99" t="str">
        <v/>
      </c>
      <c r="BT7" s="99" t="str">
        <v/>
      </c>
      <c r="BU7" s="99" t="str">
        <v/>
      </c>
      <c r="BV7" s="99" t="str">
        <v/>
      </c>
      <c r="BW7" s="99" t="str">
        <v/>
      </c>
      <c r="BX7" s="99" t="str">
        <v/>
      </c>
      <c r="BY7" s="99" t="str">
        <v/>
      </c>
      <c r="BZ7" s="99" t="str">
        <v/>
      </c>
      <c r="CA7" s="99" t="str">
        <v/>
      </c>
    </row>
    <row r="8" spans="1:79" ht="44.25">
      <c r="A8" s="108" t="s">
        <v>236</v>
      </c>
      <c r="B8" s="263" t="s">
        <v>1164</v>
      </c>
      <c r="C8" s="499" t="s">
        <v>237</v>
      </c>
      <c r="D8" s="101" t="s">
        <v>240</v>
      </c>
      <c r="E8" s="511" t="s">
        <v>231</v>
      </c>
      <c r="F8" s="109" t="s">
        <v>242</v>
      </c>
      <c r="G8" s="109"/>
      <c r="H8" s="109" t="s">
        <v>5163</v>
      </c>
      <c r="I8" s="109" t="s">
        <v>5164</v>
      </c>
      <c r="J8" s="102" t="s">
        <v>231</v>
      </c>
      <c r="L8" s="591"/>
      <c r="N8" s="98" t="s">
        <v>5165</v>
      </c>
      <c r="O8" s="98" t="s">
        <v>5166</v>
      </c>
      <c r="P8" s="98" t="s">
        <v>5167</v>
      </c>
      <c r="Q8" s="496" t="b">
        <v>0</v>
      </c>
      <c r="R8" s="104">
        <f t="array" ref="R8:CA8">TRANSPOSE(E9:E70)</f>
        <v>42670.378217592595</v>
      </c>
      <c r="S8" s="104">
        <v>42671.378217592595</v>
      </c>
      <c r="T8" s="104">
        <v>42674.378217592595</v>
      </c>
      <c r="U8" s="104">
        <v>42676.378217592595</v>
      </c>
      <c r="V8" s="104">
        <v>42683.378217592595</v>
      </c>
      <c r="W8" s="104">
        <v>42690.378217592595</v>
      </c>
      <c r="X8" s="104">
        <v>42702</v>
      </c>
      <c r="Y8" s="104">
        <v>42730</v>
      </c>
      <c r="Z8" s="104">
        <v>42761</v>
      </c>
      <c r="AA8" s="104">
        <v>42793</v>
      </c>
      <c r="AB8" s="104">
        <v>42821</v>
      </c>
      <c r="AC8" s="104">
        <v>42851</v>
      </c>
      <c r="AD8" s="104">
        <v>42881</v>
      </c>
      <c r="AE8" s="104">
        <v>42912</v>
      </c>
      <c r="AF8" s="104">
        <v>42942</v>
      </c>
      <c r="AG8" s="104">
        <v>42975</v>
      </c>
      <c r="AH8" s="104">
        <v>43004</v>
      </c>
      <c r="AI8" s="104">
        <v>43034</v>
      </c>
      <c r="AJ8" s="104">
        <v>43126</v>
      </c>
      <c r="AK8" s="104">
        <v>43216</v>
      </c>
      <c r="AL8" s="104">
        <v>43307</v>
      </c>
      <c r="AM8" s="104">
        <v>43399</v>
      </c>
      <c r="AN8" s="104">
        <v>43766</v>
      </c>
      <c r="AO8" s="104">
        <v>44130</v>
      </c>
      <c r="AP8" s="104">
        <v>44495</v>
      </c>
      <c r="AQ8" s="104">
        <v>44860</v>
      </c>
      <c r="AR8" s="104">
        <v>45225</v>
      </c>
      <c r="AS8" s="104">
        <v>45593</v>
      </c>
      <c r="AT8" s="104">
        <v>45957</v>
      </c>
      <c r="AU8" s="104">
        <v>46321</v>
      </c>
      <c r="AV8" s="104">
        <v>47052</v>
      </c>
      <c r="AW8" s="104">
        <v>48148</v>
      </c>
      <c r="AX8" s="104">
        <v>49975</v>
      </c>
      <c r="AY8" s="104">
        <v>51802</v>
      </c>
      <c r="AZ8" s="104">
        <v>53626</v>
      </c>
      <c r="BA8" s="104">
        <v>57279</v>
      </c>
      <c r="BB8" s="104">
        <v>60931</v>
      </c>
      <c r="BC8" s="104">
        <v>64584</v>
      </c>
      <c r="BD8" s="104" t="str">
        <v/>
      </c>
      <c r="BE8" s="104" t="str">
        <v/>
      </c>
      <c r="BF8" s="104" t="str">
        <v/>
      </c>
      <c r="BG8" s="104" t="str">
        <v/>
      </c>
      <c r="BH8" s="104" t="str">
        <v/>
      </c>
      <c r="BI8" s="104" t="str">
        <v/>
      </c>
      <c r="BJ8" s="104" t="str">
        <v/>
      </c>
      <c r="BK8" s="104" t="str">
        <v/>
      </c>
      <c r="BL8" s="104" t="str">
        <v/>
      </c>
      <c r="BM8" s="104" t="str">
        <v/>
      </c>
      <c r="BN8" s="104" t="str">
        <v/>
      </c>
      <c r="BO8" s="104" t="str">
        <v/>
      </c>
      <c r="BP8" s="104" t="str">
        <v/>
      </c>
      <c r="BQ8" s="104" t="str">
        <v/>
      </c>
      <c r="BR8" s="104" t="str">
        <v/>
      </c>
      <c r="BS8" s="104" t="str">
        <v/>
      </c>
      <c r="BT8" s="104" t="str">
        <v/>
      </c>
      <c r="BU8" s="104" t="str">
        <v/>
      </c>
      <c r="BV8" s="104" t="str">
        <v/>
      </c>
      <c r="BW8" s="104" t="str">
        <v/>
      </c>
      <c r="BX8" s="104" t="str">
        <v/>
      </c>
      <c r="BY8" s="104" t="str">
        <v/>
      </c>
      <c r="BZ8" s="104" t="str">
        <v/>
      </c>
      <c r="CA8" s="104" t="str">
        <v/>
      </c>
    </row>
    <row r="9" spans="1:79">
      <c r="A9" s="105">
        <v>1</v>
      </c>
      <c r="B9" s="112" t="str">
        <f t="array" ref="B9:B46">UsdBucketOIS</f>
        <v>O/N</v>
      </c>
      <c r="C9" s="262">
        <f>'usd disaggregated'!AM17</f>
        <v>107.483642932772</v>
      </c>
      <c r="D9" s="111" t="str">
        <f t="shared" ref="D9" si="0">IF(LEN(B9)&gt;0,SimplifyTenor(B9),"")</f>
        <v>1D</v>
      </c>
      <c r="E9" s="513">
        <f>IF(
      LEN(B9)&gt;0,
      CHOOSE(MATCH(RIGHT(D9,1),{"D","W","M"},0),
                        NextBusDay($C$4,LEFT(D9,LEN(D9)-1)),
                        NextBusDay($C$4+7*LEFT(D9,LEN(D9)-1)),
                        NextBusDay(EDATE($C$4,LEFT(D9,LEN(D9)-1)))),
      ""
  )</f>
        <v>42670.378217592595</v>
      </c>
      <c r="F9" s="107" t="str">
        <f t="array" ref="F9:F59">UsdCommonMxSearch</f>
        <v>O/N</v>
      </c>
      <c r="G9" s="106" t="str">
        <f t="array" ref="G9:G59">UsdCommonBucket</f>
        <v>O/N</v>
      </c>
      <c r="H9" s="514" t="str">
        <f>BktUsdOisPL!H9</f>
        <v>1D</v>
      </c>
      <c r="I9" s="261" t="str">
        <f t="array" ref="I9:I59">UsdCommon_Instrument</f>
        <v>D</v>
      </c>
      <c r="J9" s="514">
        <f>BktUsdOisPL!J9</f>
        <v>42670.378217592595</v>
      </c>
      <c r="L9" s="522">
        <f>IF(LEN(F9)&gt;0,SUM(R9:CI9),0)</f>
        <v>107.483642932772</v>
      </c>
      <c r="N9" s="106" t="str">
        <f t="shared" ref="N9:N72" si="1">IF(AND(LEN(Q10)&gt;0,Q10,NOT(Q9)),J9,IF(OR(Q9,Q8),N8,"-"))</f>
        <v>-</v>
      </c>
      <c r="O9" s="106" t="str">
        <f t="shared" ref="O9:O27" si="2">IF(AND(Q8,NOT(Q9)),J8,IF(OR(Q9,Q10),O10,"-"))</f>
        <v>-</v>
      </c>
      <c r="P9" s="106" t="str">
        <f t="shared" ref="P9:P72" si="3">IF(AND(Q8,NOT(Q9)),J9,IF(OR(Q9,Q10),P10,"-"))</f>
        <v>-</v>
      </c>
      <c r="Q9" s="106" t="b">
        <f t="shared" ref="Q9:Q70" si="4">MID(F9,4,1)=" "</f>
        <v>0</v>
      </c>
      <c r="R9" s="516">
        <f>IF(LEN($F9)&gt;0,IF(AND(R$8=$J9,NOT(AND(R$8&gt;=$N9,R$8&lt;$P9))),R$6,IF(AND(NOT(R$8&gt;$J8),R$8&lt;$J9),"-",IF(AND(R$8&gt;=$N9,R$8&lt;$P9),"???",IF(AND(R$8&gt;$J8,R$8&lt;$J9),R$6*(R$8-$J8)/($J9-$J8),IF(AND(R$8&gt;$J9,R$8&lt;$J10),R$6*($J10-R$8)/($J10-$J9),"-"))))),"-")</f>
        <v>107.483642932772</v>
      </c>
      <c r="S9" s="516" t="str">
        <f t="shared" ref="S9:CA13" si="5">IF(LEN($F9)&gt;0,IF(AND(S$8=$J9,NOT(AND(S$8&gt;=$N9,S$8&lt;$P9))),S$6,IF(AND(NOT(S$8&gt;$J8),S$8&lt;$J9),"-",IF(AND(S$8&gt;=$N9,S$8&lt;$P9),"???",IF(AND(S$8&gt;$J8,S$8&lt;$J9),S$6*(S$8-$J8)/($J9-$J8),IF(AND(S$8&gt;$J9,S$8&lt;$J10),S$6*($J10-S$8)/($J10-$J9),"-"))))),"-")</f>
        <v>-</v>
      </c>
      <c r="T9" s="516" t="str">
        <f t="shared" si="5"/>
        <v>-</v>
      </c>
      <c r="U9" s="516" t="str">
        <f t="shared" si="5"/>
        <v>-</v>
      </c>
      <c r="V9" s="516" t="str">
        <f t="shared" si="5"/>
        <v>-</v>
      </c>
      <c r="W9" s="516" t="str">
        <f t="shared" si="5"/>
        <v>-</v>
      </c>
      <c r="X9" s="516" t="str">
        <f t="shared" si="5"/>
        <v>-</v>
      </c>
      <c r="Y9" s="516" t="str">
        <f t="shared" si="5"/>
        <v>-</v>
      </c>
      <c r="Z9" s="516" t="str">
        <f t="shared" si="5"/>
        <v>-</v>
      </c>
      <c r="AA9" s="516" t="str">
        <f t="shared" si="5"/>
        <v>-</v>
      </c>
      <c r="AB9" s="516" t="str">
        <f t="shared" si="5"/>
        <v>-</v>
      </c>
      <c r="AC9" s="516" t="str">
        <f t="shared" si="5"/>
        <v>-</v>
      </c>
      <c r="AD9" s="516" t="str">
        <f t="shared" si="5"/>
        <v>-</v>
      </c>
      <c r="AE9" s="516" t="str">
        <f t="shared" si="5"/>
        <v>-</v>
      </c>
      <c r="AF9" s="516" t="str">
        <f t="shared" si="5"/>
        <v>-</v>
      </c>
      <c r="AG9" s="516" t="str">
        <f t="shared" si="5"/>
        <v>-</v>
      </c>
      <c r="AH9" s="516" t="str">
        <f t="shared" si="5"/>
        <v>-</v>
      </c>
      <c r="AI9" s="516" t="str">
        <f t="shared" si="5"/>
        <v>-</v>
      </c>
      <c r="AJ9" s="516" t="str">
        <f t="shared" si="5"/>
        <v>-</v>
      </c>
      <c r="AK9" s="516" t="str">
        <f t="shared" si="5"/>
        <v>-</v>
      </c>
      <c r="AL9" s="516" t="str">
        <f t="shared" si="5"/>
        <v>-</v>
      </c>
      <c r="AM9" s="516" t="str">
        <f t="shared" si="5"/>
        <v>-</v>
      </c>
      <c r="AN9" s="516" t="str">
        <f t="shared" si="5"/>
        <v>-</v>
      </c>
      <c r="AO9" s="516" t="str">
        <f t="shared" si="5"/>
        <v>-</v>
      </c>
      <c r="AP9" s="516" t="str">
        <f t="shared" si="5"/>
        <v>-</v>
      </c>
      <c r="AQ9" s="516" t="str">
        <f t="shared" si="5"/>
        <v>-</v>
      </c>
      <c r="AR9" s="516" t="str">
        <f t="shared" si="5"/>
        <v>-</v>
      </c>
      <c r="AS9" s="516" t="str">
        <f t="shared" si="5"/>
        <v>-</v>
      </c>
      <c r="AT9" s="516" t="str">
        <f t="shared" si="5"/>
        <v>-</v>
      </c>
      <c r="AU9" s="516" t="str">
        <f t="shared" si="5"/>
        <v>-</v>
      </c>
      <c r="AV9" s="516" t="str">
        <f t="shared" si="5"/>
        <v>-</v>
      </c>
      <c r="AW9" s="516" t="str">
        <f t="shared" si="5"/>
        <v>-</v>
      </c>
      <c r="AX9" s="516" t="str">
        <f t="shared" si="5"/>
        <v>-</v>
      </c>
      <c r="AY9" s="516" t="str">
        <f t="shared" si="5"/>
        <v>-</v>
      </c>
      <c r="AZ9" s="516" t="str">
        <f t="shared" si="5"/>
        <v>-</v>
      </c>
      <c r="BA9" s="516" t="str">
        <f t="shared" si="5"/>
        <v>-</v>
      </c>
      <c r="BB9" s="516" t="str">
        <f t="shared" si="5"/>
        <v>-</v>
      </c>
      <c r="BC9" s="516" t="str">
        <f t="shared" si="5"/>
        <v>-</v>
      </c>
      <c r="BD9" s="516" t="str">
        <f t="shared" si="5"/>
        <v>-</v>
      </c>
      <c r="BE9" s="516" t="str">
        <f t="shared" si="5"/>
        <v>-</v>
      </c>
      <c r="BF9" s="516" t="str">
        <f t="shared" si="5"/>
        <v>-</v>
      </c>
      <c r="BG9" s="516" t="str">
        <f t="shared" si="5"/>
        <v>-</v>
      </c>
      <c r="BH9" s="516" t="str">
        <f t="shared" si="5"/>
        <v>-</v>
      </c>
      <c r="BI9" s="516" t="str">
        <f t="shared" si="5"/>
        <v>-</v>
      </c>
      <c r="BJ9" s="516" t="str">
        <f t="shared" si="5"/>
        <v>-</v>
      </c>
      <c r="BK9" s="516" t="str">
        <f t="shared" si="5"/>
        <v>-</v>
      </c>
      <c r="BL9" s="516" t="str">
        <f t="shared" si="5"/>
        <v>-</v>
      </c>
      <c r="BM9" s="516" t="str">
        <f t="shared" si="5"/>
        <v>-</v>
      </c>
      <c r="BN9" s="516" t="str">
        <f t="shared" si="5"/>
        <v>-</v>
      </c>
      <c r="BO9" s="516" t="str">
        <f t="shared" si="5"/>
        <v>-</v>
      </c>
      <c r="BP9" s="516" t="str">
        <f t="shared" si="5"/>
        <v>-</v>
      </c>
      <c r="BQ9" s="516" t="str">
        <f t="shared" si="5"/>
        <v>-</v>
      </c>
      <c r="BR9" s="516" t="str">
        <f t="shared" si="5"/>
        <v>-</v>
      </c>
      <c r="BS9" s="516" t="str">
        <f t="shared" si="5"/>
        <v>-</v>
      </c>
      <c r="BT9" s="516" t="str">
        <f t="shared" si="5"/>
        <v>-</v>
      </c>
      <c r="BU9" s="516" t="str">
        <f t="shared" si="5"/>
        <v>-</v>
      </c>
      <c r="BV9" s="516" t="str">
        <f t="shared" si="5"/>
        <v>-</v>
      </c>
      <c r="BW9" s="516" t="str">
        <f t="shared" si="5"/>
        <v>-</v>
      </c>
      <c r="BX9" s="516" t="str">
        <f t="shared" si="5"/>
        <v>-</v>
      </c>
      <c r="BY9" s="516" t="str">
        <f t="shared" si="5"/>
        <v>-</v>
      </c>
      <c r="BZ9" s="516" t="str">
        <f t="shared" si="5"/>
        <v>-</v>
      </c>
      <c r="CA9" s="516" t="str">
        <f t="shared" si="5"/>
        <v>-</v>
      </c>
    </row>
    <row r="10" spans="1:79">
      <c r="A10" s="105">
        <v>2</v>
      </c>
      <c r="B10" s="112" t="str">
        <v>T/N</v>
      </c>
      <c r="C10" s="262">
        <f>'usd disaggregated'!AM18</f>
        <v>48.303425245799701</v>
      </c>
      <c r="D10" s="111" t="str">
        <f t="shared" ref="D10:D70" si="6">IF(LEN(B10)&gt;0,SimplifyTenor(B10),"")</f>
        <v>2D</v>
      </c>
      <c r="E10" s="517">
        <f>IF(LEN(B10)&gt;0,CHOOSE(MATCH(RIGHT(D10,1),{"D","W","M"},0),NextBusDay($C$4,LEFT(D10,LEN(D10)-1)),NextBusDay($C$4+7*LEFT(D10,LEN(D10)-1)),NextBusDay(EDATE($C$4,LEFT(D10,LEN(D10)-1)))),"")</f>
        <v>42671.378217592595</v>
      </c>
      <c r="F10" s="107" t="str">
        <v>T/N</v>
      </c>
      <c r="G10" s="106" t="str">
        <v>T/N</v>
      </c>
      <c r="H10" s="106" t="str">
        <f>BktUsdOisPL!H10</f>
        <v>2D</v>
      </c>
      <c r="I10" s="261" t="str">
        <v>D</v>
      </c>
      <c r="J10" s="106">
        <f>BktUsdOisPL!J10</f>
        <v>42671.378217592595</v>
      </c>
      <c r="L10" s="522">
        <f t="shared" ref="L10:L70" si="7">IF(LEN(F10)&gt;0,SUM(R10:CI10),0)</f>
        <v>48.303425245799701</v>
      </c>
      <c r="N10" s="106" t="str">
        <f t="shared" si="1"/>
        <v>-</v>
      </c>
      <c r="O10" s="106" t="str">
        <f t="shared" si="2"/>
        <v>-</v>
      </c>
      <c r="P10" s="106" t="str">
        <f t="shared" si="3"/>
        <v>-</v>
      </c>
      <c r="Q10" s="106" t="b">
        <f t="shared" si="4"/>
        <v>0</v>
      </c>
      <c r="R10" s="516" t="str">
        <f>IF(LEN($F10)&gt;0,IF(AND(R$8=$J10,NOT(AND(R$8&gt;=$N10,R$8&lt;$P10))),R$6,IF(AND(NOT(R$8&gt;$J9),R$8&lt;$J10),"-",IF(AND(R$8&gt;=$N10,R$8&lt;$P10),"???",IF(AND(R$8&gt;$J9,R$8&lt;$J10),R$6*(R$8-$J9)/($J10-$J9),IF(AND(R$8&gt;$J10,R$8&lt;$J11),R$6*($J11-R$8)/($J11-$J10),"-"))))),"-")</f>
        <v>-</v>
      </c>
      <c r="S10" s="516">
        <f t="shared" si="5"/>
        <v>48.303425245799701</v>
      </c>
      <c r="T10" s="516" t="str">
        <f t="shared" si="5"/>
        <v>-</v>
      </c>
      <c r="U10" s="516" t="str">
        <f t="shared" si="5"/>
        <v>-</v>
      </c>
      <c r="V10" s="516" t="str">
        <f t="shared" si="5"/>
        <v>-</v>
      </c>
      <c r="W10" s="516" t="str">
        <f t="shared" si="5"/>
        <v>-</v>
      </c>
      <c r="X10" s="516" t="str">
        <f t="shared" si="5"/>
        <v>-</v>
      </c>
      <c r="Y10" s="516" t="str">
        <f t="shared" si="5"/>
        <v>-</v>
      </c>
      <c r="Z10" s="516" t="str">
        <f t="shared" si="5"/>
        <v>-</v>
      </c>
      <c r="AA10" s="516" t="str">
        <f t="shared" si="5"/>
        <v>-</v>
      </c>
      <c r="AB10" s="516" t="str">
        <f t="shared" si="5"/>
        <v>-</v>
      </c>
      <c r="AC10" s="516" t="str">
        <f t="shared" si="5"/>
        <v>-</v>
      </c>
      <c r="AD10" s="516" t="str">
        <f t="shared" si="5"/>
        <v>-</v>
      </c>
      <c r="AE10" s="516" t="str">
        <f t="shared" si="5"/>
        <v>-</v>
      </c>
      <c r="AF10" s="516" t="str">
        <f t="shared" si="5"/>
        <v>-</v>
      </c>
      <c r="AG10" s="516" t="str">
        <f t="shared" si="5"/>
        <v>-</v>
      </c>
      <c r="AH10" s="516" t="str">
        <f t="shared" si="5"/>
        <v>-</v>
      </c>
      <c r="AI10" s="516" t="str">
        <f t="shared" si="5"/>
        <v>-</v>
      </c>
      <c r="AJ10" s="516" t="str">
        <f t="shared" si="5"/>
        <v>-</v>
      </c>
      <c r="AK10" s="516" t="str">
        <f t="shared" si="5"/>
        <v>-</v>
      </c>
      <c r="AL10" s="516" t="str">
        <f t="shared" si="5"/>
        <v>-</v>
      </c>
      <c r="AM10" s="516" t="str">
        <f t="shared" si="5"/>
        <v>-</v>
      </c>
      <c r="AN10" s="516" t="str">
        <f t="shared" si="5"/>
        <v>-</v>
      </c>
      <c r="AO10" s="516" t="str">
        <f t="shared" si="5"/>
        <v>-</v>
      </c>
      <c r="AP10" s="516" t="str">
        <f t="shared" si="5"/>
        <v>-</v>
      </c>
      <c r="AQ10" s="516" t="str">
        <f t="shared" si="5"/>
        <v>-</v>
      </c>
      <c r="AR10" s="516" t="str">
        <f t="shared" si="5"/>
        <v>-</v>
      </c>
      <c r="AS10" s="516" t="str">
        <f t="shared" si="5"/>
        <v>-</v>
      </c>
      <c r="AT10" s="516" t="str">
        <f t="shared" si="5"/>
        <v>-</v>
      </c>
      <c r="AU10" s="516" t="str">
        <f t="shared" si="5"/>
        <v>-</v>
      </c>
      <c r="AV10" s="516" t="str">
        <f t="shared" si="5"/>
        <v>-</v>
      </c>
      <c r="AW10" s="516" t="str">
        <f t="shared" si="5"/>
        <v>-</v>
      </c>
      <c r="AX10" s="516" t="str">
        <f t="shared" si="5"/>
        <v>-</v>
      </c>
      <c r="AY10" s="516" t="str">
        <f t="shared" si="5"/>
        <v>-</v>
      </c>
      <c r="AZ10" s="516" t="str">
        <f t="shared" si="5"/>
        <v>-</v>
      </c>
      <c r="BA10" s="516" t="str">
        <f t="shared" si="5"/>
        <v>-</v>
      </c>
      <c r="BB10" s="516" t="str">
        <f t="shared" si="5"/>
        <v>-</v>
      </c>
      <c r="BC10" s="516" t="str">
        <f t="shared" si="5"/>
        <v>-</v>
      </c>
      <c r="BD10" s="516" t="str">
        <f t="shared" si="5"/>
        <v>-</v>
      </c>
      <c r="BE10" s="516" t="str">
        <f t="shared" si="5"/>
        <v>-</v>
      </c>
      <c r="BF10" s="516" t="str">
        <f t="shared" si="5"/>
        <v>-</v>
      </c>
      <c r="BG10" s="516" t="str">
        <f t="shared" si="5"/>
        <v>-</v>
      </c>
      <c r="BH10" s="516" t="str">
        <f t="shared" si="5"/>
        <v>-</v>
      </c>
      <c r="BI10" s="516" t="str">
        <f t="shared" si="5"/>
        <v>-</v>
      </c>
      <c r="BJ10" s="516" t="str">
        <f t="shared" si="5"/>
        <v>-</v>
      </c>
      <c r="BK10" s="516" t="str">
        <f t="shared" si="5"/>
        <v>-</v>
      </c>
      <c r="BL10" s="516" t="str">
        <f t="shared" si="5"/>
        <v>-</v>
      </c>
      <c r="BM10" s="516" t="str">
        <f t="shared" si="5"/>
        <v>-</v>
      </c>
      <c r="BN10" s="516" t="str">
        <f t="shared" si="5"/>
        <v>-</v>
      </c>
      <c r="BO10" s="516" t="str">
        <f t="shared" si="5"/>
        <v>-</v>
      </c>
      <c r="BP10" s="516" t="str">
        <f t="shared" si="5"/>
        <v>-</v>
      </c>
      <c r="BQ10" s="516" t="str">
        <f t="shared" si="5"/>
        <v>-</v>
      </c>
      <c r="BR10" s="516" t="str">
        <f t="shared" si="5"/>
        <v>-</v>
      </c>
      <c r="BS10" s="516" t="str">
        <f t="shared" si="5"/>
        <v>-</v>
      </c>
      <c r="BT10" s="516" t="str">
        <f t="shared" si="5"/>
        <v>-</v>
      </c>
      <c r="BU10" s="516" t="str">
        <f t="shared" si="5"/>
        <v>-</v>
      </c>
      <c r="BV10" s="516" t="str">
        <f t="shared" si="5"/>
        <v>-</v>
      </c>
      <c r="BW10" s="516" t="str">
        <f t="shared" si="5"/>
        <v>-</v>
      </c>
      <c r="BX10" s="516" t="str">
        <f t="shared" si="5"/>
        <v>-</v>
      </c>
      <c r="BY10" s="516" t="str">
        <f t="shared" si="5"/>
        <v>-</v>
      </c>
      <c r="BZ10" s="516" t="str">
        <f t="shared" si="5"/>
        <v>-</v>
      </c>
      <c r="CA10" s="516" t="str">
        <f t="shared" si="5"/>
        <v>-</v>
      </c>
    </row>
    <row r="11" spans="1:79">
      <c r="A11" s="105">
        <v>3</v>
      </c>
      <c r="B11" s="112" t="str">
        <v>S/N</v>
      </c>
      <c r="C11" s="262">
        <f>'usd disaggregated'!AM19</f>
        <v>51.812304994959</v>
      </c>
      <c r="D11" s="111" t="str">
        <f t="shared" si="6"/>
        <v>3D</v>
      </c>
      <c r="E11" s="517">
        <f>IF(LEN(B11)&gt;0,CHOOSE(MATCH(RIGHT(D11,1),{"D","W","M"},0),NextBusDay($C$4,LEFT(D11,LEN(D11)-1)),NextBusDay($C$4+7*LEFT(D11,LEN(D11)-1)),NextBusDay(EDATE($C$4,LEFT(D11,LEN(D11)-1)))),"")</f>
        <v>42674.378217592595</v>
      </c>
      <c r="F11" s="107" t="str">
        <v>S/N</v>
      </c>
      <c r="G11" s="106" t="str">
        <v>S/N</v>
      </c>
      <c r="H11" s="106" t="str">
        <f>BktUsdOisPL!H11</f>
        <v>3D</v>
      </c>
      <c r="I11" s="261" t="str">
        <v>D</v>
      </c>
      <c r="J11" s="106">
        <f>BktUsdOisPL!J11</f>
        <v>42674.378217592595</v>
      </c>
      <c r="L11" s="522">
        <f t="shared" si="7"/>
        <v>51.812304994959</v>
      </c>
      <c r="N11" s="106" t="str">
        <f t="shared" si="1"/>
        <v>-</v>
      </c>
      <c r="O11" s="106" t="str">
        <f t="shared" si="2"/>
        <v>-</v>
      </c>
      <c r="P11" s="106" t="str">
        <f t="shared" si="3"/>
        <v>-</v>
      </c>
      <c r="Q11" s="106" t="b">
        <f t="shared" si="4"/>
        <v>0</v>
      </c>
      <c r="R11" s="516" t="str">
        <f t="shared" ref="R11:AG19" si="8">IF(LEN($F11)&gt;0,IF(AND(R$8=$J11,NOT(AND(R$8&gt;=$N11,R$8&lt;$P11))),R$6,IF(AND(NOT(R$8&gt;$J10),R$8&lt;$J11),"-",IF(AND(R$8&gt;=$N11,R$8&lt;$P11),"???",IF(AND(R$8&gt;$J10,R$8&lt;$J11),R$6*(R$8-$J10)/($J11-$J10),IF(AND(R$8&gt;$J11,R$8&lt;$J12),R$6*($J12-R$8)/($J12-$J11),"-"))))),"-")</f>
        <v>-</v>
      </c>
      <c r="S11" s="516" t="str">
        <f t="shared" si="5"/>
        <v>-</v>
      </c>
      <c r="T11" s="516">
        <f t="shared" si="5"/>
        <v>51.812304994959</v>
      </c>
      <c r="U11" s="516" t="str">
        <f t="shared" si="5"/>
        <v>-</v>
      </c>
      <c r="V11" s="516" t="str">
        <f t="shared" si="5"/>
        <v>-</v>
      </c>
      <c r="W11" s="516" t="str">
        <f t="shared" si="5"/>
        <v>-</v>
      </c>
      <c r="X11" s="516" t="str">
        <f t="shared" si="5"/>
        <v>-</v>
      </c>
      <c r="Y11" s="516" t="str">
        <f t="shared" si="5"/>
        <v>-</v>
      </c>
      <c r="Z11" s="516" t="str">
        <f t="shared" si="5"/>
        <v>-</v>
      </c>
      <c r="AA11" s="516" t="str">
        <f t="shared" si="5"/>
        <v>-</v>
      </c>
      <c r="AB11" s="516" t="str">
        <f t="shared" si="5"/>
        <v>-</v>
      </c>
      <c r="AC11" s="516" t="str">
        <f t="shared" si="5"/>
        <v>-</v>
      </c>
      <c r="AD11" s="516" t="str">
        <f t="shared" si="5"/>
        <v>-</v>
      </c>
      <c r="AE11" s="516" t="str">
        <f t="shared" si="5"/>
        <v>-</v>
      </c>
      <c r="AF11" s="516" t="str">
        <f t="shared" si="5"/>
        <v>-</v>
      </c>
      <c r="AG11" s="516" t="str">
        <f t="shared" si="5"/>
        <v>-</v>
      </c>
      <c r="AH11" s="516" t="str">
        <f t="shared" si="5"/>
        <v>-</v>
      </c>
      <c r="AI11" s="516" t="str">
        <f t="shared" si="5"/>
        <v>-</v>
      </c>
      <c r="AJ11" s="516" t="str">
        <f t="shared" si="5"/>
        <v>-</v>
      </c>
      <c r="AK11" s="516" t="str">
        <f t="shared" si="5"/>
        <v>-</v>
      </c>
      <c r="AL11" s="516" t="str">
        <f t="shared" si="5"/>
        <v>-</v>
      </c>
      <c r="AM11" s="516" t="str">
        <f t="shared" si="5"/>
        <v>-</v>
      </c>
      <c r="AN11" s="516" t="str">
        <f t="shared" si="5"/>
        <v>-</v>
      </c>
      <c r="AO11" s="516" t="str">
        <f t="shared" si="5"/>
        <v>-</v>
      </c>
      <c r="AP11" s="516" t="str">
        <f t="shared" si="5"/>
        <v>-</v>
      </c>
      <c r="AQ11" s="516" t="str">
        <f t="shared" si="5"/>
        <v>-</v>
      </c>
      <c r="AR11" s="516" t="str">
        <f t="shared" si="5"/>
        <v>-</v>
      </c>
      <c r="AS11" s="516" t="str">
        <f t="shared" si="5"/>
        <v>-</v>
      </c>
      <c r="AT11" s="516" t="str">
        <f t="shared" si="5"/>
        <v>-</v>
      </c>
      <c r="AU11" s="516" t="str">
        <f t="shared" si="5"/>
        <v>-</v>
      </c>
      <c r="AV11" s="516" t="str">
        <f t="shared" si="5"/>
        <v>-</v>
      </c>
      <c r="AW11" s="516" t="str">
        <f t="shared" si="5"/>
        <v>-</v>
      </c>
      <c r="AX11" s="516" t="str">
        <f t="shared" si="5"/>
        <v>-</v>
      </c>
      <c r="AY11" s="516" t="str">
        <f t="shared" si="5"/>
        <v>-</v>
      </c>
      <c r="AZ11" s="516" t="str">
        <f t="shared" si="5"/>
        <v>-</v>
      </c>
      <c r="BA11" s="516" t="str">
        <f t="shared" si="5"/>
        <v>-</v>
      </c>
      <c r="BB11" s="516" t="str">
        <f t="shared" si="5"/>
        <v>-</v>
      </c>
      <c r="BC11" s="516" t="str">
        <f t="shared" si="5"/>
        <v>-</v>
      </c>
      <c r="BD11" s="516" t="str">
        <f t="shared" si="5"/>
        <v>-</v>
      </c>
      <c r="BE11" s="516" t="str">
        <f t="shared" si="5"/>
        <v>-</v>
      </c>
      <c r="BF11" s="516" t="str">
        <f t="shared" si="5"/>
        <v>-</v>
      </c>
      <c r="BG11" s="516" t="str">
        <f t="shared" si="5"/>
        <v>-</v>
      </c>
      <c r="BH11" s="516" t="str">
        <f t="shared" si="5"/>
        <v>-</v>
      </c>
      <c r="BI11" s="516" t="str">
        <f t="shared" si="5"/>
        <v>-</v>
      </c>
      <c r="BJ11" s="516" t="str">
        <f t="shared" si="5"/>
        <v>-</v>
      </c>
      <c r="BK11" s="516" t="str">
        <f t="shared" si="5"/>
        <v>-</v>
      </c>
      <c r="BL11" s="516" t="str">
        <f t="shared" si="5"/>
        <v>-</v>
      </c>
      <c r="BM11" s="516" t="str">
        <f t="shared" si="5"/>
        <v>-</v>
      </c>
      <c r="BN11" s="516" t="str">
        <f t="shared" si="5"/>
        <v>-</v>
      </c>
      <c r="BO11" s="516" t="str">
        <f t="shared" si="5"/>
        <v>-</v>
      </c>
      <c r="BP11" s="516" t="str">
        <f t="shared" si="5"/>
        <v>-</v>
      </c>
      <c r="BQ11" s="516" t="str">
        <f t="shared" si="5"/>
        <v>-</v>
      </c>
      <c r="BR11" s="516" t="str">
        <f t="shared" si="5"/>
        <v>-</v>
      </c>
      <c r="BS11" s="516" t="str">
        <f t="shared" si="5"/>
        <v>-</v>
      </c>
      <c r="BT11" s="516" t="str">
        <f t="shared" si="5"/>
        <v>-</v>
      </c>
      <c r="BU11" s="516" t="str">
        <f t="shared" si="5"/>
        <v>-</v>
      </c>
      <c r="BV11" s="516" t="str">
        <f t="shared" si="5"/>
        <v>-</v>
      </c>
      <c r="BW11" s="516" t="str">
        <f t="shared" si="5"/>
        <v>-</v>
      </c>
      <c r="BX11" s="516" t="str">
        <f t="shared" si="5"/>
        <v>-</v>
      </c>
      <c r="BY11" s="516" t="str">
        <f t="shared" si="5"/>
        <v>-</v>
      </c>
      <c r="BZ11" s="516" t="str">
        <f t="shared" si="5"/>
        <v>-</v>
      </c>
      <c r="CA11" s="516" t="str">
        <f t="shared" si="5"/>
        <v>-</v>
      </c>
    </row>
    <row r="12" spans="1:79">
      <c r="A12" s="105">
        <v>4</v>
      </c>
      <c r="B12" s="112" t="str">
        <v>1W</v>
      </c>
      <c r="C12" s="262">
        <f>'usd disaggregated'!AM20</f>
        <v>-272.23937503576599</v>
      </c>
      <c r="D12" s="111" t="str">
        <f t="shared" si="6"/>
        <v>1W</v>
      </c>
      <c r="E12" s="517">
        <f>IF(LEN(B12)&gt;0,CHOOSE(MATCH(RIGHT(D12,1),{"D","W","M"},0),NextBusDay($C$4,LEFT(D12,LEN(D12)-1)),NextBusDay($C$4+7*LEFT(D12,LEN(D12)-1)),NextBusDay(EDATE($C$4,LEFT(D12,LEN(D12)-1)))),"")</f>
        <v>42676.378217592595</v>
      </c>
      <c r="F12" s="107" t="str">
        <v>1W</v>
      </c>
      <c r="G12" s="106" t="str">
        <v>1W</v>
      </c>
      <c r="H12" s="106" t="str">
        <f>BktUsdOisPL!H12</f>
        <v>1W</v>
      </c>
      <c r="I12" s="261" t="str">
        <v>D</v>
      </c>
      <c r="J12" s="106">
        <f>BktUsdOisPL!J12</f>
        <v>42676.378217592595</v>
      </c>
      <c r="L12" s="522">
        <f t="shared" si="7"/>
        <v>-272.23937503576599</v>
      </c>
      <c r="N12" s="106" t="str">
        <f t="shared" si="1"/>
        <v>-</v>
      </c>
      <c r="O12" s="106" t="str">
        <f t="shared" si="2"/>
        <v>-</v>
      </c>
      <c r="P12" s="106" t="str">
        <f t="shared" si="3"/>
        <v>-</v>
      </c>
      <c r="Q12" s="106" t="b">
        <f t="shared" si="4"/>
        <v>0</v>
      </c>
      <c r="R12" s="516" t="str">
        <f t="shared" si="8"/>
        <v>-</v>
      </c>
      <c r="S12" s="516" t="str">
        <f t="shared" si="5"/>
        <v>-</v>
      </c>
      <c r="T12" s="516" t="str">
        <f t="shared" si="5"/>
        <v>-</v>
      </c>
      <c r="U12" s="516">
        <f t="shared" si="5"/>
        <v>-272.23937503576599</v>
      </c>
      <c r="V12" s="516" t="str">
        <f t="shared" si="5"/>
        <v>-</v>
      </c>
      <c r="W12" s="516" t="str">
        <f t="shared" si="5"/>
        <v>-</v>
      </c>
      <c r="X12" s="516" t="str">
        <f t="shared" si="5"/>
        <v>-</v>
      </c>
      <c r="Y12" s="516" t="str">
        <f t="shared" si="5"/>
        <v>-</v>
      </c>
      <c r="Z12" s="516" t="str">
        <f t="shared" si="5"/>
        <v>-</v>
      </c>
      <c r="AA12" s="516" t="str">
        <f t="shared" si="5"/>
        <v>-</v>
      </c>
      <c r="AB12" s="516" t="str">
        <f t="shared" si="5"/>
        <v>-</v>
      </c>
      <c r="AC12" s="516" t="str">
        <f t="shared" si="5"/>
        <v>-</v>
      </c>
      <c r="AD12" s="516" t="str">
        <f t="shared" si="5"/>
        <v>-</v>
      </c>
      <c r="AE12" s="516" t="str">
        <f t="shared" si="5"/>
        <v>-</v>
      </c>
      <c r="AF12" s="516" t="str">
        <f t="shared" si="5"/>
        <v>-</v>
      </c>
      <c r="AG12" s="516" t="str">
        <f t="shared" si="5"/>
        <v>-</v>
      </c>
      <c r="AH12" s="516" t="str">
        <f t="shared" si="5"/>
        <v>-</v>
      </c>
      <c r="AI12" s="516" t="str">
        <f t="shared" si="5"/>
        <v>-</v>
      </c>
      <c r="AJ12" s="516" t="str">
        <f t="shared" si="5"/>
        <v>-</v>
      </c>
      <c r="AK12" s="516" t="str">
        <f t="shared" si="5"/>
        <v>-</v>
      </c>
      <c r="AL12" s="516" t="str">
        <f t="shared" si="5"/>
        <v>-</v>
      </c>
      <c r="AM12" s="516" t="str">
        <f t="shared" si="5"/>
        <v>-</v>
      </c>
      <c r="AN12" s="516" t="str">
        <f t="shared" si="5"/>
        <v>-</v>
      </c>
      <c r="AO12" s="516" t="str">
        <f t="shared" si="5"/>
        <v>-</v>
      </c>
      <c r="AP12" s="516" t="str">
        <f t="shared" si="5"/>
        <v>-</v>
      </c>
      <c r="AQ12" s="516" t="str">
        <f t="shared" si="5"/>
        <v>-</v>
      </c>
      <c r="AR12" s="516" t="str">
        <f t="shared" si="5"/>
        <v>-</v>
      </c>
      <c r="AS12" s="516" t="str">
        <f t="shared" si="5"/>
        <v>-</v>
      </c>
      <c r="AT12" s="516" t="str">
        <f t="shared" si="5"/>
        <v>-</v>
      </c>
      <c r="AU12" s="516" t="str">
        <f t="shared" si="5"/>
        <v>-</v>
      </c>
      <c r="AV12" s="516" t="str">
        <f t="shared" si="5"/>
        <v>-</v>
      </c>
      <c r="AW12" s="516" t="str">
        <f t="shared" si="5"/>
        <v>-</v>
      </c>
      <c r="AX12" s="516" t="str">
        <f t="shared" si="5"/>
        <v>-</v>
      </c>
      <c r="AY12" s="516" t="str">
        <f t="shared" si="5"/>
        <v>-</v>
      </c>
      <c r="AZ12" s="516" t="str">
        <f t="shared" si="5"/>
        <v>-</v>
      </c>
      <c r="BA12" s="516" t="str">
        <f t="shared" si="5"/>
        <v>-</v>
      </c>
      <c r="BB12" s="516" t="str">
        <f t="shared" si="5"/>
        <v>-</v>
      </c>
      <c r="BC12" s="516" t="str">
        <f t="shared" si="5"/>
        <v>-</v>
      </c>
      <c r="BD12" s="516" t="str">
        <f t="shared" si="5"/>
        <v>-</v>
      </c>
      <c r="BE12" s="516" t="str">
        <f t="shared" si="5"/>
        <v>-</v>
      </c>
      <c r="BF12" s="516" t="str">
        <f t="shared" si="5"/>
        <v>-</v>
      </c>
      <c r="BG12" s="516" t="str">
        <f t="shared" si="5"/>
        <v>-</v>
      </c>
      <c r="BH12" s="516" t="str">
        <f t="shared" si="5"/>
        <v>-</v>
      </c>
      <c r="BI12" s="516" t="str">
        <f t="shared" si="5"/>
        <v>-</v>
      </c>
      <c r="BJ12" s="516" t="str">
        <f t="shared" si="5"/>
        <v>-</v>
      </c>
      <c r="BK12" s="516" t="str">
        <f t="shared" si="5"/>
        <v>-</v>
      </c>
      <c r="BL12" s="516" t="str">
        <f t="shared" si="5"/>
        <v>-</v>
      </c>
      <c r="BM12" s="516" t="str">
        <f t="shared" si="5"/>
        <v>-</v>
      </c>
      <c r="BN12" s="516" t="str">
        <f t="shared" si="5"/>
        <v>-</v>
      </c>
      <c r="BO12" s="516" t="str">
        <f t="shared" si="5"/>
        <v>-</v>
      </c>
      <c r="BP12" s="516" t="str">
        <f t="shared" si="5"/>
        <v>-</v>
      </c>
      <c r="BQ12" s="516" t="str">
        <f t="shared" si="5"/>
        <v>-</v>
      </c>
      <c r="BR12" s="516" t="str">
        <f t="shared" si="5"/>
        <v>-</v>
      </c>
      <c r="BS12" s="516" t="str">
        <f t="shared" si="5"/>
        <v>-</v>
      </c>
      <c r="BT12" s="516" t="str">
        <f t="shared" si="5"/>
        <v>-</v>
      </c>
      <c r="BU12" s="516" t="str">
        <f t="shared" si="5"/>
        <v>-</v>
      </c>
      <c r="BV12" s="516" t="str">
        <f t="shared" si="5"/>
        <v>-</v>
      </c>
      <c r="BW12" s="516" t="str">
        <f t="shared" si="5"/>
        <v>-</v>
      </c>
      <c r="BX12" s="516" t="str">
        <f t="shared" si="5"/>
        <v>-</v>
      </c>
      <c r="BY12" s="516" t="str">
        <f t="shared" si="5"/>
        <v>-</v>
      </c>
      <c r="BZ12" s="516" t="str">
        <f t="shared" si="5"/>
        <v>-</v>
      </c>
      <c r="CA12" s="516" t="str">
        <f t="shared" si="5"/>
        <v>-</v>
      </c>
    </row>
    <row r="13" spans="1:79">
      <c r="A13" s="105">
        <v>5</v>
      </c>
      <c r="B13" s="112" t="str">
        <v>2W</v>
      </c>
      <c r="C13" s="262">
        <f>'usd disaggregated'!AM21</f>
        <v>-18.2613503888259</v>
      </c>
      <c r="D13" s="111" t="str">
        <f t="shared" si="6"/>
        <v>2W</v>
      </c>
      <c r="E13" s="517">
        <f>IF(LEN(B13)&gt;0,CHOOSE(MATCH(RIGHT(D13,1),{"D","W","M"},0),NextBusDay($C$4,LEFT(D13,LEN(D13)-1)),NextBusDay($C$4+7*LEFT(D13,LEN(D13)-1)),NextBusDay(EDATE($C$4,LEFT(D13,LEN(D13)-1)))),"")</f>
        <v>42683.378217592595</v>
      </c>
      <c r="F13" s="107" t="str">
        <v>2W</v>
      </c>
      <c r="G13" s="106" t="str">
        <v>2W</v>
      </c>
      <c r="H13" s="106" t="str">
        <f>BktUsdOisPL!H13</f>
        <v>2W</v>
      </c>
      <c r="I13" s="261" t="str">
        <v>D</v>
      </c>
      <c r="J13" s="106">
        <f>BktUsdOisPL!J13</f>
        <v>42683.378217592595</v>
      </c>
      <c r="L13" s="522">
        <f t="shared" si="7"/>
        <v>-18.2613503888259</v>
      </c>
      <c r="N13" s="106" t="str">
        <f t="shared" si="1"/>
        <v>-</v>
      </c>
      <c r="O13" s="106" t="str">
        <f t="shared" si="2"/>
        <v>-</v>
      </c>
      <c r="P13" s="106" t="str">
        <f t="shared" si="3"/>
        <v>-</v>
      </c>
      <c r="Q13" s="106" t="b">
        <f t="shared" si="4"/>
        <v>0</v>
      </c>
      <c r="R13" s="516" t="str">
        <f t="shared" si="8"/>
        <v>-</v>
      </c>
      <c r="S13" s="516" t="str">
        <f t="shared" si="5"/>
        <v>-</v>
      </c>
      <c r="T13" s="516" t="str">
        <f t="shared" si="5"/>
        <v>-</v>
      </c>
      <c r="U13" s="516" t="str">
        <f t="shared" si="5"/>
        <v>-</v>
      </c>
      <c r="V13" s="516">
        <f t="shared" si="5"/>
        <v>-18.2613503888259</v>
      </c>
      <c r="W13" s="516" t="str">
        <f t="shared" si="5"/>
        <v>-</v>
      </c>
      <c r="X13" s="516" t="str">
        <f t="shared" si="5"/>
        <v>-</v>
      </c>
      <c r="Y13" s="516" t="str">
        <f t="shared" si="5"/>
        <v>-</v>
      </c>
      <c r="Z13" s="516" t="str">
        <f t="shared" si="5"/>
        <v>-</v>
      </c>
      <c r="AA13" s="516" t="str">
        <f t="shared" si="5"/>
        <v>-</v>
      </c>
      <c r="AB13" s="516" t="str">
        <f t="shared" si="5"/>
        <v>-</v>
      </c>
      <c r="AC13" s="516" t="str">
        <f t="shared" si="5"/>
        <v>-</v>
      </c>
      <c r="AD13" s="516" t="str">
        <f t="shared" ref="AD13:CA18" si="9">IF(LEN($F13)&gt;0,IF(AND(AD$8=$J13,NOT(AND(AD$8&gt;=$N13,AD$8&lt;$P13))),AD$6,IF(AND(NOT(AD$8&gt;$J12),AD$8&lt;$J13),"-",IF(AND(AD$8&gt;=$N13,AD$8&lt;$P13),"???",IF(AND(AD$8&gt;$J12,AD$8&lt;$J13),AD$6*(AD$8-$J12)/($J13-$J12),IF(AND(AD$8&gt;$J13,AD$8&lt;$J14),AD$6*($J14-AD$8)/($J14-$J13),"-"))))),"-")</f>
        <v>-</v>
      </c>
      <c r="AE13" s="516" t="str">
        <f t="shared" si="9"/>
        <v>-</v>
      </c>
      <c r="AF13" s="516" t="str">
        <f t="shared" si="9"/>
        <v>-</v>
      </c>
      <c r="AG13" s="516" t="str">
        <f t="shared" si="9"/>
        <v>-</v>
      </c>
      <c r="AH13" s="516" t="str">
        <f t="shared" si="9"/>
        <v>-</v>
      </c>
      <c r="AI13" s="516" t="str">
        <f t="shared" si="9"/>
        <v>-</v>
      </c>
      <c r="AJ13" s="516" t="str">
        <f t="shared" si="9"/>
        <v>-</v>
      </c>
      <c r="AK13" s="516" t="str">
        <f t="shared" si="9"/>
        <v>-</v>
      </c>
      <c r="AL13" s="516" t="str">
        <f t="shared" si="9"/>
        <v>-</v>
      </c>
      <c r="AM13" s="516" t="str">
        <f t="shared" si="9"/>
        <v>-</v>
      </c>
      <c r="AN13" s="516" t="str">
        <f t="shared" si="9"/>
        <v>-</v>
      </c>
      <c r="AO13" s="516" t="str">
        <f t="shared" si="9"/>
        <v>-</v>
      </c>
      <c r="AP13" s="516" t="str">
        <f t="shared" si="9"/>
        <v>-</v>
      </c>
      <c r="AQ13" s="516" t="str">
        <f t="shared" si="9"/>
        <v>-</v>
      </c>
      <c r="AR13" s="516" t="str">
        <f t="shared" si="9"/>
        <v>-</v>
      </c>
      <c r="AS13" s="516" t="str">
        <f t="shared" si="9"/>
        <v>-</v>
      </c>
      <c r="AT13" s="516" t="str">
        <f t="shared" si="9"/>
        <v>-</v>
      </c>
      <c r="AU13" s="516" t="str">
        <f t="shared" si="9"/>
        <v>-</v>
      </c>
      <c r="AV13" s="516" t="str">
        <f t="shared" si="9"/>
        <v>-</v>
      </c>
      <c r="AW13" s="516" t="str">
        <f t="shared" si="9"/>
        <v>-</v>
      </c>
      <c r="AX13" s="516" t="str">
        <f t="shared" si="9"/>
        <v>-</v>
      </c>
      <c r="AY13" s="516" t="str">
        <f t="shared" si="9"/>
        <v>-</v>
      </c>
      <c r="AZ13" s="516" t="str">
        <f t="shared" si="9"/>
        <v>-</v>
      </c>
      <c r="BA13" s="516" t="str">
        <f t="shared" si="9"/>
        <v>-</v>
      </c>
      <c r="BB13" s="516" t="str">
        <f t="shared" si="9"/>
        <v>-</v>
      </c>
      <c r="BC13" s="516" t="str">
        <f t="shared" si="9"/>
        <v>-</v>
      </c>
      <c r="BD13" s="516" t="str">
        <f t="shared" si="9"/>
        <v>-</v>
      </c>
      <c r="BE13" s="516" t="str">
        <f t="shared" si="9"/>
        <v>-</v>
      </c>
      <c r="BF13" s="516" t="str">
        <f t="shared" si="9"/>
        <v>-</v>
      </c>
      <c r="BG13" s="516" t="str">
        <f t="shared" si="9"/>
        <v>-</v>
      </c>
      <c r="BH13" s="516" t="str">
        <f t="shared" si="9"/>
        <v>-</v>
      </c>
      <c r="BI13" s="516" t="str">
        <f t="shared" si="9"/>
        <v>-</v>
      </c>
      <c r="BJ13" s="516" t="str">
        <f t="shared" si="9"/>
        <v>-</v>
      </c>
      <c r="BK13" s="516" t="str">
        <f t="shared" si="9"/>
        <v>-</v>
      </c>
      <c r="BL13" s="516" t="str">
        <f t="shared" si="9"/>
        <v>-</v>
      </c>
      <c r="BM13" s="516" t="str">
        <f t="shared" si="9"/>
        <v>-</v>
      </c>
      <c r="BN13" s="516" t="str">
        <f t="shared" si="9"/>
        <v>-</v>
      </c>
      <c r="BO13" s="516" t="str">
        <f t="shared" si="9"/>
        <v>-</v>
      </c>
      <c r="BP13" s="516" t="str">
        <f t="shared" si="9"/>
        <v>-</v>
      </c>
      <c r="BQ13" s="516" t="str">
        <f t="shared" si="9"/>
        <v>-</v>
      </c>
      <c r="BR13" s="516" t="str">
        <f t="shared" si="9"/>
        <v>-</v>
      </c>
      <c r="BS13" s="516" t="str">
        <f t="shared" si="9"/>
        <v>-</v>
      </c>
      <c r="BT13" s="516" t="str">
        <f t="shared" si="9"/>
        <v>-</v>
      </c>
      <c r="BU13" s="516" t="str">
        <f t="shared" si="9"/>
        <v>-</v>
      </c>
      <c r="BV13" s="516" t="str">
        <f t="shared" si="9"/>
        <v>-</v>
      </c>
      <c r="BW13" s="516" t="str">
        <f t="shared" si="9"/>
        <v>-</v>
      </c>
      <c r="BX13" s="516" t="str">
        <f t="shared" si="9"/>
        <v>-</v>
      </c>
      <c r="BY13" s="516" t="str">
        <f t="shared" si="9"/>
        <v>-</v>
      </c>
      <c r="BZ13" s="516" t="str">
        <f t="shared" si="9"/>
        <v>-</v>
      </c>
      <c r="CA13" s="516" t="str">
        <f t="shared" si="9"/>
        <v>-</v>
      </c>
    </row>
    <row r="14" spans="1:79">
      <c r="A14" s="105">
        <v>6</v>
      </c>
      <c r="B14" s="112" t="str">
        <v>3W</v>
      </c>
      <c r="C14" s="262">
        <f>'usd disaggregated'!AM22</f>
        <v>-68.113548383123998</v>
      </c>
      <c r="D14" s="111" t="str">
        <f t="shared" si="6"/>
        <v>3W</v>
      </c>
      <c r="E14" s="517">
        <f>IF(LEN(B14)&gt;0,CHOOSE(MATCH(RIGHT(D14,1),{"D","W","M"},0),NextBusDay($C$4,LEFT(D14,LEN(D14)-1)),NextBusDay($C$4+7*LEFT(D14,LEN(D14)-1)),NextBusDay(EDATE($C$4,LEFT(D14,LEN(D14)-1)))),"")</f>
        <v>42690.378217592595</v>
      </c>
      <c r="F14" s="107" t="str">
        <v>3W</v>
      </c>
      <c r="G14" s="106" t="str">
        <v>3W</v>
      </c>
      <c r="H14" s="106" t="str">
        <f>BktUsdOisPL!H14</f>
        <v>3W</v>
      </c>
      <c r="I14" s="261" t="str">
        <v>D</v>
      </c>
      <c r="J14" s="106">
        <f>BktUsdOisPL!J14</f>
        <v>42690.378217592595</v>
      </c>
      <c r="L14" s="522">
        <f t="shared" si="7"/>
        <v>-68.113548383123998</v>
      </c>
      <c r="N14" s="106" t="str">
        <f t="shared" si="1"/>
        <v>-</v>
      </c>
      <c r="O14" s="106" t="str">
        <f t="shared" si="2"/>
        <v>-</v>
      </c>
      <c r="P14" s="106" t="str">
        <f t="shared" si="3"/>
        <v>-</v>
      </c>
      <c r="Q14" s="106" t="b">
        <f t="shared" si="4"/>
        <v>0</v>
      </c>
      <c r="R14" s="516" t="str">
        <f t="shared" si="8"/>
        <v>-</v>
      </c>
      <c r="S14" s="516" t="str">
        <f t="shared" si="8"/>
        <v>-</v>
      </c>
      <c r="T14" s="516" t="str">
        <f t="shared" si="8"/>
        <v>-</v>
      </c>
      <c r="U14" s="516" t="str">
        <f t="shared" si="8"/>
        <v>-</v>
      </c>
      <c r="V14" s="516" t="str">
        <f t="shared" si="8"/>
        <v>-</v>
      </c>
      <c r="W14" s="516">
        <f t="shared" si="8"/>
        <v>-68.113548383123998</v>
      </c>
      <c r="X14" s="516" t="str">
        <f t="shared" si="8"/>
        <v>-</v>
      </c>
      <c r="Y14" s="516" t="str">
        <f t="shared" si="8"/>
        <v>-</v>
      </c>
      <c r="Z14" s="516" t="str">
        <f t="shared" si="8"/>
        <v>-</v>
      </c>
      <c r="AA14" s="516" t="str">
        <f t="shared" si="8"/>
        <v>-</v>
      </c>
      <c r="AB14" s="516" t="str">
        <f t="shared" si="8"/>
        <v>-</v>
      </c>
      <c r="AC14" s="516" t="str">
        <f t="shared" si="8"/>
        <v>-</v>
      </c>
      <c r="AD14" s="516" t="str">
        <f t="shared" si="9"/>
        <v>-</v>
      </c>
      <c r="AE14" s="516" t="str">
        <f t="shared" si="9"/>
        <v>-</v>
      </c>
      <c r="AF14" s="516" t="str">
        <f t="shared" si="9"/>
        <v>-</v>
      </c>
      <c r="AG14" s="516" t="str">
        <f t="shared" si="9"/>
        <v>-</v>
      </c>
      <c r="AH14" s="516" t="str">
        <f t="shared" si="9"/>
        <v>-</v>
      </c>
      <c r="AI14" s="516" t="str">
        <f t="shared" si="9"/>
        <v>-</v>
      </c>
      <c r="AJ14" s="516" t="str">
        <f t="shared" si="9"/>
        <v>-</v>
      </c>
      <c r="AK14" s="516" t="str">
        <f t="shared" si="9"/>
        <v>-</v>
      </c>
      <c r="AL14" s="516" t="str">
        <f t="shared" si="9"/>
        <v>-</v>
      </c>
      <c r="AM14" s="516" t="str">
        <f t="shared" si="9"/>
        <v>-</v>
      </c>
      <c r="AN14" s="516" t="str">
        <f t="shared" si="9"/>
        <v>-</v>
      </c>
      <c r="AO14" s="516" t="str">
        <f t="shared" si="9"/>
        <v>-</v>
      </c>
      <c r="AP14" s="516" t="str">
        <f t="shared" si="9"/>
        <v>-</v>
      </c>
      <c r="AQ14" s="516" t="str">
        <f t="shared" si="9"/>
        <v>-</v>
      </c>
      <c r="AR14" s="516" t="str">
        <f t="shared" si="9"/>
        <v>-</v>
      </c>
      <c r="AS14" s="516" t="str">
        <f t="shared" si="9"/>
        <v>-</v>
      </c>
      <c r="AT14" s="516" t="str">
        <f t="shared" si="9"/>
        <v>-</v>
      </c>
      <c r="AU14" s="516" t="str">
        <f t="shared" si="9"/>
        <v>-</v>
      </c>
      <c r="AV14" s="516" t="str">
        <f t="shared" si="9"/>
        <v>-</v>
      </c>
      <c r="AW14" s="516" t="str">
        <f t="shared" si="9"/>
        <v>-</v>
      </c>
      <c r="AX14" s="516" t="str">
        <f t="shared" si="9"/>
        <v>-</v>
      </c>
      <c r="AY14" s="516" t="str">
        <f t="shared" si="9"/>
        <v>-</v>
      </c>
      <c r="AZ14" s="516" t="str">
        <f t="shared" si="9"/>
        <v>-</v>
      </c>
      <c r="BA14" s="516" t="str">
        <f t="shared" si="9"/>
        <v>-</v>
      </c>
      <c r="BB14" s="516" t="str">
        <f t="shared" si="9"/>
        <v>-</v>
      </c>
      <c r="BC14" s="516" t="str">
        <f t="shared" si="9"/>
        <v>-</v>
      </c>
      <c r="BD14" s="516" t="str">
        <f t="shared" si="9"/>
        <v>-</v>
      </c>
      <c r="BE14" s="516" t="str">
        <f t="shared" si="9"/>
        <v>-</v>
      </c>
      <c r="BF14" s="516" t="str">
        <f t="shared" si="9"/>
        <v>-</v>
      </c>
      <c r="BG14" s="516" t="str">
        <f t="shared" si="9"/>
        <v>-</v>
      </c>
      <c r="BH14" s="516" t="str">
        <f t="shared" si="9"/>
        <v>-</v>
      </c>
      <c r="BI14" s="516" t="str">
        <f t="shared" si="9"/>
        <v>-</v>
      </c>
      <c r="BJ14" s="516" t="str">
        <f t="shared" si="9"/>
        <v>-</v>
      </c>
      <c r="BK14" s="516" t="str">
        <f t="shared" si="9"/>
        <v>-</v>
      </c>
      <c r="BL14" s="516" t="str">
        <f t="shared" si="9"/>
        <v>-</v>
      </c>
      <c r="BM14" s="516" t="str">
        <f t="shared" si="9"/>
        <v>-</v>
      </c>
      <c r="BN14" s="516" t="str">
        <f t="shared" si="9"/>
        <v>-</v>
      </c>
      <c r="BO14" s="516" t="str">
        <f t="shared" si="9"/>
        <v>-</v>
      </c>
      <c r="BP14" s="516" t="str">
        <f t="shared" si="9"/>
        <v>-</v>
      </c>
      <c r="BQ14" s="516" t="str">
        <f t="shared" si="9"/>
        <v>-</v>
      </c>
      <c r="BR14" s="516" t="str">
        <f t="shared" si="9"/>
        <v>-</v>
      </c>
      <c r="BS14" s="516" t="str">
        <f t="shared" si="9"/>
        <v>-</v>
      </c>
      <c r="BT14" s="516" t="str">
        <f t="shared" si="9"/>
        <v>-</v>
      </c>
      <c r="BU14" s="516" t="str">
        <f t="shared" si="9"/>
        <v>-</v>
      </c>
      <c r="BV14" s="516" t="str">
        <f t="shared" si="9"/>
        <v>-</v>
      </c>
      <c r="BW14" s="516" t="str">
        <f t="shared" si="9"/>
        <v>-</v>
      </c>
      <c r="BX14" s="516" t="str">
        <f t="shared" si="9"/>
        <v>-</v>
      </c>
      <c r="BY14" s="516" t="str">
        <f t="shared" si="9"/>
        <v>-</v>
      </c>
      <c r="BZ14" s="516" t="str">
        <f t="shared" si="9"/>
        <v>-</v>
      </c>
      <c r="CA14" s="516" t="str">
        <f t="shared" si="9"/>
        <v>-</v>
      </c>
    </row>
    <row r="15" spans="1:79">
      <c r="A15" s="105">
        <v>7</v>
      </c>
      <c r="B15" s="112" t="str">
        <v>1M</v>
      </c>
      <c r="C15" s="262">
        <f>'usd disaggregated'!AM23</f>
        <v>11.927733960330601</v>
      </c>
      <c r="D15" s="111" t="str">
        <f t="shared" si="6"/>
        <v>1M</v>
      </c>
      <c r="E15" s="517">
        <f>IF(LEN(B15)&gt;0,CHOOSE(MATCH(RIGHT(D15,1),{"D","W","M"},0),NextBusDay($C$4,LEFT(D15,LEN(D15)-1)),NextBusDay($C$4+7*LEFT(D15,LEN(D15)-1)),NextBusDay(EDATE($C$4,LEFT(D15,LEN(D15)-1)))),"")</f>
        <v>42702</v>
      </c>
      <c r="F15" s="107" t="str">
        <v>1M</v>
      </c>
      <c r="G15" s="106" t="str">
        <v>1M</v>
      </c>
      <c r="H15" s="106" t="str">
        <f>BktUsdOisPL!H15</f>
        <v>1M</v>
      </c>
      <c r="I15" s="261" t="str">
        <v>D</v>
      </c>
      <c r="J15" s="106">
        <f>BktUsdOisPL!J15</f>
        <v>42702</v>
      </c>
      <c r="L15" s="522">
        <f t="shared" si="7"/>
        <v>11.927733960330601</v>
      </c>
      <c r="N15" s="106" t="str">
        <f t="shared" si="1"/>
        <v>-</v>
      </c>
      <c r="O15" s="106" t="str">
        <f t="shared" si="2"/>
        <v>-</v>
      </c>
      <c r="P15" s="106" t="str">
        <f t="shared" si="3"/>
        <v>-</v>
      </c>
      <c r="Q15" s="106" t="b">
        <f t="shared" si="4"/>
        <v>0</v>
      </c>
      <c r="R15" s="516" t="str">
        <f t="shared" si="8"/>
        <v>-</v>
      </c>
      <c r="S15" s="516" t="str">
        <f t="shared" si="8"/>
        <v>-</v>
      </c>
      <c r="T15" s="516" t="str">
        <f t="shared" si="8"/>
        <v>-</v>
      </c>
      <c r="U15" s="516" t="str">
        <f t="shared" si="8"/>
        <v>-</v>
      </c>
      <c r="V15" s="516" t="str">
        <f t="shared" si="8"/>
        <v>-</v>
      </c>
      <c r="W15" s="516" t="str">
        <f t="shared" si="8"/>
        <v>-</v>
      </c>
      <c r="X15" s="516">
        <f t="shared" si="8"/>
        <v>11.927733960330601</v>
      </c>
      <c r="Y15" s="516" t="str">
        <f t="shared" si="8"/>
        <v>-</v>
      </c>
      <c r="Z15" s="516" t="str">
        <f t="shared" si="8"/>
        <v>-</v>
      </c>
      <c r="AA15" s="516" t="str">
        <f t="shared" si="8"/>
        <v>-</v>
      </c>
      <c r="AB15" s="516" t="str">
        <f t="shared" si="8"/>
        <v>-</v>
      </c>
      <c r="AC15" s="516" t="str">
        <f t="shared" si="8"/>
        <v>-</v>
      </c>
      <c r="AD15" s="516" t="str">
        <f t="shared" si="9"/>
        <v>-</v>
      </c>
      <c r="AE15" s="516" t="str">
        <f t="shared" si="9"/>
        <v>-</v>
      </c>
      <c r="AF15" s="516" t="str">
        <f t="shared" si="9"/>
        <v>-</v>
      </c>
      <c r="AG15" s="516" t="str">
        <f t="shared" si="9"/>
        <v>-</v>
      </c>
      <c r="AH15" s="516" t="str">
        <f t="shared" si="9"/>
        <v>-</v>
      </c>
      <c r="AI15" s="516" t="str">
        <f t="shared" si="9"/>
        <v>-</v>
      </c>
      <c r="AJ15" s="516" t="str">
        <f t="shared" si="9"/>
        <v>-</v>
      </c>
      <c r="AK15" s="516" t="str">
        <f t="shared" si="9"/>
        <v>-</v>
      </c>
      <c r="AL15" s="516" t="str">
        <f t="shared" si="9"/>
        <v>-</v>
      </c>
      <c r="AM15" s="516" t="str">
        <f t="shared" si="9"/>
        <v>-</v>
      </c>
      <c r="AN15" s="516" t="str">
        <f t="shared" si="9"/>
        <v>-</v>
      </c>
      <c r="AO15" s="516" t="str">
        <f t="shared" si="9"/>
        <v>-</v>
      </c>
      <c r="AP15" s="516" t="str">
        <f t="shared" si="9"/>
        <v>-</v>
      </c>
      <c r="AQ15" s="516" t="str">
        <f t="shared" si="9"/>
        <v>-</v>
      </c>
      <c r="AR15" s="516" t="str">
        <f t="shared" si="9"/>
        <v>-</v>
      </c>
      <c r="AS15" s="516" t="str">
        <f t="shared" si="9"/>
        <v>-</v>
      </c>
      <c r="AT15" s="516" t="str">
        <f t="shared" si="9"/>
        <v>-</v>
      </c>
      <c r="AU15" s="516" t="str">
        <f t="shared" si="9"/>
        <v>-</v>
      </c>
      <c r="AV15" s="516" t="str">
        <f t="shared" si="9"/>
        <v>-</v>
      </c>
      <c r="AW15" s="516" t="str">
        <f t="shared" si="9"/>
        <v>-</v>
      </c>
      <c r="AX15" s="516" t="str">
        <f t="shared" si="9"/>
        <v>-</v>
      </c>
      <c r="AY15" s="516" t="str">
        <f t="shared" si="9"/>
        <v>-</v>
      </c>
      <c r="AZ15" s="516" t="str">
        <f t="shared" si="9"/>
        <v>-</v>
      </c>
      <c r="BA15" s="516" t="str">
        <f t="shared" si="9"/>
        <v>-</v>
      </c>
      <c r="BB15" s="516" t="str">
        <f t="shared" si="9"/>
        <v>-</v>
      </c>
      <c r="BC15" s="516" t="str">
        <f t="shared" si="9"/>
        <v>-</v>
      </c>
      <c r="BD15" s="516" t="str">
        <f t="shared" si="9"/>
        <v>-</v>
      </c>
      <c r="BE15" s="516" t="str">
        <f t="shared" si="9"/>
        <v>-</v>
      </c>
      <c r="BF15" s="516" t="str">
        <f t="shared" si="9"/>
        <v>-</v>
      </c>
      <c r="BG15" s="516" t="str">
        <f t="shared" si="9"/>
        <v>-</v>
      </c>
      <c r="BH15" s="516" t="str">
        <f t="shared" si="9"/>
        <v>-</v>
      </c>
      <c r="BI15" s="516" t="str">
        <f t="shared" si="9"/>
        <v>-</v>
      </c>
      <c r="BJ15" s="516" t="str">
        <f t="shared" si="9"/>
        <v>-</v>
      </c>
      <c r="BK15" s="516" t="str">
        <f t="shared" si="9"/>
        <v>-</v>
      </c>
      <c r="BL15" s="516" t="str">
        <f t="shared" si="9"/>
        <v>-</v>
      </c>
      <c r="BM15" s="516" t="str">
        <f t="shared" si="9"/>
        <v>-</v>
      </c>
      <c r="BN15" s="516" t="str">
        <f t="shared" si="9"/>
        <v>-</v>
      </c>
      <c r="BO15" s="516" t="str">
        <f t="shared" si="9"/>
        <v>-</v>
      </c>
      <c r="BP15" s="516" t="str">
        <f t="shared" si="9"/>
        <v>-</v>
      </c>
      <c r="BQ15" s="516" t="str">
        <f t="shared" si="9"/>
        <v>-</v>
      </c>
      <c r="BR15" s="516" t="str">
        <f t="shared" si="9"/>
        <v>-</v>
      </c>
      <c r="BS15" s="516" t="str">
        <f t="shared" si="9"/>
        <v>-</v>
      </c>
      <c r="BT15" s="516" t="str">
        <f t="shared" si="9"/>
        <v>-</v>
      </c>
      <c r="BU15" s="516" t="str">
        <f t="shared" si="9"/>
        <v>-</v>
      </c>
      <c r="BV15" s="516" t="str">
        <f t="shared" si="9"/>
        <v>-</v>
      </c>
      <c r="BW15" s="516" t="str">
        <f t="shared" si="9"/>
        <v>-</v>
      </c>
      <c r="BX15" s="516" t="str">
        <f t="shared" si="9"/>
        <v>-</v>
      </c>
      <c r="BY15" s="516" t="str">
        <f t="shared" si="9"/>
        <v>-</v>
      </c>
      <c r="BZ15" s="516" t="str">
        <f t="shared" si="9"/>
        <v>-</v>
      </c>
      <c r="CA15" s="516" t="str">
        <f t="shared" si="9"/>
        <v>-</v>
      </c>
    </row>
    <row r="16" spans="1:79">
      <c r="A16" s="105">
        <v>8</v>
      </c>
      <c r="B16" s="112" t="str">
        <v>2M</v>
      </c>
      <c r="C16" s="262">
        <f>'usd disaggregated'!AM24</f>
        <v>109.989141059196</v>
      </c>
      <c r="D16" s="111" t="str">
        <f t="shared" si="6"/>
        <v>2M</v>
      </c>
      <c r="E16" s="517">
        <f>IF(LEN(B16)&gt;0,CHOOSE(MATCH(RIGHT(D16,1),{"D","W","M"},0),NextBusDay($C$4,LEFT(D16,LEN(D16)-1)),NextBusDay($C$4+7*LEFT(D16,LEN(D16)-1)),NextBusDay(EDATE($C$4,LEFT(D16,LEN(D16)-1)))),"")</f>
        <v>42730</v>
      </c>
      <c r="F16" s="107" t="str">
        <v>2M</v>
      </c>
      <c r="G16" s="106" t="str">
        <v>2M</v>
      </c>
      <c r="H16" s="106" t="str">
        <f>BktUsdOisPL!H16</f>
        <v>2M</v>
      </c>
      <c r="I16" s="261" t="str">
        <v>D</v>
      </c>
      <c r="J16" s="106">
        <f>BktUsdOisPL!J16</f>
        <v>42730</v>
      </c>
      <c r="L16" s="522">
        <f t="shared" si="7"/>
        <v>109.989141059196</v>
      </c>
      <c r="N16" s="106" t="str">
        <f t="shared" si="1"/>
        <v>-</v>
      </c>
      <c r="O16" s="106" t="str">
        <f t="shared" si="2"/>
        <v>-</v>
      </c>
      <c r="P16" s="106" t="str">
        <f t="shared" si="3"/>
        <v>-</v>
      </c>
      <c r="Q16" s="106" t="b">
        <f t="shared" si="4"/>
        <v>0</v>
      </c>
      <c r="R16" s="516" t="str">
        <f t="shared" si="8"/>
        <v>-</v>
      </c>
      <c r="S16" s="516" t="str">
        <f t="shared" si="8"/>
        <v>-</v>
      </c>
      <c r="T16" s="516" t="str">
        <f t="shared" si="8"/>
        <v>-</v>
      </c>
      <c r="U16" s="516" t="str">
        <f t="shared" si="8"/>
        <v>-</v>
      </c>
      <c r="V16" s="516" t="str">
        <f t="shared" si="8"/>
        <v>-</v>
      </c>
      <c r="W16" s="516" t="str">
        <f t="shared" si="8"/>
        <v>-</v>
      </c>
      <c r="X16" s="516" t="str">
        <f t="shared" si="8"/>
        <v>-</v>
      </c>
      <c r="Y16" s="516">
        <f t="shared" si="8"/>
        <v>109.989141059196</v>
      </c>
      <c r="Z16" s="516" t="str">
        <f t="shared" si="8"/>
        <v>-</v>
      </c>
      <c r="AA16" s="516" t="str">
        <f t="shared" si="8"/>
        <v>-</v>
      </c>
      <c r="AB16" s="516" t="str">
        <f t="shared" si="8"/>
        <v>-</v>
      </c>
      <c r="AC16" s="516" t="str">
        <f t="shared" si="8"/>
        <v>-</v>
      </c>
      <c r="AD16" s="516" t="str">
        <f t="shared" si="9"/>
        <v>-</v>
      </c>
      <c r="AE16" s="516" t="str">
        <f t="shared" si="9"/>
        <v>-</v>
      </c>
      <c r="AF16" s="516" t="str">
        <f t="shared" si="9"/>
        <v>-</v>
      </c>
      <c r="AG16" s="516" t="str">
        <f t="shared" si="9"/>
        <v>-</v>
      </c>
      <c r="AH16" s="516" t="str">
        <f t="shared" si="9"/>
        <v>-</v>
      </c>
      <c r="AI16" s="516" t="str">
        <f t="shared" si="9"/>
        <v>-</v>
      </c>
      <c r="AJ16" s="516" t="str">
        <f t="shared" si="9"/>
        <v>-</v>
      </c>
      <c r="AK16" s="516" t="str">
        <f t="shared" si="9"/>
        <v>-</v>
      </c>
      <c r="AL16" s="516" t="str">
        <f t="shared" si="9"/>
        <v>-</v>
      </c>
      <c r="AM16" s="516" t="str">
        <f t="shared" si="9"/>
        <v>-</v>
      </c>
      <c r="AN16" s="516" t="str">
        <f t="shared" si="9"/>
        <v>-</v>
      </c>
      <c r="AO16" s="516" t="str">
        <f t="shared" si="9"/>
        <v>-</v>
      </c>
      <c r="AP16" s="516" t="str">
        <f t="shared" si="9"/>
        <v>-</v>
      </c>
      <c r="AQ16" s="516" t="str">
        <f t="shared" si="9"/>
        <v>-</v>
      </c>
      <c r="AR16" s="516" t="str">
        <f t="shared" si="9"/>
        <v>-</v>
      </c>
      <c r="AS16" s="516" t="str">
        <f t="shared" si="9"/>
        <v>-</v>
      </c>
      <c r="AT16" s="516" t="str">
        <f t="shared" si="9"/>
        <v>-</v>
      </c>
      <c r="AU16" s="516" t="str">
        <f t="shared" si="9"/>
        <v>-</v>
      </c>
      <c r="AV16" s="516" t="str">
        <f t="shared" si="9"/>
        <v>-</v>
      </c>
      <c r="AW16" s="516" t="str">
        <f t="shared" si="9"/>
        <v>-</v>
      </c>
      <c r="AX16" s="516" t="str">
        <f t="shared" si="9"/>
        <v>-</v>
      </c>
      <c r="AY16" s="516" t="str">
        <f t="shared" si="9"/>
        <v>-</v>
      </c>
      <c r="AZ16" s="516" t="str">
        <f t="shared" si="9"/>
        <v>-</v>
      </c>
      <c r="BA16" s="516" t="str">
        <f t="shared" si="9"/>
        <v>-</v>
      </c>
      <c r="BB16" s="516" t="str">
        <f t="shared" si="9"/>
        <v>-</v>
      </c>
      <c r="BC16" s="516" t="str">
        <f t="shared" si="9"/>
        <v>-</v>
      </c>
      <c r="BD16" s="516" t="str">
        <f t="shared" si="9"/>
        <v>-</v>
      </c>
      <c r="BE16" s="516" t="str">
        <f t="shared" si="9"/>
        <v>-</v>
      </c>
      <c r="BF16" s="516" t="str">
        <f t="shared" si="9"/>
        <v>-</v>
      </c>
      <c r="BG16" s="516" t="str">
        <f t="shared" si="9"/>
        <v>-</v>
      </c>
      <c r="BH16" s="516" t="str">
        <f t="shared" si="9"/>
        <v>-</v>
      </c>
      <c r="BI16" s="516" t="str">
        <f t="shared" si="9"/>
        <v>-</v>
      </c>
      <c r="BJ16" s="516" t="str">
        <f t="shared" si="9"/>
        <v>-</v>
      </c>
      <c r="BK16" s="516" t="str">
        <f t="shared" si="9"/>
        <v>-</v>
      </c>
      <c r="BL16" s="516" t="str">
        <f t="shared" si="9"/>
        <v>-</v>
      </c>
      <c r="BM16" s="516" t="str">
        <f t="shared" si="9"/>
        <v>-</v>
      </c>
      <c r="BN16" s="516" t="str">
        <f t="shared" si="9"/>
        <v>-</v>
      </c>
      <c r="BO16" s="516" t="str">
        <f t="shared" si="9"/>
        <v>-</v>
      </c>
      <c r="BP16" s="516" t="str">
        <f t="shared" si="9"/>
        <v>-</v>
      </c>
      <c r="BQ16" s="516" t="str">
        <f t="shared" si="9"/>
        <v>-</v>
      </c>
      <c r="BR16" s="516" t="str">
        <f t="shared" si="9"/>
        <v>-</v>
      </c>
      <c r="BS16" s="516" t="str">
        <f t="shared" si="9"/>
        <v>-</v>
      </c>
      <c r="BT16" s="516" t="str">
        <f t="shared" si="9"/>
        <v>-</v>
      </c>
      <c r="BU16" s="516" t="str">
        <f t="shared" si="9"/>
        <v>-</v>
      </c>
      <c r="BV16" s="516" t="str">
        <f t="shared" si="9"/>
        <v>-</v>
      </c>
      <c r="BW16" s="516" t="str">
        <f t="shared" si="9"/>
        <v>-</v>
      </c>
      <c r="BX16" s="516" t="str">
        <f t="shared" si="9"/>
        <v>-</v>
      </c>
      <c r="BY16" s="516" t="str">
        <f t="shared" si="9"/>
        <v>-</v>
      </c>
      <c r="BZ16" s="516" t="str">
        <f t="shared" si="9"/>
        <v>-</v>
      </c>
      <c r="CA16" s="516" t="str">
        <f t="shared" si="9"/>
        <v>-</v>
      </c>
    </row>
    <row r="17" spans="1:79">
      <c r="A17" s="105">
        <v>9</v>
      </c>
      <c r="B17" s="112" t="str">
        <v>3M</v>
      </c>
      <c r="C17" s="262">
        <f>'usd disaggregated'!AM25</f>
        <v>-50.711713177132999</v>
      </c>
      <c r="D17" s="111" t="str">
        <f t="shared" si="6"/>
        <v>3M</v>
      </c>
      <c r="E17" s="517">
        <f>IF(LEN(B17)&gt;0,CHOOSE(MATCH(RIGHT(D17,1),{"D","W","M"},0),NextBusDay($C$4,LEFT(D17,LEN(D17)-1)),NextBusDay($C$4+7*LEFT(D17,LEN(D17)-1)),NextBusDay(EDATE($C$4,LEFT(D17,LEN(D17)-1)))),"")</f>
        <v>42761</v>
      </c>
      <c r="F17" s="107" t="str">
        <v>3M</v>
      </c>
      <c r="G17" s="106" t="str">
        <v>3M</v>
      </c>
      <c r="H17" s="106" t="str">
        <f>BktUsdOisPL!H17</f>
        <v>3M</v>
      </c>
      <c r="I17" s="261" t="str">
        <v>D</v>
      </c>
      <c r="J17" s="106">
        <f>BktUsdOisPL!J17</f>
        <v>42761</v>
      </c>
      <c r="L17" s="522">
        <f t="shared" si="7"/>
        <v>-50.711713177132999</v>
      </c>
      <c r="N17" s="106" t="str">
        <f t="shared" si="1"/>
        <v>-</v>
      </c>
      <c r="O17" s="106" t="str">
        <f t="shared" si="2"/>
        <v>-</v>
      </c>
      <c r="P17" s="106" t="str">
        <f t="shared" si="3"/>
        <v>-</v>
      </c>
      <c r="Q17" s="106" t="b">
        <f t="shared" si="4"/>
        <v>0</v>
      </c>
      <c r="R17" s="516" t="str">
        <f t="shared" si="8"/>
        <v>-</v>
      </c>
      <c r="S17" s="516" t="str">
        <f t="shared" si="8"/>
        <v>-</v>
      </c>
      <c r="T17" s="516" t="str">
        <f t="shared" si="8"/>
        <v>-</v>
      </c>
      <c r="U17" s="516" t="str">
        <f t="shared" si="8"/>
        <v>-</v>
      </c>
      <c r="V17" s="516" t="str">
        <f t="shared" si="8"/>
        <v>-</v>
      </c>
      <c r="W17" s="516" t="str">
        <f t="shared" si="8"/>
        <v>-</v>
      </c>
      <c r="X17" s="516" t="str">
        <f t="shared" si="8"/>
        <v>-</v>
      </c>
      <c r="Y17" s="516" t="str">
        <f t="shared" si="8"/>
        <v>-</v>
      </c>
      <c r="Z17" s="516">
        <f t="shared" si="8"/>
        <v>-50.711713177132999</v>
      </c>
      <c r="AA17" s="516" t="str">
        <f t="shared" si="8"/>
        <v>-</v>
      </c>
      <c r="AB17" s="516" t="str">
        <f t="shared" si="8"/>
        <v>-</v>
      </c>
      <c r="AC17" s="516" t="str">
        <f t="shared" si="8"/>
        <v>-</v>
      </c>
      <c r="AD17" s="516" t="str">
        <f t="shared" si="9"/>
        <v>-</v>
      </c>
      <c r="AE17" s="516" t="str">
        <f t="shared" si="9"/>
        <v>-</v>
      </c>
      <c r="AF17" s="516" t="str">
        <f t="shared" si="9"/>
        <v>-</v>
      </c>
      <c r="AG17" s="516" t="str">
        <f t="shared" si="9"/>
        <v>-</v>
      </c>
      <c r="AH17" s="516" t="str">
        <f t="shared" si="9"/>
        <v>-</v>
      </c>
      <c r="AI17" s="516" t="str">
        <f t="shared" si="9"/>
        <v>-</v>
      </c>
      <c r="AJ17" s="516" t="str">
        <f t="shared" si="9"/>
        <v>-</v>
      </c>
      <c r="AK17" s="516" t="str">
        <f t="shared" si="9"/>
        <v>-</v>
      </c>
      <c r="AL17" s="516" t="str">
        <f t="shared" si="9"/>
        <v>-</v>
      </c>
      <c r="AM17" s="516" t="str">
        <f t="shared" si="9"/>
        <v>-</v>
      </c>
      <c r="AN17" s="516" t="str">
        <f t="shared" si="9"/>
        <v>-</v>
      </c>
      <c r="AO17" s="516" t="str">
        <f t="shared" si="9"/>
        <v>-</v>
      </c>
      <c r="AP17" s="516" t="str">
        <f t="shared" si="9"/>
        <v>-</v>
      </c>
      <c r="AQ17" s="516" t="str">
        <f t="shared" si="9"/>
        <v>-</v>
      </c>
      <c r="AR17" s="516" t="str">
        <f t="shared" si="9"/>
        <v>-</v>
      </c>
      <c r="AS17" s="516" t="str">
        <f t="shared" si="9"/>
        <v>-</v>
      </c>
      <c r="AT17" s="516" t="str">
        <f t="shared" si="9"/>
        <v>-</v>
      </c>
      <c r="AU17" s="516" t="str">
        <f t="shared" si="9"/>
        <v>-</v>
      </c>
      <c r="AV17" s="516" t="str">
        <f t="shared" si="9"/>
        <v>-</v>
      </c>
      <c r="AW17" s="516" t="str">
        <f t="shared" si="9"/>
        <v>-</v>
      </c>
      <c r="AX17" s="516" t="str">
        <f t="shared" si="9"/>
        <v>-</v>
      </c>
      <c r="AY17" s="516" t="str">
        <f t="shared" si="9"/>
        <v>-</v>
      </c>
      <c r="AZ17" s="516" t="str">
        <f t="shared" si="9"/>
        <v>-</v>
      </c>
      <c r="BA17" s="516" t="str">
        <f t="shared" si="9"/>
        <v>-</v>
      </c>
      <c r="BB17" s="516" t="str">
        <f t="shared" si="9"/>
        <v>-</v>
      </c>
      <c r="BC17" s="516" t="str">
        <f t="shared" si="9"/>
        <v>-</v>
      </c>
      <c r="BD17" s="516" t="str">
        <f t="shared" si="9"/>
        <v>-</v>
      </c>
      <c r="BE17" s="516" t="str">
        <f t="shared" si="9"/>
        <v>-</v>
      </c>
      <c r="BF17" s="516" t="str">
        <f t="shared" si="9"/>
        <v>-</v>
      </c>
      <c r="BG17" s="516" t="str">
        <f t="shared" si="9"/>
        <v>-</v>
      </c>
      <c r="BH17" s="516" t="str">
        <f t="shared" si="9"/>
        <v>-</v>
      </c>
      <c r="BI17" s="516" t="str">
        <f t="shared" si="9"/>
        <v>-</v>
      </c>
      <c r="BJ17" s="516" t="str">
        <f t="shared" si="9"/>
        <v>-</v>
      </c>
      <c r="BK17" s="516" t="str">
        <f t="shared" si="9"/>
        <v>-</v>
      </c>
      <c r="BL17" s="516" t="str">
        <f t="shared" si="9"/>
        <v>-</v>
      </c>
      <c r="BM17" s="516" t="str">
        <f t="shared" si="9"/>
        <v>-</v>
      </c>
      <c r="BN17" s="516" t="str">
        <f t="shared" si="9"/>
        <v>-</v>
      </c>
      <c r="BO17" s="516" t="str">
        <f t="shared" si="9"/>
        <v>-</v>
      </c>
      <c r="BP17" s="516" t="str">
        <f t="shared" si="9"/>
        <v>-</v>
      </c>
      <c r="BQ17" s="516" t="str">
        <f t="shared" si="9"/>
        <v>-</v>
      </c>
      <c r="BR17" s="516" t="str">
        <f t="shared" si="9"/>
        <v>-</v>
      </c>
      <c r="BS17" s="516" t="str">
        <f t="shared" si="9"/>
        <v>-</v>
      </c>
      <c r="BT17" s="516" t="str">
        <f t="shared" si="9"/>
        <v>-</v>
      </c>
      <c r="BU17" s="516" t="str">
        <f t="shared" si="9"/>
        <v>-</v>
      </c>
      <c r="BV17" s="516" t="str">
        <f t="shared" si="9"/>
        <v>-</v>
      </c>
      <c r="BW17" s="516" t="str">
        <f t="shared" si="9"/>
        <v>-</v>
      </c>
      <c r="BX17" s="516" t="str">
        <f t="shared" si="9"/>
        <v>-</v>
      </c>
      <c r="BY17" s="516" t="str">
        <f t="shared" si="9"/>
        <v>-</v>
      </c>
      <c r="BZ17" s="516" t="str">
        <f t="shared" si="9"/>
        <v>-</v>
      </c>
      <c r="CA17" s="516" t="str">
        <f t="shared" si="9"/>
        <v>-</v>
      </c>
    </row>
    <row r="18" spans="1:79">
      <c r="A18" s="105">
        <v>10</v>
      </c>
      <c r="B18" s="112" t="str">
        <v>4M</v>
      </c>
      <c r="C18" s="262">
        <f>'usd disaggregated'!AM26</f>
        <v>123.575204771858</v>
      </c>
      <c r="D18" s="111" t="str">
        <f t="shared" si="6"/>
        <v>4M</v>
      </c>
      <c r="E18" s="517">
        <f>IF(LEN(B18)&gt;0,CHOOSE(MATCH(RIGHT(D18,1),{"D","W","M"},0),NextBusDay($C$4,LEFT(D18,LEN(D18)-1)),NextBusDay($C$4+7*LEFT(D18,LEN(D18)-1)),NextBusDay(EDATE($C$4,LEFT(D18,LEN(D18)-1)))),"")</f>
        <v>42793</v>
      </c>
      <c r="F18" s="107" t="str">
        <v>4M</v>
      </c>
      <c r="G18" s="106" t="str">
        <v>4M</v>
      </c>
      <c r="H18" s="106" t="str">
        <f>BktUsdOisPL!H18</f>
        <v>4M</v>
      </c>
      <c r="I18" s="261" t="str">
        <v>D</v>
      </c>
      <c r="J18" s="106">
        <f>BktUsdOisPL!J18</f>
        <v>42793</v>
      </c>
      <c r="L18" s="522">
        <f t="shared" si="7"/>
        <v>123.575204771858</v>
      </c>
      <c r="N18" s="106" t="str">
        <f t="shared" si="1"/>
        <v>-</v>
      </c>
      <c r="O18" s="106" t="str">
        <f t="shared" si="2"/>
        <v>-</v>
      </c>
      <c r="P18" s="106" t="str">
        <f t="shared" si="3"/>
        <v>-</v>
      </c>
      <c r="Q18" s="106" t="b">
        <f t="shared" si="4"/>
        <v>0</v>
      </c>
      <c r="R18" s="516" t="str">
        <f t="shared" si="8"/>
        <v>-</v>
      </c>
      <c r="S18" s="516" t="str">
        <f t="shared" si="8"/>
        <v>-</v>
      </c>
      <c r="T18" s="516" t="str">
        <f t="shared" si="8"/>
        <v>-</v>
      </c>
      <c r="U18" s="516" t="str">
        <f t="shared" si="8"/>
        <v>-</v>
      </c>
      <c r="V18" s="516" t="str">
        <f t="shared" si="8"/>
        <v>-</v>
      </c>
      <c r="W18" s="516" t="str">
        <f t="shared" si="8"/>
        <v>-</v>
      </c>
      <c r="X18" s="516" t="str">
        <f t="shared" si="8"/>
        <v>-</v>
      </c>
      <c r="Y18" s="516" t="str">
        <f t="shared" si="8"/>
        <v>-</v>
      </c>
      <c r="Z18" s="516" t="str">
        <f t="shared" si="8"/>
        <v>-</v>
      </c>
      <c r="AA18" s="516">
        <f t="shared" si="8"/>
        <v>123.575204771858</v>
      </c>
      <c r="AB18" s="516" t="str">
        <f t="shared" si="8"/>
        <v>-</v>
      </c>
      <c r="AC18" s="516" t="str">
        <f t="shared" si="8"/>
        <v>-</v>
      </c>
      <c r="AD18" s="516" t="str">
        <f t="shared" si="9"/>
        <v>-</v>
      </c>
      <c r="AE18" s="516" t="str">
        <f t="shared" si="9"/>
        <v>-</v>
      </c>
      <c r="AF18" s="516" t="str">
        <f t="shared" si="9"/>
        <v>-</v>
      </c>
      <c r="AG18" s="516" t="str">
        <f t="shared" si="9"/>
        <v>-</v>
      </c>
      <c r="AH18" s="516" t="str">
        <f t="shared" si="9"/>
        <v>-</v>
      </c>
      <c r="AI18" s="516" t="str">
        <f t="shared" ref="AI18:CA19" si="10">IF(LEN($F18)&gt;0,IF(AND(AI$8=$J18,NOT(AND(AI$8&gt;=$N18,AI$8&lt;$P18))),AI$6,IF(AND(NOT(AI$8&gt;$J17),AI$8&lt;$J18),"-",IF(AND(AI$8&gt;=$N18,AI$8&lt;$P18),"???",IF(AND(AI$8&gt;$J17,AI$8&lt;$J18),AI$6*(AI$8-$J17)/($J18-$J17),IF(AND(AI$8&gt;$J18,AI$8&lt;$J19),AI$6*($J19-AI$8)/($J19-$J18),"-"))))),"-")</f>
        <v>-</v>
      </c>
      <c r="AJ18" s="516" t="str">
        <f t="shared" si="10"/>
        <v>-</v>
      </c>
      <c r="AK18" s="516" t="str">
        <f t="shared" si="10"/>
        <v>-</v>
      </c>
      <c r="AL18" s="516" t="str">
        <f t="shared" si="10"/>
        <v>-</v>
      </c>
      <c r="AM18" s="516" t="str">
        <f t="shared" si="10"/>
        <v>-</v>
      </c>
      <c r="AN18" s="516" t="str">
        <f t="shared" si="10"/>
        <v>-</v>
      </c>
      <c r="AO18" s="516" t="str">
        <f t="shared" si="10"/>
        <v>-</v>
      </c>
      <c r="AP18" s="516" t="str">
        <f t="shared" si="10"/>
        <v>-</v>
      </c>
      <c r="AQ18" s="516" t="str">
        <f t="shared" si="10"/>
        <v>-</v>
      </c>
      <c r="AR18" s="516" t="str">
        <f t="shared" si="10"/>
        <v>-</v>
      </c>
      <c r="AS18" s="516" t="str">
        <f t="shared" si="10"/>
        <v>-</v>
      </c>
      <c r="AT18" s="516" t="str">
        <f t="shared" si="10"/>
        <v>-</v>
      </c>
      <c r="AU18" s="516" t="str">
        <f t="shared" si="10"/>
        <v>-</v>
      </c>
      <c r="AV18" s="516" t="str">
        <f t="shared" si="10"/>
        <v>-</v>
      </c>
      <c r="AW18" s="516" t="str">
        <f t="shared" si="10"/>
        <v>-</v>
      </c>
      <c r="AX18" s="516" t="str">
        <f t="shared" si="10"/>
        <v>-</v>
      </c>
      <c r="AY18" s="516" t="str">
        <f t="shared" si="10"/>
        <v>-</v>
      </c>
      <c r="AZ18" s="516" t="str">
        <f t="shared" si="10"/>
        <v>-</v>
      </c>
      <c r="BA18" s="516" t="str">
        <f t="shared" si="10"/>
        <v>-</v>
      </c>
      <c r="BB18" s="516" t="str">
        <f t="shared" si="10"/>
        <v>-</v>
      </c>
      <c r="BC18" s="516" t="str">
        <f t="shared" si="10"/>
        <v>-</v>
      </c>
      <c r="BD18" s="516" t="str">
        <f t="shared" si="10"/>
        <v>-</v>
      </c>
      <c r="BE18" s="516" t="str">
        <f t="shared" si="10"/>
        <v>-</v>
      </c>
      <c r="BF18" s="516" t="str">
        <f t="shared" si="10"/>
        <v>-</v>
      </c>
      <c r="BG18" s="516" t="str">
        <f t="shared" si="10"/>
        <v>-</v>
      </c>
      <c r="BH18" s="516" t="str">
        <f t="shared" si="10"/>
        <v>-</v>
      </c>
      <c r="BI18" s="516" t="str">
        <f t="shared" si="10"/>
        <v>-</v>
      </c>
      <c r="BJ18" s="516" t="str">
        <f t="shared" si="10"/>
        <v>-</v>
      </c>
      <c r="BK18" s="516" t="str">
        <f t="shared" si="10"/>
        <v>-</v>
      </c>
      <c r="BL18" s="516" t="str">
        <f t="shared" si="10"/>
        <v>-</v>
      </c>
      <c r="BM18" s="516" t="str">
        <f t="shared" si="10"/>
        <v>-</v>
      </c>
      <c r="BN18" s="516" t="str">
        <f t="shared" si="10"/>
        <v>-</v>
      </c>
      <c r="BO18" s="516" t="str">
        <f t="shared" si="10"/>
        <v>-</v>
      </c>
      <c r="BP18" s="516" t="str">
        <f t="shared" si="10"/>
        <v>-</v>
      </c>
      <c r="BQ18" s="516" t="str">
        <f t="shared" si="10"/>
        <v>-</v>
      </c>
      <c r="BR18" s="516" t="str">
        <f t="shared" si="10"/>
        <v>-</v>
      </c>
      <c r="BS18" s="516" t="str">
        <f t="shared" si="10"/>
        <v>-</v>
      </c>
      <c r="BT18" s="516" t="str">
        <f t="shared" si="10"/>
        <v>-</v>
      </c>
      <c r="BU18" s="516" t="str">
        <f t="shared" si="10"/>
        <v>-</v>
      </c>
      <c r="BV18" s="516" t="str">
        <f t="shared" si="10"/>
        <v>-</v>
      </c>
      <c r="BW18" s="516" t="str">
        <f t="shared" si="10"/>
        <v>-</v>
      </c>
      <c r="BX18" s="516" t="str">
        <f t="shared" si="10"/>
        <v>-</v>
      </c>
      <c r="BY18" s="516" t="str">
        <f t="shared" si="10"/>
        <v>-</v>
      </c>
      <c r="BZ18" s="516" t="str">
        <f t="shared" si="10"/>
        <v>-</v>
      </c>
      <c r="CA18" s="516" t="str">
        <f t="shared" si="10"/>
        <v>-</v>
      </c>
    </row>
    <row r="19" spans="1:79">
      <c r="A19" s="105">
        <v>11</v>
      </c>
      <c r="B19" s="112" t="str">
        <v>5M</v>
      </c>
      <c r="C19" s="262">
        <f>'usd disaggregated'!AM27</f>
        <v>-178.31503681210501</v>
      </c>
      <c r="D19" s="111" t="str">
        <f t="shared" si="6"/>
        <v>5M</v>
      </c>
      <c r="E19" s="517">
        <f>IF(LEN(B19)&gt;0,CHOOSE(MATCH(RIGHT(D19,1),{"D","W","M"},0),NextBusDay($C$4,LEFT(D19,LEN(D19)-1)),NextBusDay($C$4+7*LEFT(D19,LEN(D19)-1)),NextBusDay(EDATE($C$4,LEFT(D19,LEN(D19)-1)))),"")</f>
        <v>42821</v>
      </c>
      <c r="F19" s="107" t="str">
        <v>5M</v>
      </c>
      <c r="G19" s="106" t="str">
        <v>5M</v>
      </c>
      <c r="H19" s="106" t="str">
        <f>BktUsdOisPL!H19</f>
        <v>5M</v>
      </c>
      <c r="I19" s="261" t="str">
        <v>D</v>
      </c>
      <c r="J19" s="106">
        <f>BktUsdOisPL!J19</f>
        <v>42821</v>
      </c>
      <c r="L19" s="522">
        <f t="shared" si="7"/>
        <v>-178.31503681210501</v>
      </c>
      <c r="N19" s="106" t="str">
        <f t="shared" si="1"/>
        <v>-</v>
      </c>
      <c r="O19" s="106" t="str">
        <f t="shared" si="2"/>
        <v>-</v>
      </c>
      <c r="P19" s="106" t="str">
        <f t="shared" si="3"/>
        <v>-</v>
      </c>
      <c r="Q19" s="106" t="b">
        <f t="shared" si="4"/>
        <v>0</v>
      </c>
      <c r="R19" s="516" t="str">
        <f t="shared" si="8"/>
        <v>-</v>
      </c>
      <c r="S19" s="516" t="str">
        <f t="shared" si="8"/>
        <v>-</v>
      </c>
      <c r="T19" s="516" t="str">
        <f t="shared" si="8"/>
        <v>-</v>
      </c>
      <c r="U19" s="516" t="str">
        <f t="shared" si="8"/>
        <v>-</v>
      </c>
      <c r="V19" s="516" t="str">
        <f t="shared" si="8"/>
        <v>-</v>
      </c>
      <c r="W19" s="516" t="str">
        <f t="shared" si="8"/>
        <v>-</v>
      </c>
      <c r="X19" s="516" t="str">
        <f t="shared" si="8"/>
        <v>-</v>
      </c>
      <c r="Y19" s="516" t="str">
        <f t="shared" si="8"/>
        <v>-</v>
      </c>
      <c r="Z19" s="516" t="str">
        <f t="shared" si="8"/>
        <v>-</v>
      </c>
      <c r="AA19" s="516" t="str">
        <f t="shared" si="8"/>
        <v>-</v>
      </c>
      <c r="AB19" s="516">
        <f t="shared" si="8"/>
        <v>-178.31503681210501</v>
      </c>
      <c r="AC19" s="516" t="str">
        <f t="shared" si="8"/>
        <v>-</v>
      </c>
      <c r="AD19" s="516" t="str">
        <f t="shared" si="8"/>
        <v>-</v>
      </c>
      <c r="AE19" s="516" t="str">
        <f t="shared" si="8"/>
        <v>-</v>
      </c>
      <c r="AF19" s="516" t="str">
        <f t="shared" si="8"/>
        <v>-</v>
      </c>
      <c r="AG19" s="516" t="str">
        <f t="shared" si="8"/>
        <v>-</v>
      </c>
      <c r="AH19" s="516" t="str">
        <f t="shared" ref="AH19" si="11">IF(LEN($F19)&gt;0,IF(AND(AH$8=$J19,NOT(AND(AH$8&gt;=$N19,AH$8&lt;$P19))),AH$6,IF(AND(NOT(AH$8&gt;$J18),AH$8&lt;$J19),"-",IF(AND(AH$8&gt;=$N19,AH$8&lt;$P19),"???",IF(AND(AH$8&gt;$J18,AH$8&lt;$J19),AH$6*(AH$8-$J18)/($J19-$J18),IF(AND(AH$8&gt;$J19,AH$8&lt;$J20),AH$6*($J20-AH$8)/($J20-$J19),"-"))))),"-")</f>
        <v>-</v>
      </c>
      <c r="AI19" s="516" t="str">
        <f t="shared" si="10"/>
        <v>-</v>
      </c>
      <c r="AJ19" s="516" t="str">
        <f t="shared" si="10"/>
        <v>-</v>
      </c>
      <c r="AK19" s="516" t="str">
        <f t="shared" si="10"/>
        <v>-</v>
      </c>
      <c r="AL19" s="516" t="str">
        <f t="shared" si="10"/>
        <v>-</v>
      </c>
      <c r="AM19" s="516" t="str">
        <f t="shared" si="10"/>
        <v>-</v>
      </c>
      <c r="AN19" s="516" t="str">
        <f t="shared" si="10"/>
        <v>-</v>
      </c>
      <c r="AO19" s="516" t="str">
        <f t="shared" si="10"/>
        <v>-</v>
      </c>
      <c r="AP19" s="516" t="str">
        <f t="shared" si="10"/>
        <v>-</v>
      </c>
      <c r="AQ19" s="516" t="str">
        <f t="shared" si="10"/>
        <v>-</v>
      </c>
      <c r="AR19" s="516" t="str">
        <f t="shared" si="10"/>
        <v>-</v>
      </c>
      <c r="AS19" s="516" t="str">
        <f t="shared" si="10"/>
        <v>-</v>
      </c>
      <c r="AT19" s="516" t="str">
        <f t="shared" si="10"/>
        <v>-</v>
      </c>
      <c r="AU19" s="516" t="str">
        <f t="shared" si="10"/>
        <v>-</v>
      </c>
      <c r="AV19" s="516" t="str">
        <f t="shared" si="10"/>
        <v>-</v>
      </c>
      <c r="AW19" s="516" t="str">
        <f t="shared" si="10"/>
        <v>-</v>
      </c>
      <c r="AX19" s="516" t="str">
        <f t="shared" si="10"/>
        <v>-</v>
      </c>
      <c r="AY19" s="516" t="str">
        <f t="shared" si="10"/>
        <v>-</v>
      </c>
      <c r="AZ19" s="516" t="str">
        <f t="shared" si="10"/>
        <v>-</v>
      </c>
      <c r="BA19" s="516" t="str">
        <f t="shared" si="10"/>
        <v>-</v>
      </c>
      <c r="BB19" s="516" t="str">
        <f t="shared" si="10"/>
        <v>-</v>
      </c>
      <c r="BC19" s="516" t="str">
        <f t="shared" si="10"/>
        <v>-</v>
      </c>
      <c r="BD19" s="516" t="str">
        <f t="shared" si="10"/>
        <v>-</v>
      </c>
      <c r="BE19" s="516" t="str">
        <f t="shared" si="10"/>
        <v>-</v>
      </c>
      <c r="BF19" s="516" t="str">
        <f t="shared" si="10"/>
        <v>-</v>
      </c>
      <c r="BG19" s="516" t="str">
        <f t="shared" si="10"/>
        <v>-</v>
      </c>
      <c r="BH19" s="516" t="str">
        <f t="shared" si="10"/>
        <v>-</v>
      </c>
      <c r="BI19" s="516" t="str">
        <f t="shared" si="10"/>
        <v>-</v>
      </c>
      <c r="BJ19" s="516" t="str">
        <f t="shared" si="10"/>
        <v>-</v>
      </c>
      <c r="BK19" s="516" t="str">
        <f t="shared" si="10"/>
        <v>-</v>
      </c>
      <c r="BL19" s="516" t="str">
        <f t="shared" si="10"/>
        <v>-</v>
      </c>
      <c r="BM19" s="516" t="str">
        <f t="shared" si="10"/>
        <v>-</v>
      </c>
      <c r="BN19" s="516" t="str">
        <f t="shared" si="10"/>
        <v>-</v>
      </c>
      <c r="BO19" s="516" t="str">
        <f t="shared" si="10"/>
        <v>-</v>
      </c>
      <c r="BP19" s="516" t="str">
        <f t="shared" si="10"/>
        <v>-</v>
      </c>
      <c r="BQ19" s="516" t="str">
        <f t="shared" si="10"/>
        <v>-</v>
      </c>
      <c r="BR19" s="516" t="str">
        <f t="shared" si="10"/>
        <v>-</v>
      </c>
      <c r="BS19" s="516" t="str">
        <f t="shared" si="10"/>
        <v>-</v>
      </c>
      <c r="BT19" s="516" t="str">
        <f t="shared" si="10"/>
        <v>-</v>
      </c>
      <c r="BU19" s="516" t="str">
        <f t="shared" si="10"/>
        <v>-</v>
      </c>
      <c r="BV19" s="516" t="str">
        <f t="shared" si="10"/>
        <v>-</v>
      </c>
      <c r="BW19" s="516" t="str">
        <f t="shared" si="10"/>
        <v>-</v>
      </c>
      <c r="BX19" s="516" t="str">
        <f t="shared" si="10"/>
        <v>-</v>
      </c>
      <c r="BY19" s="516" t="str">
        <f t="shared" si="10"/>
        <v>-</v>
      </c>
      <c r="BZ19" s="516" t="str">
        <f t="shared" si="10"/>
        <v>-</v>
      </c>
      <c r="CA19" s="516" t="str">
        <f t="shared" si="10"/>
        <v>-</v>
      </c>
    </row>
    <row r="20" spans="1:79">
      <c r="A20" s="105">
        <v>12</v>
      </c>
      <c r="B20" s="112" t="str">
        <v>6M</v>
      </c>
      <c r="C20" s="262">
        <f>'usd disaggregated'!AM28</f>
        <v>145.3971358073</v>
      </c>
      <c r="D20" s="111" t="str">
        <f t="shared" si="6"/>
        <v>6M</v>
      </c>
      <c r="E20" s="517">
        <f>IF(LEN(B20)&gt;0,CHOOSE(MATCH(RIGHT(D20,1),{"D","W","M"},0),NextBusDay($C$4,LEFT(D20,LEN(D20)-1)),NextBusDay($C$4+7*LEFT(D20,LEN(D20)-1)),NextBusDay(EDATE($C$4,LEFT(D20,LEN(D20)-1)))),"")</f>
        <v>42851</v>
      </c>
      <c r="F20" s="107" t="str">
        <v>6M</v>
      </c>
      <c r="G20" s="106" t="str">
        <v>6M</v>
      </c>
      <c r="H20" s="106" t="str">
        <f>BktUsdOisPL!H20</f>
        <v>6M</v>
      </c>
      <c r="I20" s="261" t="str">
        <v>D</v>
      </c>
      <c r="J20" s="106">
        <f>BktUsdOisPL!J20</f>
        <v>42851</v>
      </c>
      <c r="L20" s="522">
        <f t="shared" si="7"/>
        <v>327.2251731785808</v>
      </c>
      <c r="N20" s="106" t="str">
        <f t="shared" si="1"/>
        <v>-</v>
      </c>
      <c r="O20" s="106" t="str">
        <f t="shared" si="2"/>
        <v>-</v>
      </c>
      <c r="P20" s="106" t="str">
        <f t="shared" si="3"/>
        <v>-</v>
      </c>
      <c r="Q20" s="106" t="b">
        <f t="shared" si="4"/>
        <v>0</v>
      </c>
      <c r="R20" s="518" t="str">
        <f t="shared" ref="R20:CA24" si="12">IF(LEN($F20)&gt;0,IF(AND(R$8=$J20,NOT(AND(R$8&gt;=$N20,R$8&lt;$P20))),R$6,IF(AND(NOT(R$8&gt;$J19),R$8&lt;$J20),"-",IF(AND(R$8&gt;=$N20,R$8&lt;$P20),IF(R$8&lt;$O20,IF($J20=$N20,R$6*($J20-$C$4)/(R$8-$C$4),IF(R$8&lt;$J20,R$6*((R$8-$C$4)-($J19-$C$4))/(R$8-$C$4),R$6*(($J20-$J19))/(R$8-$C$4) )),IF($J20=$N20,R$6*($P20-R$8)/($P20-$O20)*($J20-$C$4)/($O20-$C$4),IF(R$8&lt;$J20,R$6*(R$8-$O20)/($P20-$O20),R$6*($P20-R$8)/($P20-$O20)*($J20-$J19)/($O20-$C$4)))),IF(AND(R$8&gt;$J19,R$8&lt;$J20),R$6*(R$8-$J19)/($J20-$J19),IF(AND(R$8&gt;$J20,R$8&lt;$J21),R$6*($J21-R$8)/($J21-$J20),"-"))))),"-")</f>
        <v>-</v>
      </c>
      <c r="S20" s="518" t="str">
        <f t="shared" si="12"/>
        <v>-</v>
      </c>
      <c r="T20" s="518" t="str">
        <f t="shared" si="12"/>
        <v>-</v>
      </c>
      <c r="U20" s="518" t="str">
        <f t="shared" si="12"/>
        <v>-</v>
      </c>
      <c r="V20" s="518" t="str">
        <f t="shared" si="12"/>
        <v>-</v>
      </c>
      <c r="W20" s="518" t="str">
        <f t="shared" si="12"/>
        <v>-</v>
      </c>
      <c r="X20" s="518" t="str">
        <f t="shared" si="12"/>
        <v>-</v>
      </c>
      <c r="Y20" s="518" t="str">
        <f t="shared" si="12"/>
        <v>-</v>
      </c>
      <c r="Z20" s="518" t="str">
        <f t="shared" si="12"/>
        <v>-</v>
      </c>
      <c r="AA20" s="518" t="str">
        <f t="shared" si="12"/>
        <v>-</v>
      </c>
      <c r="AB20" s="518" t="str">
        <f t="shared" si="12"/>
        <v>-</v>
      </c>
      <c r="AC20" s="518">
        <f t="shared" si="12"/>
        <v>145.3971358073</v>
      </c>
      <c r="AD20" s="518">
        <f t="shared" si="12"/>
        <v>181.82803737128083</v>
      </c>
      <c r="AE20" s="518" t="str">
        <f t="shared" si="12"/>
        <v>-</v>
      </c>
      <c r="AF20" s="518" t="str">
        <f t="shared" si="12"/>
        <v>-</v>
      </c>
      <c r="AG20" s="518" t="str">
        <f t="shared" si="12"/>
        <v>-</v>
      </c>
      <c r="AH20" s="518" t="str">
        <f t="shared" si="12"/>
        <v>-</v>
      </c>
      <c r="AI20" s="518" t="str">
        <f t="shared" si="12"/>
        <v>-</v>
      </c>
      <c r="AJ20" s="518" t="str">
        <f t="shared" si="12"/>
        <v>-</v>
      </c>
      <c r="AK20" s="518" t="str">
        <f t="shared" si="12"/>
        <v>-</v>
      </c>
      <c r="AL20" s="518" t="str">
        <f t="shared" si="12"/>
        <v>-</v>
      </c>
      <c r="AM20" s="518" t="str">
        <f t="shared" si="12"/>
        <v>-</v>
      </c>
      <c r="AN20" s="518" t="str">
        <f t="shared" si="12"/>
        <v>-</v>
      </c>
      <c r="AO20" s="518" t="str">
        <f t="shared" si="12"/>
        <v>-</v>
      </c>
      <c r="AP20" s="518" t="str">
        <f t="shared" si="12"/>
        <v>-</v>
      </c>
      <c r="AQ20" s="518" t="str">
        <f t="shared" si="12"/>
        <v>-</v>
      </c>
      <c r="AR20" s="518" t="str">
        <f t="shared" si="12"/>
        <v>-</v>
      </c>
      <c r="AS20" s="518" t="str">
        <f t="shared" si="12"/>
        <v>-</v>
      </c>
      <c r="AT20" s="518" t="str">
        <f t="shared" si="12"/>
        <v>-</v>
      </c>
      <c r="AU20" s="518" t="str">
        <f t="shared" si="12"/>
        <v>-</v>
      </c>
      <c r="AV20" s="518" t="str">
        <f t="shared" si="12"/>
        <v>-</v>
      </c>
      <c r="AW20" s="518" t="str">
        <f t="shared" si="12"/>
        <v>-</v>
      </c>
      <c r="AX20" s="518" t="str">
        <f t="shared" si="12"/>
        <v>-</v>
      </c>
      <c r="AY20" s="518" t="str">
        <f t="shared" si="12"/>
        <v>-</v>
      </c>
      <c r="AZ20" s="518" t="str">
        <f t="shared" si="12"/>
        <v>-</v>
      </c>
      <c r="BA20" s="518" t="str">
        <f t="shared" si="12"/>
        <v>-</v>
      </c>
      <c r="BB20" s="518" t="str">
        <f t="shared" si="12"/>
        <v>-</v>
      </c>
      <c r="BC20" s="518" t="str">
        <f t="shared" si="12"/>
        <v>-</v>
      </c>
      <c r="BD20" s="518" t="str">
        <f t="shared" si="12"/>
        <v>-</v>
      </c>
      <c r="BE20" s="518" t="str">
        <f t="shared" si="12"/>
        <v>-</v>
      </c>
      <c r="BF20" s="518" t="str">
        <f t="shared" si="12"/>
        <v>-</v>
      </c>
      <c r="BG20" s="518" t="str">
        <f t="shared" si="12"/>
        <v>-</v>
      </c>
      <c r="BH20" s="518" t="str">
        <f t="shared" si="12"/>
        <v>-</v>
      </c>
      <c r="BI20" s="518" t="str">
        <f t="shared" si="12"/>
        <v>-</v>
      </c>
      <c r="BJ20" s="518" t="str">
        <f t="shared" si="12"/>
        <v>-</v>
      </c>
      <c r="BK20" s="518" t="str">
        <f t="shared" si="12"/>
        <v>-</v>
      </c>
      <c r="BL20" s="518" t="str">
        <f t="shared" si="12"/>
        <v>-</v>
      </c>
      <c r="BM20" s="518" t="str">
        <f t="shared" si="12"/>
        <v>-</v>
      </c>
      <c r="BN20" s="518" t="str">
        <f t="shared" si="12"/>
        <v>-</v>
      </c>
      <c r="BO20" s="518" t="str">
        <f t="shared" si="12"/>
        <v>-</v>
      </c>
      <c r="BP20" s="518" t="str">
        <f t="shared" si="12"/>
        <v>-</v>
      </c>
      <c r="BQ20" s="518" t="str">
        <f t="shared" si="12"/>
        <v>-</v>
      </c>
      <c r="BR20" s="518" t="str">
        <f t="shared" si="12"/>
        <v>-</v>
      </c>
      <c r="BS20" s="518" t="str">
        <f t="shared" si="12"/>
        <v>-</v>
      </c>
      <c r="BT20" s="518" t="str">
        <f t="shared" si="12"/>
        <v>-</v>
      </c>
      <c r="BU20" s="518" t="str">
        <f t="shared" si="12"/>
        <v>-</v>
      </c>
      <c r="BV20" s="518" t="str">
        <f t="shared" si="12"/>
        <v>-</v>
      </c>
      <c r="BW20" s="518" t="str">
        <f t="shared" si="12"/>
        <v>-</v>
      </c>
      <c r="BX20" s="518" t="str">
        <f t="shared" si="12"/>
        <v>-</v>
      </c>
      <c r="BY20" s="518" t="str">
        <f t="shared" si="12"/>
        <v>-</v>
      </c>
      <c r="BZ20" s="518" t="str">
        <f t="shared" si="12"/>
        <v>-</v>
      </c>
      <c r="CA20" s="518" t="str">
        <f t="shared" si="12"/>
        <v>-</v>
      </c>
    </row>
    <row r="21" spans="1:79">
      <c r="A21" s="105">
        <v>13</v>
      </c>
      <c r="B21" s="112" t="str">
        <v>7M</v>
      </c>
      <c r="C21" s="262">
        <f>'usd disaggregated'!AM29</f>
        <v>391.629618953528</v>
      </c>
      <c r="D21" s="111" t="str">
        <f t="shared" si="6"/>
        <v>7M</v>
      </c>
      <c r="E21" s="517">
        <f>IF(LEN(B21)&gt;0,CHOOSE(MATCH(RIGHT(D21,1),{"D","W","M"},0),NextBusDay($C$4,LEFT(D21,LEN(D21)-1)),NextBusDay($C$4+7*LEFT(D21,LEN(D21)-1)),NextBusDay(EDATE($C$4,LEFT(D21,LEN(D21)-1)))),"")</f>
        <v>42881</v>
      </c>
      <c r="F21" s="107" t="str">
        <v>21/06/17</v>
      </c>
      <c r="G21" s="106" t="str">
        <v>#20170621</v>
      </c>
      <c r="H21" s="106">
        <f>BktUsdOisPL!H21</f>
        <v>42907</v>
      </c>
      <c r="I21" s="261" t="str">
        <v>S</v>
      </c>
      <c r="J21" s="106">
        <f>BktUsdOisPL!J21</f>
        <v>42907</v>
      </c>
      <c r="L21" s="522">
        <f t="shared" si="7"/>
        <v>-2555.3433153929609</v>
      </c>
      <c r="N21" s="106">
        <f t="shared" si="1"/>
        <v>42907</v>
      </c>
      <c r="O21" s="106">
        <f t="shared" si="2"/>
        <v>43453</v>
      </c>
      <c r="P21" s="106">
        <f t="shared" si="3"/>
        <v>43766</v>
      </c>
      <c r="Q21" s="106" t="b">
        <f t="shared" si="4"/>
        <v>0</v>
      </c>
      <c r="R21" s="518" t="str">
        <f t="shared" si="12"/>
        <v>-</v>
      </c>
      <c r="S21" s="518" t="str">
        <f t="shared" si="12"/>
        <v>-</v>
      </c>
      <c r="T21" s="518" t="str">
        <f t="shared" si="12"/>
        <v>-</v>
      </c>
      <c r="U21" s="518" t="str">
        <f t="shared" si="12"/>
        <v>-</v>
      </c>
      <c r="V21" s="518" t="str">
        <f t="shared" si="12"/>
        <v>-</v>
      </c>
      <c r="W21" s="518" t="str">
        <f t="shared" si="12"/>
        <v>-</v>
      </c>
      <c r="X21" s="518" t="str">
        <f t="shared" si="12"/>
        <v>-</v>
      </c>
      <c r="Y21" s="518" t="str">
        <f t="shared" si="12"/>
        <v>-</v>
      </c>
      <c r="Z21" s="518" t="str">
        <f t="shared" si="12"/>
        <v>-</v>
      </c>
      <c r="AA21" s="518" t="str">
        <f t="shared" si="12"/>
        <v>-</v>
      </c>
      <c r="AB21" s="518" t="str">
        <f t="shared" si="12"/>
        <v>-</v>
      </c>
      <c r="AC21" s="518" t="str">
        <f t="shared" si="12"/>
        <v>-</v>
      </c>
      <c r="AD21" s="518">
        <f t="shared" si="12"/>
        <v>209.80158158224714</v>
      </c>
      <c r="AE21" s="518">
        <f t="shared" si="12"/>
        <v>-262.54429531518281</v>
      </c>
      <c r="AF21" s="518">
        <f t="shared" si="12"/>
        <v>-551.02740621286114</v>
      </c>
      <c r="AG21" s="518">
        <f t="shared" si="12"/>
        <v>265.33396093152817</v>
      </c>
      <c r="AH21" s="518">
        <f t="shared" si="12"/>
        <v>-807.02957352823319</v>
      </c>
      <c r="AI21" s="518">
        <f t="shared" si="12"/>
        <v>-195.32670539090623</v>
      </c>
      <c r="AJ21" s="518">
        <f t="shared" si="12"/>
        <v>-251.21546420301556</v>
      </c>
      <c r="AK21" s="518">
        <f t="shared" si="12"/>
        <v>-4101.9307558831542</v>
      </c>
      <c r="AL21" s="518">
        <f t="shared" si="12"/>
        <v>7287.7677341268327</v>
      </c>
      <c r="AM21" s="518">
        <f t="shared" si="12"/>
        <v>-4149.1723915002158</v>
      </c>
      <c r="AN21" s="518" t="str">
        <f t="shared" si="12"/>
        <v>-</v>
      </c>
      <c r="AO21" s="518" t="str">
        <f t="shared" si="12"/>
        <v>-</v>
      </c>
      <c r="AP21" s="518" t="str">
        <f t="shared" si="12"/>
        <v>-</v>
      </c>
      <c r="AQ21" s="518" t="str">
        <f t="shared" si="12"/>
        <v>-</v>
      </c>
      <c r="AR21" s="518" t="str">
        <f t="shared" si="12"/>
        <v>-</v>
      </c>
      <c r="AS21" s="518" t="str">
        <f t="shared" si="12"/>
        <v>-</v>
      </c>
      <c r="AT21" s="518" t="str">
        <f t="shared" si="12"/>
        <v>-</v>
      </c>
      <c r="AU21" s="518" t="str">
        <f t="shared" si="12"/>
        <v>-</v>
      </c>
      <c r="AV21" s="518" t="str">
        <f t="shared" si="12"/>
        <v>-</v>
      </c>
      <c r="AW21" s="518" t="str">
        <f t="shared" si="12"/>
        <v>-</v>
      </c>
      <c r="AX21" s="518" t="str">
        <f t="shared" si="12"/>
        <v>-</v>
      </c>
      <c r="AY21" s="518" t="str">
        <f t="shared" si="12"/>
        <v>-</v>
      </c>
      <c r="AZ21" s="518" t="str">
        <f t="shared" si="12"/>
        <v>-</v>
      </c>
      <c r="BA21" s="518" t="str">
        <f t="shared" si="12"/>
        <v>-</v>
      </c>
      <c r="BB21" s="518" t="str">
        <f t="shared" si="12"/>
        <v>-</v>
      </c>
      <c r="BC21" s="518" t="str">
        <f t="shared" si="12"/>
        <v>-</v>
      </c>
      <c r="BD21" s="518" t="str">
        <f t="shared" si="12"/>
        <v>-</v>
      </c>
      <c r="BE21" s="518" t="str">
        <f t="shared" si="12"/>
        <v>-</v>
      </c>
      <c r="BF21" s="518" t="str">
        <f t="shared" si="12"/>
        <v>-</v>
      </c>
      <c r="BG21" s="518" t="str">
        <f t="shared" si="12"/>
        <v>-</v>
      </c>
      <c r="BH21" s="518" t="str">
        <f t="shared" si="12"/>
        <v>-</v>
      </c>
      <c r="BI21" s="518" t="str">
        <f t="shared" si="12"/>
        <v>-</v>
      </c>
      <c r="BJ21" s="518" t="str">
        <f t="shared" si="12"/>
        <v>-</v>
      </c>
      <c r="BK21" s="518" t="str">
        <f t="shared" si="12"/>
        <v>-</v>
      </c>
      <c r="BL21" s="518" t="str">
        <f t="shared" si="12"/>
        <v>-</v>
      </c>
      <c r="BM21" s="518" t="str">
        <f t="shared" si="12"/>
        <v>-</v>
      </c>
      <c r="BN21" s="518" t="str">
        <f t="shared" si="12"/>
        <v>-</v>
      </c>
      <c r="BO21" s="518" t="str">
        <f t="shared" si="12"/>
        <v>-</v>
      </c>
      <c r="BP21" s="518" t="str">
        <f t="shared" si="12"/>
        <v>-</v>
      </c>
      <c r="BQ21" s="518" t="str">
        <f t="shared" si="12"/>
        <v>-</v>
      </c>
      <c r="BR21" s="518" t="str">
        <f t="shared" si="12"/>
        <v>-</v>
      </c>
      <c r="BS21" s="518" t="str">
        <f t="shared" si="12"/>
        <v>-</v>
      </c>
      <c r="BT21" s="518" t="str">
        <f t="shared" si="12"/>
        <v>-</v>
      </c>
      <c r="BU21" s="518" t="str">
        <f t="shared" si="12"/>
        <v>-</v>
      </c>
      <c r="BV21" s="518" t="str">
        <f t="shared" si="12"/>
        <v>-</v>
      </c>
      <c r="BW21" s="518" t="str">
        <f t="shared" si="12"/>
        <v>-</v>
      </c>
      <c r="BX21" s="518" t="str">
        <f t="shared" si="12"/>
        <v>-</v>
      </c>
      <c r="BY21" s="518" t="str">
        <f t="shared" si="12"/>
        <v>-</v>
      </c>
      <c r="BZ21" s="518" t="str">
        <f t="shared" si="12"/>
        <v>-</v>
      </c>
      <c r="CA21" s="518" t="str">
        <f t="shared" si="12"/>
        <v>-</v>
      </c>
    </row>
    <row r="22" spans="1:79">
      <c r="A22" s="105">
        <v>14</v>
      </c>
      <c r="B22" s="112" t="str">
        <v>8M</v>
      </c>
      <c r="C22" s="262">
        <f>'usd disaggregated'!AM30</f>
        <v>-268.06871089390802</v>
      </c>
      <c r="D22" s="111" t="str">
        <f t="shared" si="6"/>
        <v>8M</v>
      </c>
      <c r="E22" s="517">
        <f>IF(LEN(B22)&gt;0,CHOOSE(MATCH(RIGHT(D22,1),{"D","W","M"},0),NextBusDay($C$4,LEFT(D22,LEN(D22)-1)),NextBusDay($C$4+7*LEFT(D22,LEN(D22)-1)),NextBusDay(EDATE($C$4,LEFT(D22,LEN(D22)-1)))),"")</f>
        <v>42912</v>
      </c>
      <c r="F22" s="107" t="str">
        <v>JUN 17</v>
      </c>
      <c r="G22" s="106">
        <v>42907</v>
      </c>
      <c r="H22" s="106">
        <f>BktUsdOisPL!H22</f>
        <v>42907</v>
      </c>
      <c r="I22" s="261" t="str">
        <v>F</v>
      </c>
      <c r="J22" s="106">
        <f>BktUsdOisPL!J22</f>
        <v>42999</v>
      </c>
      <c r="L22" s="522">
        <f t="shared" si="7"/>
        <v>-869.07617494197689</v>
      </c>
      <c r="N22" s="106">
        <f t="shared" si="1"/>
        <v>42907</v>
      </c>
      <c r="O22" s="106">
        <f t="shared" si="2"/>
        <v>43453</v>
      </c>
      <c r="P22" s="106">
        <f t="shared" si="3"/>
        <v>43766</v>
      </c>
      <c r="Q22" s="106" t="b">
        <f t="shared" si="4"/>
        <v>1</v>
      </c>
      <c r="R22" s="518" t="str">
        <f t="shared" si="12"/>
        <v>-</v>
      </c>
      <c r="S22" s="518" t="str">
        <f t="shared" si="12"/>
        <v>-</v>
      </c>
      <c r="T22" s="518" t="str">
        <f t="shared" si="12"/>
        <v>-</v>
      </c>
      <c r="U22" s="518" t="str">
        <f t="shared" si="12"/>
        <v>-</v>
      </c>
      <c r="V22" s="518" t="str">
        <f t="shared" si="12"/>
        <v>-</v>
      </c>
      <c r="W22" s="518" t="str">
        <f t="shared" si="12"/>
        <v>-</v>
      </c>
      <c r="X22" s="518" t="str">
        <f t="shared" si="12"/>
        <v>-</v>
      </c>
      <c r="Y22" s="518" t="str">
        <f t="shared" si="12"/>
        <v>-</v>
      </c>
      <c r="Z22" s="518" t="str">
        <f t="shared" si="12"/>
        <v>-</v>
      </c>
      <c r="AA22" s="518" t="str">
        <f t="shared" si="12"/>
        <v>-</v>
      </c>
      <c r="AB22" s="518" t="str">
        <f t="shared" si="12"/>
        <v>-</v>
      </c>
      <c r="AC22" s="518" t="str">
        <f t="shared" si="12"/>
        <v>-</v>
      </c>
      <c r="AD22" s="518" t="str">
        <f t="shared" si="12"/>
        <v>-</v>
      </c>
      <c r="AE22" s="518">
        <f t="shared" si="12"/>
        <v>-5.5244155787251916</v>
      </c>
      <c r="AF22" s="518">
        <f t="shared" si="12"/>
        <v>-81.162421315332892</v>
      </c>
      <c r="AG22" s="518">
        <f t="shared" si="12"/>
        <v>75.930367833069823</v>
      </c>
      <c r="AH22" s="518">
        <f t="shared" si="12"/>
        <v>-312.45755339592898</v>
      </c>
      <c r="AI22" s="518">
        <f t="shared" si="12"/>
        <v>-75.624619569402725</v>
      </c>
      <c r="AJ22" s="518">
        <f t="shared" si="12"/>
        <v>-97.263064322327153</v>
      </c>
      <c r="AK22" s="518">
        <f t="shared" si="12"/>
        <v>-1588.1440906550936</v>
      </c>
      <c r="AL22" s="518">
        <f t="shared" si="12"/>
        <v>2821.6042517101137</v>
      </c>
      <c r="AM22" s="518">
        <f t="shared" si="12"/>
        <v>-1606.4346296483498</v>
      </c>
      <c r="AN22" s="518" t="str">
        <f t="shared" si="12"/>
        <v>-</v>
      </c>
      <c r="AO22" s="518" t="str">
        <f t="shared" si="12"/>
        <v>-</v>
      </c>
      <c r="AP22" s="518" t="str">
        <f t="shared" si="12"/>
        <v>-</v>
      </c>
      <c r="AQ22" s="518" t="str">
        <f t="shared" si="12"/>
        <v>-</v>
      </c>
      <c r="AR22" s="518" t="str">
        <f t="shared" si="12"/>
        <v>-</v>
      </c>
      <c r="AS22" s="518" t="str">
        <f t="shared" si="12"/>
        <v>-</v>
      </c>
      <c r="AT22" s="518" t="str">
        <f t="shared" si="12"/>
        <v>-</v>
      </c>
      <c r="AU22" s="518" t="str">
        <f t="shared" si="12"/>
        <v>-</v>
      </c>
      <c r="AV22" s="518" t="str">
        <f t="shared" si="12"/>
        <v>-</v>
      </c>
      <c r="AW22" s="518" t="str">
        <f t="shared" si="12"/>
        <v>-</v>
      </c>
      <c r="AX22" s="518" t="str">
        <f t="shared" si="12"/>
        <v>-</v>
      </c>
      <c r="AY22" s="518" t="str">
        <f t="shared" si="12"/>
        <v>-</v>
      </c>
      <c r="AZ22" s="518" t="str">
        <f t="shared" si="12"/>
        <v>-</v>
      </c>
      <c r="BA22" s="518" t="str">
        <f t="shared" si="12"/>
        <v>-</v>
      </c>
      <c r="BB22" s="518" t="str">
        <f t="shared" si="12"/>
        <v>-</v>
      </c>
      <c r="BC22" s="518" t="str">
        <f t="shared" si="12"/>
        <v>-</v>
      </c>
      <c r="BD22" s="518" t="str">
        <f t="shared" si="12"/>
        <v>-</v>
      </c>
      <c r="BE22" s="518" t="str">
        <f t="shared" si="12"/>
        <v>-</v>
      </c>
      <c r="BF22" s="518" t="str">
        <f t="shared" si="12"/>
        <v>-</v>
      </c>
      <c r="BG22" s="518" t="str">
        <f t="shared" si="12"/>
        <v>-</v>
      </c>
      <c r="BH22" s="518" t="str">
        <f t="shared" si="12"/>
        <v>-</v>
      </c>
      <c r="BI22" s="518" t="str">
        <f t="shared" si="12"/>
        <v>-</v>
      </c>
      <c r="BJ22" s="518" t="str">
        <f t="shared" si="12"/>
        <v>-</v>
      </c>
      <c r="BK22" s="518" t="str">
        <f t="shared" si="12"/>
        <v>-</v>
      </c>
      <c r="BL22" s="518" t="str">
        <f t="shared" si="12"/>
        <v>-</v>
      </c>
      <c r="BM22" s="518" t="str">
        <f t="shared" si="12"/>
        <v>-</v>
      </c>
      <c r="BN22" s="518" t="str">
        <f t="shared" si="12"/>
        <v>-</v>
      </c>
      <c r="BO22" s="518" t="str">
        <f t="shared" si="12"/>
        <v>-</v>
      </c>
      <c r="BP22" s="518" t="str">
        <f t="shared" si="12"/>
        <v>-</v>
      </c>
      <c r="BQ22" s="518" t="str">
        <f t="shared" si="12"/>
        <v>-</v>
      </c>
      <c r="BR22" s="518" t="str">
        <f t="shared" si="12"/>
        <v>-</v>
      </c>
      <c r="BS22" s="518" t="str">
        <f t="shared" si="12"/>
        <v>-</v>
      </c>
      <c r="BT22" s="518" t="str">
        <f t="shared" si="12"/>
        <v>-</v>
      </c>
      <c r="BU22" s="518" t="str">
        <f t="shared" si="12"/>
        <v>-</v>
      </c>
      <c r="BV22" s="518" t="str">
        <f t="shared" si="12"/>
        <v>-</v>
      </c>
      <c r="BW22" s="518" t="str">
        <f t="shared" si="12"/>
        <v>-</v>
      </c>
      <c r="BX22" s="518" t="str">
        <f t="shared" si="12"/>
        <v>-</v>
      </c>
      <c r="BY22" s="518" t="str">
        <f t="shared" si="12"/>
        <v>-</v>
      </c>
      <c r="BZ22" s="518" t="str">
        <f t="shared" si="12"/>
        <v>-</v>
      </c>
      <c r="CA22" s="518" t="str">
        <f t="shared" si="12"/>
        <v>-</v>
      </c>
    </row>
    <row r="23" spans="1:79">
      <c r="A23" s="105">
        <v>15</v>
      </c>
      <c r="B23" s="112" t="str">
        <v>9M</v>
      </c>
      <c r="C23" s="262">
        <f>'usd disaggregated'!AM31</f>
        <v>-632.18982752819397</v>
      </c>
      <c r="D23" s="111" t="str">
        <f t="shared" si="6"/>
        <v>9M</v>
      </c>
      <c r="E23" s="517">
        <f>IF(LEN(B23)&gt;0,CHOOSE(MATCH(RIGHT(D23,1),{"D","W","M"},0),NextBusDay($C$4,LEFT(D23,LEN(D23)-1)),NextBusDay($C$4+7*LEFT(D23,LEN(D23)-1)),NextBusDay(EDATE($C$4,LEFT(D23,LEN(D23)-1)))),"")</f>
        <v>42942</v>
      </c>
      <c r="F23" s="107" t="str">
        <v>SEP 17</v>
      </c>
      <c r="G23" s="106">
        <v>42998</v>
      </c>
      <c r="H23" s="106">
        <f>BktUsdOisPL!H23</f>
        <v>42998</v>
      </c>
      <c r="I23" s="261" t="str">
        <v>F</v>
      </c>
      <c r="J23" s="106">
        <f>BktUsdOisPL!J23</f>
        <v>43089</v>
      </c>
      <c r="L23" s="522">
        <f t="shared" si="7"/>
        <v>-505.76660232954214</v>
      </c>
      <c r="N23" s="106">
        <f t="shared" si="1"/>
        <v>42907</v>
      </c>
      <c r="O23" s="106">
        <f t="shared" si="2"/>
        <v>43453</v>
      </c>
      <c r="P23" s="106">
        <f t="shared" si="3"/>
        <v>43766</v>
      </c>
      <c r="Q23" s="106" t="b">
        <f t="shared" si="4"/>
        <v>1</v>
      </c>
      <c r="R23" s="518" t="str">
        <f t="shared" si="12"/>
        <v>-</v>
      </c>
      <c r="S23" s="518" t="str">
        <f t="shared" si="12"/>
        <v>-</v>
      </c>
      <c r="T23" s="518" t="str">
        <f t="shared" si="12"/>
        <v>-</v>
      </c>
      <c r="U23" s="518" t="str">
        <f t="shared" si="12"/>
        <v>-</v>
      </c>
      <c r="V23" s="518" t="str">
        <f t="shared" si="12"/>
        <v>-</v>
      </c>
      <c r="W23" s="518" t="str">
        <f t="shared" si="12"/>
        <v>-</v>
      </c>
      <c r="X23" s="518" t="str">
        <f t="shared" si="12"/>
        <v>-</v>
      </c>
      <c r="Y23" s="518" t="str">
        <f t="shared" si="12"/>
        <v>-</v>
      </c>
      <c r="Z23" s="518" t="str">
        <f t="shared" si="12"/>
        <v>-</v>
      </c>
      <c r="AA23" s="518" t="str">
        <f t="shared" si="12"/>
        <v>-</v>
      </c>
      <c r="AB23" s="518" t="str">
        <f t="shared" si="12"/>
        <v>-</v>
      </c>
      <c r="AC23" s="518" t="str">
        <f t="shared" si="12"/>
        <v>-</v>
      </c>
      <c r="AD23" s="518" t="str">
        <f t="shared" si="12"/>
        <v>-</v>
      </c>
      <c r="AE23" s="518" t="str">
        <f t="shared" si="12"/>
        <v>-</v>
      </c>
      <c r="AF23" s="518" t="str">
        <f t="shared" si="12"/>
        <v>-</v>
      </c>
      <c r="AG23" s="518" t="str">
        <f t="shared" si="12"/>
        <v>-</v>
      </c>
      <c r="AH23" s="518">
        <f t="shared" si="12"/>
        <v>-16.981388771517878</v>
      </c>
      <c r="AI23" s="518">
        <f t="shared" si="12"/>
        <v>-28.770235705751038</v>
      </c>
      <c r="AJ23" s="518">
        <f t="shared" si="12"/>
        <v>-95.148649880537434</v>
      </c>
      <c r="AK23" s="518">
        <f t="shared" si="12"/>
        <v>-1553.6192191191133</v>
      </c>
      <c r="AL23" s="518">
        <f t="shared" si="12"/>
        <v>2760.2650288468503</v>
      </c>
      <c r="AM23" s="518">
        <f t="shared" si="12"/>
        <v>-1571.5121376994728</v>
      </c>
      <c r="AN23" s="518" t="str">
        <f t="shared" si="12"/>
        <v>-</v>
      </c>
      <c r="AO23" s="518" t="str">
        <f t="shared" si="12"/>
        <v>-</v>
      </c>
      <c r="AP23" s="518" t="str">
        <f t="shared" si="12"/>
        <v>-</v>
      </c>
      <c r="AQ23" s="518" t="str">
        <f t="shared" si="12"/>
        <v>-</v>
      </c>
      <c r="AR23" s="518" t="str">
        <f t="shared" si="12"/>
        <v>-</v>
      </c>
      <c r="AS23" s="518" t="str">
        <f t="shared" si="12"/>
        <v>-</v>
      </c>
      <c r="AT23" s="518" t="str">
        <f t="shared" si="12"/>
        <v>-</v>
      </c>
      <c r="AU23" s="518" t="str">
        <f t="shared" si="12"/>
        <v>-</v>
      </c>
      <c r="AV23" s="518" t="str">
        <f t="shared" si="12"/>
        <v>-</v>
      </c>
      <c r="AW23" s="518" t="str">
        <f t="shared" si="12"/>
        <v>-</v>
      </c>
      <c r="AX23" s="518" t="str">
        <f t="shared" si="12"/>
        <v>-</v>
      </c>
      <c r="AY23" s="518" t="str">
        <f t="shared" si="12"/>
        <v>-</v>
      </c>
      <c r="AZ23" s="518" t="str">
        <f t="shared" si="12"/>
        <v>-</v>
      </c>
      <c r="BA23" s="518" t="str">
        <f t="shared" si="12"/>
        <v>-</v>
      </c>
      <c r="BB23" s="518" t="str">
        <f t="shared" si="12"/>
        <v>-</v>
      </c>
      <c r="BC23" s="518" t="str">
        <f t="shared" si="12"/>
        <v>-</v>
      </c>
      <c r="BD23" s="518" t="str">
        <f t="shared" si="12"/>
        <v>-</v>
      </c>
      <c r="BE23" s="518" t="str">
        <f t="shared" si="12"/>
        <v>-</v>
      </c>
      <c r="BF23" s="518" t="str">
        <f t="shared" si="12"/>
        <v>-</v>
      </c>
      <c r="BG23" s="518" t="str">
        <f t="shared" si="12"/>
        <v>-</v>
      </c>
      <c r="BH23" s="518" t="str">
        <f t="shared" si="12"/>
        <v>-</v>
      </c>
      <c r="BI23" s="518" t="str">
        <f t="shared" si="12"/>
        <v>-</v>
      </c>
      <c r="BJ23" s="518" t="str">
        <f t="shared" si="12"/>
        <v>-</v>
      </c>
      <c r="BK23" s="518" t="str">
        <f t="shared" si="12"/>
        <v>-</v>
      </c>
      <c r="BL23" s="518" t="str">
        <f t="shared" si="12"/>
        <v>-</v>
      </c>
      <c r="BM23" s="518" t="str">
        <f t="shared" si="12"/>
        <v>-</v>
      </c>
      <c r="BN23" s="518" t="str">
        <f t="shared" si="12"/>
        <v>-</v>
      </c>
      <c r="BO23" s="518" t="str">
        <f t="shared" si="12"/>
        <v>-</v>
      </c>
      <c r="BP23" s="518" t="str">
        <f t="shared" si="12"/>
        <v>-</v>
      </c>
      <c r="BQ23" s="518" t="str">
        <f t="shared" si="12"/>
        <v>-</v>
      </c>
      <c r="BR23" s="518" t="str">
        <f t="shared" si="12"/>
        <v>-</v>
      </c>
      <c r="BS23" s="518" t="str">
        <f t="shared" si="12"/>
        <v>-</v>
      </c>
      <c r="BT23" s="518" t="str">
        <f t="shared" si="12"/>
        <v>-</v>
      </c>
      <c r="BU23" s="518" t="str">
        <f t="shared" si="12"/>
        <v>-</v>
      </c>
      <c r="BV23" s="518" t="str">
        <f t="shared" si="12"/>
        <v>-</v>
      </c>
      <c r="BW23" s="518" t="str">
        <f t="shared" si="12"/>
        <v>-</v>
      </c>
      <c r="BX23" s="518" t="str">
        <f t="shared" si="12"/>
        <v>-</v>
      </c>
      <c r="BY23" s="518" t="str">
        <f t="shared" si="12"/>
        <v>-</v>
      </c>
      <c r="BZ23" s="518" t="str">
        <f t="shared" si="12"/>
        <v>-</v>
      </c>
      <c r="CA23" s="518" t="str">
        <f t="shared" si="12"/>
        <v>-</v>
      </c>
    </row>
    <row r="24" spans="1:79">
      <c r="A24" s="105">
        <v>16</v>
      </c>
      <c r="B24" s="112" t="str">
        <v>10M</v>
      </c>
      <c r="C24" s="262">
        <f>'usd disaggregated'!AM32</f>
        <v>341.26432876459802</v>
      </c>
      <c r="D24" s="111" t="str">
        <f t="shared" si="6"/>
        <v>10M</v>
      </c>
      <c r="E24" s="517">
        <f>IF(LEN(B24)&gt;0,CHOOSE(MATCH(RIGHT(D24,1),{"D","W","M"},0),NextBusDay($C$4,LEFT(D24,LEN(D24)-1)),NextBusDay($C$4+7*LEFT(D24,LEN(D24)-1)),NextBusDay(EDATE($C$4,LEFT(D24,LEN(D24)-1)))),"")</f>
        <v>42975</v>
      </c>
      <c r="F24" s="107" t="str">
        <v>DEC 17</v>
      </c>
      <c r="G24" s="106">
        <v>43089</v>
      </c>
      <c r="H24" s="106">
        <f>BktUsdOisPL!H24</f>
        <v>43089</v>
      </c>
      <c r="I24" s="261" t="str">
        <v>F</v>
      </c>
      <c r="J24" s="106">
        <f>BktUsdOisPL!J24</f>
        <v>43179</v>
      </c>
      <c r="L24" s="522">
        <f t="shared" si="7"/>
        <v>-403.98299514484552</v>
      </c>
      <c r="N24" s="106">
        <f t="shared" si="1"/>
        <v>42907</v>
      </c>
      <c r="O24" s="106">
        <f t="shared" si="2"/>
        <v>43453</v>
      </c>
      <c r="P24" s="106">
        <f t="shared" si="3"/>
        <v>43766</v>
      </c>
      <c r="Q24" s="106" t="b">
        <f t="shared" si="4"/>
        <v>1</v>
      </c>
      <c r="R24" s="518" t="str">
        <f t="shared" si="12"/>
        <v>-</v>
      </c>
      <c r="S24" s="518" t="str">
        <f t="shared" si="12"/>
        <v>-</v>
      </c>
      <c r="T24" s="518" t="str">
        <f t="shared" si="12"/>
        <v>-</v>
      </c>
      <c r="U24" s="518" t="str">
        <f t="shared" si="12"/>
        <v>-</v>
      </c>
      <c r="V24" s="518" t="str">
        <f t="shared" si="12"/>
        <v>-</v>
      </c>
      <c r="W24" s="518" t="str">
        <f t="shared" si="12"/>
        <v>-</v>
      </c>
      <c r="X24" s="518" t="str">
        <f t="shared" si="12"/>
        <v>-</v>
      </c>
      <c r="Y24" s="518" t="str">
        <f t="shared" ref="Y24:CA28" si="13">IF(LEN($F24)&gt;0,IF(AND(Y$8=$J24,NOT(AND(Y$8&gt;=$N24,Y$8&lt;$P24))),Y$6,IF(AND(NOT(Y$8&gt;$J23),Y$8&lt;$J24),"-",IF(AND(Y$8&gt;=$N24,Y$8&lt;$P24),IF(Y$8&lt;$O24,IF($J24=$N24,Y$6*($J24-$C$4)/(Y$8-$C$4),IF(Y$8&lt;$J24,Y$6*((Y$8-$C$4)-($J23-$C$4))/(Y$8-$C$4),Y$6*(($J24-$J23))/(Y$8-$C$4) )),IF($J24=$N24,Y$6*($P24-Y$8)/($P24-$O24)*($J24-$C$4)/($O24-$C$4),IF(Y$8&lt;$J24,Y$6*(Y$8-$O24)/($P24-$O24),Y$6*($P24-Y$8)/($P24-$O24)*($J24-$J23)/($O24-$C$4)))),IF(AND(Y$8&gt;$J23,Y$8&lt;$J24),Y$6*(Y$8-$J23)/($J24-$J23),IF(AND(Y$8&gt;$J24,Y$8&lt;$J25),Y$6*($J25-Y$8)/($J25-$J24),"-"))))),"-")</f>
        <v>-</v>
      </c>
      <c r="Z24" s="518" t="str">
        <f t="shared" si="13"/>
        <v>-</v>
      </c>
      <c r="AA24" s="518" t="str">
        <f t="shared" si="13"/>
        <v>-</v>
      </c>
      <c r="AB24" s="518" t="str">
        <f t="shared" si="13"/>
        <v>-</v>
      </c>
      <c r="AC24" s="518" t="str">
        <f t="shared" si="13"/>
        <v>-</v>
      </c>
      <c r="AD24" s="518" t="str">
        <f t="shared" si="13"/>
        <v>-</v>
      </c>
      <c r="AE24" s="518" t="str">
        <f t="shared" si="13"/>
        <v>-</v>
      </c>
      <c r="AF24" s="518" t="str">
        <f t="shared" si="13"/>
        <v>-</v>
      </c>
      <c r="AG24" s="518" t="str">
        <f t="shared" si="13"/>
        <v>-</v>
      </c>
      <c r="AH24" s="518" t="str">
        <f t="shared" si="13"/>
        <v>-</v>
      </c>
      <c r="AI24" s="518" t="str">
        <f t="shared" si="13"/>
        <v>-</v>
      </c>
      <c r="AJ24" s="518">
        <f t="shared" si="13"/>
        <v>-39.116667173109839</v>
      </c>
      <c r="AK24" s="518">
        <f t="shared" si="13"/>
        <v>-1553.6192191191133</v>
      </c>
      <c r="AL24" s="518">
        <f t="shared" si="13"/>
        <v>2760.2650288468503</v>
      </c>
      <c r="AM24" s="518">
        <f t="shared" si="13"/>
        <v>-1571.5121376994728</v>
      </c>
      <c r="AN24" s="518" t="str">
        <f t="shared" si="13"/>
        <v>-</v>
      </c>
      <c r="AO24" s="518" t="str">
        <f t="shared" si="13"/>
        <v>-</v>
      </c>
      <c r="AP24" s="518" t="str">
        <f t="shared" si="13"/>
        <v>-</v>
      </c>
      <c r="AQ24" s="518" t="str">
        <f t="shared" si="13"/>
        <v>-</v>
      </c>
      <c r="AR24" s="518" t="str">
        <f t="shared" si="13"/>
        <v>-</v>
      </c>
      <c r="AS24" s="518" t="str">
        <f t="shared" si="13"/>
        <v>-</v>
      </c>
      <c r="AT24" s="518" t="str">
        <f t="shared" si="13"/>
        <v>-</v>
      </c>
      <c r="AU24" s="518" t="str">
        <f t="shared" si="13"/>
        <v>-</v>
      </c>
      <c r="AV24" s="518" t="str">
        <f t="shared" si="13"/>
        <v>-</v>
      </c>
      <c r="AW24" s="518" t="str">
        <f t="shared" si="13"/>
        <v>-</v>
      </c>
      <c r="AX24" s="518" t="str">
        <f t="shared" si="13"/>
        <v>-</v>
      </c>
      <c r="AY24" s="518" t="str">
        <f t="shared" si="13"/>
        <v>-</v>
      </c>
      <c r="AZ24" s="518" t="str">
        <f t="shared" si="13"/>
        <v>-</v>
      </c>
      <c r="BA24" s="518" t="str">
        <f t="shared" si="13"/>
        <v>-</v>
      </c>
      <c r="BB24" s="518" t="str">
        <f t="shared" si="13"/>
        <v>-</v>
      </c>
      <c r="BC24" s="518" t="str">
        <f t="shared" si="13"/>
        <v>-</v>
      </c>
      <c r="BD24" s="518" t="str">
        <f t="shared" si="13"/>
        <v>-</v>
      </c>
      <c r="BE24" s="518" t="str">
        <f t="shared" si="13"/>
        <v>-</v>
      </c>
      <c r="BF24" s="518" t="str">
        <f t="shared" si="13"/>
        <v>-</v>
      </c>
      <c r="BG24" s="518" t="str">
        <f t="shared" si="13"/>
        <v>-</v>
      </c>
      <c r="BH24" s="518" t="str">
        <f t="shared" si="13"/>
        <v>-</v>
      </c>
      <c r="BI24" s="518" t="str">
        <f t="shared" si="13"/>
        <v>-</v>
      </c>
      <c r="BJ24" s="518" t="str">
        <f t="shared" si="13"/>
        <v>-</v>
      </c>
      <c r="BK24" s="518" t="str">
        <f t="shared" si="13"/>
        <v>-</v>
      </c>
      <c r="BL24" s="518" t="str">
        <f t="shared" si="13"/>
        <v>-</v>
      </c>
      <c r="BM24" s="518" t="str">
        <f t="shared" si="13"/>
        <v>-</v>
      </c>
      <c r="BN24" s="518" t="str">
        <f t="shared" si="13"/>
        <v>-</v>
      </c>
      <c r="BO24" s="518" t="str">
        <f t="shared" si="13"/>
        <v>-</v>
      </c>
      <c r="BP24" s="518" t="str">
        <f t="shared" si="13"/>
        <v>-</v>
      </c>
      <c r="BQ24" s="518" t="str">
        <f t="shared" si="13"/>
        <v>-</v>
      </c>
      <c r="BR24" s="518" t="str">
        <f t="shared" si="13"/>
        <v>-</v>
      </c>
      <c r="BS24" s="518" t="str">
        <f t="shared" si="13"/>
        <v>-</v>
      </c>
      <c r="BT24" s="518" t="str">
        <f t="shared" si="13"/>
        <v>-</v>
      </c>
      <c r="BU24" s="518" t="str">
        <f t="shared" si="13"/>
        <v>-</v>
      </c>
      <c r="BV24" s="518" t="str">
        <f t="shared" si="13"/>
        <v>-</v>
      </c>
      <c r="BW24" s="518" t="str">
        <f t="shared" si="13"/>
        <v>-</v>
      </c>
      <c r="BX24" s="518" t="str">
        <f t="shared" si="13"/>
        <v>-</v>
      </c>
      <c r="BY24" s="518" t="str">
        <f t="shared" si="13"/>
        <v>-</v>
      </c>
      <c r="BZ24" s="518" t="str">
        <f t="shared" si="13"/>
        <v>-</v>
      </c>
      <c r="CA24" s="518" t="str">
        <f t="shared" si="13"/>
        <v>-</v>
      </c>
    </row>
    <row r="25" spans="1:79">
      <c r="A25" s="105">
        <v>17</v>
      </c>
      <c r="B25" s="112" t="str">
        <v>11M</v>
      </c>
      <c r="C25" s="262">
        <f>'usd disaggregated'!AM33</f>
        <v>-1136.46851569568</v>
      </c>
      <c r="D25" s="111" t="str">
        <f t="shared" si="6"/>
        <v>11M</v>
      </c>
      <c r="E25" s="517">
        <f>IF(LEN(B25)&gt;0,CHOOSE(MATCH(RIGHT(D25,1),{"D","W","M"},0),NextBusDay($C$4,LEFT(D25,LEN(D25)-1)),NextBusDay($C$4+7*LEFT(D25,LEN(D25)-1)),NextBusDay(EDATE($C$4,LEFT(D25,LEN(D25)-1)))),"")</f>
        <v>43004</v>
      </c>
      <c r="F25" s="107" t="str">
        <v>MAR 18</v>
      </c>
      <c r="G25" s="106">
        <v>43180</v>
      </c>
      <c r="H25" s="106">
        <f>BktUsdOisPL!H25</f>
        <v>43180</v>
      </c>
      <c r="I25" s="261" t="str">
        <v>F</v>
      </c>
      <c r="J25" s="106">
        <f>BktUsdOisPL!J25</f>
        <v>43272</v>
      </c>
      <c r="L25" s="522">
        <f t="shared" si="7"/>
        <v>589.66786410332202</v>
      </c>
      <c r="N25" s="106">
        <f t="shared" si="1"/>
        <v>42907</v>
      </c>
      <c r="O25" s="106">
        <f t="shared" si="2"/>
        <v>43453</v>
      </c>
      <c r="P25" s="106">
        <f t="shared" si="3"/>
        <v>43766</v>
      </c>
      <c r="Q25" s="106" t="b">
        <f t="shared" si="4"/>
        <v>1</v>
      </c>
      <c r="R25" s="518" t="str">
        <f t="shared" ref="R25:AG31" si="14">IF(LEN($F25)&gt;0,IF(AND(R$8=$J25,NOT(AND(R$8&gt;=$N25,R$8&lt;$P25))),R$6,IF(AND(NOT(R$8&gt;$J24),R$8&lt;$J25),"-",IF(AND(R$8&gt;=$N25,R$8&lt;$P25),IF(R$8&lt;$O25,IF($J25=$N25,R$6*($J25-$C$4)/(R$8-$C$4),IF(R$8&lt;$J25,R$6*((R$8-$C$4)-($J24-$C$4))/(R$8-$C$4),R$6*(($J25-$J24))/(R$8-$C$4) )),IF($J25=$N25,R$6*($P25-R$8)/($P25-$O25)*($J25-$C$4)/($O25-$C$4),IF(R$8&lt;$J25,R$6*(R$8-$O25)/($P25-$O25),R$6*($P25-R$8)/($P25-$O25)*($J25-$J24)/($O25-$C$4)))),IF(AND(R$8&gt;$J24,R$8&lt;$J25),R$6*(R$8-$J24)/($J25-$J24),IF(AND(R$8&gt;$J25,R$8&lt;$J26),R$6*($J26-R$8)/($J26-$J25),"-"))))),"-")</f>
        <v>-</v>
      </c>
      <c r="S25" s="518" t="str">
        <f t="shared" si="14"/>
        <v>-</v>
      </c>
      <c r="T25" s="518" t="str">
        <f t="shared" si="14"/>
        <v>-</v>
      </c>
      <c r="U25" s="518" t="str">
        <f t="shared" si="14"/>
        <v>-</v>
      </c>
      <c r="V25" s="518" t="str">
        <f t="shared" si="14"/>
        <v>-</v>
      </c>
      <c r="W25" s="518" t="str">
        <f t="shared" si="14"/>
        <v>-</v>
      </c>
      <c r="X25" s="518" t="str">
        <f t="shared" si="14"/>
        <v>-</v>
      </c>
      <c r="Y25" s="518" t="str">
        <f t="shared" si="13"/>
        <v>-</v>
      </c>
      <c r="Z25" s="518" t="str">
        <f t="shared" si="13"/>
        <v>-</v>
      </c>
      <c r="AA25" s="518" t="str">
        <f t="shared" si="13"/>
        <v>-</v>
      </c>
      <c r="AB25" s="518" t="str">
        <f t="shared" si="13"/>
        <v>-</v>
      </c>
      <c r="AC25" s="518" t="str">
        <f t="shared" si="13"/>
        <v>-</v>
      </c>
      <c r="AD25" s="518" t="str">
        <f t="shared" si="13"/>
        <v>-</v>
      </c>
      <c r="AE25" s="518" t="str">
        <f t="shared" si="13"/>
        <v>-</v>
      </c>
      <c r="AF25" s="518" t="str">
        <f t="shared" si="13"/>
        <v>-</v>
      </c>
      <c r="AG25" s="518" t="str">
        <f t="shared" si="13"/>
        <v>-</v>
      </c>
      <c r="AH25" s="518" t="str">
        <f t="shared" si="13"/>
        <v>-</v>
      </c>
      <c r="AI25" s="518" t="str">
        <f t="shared" si="13"/>
        <v>-</v>
      </c>
      <c r="AJ25" s="518" t="str">
        <f t="shared" si="13"/>
        <v>-</v>
      </c>
      <c r="AK25" s="518">
        <f t="shared" si="13"/>
        <v>-638.71012341563539</v>
      </c>
      <c r="AL25" s="518">
        <f t="shared" si="13"/>
        <v>2852.2738631417456</v>
      </c>
      <c r="AM25" s="518">
        <f t="shared" si="13"/>
        <v>-1623.8958756227883</v>
      </c>
      <c r="AN25" s="518" t="str">
        <f t="shared" si="13"/>
        <v>-</v>
      </c>
      <c r="AO25" s="518" t="str">
        <f t="shared" si="13"/>
        <v>-</v>
      </c>
      <c r="AP25" s="518" t="str">
        <f t="shared" si="13"/>
        <v>-</v>
      </c>
      <c r="AQ25" s="518" t="str">
        <f t="shared" si="13"/>
        <v>-</v>
      </c>
      <c r="AR25" s="518" t="str">
        <f t="shared" si="13"/>
        <v>-</v>
      </c>
      <c r="AS25" s="518" t="str">
        <f t="shared" si="13"/>
        <v>-</v>
      </c>
      <c r="AT25" s="518" t="str">
        <f t="shared" si="13"/>
        <v>-</v>
      </c>
      <c r="AU25" s="518" t="str">
        <f t="shared" si="13"/>
        <v>-</v>
      </c>
      <c r="AV25" s="518" t="str">
        <f t="shared" si="13"/>
        <v>-</v>
      </c>
      <c r="AW25" s="518" t="str">
        <f t="shared" si="13"/>
        <v>-</v>
      </c>
      <c r="AX25" s="518" t="str">
        <f t="shared" si="13"/>
        <v>-</v>
      </c>
      <c r="AY25" s="518" t="str">
        <f t="shared" si="13"/>
        <v>-</v>
      </c>
      <c r="AZ25" s="518" t="str">
        <f t="shared" si="13"/>
        <v>-</v>
      </c>
      <c r="BA25" s="518" t="str">
        <f t="shared" si="13"/>
        <v>-</v>
      </c>
      <c r="BB25" s="518" t="str">
        <f t="shared" si="13"/>
        <v>-</v>
      </c>
      <c r="BC25" s="518" t="str">
        <f t="shared" si="13"/>
        <v>-</v>
      </c>
      <c r="BD25" s="518" t="str">
        <f t="shared" si="13"/>
        <v>-</v>
      </c>
      <c r="BE25" s="518" t="str">
        <f t="shared" si="13"/>
        <v>-</v>
      </c>
      <c r="BF25" s="518" t="str">
        <f t="shared" si="13"/>
        <v>-</v>
      </c>
      <c r="BG25" s="518" t="str">
        <f t="shared" si="13"/>
        <v>-</v>
      </c>
      <c r="BH25" s="518" t="str">
        <f t="shared" si="13"/>
        <v>-</v>
      </c>
      <c r="BI25" s="518" t="str">
        <f t="shared" si="13"/>
        <v>-</v>
      </c>
      <c r="BJ25" s="518" t="str">
        <f t="shared" si="13"/>
        <v>-</v>
      </c>
      <c r="BK25" s="518" t="str">
        <f t="shared" si="13"/>
        <v>-</v>
      </c>
      <c r="BL25" s="518" t="str">
        <f t="shared" si="13"/>
        <v>-</v>
      </c>
      <c r="BM25" s="518" t="str">
        <f t="shared" si="13"/>
        <v>-</v>
      </c>
      <c r="BN25" s="518" t="str">
        <f t="shared" si="13"/>
        <v>-</v>
      </c>
      <c r="BO25" s="518" t="str">
        <f t="shared" si="13"/>
        <v>-</v>
      </c>
      <c r="BP25" s="518" t="str">
        <f t="shared" si="13"/>
        <v>-</v>
      </c>
      <c r="BQ25" s="518" t="str">
        <f t="shared" si="13"/>
        <v>-</v>
      </c>
      <c r="BR25" s="518" t="str">
        <f t="shared" si="13"/>
        <v>-</v>
      </c>
      <c r="BS25" s="518" t="str">
        <f t="shared" si="13"/>
        <v>-</v>
      </c>
      <c r="BT25" s="518" t="str">
        <f t="shared" si="13"/>
        <v>-</v>
      </c>
      <c r="BU25" s="518" t="str">
        <f t="shared" si="13"/>
        <v>-</v>
      </c>
      <c r="BV25" s="518" t="str">
        <f t="shared" si="13"/>
        <v>-</v>
      </c>
      <c r="BW25" s="518" t="str">
        <f t="shared" si="13"/>
        <v>-</v>
      </c>
      <c r="BX25" s="518" t="str">
        <f t="shared" si="13"/>
        <v>-</v>
      </c>
      <c r="BY25" s="518" t="str">
        <f t="shared" si="13"/>
        <v>-</v>
      </c>
      <c r="BZ25" s="518" t="str">
        <f t="shared" si="13"/>
        <v>-</v>
      </c>
      <c r="CA25" s="518" t="str">
        <f t="shared" si="13"/>
        <v>-</v>
      </c>
    </row>
    <row r="26" spans="1:79">
      <c r="A26" s="105">
        <v>18</v>
      </c>
      <c r="B26" s="112" t="str">
        <v>1Y</v>
      </c>
      <c r="C26" s="262">
        <f>'usd disaggregated'!AM34</f>
        <v>-299.72156066605999</v>
      </c>
      <c r="D26" s="111" t="str">
        <f t="shared" si="6"/>
        <v>12M</v>
      </c>
      <c r="E26" s="517">
        <f>IF(LEN(B26)&gt;0,CHOOSE(MATCH(RIGHT(D26,1),{"D","W","M"},0),NextBusDay($C$4,LEFT(D26,LEN(D26)-1)),NextBusDay($C$4+7*LEFT(D26,LEN(D26)-1)),NextBusDay(EDATE($C$4,LEFT(D26,LEN(D26)-1)))),"")</f>
        <v>43034</v>
      </c>
      <c r="F26" s="107" t="str">
        <v>JUN 18</v>
      </c>
      <c r="G26" s="106">
        <v>43271</v>
      </c>
      <c r="H26" s="106">
        <f>BktUsdOisPL!H26</f>
        <v>43271</v>
      </c>
      <c r="I26" s="261" t="str">
        <v>F</v>
      </c>
      <c r="J26" s="106">
        <f>BktUsdOisPL!J26</f>
        <v>43363</v>
      </c>
      <c r="L26" s="522">
        <f t="shared" si="7"/>
        <v>-515.53698356680275</v>
      </c>
      <c r="N26" s="106">
        <f t="shared" si="1"/>
        <v>42907</v>
      </c>
      <c r="O26" s="106">
        <f t="shared" si="2"/>
        <v>43453</v>
      </c>
      <c r="P26" s="106">
        <f t="shared" si="3"/>
        <v>43766</v>
      </c>
      <c r="Q26" s="106" t="b">
        <f t="shared" si="4"/>
        <v>1</v>
      </c>
      <c r="R26" s="518" t="str">
        <f t="shared" si="14"/>
        <v>-</v>
      </c>
      <c r="S26" s="518" t="str">
        <f t="shared" si="14"/>
        <v>-</v>
      </c>
      <c r="T26" s="518" t="str">
        <f t="shared" si="14"/>
        <v>-</v>
      </c>
      <c r="U26" s="518" t="str">
        <f t="shared" si="14"/>
        <v>-</v>
      </c>
      <c r="V26" s="518" t="str">
        <f t="shared" si="14"/>
        <v>-</v>
      </c>
      <c r="W26" s="518" t="str">
        <f t="shared" si="14"/>
        <v>-</v>
      </c>
      <c r="X26" s="518" t="str">
        <f t="shared" si="14"/>
        <v>-</v>
      </c>
      <c r="Y26" s="518" t="str">
        <f t="shared" si="13"/>
        <v>-</v>
      </c>
      <c r="Z26" s="518" t="str">
        <f t="shared" si="13"/>
        <v>-</v>
      </c>
      <c r="AA26" s="518" t="str">
        <f t="shared" si="13"/>
        <v>-</v>
      </c>
      <c r="AB26" s="518" t="str">
        <f t="shared" si="13"/>
        <v>-</v>
      </c>
      <c r="AC26" s="518" t="str">
        <f t="shared" si="13"/>
        <v>-</v>
      </c>
      <c r="AD26" s="518" t="str">
        <f t="shared" si="13"/>
        <v>-</v>
      </c>
      <c r="AE26" s="518" t="str">
        <f t="shared" si="13"/>
        <v>-</v>
      </c>
      <c r="AF26" s="518" t="str">
        <f t="shared" si="13"/>
        <v>-</v>
      </c>
      <c r="AG26" s="518" t="str">
        <f t="shared" si="13"/>
        <v>-</v>
      </c>
      <c r="AH26" s="518" t="str">
        <f t="shared" si="13"/>
        <v>-</v>
      </c>
      <c r="AI26" s="518" t="str">
        <f t="shared" si="13"/>
        <v>-</v>
      </c>
      <c r="AJ26" s="518" t="str">
        <f t="shared" si="13"/>
        <v>-</v>
      </c>
      <c r="AK26" s="518" t="str">
        <f t="shared" si="13"/>
        <v>-</v>
      </c>
      <c r="AL26" s="518">
        <f t="shared" si="13"/>
        <v>1073.4364001071085</v>
      </c>
      <c r="AM26" s="518">
        <f t="shared" si="13"/>
        <v>-1588.9733836739113</v>
      </c>
      <c r="AN26" s="518" t="str">
        <f t="shared" si="13"/>
        <v>-</v>
      </c>
      <c r="AO26" s="518" t="str">
        <f t="shared" si="13"/>
        <v>-</v>
      </c>
      <c r="AP26" s="518" t="str">
        <f t="shared" si="13"/>
        <v>-</v>
      </c>
      <c r="AQ26" s="518" t="str">
        <f t="shared" si="13"/>
        <v>-</v>
      </c>
      <c r="AR26" s="518" t="str">
        <f t="shared" si="13"/>
        <v>-</v>
      </c>
      <c r="AS26" s="518" t="str">
        <f t="shared" si="13"/>
        <v>-</v>
      </c>
      <c r="AT26" s="518" t="str">
        <f t="shared" si="13"/>
        <v>-</v>
      </c>
      <c r="AU26" s="518" t="str">
        <f t="shared" si="13"/>
        <v>-</v>
      </c>
      <c r="AV26" s="518" t="str">
        <f t="shared" si="13"/>
        <v>-</v>
      </c>
      <c r="AW26" s="518" t="str">
        <f t="shared" si="13"/>
        <v>-</v>
      </c>
      <c r="AX26" s="518" t="str">
        <f t="shared" si="13"/>
        <v>-</v>
      </c>
      <c r="AY26" s="518" t="str">
        <f t="shared" si="13"/>
        <v>-</v>
      </c>
      <c r="AZ26" s="518" t="str">
        <f t="shared" si="13"/>
        <v>-</v>
      </c>
      <c r="BA26" s="518" t="str">
        <f t="shared" si="13"/>
        <v>-</v>
      </c>
      <c r="BB26" s="518" t="str">
        <f t="shared" si="13"/>
        <v>-</v>
      </c>
      <c r="BC26" s="518" t="str">
        <f t="shared" si="13"/>
        <v>-</v>
      </c>
      <c r="BD26" s="518" t="str">
        <f t="shared" si="13"/>
        <v>-</v>
      </c>
      <c r="BE26" s="518" t="str">
        <f t="shared" si="13"/>
        <v>-</v>
      </c>
      <c r="BF26" s="518" t="str">
        <f t="shared" si="13"/>
        <v>-</v>
      </c>
      <c r="BG26" s="518" t="str">
        <f t="shared" si="13"/>
        <v>-</v>
      </c>
      <c r="BH26" s="518" t="str">
        <f t="shared" si="13"/>
        <v>-</v>
      </c>
      <c r="BI26" s="518" t="str">
        <f t="shared" si="13"/>
        <v>-</v>
      </c>
      <c r="BJ26" s="518" t="str">
        <f t="shared" si="13"/>
        <v>-</v>
      </c>
      <c r="BK26" s="518" t="str">
        <f t="shared" si="13"/>
        <v>-</v>
      </c>
      <c r="BL26" s="518" t="str">
        <f t="shared" si="13"/>
        <v>-</v>
      </c>
      <c r="BM26" s="518" t="str">
        <f t="shared" si="13"/>
        <v>-</v>
      </c>
      <c r="BN26" s="518" t="str">
        <f t="shared" si="13"/>
        <v>-</v>
      </c>
      <c r="BO26" s="518" t="str">
        <f t="shared" si="13"/>
        <v>-</v>
      </c>
      <c r="BP26" s="518" t="str">
        <f t="shared" si="13"/>
        <v>-</v>
      </c>
      <c r="BQ26" s="518" t="str">
        <f t="shared" si="13"/>
        <v>-</v>
      </c>
      <c r="BR26" s="518" t="str">
        <f t="shared" si="13"/>
        <v>-</v>
      </c>
      <c r="BS26" s="518" t="str">
        <f t="shared" si="13"/>
        <v>-</v>
      </c>
      <c r="BT26" s="518" t="str">
        <f t="shared" si="13"/>
        <v>-</v>
      </c>
      <c r="BU26" s="518" t="str">
        <f t="shared" si="13"/>
        <v>-</v>
      </c>
      <c r="BV26" s="518" t="str">
        <f t="shared" si="13"/>
        <v>-</v>
      </c>
      <c r="BW26" s="518" t="str">
        <f t="shared" si="13"/>
        <v>-</v>
      </c>
      <c r="BX26" s="518" t="str">
        <f t="shared" si="13"/>
        <v>-</v>
      </c>
      <c r="BY26" s="518" t="str">
        <f t="shared" si="13"/>
        <v>-</v>
      </c>
      <c r="BZ26" s="518" t="str">
        <f t="shared" si="13"/>
        <v>-</v>
      </c>
      <c r="CA26" s="518" t="str">
        <f t="shared" si="13"/>
        <v>-</v>
      </c>
    </row>
    <row r="27" spans="1:79">
      <c r="A27" s="105">
        <v>19</v>
      </c>
      <c r="B27" s="112" t="str">
        <v>15M</v>
      </c>
      <c r="C27" s="262">
        <f>'usd disaggregated'!AM35</f>
        <v>-482.74384557898998</v>
      </c>
      <c r="D27" s="111" t="str">
        <f t="shared" si="6"/>
        <v>15M</v>
      </c>
      <c r="E27" s="517">
        <f>IF(LEN(B27)&gt;0,CHOOSE(MATCH(RIGHT(D27,1),{"D","W","M"},0),NextBusDay($C$4,LEFT(D27,LEN(D27)-1)),NextBusDay($C$4+7*LEFT(D27,LEN(D27)-1)),NextBusDay(EDATE($C$4,LEFT(D27,LEN(D27)-1)))),"")</f>
        <v>43126</v>
      </c>
      <c r="F27" s="107" t="str">
        <v>SEP 18</v>
      </c>
      <c r="G27" s="106">
        <v>43362</v>
      </c>
      <c r="H27" s="106">
        <f>BktUsdOisPL!H27</f>
        <v>43362</v>
      </c>
      <c r="I27" s="261" t="str">
        <v>F</v>
      </c>
      <c r="J27" s="106">
        <f>BktUsdOisPL!J27</f>
        <v>43453</v>
      </c>
      <c r="L27" s="522">
        <f t="shared" si="7"/>
        <v>-628.6048550797891</v>
      </c>
      <c r="N27" s="106">
        <f t="shared" si="1"/>
        <v>42907</v>
      </c>
      <c r="O27" s="106">
        <f t="shared" si="2"/>
        <v>43453</v>
      </c>
      <c r="P27" s="106">
        <f t="shared" si="3"/>
        <v>43766</v>
      </c>
      <c r="Q27" s="106" t="b">
        <f t="shared" si="4"/>
        <v>1</v>
      </c>
      <c r="R27" s="518" t="str">
        <f t="shared" si="14"/>
        <v>-</v>
      </c>
      <c r="S27" s="518" t="str">
        <f t="shared" si="14"/>
        <v>-</v>
      </c>
      <c r="T27" s="518" t="str">
        <f t="shared" si="14"/>
        <v>-</v>
      </c>
      <c r="U27" s="518" t="str">
        <f t="shared" si="14"/>
        <v>-</v>
      </c>
      <c r="V27" s="518" t="str">
        <f t="shared" si="14"/>
        <v>-</v>
      </c>
      <c r="W27" s="518" t="str">
        <f t="shared" si="14"/>
        <v>-</v>
      </c>
      <c r="X27" s="518" t="str">
        <f t="shared" si="14"/>
        <v>-</v>
      </c>
      <c r="Y27" s="518" t="str">
        <f t="shared" si="13"/>
        <v>-</v>
      </c>
      <c r="Z27" s="518" t="str">
        <f t="shared" si="13"/>
        <v>-</v>
      </c>
      <c r="AA27" s="518" t="str">
        <f t="shared" si="13"/>
        <v>-</v>
      </c>
      <c r="AB27" s="518" t="str">
        <f t="shared" si="13"/>
        <v>-</v>
      </c>
      <c r="AC27" s="518" t="str">
        <f t="shared" si="13"/>
        <v>-</v>
      </c>
      <c r="AD27" s="518" t="str">
        <f t="shared" si="13"/>
        <v>-</v>
      </c>
      <c r="AE27" s="518" t="str">
        <f t="shared" si="13"/>
        <v>-</v>
      </c>
      <c r="AF27" s="518" t="str">
        <f t="shared" si="13"/>
        <v>-</v>
      </c>
      <c r="AG27" s="518" t="str">
        <f t="shared" si="13"/>
        <v>-</v>
      </c>
      <c r="AH27" s="518" t="str">
        <f t="shared" si="13"/>
        <v>-</v>
      </c>
      <c r="AI27" s="518" t="str">
        <f t="shared" si="13"/>
        <v>-</v>
      </c>
      <c r="AJ27" s="518" t="str">
        <f t="shared" si="13"/>
        <v>-</v>
      </c>
      <c r="AK27" s="518" t="str">
        <f t="shared" si="13"/>
        <v>-</v>
      </c>
      <c r="AL27" s="518" t="str">
        <f t="shared" si="13"/>
        <v>-</v>
      </c>
      <c r="AM27" s="518">
        <f t="shared" si="13"/>
        <v>-628.6048550797891</v>
      </c>
      <c r="AN27" s="518" t="str">
        <f t="shared" si="13"/>
        <v>-</v>
      </c>
      <c r="AO27" s="518" t="str">
        <f t="shared" si="13"/>
        <v>-</v>
      </c>
      <c r="AP27" s="518" t="str">
        <f t="shared" si="13"/>
        <v>-</v>
      </c>
      <c r="AQ27" s="518" t="str">
        <f t="shared" si="13"/>
        <v>-</v>
      </c>
      <c r="AR27" s="518" t="str">
        <f t="shared" si="13"/>
        <v>-</v>
      </c>
      <c r="AS27" s="518" t="str">
        <f t="shared" si="13"/>
        <v>-</v>
      </c>
      <c r="AT27" s="518" t="str">
        <f t="shared" si="13"/>
        <v>-</v>
      </c>
      <c r="AU27" s="518" t="str">
        <f t="shared" si="13"/>
        <v>-</v>
      </c>
      <c r="AV27" s="518" t="str">
        <f t="shared" si="13"/>
        <v>-</v>
      </c>
      <c r="AW27" s="518" t="str">
        <f t="shared" si="13"/>
        <v>-</v>
      </c>
      <c r="AX27" s="518" t="str">
        <f t="shared" si="13"/>
        <v>-</v>
      </c>
      <c r="AY27" s="518" t="str">
        <f t="shared" si="13"/>
        <v>-</v>
      </c>
      <c r="AZ27" s="518" t="str">
        <f t="shared" si="13"/>
        <v>-</v>
      </c>
      <c r="BA27" s="518" t="str">
        <f t="shared" si="13"/>
        <v>-</v>
      </c>
      <c r="BB27" s="518" t="str">
        <f t="shared" si="13"/>
        <v>-</v>
      </c>
      <c r="BC27" s="518" t="str">
        <f t="shared" si="13"/>
        <v>-</v>
      </c>
      <c r="BD27" s="518" t="str">
        <f t="shared" si="13"/>
        <v>-</v>
      </c>
      <c r="BE27" s="518" t="str">
        <f t="shared" si="13"/>
        <v>-</v>
      </c>
      <c r="BF27" s="518" t="str">
        <f t="shared" si="13"/>
        <v>-</v>
      </c>
      <c r="BG27" s="518" t="str">
        <f t="shared" si="13"/>
        <v>-</v>
      </c>
      <c r="BH27" s="518" t="str">
        <f t="shared" si="13"/>
        <v>-</v>
      </c>
      <c r="BI27" s="518" t="str">
        <f t="shared" si="13"/>
        <v>-</v>
      </c>
      <c r="BJ27" s="518" t="str">
        <f t="shared" si="13"/>
        <v>-</v>
      </c>
      <c r="BK27" s="518" t="str">
        <f t="shared" si="13"/>
        <v>-</v>
      </c>
      <c r="BL27" s="518" t="str">
        <f t="shared" si="13"/>
        <v>-</v>
      </c>
      <c r="BM27" s="518" t="str">
        <f t="shared" si="13"/>
        <v>-</v>
      </c>
      <c r="BN27" s="518" t="str">
        <f t="shared" si="13"/>
        <v>-</v>
      </c>
      <c r="BO27" s="518" t="str">
        <f t="shared" si="13"/>
        <v>-</v>
      </c>
      <c r="BP27" s="518" t="str">
        <f t="shared" si="13"/>
        <v>-</v>
      </c>
      <c r="BQ27" s="518" t="str">
        <f t="shared" si="13"/>
        <v>-</v>
      </c>
      <c r="BR27" s="518" t="str">
        <f t="shared" si="13"/>
        <v>-</v>
      </c>
      <c r="BS27" s="518" t="str">
        <f t="shared" si="13"/>
        <v>-</v>
      </c>
      <c r="BT27" s="518" t="str">
        <f t="shared" si="13"/>
        <v>-</v>
      </c>
      <c r="BU27" s="518" t="str">
        <f t="shared" si="13"/>
        <v>-</v>
      </c>
      <c r="BV27" s="518" t="str">
        <f t="shared" si="13"/>
        <v>-</v>
      </c>
      <c r="BW27" s="518" t="str">
        <f t="shared" si="13"/>
        <v>-</v>
      </c>
      <c r="BX27" s="518" t="str">
        <f t="shared" si="13"/>
        <v>-</v>
      </c>
      <c r="BY27" s="518" t="str">
        <f t="shared" si="13"/>
        <v>-</v>
      </c>
      <c r="BZ27" s="518" t="str">
        <f t="shared" si="13"/>
        <v>-</v>
      </c>
      <c r="CA27" s="518" t="str">
        <f t="shared" si="13"/>
        <v>-</v>
      </c>
    </row>
    <row r="28" spans="1:79">
      <c r="A28" s="105">
        <v>20</v>
      </c>
      <c r="B28" s="112" t="str">
        <v>18M</v>
      </c>
      <c r="C28" s="262">
        <f>'usd disaggregated'!AM36</f>
        <v>-9436.0234081921099</v>
      </c>
      <c r="D28" s="111" t="str">
        <f t="shared" si="6"/>
        <v>18M</v>
      </c>
      <c r="E28" s="517">
        <f>IF(LEN(B28)&gt;0,CHOOSE(MATCH(RIGHT(D28,1),{"D","W","M"},0),NextBusDay($C$4,LEFT(D28,LEN(D28)-1)),NextBusDay($C$4+7*LEFT(D28,LEN(D28)-1)),NextBusDay(EDATE($C$4,LEFT(D28,LEN(D28)-1)))),"")</f>
        <v>43216</v>
      </c>
      <c r="F28" s="107" t="str">
        <v>3Y</v>
      </c>
      <c r="G28" s="106" t="str">
        <v>3Y</v>
      </c>
      <c r="H28" s="106" t="str">
        <f>BktUsdOisPL!H28</f>
        <v>36M</v>
      </c>
      <c r="I28" s="261" t="str">
        <v>W</v>
      </c>
      <c r="J28" s="106">
        <f>BktUsdOisPL!J28</f>
        <v>43766</v>
      </c>
      <c r="L28" s="522">
        <f t="shared" si="7"/>
        <v>-1211.47200154542</v>
      </c>
      <c r="N28" s="106">
        <f t="shared" si="1"/>
        <v>42907</v>
      </c>
      <c r="O28" s="106">
        <f>IF(AND(Q27,NOT(Q28)),J27,IF(OR(Q28,Q29),O29,"-"))</f>
        <v>43453</v>
      </c>
      <c r="P28" s="106">
        <f t="shared" si="3"/>
        <v>43766</v>
      </c>
      <c r="Q28" s="106" t="b">
        <f t="shared" si="4"/>
        <v>0</v>
      </c>
      <c r="R28" s="518" t="str">
        <f t="shared" si="14"/>
        <v>-</v>
      </c>
      <c r="S28" s="518" t="str">
        <f t="shared" si="14"/>
        <v>-</v>
      </c>
      <c r="T28" s="518" t="str">
        <f t="shared" si="14"/>
        <v>-</v>
      </c>
      <c r="U28" s="518" t="str">
        <f t="shared" si="14"/>
        <v>-</v>
      </c>
      <c r="V28" s="518" t="str">
        <f t="shared" si="14"/>
        <v>-</v>
      </c>
      <c r="W28" s="518" t="str">
        <f t="shared" si="14"/>
        <v>-</v>
      </c>
      <c r="X28" s="518" t="str">
        <f t="shared" si="14"/>
        <v>-</v>
      </c>
      <c r="Y28" s="518" t="str">
        <f t="shared" si="13"/>
        <v>-</v>
      </c>
      <c r="Z28" s="518" t="str">
        <f t="shared" si="13"/>
        <v>-</v>
      </c>
      <c r="AA28" s="518" t="str">
        <f t="shared" si="13"/>
        <v>-</v>
      </c>
      <c r="AB28" s="518" t="str">
        <f t="shared" si="13"/>
        <v>-</v>
      </c>
      <c r="AC28" s="518" t="str">
        <f t="shared" si="13"/>
        <v>-</v>
      </c>
      <c r="AD28" s="518" t="str">
        <f t="shared" si="13"/>
        <v>-</v>
      </c>
      <c r="AE28" s="518" t="str">
        <f t="shared" si="13"/>
        <v>-</v>
      </c>
      <c r="AF28" s="518" t="str">
        <f t="shared" si="13"/>
        <v>-</v>
      </c>
      <c r="AG28" s="518" t="str">
        <f t="shared" si="13"/>
        <v>-</v>
      </c>
      <c r="AH28" s="518" t="str">
        <f t="shared" si="13"/>
        <v>-</v>
      </c>
      <c r="AI28" s="518" t="str">
        <f t="shared" si="13"/>
        <v>-</v>
      </c>
      <c r="AJ28" s="518" t="str">
        <f t="shared" si="13"/>
        <v>-</v>
      </c>
      <c r="AK28" s="518" t="str">
        <f t="shared" si="13"/>
        <v>-</v>
      </c>
      <c r="AL28" s="518" t="str">
        <f t="shared" si="13"/>
        <v>-</v>
      </c>
      <c r="AM28" s="518" t="str">
        <f t="shared" si="13"/>
        <v>-</v>
      </c>
      <c r="AN28" s="518">
        <f t="shared" si="13"/>
        <v>-1211.47200154542</v>
      </c>
      <c r="AO28" s="518" t="str">
        <f t="shared" si="13"/>
        <v>-</v>
      </c>
      <c r="AP28" s="518" t="str">
        <f t="shared" si="13"/>
        <v>-</v>
      </c>
      <c r="AQ28" s="518" t="str">
        <f t="shared" si="13"/>
        <v>-</v>
      </c>
      <c r="AR28" s="518" t="str">
        <f t="shared" si="13"/>
        <v>-</v>
      </c>
      <c r="AS28" s="518" t="str">
        <f t="shared" si="13"/>
        <v>-</v>
      </c>
      <c r="AT28" s="518" t="str">
        <f t="shared" si="13"/>
        <v>-</v>
      </c>
      <c r="AU28" s="518" t="str">
        <f t="shared" si="13"/>
        <v>-</v>
      </c>
      <c r="AV28" s="518" t="str">
        <f t="shared" si="13"/>
        <v>-</v>
      </c>
      <c r="AW28" s="518" t="str">
        <f t="shared" si="13"/>
        <v>-</v>
      </c>
      <c r="AX28" s="518" t="str">
        <f t="shared" si="13"/>
        <v>-</v>
      </c>
      <c r="AY28" s="518" t="str">
        <f t="shared" si="13"/>
        <v>-</v>
      </c>
      <c r="AZ28" s="518" t="str">
        <f t="shared" si="13"/>
        <v>-</v>
      </c>
      <c r="BA28" s="518" t="str">
        <f t="shared" si="13"/>
        <v>-</v>
      </c>
      <c r="BB28" s="518" t="str">
        <f t="shared" si="13"/>
        <v>-</v>
      </c>
      <c r="BC28" s="518" t="str">
        <f t="shared" si="13"/>
        <v>-</v>
      </c>
      <c r="BD28" s="518" t="str">
        <f t="shared" si="13"/>
        <v>-</v>
      </c>
      <c r="BE28" s="518" t="str">
        <f t="shared" si="13"/>
        <v>-</v>
      </c>
      <c r="BF28" s="518" t="str">
        <f t="shared" si="13"/>
        <v>-</v>
      </c>
      <c r="BG28" s="518" t="str">
        <f t="shared" si="13"/>
        <v>-</v>
      </c>
      <c r="BH28" s="518" t="str">
        <f t="shared" ref="BH28:CA31" si="15">IF(LEN($F28)&gt;0,IF(AND(BH$8=$J28,NOT(AND(BH$8&gt;=$N28,BH$8&lt;$P28))),BH$6,IF(AND(NOT(BH$8&gt;$J27),BH$8&lt;$J28),"-",IF(AND(BH$8&gt;=$N28,BH$8&lt;$P28),IF(BH$8&lt;$O28,IF($J28=$N28,BH$6*($J28-$C$4)/(BH$8-$C$4),IF(BH$8&lt;$J28,BH$6*((BH$8-$C$4)-($J27-$C$4))/(BH$8-$C$4),BH$6*(($J28-$J27))/(BH$8-$C$4) )),IF($J28=$N28,BH$6*($P28-BH$8)/($P28-$O28)*($J28-$C$4)/($O28-$C$4),IF(BH$8&lt;$J28,BH$6*(BH$8-$O28)/($P28-$O28),BH$6*($P28-BH$8)/($P28-$O28)*($J28-$J27)/($O28-$C$4)))),IF(AND(BH$8&gt;$J27,BH$8&lt;$J28),BH$6*(BH$8-$J27)/($J28-$J27),IF(AND(BH$8&gt;$J28,BH$8&lt;$J29),BH$6*($J29-BH$8)/($J29-$J28),"-"))))),"-")</f>
        <v>-</v>
      </c>
      <c r="BI28" s="518" t="str">
        <f t="shared" si="15"/>
        <v>-</v>
      </c>
      <c r="BJ28" s="518" t="str">
        <f t="shared" si="15"/>
        <v>-</v>
      </c>
      <c r="BK28" s="518" t="str">
        <f t="shared" si="15"/>
        <v>-</v>
      </c>
      <c r="BL28" s="518" t="str">
        <f t="shared" si="15"/>
        <v>-</v>
      </c>
      <c r="BM28" s="518" t="str">
        <f t="shared" si="15"/>
        <v>-</v>
      </c>
      <c r="BN28" s="518" t="str">
        <f t="shared" si="15"/>
        <v>-</v>
      </c>
      <c r="BO28" s="518" t="str">
        <f t="shared" si="15"/>
        <v>-</v>
      </c>
      <c r="BP28" s="518" t="str">
        <f t="shared" si="15"/>
        <v>-</v>
      </c>
      <c r="BQ28" s="518" t="str">
        <f t="shared" si="15"/>
        <v>-</v>
      </c>
      <c r="BR28" s="518" t="str">
        <f t="shared" si="15"/>
        <v>-</v>
      </c>
      <c r="BS28" s="518" t="str">
        <f t="shared" si="15"/>
        <v>-</v>
      </c>
      <c r="BT28" s="518" t="str">
        <f t="shared" si="15"/>
        <v>-</v>
      </c>
      <c r="BU28" s="518" t="str">
        <f t="shared" si="15"/>
        <v>-</v>
      </c>
      <c r="BV28" s="518" t="str">
        <f t="shared" si="15"/>
        <v>-</v>
      </c>
      <c r="BW28" s="518" t="str">
        <f t="shared" si="15"/>
        <v>-</v>
      </c>
      <c r="BX28" s="518" t="str">
        <f t="shared" si="15"/>
        <v>-</v>
      </c>
      <c r="BY28" s="518" t="str">
        <f t="shared" si="15"/>
        <v>-</v>
      </c>
      <c r="BZ28" s="518" t="str">
        <f t="shared" si="15"/>
        <v>-</v>
      </c>
      <c r="CA28" s="518" t="str">
        <f t="shared" si="15"/>
        <v>-</v>
      </c>
    </row>
    <row r="29" spans="1:79">
      <c r="A29" s="105">
        <v>21</v>
      </c>
      <c r="B29" s="112" t="str">
        <v>21M</v>
      </c>
      <c r="C29" s="262">
        <f>'usd disaggregated'!AM37</f>
        <v>19555.612306779502</v>
      </c>
      <c r="D29" s="111" t="str">
        <f t="shared" si="6"/>
        <v>21M</v>
      </c>
      <c r="E29" s="517">
        <f>IF(LEN(B29)&gt;0,CHOOSE(MATCH(RIGHT(D29,1),{"D","W","M"},0),NextBusDay($C$4,LEFT(D29,LEN(D29)-1)),NextBusDay($C$4+7*LEFT(D29,LEN(D29)-1)),NextBusDay(EDATE($C$4,LEFT(D29,LEN(D29)-1)))),"")</f>
        <v>43307</v>
      </c>
      <c r="F29" s="107" t="str">
        <v>4Y</v>
      </c>
      <c r="G29" s="106" t="str">
        <v>4Y</v>
      </c>
      <c r="H29" s="106" t="str">
        <f>BktUsdOisPL!H29</f>
        <v>48M</v>
      </c>
      <c r="I29" s="261" t="str">
        <v>W</v>
      </c>
      <c r="J29" s="106">
        <f>BktUsdOisPL!J29</f>
        <v>44130</v>
      </c>
      <c r="L29" s="522">
        <f t="shared" si="7"/>
        <v>-3865.4308346171501</v>
      </c>
      <c r="N29" s="106" t="str">
        <f t="shared" si="1"/>
        <v>-</v>
      </c>
      <c r="O29" s="106" t="str">
        <f t="shared" ref="O29:O78" si="16">IF(AND(Q28,NOT(Q29)),J28,IF(OR(Q29,Q30),O30,"-"))</f>
        <v>-</v>
      </c>
      <c r="P29" s="106" t="str">
        <f t="shared" si="3"/>
        <v>-</v>
      </c>
      <c r="Q29" s="106" t="b">
        <f t="shared" si="4"/>
        <v>0</v>
      </c>
      <c r="R29" s="518" t="str">
        <f t="shared" si="14"/>
        <v>-</v>
      </c>
      <c r="S29" s="518" t="str">
        <f t="shared" si="14"/>
        <v>-</v>
      </c>
      <c r="T29" s="518" t="str">
        <f t="shared" si="14"/>
        <v>-</v>
      </c>
      <c r="U29" s="518" t="str">
        <f t="shared" si="14"/>
        <v>-</v>
      </c>
      <c r="V29" s="518" t="str">
        <f t="shared" si="14"/>
        <v>-</v>
      </c>
      <c r="W29" s="518" t="str">
        <f t="shared" si="14"/>
        <v>-</v>
      </c>
      <c r="X29" s="518" t="str">
        <f t="shared" si="14"/>
        <v>-</v>
      </c>
      <c r="Y29" s="518" t="str">
        <f t="shared" si="14"/>
        <v>-</v>
      </c>
      <c r="Z29" s="518" t="str">
        <f t="shared" si="14"/>
        <v>-</v>
      </c>
      <c r="AA29" s="518" t="str">
        <f t="shared" si="14"/>
        <v>-</v>
      </c>
      <c r="AB29" s="518" t="str">
        <f t="shared" si="14"/>
        <v>-</v>
      </c>
      <c r="AC29" s="518" t="str">
        <f t="shared" si="14"/>
        <v>-</v>
      </c>
      <c r="AD29" s="518" t="str">
        <f t="shared" si="14"/>
        <v>-</v>
      </c>
      <c r="AE29" s="518" t="str">
        <f t="shared" si="14"/>
        <v>-</v>
      </c>
      <c r="AF29" s="518" t="str">
        <f t="shared" si="14"/>
        <v>-</v>
      </c>
      <c r="AG29" s="518" t="str">
        <f t="shared" si="14"/>
        <v>-</v>
      </c>
      <c r="AH29" s="518" t="str">
        <f t="shared" ref="AH29:BG31" si="17">IF(LEN($F29)&gt;0,IF(AND(AH$8=$J29,NOT(AND(AH$8&gt;=$N29,AH$8&lt;$P29))),AH$6,IF(AND(NOT(AH$8&gt;$J28),AH$8&lt;$J29),"-",IF(AND(AH$8&gt;=$N29,AH$8&lt;$P29),IF(AH$8&lt;$O29,IF($J29=$N29,AH$6*($J29-$C$4)/(AH$8-$C$4),IF(AH$8&lt;$J29,AH$6*((AH$8-$C$4)-($J28-$C$4))/(AH$8-$C$4),AH$6*(($J29-$J28))/(AH$8-$C$4) )),IF($J29=$N29,AH$6*($P29-AH$8)/($P29-$O29)*($J29-$C$4)/($O29-$C$4),IF(AH$8&lt;$J29,AH$6*(AH$8-$O29)/($P29-$O29),AH$6*($P29-AH$8)/($P29-$O29)*($J29-$J28)/($O29-$C$4)))),IF(AND(AH$8&gt;$J28,AH$8&lt;$J29),AH$6*(AH$8-$J28)/($J29-$J28),IF(AND(AH$8&gt;$J29,AH$8&lt;$J30),AH$6*($J30-AH$8)/($J30-$J29),"-"))))),"-")</f>
        <v>-</v>
      </c>
      <c r="AI29" s="518" t="str">
        <f t="shared" si="17"/>
        <v>-</v>
      </c>
      <c r="AJ29" s="518" t="str">
        <f t="shared" si="17"/>
        <v>-</v>
      </c>
      <c r="AK29" s="518" t="str">
        <f t="shared" si="17"/>
        <v>-</v>
      </c>
      <c r="AL29" s="518" t="str">
        <f t="shared" si="17"/>
        <v>-</v>
      </c>
      <c r="AM29" s="518" t="str">
        <f t="shared" si="17"/>
        <v>-</v>
      </c>
      <c r="AN29" s="518" t="str">
        <f t="shared" si="17"/>
        <v>-</v>
      </c>
      <c r="AO29" s="518">
        <f t="shared" si="17"/>
        <v>-3865.4308346171501</v>
      </c>
      <c r="AP29" s="518" t="str">
        <f t="shared" si="17"/>
        <v>-</v>
      </c>
      <c r="AQ29" s="518" t="str">
        <f t="shared" si="17"/>
        <v>-</v>
      </c>
      <c r="AR29" s="518" t="str">
        <f t="shared" si="17"/>
        <v>-</v>
      </c>
      <c r="AS29" s="518" t="str">
        <f t="shared" si="17"/>
        <v>-</v>
      </c>
      <c r="AT29" s="518" t="str">
        <f t="shared" si="17"/>
        <v>-</v>
      </c>
      <c r="AU29" s="518" t="str">
        <f t="shared" si="17"/>
        <v>-</v>
      </c>
      <c r="AV29" s="518" t="str">
        <f t="shared" si="17"/>
        <v>-</v>
      </c>
      <c r="AW29" s="518" t="str">
        <f t="shared" si="17"/>
        <v>-</v>
      </c>
      <c r="AX29" s="518" t="str">
        <f t="shared" si="17"/>
        <v>-</v>
      </c>
      <c r="AY29" s="518" t="str">
        <f t="shared" si="17"/>
        <v>-</v>
      </c>
      <c r="AZ29" s="518" t="str">
        <f t="shared" si="17"/>
        <v>-</v>
      </c>
      <c r="BA29" s="518" t="str">
        <f t="shared" si="17"/>
        <v>-</v>
      </c>
      <c r="BB29" s="518" t="str">
        <f t="shared" si="17"/>
        <v>-</v>
      </c>
      <c r="BC29" s="518" t="str">
        <f t="shared" si="17"/>
        <v>-</v>
      </c>
      <c r="BD29" s="518" t="str">
        <f t="shared" si="17"/>
        <v>-</v>
      </c>
      <c r="BE29" s="518" t="str">
        <f t="shared" si="17"/>
        <v>-</v>
      </c>
      <c r="BF29" s="518" t="str">
        <f t="shared" si="17"/>
        <v>-</v>
      </c>
      <c r="BG29" s="518" t="str">
        <f t="shared" si="17"/>
        <v>-</v>
      </c>
      <c r="BH29" s="518" t="str">
        <f t="shared" si="15"/>
        <v>-</v>
      </c>
      <c r="BI29" s="518" t="str">
        <f t="shared" si="15"/>
        <v>-</v>
      </c>
      <c r="BJ29" s="518" t="str">
        <f t="shared" si="15"/>
        <v>-</v>
      </c>
      <c r="BK29" s="518" t="str">
        <f t="shared" si="15"/>
        <v>-</v>
      </c>
      <c r="BL29" s="518" t="str">
        <f t="shared" si="15"/>
        <v>-</v>
      </c>
      <c r="BM29" s="518" t="str">
        <f t="shared" si="15"/>
        <v>-</v>
      </c>
      <c r="BN29" s="518" t="str">
        <f t="shared" si="15"/>
        <v>-</v>
      </c>
      <c r="BO29" s="518" t="str">
        <f t="shared" si="15"/>
        <v>-</v>
      </c>
      <c r="BP29" s="518" t="str">
        <f t="shared" si="15"/>
        <v>-</v>
      </c>
      <c r="BQ29" s="518" t="str">
        <f t="shared" si="15"/>
        <v>-</v>
      </c>
      <c r="BR29" s="518" t="str">
        <f t="shared" si="15"/>
        <v>-</v>
      </c>
      <c r="BS29" s="518" t="str">
        <f t="shared" si="15"/>
        <v>-</v>
      </c>
      <c r="BT29" s="518" t="str">
        <f t="shared" si="15"/>
        <v>-</v>
      </c>
      <c r="BU29" s="518" t="str">
        <f t="shared" si="15"/>
        <v>-</v>
      </c>
      <c r="BV29" s="518" t="str">
        <f t="shared" si="15"/>
        <v>-</v>
      </c>
      <c r="BW29" s="518" t="str">
        <f t="shared" si="15"/>
        <v>-</v>
      </c>
      <c r="BX29" s="518" t="str">
        <f t="shared" si="15"/>
        <v>-</v>
      </c>
      <c r="BY29" s="518" t="str">
        <f t="shared" si="15"/>
        <v>-</v>
      </c>
      <c r="BZ29" s="518" t="str">
        <f t="shared" si="15"/>
        <v>-</v>
      </c>
      <c r="CA29" s="518" t="str">
        <f t="shared" si="15"/>
        <v>-</v>
      </c>
    </row>
    <row r="30" spans="1:79">
      <c r="A30" s="105">
        <v>22</v>
      </c>
      <c r="B30" s="112" t="str">
        <v>2Y</v>
      </c>
      <c r="C30" s="262">
        <f>'usd disaggregated'!AM38</f>
        <v>-12740.105410923999</v>
      </c>
      <c r="D30" s="111" t="str">
        <f t="shared" si="6"/>
        <v>24M</v>
      </c>
      <c r="E30" s="517">
        <f>IF(LEN(B30)&gt;0,CHOOSE(MATCH(RIGHT(D30,1),{"D","W","M"},0),NextBusDay($C$4,LEFT(D30,LEN(D30)-1)),NextBusDay($C$4+7*LEFT(D30,LEN(D30)-1)),NextBusDay(EDATE($C$4,LEFT(D30,LEN(D30)-1)))),"")</f>
        <v>43399</v>
      </c>
      <c r="F30" s="107" t="str">
        <v>5Y</v>
      </c>
      <c r="G30" s="106" t="str">
        <v>5Y</v>
      </c>
      <c r="H30" s="106" t="str">
        <f>BktUsdOisPL!H30</f>
        <v>60M</v>
      </c>
      <c r="I30" s="261" t="str">
        <v>W</v>
      </c>
      <c r="J30" s="106">
        <f>BktUsdOisPL!J30</f>
        <v>44495</v>
      </c>
      <c r="L30" s="522">
        <f t="shared" si="7"/>
        <v>2350.66744449014</v>
      </c>
      <c r="N30" s="106" t="str">
        <f t="shared" si="1"/>
        <v>-</v>
      </c>
      <c r="O30" s="106" t="str">
        <f t="shared" si="16"/>
        <v>-</v>
      </c>
      <c r="P30" s="106" t="str">
        <f t="shared" si="3"/>
        <v>-</v>
      </c>
      <c r="Q30" s="106" t="b">
        <f t="shared" si="4"/>
        <v>0</v>
      </c>
      <c r="R30" s="518" t="str">
        <f t="shared" si="14"/>
        <v>-</v>
      </c>
      <c r="S30" s="518" t="str">
        <f t="shared" si="14"/>
        <v>-</v>
      </c>
      <c r="T30" s="518" t="str">
        <f t="shared" si="14"/>
        <v>-</v>
      </c>
      <c r="U30" s="518" t="str">
        <f t="shared" si="14"/>
        <v>-</v>
      </c>
      <c r="V30" s="518" t="str">
        <f t="shared" si="14"/>
        <v>-</v>
      </c>
      <c r="W30" s="518" t="str">
        <f t="shared" si="14"/>
        <v>-</v>
      </c>
      <c r="X30" s="518" t="str">
        <f t="shared" si="14"/>
        <v>-</v>
      </c>
      <c r="Y30" s="518" t="str">
        <f t="shared" si="14"/>
        <v>-</v>
      </c>
      <c r="Z30" s="518" t="str">
        <f t="shared" si="14"/>
        <v>-</v>
      </c>
      <c r="AA30" s="518" t="str">
        <f t="shared" si="14"/>
        <v>-</v>
      </c>
      <c r="AB30" s="518" t="str">
        <f t="shared" si="14"/>
        <v>-</v>
      </c>
      <c r="AC30" s="518" t="str">
        <f t="shared" si="14"/>
        <v>-</v>
      </c>
      <c r="AD30" s="518" t="str">
        <f t="shared" si="14"/>
        <v>-</v>
      </c>
      <c r="AE30" s="518" t="str">
        <f t="shared" si="14"/>
        <v>-</v>
      </c>
      <c r="AF30" s="518" t="str">
        <f t="shared" si="14"/>
        <v>-</v>
      </c>
      <c r="AG30" s="518" t="str">
        <f t="shared" si="14"/>
        <v>-</v>
      </c>
      <c r="AH30" s="518" t="str">
        <f t="shared" si="17"/>
        <v>-</v>
      </c>
      <c r="AI30" s="518" t="str">
        <f t="shared" si="17"/>
        <v>-</v>
      </c>
      <c r="AJ30" s="518" t="str">
        <f t="shared" si="17"/>
        <v>-</v>
      </c>
      <c r="AK30" s="518" t="str">
        <f t="shared" si="17"/>
        <v>-</v>
      </c>
      <c r="AL30" s="518" t="str">
        <f t="shared" si="17"/>
        <v>-</v>
      </c>
      <c r="AM30" s="518" t="str">
        <f t="shared" si="17"/>
        <v>-</v>
      </c>
      <c r="AN30" s="518" t="str">
        <f t="shared" si="17"/>
        <v>-</v>
      </c>
      <c r="AO30" s="518" t="str">
        <f t="shared" si="17"/>
        <v>-</v>
      </c>
      <c r="AP30" s="518">
        <f t="shared" si="17"/>
        <v>2350.66744449014</v>
      </c>
      <c r="AQ30" s="518" t="str">
        <f t="shared" si="17"/>
        <v>-</v>
      </c>
      <c r="AR30" s="518" t="str">
        <f t="shared" si="17"/>
        <v>-</v>
      </c>
      <c r="AS30" s="518" t="str">
        <f t="shared" si="17"/>
        <v>-</v>
      </c>
      <c r="AT30" s="518" t="str">
        <f t="shared" si="17"/>
        <v>-</v>
      </c>
      <c r="AU30" s="518" t="str">
        <f t="shared" si="17"/>
        <v>-</v>
      </c>
      <c r="AV30" s="518" t="str">
        <f t="shared" si="17"/>
        <v>-</v>
      </c>
      <c r="AW30" s="518" t="str">
        <f t="shared" si="17"/>
        <v>-</v>
      </c>
      <c r="AX30" s="518" t="str">
        <f t="shared" si="17"/>
        <v>-</v>
      </c>
      <c r="AY30" s="518" t="str">
        <f t="shared" si="17"/>
        <v>-</v>
      </c>
      <c r="AZ30" s="518" t="str">
        <f t="shared" si="17"/>
        <v>-</v>
      </c>
      <c r="BA30" s="518" t="str">
        <f t="shared" si="17"/>
        <v>-</v>
      </c>
      <c r="BB30" s="518" t="str">
        <f t="shared" si="17"/>
        <v>-</v>
      </c>
      <c r="BC30" s="518" t="str">
        <f t="shared" si="17"/>
        <v>-</v>
      </c>
      <c r="BD30" s="518" t="str">
        <f t="shared" si="17"/>
        <v>-</v>
      </c>
      <c r="BE30" s="518" t="str">
        <f t="shared" si="17"/>
        <v>-</v>
      </c>
      <c r="BF30" s="518" t="str">
        <f t="shared" si="17"/>
        <v>-</v>
      </c>
      <c r="BG30" s="518" t="str">
        <f t="shared" si="17"/>
        <v>-</v>
      </c>
      <c r="BH30" s="518" t="str">
        <f t="shared" si="15"/>
        <v>-</v>
      </c>
      <c r="BI30" s="518" t="str">
        <f t="shared" si="15"/>
        <v>-</v>
      </c>
      <c r="BJ30" s="518" t="str">
        <f t="shared" si="15"/>
        <v>-</v>
      </c>
      <c r="BK30" s="518" t="str">
        <f t="shared" si="15"/>
        <v>-</v>
      </c>
      <c r="BL30" s="518" t="str">
        <f t="shared" si="15"/>
        <v>-</v>
      </c>
      <c r="BM30" s="518" t="str">
        <f t="shared" si="15"/>
        <v>-</v>
      </c>
      <c r="BN30" s="518" t="str">
        <f t="shared" si="15"/>
        <v>-</v>
      </c>
      <c r="BO30" s="518" t="str">
        <f t="shared" si="15"/>
        <v>-</v>
      </c>
      <c r="BP30" s="518" t="str">
        <f t="shared" si="15"/>
        <v>-</v>
      </c>
      <c r="BQ30" s="518" t="str">
        <f t="shared" si="15"/>
        <v>-</v>
      </c>
      <c r="BR30" s="518" t="str">
        <f t="shared" si="15"/>
        <v>-</v>
      </c>
      <c r="BS30" s="518" t="str">
        <f t="shared" si="15"/>
        <v>-</v>
      </c>
      <c r="BT30" s="518" t="str">
        <f t="shared" si="15"/>
        <v>-</v>
      </c>
      <c r="BU30" s="518" t="str">
        <f t="shared" si="15"/>
        <v>-</v>
      </c>
      <c r="BV30" s="518" t="str">
        <f t="shared" si="15"/>
        <v>-</v>
      </c>
      <c r="BW30" s="518" t="str">
        <f t="shared" si="15"/>
        <v>-</v>
      </c>
      <c r="BX30" s="518" t="str">
        <f t="shared" si="15"/>
        <v>-</v>
      </c>
      <c r="BY30" s="518" t="str">
        <f t="shared" si="15"/>
        <v>-</v>
      </c>
      <c r="BZ30" s="518" t="str">
        <f t="shared" si="15"/>
        <v>-</v>
      </c>
      <c r="CA30" s="518" t="str">
        <f t="shared" si="15"/>
        <v>-</v>
      </c>
    </row>
    <row r="31" spans="1:79">
      <c r="A31" s="105">
        <v>23</v>
      </c>
      <c r="B31" s="112" t="str">
        <v>3Y</v>
      </c>
      <c r="C31" s="262">
        <f>'usd disaggregated'!AM39</f>
        <v>-1211.47200154542</v>
      </c>
      <c r="D31" s="111" t="str">
        <f t="shared" si="6"/>
        <v>36M</v>
      </c>
      <c r="E31" s="517">
        <f>IF(LEN(B31)&gt;0,CHOOSE(MATCH(RIGHT(D31,1),{"D","W","M"},0),NextBusDay($C$4,LEFT(D31,LEN(D31)-1)),NextBusDay($C$4+7*LEFT(D31,LEN(D31)-1)),NextBusDay(EDATE($C$4,LEFT(D31,LEN(D31)-1)))),"")</f>
        <v>43766</v>
      </c>
      <c r="F31" s="107" t="str">
        <v>6Y</v>
      </c>
      <c r="G31" s="106" t="str">
        <v>6Y</v>
      </c>
      <c r="H31" s="106" t="str">
        <f>BktUsdOisPL!H31</f>
        <v>72M</v>
      </c>
      <c r="I31" s="261" t="str">
        <v>W</v>
      </c>
      <c r="J31" s="106">
        <f>BktUsdOisPL!J31</f>
        <v>44860</v>
      </c>
      <c r="L31" s="522">
        <f t="shared" si="7"/>
        <v>4118.0524420775801</v>
      </c>
      <c r="N31" s="106" t="str">
        <f t="shared" si="1"/>
        <v>-</v>
      </c>
      <c r="O31" s="106" t="str">
        <f t="shared" si="16"/>
        <v>-</v>
      </c>
      <c r="P31" s="106" t="str">
        <f t="shared" si="3"/>
        <v>-</v>
      </c>
      <c r="Q31" s="106" t="b">
        <f t="shared" si="4"/>
        <v>0</v>
      </c>
      <c r="R31" s="518" t="str">
        <f t="shared" si="14"/>
        <v>-</v>
      </c>
      <c r="S31" s="518" t="str">
        <f t="shared" si="14"/>
        <v>-</v>
      </c>
      <c r="T31" s="518" t="str">
        <f t="shared" si="14"/>
        <v>-</v>
      </c>
      <c r="U31" s="518" t="str">
        <f t="shared" si="14"/>
        <v>-</v>
      </c>
      <c r="V31" s="518" t="str">
        <f t="shared" si="14"/>
        <v>-</v>
      </c>
      <c r="W31" s="518" t="str">
        <f t="shared" si="14"/>
        <v>-</v>
      </c>
      <c r="X31" s="518" t="str">
        <f t="shared" si="14"/>
        <v>-</v>
      </c>
      <c r="Y31" s="518" t="str">
        <f t="shared" si="14"/>
        <v>-</v>
      </c>
      <c r="Z31" s="518" t="str">
        <f t="shared" si="14"/>
        <v>-</v>
      </c>
      <c r="AA31" s="518" t="str">
        <f t="shared" si="14"/>
        <v>-</v>
      </c>
      <c r="AB31" s="518" t="str">
        <f t="shared" si="14"/>
        <v>-</v>
      </c>
      <c r="AC31" s="518" t="str">
        <f t="shared" si="14"/>
        <v>-</v>
      </c>
      <c r="AD31" s="518" t="str">
        <f t="shared" si="14"/>
        <v>-</v>
      </c>
      <c r="AE31" s="518" t="str">
        <f t="shared" si="14"/>
        <v>-</v>
      </c>
      <c r="AF31" s="518" t="str">
        <f t="shared" si="14"/>
        <v>-</v>
      </c>
      <c r="AG31" s="518" t="str">
        <f t="shared" si="14"/>
        <v>-</v>
      </c>
      <c r="AH31" s="518" t="str">
        <f t="shared" si="17"/>
        <v>-</v>
      </c>
      <c r="AI31" s="518" t="str">
        <f t="shared" si="17"/>
        <v>-</v>
      </c>
      <c r="AJ31" s="518" t="str">
        <f t="shared" si="17"/>
        <v>-</v>
      </c>
      <c r="AK31" s="518" t="str">
        <f t="shared" si="17"/>
        <v>-</v>
      </c>
      <c r="AL31" s="518" t="str">
        <f t="shared" si="17"/>
        <v>-</v>
      </c>
      <c r="AM31" s="518" t="str">
        <f t="shared" si="17"/>
        <v>-</v>
      </c>
      <c r="AN31" s="518" t="str">
        <f t="shared" si="17"/>
        <v>-</v>
      </c>
      <c r="AO31" s="518" t="str">
        <f t="shared" si="17"/>
        <v>-</v>
      </c>
      <c r="AP31" s="518" t="str">
        <f t="shared" si="17"/>
        <v>-</v>
      </c>
      <c r="AQ31" s="518">
        <f t="shared" si="17"/>
        <v>4118.0524420775801</v>
      </c>
      <c r="AR31" s="518" t="str">
        <f t="shared" si="17"/>
        <v>-</v>
      </c>
      <c r="AS31" s="518" t="str">
        <f t="shared" si="17"/>
        <v>-</v>
      </c>
      <c r="AT31" s="518" t="str">
        <f t="shared" si="17"/>
        <v>-</v>
      </c>
      <c r="AU31" s="518" t="str">
        <f t="shared" si="17"/>
        <v>-</v>
      </c>
      <c r="AV31" s="518" t="str">
        <f t="shared" si="17"/>
        <v>-</v>
      </c>
      <c r="AW31" s="518" t="str">
        <f t="shared" si="17"/>
        <v>-</v>
      </c>
      <c r="AX31" s="518" t="str">
        <f t="shared" si="17"/>
        <v>-</v>
      </c>
      <c r="AY31" s="518" t="str">
        <f t="shared" si="17"/>
        <v>-</v>
      </c>
      <c r="AZ31" s="518" t="str">
        <f t="shared" si="17"/>
        <v>-</v>
      </c>
      <c r="BA31" s="518" t="str">
        <f t="shared" si="17"/>
        <v>-</v>
      </c>
      <c r="BB31" s="518" t="str">
        <f t="shared" si="17"/>
        <v>-</v>
      </c>
      <c r="BC31" s="518" t="str">
        <f t="shared" si="17"/>
        <v>-</v>
      </c>
      <c r="BD31" s="518" t="str">
        <f t="shared" si="17"/>
        <v>-</v>
      </c>
      <c r="BE31" s="518" t="str">
        <f t="shared" si="17"/>
        <v>-</v>
      </c>
      <c r="BF31" s="518" t="str">
        <f t="shared" si="17"/>
        <v>-</v>
      </c>
      <c r="BG31" s="518" t="str">
        <f t="shared" si="17"/>
        <v>-</v>
      </c>
      <c r="BH31" s="518" t="str">
        <f t="shared" si="15"/>
        <v>-</v>
      </c>
      <c r="BI31" s="518" t="str">
        <f t="shared" si="15"/>
        <v>-</v>
      </c>
      <c r="BJ31" s="518" t="str">
        <f t="shared" si="15"/>
        <v>-</v>
      </c>
      <c r="BK31" s="518" t="str">
        <f t="shared" si="15"/>
        <v>-</v>
      </c>
      <c r="BL31" s="518" t="str">
        <f t="shared" si="15"/>
        <v>-</v>
      </c>
      <c r="BM31" s="518" t="str">
        <f t="shared" si="15"/>
        <v>-</v>
      </c>
      <c r="BN31" s="518" t="str">
        <f t="shared" si="15"/>
        <v>-</v>
      </c>
      <c r="BO31" s="518" t="str">
        <f t="shared" si="15"/>
        <v>-</v>
      </c>
      <c r="BP31" s="518" t="str">
        <f t="shared" si="15"/>
        <v>-</v>
      </c>
      <c r="BQ31" s="518" t="str">
        <f t="shared" si="15"/>
        <v>-</v>
      </c>
      <c r="BR31" s="518" t="str">
        <f t="shared" si="15"/>
        <v>-</v>
      </c>
      <c r="BS31" s="518" t="str">
        <f t="shared" si="15"/>
        <v>-</v>
      </c>
      <c r="BT31" s="518" t="str">
        <f t="shared" si="15"/>
        <v>-</v>
      </c>
      <c r="BU31" s="518" t="str">
        <f t="shared" si="15"/>
        <v>-</v>
      </c>
      <c r="BV31" s="518" t="str">
        <f t="shared" si="15"/>
        <v>-</v>
      </c>
      <c r="BW31" s="518" t="str">
        <f t="shared" si="15"/>
        <v>-</v>
      </c>
      <c r="BX31" s="518" t="str">
        <f t="shared" si="15"/>
        <v>-</v>
      </c>
      <c r="BY31" s="518" t="str">
        <f t="shared" si="15"/>
        <v>-</v>
      </c>
      <c r="BZ31" s="518" t="str">
        <f t="shared" si="15"/>
        <v>-</v>
      </c>
      <c r="CA31" s="518" t="str">
        <f t="shared" si="15"/>
        <v>-</v>
      </c>
    </row>
    <row r="32" spans="1:79">
      <c r="A32" s="105">
        <v>24</v>
      </c>
      <c r="B32" s="112" t="str">
        <v>4Y</v>
      </c>
      <c r="C32" s="262">
        <f>'usd disaggregated'!AM40</f>
        <v>-3865.4308346171501</v>
      </c>
      <c r="D32" s="111" t="str">
        <f t="shared" si="6"/>
        <v>48M</v>
      </c>
      <c r="E32" s="517">
        <f>IF(LEN(B32)&gt;0,CHOOSE(MATCH(RIGHT(D32,1),{"D","W","M"},0),NextBusDay($C$4,LEFT(D32,LEN(D32)-1)),NextBusDay($C$4+7*LEFT(D32,LEN(D32)-1)),NextBusDay(EDATE($C$4,LEFT(D32,LEN(D32)-1)))),"")</f>
        <v>44130</v>
      </c>
      <c r="F32" s="107" t="str">
        <v>7Y</v>
      </c>
      <c r="G32" s="106" t="str">
        <v>7Y</v>
      </c>
      <c r="H32" s="106" t="str">
        <f>BktUsdOisPL!H32</f>
        <v>84M</v>
      </c>
      <c r="I32" s="261" t="str">
        <v>W</v>
      </c>
      <c r="J32" s="106">
        <f>BktUsdOisPL!J32</f>
        <v>45225</v>
      </c>
      <c r="L32" s="522">
        <f t="shared" si="7"/>
        <v>7343.22358685995</v>
      </c>
      <c r="N32" s="106" t="str">
        <f t="shared" si="1"/>
        <v>-</v>
      </c>
      <c r="O32" s="106" t="str">
        <f t="shared" si="16"/>
        <v>-</v>
      </c>
      <c r="P32" s="106" t="str">
        <f t="shared" si="3"/>
        <v>-</v>
      </c>
      <c r="Q32" s="106" t="b">
        <f t="shared" si="4"/>
        <v>0</v>
      </c>
      <c r="R32" s="516" t="str">
        <f t="shared" ref="R32:CA36" si="18">IF(LEN($F32)&gt;0,IF(AND(R$8=$J32,NOT(AND(R$8&gt;=$N32,R$8&lt;$P32))),R$6,IF(AND(NOT(R$8&gt;$J31),R$8&lt;$J32),"-",IF(AND(R$8&gt;=$N32,R$8&lt;$P32),"???",IF(AND(R$8&gt;$J31,R$8&lt;$J32),R$6*(R$8-$J31)/($J32-$J31),IF(AND(R$8&gt;$J32,R$8&lt;$J33),R$6*($J33-R$8)/($J33-$J32),"-"))))),"-")</f>
        <v>-</v>
      </c>
      <c r="S32" s="516" t="str">
        <f t="shared" si="18"/>
        <v>-</v>
      </c>
      <c r="T32" s="516" t="str">
        <f t="shared" si="18"/>
        <v>-</v>
      </c>
      <c r="U32" s="516" t="str">
        <f t="shared" si="18"/>
        <v>-</v>
      </c>
      <c r="V32" s="516" t="str">
        <f t="shared" si="18"/>
        <v>-</v>
      </c>
      <c r="W32" s="516" t="str">
        <f t="shared" si="18"/>
        <v>-</v>
      </c>
      <c r="X32" s="516" t="str">
        <f t="shared" si="18"/>
        <v>-</v>
      </c>
      <c r="Y32" s="516" t="str">
        <f t="shared" si="18"/>
        <v>-</v>
      </c>
      <c r="Z32" s="516" t="str">
        <f t="shared" si="18"/>
        <v>-</v>
      </c>
      <c r="AA32" s="516" t="str">
        <f t="shared" si="18"/>
        <v>-</v>
      </c>
      <c r="AB32" s="516" t="str">
        <f t="shared" si="18"/>
        <v>-</v>
      </c>
      <c r="AC32" s="516" t="str">
        <f t="shared" si="18"/>
        <v>-</v>
      </c>
      <c r="AD32" s="516" t="str">
        <f t="shared" si="18"/>
        <v>-</v>
      </c>
      <c r="AE32" s="516" t="str">
        <f t="shared" si="18"/>
        <v>-</v>
      </c>
      <c r="AF32" s="516" t="str">
        <f t="shared" si="18"/>
        <v>-</v>
      </c>
      <c r="AG32" s="516" t="str">
        <f t="shared" si="18"/>
        <v>-</v>
      </c>
      <c r="AH32" s="516" t="str">
        <f t="shared" si="18"/>
        <v>-</v>
      </c>
      <c r="AI32" s="516" t="str">
        <f t="shared" si="18"/>
        <v>-</v>
      </c>
      <c r="AJ32" s="516" t="str">
        <f t="shared" si="18"/>
        <v>-</v>
      </c>
      <c r="AK32" s="516" t="str">
        <f t="shared" si="18"/>
        <v>-</v>
      </c>
      <c r="AL32" s="516" t="str">
        <f t="shared" si="18"/>
        <v>-</v>
      </c>
      <c r="AM32" s="516" t="str">
        <f t="shared" si="18"/>
        <v>-</v>
      </c>
      <c r="AN32" s="516" t="str">
        <f t="shared" si="18"/>
        <v>-</v>
      </c>
      <c r="AO32" s="516" t="str">
        <f t="shared" si="18"/>
        <v>-</v>
      </c>
      <c r="AP32" s="516" t="str">
        <f t="shared" si="18"/>
        <v>-</v>
      </c>
      <c r="AQ32" s="516" t="str">
        <f t="shared" si="18"/>
        <v>-</v>
      </c>
      <c r="AR32" s="516">
        <f t="shared" si="18"/>
        <v>7343.22358685995</v>
      </c>
      <c r="AS32" s="516" t="str">
        <f t="shared" si="18"/>
        <v>-</v>
      </c>
      <c r="AT32" s="516" t="str">
        <f t="shared" si="18"/>
        <v>-</v>
      </c>
      <c r="AU32" s="516" t="str">
        <f t="shared" si="18"/>
        <v>-</v>
      </c>
      <c r="AV32" s="516" t="str">
        <f t="shared" si="18"/>
        <v>-</v>
      </c>
      <c r="AW32" s="516" t="str">
        <f t="shared" si="18"/>
        <v>-</v>
      </c>
      <c r="AX32" s="516" t="str">
        <f t="shared" si="18"/>
        <v>-</v>
      </c>
      <c r="AY32" s="516" t="str">
        <f t="shared" si="18"/>
        <v>-</v>
      </c>
      <c r="AZ32" s="516" t="str">
        <f t="shared" si="18"/>
        <v>-</v>
      </c>
      <c r="BA32" s="516" t="str">
        <f t="shared" si="18"/>
        <v>-</v>
      </c>
      <c r="BB32" s="516" t="str">
        <f t="shared" si="18"/>
        <v>-</v>
      </c>
      <c r="BC32" s="516" t="str">
        <f t="shared" si="18"/>
        <v>-</v>
      </c>
      <c r="BD32" s="516" t="str">
        <f t="shared" si="18"/>
        <v>-</v>
      </c>
      <c r="BE32" s="516" t="str">
        <f t="shared" si="18"/>
        <v>-</v>
      </c>
      <c r="BF32" s="516" t="str">
        <f t="shared" si="18"/>
        <v>-</v>
      </c>
      <c r="BG32" s="516" t="str">
        <f t="shared" si="18"/>
        <v>-</v>
      </c>
      <c r="BH32" s="516" t="str">
        <f t="shared" si="18"/>
        <v>-</v>
      </c>
      <c r="BI32" s="516" t="str">
        <f t="shared" si="18"/>
        <v>-</v>
      </c>
      <c r="BJ32" s="516" t="str">
        <f t="shared" si="18"/>
        <v>-</v>
      </c>
      <c r="BK32" s="516" t="str">
        <f t="shared" si="18"/>
        <v>-</v>
      </c>
      <c r="BL32" s="516" t="str">
        <f t="shared" si="18"/>
        <v>-</v>
      </c>
      <c r="BM32" s="516" t="str">
        <f t="shared" si="18"/>
        <v>-</v>
      </c>
      <c r="BN32" s="516" t="str">
        <f t="shared" si="18"/>
        <v>-</v>
      </c>
      <c r="BO32" s="516" t="str">
        <f t="shared" si="18"/>
        <v>-</v>
      </c>
      <c r="BP32" s="516" t="str">
        <f t="shared" si="18"/>
        <v>-</v>
      </c>
      <c r="BQ32" s="516" t="str">
        <f t="shared" si="18"/>
        <v>-</v>
      </c>
      <c r="BR32" s="516" t="str">
        <f t="shared" si="18"/>
        <v>-</v>
      </c>
      <c r="BS32" s="516" t="str">
        <f t="shared" si="18"/>
        <v>-</v>
      </c>
      <c r="BT32" s="516" t="str">
        <f t="shared" si="18"/>
        <v>-</v>
      </c>
      <c r="BU32" s="516" t="str">
        <f t="shared" si="18"/>
        <v>-</v>
      </c>
      <c r="BV32" s="516" t="str">
        <f t="shared" si="18"/>
        <v>-</v>
      </c>
      <c r="BW32" s="516" t="str">
        <f t="shared" si="18"/>
        <v>-</v>
      </c>
      <c r="BX32" s="516" t="str">
        <f t="shared" si="18"/>
        <v>-</v>
      </c>
      <c r="BY32" s="516" t="str">
        <f t="shared" si="18"/>
        <v>-</v>
      </c>
      <c r="BZ32" s="516" t="str">
        <f t="shared" si="18"/>
        <v>-</v>
      </c>
      <c r="CA32" s="516" t="str">
        <f t="shared" si="18"/>
        <v>-</v>
      </c>
    </row>
    <row r="33" spans="1:79">
      <c r="A33" s="105">
        <v>25</v>
      </c>
      <c r="B33" s="112" t="str">
        <v>5Y</v>
      </c>
      <c r="C33" s="262">
        <f>'usd disaggregated'!AM41</f>
        <v>2350.66744449014</v>
      </c>
      <c r="D33" s="111" t="str">
        <f t="shared" si="6"/>
        <v>60M</v>
      </c>
      <c r="E33" s="517">
        <f>IF(LEN(B33)&gt;0,CHOOSE(MATCH(RIGHT(D33,1),{"D","W","M"},0),NextBusDay($C$4,LEFT(D33,LEN(D33)-1)),NextBusDay($C$4+7*LEFT(D33,LEN(D33)-1)),NextBusDay(EDATE($C$4,LEFT(D33,LEN(D33)-1)))),"")</f>
        <v>44495</v>
      </c>
      <c r="F33" s="107" t="str">
        <v>8Y</v>
      </c>
      <c r="G33" s="106" t="str">
        <v>8Y</v>
      </c>
      <c r="H33" s="106" t="str">
        <f>BktUsdOisPL!H33</f>
        <v>96M</v>
      </c>
      <c r="I33" s="261" t="str">
        <v>W</v>
      </c>
      <c r="J33" s="106">
        <f>BktUsdOisPL!J33</f>
        <v>45593</v>
      </c>
      <c r="L33" s="522">
        <f t="shared" si="7"/>
        <v>11767.6913297058</v>
      </c>
      <c r="N33" s="106" t="str">
        <f t="shared" si="1"/>
        <v>-</v>
      </c>
      <c r="O33" s="106" t="str">
        <f t="shared" si="16"/>
        <v>-</v>
      </c>
      <c r="P33" s="106" t="str">
        <f t="shared" si="3"/>
        <v>-</v>
      </c>
      <c r="Q33" s="106" t="b">
        <f t="shared" si="4"/>
        <v>0</v>
      </c>
      <c r="R33" s="516" t="str">
        <f t="shared" si="18"/>
        <v>-</v>
      </c>
      <c r="S33" s="516" t="str">
        <f t="shared" si="18"/>
        <v>-</v>
      </c>
      <c r="T33" s="516" t="str">
        <f t="shared" si="18"/>
        <v>-</v>
      </c>
      <c r="U33" s="516" t="str">
        <f t="shared" si="18"/>
        <v>-</v>
      </c>
      <c r="V33" s="516" t="str">
        <f t="shared" si="18"/>
        <v>-</v>
      </c>
      <c r="W33" s="516" t="str">
        <f t="shared" si="18"/>
        <v>-</v>
      </c>
      <c r="X33" s="516" t="str">
        <f t="shared" si="18"/>
        <v>-</v>
      </c>
      <c r="Y33" s="516" t="str">
        <f t="shared" si="18"/>
        <v>-</v>
      </c>
      <c r="Z33" s="516" t="str">
        <f t="shared" si="18"/>
        <v>-</v>
      </c>
      <c r="AA33" s="516" t="str">
        <f t="shared" si="18"/>
        <v>-</v>
      </c>
      <c r="AB33" s="516" t="str">
        <f t="shared" si="18"/>
        <v>-</v>
      </c>
      <c r="AC33" s="516" t="str">
        <f t="shared" si="18"/>
        <v>-</v>
      </c>
      <c r="AD33" s="516" t="str">
        <f t="shared" si="18"/>
        <v>-</v>
      </c>
      <c r="AE33" s="516" t="str">
        <f t="shared" si="18"/>
        <v>-</v>
      </c>
      <c r="AF33" s="516" t="str">
        <f t="shared" si="18"/>
        <v>-</v>
      </c>
      <c r="AG33" s="516" t="str">
        <f t="shared" si="18"/>
        <v>-</v>
      </c>
      <c r="AH33" s="516" t="str">
        <f t="shared" si="18"/>
        <v>-</v>
      </c>
      <c r="AI33" s="516" t="str">
        <f t="shared" si="18"/>
        <v>-</v>
      </c>
      <c r="AJ33" s="516" t="str">
        <f t="shared" si="18"/>
        <v>-</v>
      </c>
      <c r="AK33" s="516" t="str">
        <f t="shared" si="18"/>
        <v>-</v>
      </c>
      <c r="AL33" s="516" t="str">
        <f t="shared" si="18"/>
        <v>-</v>
      </c>
      <c r="AM33" s="516" t="str">
        <f t="shared" si="18"/>
        <v>-</v>
      </c>
      <c r="AN33" s="516" t="str">
        <f t="shared" si="18"/>
        <v>-</v>
      </c>
      <c r="AO33" s="516" t="str">
        <f t="shared" si="18"/>
        <v>-</v>
      </c>
      <c r="AP33" s="516" t="str">
        <f t="shared" si="18"/>
        <v>-</v>
      </c>
      <c r="AQ33" s="516" t="str">
        <f t="shared" si="18"/>
        <v>-</v>
      </c>
      <c r="AR33" s="516" t="str">
        <f t="shared" si="18"/>
        <v>-</v>
      </c>
      <c r="AS33" s="516">
        <f t="shared" si="18"/>
        <v>11767.6913297058</v>
      </c>
      <c r="AT33" s="516" t="str">
        <f t="shared" si="18"/>
        <v>-</v>
      </c>
      <c r="AU33" s="516" t="str">
        <f t="shared" si="18"/>
        <v>-</v>
      </c>
      <c r="AV33" s="516" t="str">
        <f t="shared" si="18"/>
        <v>-</v>
      </c>
      <c r="AW33" s="516" t="str">
        <f t="shared" si="18"/>
        <v>-</v>
      </c>
      <c r="AX33" s="516" t="str">
        <f t="shared" si="18"/>
        <v>-</v>
      </c>
      <c r="AY33" s="516" t="str">
        <f t="shared" si="18"/>
        <v>-</v>
      </c>
      <c r="AZ33" s="516" t="str">
        <f t="shared" si="18"/>
        <v>-</v>
      </c>
      <c r="BA33" s="516" t="str">
        <f t="shared" si="18"/>
        <v>-</v>
      </c>
      <c r="BB33" s="516" t="str">
        <f t="shared" si="18"/>
        <v>-</v>
      </c>
      <c r="BC33" s="516" t="str">
        <f t="shared" si="18"/>
        <v>-</v>
      </c>
      <c r="BD33" s="516" t="str">
        <f t="shared" si="18"/>
        <v>-</v>
      </c>
      <c r="BE33" s="516" t="str">
        <f t="shared" si="18"/>
        <v>-</v>
      </c>
      <c r="BF33" s="516" t="str">
        <f t="shared" si="18"/>
        <v>-</v>
      </c>
      <c r="BG33" s="516" t="str">
        <f t="shared" si="18"/>
        <v>-</v>
      </c>
      <c r="BH33" s="516" t="str">
        <f t="shared" si="18"/>
        <v>-</v>
      </c>
      <c r="BI33" s="516" t="str">
        <f t="shared" si="18"/>
        <v>-</v>
      </c>
      <c r="BJ33" s="516" t="str">
        <f t="shared" si="18"/>
        <v>-</v>
      </c>
      <c r="BK33" s="516" t="str">
        <f t="shared" si="18"/>
        <v>-</v>
      </c>
      <c r="BL33" s="516" t="str">
        <f t="shared" si="18"/>
        <v>-</v>
      </c>
      <c r="BM33" s="516" t="str">
        <f t="shared" si="18"/>
        <v>-</v>
      </c>
      <c r="BN33" s="516" t="str">
        <f t="shared" si="18"/>
        <v>-</v>
      </c>
      <c r="BO33" s="516" t="str">
        <f t="shared" si="18"/>
        <v>-</v>
      </c>
      <c r="BP33" s="516" t="str">
        <f t="shared" si="18"/>
        <v>-</v>
      </c>
      <c r="BQ33" s="516" t="str">
        <f t="shared" si="18"/>
        <v>-</v>
      </c>
      <c r="BR33" s="516" t="str">
        <f t="shared" si="18"/>
        <v>-</v>
      </c>
      <c r="BS33" s="516" t="str">
        <f t="shared" si="18"/>
        <v>-</v>
      </c>
      <c r="BT33" s="516" t="str">
        <f t="shared" si="18"/>
        <v>-</v>
      </c>
      <c r="BU33" s="516" t="str">
        <f t="shared" si="18"/>
        <v>-</v>
      </c>
      <c r="BV33" s="516" t="str">
        <f t="shared" si="18"/>
        <v>-</v>
      </c>
      <c r="BW33" s="516" t="str">
        <f t="shared" si="18"/>
        <v>-</v>
      </c>
      <c r="BX33" s="516" t="str">
        <f t="shared" si="18"/>
        <v>-</v>
      </c>
      <c r="BY33" s="516" t="str">
        <f t="shared" si="18"/>
        <v>-</v>
      </c>
      <c r="BZ33" s="516" t="str">
        <f t="shared" si="18"/>
        <v>-</v>
      </c>
      <c r="CA33" s="516" t="str">
        <f t="shared" si="18"/>
        <v>-</v>
      </c>
    </row>
    <row r="34" spans="1:79">
      <c r="A34" s="105">
        <v>26</v>
      </c>
      <c r="B34" s="112" t="str">
        <v>6Y</v>
      </c>
      <c r="C34" s="262">
        <f>'usd disaggregated'!AM42</f>
        <v>4118.0524420775801</v>
      </c>
      <c r="D34" s="111" t="str">
        <f t="shared" si="6"/>
        <v>72M</v>
      </c>
      <c r="E34" s="517">
        <f>IF(LEN(B34)&gt;0,CHOOSE(MATCH(RIGHT(D34,1),{"D","W","M"},0),NextBusDay($C$4,LEFT(D34,LEN(D34)-1)),NextBusDay($C$4+7*LEFT(D34,LEN(D34)-1)),NextBusDay(EDATE($C$4,LEFT(D34,LEN(D34)-1)))),"")</f>
        <v>44860</v>
      </c>
      <c r="F34" s="107" t="str">
        <v>9Y</v>
      </c>
      <c r="G34" s="106" t="str">
        <v>9Y</v>
      </c>
      <c r="H34" s="106" t="str">
        <f>BktUsdOisPL!H34</f>
        <v>108M</v>
      </c>
      <c r="I34" s="261" t="str">
        <v>W</v>
      </c>
      <c r="J34" s="106">
        <f>BktUsdOisPL!J34</f>
        <v>45957</v>
      </c>
      <c r="L34" s="522">
        <f t="shared" si="7"/>
        <v>-7532.3023894763101</v>
      </c>
      <c r="N34" s="106" t="str">
        <f t="shared" si="1"/>
        <v>-</v>
      </c>
      <c r="O34" s="106" t="str">
        <f t="shared" si="16"/>
        <v>-</v>
      </c>
      <c r="P34" s="106" t="str">
        <f t="shared" si="3"/>
        <v>-</v>
      </c>
      <c r="Q34" s="106" t="b">
        <f t="shared" si="4"/>
        <v>0</v>
      </c>
      <c r="R34" s="516" t="str">
        <f t="shared" si="18"/>
        <v>-</v>
      </c>
      <c r="S34" s="516" t="str">
        <f t="shared" si="18"/>
        <v>-</v>
      </c>
      <c r="T34" s="516" t="str">
        <f t="shared" si="18"/>
        <v>-</v>
      </c>
      <c r="U34" s="516" t="str">
        <f t="shared" si="18"/>
        <v>-</v>
      </c>
      <c r="V34" s="516" t="str">
        <f t="shared" si="18"/>
        <v>-</v>
      </c>
      <c r="W34" s="516" t="str">
        <f t="shared" si="18"/>
        <v>-</v>
      </c>
      <c r="X34" s="516" t="str">
        <f t="shared" si="18"/>
        <v>-</v>
      </c>
      <c r="Y34" s="516" t="str">
        <f t="shared" si="18"/>
        <v>-</v>
      </c>
      <c r="Z34" s="516" t="str">
        <f t="shared" si="18"/>
        <v>-</v>
      </c>
      <c r="AA34" s="516" t="str">
        <f t="shared" si="18"/>
        <v>-</v>
      </c>
      <c r="AB34" s="516" t="str">
        <f t="shared" si="18"/>
        <v>-</v>
      </c>
      <c r="AC34" s="516" t="str">
        <f t="shared" si="18"/>
        <v>-</v>
      </c>
      <c r="AD34" s="516" t="str">
        <f t="shared" si="18"/>
        <v>-</v>
      </c>
      <c r="AE34" s="516" t="str">
        <f t="shared" si="18"/>
        <v>-</v>
      </c>
      <c r="AF34" s="516" t="str">
        <f t="shared" si="18"/>
        <v>-</v>
      </c>
      <c r="AG34" s="516" t="str">
        <f t="shared" si="18"/>
        <v>-</v>
      </c>
      <c r="AH34" s="516" t="str">
        <f t="shared" si="18"/>
        <v>-</v>
      </c>
      <c r="AI34" s="516" t="str">
        <f t="shared" si="18"/>
        <v>-</v>
      </c>
      <c r="AJ34" s="516" t="str">
        <f t="shared" si="18"/>
        <v>-</v>
      </c>
      <c r="AK34" s="516" t="str">
        <f t="shared" si="18"/>
        <v>-</v>
      </c>
      <c r="AL34" s="516" t="str">
        <f t="shared" si="18"/>
        <v>-</v>
      </c>
      <c r="AM34" s="516" t="str">
        <f t="shared" si="18"/>
        <v>-</v>
      </c>
      <c r="AN34" s="516" t="str">
        <f t="shared" si="18"/>
        <v>-</v>
      </c>
      <c r="AO34" s="516" t="str">
        <f t="shared" si="18"/>
        <v>-</v>
      </c>
      <c r="AP34" s="516" t="str">
        <f t="shared" si="18"/>
        <v>-</v>
      </c>
      <c r="AQ34" s="516" t="str">
        <f t="shared" si="18"/>
        <v>-</v>
      </c>
      <c r="AR34" s="516" t="str">
        <f t="shared" si="18"/>
        <v>-</v>
      </c>
      <c r="AS34" s="516" t="str">
        <f t="shared" si="18"/>
        <v>-</v>
      </c>
      <c r="AT34" s="516">
        <f t="shared" si="18"/>
        <v>-7532.3023894763101</v>
      </c>
      <c r="AU34" s="516" t="str">
        <f t="shared" si="18"/>
        <v>-</v>
      </c>
      <c r="AV34" s="516" t="str">
        <f t="shared" si="18"/>
        <v>-</v>
      </c>
      <c r="AW34" s="516" t="str">
        <f t="shared" si="18"/>
        <v>-</v>
      </c>
      <c r="AX34" s="516" t="str">
        <f t="shared" si="18"/>
        <v>-</v>
      </c>
      <c r="AY34" s="516" t="str">
        <f t="shared" si="18"/>
        <v>-</v>
      </c>
      <c r="AZ34" s="516" t="str">
        <f t="shared" si="18"/>
        <v>-</v>
      </c>
      <c r="BA34" s="516" t="str">
        <f t="shared" si="18"/>
        <v>-</v>
      </c>
      <c r="BB34" s="516" t="str">
        <f t="shared" si="18"/>
        <v>-</v>
      </c>
      <c r="BC34" s="516" t="str">
        <f t="shared" si="18"/>
        <v>-</v>
      </c>
      <c r="BD34" s="516" t="str">
        <f t="shared" si="18"/>
        <v>-</v>
      </c>
      <c r="BE34" s="516" t="str">
        <f t="shared" si="18"/>
        <v>-</v>
      </c>
      <c r="BF34" s="516" t="str">
        <f t="shared" si="18"/>
        <v>-</v>
      </c>
      <c r="BG34" s="516" t="str">
        <f t="shared" si="18"/>
        <v>-</v>
      </c>
      <c r="BH34" s="516" t="str">
        <f t="shared" si="18"/>
        <v>-</v>
      </c>
      <c r="BI34" s="516" t="str">
        <f t="shared" si="18"/>
        <v>-</v>
      </c>
      <c r="BJ34" s="516" t="str">
        <f t="shared" si="18"/>
        <v>-</v>
      </c>
      <c r="BK34" s="516" t="str">
        <f t="shared" si="18"/>
        <v>-</v>
      </c>
      <c r="BL34" s="516" t="str">
        <f t="shared" si="18"/>
        <v>-</v>
      </c>
      <c r="BM34" s="516" t="str">
        <f t="shared" si="18"/>
        <v>-</v>
      </c>
      <c r="BN34" s="516" t="str">
        <f t="shared" si="18"/>
        <v>-</v>
      </c>
      <c r="BO34" s="516" t="str">
        <f t="shared" si="18"/>
        <v>-</v>
      </c>
      <c r="BP34" s="516" t="str">
        <f t="shared" si="18"/>
        <v>-</v>
      </c>
      <c r="BQ34" s="516" t="str">
        <f t="shared" si="18"/>
        <v>-</v>
      </c>
      <c r="BR34" s="516" t="str">
        <f t="shared" si="18"/>
        <v>-</v>
      </c>
      <c r="BS34" s="516" t="str">
        <f t="shared" si="18"/>
        <v>-</v>
      </c>
      <c r="BT34" s="516" t="str">
        <f t="shared" si="18"/>
        <v>-</v>
      </c>
      <c r="BU34" s="516" t="str">
        <f t="shared" si="18"/>
        <v>-</v>
      </c>
      <c r="BV34" s="516" t="str">
        <f t="shared" si="18"/>
        <v>-</v>
      </c>
      <c r="BW34" s="516" t="str">
        <f t="shared" si="18"/>
        <v>-</v>
      </c>
      <c r="BX34" s="516" t="str">
        <f t="shared" si="18"/>
        <v>-</v>
      </c>
      <c r="BY34" s="516" t="str">
        <f t="shared" si="18"/>
        <v>-</v>
      </c>
      <c r="BZ34" s="516" t="str">
        <f t="shared" si="18"/>
        <v>-</v>
      </c>
      <c r="CA34" s="516" t="str">
        <f t="shared" si="18"/>
        <v>-</v>
      </c>
    </row>
    <row r="35" spans="1:79">
      <c r="A35" s="105">
        <v>27</v>
      </c>
      <c r="B35" s="112" t="str">
        <v>7Y</v>
      </c>
      <c r="C35" s="262">
        <f>'usd disaggregated'!AM43</f>
        <v>7343.22358685995</v>
      </c>
      <c r="D35" s="111" t="str">
        <f t="shared" si="6"/>
        <v>84M</v>
      </c>
      <c r="E35" s="517">
        <f>IF(LEN(B35)&gt;0,CHOOSE(MATCH(RIGHT(D35,1),{"D","W","M"},0),NextBusDay($C$4,LEFT(D35,LEN(D35)-1)),NextBusDay($C$4+7*LEFT(D35,LEN(D35)-1)),NextBusDay(EDATE($C$4,LEFT(D35,LEN(D35)-1)))),"")</f>
        <v>45225</v>
      </c>
      <c r="F35" s="107" t="str">
        <v>10Y</v>
      </c>
      <c r="G35" s="106" t="str">
        <v>10Y</v>
      </c>
      <c r="H35" s="106" t="str">
        <f>BktUsdOisPL!H35</f>
        <v>120M</v>
      </c>
      <c r="I35" s="261" t="str">
        <v>W</v>
      </c>
      <c r="J35" s="106">
        <f>BktUsdOisPL!J35</f>
        <v>46321</v>
      </c>
      <c r="L35" s="522">
        <f t="shared" si="7"/>
        <v>3260.5397438639902</v>
      </c>
      <c r="N35" s="106" t="str">
        <f t="shared" si="1"/>
        <v>-</v>
      </c>
      <c r="O35" s="106" t="str">
        <f t="shared" si="16"/>
        <v>-</v>
      </c>
      <c r="P35" s="106" t="str">
        <f t="shared" si="3"/>
        <v>-</v>
      </c>
      <c r="Q35" s="106" t="b">
        <f t="shared" si="4"/>
        <v>0</v>
      </c>
      <c r="R35" s="516" t="str">
        <f t="shared" si="18"/>
        <v>-</v>
      </c>
      <c r="S35" s="516" t="str">
        <f t="shared" si="18"/>
        <v>-</v>
      </c>
      <c r="T35" s="516" t="str">
        <f t="shared" si="18"/>
        <v>-</v>
      </c>
      <c r="U35" s="516" t="str">
        <f t="shared" si="18"/>
        <v>-</v>
      </c>
      <c r="V35" s="516" t="str">
        <f t="shared" si="18"/>
        <v>-</v>
      </c>
      <c r="W35" s="516" t="str">
        <f t="shared" si="18"/>
        <v>-</v>
      </c>
      <c r="X35" s="516" t="str">
        <f t="shared" si="18"/>
        <v>-</v>
      </c>
      <c r="Y35" s="516" t="str">
        <f t="shared" si="18"/>
        <v>-</v>
      </c>
      <c r="Z35" s="516" t="str">
        <f t="shared" si="18"/>
        <v>-</v>
      </c>
      <c r="AA35" s="516" t="str">
        <f t="shared" si="18"/>
        <v>-</v>
      </c>
      <c r="AB35" s="516" t="str">
        <f t="shared" si="18"/>
        <v>-</v>
      </c>
      <c r="AC35" s="516" t="str">
        <f t="shared" si="18"/>
        <v>-</v>
      </c>
      <c r="AD35" s="516" t="str">
        <f t="shared" si="18"/>
        <v>-</v>
      </c>
      <c r="AE35" s="516" t="str">
        <f t="shared" si="18"/>
        <v>-</v>
      </c>
      <c r="AF35" s="516" t="str">
        <f t="shared" si="18"/>
        <v>-</v>
      </c>
      <c r="AG35" s="516" t="str">
        <f t="shared" si="18"/>
        <v>-</v>
      </c>
      <c r="AH35" s="516" t="str">
        <f t="shared" si="18"/>
        <v>-</v>
      </c>
      <c r="AI35" s="516" t="str">
        <f t="shared" si="18"/>
        <v>-</v>
      </c>
      <c r="AJ35" s="516" t="str">
        <f t="shared" si="18"/>
        <v>-</v>
      </c>
      <c r="AK35" s="516" t="str">
        <f t="shared" si="18"/>
        <v>-</v>
      </c>
      <c r="AL35" s="516" t="str">
        <f t="shared" si="18"/>
        <v>-</v>
      </c>
      <c r="AM35" s="516" t="str">
        <f t="shared" si="18"/>
        <v>-</v>
      </c>
      <c r="AN35" s="516" t="str">
        <f t="shared" si="18"/>
        <v>-</v>
      </c>
      <c r="AO35" s="516" t="str">
        <f t="shared" si="18"/>
        <v>-</v>
      </c>
      <c r="AP35" s="516" t="str">
        <f t="shared" si="18"/>
        <v>-</v>
      </c>
      <c r="AQ35" s="516" t="str">
        <f t="shared" si="18"/>
        <v>-</v>
      </c>
      <c r="AR35" s="516" t="str">
        <f t="shared" si="18"/>
        <v>-</v>
      </c>
      <c r="AS35" s="516" t="str">
        <f t="shared" si="18"/>
        <v>-</v>
      </c>
      <c r="AT35" s="516" t="str">
        <f t="shared" si="18"/>
        <v>-</v>
      </c>
      <c r="AU35" s="516">
        <f t="shared" si="18"/>
        <v>3260.5397438639902</v>
      </c>
      <c r="AV35" s="516" t="str">
        <f t="shared" si="18"/>
        <v>-</v>
      </c>
      <c r="AW35" s="516" t="str">
        <f t="shared" si="18"/>
        <v>-</v>
      </c>
      <c r="AX35" s="516" t="str">
        <f t="shared" si="18"/>
        <v>-</v>
      </c>
      <c r="AY35" s="516" t="str">
        <f t="shared" si="18"/>
        <v>-</v>
      </c>
      <c r="AZ35" s="516" t="str">
        <f t="shared" si="18"/>
        <v>-</v>
      </c>
      <c r="BA35" s="516" t="str">
        <f t="shared" si="18"/>
        <v>-</v>
      </c>
      <c r="BB35" s="516" t="str">
        <f t="shared" si="18"/>
        <v>-</v>
      </c>
      <c r="BC35" s="516" t="str">
        <f t="shared" si="18"/>
        <v>-</v>
      </c>
      <c r="BD35" s="516" t="str">
        <f t="shared" si="18"/>
        <v>-</v>
      </c>
      <c r="BE35" s="516" t="str">
        <f t="shared" si="18"/>
        <v>-</v>
      </c>
      <c r="BF35" s="516" t="str">
        <f t="shared" si="18"/>
        <v>-</v>
      </c>
      <c r="BG35" s="516" t="str">
        <f t="shared" si="18"/>
        <v>-</v>
      </c>
      <c r="BH35" s="516" t="str">
        <f t="shared" si="18"/>
        <v>-</v>
      </c>
      <c r="BI35" s="516" t="str">
        <f t="shared" si="18"/>
        <v>-</v>
      </c>
      <c r="BJ35" s="516" t="str">
        <f t="shared" si="18"/>
        <v>-</v>
      </c>
      <c r="BK35" s="516" t="str">
        <f t="shared" si="18"/>
        <v>-</v>
      </c>
      <c r="BL35" s="516" t="str">
        <f t="shared" si="18"/>
        <v>-</v>
      </c>
      <c r="BM35" s="516" t="str">
        <f t="shared" si="18"/>
        <v>-</v>
      </c>
      <c r="BN35" s="516" t="str">
        <f t="shared" si="18"/>
        <v>-</v>
      </c>
      <c r="BO35" s="516" t="str">
        <f t="shared" si="18"/>
        <v>-</v>
      </c>
      <c r="BP35" s="516" t="str">
        <f t="shared" si="18"/>
        <v>-</v>
      </c>
      <c r="BQ35" s="516" t="str">
        <f t="shared" si="18"/>
        <v>-</v>
      </c>
      <c r="BR35" s="516" t="str">
        <f t="shared" si="18"/>
        <v>-</v>
      </c>
      <c r="BS35" s="516" t="str">
        <f t="shared" si="18"/>
        <v>-</v>
      </c>
      <c r="BT35" s="516" t="str">
        <f t="shared" si="18"/>
        <v>-</v>
      </c>
      <c r="BU35" s="516" t="str">
        <f t="shared" si="18"/>
        <v>-</v>
      </c>
      <c r="BV35" s="516" t="str">
        <f t="shared" si="18"/>
        <v>-</v>
      </c>
      <c r="BW35" s="516" t="str">
        <f t="shared" si="18"/>
        <v>-</v>
      </c>
      <c r="BX35" s="516" t="str">
        <f t="shared" si="18"/>
        <v>-</v>
      </c>
      <c r="BY35" s="516" t="str">
        <f t="shared" si="18"/>
        <v>-</v>
      </c>
      <c r="BZ35" s="516" t="str">
        <f t="shared" si="18"/>
        <v>-</v>
      </c>
      <c r="CA35" s="516" t="str">
        <f t="shared" si="18"/>
        <v>-</v>
      </c>
    </row>
    <row r="36" spans="1:79">
      <c r="A36" s="105">
        <v>28</v>
      </c>
      <c r="B36" s="112" t="str">
        <v>8Y</v>
      </c>
      <c r="C36" s="262">
        <f>'usd disaggregated'!AM44</f>
        <v>11767.6913297058</v>
      </c>
      <c r="D36" s="111" t="str">
        <f t="shared" si="6"/>
        <v>96M</v>
      </c>
      <c r="E36" s="517">
        <f>IF(LEN(B36)&gt;0,CHOOSE(MATCH(RIGHT(D36,1),{"D","W","M"},0),NextBusDay($C$4,LEFT(D36,LEN(D36)-1)),NextBusDay($C$4+7*LEFT(D36,LEN(D36)-1)),NextBusDay(EDATE($C$4,LEFT(D36,LEN(D36)-1)))),"")</f>
        <v>45593</v>
      </c>
      <c r="F36" s="107" t="str">
        <v>11Y</v>
      </c>
      <c r="G36" s="106" t="str">
        <v>11Y</v>
      </c>
      <c r="H36" s="106" t="str">
        <f>BktUsdOisPL!H36</f>
        <v>132M</v>
      </c>
      <c r="I36" s="261" t="str">
        <v>W</v>
      </c>
      <c r="J36" s="106">
        <f>BktUsdOisPL!J36</f>
        <v>46686</v>
      </c>
      <c r="L36" s="522">
        <f t="shared" si="7"/>
        <v>0</v>
      </c>
      <c r="N36" s="106" t="str">
        <f t="shared" si="1"/>
        <v>-</v>
      </c>
      <c r="O36" s="106" t="str">
        <f t="shared" si="16"/>
        <v>-</v>
      </c>
      <c r="P36" s="106" t="str">
        <f t="shared" si="3"/>
        <v>-</v>
      </c>
      <c r="Q36" s="106" t="b">
        <f t="shared" si="4"/>
        <v>0</v>
      </c>
      <c r="R36" s="516" t="str">
        <f t="shared" si="18"/>
        <v>-</v>
      </c>
      <c r="S36" s="516" t="str">
        <f t="shared" si="18"/>
        <v>-</v>
      </c>
      <c r="T36" s="516" t="str">
        <f t="shared" si="18"/>
        <v>-</v>
      </c>
      <c r="U36" s="516" t="str">
        <f t="shared" si="18"/>
        <v>-</v>
      </c>
      <c r="V36" s="516" t="str">
        <f t="shared" si="18"/>
        <v>-</v>
      </c>
      <c r="W36" s="516" t="str">
        <f t="shared" si="18"/>
        <v>-</v>
      </c>
      <c r="X36" s="516" t="str">
        <f t="shared" si="18"/>
        <v>-</v>
      </c>
      <c r="Y36" s="516" t="str">
        <f t="shared" ref="Y36:CA40" si="19">IF(LEN($F36)&gt;0,IF(AND(Y$8=$J36,NOT(AND(Y$8&gt;=$N36,Y$8&lt;$P36))),Y$6,IF(AND(NOT(Y$8&gt;$J35),Y$8&lt;$J36),"-",IF(AND(Y$8&gt;=$N36,Y$8&lt;$P36),"???",IF(AND(Y$8&gt;$J35,Y$8&lt;$J36),Y$6*(Y$8-$J35)/($J36-$J35),IF(AND(Y$8&gt;$J36,Y$8&lt;$J37),Y$6*($J37-Y$8)/($J37-$J36),"-"))))),"-")</f>
        <v>-</v>
      </c>
      <c r="Z36" s="516" t="str">
        <f t="shared" si="19"/>
        <v>-</v>
      </c>
      <c r="AA36" s="516" t="str">
        <f t="shared" si="19"/>
        <v>-</v>
      </c>
      <c r="AB36" s="516" t="str">
        <f t="shared" si="19"/>
        <v>-</v>
      </c>
      <c r="AC36" s="516" t="str">
        <f t="shared" si="19"/>
        <v>-</v>
      </c>
      <c r="AD36" s="516" t="str">
        <f t="shared" si="19"/>
        <v>-</v>
      </c>
      <c r="AE36" s="516" t="str">
        <f t="shared" si="19"/>
        <v>-</v>
      </c>
      <c r="AF36" s="516" t="str">
        <f t="shared" si="19"/>
        <v>-</v>
      </c>
      <c r="AG36" s="516" t="str">
        <f t="shared" si="19"/>
        <v>-</v>
      </c>
      <c r="AH36" s="516" t="str">
        <f t="shared" si="19"/>
        <v>-</v>
      </c>
      <c r="AI36" s="516" t="str">
        <f t="shared" si="19"/>
        <v>-</v>
      </c>
      <c r="AJ36" s="516" t="str">
        <f t="shared" si="19"/>
        <v>-</v>
      </c>
      <c r="AK36" s="516" t="str">
        <f t="shared" si="19"/>
        <v>-</v>
      </c>
      <c r="AL36" s="516" t="str">
        <f t="shared" si="19"/>
        <v>-</v>
      </c>
      <c r="AM36" s="516" t="str">
        <f t="shared" si="19"/>
        <v>-</v>
      </c>
      <c r="AN36" s="516" t="str">
        <f t="shared" si="19"/>
        <v>-</v>
      </c>
      <c r="AO36" s="516" t="str">
        <f t="shared" si="19"/>
        <v>-</v>
      </c>
      <c r="AP36" s="516" t="str">
        <f t="shared" si="19"/>
        <v>-</v>
      </c>
      <c r="AQ36" s="516" t="str">
        <f t="shared" si="19"/>
        <v>-</v>
      </c>
      <c r="AR36" s="516" t="str">
        <f t="shared" si="19"/>
        <v>-</v>
      </c>
      <c r="AS36" s="516" t="str">
        <f t="shared" si="19"/>
        <v>-</v>
      </c>
      <c r="AT36" s="516" t="str">
        <f t="shared" si="19"/>
        <v>-</v>
      </c>
      <c r="AU36" s="516" t="str">
        <f t="shared" si="19"/>
        <v>-</v>
      </c>
      <c r="AV36" s="516" t="str">
        <f t="shared" si="19"/>
        <v>-</v>
      </c>
      <c r="AW36" s="516" t="str">
        <f t="shared" si="19"/>
        <v>-</v>
      </c>
      <c r="AX36" s="516" t="str">
        <f t="shared" si="19"/>
        <v>-</v>
      </c>
      <c r="AY36" s="516" t="str">
        <f t="shared" si="19"/>
        <v>-</v>
      </c>
      <c r="AZ36" s="516" t="str">
        <f t="shared" si="19"/>
        <v>-</v>
      </c>
      <c r="BA36" s="516" t="str">
        <f t="shared" si="19"/>
        <v>-</v>
      </c>
      <c r="BB36" s="516" t="str">
        <f t="shared" si="19"/>
        <v>-</v>
      </c>
      <c r="BC36" s="516" t="str">
        <f t="shared" si="19"/>
        <v>-</v>
      </c>
      <c r="BD36" s="516" t="str">
        <f t="shared" si="19"/>
        <v>-</v>
      </c>
      <c r="BE36" s="516" t="str">
        <f t="shared" si="19"/>
        <v>-</v>
      </c>
      <c r="BF36" s="516" t="str">
        <f t="shared" si="19"/>
        <v>-</v>
      </c>
      <c r="BG36" s="516" t="str">
        <f t="shared" si="19"/>
        <v>-</v>
      </c>
      <c r="BH36" s="516" t="str">
        <f t="shared" si="19"/>
        <v>-</v>
      </c>
      <c r="BI36" s="516" t="str">
        <f t="shared" si="19"/>
        <v>-</v>
      </c>
      <c r="BJ36" s="516" t="str">
        <f t="shared" si="19"/>
        <v>-</v>
      </c>
      <c r="BK36" s="516" t="str">
        <f t="shared" si="19"/>
        <v>-</v>
      </c>
      <c r="BL36" s="516" t="str">
        <f t="shared" si="19"/>
        <v>-</v>
      </c>
      <c r="BM36" s="516" t="str">
        <f t="shared" si="19"/>
        <v>-</v>
      </c>
      <c r="BN36" s="516" t="str">
        <f t="shared" si="19"/>
        <v>-</v>
      </c>
      <c r="BO36" s="516" t="str">
        <f t="shared" si="19"/>
        <v>-</v>
      </c>
      <c r="BP36" s="516" t="str">
        <f t="shared" si="19"/>
        <v>-</v>
      </c>
      <c r="BQ36" s="516" t="str">
        <f t="shared" si="19"/>
        <v>-</v>
      </c>
      <c r="BR36" s="516" t="str">
        <f t="shared" si="19"/>
        <v>-</v>
      </c>
      <c r="BS36" s="516" t="str">
        <f t="shared" si="19"/>
        <v>-</v>
      </c>
      <c r="BT36" s="516" t="str">
        <f t="shared" si="19"/>
        <v>-</v>
      </c>
      <c r="BU36" s="516" t="str">
        <f t="shared" si="19"/>
        <v>-</v>
      </c>
      <c r="BV36" s="516" t="str">
        <f t="shared" si="19"/>
        <v>-</v>
      </c>
      <c r="BW36" s="516" t="str">
        <f t="shared" si="19"/>
        <v>-</v>
      </c>
      <c r="BX36" s="516" t="str">
        <f t="shared" si="19"/>
        <v>-</v>
      </c>
      <c r="BY36" s="516" t="str">
        <f t="shared" si="19"/>
        <v>-</v>
      </c>
      <c r="BZ36" s="516" t="str">
        <f t="shared" si="19"/>
        <v>-</v>
      </c>
      <c r="CA36" s="516" t="str">
        <f t="shared" si="19"/>
        <v>-</v>
      </c>
    </row>
    <row r="37" spans="1:79">
      <c r="A37" s="105">
        <v>29</v>
      </c>
      <c r="B37" s="112" t="str">
        <v>9Y</v>
      </c>
      <c r="C37" s="262">
        <f>'usd disaggregated'!AM45</f>
        <v>-7532.3023894763101</v>
      </c>
      <c r="D37" s="111" t="str">
        <f t="shared" si="6"/>
        <v>108M</v>
      </c>
      <c r="E37" s="517">
        <f>IF(LEN(B37)&gt;0,CHOOSE(MATCH(RIGHT(D37,1),{"D","W","M"},0),NextBusDay($C$4,LEFT(D37,LEN(D37)-1)),NextBusDay($C$4+7*LEFT(D37,LEN(D37)-1)),NextBusDay(EDATE($C$4,LEFT(D37,LEN(D37)-1)))),"")</f>
        <v>45957</v>
      </c>
      <c r="F37" s="107" t="str">
        <v>12Y</v>
      </c>
      <c r="G37" s="106" t="str">
        <v>12Y</v>
      </c>
      <c r="H37" s="106" t="str">
        <f>BktUsdOisPL!H37</f>
        <v>144M</v>
      </c>
      <c r="I37" s="261" t="str">
        <v>W</v>
      </c>
      <c r="J37" s="106">
        <f>BktUsdOisPL!J37</f>
        <v>47052</v>
      </c>
      <c r="L37" s="522">
        <f t="shared" si="7"/>
        <v>-6879.8161667987797</v>
      </c>
      <c r="N37" s="106" t="str">
        <f t="shared" si="1"/>
        <v>-</v>
      </c>
      <c r="O37" s="106" t="str">
        <f t="shared" si="16"/>
        <v>-</v>
      </c>
      <c r="P37" s="106" t="str">
        <f t="shared" si="3"/>
        <v>-</v>
      </c>
      <c r="Q37" s="106" t="b">
        <f t="shared" si="4"/>
        <v>0</v>
      </c>
      <c r="R37" s="516" t="str">
        <f t="shared" ref="R37:AG52" si="20">IF(LEN($F37)&gt;0,IF(AND(R$8=$J37,NOT(AND(R$8&gt;=$N37,R$8&lt;$P37))),R$6,IF(AND(NOT(R$8&gt;$J36),R$8&lt;$J37),"-",IF(AND(R$8&gt;=$N37,R$8&lt;$P37),"???",IF(AND(R$8&gt;$J36,R$8&lt;$J37),R$6*(R$8-$J36)/($J37-$J36),IF(AND(R$8&gt;$J37,R$8&lt;$J38),R$6*($J38-R$8)/($J38-$J37),"-"))))),"-")</f>
        <v>-</v>
      </c>
      <c r="S37" s="516" t="str">
        <f t="shared" si="20"/>
        <v>-</v>
      </c>
      <c r="T37" s="516" t="str">
        <f t="shared" si="20"/>
        <v>-</v>
      </c>
      <c r="U37" s="516" t="str">
        <f t="shared" si="20"/>
        <v>-</v>
      </c>
      <c r="V37" s="516" t="str">
        <f t="shared" si="20"/>
        <v>-</v>
      </c>
      <c r="W37" s="516" t="str">
        <f t="shared" si="20"/>
        <v>-</v>
      </c>
      <c r="X37" s="516" t="str">
        <f t="shared" si="20"/>
        <v>-</v>
      </c>
      <c r="Y37" s="516" t="str">
        <f t="shared" si="19"/>
        <v>-</v>
      </c>
      <c r="Z37" s="516" t="str">
        <f t="shared" si="19"/>
        <v>-</v>
      </c>
      <c r="AA37" s="516" t="str">
        <f t="shared" si="19"/>
        <v>-</v>
      </c>
      <c r="AB37" s="516" t="str">
        <f t="shared" si="19"/>
        <v>-</v>
      </c>
      <c r="AC37" s="516" t="str">
        <f t="shared" si="19"/>
        <v>-</v>
      </c>
      <c r="AD37" s="516" t="str">
        <f t="shared" si="19"/>
        <v>-</v>
      </c>
      <c r="AE37" s="516" t="str">
        <f t="shared" si="19"/>
        <v>-</v>
      </c>
      <c r="AF37" s="516" t="str">
        <f t="shared" si="19"/>
        <v>-</v>
      </c>
      <c r="AG37" s="516" t="str">
        <f t="shared" si="19"/>
        <v>-</v>
      </c>
      <c r="AH37" s="516" t="str">
        <f t="shared" si="19"/>
        <v>-</v>
      </c>
      <c r="AI37" s="516" t="str">
        <f t="shared" si="19"/>
        <v>-</v>
      </c>
      <c r="AJ37" s="516" t="str">
        <f t="shared" si="19"/>
        <v>-</v>
      </c>
      <c r="AK37" s="516" t="str">
        <f t="shared" si="19"/>
        <v>-</v>
      </c>
      <c r="AL37" s="516" t="str">
        <f t="shared" si="19"/>
        <v>-</v>
      </c>
      <c r="AM37" s="516" t="str">
        <f t="shared" si="19"/>
        <v>-</v>
      </c>
      <c r="AN37" s="516" t="str">
        <f t="shared" si="19"/>
        <v>-</v>
      </c>
      <c r="AO37" s="516" t="str">
        <f t="shared" si="19"/>
        <v>-</v>
      </c>
      <c r="AP37" s="516" t="str">
        <f t="shared" si="19"/>
        <v>-</v>
      </c>
      <c r="AQ37" s="516" t="str">
        <f t="shared" si="19"/>
        <v>-</v>
      </c>
      <c r="AR37" s="516" t="str">
        <f t="shared" si="19"/>
        <v>-</v>
      </c>
      <c r="AS37" s="516" t="str">
        <f t="shared" si="19"/>
        <v>-</v>
      </c>
      <c r="AT37" s="516" t="str">
        <f t="shared" si="19"/>
        <v>-</v>
      </c>
      <c r="AU37" s="516" t="str">
        <f t="shared" si="19"/>
        <v>-</v>
      </c>
      <c r="AV37" s="516">
        <f t="shared" si="19"/>
        <v>-6879.8161667987797</v>
      </c>
      <c r="AW37" s="516" t="str">
        <f t="shared" si="19"/>
        <v>-</v>
      </c>
      <c r="AX37" s="516" t="str">
        <f t="shared" si="19"/>
        <v>-</v>
      </c>
      <c r="AY37" s="516" t="str">
        <f t="shared" si="19"/>
        <v>-</v>
      </c>
      <c r="AZ37" s="516" t="str">
        <f t="shared" si="19"/>
        <v>-</v>
      </c>
      <c r="BA37" s="516" t="str">
        <f t="shared" si="19"/>
        <v>-</v>
      </c>
      <c r="BB37" s="516" t="str">
        <f t="shared" si="19"/>
        <v>-</v>
      </c>
      <c r="BC37" s="516" t="str">
        <f t="shared" si="19"/>
        <v>-</v>
      </c>
      <c r="BD37" s="516" t="str">
        <f t="shared" si="19"/>
        <v>-</v>
      </c>
      <c r="BE37" s="516" t="str">
        <f t="shared" si="19"/>
        <v>-</v>
      </c>
      <c r="BF37" s="516" t="str">
        <f t="shared" si="19"/>
        <v>-</v>
      </c>
      <c r="BG37" s="516" t="str">
        <f t="shared" si="19"/>
        <v>-</v>
      </c>
      <c r="BH37" s="516" t="str">
        <f t="shared" si="19"/>
        <v>-</v>
      </c>
      <c r="BI37" s="516" t="str">
        <f t="shared" si="19"/>
        <v>-</v>
      </c>
      <c r="BJ37" s="516" t="str">
        <f t="shared" si="19"/>
        <v>-</v>
      </c>
      <c r="BK37" s="516" t="str">
        <f t="shared" si="19"/>
        <v>-</v>
      </c>
      <c r="BL37" s="516" t="str">
        <f t="shared" si="19"/>
        <v>-</v>
      </c>
      <c r="BM37" s="516" t="str">
        <f t="shared" si="19"/>
        <v>-</v>
      </c>
      <c r="BN37" s="516" t="str">
        <f t="shared" si="19"/>
        <v>-</v>
      </c>
      <c r="BO37" s="516" t="str">
        <f t="shared" si="19"/>
        <v>-</v>
      </c>
      <c r="BP37" s="516" t="str">
        <f t="shared" si="19"/>
        <v>-</v>
      </c>
      <c r="BQ37" s="516" t="str">
        <f t="shared" si="19"/>
        <v>-</v>
      </c>
      <c r="BR37" s="516" t="str">
        <f t="shared" si="19"/>
        <v>-</v>
      </c>
      <c r="BS37" s="516" t="str">
        <f t="shared" si="19"/>
        <v>-</v>
      </c>
      <c r="BT37" s="516" t="str">
        <f t="shared" si="19"/>
        <v>-</v>
      </c>
      <c r="BU37" s="516" t="str">
        <f t="shared" si="19"/>
        <v>-</v>
      </c>
      <c r="BV37" s="516" t="str">
        <f t="shared" si="19"/>
        <v>-</v>
      </c>
      <c r="BW37" s="516" t="str">
        <f t="shared" si="19"/>
        <v>-</v>
      </c>
      <c r="BX37" s="516" t="str">
        <f t="shared" si="19"/>
        <v>-</v>
      </c>
      <c r="BY37" s="516" t="str">
        <f t="shared" si="19"/>
        <v>-</v>
      </c>
      <c r="BZ37" s="516" t="str">
        <f t="shared" si="19"/>
        <v>-</v>
      </c>
      <c r="CA37" s="516" t="str">
        <f t="shared" si="19"/>
        <v>-</v>
      </c>
    </row>
    <row r="38" spans="1:79">
      <c r="A38" s="105">
        <v>30</v>
      </c>
      <c r="B38" s="112" t="str">
        <v>10Y</v>
      </c>
      <c r="C38" s="262">
        <f>'usd disaggregated'!AM46</f>
        <v>3260.5397438639902</v>
      </c>
      <c r="D38" s="111" t="str">
        <f t="shared" si="6"/>
        <v>120M</v>
      </c>
      <c r="E38" s="517">
        <f>IF(LEN(B38)&gt;0,CHOOSE(MATCH(RIGHT(D38,1),{"D","W","M"},0),NextBusDay($C$4,LEFT(D38,LEN(D38)-1)),NextBusDay($C$4+7*LEFT(D38,LEN(D38)-1)),NextBusDay(EDATE($C$4,LEFT(D38,LEN(D38)-1)))),"")</f>
        <v>46321</v>
      </c>
      <c r="F38" s="107" t="str">
        <v>13Y</v>
      </c>
      <c r="G38" s="106" t="str">
        <v>13Y</v>
      </c>
      <c r="H38" s="106" t="str">
        <f>BktUsdOisPL!H38</f>
        <v>156M</v>
      </c>
      <c r="I38" s="261" t="str">
        <v>W</v>
      </c>
      <c r="J38" s="106">
        <f>BktUsdOisPL!J38</f>
        <v>47417</v>
      </c>
      <c r="L38" s="522">
        <f t="shared" si="7"/>
        <v>0</v>
      </c>
      <c r="N38" s="106" t="str">
        <f t="shared" si="1"/>
        <v>-</v>
      </c>
      <c r="O38" s="106" t="str">
        <f t="shared" si="16"/>
        <v>-</v>
      </c>
      <c r="P38" s="106" t="str">
        <f t="shared" si="3"/>
        <v>-</v>
      </c>
      <c r="Q38" s="106" t="b">
        <f t="shared" si="4"/>
        <v>0</v>
      </c>
      <c r="R38" s="516" t="str">
        <f t="shared" si="20"/>
        <v>-</v>
      </c>
      <c r="S38" s="516" t="str">
        <f t="shared" si="20"/>
        <v>-</v>
      </c>
      <c r="T38" s="516" t="str">
        <f t="shared" si="20"/>
        <v>-</v>
      </c>
      <c r="U38" s="516" t="str">
        <f t="shared" si="20"/>
        <v>-</v>
      </c>
      <c r="V38" s="516" t="str">
        <f t="shared" si="20"/>
        <v>-</v>
      </c>
      <c r="W38" s="516" t="str">
        <f t="shared" si="20"/>
        <v>-</v>
      </c>
      <c r="X38" s="516" t="str">
        <f t="shared" si="20"/>
        <v>-</v>
      </c>
      <c r="Y38" s="516" t="str">
        <f t="shared" si="19"/>
        <v>-</v>
      </c>
      <c r="Z38" s="516" t="str">
        <f t="shared" si="19"/>
        <v>-</v>
      </c>
      <c r="AA38" s="516" t="str">
        <f t="shared" si="19"/>
        <v>-</v>
      </c>
      <c r="AB38" s="516" t="str">
        <f t="shared" si="19"/>
        <v>-</v>
      </c>
      <c r="AC38" s="516" t="str">
        <f t="shared" si="19"/>
        <v>-</v>
      </c>
      <c r="AD38" s="516" t="str">
        <f t="shared" si="19"/>
        <v>-</v>
      </c>
      <c r="AE38" s="516" t="str">
        <f t="shared" si="19"/>
        <v>-</v>
      </c>
      <c r="AF38" s="516" t="str">
        <f t="shared" si="19"/>
        <v>-</v>
      </c>
      <c r="AG38" s="516" t="str">
        <f t="shared" si="19"/>
        <v>-</v>
      </c>
      <c r="AH38" s="516" t="str">
        <f t="shared" si="19"/>
        <v>-</v>
      </c>
      <c r="AI38" s="516" t="str">
        <f t="shared" si="19"/>
        <v>-</v>
      </c>
      <c r="AJ38" s="516" t="str">
        <f t="shared" si="19"/>
        <v>-</v>
      </c>
      <c r="AK38" s="516" t="str">
        <f t="shared" si="19"/>
        <v>-</v>
      </c>
      <c r="AL38" s="516" t="str">
        <f t="shared" si="19"/>
        <v>-</v>
      </c>
      <c r="AM38" s="516" t="str">
        <f t="shared" si="19"/>
        <v>-</v>
      </c>
      <c r="AN38" s="516" t="str">
        <f t="shared" si="19"/>
        <v>-</v>
      </c>
      <c r="AO38" s="516" t="str">
        <f t="shared" si="19"/>
        <v>-</v>
      </c>
      <c r="AP38" s="516" t="str">
        <f t="shared" si="19"/>
        <v>-</v>
      </c>
      <c r="AQ38" s="516" t="str">
        <f t="shared" si="19"/>
        <v>-</v>
      </c>
      <c r="AR38" s="516" t="str">
        <f t="shared" si="19"/>
        <v>-</v>
      </c>
      <c r="AS38" s="516" t="str">
        <f t="shared" si="19"/>
        <v>-</v>
      </c>
      <c r="AT38" s="516" t="str">
        <f t="shared" si="19"/>
        <v>-</v>
      </c>
      <c r="AU38" s="516" t="str">
        <f t="shared" si="19"/>
        <v>-</v>
      </c>
      <c r="AV38" s="516" t="str">
        <f t="shared" si="19"/>
        <v>-</v>
      </c>
      <c r="AW38" s="516" t="str">
        <f t="shared" si="19"/>
        <v>-</v>
      </c>
      <c r="AX38" s="516" t="str">
        <f t="shared" si="19"/>
        <v>-</v>
      </c>
      <c r="AY38" s="516" t="str">
        <f t="shared" si="19"/>
        <v>-</v>
      </c>
      <c r="AZ38" s="516" t="str">
        <f t="shared" si="19"/>
        <v>-</v>
      </c>
      <c r="BA38" s="516" t="str">
        <f t="shared" si="19"/>
        <v>-</v>
      </c>
      <c r="BB38" s="516" t="str">
        <f t="shared" si="19"/>
        <v>-</v>
      </c>
      <c r="BC38" s="516" t="str">
        <f t="shared" si="19"/>
        <v>-</v>
      </c>
      <c r="BD38" s="516" t="str">
        <f t="shared" si="19"/>
        <v>-</v>
      </c>
      <c r="BE38" s="516" t="str">
        <f t="shared" si="19"/>
        <v>-</v>
      </c>
      <c r="BF38" s="516" t="str">
        <f t="shared" si="19"/>
        <v>-</v>
      </c>
      <c r="BG38" s="516" t="str">
        <f t="shared" si="19"/>
        <v>-</v>
      </c>
      <c r="BH38" s="516" t="str">
        <f t="shared" si="19"/>
        <v>-</v>
      </c>
      <c r="BI38" s="516" t="str">
        <f t="shared" si="19"/>
        <v>-</v>
      </c>
      <c r="BJ38" s="516" t="str">
        <f t="shared" si="19"/>
        <v>-</v>
      </c>
      <c r="BK38" s="516" t="str">
        <f t="shared" si="19"/>
        <v>-</v>
      </c>
      <c r="BL38" s="516" t="str">
        <f t="shared" si="19"/>
        <v>-</v>
      </c>
      <c r="BM38" s="516" t="str">
        <f t="shared" si="19"/>
        <v>-</v>
      </c>
      <c r="BN38" s="516" t="str">
        <f t="shared" si="19"/>
        <v>-</v>
      </c>
      <c r="BO38" s="516" t="str">
        <f t="shared" si="19"/>
        <v>-</v>
      </c>
      <c r="BP38" s="516" t="str">
        <f t="shared" si="19"/>
        <v>-</v>
      </c>
      <c r="BQ38" s="516" t="str">
        <f t="shared" si="19"/>
        <v>-</v>
      </c>
      <c r="BR38" s="516" t="str">
        <f t="shared" si="19"/>
        <v>-</v>
      </c>
      <c r="BS38" s="516" t="str">
        <f t="shared" si="19"/>
        <v>-</v>
      </c>
      <c r="BT38" s="516" t="str">
        <f t="shared" si="19"/>
        <v>-</v>
      </c>
      <c r="BU38" s="516" t="str">
        <f t="shared" si="19"/>
        <v>-</v>
      </c>
      <c r="BV38" s="516" t="str">
        <f t="shared" si="19"/>
        <v>-</v>
      </c>
      <c r="BW38" s="516" t="str">
        <f t="shared" si="19"/>
        <v>-</v>
      </c>
      <c r="BX38" s="516" t="str">
        <f t="shared" si="19"/>
        <v>-</v>
      </c>
      <c r="BY38" s="516" t="str">
        <f t="shared" si="19"/>
        <v>-</v>
      </c>
      <c r="BZ38" s="516" t="str">
        <f t="shared" si="19"/>
        <v>-</v>
      </c>
      <c r="CA38" s="516" t="str">
        <f t="shared" si="19"/>
        <v>-</v>
      </c>
    </row>
    <row r="39" spans="1:79">
      <c r="A39" s="105">
        <v>31</v>
      </c>
      <c r="B39" s="112" t="str">
        <v>12Y</v>
      </c>
      <c r="C39" s="262">
        <f>'usd disaggregated'!AM47</f>
        <v>-6879.8161667987797</v>
      </c>
      <c r="D39" s="111" t="str">
        <f t="shared" si="6"/>
        <v>144M</v>
      </c>
      <c r="E39" s="517">
        <f>IF(LEN(B39)&gt;0,CHOOSE(MATCH(RIGHT(D39,1),{"D","W","M"},0),NextBusDay($C$4,LEFT(D39,LEN(D39)-1)),NextBusDay($C$4+7*LEFT(D39,LEN(D39)-1)),NextBusDay(EDATE($C$4,LEFT(D39,LEN(D39)-1)))),"")</f>
        <v>47052</v>
      </c>
      <c r="F39" s="107" t="str">
        <v>14Y</v>
      </c>
      <c r="G39" s="106" t="str">
        <v>14Y</v>
      </c>
      <c r="H39" s="106" t="str">
        <f>BktUsdOisPL!H39</f>
        <v>168M</v>
      </c>
      <c r="I39" s="261" t="str">
        <v>W</v>
      </c>
      <c r="J39" s="106">
        <f>BktUsdOisPL!J39</f>
        <v>47784</v>
      </c>
      <c r="L39" s="522">
        <f t="shared" si="7"/>
        <v>0</v>
      </c>
      <c r="N39" s="106" t="str">
        <f t="shared" si="1"/>
        <v>-</v>
      </c>
      <c r="O39" s="106" t="str">
        <f t="shared" si="16"/>
        <v>-</v>
      </c>
      <c r="P39" s="106" t="str">
        <f t="shared" si="3"/>
        <v>-</v>
      </c>
      <c r="Q39" s="106" t="b">
        <f t="shared" si="4"/>
        <v>0</v>
      </c>
      <c r="R39" s="516" t="str">
        <f t="shared" si="20"/>
        <v>-</v>
      </c>
      <c r="S39" s="516" t="str">
        <f t="shared" si="20"/>
        <v>-</v>
      </c>
      <c r="T39" s="516" t="str">
        <f t="shared" si="20"/>
        <v>-</v>
      </c>
      <c r="U39" s="516" t="str">
        <f t="shared" si="20"/>
        <v>-</v>
      </c>
      <c r="V39" s="516" t="str">
        <f t="shared" si="20"/>
        <v>-</v>
      </c>
      <c r="W39" s="516" t="str">
        <f t="shared" si="20"/>
        <v>-</v>
      </c>
      <c r="X39" s="516" t="str">
        <f t="shared" si="20"/>
        <v>-</v>
      </c>
      <c r="Y39" s="516" t="str">
        <f t="shared" si="19"/>
        <v>-</v>
      </c>
      <c r="Z39" s="516" t="str">
        <f t="shared" si="19"/>
        <v>-</v>
      </c>
      <c r="AA39" s="516" t="str">
        <f t="shared" si="19"/>
        <v>-</v>
      </c>
      <c r="AB39" s="516" t="str">
        <f t="shared" si="19"/>
        <v>-</v>
      </c>
      <c r="AC39" s="516" t="str">
        <f t="shared" si="19"/>
        <v>-</v>
      </c>
      <c r="AD39" s="516" t="str">
        <f t="shared" si="19"/>
        <v>-</v>
      </c>
      <c r="AE39" s="516" t="str">
        <f t="shared" si="19"/>
        <v>-</v>
      </c>
      <c r="AF39" s="516" t="str">
        <f t="shared" si="19"/>
        <v>-</v>
      </c>
      <c r="AG39" s="516" t="str">
        <f t="shared" si="19"/>
        <v>-</v>
      </c>
      <c r="AH39" s="516" t="str">
        <f t="shared" si="19"/>
        <v>-</v>
      </c>
      <c r="AI39" s="516" t="str">
        <f t="shared" si="19"/>
        <v>-</v>
      </c>
      <c r="AJ39" s="516" t="str">
        <f t="shared" si="19"/>
        <v>-</v>
      </c>
      <c r="AK39" s="516" t="str">
        <f t="shared" si="19"/>
        <v>-</v>
      </c>
      <c r="AL39" s="516" t="str">
        <f t="shared" si="19"/>
        <v>-</v>
      </c>
      <c r="AM39" s="516" t="str">
        <f t="shared" si="19"/>
        <v>-</v>
      </c>
      <c r="AN39" s="516" t="str">
        <f t="shared" si="19"/>
        <v>-</v>
      </c>
      <c r="AO39" s="516" t="str">
        <f t="shared" si="19"/>
        <v>-</v>
      </c>
      <c r="AP39" s="516" t="str">
        <f t="shared" si="19"/>
        <v>-</v>
      </c>
      <c r="AQ39" s="516" t="str">
        <f t="shared" si="19"/>
        <v>-</v>
      </c>
      <c r="AR39" s="516" t="str">
        <f t="shared" si="19"/>
        <v>-</v>
      </c>
      <c r="AS39" s="516" t="str">
        <f t="shared" si="19"/>
        <v>-</v>
      </c>
      <c r="AT39" s="516" t="str">
        <f t="shared" si="19"/>
        <v>-</v>
      </c>
      <c r="AU39" s="516" t="str">
        <f t="shared" si="19"/>
        <v>-</v>
      </c>
      <c r="AV39" s="516" t="str">
        <f t="shared" si="19"/>
        <v>-</v>
      </c>
      <c r="AW39" s="516" t="str">
        <f t="shared" si="19"/>
        <v>-</v>
      </c>
      <c r="AX39" s="516" t="str">
        <f t="shared" si="19"/>
        <v>-</v>
      </c>
      <c r="AY39" s="516" t="str">
        <f t="shared" si="19"/>
        <v>-</v>
      </c>
      <c r="AZ39" s="516" t="str">
        <f t="shared" si="19"/>
        <v>-</v>
      </c>
      <c r="BA39" s="516" t="str">
        <f t="shared" si="19"/>
        <v>-</v>
      </c>
      <c r="BB39" s="516" t="str">
        <f t="shared" si="19"/>
        <v>-</v>
      </c>
      <c r="BC39" s="516" t="str">
        <f t="shared" si="19"/>
        <v>-</v>
      </c>
      <c r="BD39" s="516" t="str">
        <f t="shared" si="19"/>
        <v>-</v>
      </c>
      <c r="BE39" s="516" t="str">
        <f t="shared" si="19"/>
        <v>-</v>
      </c>
      <c r="BF39" s="516" t="str">
        <f t="shared" si="19"/>
        <v>-</v>
      </c>
      <c r="BG39" s="516" t="str">
        <f t="shared" si="19"/>
        <v>-</v>
      </c>
      <c r="BH39" s="516" t="str">
        <f t="shared" si="19"/>
        <v>-</v>
      </c>
      <c r="BI39" s="516" t="str">
        <f t="shared" si="19"/>
        <v>-</v>
      </c>
      <c r="BJ39" s="516" t="str">
        <f t="shared" si="19"/>
        <v>-</v>
      </c>
      <c r="BK39" s="516" t="str">
        <f t="shared" si="19"/>
        <v>-</v>
      </c>
      <c r="BL39" s="516" t="str">
        <f t="shared" si="19"/>
        <v>-</v>
      </c>
      <c r="BM39" s="516" t="str">
        <f t="shared" si="19"/>
        <v>-</v>
      </c>
      <c r="BN39" s="516" t="str">
        <f t="shared" si="19"/>
        <v>-</v>
      </c>
      <c r="BO39" s="516" t="str">
        <f t="shared" si="19"/>
        <v>-</v>
      </c>
      <c r="BP39" s="516" t="str">
        <f t="shared" si="19"/>
        <v>-</v>
      </c>
      <c r="BQ39" s="516" t="str">
        <f t="shared" si="19"/>
        <v>-</v>
      </c>
      <c r="BR39" s="516" t="str">
        <f t="shared" si="19"/>
        <v>-</v>
      </c>
      <c r="BS39" s="516" t="str">
        <f t="shared" si="19"/>
        <v>-</v>
      </c>
      <c r="BT39" s="516" t="str">
        <f t="shared" si="19"/>
        <v>-</v>
      </c>
      <c r="BU39" s="516" t="str">
        <f t="shared" si="19"/>
        <v>-</v>
      </c>
      <c r="BV39" s="516" t="str">
        <f t="shared" si="19"/>
        <v>-</v>
      </c>
      <c r="BW39" s="516" t="str">
        <f t="shared" si="19"/>
        <v>-</v>
      </c>
      <c r="BX39" s="516" t="str">
        <f t="shared" si="19"/>
        <v>-</v>
      </c>
      <c r="BY39" s="516" t="str">
        <f t="shared" si="19"/>
        <v>-</v>
      </c>
      <c r="BZ39" s="516" t="str">
        <f t="shared" si="19"/>
        <v>-</v>
      </c>
      <c r="CA39" s="516" t="str">
        <f t="shared" si="19"/>
        <v>-</v>
      </c>
    </row>
    <row r="40" spans="1:79">
      <c r="A40" s="105">
        <v>32</v>
      </c>
      <c r="B40" s="112" t="str">
        <v>15Y</v>
      </c>
      <c r="C40" s="262">
        <f>'usd disaggregated'!AM48</f>
        <v>29503.1255514119</v>
      </c>
      <c r="D40" s="111" t="str">
        <f t="shared" si="6"/>
        <v>180M</v>
      </c>
      <c r="E40" s="517">
        <f>IF(LEN(B40)&gt;0,CHOOSE(MATCH(RIGHT(D40,1),{"D","W","M"},0),NextBusDay($C$4,LEFT(D40,LEN(D40)-1)),NextBusDay($C$4+7*LEFT(D40,LEN(D40)-1)),NextBusDay(EDATE($C$4,LEFT(D40,LEN(D40)-1)))),"")</f>
        <v>48148</v>
      </c>
      <c r="F40" s="107" t="str">
        <v>15Y</v>
      </c>
      <c r="G40" s="106" t="str">
        <v>15Y</v>
      </c>
      <c r="H40" s="106" t="str">
        <f>BktUsdOisPL!H40</f>
        <v>180M</v>
      </c>
      <c r="I40" s="261" t="str">
        <v>W</v>
      </c>
      <c r="J40" s="106">
        <f>BktUsdOisPL!J40</f>
        <v>48148</v>
      </c>
      <c r="L40" s="522">
        <f t="shared" si="7"/>
        <v>29503.1255514119</v>
      </c>
      <c r="N40" s="106" t="str">
        <f t="shared" si="1"/>
        <v>-</v>
      </c>
      <c r="O40" s="106" t="str">
        <f t="shared" si="16"/>
        <v>-</v>
      </c>
      <c r="P40" s="106" t="str">
        <f t="shared" si="3"/>
        <v>-</v>
      </c>
      <c r="Q40" s="106" t="b">
        <f t="shared" si="4"/>
        <v>0</v>
      </c>
      <c r="R40" s="516" t="str">
        <f t="shared" si="20"/>
        <v>-</v>
      </c>
      <c r="S40" s="516" t="str">
        <f t="shared" si="20"/>
        <v>-</v>
      </c>
      <c r="T40" s="516" t="str">
        <f t="shared" si="20"/>
        <v>-</v>
      </c>
      <c r="U40" s="516" t="str">
        <f t="shared" si="20"/>
        <v>-</v>
      </c>
      <c r="V40" s="516" t="str">
        <f t="shared" si="20"/>
        <v>-</v>
      </c>
      <c r="W40" s="516" t="str">
        <f t="shared" si="20"/>
        <v>-</v>
      </c>
      <c r="X40" s="516" t="str">
        <f t="shared" si="20"/>
        <v>-</v>
      </c>
      <c r="Y40" s="516" t="str">
        <f t="shared" si="19"/>
        <v>-</v>
      </c>
      <c r="Z40" s="516" t="str">
        <f t="shared" si="19"/>
        <v>-</v>
      </c>
      <c r="AA40" s="516" t="str">
        <f t="shared" si="19"/>
        <v>-</v>
      </c>
      <c r="AB40" s="516" t="str">
        <f t="shared" si="19"/>
        <v>-</v>
      </c>
      <c r="AC40" s="516" t="str">
        <f t="shared" si="19"/>
        <v>-</v>
      </c>
      <c r="AD40" s="516" t="str">
        <f t="shared" si="19"/>
        <v>-</v>
      </c>
      <c r="AE40" s="516" t="str">
        <f t="shared" si="19"/>
        <v>-</v>
      </c>
      <c r="AF40" s="516" t="str">
        <f t="shared" si="19"/>
        <v>-</v>
      </c>
      <c r="AG40" s="516" t="str">
        <f t="shared" si="19"/>
        <v>-</v>
      </c>
      <c r="AH40" s="516" t="str">
        <f t="shared" si="19"/>
        <v>-</v>
      </c>
      <c r="AI40" s="516" t="str">
        <f t="shared" si="19"/>
        <v>-</v>
      </c>
      <c r="AJ40" s="516" t="str">
        <f t="shared" si="19"/>
        <v>-</v>
      </c>
      <c r="AK40" s="516" t="str">
        <f t="shared" si="19"/>
        <v>-</v>
      </c>
      <c r="AL40" s="516" t="str">
        <f t="shared" si="19"/>
        <v>-</v>
      </c>
      <c r="AM40" s="516" t="str">
        <f t="shared" si="19"/>
        <v>-</v>
      </c>
      <c r="AN40" s="516" t="str">
        <f t="shared" si="19"/>
        <v>-</v>
      </c>
      <c r="AO40" s="516" t="str">
        <f t="shared" si="19"/>
        <v>-</v>
      </c>
      <c r="AP40" s="516" t="str">
        <f t="shared" si="19"/>
        <v>-</v>
      </c>
      <c r="AQ40" s="516" t="str">
        <f t="shared" si="19"/>
        <v>-</v>
      </c>
      <c r="AR40" s="516" t="str">
        <f t="shared" si="19"/>
        <v>-</v>
      </c>
      <c r="AS40" s="516" t="str">
        <f t="shared" si="19"/>
        <v>-</v>
      </c>
      <c r="AT40" s="516" t="str">
        <f t="shared" si="19"/>
        <v>-</v>
      </c>
      <c r="AU40" s="516" t="str">
        <f t="shared" si="19"/>
        <v>-</v>
      </c>
      <c r="AV40" s="516" t="str">
        <f t="shared" si="19"/>
        <v>-</v>
      </c>
      <c r="AW40" s="516">
        <f t="shared" si="19"/>
        <v>29503.1255514119</v>
      </c>
      <c r="AX40" s="516" t="str">
        <f t="shared" si="19"/>
        <v>-</v>
      </c>
      <c r="AY40" s="516" t="str">
        <f t="shared" si="19"/>
        <v>-</v>
      </c>
      <c r="AZ40" s="516" t="str">
        <f t="shared" si="19"/>
        <v>-</v>
      </c>
      <c r="BA40" s="516" t="str">
        <f t="shared" si="19"/>
        <v>-</v>
      </c>
      <c r="BB40" s="516" t="str">
        <f t="shared" si="19"/>
        <v>-</v>
      </c>
      <c r="BC40" s="516" t="str">
        <f t="shared" si="19"/>
        <v>-</v>
      </c>
      <c r="BD40" s="516" t="str">
        <f t="shared" si="19"/>
        <v>-</v>
      </c>
      <c r="BE40" s="516" t="str">
        <f t="shared" si="19"/>
        <v>-</v>
      </c>
      <c r="BF40" s="516" t="str">
        <f t="shared" si="19"/>
        <v>-</v>
      </c>
      <c r="BG40" s="516" t="str">
        <f t="shared" si="19"/>
        <v>-</v>
      </c>
      <c r="BH40" s="516" t="str">
        <f t="shared" ref="BH40:CA52" si="21">IF(LEN($F40)&gt;0,IF(AND(BH$8=$J40,NOT(AND(BH$8&gt;=$N40,BH$8&lt;$P40))),BH$6,IF(AND(NOT(BH$8&gt;$J39),BH$8&lt;$J40),"-",IF(AND(BH$8&gt;=$N40,BH$8&lt;$P40),"???",IF(AND(BH$8&gt;$J39,BH$8&lt;$J40),BH$6*(BH$8-$J39)/($J40-$J39),IF(AND(BH$8&gt;$J40,BH$8&lt;$J41),BH$6*($J41-BH$8)/($J41-$J40),"-"))))),"-")</f>
        <v>-</v>
      </c>
      <c r="BI40" s="516" t="str">
        <f t="shared" si="21"/>
        <v>-</v>
      </c>
      <c r="BJ40" s="516" t="str">
        <f t="shared" si="21"/>
        <v>-</v>
      </c>
      <c r="BK40" s="516" t="str">
        <f t="shared" si="21"/>
        <v>-</v>
      </c>
      <c r="BL40" s="516" t="str">
        <f t="shared" si="21"/>
        <v>-</v>
      </c>
      <c r="BM40" s="516" t="str">
        <f t="shared" si="21"/>
        <v>-</v>
      </c>
      <c r="BN40" s="516" t="str">
        <f t="shared" si="21"/>
        <v>-</v>
      </c>
      <c r="BO40" s="516" t="str">
        <f t="shared" si="21"/>
        <v>-</v>
      </c>
      <c r="BP40" s="516" t="str">
        <f t="shared" si="21"/>
        <v>-</v>
      </c>
      <c r="BQ40" s="516" t="str">
        <f t="shared" si="21"/>
        <v>-</v>
      </c>
      <c r="BR40" s="516" t="str">
        <f t="shared" si="21"/>
        <v>-</v>
      </c>
      <c r="BS40" s="516" t="str">
        <f t="shared" si="21"/>
        <v>-</v>
      </c>
      <c r="BT40" s="516" t="str">
        <f t="shared" si="21"/>
        <v>-</v>
      </c>
      <c r="BU40" s="516" t="str">
        <f t="shared" si="21"/>
        <v>-</v>
      </c>
      <c r="BV40" s="516" t="str">
        <f t="shared" si="21"/>
        <v>-</v>
      </c>
      <c r="BW40" s="516" t="str">
        <f t="shared" si="21"/>
        <v>-</v>
      </c>
      <c r="BX40" s="516" t="str">
        <f t="shared" si="21"/>
        <v>-</v>
      </c>
      <c r="BY40" s="516" t="str">
        <f t="shared" si="21"/>
        <v>-</v>
      </c>
      <c r="BZ40" s="516" t="str">
        <f t="shared" si="21"/>
        <v>-</v>
      </c>
      <c r="CA40" s="516" t="str">
        <f t="shared" si="21"/>
        <v>-</v>
      </c>
    </row>
    <row r="41" spans="1:79">
      <c r="A41" s="105">
        <v>33</v>
      </c>
      <c r="B41" s="112" t="str">
        <v>20Y</v>
      </c>
      <c r="C41" s="262">
        <f>'usd disaggregated'!AM49</f>
        <v>-31547.523857256601</v>
      </c>
      <c r="D41" s="111" t="str">
        <f t="shared" si="6"/>
        <v>240M</v>
      </c>
      <c r="E41" s="517">
        <f>IF(LEN(B41)&gt;0,CHOOSE(MATCH(RIGHT(D41,1),{"D","W","M"},0),NextBusDay($C$4,LEFT(D41,LEN(D41)-1)),NextBusDay($C$4+7*LEFT(D41,LEN(D41)-1)),NextBusDay(EDATE($C$4,LEFT(D41,LEN(D41)-1)))),"")</f>
        <v>49975</v>
      </c>
      <c r="F41" s="107" t="str">
        <v>16Y</v>
      </c>
      <c r="G41" s="106" t="str">
        <v>16Y</v>
      </c>
      <c r="H41" s="106" t="str">
        <f>BktUsdOisPL!H41</f>
        <v>192M</v>
      </c>
      <c r="I41" s="261" t="str">
        <v>W</v>
      </c>
      <c r="J41" s="106">
        <f>BktUsdOisPL!J41</f>
        <v>48513</v>
      </c>
      <c r="L41" s="522">
        <f t="shared" si="7"/>
        <v>0</v>
      </c>
      <c r="N41" s="106" t="str">
        <f t="shared" si="1"/>
        <v>-</v>
      </c>
      <c r="O41" s="106" t="str">
        <f t="shared" si="16"/>
        <v>-</v>
      </c>
      <c r="P41" s="106" t="str">
        <f t="shared" si="3"/>
        <v>-</v>
      </c>
      <c r="Q41" s="106" t="b">
        <f t="shared" si="4"/>
        <v>0</v>
      </c>
      <c r="R41" s="516" t="str">
        <f t="shared" si="20"/>
        <v>-</v>
      </c>
      <c r="S41" s="516" t="str">
        <f t="shared" si="20"/>
        <v>-</v>
      </c>
      <c r="T41" s="516" t="str">
        <f t="shared" si="20"/>
        <v>-</v>
      </c>
      <c r="U41" s="516" t="str">
        <f t="shared" si="20"/>
        <v>-</v>
      </c>
      <c r="V41" s="516" t="str">
        <f t="shared" si="20"/>
        <v>-</v>
      </c>
      <c r="W41" s="516" t="str">
        <f t="shared" si="20"/>
        <v>-</v>
      </c>
      <c r="X41" s="516" t="str">
        <f t="shared" si="20"/>
        <v>-</v>
      </c>
      <c r="Y41" s="516" t="str">
        <f t="shared" si="20"/>
        <v>-</v>
      </c>
      <c r="Z41" s="516" t="str">
        <f t="shared" si="20"/>
        <v>-</v>
      </c>
      <c r="AA41" s="516" t="str">
        <f t="shared" si="20"/>
        <v>-</v>
      </c>
      <c r="AB41" s="516" t="str">
        <f t="shared" si="20"/>
        <v>-</v>
      </c>
      <c r="AC41" s="516" t="str">
        <f t="shared" si="20"/>
        <v>-</v>
      </c>
      <c r="AD41" s="516" t="str">
        <f t="shared" si="20"/>
        <v>-</v>
      </c>
      <c r="AE41" s="516" t="str">
        <f t="shared" si="20"/>
        <v>-</v>
      </c>
      <c r="AF41" s="516" t="str">
        <f t="shared" si="20"/>
        <v>-</v>
      </c>
      <c r="AG41" s="516" t="str">
        <f t="shared" si="20"/>
        <v>-</v>
      </c>
      <c r="AH41" s="516" t="str">
        <f t="shared" ref="AH41:BG50" si="22">IF(LEN($F41)&gt;0,IF(AND(AH$8=$J41,NOT(AND(AH$8&gt;=$N41,AH$8&lt;$P41))),AH$6,IF(AND(NOT(AH$8&gt;$J40),AH$8&lt;$J41),"-",IF(AND(AH$8&gt;=$N41,AH$8&lt;$P41),"???",IF(AND(AH$8&gt;$J40,AH$8&lt;$J41),AH$6*(AH$8-$J40)/($J41-$J40),IF(AND(AH$8&gt;$J41,AH$8&lt;$J42),AH$6*($J42-AH$8)/($J42-$J41),"-"))))),"-")</f>
        <v>-</v>
      </c>
      <c r="AI41" s="516" t="str">
        <f t="shared" si="22"/>
        <v>-</v>
      </c>
      <c r="AJ41" s="516" t="str">
        <f t="shared" si="22"/>
        <v>-</v>
      </c>
      <c r="AK41" s="516" t="str">
        <f t="shared" si="22"/>
        <v>-</v>
      </c>
      <c r="AL41" s="516" t="str">
        <f t="shared" si="22"/>
        <v>-</v>
      </c>
      <c r="AM41" s="516" t="str">
        <f t="shared" si="22"/>
        <v>-</v>
      </c>
      <c r="AN41" s="516" t="str">
        <f t="shared" si="22"/>
        <v>-</v>
      </c>
      <c r="AO41" s="516" t="str">
        <f t="shared" si="22"/>
        <v>-</v>
      </c>
      <c r="AP41" s="516" t="str">
        <f t="shared" si="22"/>
        <v>-</v>
      </c>
      <c r="AQ41" s="516" t="str">
        <f t="shared" si="22"/>
        <v>-</v>
      </c>
      <c r="AR41" s="516" t="str">
        <f t="shared" si="22"/>
        <v>-</v>
      </c>
      <c r="AS41" s="516" t="str">
        <f t="shared" si="22"/>
        <v>-</v>
      </c>
      <c r="AT41" s="516" t="str">
        <f t="shared" si="22"/>
        <v>-</v>
      </c>
      <c r="AU41" s="516" t="str">
        <f t="shared" si="22"/>
        <v>-</v>
      </c>
      <c r="AV41" s="516" t="str">
        <f t="shared" si="22"/>
        <v>-</v>
      </c>
      <c r="AW41" s="516" t="str">
        <f t="shared" si="22"/>
        <v>-</v>
      </c>
      <c r="AX41" s="516" t="str">
        <f t="shared" si="22"/>
        <v>-</v>
      </c>
      <c r="AY41" s="516" t="str">
        <f t="shared" si="22"/>
        <v>-</v>
      </c>
      <c r="AZ41" s="516" t="str">
        <f t="shared" si="22"/>
        <v>-</v>
      </c>
      <c r="BA41" s="516" t="str">
        <f t="shared" si="22"/>
        <v>-</v>
      </c>
      <c r="BB41" s="516" t="str">
        <f t="shared" si="22"/>
        <v>-</v>
      </c>
      <c r="BC41" s="516" t="str">
        <f t="shared" si="22"/>
        <v>-</v>
      </c>
      <c r="BD41" s="516" t="str">
        <f t="shared" si="22"/>
        <v>-</v>
      </c>
      <c r="BE41" s="516" t="str">
        <f t="shared" si="22"/>
        <v>-</v>
      </c>
      <c r="BF41" s="516" t="str">
        <f t="shared" si="22"/>
        <v>-</v>
      </c>
      <c r="BG41" s="516" t="str">
        <f t="shared" si="22"/>
        <v>-</v>
      </c>
      <c r="BH41" s="516" t="str">
        <f t="shared" si="21"/>
        <v>-</v>
      </c>
      <c r="BI41" s="516" t="str">
        <f t="shared" si="21"/>
        <v>-</v>
      </c>
      <c r="BJ41" s="516" t="str">
        <f t="shared" si="21"/>
        <v>-</v>
      </c>
      <c r="BK41" s="516" t="str">
        <f t="shared" si="21"/>
        <v>-</v>
      </c>
      <c r="BL41" s="516" t="str">
        <f t="shared" si="21"/>
        <v>-</v>
      </c>
      <c r="BM41" s="516" t="str">
        <f t="shared" si="21"/>
        <v>-</v>
      </c>
      <c r="BN41" s="516" t="str">
        <f t="shared" si="21"/>
        <v>-</v>
      </c>
      <c r="BO41" s="516" t="str">
        <f t="shared" si="21"/>
        <v>-</v>
      </c>
      <c r="BP41" s="516" t="str">
        <f t="shared" si="21"/>
        <v>-</v>
      </c>
      <c r="BQ41" s="516" t="str">
        <f t="shared" si="21"/>
        <v>-</v>
      </c>
      <c r="BR41" s="516" t="str">
        <f t="shared" si="21"/>
        <v>-</v>
      </c>
      <c r="BS41" s="516" t="str">
        <f t="shared" si="21"/>
        <v>-</v>
      </c>
      <c r="BT41" s="516" t="str">
        <f t="shared" si="21"/>
        <v>-</v>
      </c>
      <c r="BU41" s="516" t="str">
        <f t="shared" si="21"/>
        <v>-</v>
      </c>
      <c r="BV41" s="516" t="str">
        <f t="shared" si="21"/>
        <v>-</v>
      </c>
      <c r="BW41" s="516" t="str">
        <f t="shared" si="21"/>
        <v>-</v>
      </c>
      <c r="BX41" s="516" t="str">
        <f t="shared" si="21"/>
        <v>-</v>
      </c>
      <c r="BY41" s="516" t="str">
        <f t="shared" si="21"/>
        <v>-</v>
      </c>
      <c r="BZ41" s="516" t="str">
        <f t="shared" si="21"/>
        <v>-</v>
      </c>
      <c r="CA41" s="516" t="str">
        <f t="shared" si="21"/>
        <v>-</v>
      </c>
    </row>
    <row r="42" spans="1:79">
      <c r="A42" s="105">
        <v>34</v>
      </c>
      <c r="B42" s="112" t="str">
        <v>25Y</v>
      </c>
      <c r="C42" s="262">
        <f>'usd disaggregated'!AM50</f>
        <v>13086.473683550499</v>
      </c>
      <c r="D42" s="111" t="str">
        <f t="shared" si="6"/>
        <v>300M</v>
      </c>
      <c r="E42" s="517">
        <f>IF(LEN(B42)&gt;0,CHOOSE(MATCH(RIGHT(D42,1),{"D","W","M"},0),NextBusDay($C$4,LEFT(D42,LEN(D42)-1)),NextBusDay($C$4+7*LEFT(D42,LEN(D42)-1)),NextBusDay(EDATE($C$4,LEFT(D42,LEN(D42)-1)))),"")</f>
        <v>51802</v>
      </c>
      <c r="F42" s="107" t="str">
        <v>17Y</v>
      </c>
      <c r="G42" s="106" t="str">
        <v>17Y</v>
      </c>
      <c r="H42" s="106" t="str">
        <f>BktUsdOisPL!H42</f>
        <v>204M</v>
      </c>
      <c r="I42" s="261" t="str">
        <v>W</v>
      </c>
      <c r="J42" s="106">
        <f>BktUsdOisPL!J42</f>
        <v>48878</v>
      </c>
      <c r="L42" s="522">
        <f t="shared" si="7"/>
        <v>0</v>
      </c>
      <c r="N42" s="106" t="str">
        <f t="shared" si="1"/>
        <v>-</v>
      </c>
      <c r="O42" s="106" t="str">
        <f t="shared" si="16"/>
        <v>-</v>
      </c>
      <c r="P42" s="106" t="str">
        <f t="shared" si="3"/>
        <v>-</v>
      </c>
      <c r="Q42" s="106" t="b">
        <f t="shared" si="4"/>
        <v>0</v>
      </c>
      <c r="R42" s="516" t="str">
        <f t="shared" si="20"/>
        <v>-</v>
      </c>
      <c r="S42" s="516" t="str">
        <f t="shared" si="20"/>
        <v>-</v>
      </c>
      <c r="T42" s="516" t="str">
        <f t="shared" si="20"/>
        <v>-</v>
      </c>
      <c r="U42" s="516" t="str">
        <f t="shared" si="20"/>
        <v>-</v>
      </c>
      <c r="V42" s="516" t="str">
        <f t="shared" si="20"/>
        <v>-</v>
      </c>
      <c r="W42" s="516" t="str">
        <f t="shared" si="20"/>
        <v>-</v>
      </c>
      <c r="X42" s="516" t="str">
        <f t="shared" si="20"/>
        <v>-</v>
      </c>
      <c r="Y42" s="516" t="str">
        <f t="shared" si="20"/>
        <v>-</v>
      </c>
      <c r="Z42" s="516" t="str">
        <f t="shared" si="20"/>
        <v>-</v>
      </c>
      <c r="AA42" s="516" t="str">
        <f t="shared" si="20"/>
        <v>-</v>
      </c>
      <c r="AB42" s="516" t="str">
        <f t="shared" si="20"/>
        <v>-</v>
      </c>
      <c r="AC42" s="516" t="str">
        <f t="shared" si="20"/>
        <v>-</v>
      </c>
      <c r="AD42" s="516" t="str">
        <f t="shared" si="20"/>
        <v>-</v>
      </c>
      <c r="AE42" s="516" t="str">
        <f t="shared" si="20"/>
        <v>-</v>
      </c>
      <c r="AF42" s="516" t="str">
        <f t="shared" si="20"/>
        <v>-</v>
      </c>
      <c r="AG42" s="516" t="str">
        <f t="shared" si="20"/>
        <v>-</v>
      </c>
      <c r="AH42" s="516" t="str">
        <f t="shared" si="22"/>
        <v>-</v>
      </c>
      <c r="AI42" s="516" t="str">
        <f t="shared" si="22"/>
        <v>-</v>
      </c>
      <c r="AJ42" s="516" t="str">
        <f t="shared" si="22"/>
        <v>-</v>
      </c>
      <c r="AK42" s="516" t="str">
        <f t="shared" si="22"/>
        <v>-</v>
      </c>
      <c r="AL42" s="516" t="str">
        <f t="shared" si="22"/>
        <v>-</v>
      </c>
      <c r="AM42" s="516" t="str">
        <f t="shared" si="22"/>
        <v>-</v>
      </c>
      <c r="AN42" s="516" t="str">
        <f t="shared" si="22"/>
        <v>-</v>
      </c>
      <c r="AO42" s="516" t="str">
        <f t="shared" si="22"/>
        <v>-</v>
      </c>
      <c r="AP42" s="516" t="str">
        <f t="shared" si="22"/>
        <v>-</v>
      </c>
      <c r="AQ42" s="516" t="str">
        <f t="shared" si="22"/>
        <v>-</v>
      </c>
      <c r="AR42" s="516" t="str">
        <f t="shared" si="22"/>
        <v>-</v>
      </c>
      <c r="AS42" s="516" t="str">
        <f t="shared" si="22"/>
        <v>-</v>
      </c>
      <c r="AT42" s="516" t="str">
        <f t="shared" si="22"/>
        <v>-</v>
      </c>
      <c r="AU42" s="516" t="str">
        <f t="shared" si="22"/>
        <v>-</v>
      </c>
      <c r="AV42" s="516" t="str">
        <f t="shared" si="22"/>
        <v>-</v>
      </c>
      <c r="AW42" s="516" t="str">
        <f t="shared" si="22"/>
        <v>-</v>
      </c>
      <c r="AX42" s="516" t="str">
        <f t="shared" si="22"/>
        <v>-</v>
      </c>
      <c r="AY42" s="516" t="str">
        <f t="shared" si="22"/>
        <v>-</v>
      </c>
      <c r="AZ42" s="516" t="str">
        <f t="shared" si="22"/>
        <v>-</v>
      </c>
      <c r="BA42" s="516" t="str">
        <f t="shared" si="22"/>
        <v>-</v>
      </c>
      <c r="BB42" s="516" t="str">
        <f t="shared" si="22"/>
        <v>-</v>
      </c>
      <c r="BC42" s="516" t="str">
        <f t="shared" si="22"/>
        <v>-</v>
      </c>
      <c r="BD42" s="516" t="str">
        <f t="shared" si="22"/>
        <v>-</v>
      </c>
      <c r="BE42" s="516" t="str">
        <f t="shared" si="22"/>
        <v>-</v>
      </c>
      <c r="BF42" s="516" t="str">
        <f t="shared" si="22"/>
        <v>-</v>
      </c>
      <c r="BG42" s="516" t="str">
        <f t="shared" si="22"/>
        <v>-</v>
      </c>
      <c r="BH42" s="516" t="str">
        <f t="shared" si="21"/>
        <v>-</v>
      </c>
      <c r="BI42" s="516" t="str">
        <f t="shared" si="21"/>
        <v>-</v>
      </c>
      <c r="BJ42" s="516" t="str">
        <f t="shared" si="21"/>
        <v>-</v>
      </c>
      <c r="BK42" s="516" t="str">
        <f t="shared" si="21"/>
        <v>-</v>
      </c>
      <c r="BL42" s="516" t="str">
        <f t="shared" si="21"/>
        <v>-</v>
      </c>
      <c r="BM42" s="516" t="str">
        <f t="shared" si="21"/>
        <v>-</v>
      </c>
      <c r="BN42" s="516" t="str">
        <f t="shared" si="21"/>
        <v>-</v>
      </c>
      <c r="BO42" s="516" t="str">
        <f t="shared" si="21"/>
        <v>-</v>
      </c>
      <c r="BP42" s="516" t="str">
        <f t="shared" si="21"/>
        <v>-</v>
      </c>
      <c r="BQ42" s="516" t="str">
        <f t="shared" si="21"/>
        <v>-</v>
      </c>
      <c r="BR42" s="516" t="str">
        <f t="shared" si="21"/>
        <v>-</v>
      </c>
      <c r="BS42" s="516" t="str">
        <f t="shared" si="21"/>
        <v>-</v>
      </c>
      <c r="BT42" s="516" t="str">
        <f t="shared" si="21"/>
        <v>-</v>
      </c>
      <c r="BU42" s="516" t="str">
        <f t="shared" si="21"/>
        <v>-</v>
      </c>
      <c r="BV42" s="516" t="str">
        <f t="shared" si="21"/>
        <v>-</v>
      </c>
      <c r="BW42" s="516" t="str">
        <f t="shared" si="21"/>
        <v>-</v>
      </c>
      <c r="BX42" s="516" t="str">
        <f t="shared" si="21"/>
        <v>-</v>
      </c>
      <c r="BY42" s="516" t="str">
        <f t="shared" si="21"/>
        <v>-</v>
      </c>
      <c r="BZ42" s="516" t="str">
        <f t="shared" si="21"/>
        <v>-</v>
      </c>
      <c r="CA42" s="516" t="str">
        <f t="shared" si="21"/>
        <v>-</v>
      </c>
    </row>
    <row r="43" spans="1:79">
      <c r="A43" s="105">
        <v>35</v>
      </c>
      <c r="B43" s="112" t="str">
        <v>30Y</v>
      </c>
      <c r="C43" s="262">
        <f>'usd disaggregated'!AM51</f>
        <v>717.89143936861797</v>
      </c>
      <c r="D43" s="111" t="str">
        <f t="shared" si="6"/>
        <v>360M</v>
      </c>
      <c r="E43" s="517">
        <f>IF(LEN(B43)&gt;0,CHOOSE(MATCH(RIGHT(D43,1),{"D","W","M"},0),NextBusDay($C$4,LEFT(D43,LEN(D43)-1)),NextBusDay($C$4+7*LEFT(D43,LEN(D43)-1)),NextBusDay(EDATE($C$4,LEFT(D43,LEN(D43)-1)))),"")</f>
        <v>53626</v>
      </c>
      <c r="F43" s="107" t="str">
        <v>18Y</v>
      </c>
      <c r="G43" s="106" t="str">
        <v>18Y</v>
      </c>
      <c r="H43" s="106" t="str">
        <f>BktUsdOisPL!H43</f>
        <v>216M</v>
      </c>
      <c r="I43" s="261" t="str">
        <v>W</v>
      </c>
      <c r="J43" s="106">
        <f>BktUsdOisPL!J43</f>
        <v>49243</v>
      </c>
      <c r="L43" s="522">
        <f t="shared" si="7"/>
        <v>0</v>
      </c>
      <c r="N43" s="106" t="str">
        <f t="shared" si="1"/>
        <v>-</v>
      </c>
      <c r="O43" s="106" t="str">
        <f t="shared" si="16"/>
        <v>-</v>
      </c>
      <c r="P43" s="106" t="str">
        <f t="shared" si="3"/>
        <v>-</v>
      </c>
      <c r="Q43" s="106" t="b">
        <f t="shared" si="4"/>
        <v>0</v>
      </c>
      <c r="R43" s="516" t="str">
        <f t="shared" si="20"/>
        <v>-</v>
      </c>
      <c r="S43" s="516" t="str">
        <f t="shared" si="20"/>
        <v>-</v>
      </c>
      <c r="T43" s="516" t="str">
        <f t="shared" si="20"/>
        <v>-</v>
      </c>
      <c r="U43" s="516" t="str">
        <f t="shared" si="20"/>
        <v>-</v>
      </c>
      <c r="V43" s="516" t="str">
        <f t="shared" si="20"/>
        <v>-</v>
      </c>
      <c r="W43" s="516" t="str">
        <f t="shared" si="20"/>
        <v>-</v>
      </c>
      <c r="X43" s="516" t="str">
        <f t="shared" si="20"/>
        <v>-</v>
      </c>
      <c r="Y43" s="516" t="str">
        <f t="shared" si="20"/>
        <v>-</v>
      </c>
      <c r="Z43" s="516" t="str">
        <f t="shared" si="20"/>
        <v>-</v>
      </c>
      <c r="AA43" s="516" t="str">
        <f t="shared" si="20"/>
        <v>-</v>
      </c>
      <c r="AB43" s="516" t="str">
        <f t="shared" si="20"/>
        <v>-</v>
      </c>
      <c r="AC43" s="516" t="str">
        <f t="shared" si="20"/>
        <v>-</v>
      </c>
      <c r="AD43" s="516" t="str">
        <f t="shared" si="20"/>
        <v>-</v>
      </c>
      <c r="AE43" s="516" t="str">
        <f t="shared" si="20"/>
        <v>-</v>
      </c>
      <c r="AF43" s="516" t="str">
        <f t="shared" si="20"/>
        <v>-</v>
      </c>
      <c r="AG43" s="516" t="str">
        <f t="shared" si="20"/>
        <v>-</v>
      </c>
      <c r="AH43" s="516" t="str">
        <f t="shared" si="22"/>
        <v>-</v>
      </c>
      <c r="AI43" s="516" t="str">
        <f t="shared" si="22"/>
        <v>-</v>
      </c>
      <c r="AJ43" s="516" t="str">
        <f t="shared" si="22"/>
        <v>-</v>
      </c>
      <c r="AK43" s="516" t="str">
        <f t="shared" si="22"/>
        <v>-</v>
      </c>
      <c r="AL43" s="516" t="str">
        <f t="shared" si="22"/>
        <v>-</v>
      </c>
      <c r="AM43" s="516" t="str">
        <f t="shared" si="22"/>
        <v>-</v>
      </c>
      <c r="AN43" s="516" t="str">
        <f t="shared" si="22"/>
        <v>-</v>
      </c>
      <c r="AO43" s="516" t="str">
        <f t="shared" si="22"/>
        <v>-</v>
      </c>
      <c r="AP43" s="516" t="str">
        <f t="shared" si="22"/>
        <v>-</v>
      </c>
      <c r="AQ43" s="516" t="str">
        <f t="shared" si="22"/>
        <v>-</v>
      </c>
      <c r="AR43" s="516" t="str">
        <f t="shared" si="22"/>
        <v>-</v>
      </c>
      <c r="AS43" s="516" t="str">
        <f t="shared" si="22"/>
        <v>-</v>
      </c>
      <c r="AT43" s="516" t="str">
        <f t="shared" si="22"/>
        <v>-</v>
      </c>
      <c r="AU43" s="516" t="str">
        <f t="shared" si="22"/>
        <v>-</v>
      </c>
      <c r="AV43" s="516" t="str">
        <f t="shared" si="22"/>
        <v>-</v>
      </c>
      <c r="AW43" s="516" t="str">
        <f t="shared" si="22"/>
        <v>-</v>
      </c>
      <c r="AX43" s="516" t="str">
        <f t="shared" si="22"/>
        <v>-</v>
      </c>
      <c r="AY43" s="516" t="str">
        <f t="shared" si="22"/>
        <v>-</v>
      </c>
      <c r="AZ43" s="516" t="str">
        <f t="shared" si="22"/>
        <v>-</v>
      </c>
      <c r="BA43" s="516" t="str">
        <f t="shared" si="22"/>
        <v>-</v>
      </c>
      <c r="BB43" s="516" t="str">
        <f t="shared" si="22"/>
        <v>-</v>
      </c>
      <c r="BC43" s="516" t="str">
        <f t="shared" si="22"/>
        <v>-</v>
      </c>
      <c r="BD43" s="516" t="str">
        <f t="shared" si="22"/>
        <v>-</v>
      </c>
      <c r="BE43" s="516" t="str">
        <f t="shared" si="22"/>
        <v>-</v>
      </c>
      <c r="BF43" s="516" t="str">
        <f t="shared" si="22"/>
        <v>-</v>
      </c>
      <c r="BG43" s="516" t="str">
        <f t="shared" si="22"/>
        <v>-</v>
      </c>
      <c r="BH43" s="516" t="str">
        <f t="shared" si="21"/>
        <v>-</v>
      </c>
      <c r="BI43" s="516" t="str">
        <f t="shared" si="21"/>
        <v>-</v>
      </c>
      <c r="BJ43" s="516" t="str">
        <f t="shared" si="21"/>
        <v>-</v>
      </c>
      <c r="BK43" s="516" t="str">
        <f t="shared" si="21"/>
        <v>-</v>
      </c>
      <c r="BL43" s="516" t="str">
        <f t="shared" si="21"/>
        <v>-</v>
      </c>
      <c r="BM43" s="516" t="str">
        <f t="shared" si="21"/>
        <v>-</v>
      </c>
      <c r="BN43" s="516" t="str">
        <f t="shared" si="21"/>
        <v>-</v>
      </c>
      <c r="BO43" s="516" t="str">
        <f t="shared" si="21"/>
        <v>-</v>
      </c>
      <c r="BP43" s="516" t="str">
        <f t="shared" si="21"/>
        <v>-</v>
      </c>
      <c r="BQ43" s="516" t="str">
        <f t="shared" si="21"/>
        <v>-</v>
      </c>
      <c r="BR43" s="516" t="str">
        <f t="shared" si="21"/>
        <v>-</v>
      </c>
      <c r="BS43" s="516" t="str">
        <f t="shared" si="21"/>
        <v>-</v>
      </c>
      <c r="BT43" s="516" t="str">
        <f t="shared" si="21"/>
        <v>-</v>
      </c>
      <c r="BU43" s="516" t="str">
        <f t="shared" si="21"/>
        <v>-</v>
      </c>
      <c r="BV43" s="516" t="str">
        <f t="shared" si="21"/>
        <v>-</v>
      </c>
      <c r="BW43" s="516" t="str">
        <f t="shared" si="21"/>
        <v>-</v>
      </c>
      <c r="BX43" s="516" t="str">
        <f t="shared" si="21"/>
        <v>-</v>
      </c>
      <c r="BY43" s="516" t="str">
        <f t="shared" si="21"/>
        <v>-</v>
      </c>
      <c r="BZ43" s="516" t="str">
        <f t="shared" si="21"/>
        <v>-</v>
      </c>
      <c r="CA43" s="516" t="str">
        <f t="shared" si="21"/>
        <v>-</v>
      </c>
    </row>
    <row r="44" spans="1:79">
      <c r="A44" s="105">
        <v>36</v>
      </c>
      <c r="B44" s="112" t="str">
        <v>40Y</v>
      </c>
      <c r="C44" s="262">
        <f>'usd disaggregated'!AM52</f>
        <v>2.1523715145714801</v>
      </c>
      <c r="D44" s="111" t="str">
        <f t="shared" si="6"/>
        <v>480M</v>
      </c>
      <c r="E44" s="517">
        <f>IF(LEN(B44)&gt;0,CHOOSE(MATCH(RIGHT(D44,1),{"D","W","M"},0),NextBusDay($C$4,LEFT(D44,LEN(D44)-1)),NextBusDay($C$4+7*LEFT(D44,LEN(D44)-1)),NextBusDay(EDATE($C$4,LEFT(D44,LEN(D44)-1)))),"")</f>
        <v>57279</v>
      </c>
      <c r="F44" s="107" t="str">
        <v>19Y</v>
      </c>
      <c r="G44" s="106" t="str">
        <v>19Y</v>
      </c>
      <c r="H44" s="106" t="str">
        <f>BktUsdOisPL!H44</f>
        <v>228M</v>
      </c>
      <c r="I44" s="261" t="str">
        <v>W</v>
      </c>
      <c r="J44" s="106">
        <f>BktUsdOisPL!J44</f>
        <v>49608</v>
      </c>
      <c r="L44" s="522">
        <f t="shared" si="7"/>
        <v>0</v>
      </c>
      <c r="N44" s="106" t="str">
        <f t="shared" si="1"/>
        <v>-</v>
      </c>
      <c r="O44" s="106" t="str">
        <f t="shared" si="16"/>
        <v>-</v>
      </c>
      <c r="P44" s="106" t="str">
        <f t="shared" si="3"/>
        <v>-</v>
      </c>
      <c r="Q44" s="106" t="b">
        <f t="shared" si="4"/>
        <v>0</v>
      </c>
      <c r="R44" s="516" t="str">
        <f t="shared" si="20"/>
        <v>-</v>
      </c>
      <c r="S44" s="516" t="str">
        <f t="shared" si="20"/>
        <v>-</v>
      </c>
      <c r="T44" s="516" t="str">
        <f t="shared" si="20"/>
        <v>-</v>
      </c>
      <c r="U44" s="516" t="str">
        <f t="shared" si="20"/>
        <v>-</v>
      </c>
      <c r="V44" s="516" t="str">
        <f t="shared" si="20"/>
        <v>-</v>
      </c>
      <c r="W44" s="516" t="str">
        <f t="shared" si="20"/>
        <v>-</v>
      </c>
      <c r="X44" s="516" t="str">
        <f t="shared" si="20"/>
        <v>-</v>
      </c>
      <c r="Y44" s="516" t="str">
        <f t="shared" si="20"/>
        <v>-</v>
      </c>
      <c r="Z44" s="516" t="str">
        <f t="shared" si="20"/>
        <v>-</v>
      </c>
      <c r="AA44" s="516" t="str">
        <f t="shared" si="20"/>
        <v>-</v>
      </c>
      <c r="AB44" s="516" t="str">
        <f t="shared" si="20"/>
        <v>-</v>
      </c>
      <c r="AC44" s="516" t="str">
        <f t="shared" si="20"/>
        <v>-</v>
      </c>
      <c r="AD44" s="516" t="str">
        <f t="shared" si="20"/>
        <v>-</v>
      </c>
      <c r="AE44" s="516" t="str">
        <f t="shared" si="20"/>
        <v>-</v>
      </c>
      <c r="AF44" s="516" t="str">
        <f t="shared" si="20"/>
        <v>-</v>
      </c>
      <c r="AG44" s="516" t="str">
        <f t="shared" si="20"/>
        <v>-</v>
      </c>
      <c r="AH44" s="516" t="str">
        <f t="shared" si="22"/>
        <v>-</v>
      </c>
      <c r="AI44" s="516" t="str">
        <f t="shared" si="22"/>
        <v>-</v>
      </c>
      <c r="AJ44" s="516" t="str">
        <f t="shared" si="22"/>
        <v>-</v>
      </c>
      <c r="AK44" s="516" t="str">
        <f t="shared" si="22"/>
        <v>-</v>
      </c>
      <c r="AL44" s="516" t="str">
        <f t="shared" si="22"/>
        <v>-</v>
      </c>
      <c r="AM44" s="516" t="str">
        <f t="shared" si="22"/>
        <v>-</v>
      </c>
      <c r="AN44" s="516" t="str">
        <f t="shared" si="22"/>
        <v>-</v>
      </c>
      <c r="AO44" s="516" t="str">
        <f t="shared" si="22"/>
        <v>-</v>
      </c>
      <c r="AP44" s="516" t="str">
        <f t="shared" si="22"/>
        <v>-</v>
      </c>
      <c r="AQ44" s="516" t="str">
        <f t="shared" si="22"/>
        <v>-</v>
      </c>
      <c r="AR44" s="516" t="str">
        <f t="shared" si="22"/>
        <v>-</v>
      </c>
      <c r="AS44" s="516" t="str">
        <f t="shared" si="22"/>
        <v>-</v>
      </c>
      <c r="AT44" s="516" t="str">
        <f t="shared" si="22"/>
        <v>-</v>
      </c>
      <c r="AU44" s="516" t="str">
        <f t="shared" si="22"/>
        <v>-</v>
      </c>
      <c r="AV44" s="516" t="str">
        <f t="shared" si="22"/>
        <v>-</v>
      </c>
      <c r="AW44" s="516" t="str">
        <f t="shared" si="22"/>
        <v>-</v>
      </c>
      <c r="AX44" s="516" t="str">
        <f t="shared" si="22"/>
        <v>-</v>
      </c>
      <c r="AY44" s="516" t="str">
        <f t="shared" si="22"/>
        <v>-</v>
      </c>
      <c r="AZ44" s="516" t="str">
        <f t="shared" si="22"/>
        <v>-</v>
      </c>
      <c r="BA44" s="516" t="str">
        <f t="shared" si="22"/>
        <v>-</v>
      </c>
      <c r="BB44" s="516" t="str">
        <f t="shared" si="22"/>
        <v>-</v>
      </c>
      <c r="BC44" s="516" t="str">
        <f t="shared" si="22"/>
        <v>-</v>
      </c>
      <c r="BD44" s="516" t="str">
        <f t="shared" si="22"/>
        <v>-</v>
      </c>
      <c r="BE44" s="516" t="str">
        <f t="shared" si="22"/>
        <v>-</v>
      </c>
      <c r="BF44" s="516" t="str">
        <f t="shared" si="22"/>
        <v>-</v>
      </c>
      <c r="BG44" s="516" t="str">
        <f t="shared" si="22"/>
        <v>-</v>
      </c>
      <c r="BH44" s="516" t="str">
        <f t="shared" si="21"/>
        <v>-</v>
      </c>
      <c r="BI44" s="516" t="str">
        <f t="shared" si="21"/>
        <v>-</v>
      </c>
      <c r="BJ44" s="516" t="str">
        <f t="shared" si="21"/>
        <v>-</v>
      </c>
      <c r="BK44" s="516" t="str">
        <f t="shared" si="21"/>
        <v>-</v>
      </c>
      <c r="BL44" s="516" t="str">
        <f t="shared" si="21"/>
        <v>-</v>
      </c>
      <c r="BM44" s="516" t="str">
        <f t="shared" si="21"/>
        <v>-</v>
      </c>
      <c r="BN44" s="516" t="str">
        <f t="shared" si="21"/>
        <v>-</v>
      </c>
      <c r="BO44" s="516" t="str">
        <f t="shared" si="21"/>
        <v>-</v>
      </c>
      <c r="BP44" s="516" t="str">
        <f t="shared" si="21"/>
        <v>-</v>
      </c>
      <c r="BQ44" s="516" t="str">
        <f t="shared" si="21"/>
        <v>-</v>
      </c>
      <c r="BR44" s="516" t="str">
        <f t="shared" si="21"/>
        <v>-</v>
      </c>
      <c r="BS44" s="516" t="str">
        <f t="shared" si="21"/>
        <v>-</v>
      </c>
      <c r="BT44" s="516" t="str">
        <f t="shared" si="21"/>
        <v>-</v>
      </c>
      <c r="BU44" s="516" t="str">
        <f t="shared" si="21"/>
        <v>-</v>
      </c>
      <c r="BV44" s="516" t="str">
        <f t="shared" si="21"/>
        <v>-</v>
      </c>
      <c r="BW44" s="516" t="str">
        <f t="shared" si="21"/>
        <v>-</v>
      </c>
      <c r="BX44" s="516" t="str">
        <f t="shared" si="21"/>
        <v>-</v>
      </c>
      <c r="BY44" s="516" t="str">
        <f t="shared" si="21"/>
        <v>-</v>
      </c>
      <c r="BZ44" s="516" t="str">
        <f t="shared" si="21"/>
        <v>-</v>
      </c>
      <c r="CA44" s="516" t="str">
        <f t="shared" si="21"/>
        <v>-</v>
      </c>
    </row>
    <row r="45" spans="1:79">
      <c r="A45" s="105">
        <v>37</v>
      </c>
      <c r="B45" s="112" t="str">
        <v>50Y</v>
      </c>
      <c r="C45" s="262">
        <f>'usd disaggregated'!AM53</f>
        <v>2.7119986312733501E-2</v>
      </c>
      <c r="D45" s="111" t="str">
        <f t="shared" si="6"/>
        <v>600M</v>
      </c>
      <c r="E45" s="517">
        <f>IF(LEN(B45)&gt;0,CHOOSE(MATCH(RIGHT(D45,1),{"D","W","M"},0),NextBusDay($C$4,LEFT(D45,LEN(D45)-1)),NextBusDay($C$4+7*LEFT(D45,LEN(D45)-1)),NextBusDay(EDATE($C$4,LEFT(D45,LEN(D45)-1)))),"")</f>
        <v>60931</v>
      </c>
      <c r="F45" s="107" t="str">
        <v>20Y</v>
      </c>
      <c r="G45" s="106" t="str">
        <v>20Y</v>
      </c>
      <c r="H45" s="106" t="str">
        <f>BktUsdOisPL!H45</f>
        <v>240M</v>
      </c>
      <c r="I45" s="261" t="str">
        <v>W</v>
      </c>
      <c r="J45" s="106">
        <f>BktUsdOisPL!J45</f>
        <v>49975</v>
      </c>
      <c r="L45" s="522">
        <f t="shared" si="7"/>
        <v>-31547.523857256601</v>
      </c>
      <c r="N45" s="106" t="str">
        <f t="shared" si="1"/>
        <v>-</v>
      </c>
      <c r="O45" s="106" t="str">
        <f t="shared" si="16"/>
        <v>-</v>
      </c>
      <c r="P45" s="106" t="str">
        <f t="shared" si="3"/>
        <v>-</v>
      </c>
      <c r="Q45" s="106" t="b">
        <f t="shared" si="4"/>
        <v>0</v>
      </c>
      <c r="R45" s="516" t="str">
        <f t="shared" si="20"/>
        <v>-</v>
      </c>
      <c r="S45" s="516" t="str">
        <f t="shared" si="20"/>
        <v>-</v>
      </c>
      <c r="T45" s="516" t="str">
        <f t="shared" si="20"/>
        <v>-</v>
      </c>
      <c r="U45" s="516" t="str">
        <f t="shared" si="20"/>
        <v>-</v>
      </c>
      <c r="V45" s="516" t="str">
        <f t="shared" si="20"/>
        <v>-</v>
      </c>
      <c r="W45" s="516" t="str">
        <f t="shared" si="20"/>
        <v>-</v>
      </c>
      <c r="X45" s="516" t="str">
        <f t="shared" si="20"/>
        <v>-</v>
      </c>
      <c r="Y45" s="516" t="str">
        <f t="shared" si="20"/>
        <v>-</v>
      </c>
      <c r="Z45" s="516" t="str">
        <f t="shared" si="20"/>
        <v>-</v>
      </c>
      <c r="AA45" s="516" t="str">
        <f t="shared" si="20"/>
        <v>-</v>
      </c>
      <c r="AB45" s="516" t="str">
        <f t="shared" si="20"/>
        <v>-</v>
      </c>
      <c r="AC45" s="516" t="str">
        <f t="shared" si="20"/>
        <v>-</v>
      </c>
      <c r="AD45" s="516" t="str">
        <f t="shared" si="20"/>
        <v>-</v>
      </c>
      <c r="AE45" s="516" t="str">
        <f t="shared" si="20"/>
        <v>-</v>
      </c>
      <c r="AF45" s="516" t="str">
        <f t="shared" si="20"/>
        <v>-</v>
      </c>
      <c r="AG45" s="516" t="str">
        <f t="shared" si="20"/>
        <v>-</v>
      </c>
      <c r="AH45" s="516" t="str">
        <f t="shared" si="22"/>
        <v>-</v>
      </c>
      <c r="AI45" s="516" t="str">
        <f t="shared" si="22"/>
        <v>-</v>
      </c>
      <c r="AJ45" s="516" t="str">
        <f t="shared" si="22"/>
        <v>-</v>
      </c>
      <c r="AK45" s="516" t="str">
        <f t="shared" si="22"/>
        <v>-</v>
      </c>
      <c r="AL45" s="516" t="str">
        <f t="shared" si="22"/>
        <v>-</v>
      </c>
      <c r="AM45" s="516" t="str">
        <f t="shared" si="22"/>
        <v>-</v>
      </c>
      <c r="AN45" s="516" t="str">
        <f t="shared" si="22"/>
        <v>-</v>
      </c>
      <c r="AO45" s="516" t="str">
        <f t="shared" si="22"/>
        <v>-</v>
      </c>
      <c r="AP45" s="516" t="str">
        <f t="shared" si="22"/>
        <v>-</v>
      </c>
      <c r="AQ45" s="516" t="str">
        <f t="shared" si="22"/>
        <v>-</v>
      </c>
      <c r="AR45" s="516" t="str">
        <f t="shared" si="22"/>
        <v>-</v>
      </c>
      <c r="AS45" s="516" t="str">
        <f t="shared" si="22"/>
        <v>-</v>
      </c>
      <c r="AT45" s="516" t="str">
        <f t="shared" si="22"/>
        <v>-</v>
      </c>
      <c r="AU45" s="516" t="str">
        <f t="shared" si="22"/>
        <v>-</v>
      </c>
      <c r="AV45" s="516" t="str">
        <f t="shared" si="22"/>
        <v>-</v>
      </c>
      <c r="AW45" s="516" t="str">
        <f t="shared" si="22"/>
        <v>-</v>
      </c>
      <c r="AX45" s="516">
        <f t="shared" si="22"/>
        <v>-31547.523857256601</v>
      </c>
      <c r="AY45" s="516" t="str">
        <f t="shared" si="22"/>
        <v>-</v>
      </c>
      <c r="AZ45" s="516" t="str">
        <f t="shared" si="22"/>
        <v>-</v>
      </c>
      <c r="BA45" s="516" t="str">
        <f t="shared" si="22"/>
        <v>-</v>
      </c>
      <c r="BB45" s="516" t="str">
        <f t="shared" si="22"/>
        <v>-</v>
      </c>
      <c r="BC45" s="516" t="str">
        <f t="shared" si="22"/>
        <v>-</v>
      </c>
      <c r="BD45" s="516" t="str">
        <f t="shared" si="22"/>
        <v>-</v>
      </c>
      <c r="BE45" s="516" t="str">
        <f t="shared" si="22"/>
        <v>-</v>
      </c>
      <c r="BF45" s="516" t="str">
        <f t="shared" si="22"/>
        <v>-</v>
      </c>
      <c r="BG45" s="516" t="str">
        <f t="shared" si="22"/>
        <v>-</v>
      </c>
      <c r="BH45" s="516" t="str">
        <f t="shared" si="21"/>
        <v>-</v>
      </c>
      <c r="BI45" s="516" t="str">
        <f t="shared" si="21"/>
        <v>-</v>
      </c>
      <c r="BJ45" s="516" t="str">
        <f t="shared" si="21"/>
        <v>-</v>
      </c>
      <c r="BK45" s="516" t="str">
        <f t="shared" si="21"/>
        <v>-</v>
      </c>
      <c r="BL45" s="516" t="str">
        <f t="shared" si="21"/>
        <v>-</v>
      </c>
      <c r="BM45" s="516" t="str">
        <f t="shared" si="21"/>
        <v>-</v>
      </c>
      <c r="BN45" s="516" t="str">
        <f t="shared" si="21"/>
        <v>-</v>
      </c>
      <c r="BO45" s="516" t="str">
        <f t="shared" si="21"/>
        <v>-</v>
      </c>
      <c r="BP45" s="516" t="str">
        <f t="shared" si="21"/>
        <v>-</v>
      </c>
      <c r="BQ45" s="516" t="str">
        <f t="shared" si="21"/>
        <v>-</v>
      </c>
      <c r="BR45" s="516" t="str">
        <f t="shared" si="21"/>
        <v>-</v>
      </c>
      <c r="BS45" s="516" t="str">
        <f t="shared" si="21"/>
        <v>-</v>
      </c>
      <c r="BT45" s="516" t="str">
        <f t="shared" si="21"/>
        <v>-</v>
      </c>
      <c r="BU45" s="516" t="str">
        <f t="shared" si="21"/>
        <v>-</v>
      </c>
      <c r="BV45" s="516" t="str">
        <f t="shared" si="21"/>
        <v>-</v>
      </c>
      <c r="BW45" s="516" t="str">
        <f t="shared" si="21"/>
        <v>-</v>
      </c>
      <c r="BX45" s="516" t="str">
        <f t="shared" si="21"/>
        <v>-</v>
      </c>
      <c r="BY45" s="516" t="str">
        <f t="shared" si="21"/>
        <v>-</v>
      </c>
      <c r="BZ45" s="516" t="str">
        <f t="shared" si="21"/>
        <v>-</v>
      </c>
      <c r="CA45" s="516" t="str">
        <f t="shared" si="21"/>
        <v>-</v>
      </c>
    </row>
    <row r="46" spans="1:79">
      <c r="A46" s="105">
        <v>38</v>
      </c>
      <c r="B46" s="112" t="str">
        <v>60Y</v>
      </c>
      <c r="C46" s="262">
        <f>'usd disaggregated'!AM54</f>
        <v>3.1793433814539203E-4</v>
      </c>
      <c r="D46" s="111" t="str">
        <f t="shared" si="6"/>
        <v>720M</v>
      </c>
      <c r="E46" s="517">
        <f>IF(LEN(B46)&gt;0,CHOOSE(MATCH(RIGHT(D46,1),{"D","W","M"},0),NextBusDay($C$4,LEFT(D46,LEN(D46)-1)),NextBusDay($C$4+7*LEFT(D46,LEN(D46)-1)),NextBusDay(EDATE($C$4,LEFT(D46,LEN(D46)-1)))),"")</f>
        <v>64584</v>
      </c>
      <c r="F46" s="107" t="str">
        <v>21Y</v>
      </c>
      <c r="G46" s="106" t="str">
        <v>21Y</v>
      </c>
      <c r="H46" s="106" t="str">
        <f>BktUsdOisPL!H46</f>
        <v>252M</v>
      </c>
      <c r="I46" s="261" t="str">
        <v>W</v>
      </c>
      <c r="J46" s="106">
        <f>BktUsdOisPL!J46</f>
        <v>50339</v>
      </c>
      <c r="L46" s="522">
        <f t="shared" si="7"/>
        <v>0</v>
      </c>
      <c r="N46" s="106" t="str">
        <f t="shared" si="1"/>
        <v>-</v>
      </c>
      <c r="O46" s="106" t="str">
        <f t="shared" si="16"/>
        <v>-</v>
      </c>
      <c r="P46" s="106" t="str">
        <f t="shared" si="3"/>
        <v>-</v>
      </c>
      <c r="Q46" s="106" t="b">
        <f t="shared" si="4"/>
        <v>0</v>
      </c>
      <c r="R46" s="516" t="str">
        <f t="shared" si="20"/>
        <v>-</v>
      </c>
      <c r="S46" s="516" t="str">
        <f t="shared" si="20"/>
        <v>-</v>
      </c>
      <c r="T46" s="516" t="str">
        <f t="shared" si="20"/>
        <v>-</v>
      </c>
      <c r="U46" s="516" t="str">
        <f t="shared" si="20"/>
        <v>-</v>
      </c>
      <c r="V46" s="516" t="str">
        <f t="shared" si="20"/>
        <v>-</v>
      </c>
      <c r="W46" s="516" t="str">
        <f t="shared" si="20"/>
        <v>-</v>
      </c>
      <c r="X46" s="516" t="str">
        <f t="shared" si="20"/>
        <v>-</v>
      </c>
      <c r="Y46" s="516" t="str">
        <f t="shared" si="20"/>
        <v>-</v>
      </c>
      <c r="Z46" s="516" t="str">
        <f t="shared" si="20"/>
        <v>-</v>
      </c>
      <c r="AA46" s="516" t="str">
        <f t="shared" si="20"/>
        <v>-</v>
      </c>
      <c r="AB46" s="516" t="str">
        <f t="shared" si="20"/>
        <v>-</v>
      </c>
      <c r="AC46" s="516" t="str">
        <f t="shared" si="20"/>
        <v>-</v>
      </c>
      <c r="AD46" s="516" t="str">
        <f t="shared" si="20"/>
        <v>-</v>
      </c>
      <c r="AE46" s="516" t="str">
        <f t="shared" si="20"/>
        <v>-</v>
      </c>
      <c r="AF46" s="516" t="str">
        <f t="shared" si="20"/>
        <v>-</v>
      </c>
      <c r="AG46" s="516" t="str">
        <f t="shared" si="20"/>
        <v>-</v>
      </c>
      <c r="AH46" s="516" t="str">
        <f t="shared" si="22"/>
        <v>-</v>
      </c>
      <c r="AI46" s="516" t="str">
        <f t="shared" si="22"/>
        <v>-</v>
      </c>
      <c r="AJ46" s="516" t="str">
        <f t="shared" si="22"/>
        <v>-</v>
      </c>
      <c r="AK46" s="516" t="str">
        <f t="shared" si="22"/>
        <v>-</v>
      </c>
      <c r="AL46" s="516" t="str">
        <f t="shared" si="22"/>
        <v>-</v>
      </c>
      <c r="AM46" s="516" t="str">
        <f t="shared" si="22"/>
        <v>-</v>
      </c>
      <c r="AN46" s="516" t="str">
        <f t="shared" si="22"/>
        <v>-</v>
      </c>
      <c r="AO46" s="516" t="str">
        <f t="shared" si="22"/>
        <v>-</v>
      </c>
      <c r="AP46" s="516" t="str">
        <f t="shared" si="22"/>
        <v>-</v>
      </c>
      <c r="AQ46" s="516" t="str">
        <f t="shared" si="22"/>
        <v>-</v>
      </c>
      <c r="AR46" s="516" t="str">
        <f t="shared" si="22"/>
        <v>-</v>
      </c>
      <c r="AS46" s="516" t="str">
        <f t="shared" si="22"/>
        <v>-</v>
      </c>
      <c r="AT46" s="516" t="str">
        <f t="shared" si="22"/>
        <v>-</v>
      </c>
      <c r="AU46" s="516" t="str">
        <f t="shared" si="22"/>
        <v>-</v>
      </c>
      <c r="AV46" s="516" t="str">
        <f t="shared" si="22"/>
        <v>-</v>
      </c>
      <c r="AW46" s="516" t="str">
        <f t="shared" si="22"/>
        <v>-</v>
      </c>
      <c r="AX46" s="516" t="str">
        <f t="shared" si="22"/>
        <v>-</v>
      </c>
      <c r="AY46" s="516" t="str">
        <f t="shared" si="22"/>
        <v>-</v>
      </c>
      <c r="AZ46" s="516" t="str">
        <f t="shared" si="22"/>
        <v>-</v>
      </c>
      <c r="BA46" s="516" t="str">
        <f t="shared" si="22"/>
        <v>-</v>
      </c>
      <c r="BB46" s="516" t="str">
        <f t="shared" si="22"/>
        <v>-</v>
      </c>
      <c r="BC46" s="516" t="str">
        <f t="shared" si="22"/>
        <v>-</v>
      </c>
      <c r="BD46" s="516" t="str">
        <f t="shared" si="22"/>
        <v>-</v>
      </c>
      <c r="BE46" s="516" t="str">
        <f t="shared" si="22"/>
        <v>-</v>
      </c>
      <c r="BF46" s="516" t="str">
        <f t="shared" si="22"/>
        <v>-</v>
      </c>
      <c r="BG46" s="516" t="str">
        <f t="shared" si="22"/>
        <v>-</v>
      </c>
      <c r="BH46" s="516" t="str">
        <f t="shared" si="21"/>
        <v>-</v>
      </c>
      <c r="BI46" s="516" t="str">
        <f t="shared" si="21"/>
        <v>-</v>
      </c>
      <c r="BJ46" s="516" t="str">
        <f t="shared" si="21"/>
        <v>-</v>
      </c>
      <c r="BK46" s="516" t="str">
        <f t="shared" si="21"/>
        <v>-</v>
      </c>
      <c r="BL46" s="516" t="str">
        <f t="shared" si="21"/>
        <v>-</v>
      </c>
      <c r="BM46" s="516" t="str">
        <f t="shared" si="21"/>
        <v>-</v>
      </c>
      <c r="BN46" s="516" t="str">
        <f t="shared" si="21"/>
        <v>-</v>
      </c>
      <c r="BO46" s="516" t="str">
        <f t="shared" si="21"/>
        <v>-</v>
      </c>
      <c r="BP46" s="516" t="str">
        <f t="shared" si="21"/>
        <v>-</v>
      </c>
      <c r="BQ46" s="516" t="str">
        <f t="shared" si="21"/>
        <v>-</v>
      </c>
      <c r="BR46" s="516" t="str">
        <f t="shared" si="21"/>
        <v>-</v>
      </c>
      <c r="BS46" s="516" t="str">
        <f t="shared" si="21"/>
        <v>-</v>
      </c>
      <c r="BT46" s="516" t="str">
        <f t="shared" si="21"/>
        <v>-</v>
      </c>
      <c r="BU46" s="516" t="str">
        <f t="shared" si="21"/>
        <v>-</v>
      </c>
      <c r="BV46" s="516" t="str">
        <f t="shared" si="21"/>
        <v>-</v>
      </c>
      <c r="BW46" s="516" t="str">
        <f t="shared" si="21"/>
        <v>-</v>
      </c>
      <c r="BX46" s="516" t="str">
        <f t="shared" si="21"/>
        <v>-</v>
      </c>
      <c r="BY46" s="516" t="str">
        <f t="shared" si="21"/>
        <v>-</v>
      </c>
      <c r="BZ46" s="516" t="str">
        <f t="shared" si="21"/>
        <v>-</v>
      </c>
      <c r="CA46" s="516" t="str">
        <f t="shared" si="21"/>
        <v>-</v>
      </c>
    </row>
    <row r="47" spans="1:79">
      <c r="A47" s="105"/>
      <c r="B47" s="112"/>
      <c r="C47" s="262"/>
      <c r="D47" s="111" t="str">
        <f t="shared" si="6"/>
        <v/>
      </c>
      <c r="E47" s="517" t="str">
        <f>IF(LEN(B47)&gt;0,CHOOSE(MATCH(RIGHT(D47,1),{"D","W","M"},0),NextBusDay($C$4,LEFT(D47,LEN(D47)-1)),NextBusDay($C$4+7*LEFT(D47,LEN(D47)-1)),NextBusDay(EDATE($C$4,LEFT(D47,LEN(D47)-1)))),"")</f>
        <v/>
      </c>
      <c r="F47" s="107" t="str">
        <v>22Y</v>
      </c>
      <c r="G47" s="106" t="str">
        <v>22Y</v>
      </c>
      <c r="H47" s="106" t="str">
        <f>BktUsdOisPL!H47</f>
        <v>264M</v>
      </c>
      <c r="I47" s="261" t="str">
        <v>W</v>
      </c>
      <c r="J47" s="106">
        <f>BktUsdOisPL!J47</f>
        <v>50704</v>
      </c>
      <c r="L47" s="522">
        <f t="shared" si="7"/>
        <v>0</v>
      </c>
      <c r="N47" s="106" t="str">
        <f t="shared" si="1"/>
        <v>-</v>
      </c>
      <c r="O47" s="106" t="str">
        <f t="shared" si="16"/>
        <v>-</v>
      </c>
      <c r="P47" s="106" t="str">
        <f t="shared" si="3"/>
        <v>-</v>
      </c>
      <c r="Q47" s="106" t="b">
        <f t="shared" si="4"/>
        <v>0</v>
      </c>
      <c r="R47" s="516" t="str">
        <f t="shared" si="20"/>
        <v>-</v>
      </c>
      <c r="S47" s="516" t="str">
        <f t="shared" si="20"/>
        <v>-</v>
      </c>
      <c r="T47" s="516" t="str">
        <f t="shared" si="20"/>
        <v>-</v>
      </c>
      <c r="U47" s="516" t="str">
        <f t="shared" si="20"/>
        <v>-</v>
      </c>
      <c r="V47" s="516" t="str">
        <f t="shared" si="20"/>
        <v>-</v>
      </c>
      <c r="W47" s="516" t="str">
        <f t="shared" si="20"/>
        <v>-</v>
      </c>
      <c r="X47" s="516" t="str">
        <f t="shared" si="20"/>
        <v>-</v>
      </c>
      <c r="Y47" s="516" t="str">
        <f t="shared" si="20"/>
        <v>-</v>
      </c>
      <c r="Z47" s="516" t="str">
        <f t="shared" si="20"/>
        <v>-</v>
      </c>
      <c r="AA47" s="516" t="str">
        <f t="shared" si="20"/>
        <v>-</v>
      </c>
      <c r="AB47" s="516" t="str">
        <f t="shared" si="20"/>
        <v>-</v>
      </c>
      <c r="AC47" s="516" t="str">
        <f t="shared" si="20"/>
        <v>-</v>
      </c>
      <c r="AD47" s="516" t="str">
        <f t="shared" si="20"/>
        <v>-</v>
      </c>
      <c r="AE47" s="516" t="str">
        <f t="shared" si="20"/>
        <v>-</v>
      </c>
      <c r="AF47" s="516" t="str">
        <f t="shared" si="20"/>
        <v>-</v>
      </c>
      <c r="AG47" s="516" t="str">
        <f t="shared" si="20"/>
        <v>-</v>
      </c>
      <c r="AH47" s="516" t="str">
        <f t="shared" si="22"/>
        <v>-</v>
      </c>
      <c r="AI47" s="516" t="str">
        <f t="shared" si="22"/>
        <v>-</v>
      </c>
      <c r="AJ47" s="516" t="str">
        <f t="shared" si="22"/>
        <v>-</v>
      </c>
      <c r="AK47" s="516" t="str">
        <f t="shared" si="22"/>
        <v>-</v>
      </c>
      <c r="AL47" s="516" t="str">
        <f t="shared" si="22"/>
        <v>-</v>
      </c>
      <c r="AM47" s="516" t="str">
        <f t="shared" si="22"/>
        <v>-</v>
      </c>
      <c r="AN47" s="516" t="str">
        <f t="shared" si="22"/>
        <v>-</v>
      </c>
      <c r="AO47" s="516" t="str">
        <f t="shared" si="22"/>
        <v>-</v>
      </c>
      <c r="AP47" s="516" t="str">
        <f t="shared" si="22"/>
        <v>-</v>
      </c>
      <c r="AQ47" s="516" t="str">
        <f t="shared" si="22"/>
        <v>-</v>
      </c>
      <c r="AR47" s="516" t="str">
        <f t="shared" si="22"/>
        <v>-</v>
      </c>
      <c r="AS47" s="516" t="str">
        <f t="shared" si="22"/>
        <v>-</v>
      </c>
      <c r="AT47" s="516" t="str">
        <f t="shared" si="22"/>
        <v>-</v>
      </c>
      <c r="AU47" s="516" t="str">
        <f t="shared" si="22"/>
        <v>-</v>
      </c>
      <c r="AV47" s="516" t="str">
        <f t="shared" si="22"/>
        <v>-</v>
      </c>
      <c r="AW47" s="516" t="str">
        <f t="shared" si="22"/>
        <v>-</v>
      </c>
      <c r="AX47" s="516" t="str">
        <f t="shared" si="22"/>
        <v>-</v>
      </c>
      <c r="AY47" s="516" t="str">
        <f t="shared" si="22"/>
        <v>-</v>
      </c>
      <c r="AZ47" s="516" t="str">
        <f t="shared" si="22"/>
        <v>-</v>
      </c>
      <c r="BA47" s="516" t="str">
        <f t="shared" si="22"/>
        <v>-</v>
      </c>
      <c r="BB47" s="516" t="str">
        <f t="shared" si="22"/>
        <v>-</v>
      </c>
      <c r="BC47" s="516" t="str">
        <f t="shared" si="22"/>
        <v>-</v>
      </c>
      <c r="BD47" s="516" t="str">
        <f t="shared" si="22"/>
        <v>-</v>
      </c>
      <c r="BE47" s="516" t="str">
        <f t="shared" si="22"/>
        <v>-</v>
      </c>
      <c r="BF47" s="516" t="str">
        <f t="shared" si="22"/>
        <v>-</v>
      </c>
      <c r="BG47" s="516" t="str">
        <f t="shared" si="22"/>
        <v>-</v>
      </c>
      <c r="BH47" s="516" t="str">
        <f t="shared" si="21"/>
        <v>-</v>
      </c>
      <c r="BI47" s="516" t="str">
        <f t="shared" si="21"/>
        <v>-</v>
      </c>
      <c r="BJ47" s="516" t="str">
        <f t="shared" si="21"/>
        <v>-</v>
      </c>
      <c r="BK47" s="516" t="str">
        <f t="shared" si="21"/>
        <v>-</v>
      </c>
      <c r="BL47" s="516" t="str">
        <f t="shared" si="21"/>
        <v>-</v>
      </c>
      <c r="BM47" s="516" t="str">
        <f t="shared" si="21"/>
        <v>-</v>
      </c>
      <c r="BN47" s="516" t="str">
        <f t="shared" si="21"/>
        <v>-</v>
      </c>
      <c r="BO47" s="516" t="str">
        <f t="shared" si="21"/>
        <v>-</v>
      </c>
      <c r="BP47" s="516" t="str">
        <f t="shared" si="21"/>
        <v>-</v>
      </c>
      <c r="BQ47" s="516" t="str">
        <f t="shared" si="21"/>
        <v>-</v>
      </c>
      <c r="BR47" s="516" t="str">
        <f t="shared" si="21"/>
        <v>-</v>
      </c>
      <c r="BS47" s="516" t="str">
        <f t="shared" si="21"/>
        <v>-</v>
      </c>
      <c r="BT47" s="516" t="str">
        <f t="shared" si="21"/>
        <v>-</v>
      </c>
      <c r="BU47" s="516" t="str">
        <f t="shared" si="21"/>
        <v>-</v>
      </c>
      <c r="BV47" s="516" t="str">
        <f t="shared" si="21"/>
        <v>-</v>
      </c>
      <c r="BW47" s="516" t="str">
        <f t="shared" si="21"/>
        <v>-</v>
      </c>
      <c r="BX47" s="516" t="str">
        <f t="shared" si="21"/>
        <v>-</v>
      </c>
      <c r="BY47" s="516" t="str">
        <f t="shared" si="21"/>
        <v>-</v>
      </c>
      <c r="BZ47" s="516" t="str">
        <f t="shared" si="21"/>
        <v>-</v>
      </c>
      <c r="CA47" s="516" t="str">
        <f t="shared" si="21"/>
        <v>-</v>
      </c>
    </row>
    <row r="48" spans="1:79">
      <c r="A48" s="105"/>
      <c r="B48" s="112"/>
      <c r="C48" s="262"/>
      <c r="D48" s="111" t="str">
        <f t="shared" si="6"/>
        <v/>
      </c>
      <c r="E48" s="517" t="str">
        <f>IF(LEN(B48)&gt;0,CHOOSE(MATCH(RIGHT(D48,1),{"D","W","M"},0),NextBusDay($C$4,LEFT(D48,LEN(D48)-1)),NextBusDay($C$4+7*LEFT(D48,LEN(D48)-1)),NextBusDay(EDATE($C$4,LEFT(D48,LEN(D48)-1)))),"")</f>
        <v/>
      </c>
      <c r="F48" s="107" t="str">
        <v>23Y</v>
      </c>
      <c r="G48" s="106" t="str">
        <v>23Y</v>
      </c>
      <c r="H48" s="106" t="str">
        <f>BktUsdOisPL!H48</f>
        <v>276M</v>
      </c>
      <c r="I48" s="261" t="str">
        <v>W</v>
      </c>
      <c r="J48" s="106">
        <f>BktUsdOisPL!J48</f>
        <v>51069</v>
      </c>
      <c r="L48" s="522">
        <f t="shared" si="7"/>
        <v>0</v>
      </c>
      <c r="N48" s="106" t="str">
        <f t="shared" si="1"/>
        <v>-</v>
      </c>
      <c r="O48" s="106" t="str">
        <f t="shared" si="16"/>
        <v>-</v>
      </c>
      <c r="P48" s="106" t="str">
        <f t="shared" si="3"/>
        <v>-</v>
      </c>
      <c r="Q48" s="106" t="b">
        <f t="shared" si="4"/>
        <v>0</v>
      </c>
      <c r="R48" s="516" t="str">
        <f t="shared" si="20"/>
        <v>-</v>
      </c>
      <c r="S48" s="516" t="str">
        <f t="shared" si="20"/>
        <v>-</v>
      </c>
      <c r="T48" s="516" t="str">
        <f t="shared" si="20"/>
        <v>-</v>
      </c>
      <c r="U48" s="516" t="str">
        <f t="shared" si="20"/>
        <v>-</v>
      </c>
      <c r="V48" s="516" t="str">
        <f t="shared" si="20"/>
        <v>-</v>
      </c>
      <c r="W48" s="516" t="str">
        <f t="shared" si="20"/>
        <v>-</v>
      </c>
      <c r="X48" s="516" t="str">
        <f t="shared" si="20"/>
        <v>-</v>
      </c>
      <c r="Y48" s="516" t="str">
        <f t="shared" si="20"/>
        <v>-</v>
      </c>
      <c r="Z48" s="516" t="str">
        <f t="shared" si="20"/>
        <v>-</v>
      </c>
      <c r="AA48" s="516" t="str">
        <f t="shared" si="20"/>
        <v>-</v>
      </c>
      <c r="AB48" s="516" t="str">
        <f t="shared" si="20"/>
        <v>-</v>
      </c>
      <c r="AC48" s="516" t="str">
        <f t="shared" si="20"/>
        <v>-</v>
      </c>
      <c r="AD48" s="516" t="str">
        <f t="shared" si="20"/>
        <v>-</v>
      </c>
      <c r="AE48" s="516" t="str">
        <f t="shared" si="20"/>
        <v>-</v>
      </c>
      <c r="AF48" s="516" t="str">
        <f t="shared" si="20"/>
        <v>-</v>
      </c>
      <c r="AG48" s="516" t="str">
        <f t="shared" si="20"/>
        <v>-</v>
      </c>
      <c r="AH48" s="516" t="str">
        <f t="shared" si="22"/>
        <v>-</v>
      </c>
      <c r="AI48" s="516" t="str">
        <f t="shared" si="22"/>
        <v>-</v>
      </c>
      <c r="AJ48" s="516" t="str">
        <f t="shared" si="22"/>
        <v>-</v>
      </c>
      <c r="AK48" s="516" t="str">
        <f t="shared" si="22"/>
        <v>-</v>
      </c>
      <c r="AL48" s="516" t="str">
        <f t="shared" si="22"/>
        <v>-</v>
      </c>
      <c r="AM48" s="516" t="str">
        <f t="shared" si="22"/>
        <v>-</v>
      </c>
      <c r="AN48" s="516" t="str">
        <f t="shared" si="22"/>
        <v>-</v>
      </c>
      <c r="AO48" s="516" t="str">
        <f t="shared" si="22"/>
        <v>-</v>
      </c>
      <c r="AP48" s="516" t="str">
        <f t="shared" si="22"/>
        <v>-</v>
      </c>
      <c r="AQ48" s="516" t="str">
        <f t="shared" si="22"/>
        <v>-</v>
      </c>
      <c r="AR48" s="516" t="str">
        <f t="shared" si="22"/>
        <v>-</v>
      </c>
      <c r="AS48" s="516" t="str">
        <f t="shared" si="22"/>
        <v>-</v>
      </c>
      <c r="AT48" s="516" t="str">
        <f t="shared" si="22"/>
        <v>-</v>
      </c>
      <c r="AU48" s="516" t="str">
        <f t="shared" si="22"/>
        <v>-</v>
      </c>
      <c r="AV48" s="516" t="str">
        <f t="shared" si="22"/>
        <v>-</v>
      </c>
      <c r="AW48" s="516" t="str">
        <f t="shared" si="22"/>
        <v>-</v>
      </c>
      <c r="AX48" s="516" t="str">
        <f t="shared" si="22"/>
        <v>-</v>
      </c>
      <c r="AY48" s="516" t="str">
        <f t="shared" si="22"/>
        <v>-</v>
      </c>
      <c r="AZ48" s="516" t="str">
        <f t="shared" si="22"/>
        <v>-</v>
      </c>
      <c r="BA48" s="516" t="str">
        <f t="shared" si="22"/>
        <v>-</v>
      </c>
      <c r="BB48" s="516" t="str">
        <f t="shared" si="22"/>
        <v>-</v>
      </c>
      <c r="BC48" s="516" t="str">
        <f t="shared" si="22"/>
        <v>-</v>
      </c>
      <c r="BD48" s="516" t="str">
        <f t="shared" si="22"/>
        <v>-</v>
      </c>
      <c r="BE48" s="516" t="str">
        <f t="shared" si="22"/>
        <v>-</v>
      </c>
      <c r="BF48" s="516" t="str">
        <f t="shared" si="22"/>
        <v>-</v>
      </c>
      <c r="BG48" s="516" t="str">
        <f t="shared" si="22"/>
        <v>-</v>
      </c>
      <c r="BH48" s="516" t="str">
        <f t="shared" si="21"/>
        <v>-</v>
      </c>
      <c r="BI48" s="516" t="str">
        <f t="shared" si="21"/>
        <v>-</v>
      </c>
      <c r="BJ48" s="516" t="str">
        <f t="shared" si="21"/>
        <v>-</v>
      </c>
      <c r="BK48" s="516" t="str">
        <f t="shared" si="21"/>
        <v>-</v>
      </c>
      <c r="BL48" s="516" t="str">
        <f t="shared" si="21"/>
        <v>-</v>
      </c>
      <c r="BM48" s="516" t="str">
        <f t="shared" si="21"/>
        <v>-</v>
      </c>
      <c r="BN48" s="516" t="str">
        <f t="shared" si="21"/>
        <v>-</v>
      </c>
      <c r="BO48" s="516" t="str">
        <f t="shared" si="21"/>
        <v>-</v>
      </c>
      <c r="BP48" s="516" t="str">
        <f t="shared" si="21"/>
        <v>-</v>
      </c>
      <c r="BQ48" s="516" t="str">
        <f t="shared" si="21"/>
        <v>-</v>
      </c>
      <c r="BR48" s="516" t="str">
        <f t="shared" si="21"/>
        <v>-</v>
      </c>
      <c r="BS48" s="516" t="str">
        <f t="shared" si="21"/>
        <v>-</v>
      </c>
      <c r="BT48" s="516" t="str">
        <f t="shared" si="21"/>
        <v>-</v>
      </c>
      <c r="BU48" s="516" t="str">
        <f t="shared" si="21"/>
        <v>-</v>
      </c>
      <c r="BV48" s="516" t="str">
        <f t="shared" si="21"/>
        <v>-</v>
      </c>
      <c r="BW48" s="516" t="str">
        <f t="shared" si="21"/>
        <v>-</v>
      </c>
      <c r="BX48" s="516" t="str">
        <f t="shared" si="21"/>
        <v>-</v>
      </c>
      <c r="BY48" s="516" t="str">
        <f t="shared" si="21"/>
        <v>-</v>
      </c>
      <c r="BZ48" s="516" t="str">
        <f t="shared" si="21"/>
        <v>-</v>
      </c>
      <c r="CA48" s="516" t="str">
        <f t="shared" si="21"/>
        <v>-</v>
      </c>
    </row>
    <row r="49" spans="1:79">
      <c r="A49" s="105"/>
      <c r="B49" s="112"/>
      <c r="C49" s="262"/>
      <c r="D49" s="111" t="str">
        <f t="shared" si="6"/>
        <v/>
      </c>
      <c r="E49" s="517" t="str">
        <f>IF(LEN(B49)&gt;0,CHOOSE(MATCH(RIGHT(D49,1),{"D","W","M"},0),NextBusDay($C$4,LEFT(D49,LEN(D49)-1)),NextBusDay($C$4+7*LEFT(D49,LEN(D49)-1)),NextBusDay(EDATE($C$4,LEFT(D49,LEN(D49)-1)))),"")</f>
        <v/>
      </c>
      <c r="F49" s="107" t="str">
        <v>24Y</v>
      </c>
      <c r="G49" s="106" t="str">
        <v>24Y</v>
      </c>
      <c r="H49" s="106" t="str">
        <f>BktUsdOisPL!H49</f>
        <v>288M</v>
      </c>
      <c r="I49" s="261" t="str">
        <v>W</v>
      </c>
      <c r="J49" s="106">
        <f>BktUsdOisPL!J49</f>
        <v>51435</v>
      </c>
      <c r="L49" s="522">
        <f t="shared" si="7"/>
        <v>0</v>
      </c>
      <c r="N49" s="106" t="str">
        <f t="shared" si="1"/>
        <v>-</v>
      </c>
      <c r="O49" s="106" t="str">
        <f t="shared" si="16"/>
        <v>-</v>
      </c>
      <c r="P49" s="106" t="str">
        <f t="shared" si="3"/>
        <v>-</v>
      </c>
      <c r="Q49" s="106" t="b">
        <f t="shared" si="4"/>
        <v>0</v>
      </c>
      <c r="R49" s="516" t="str">
        <f t="shared" si="20"/>
        <v>-</v>
      </c>
      <c r="S49" s="516" t="str">
        <f t="shared" si="20"/>
        <v>-</v>
      </c>
      <c r="T49" s="516" t="str">
        <f t="shared" si="20"/>
        <v>-</v>
      </c>
      <c r="U49" s="516" t="str">
        <f t="shared" si="20"/>
        <v>-</v>
      </c>
      <c r="V49" s="516" t="str">
        <f t="shared" si="20"/>
        <v>-</v>
      </c>
      <c r="W49" s="516" t="str">
        <f t="shared" si="20"/>
        <v>-</v>
      </c>
      <c r="X49" s="516" t="str">
        <f t="shared" si="20"/>
        <v>-</v>
      </c>
      <c r="Y49" s="516" t="str">
        <f t="shared" si="20"/>
        <v>-</v>
      </c>
      <c r="Z49" s="516" t="str">
        <f t="shared" si="20"/>
        <v>-</v>
      </c>
      <c r="AA49" s="516" t="str">
        <f t="shared" si="20"/>
        <v>-</v>
      </c>
      <c r="AB49" s="516" t="str">
        <f t="shared" si="20"/>
        <v>-</v>
      </c>
      <c r="AC49" s="516" t="str">
        <f t="shared" si="20"/>
        <v>-</v>
      </c>
      <c r="AD49" s="516" t="str">
        <f t="shared" si="20"/>
        <v>-</v>
      </c>
      <c r="AE49" s="516" t="str">
        <f t="shared" si="20"/>
        <v>-</v>
      </c>
      <c r="AF49" s="516" t="str">
        <f t="shared" si="20"/>
        <v>-</v>
      </c>
      <c r="AG49" s="516" t="str">
        <f t="shared" si="20"/>
        <v>-</v>
      </c>
      <c r="AH49" s="516" t="str">
        <f t="shared" si="22"/>
        <v>-</v>
      </c>
      <c r="AI49" s="516" t="str">
        <f t="shared" si="22"/>
        <v>-</v>
      </c>
      <c r="AJ49" s="516" t="str">
        <f t="shared" si="22"/>
        <v>-</v>
      </c>
      <c r="AK49" s="516" t="str">
        <f t="shared" si="22"/>
        <v>-</v>
      </c>
      <c r="AL49" s="516" t="str">
        <f t="shared" si="22"/>
        <v>-</v>
      </c>
      <c r="AM49" s="516" t="str">
        <f t="shared" si="22"/>
        <v>-</v>
      </c>
      <c r="AN49" s="516" t="str">
        <f t="shared" si="22"/>
        <v>-</v>
      </c>
      <c r="AO49" s="516" t="str">
        <f t="shared" si="22"/>
        <v>-</v>
      </c>
      <c r="AP49" s="516" t="str">
        <f t="shared" si="22"/>
        <v>-</v>
      </c>
      <c r="AQ49" s="516" t="str">
        <f t="shared" si="22"/>
        <v>-</v>
      </c>
      <c r="AR49" s="516" t="str">
        <f t="shared" si="22"/>
        <v>-</v>
      </c>
      <c r="AS49" s="516" t="str">
        <f t="shared" si="22"/>
        <v>-</v>
      </c>
      <c r="AT49" s="516" t="str">
        <f t="shared" si="22"/>
        <v>-</v>
      </c>
      <c r="AU49" s="516" t="str">
        <f t="shared" si="22"/>
        <v>-</v>
      </c>
      <c r="AV49" s="516" t="str">
        <f t="shared" si="22"/>
        <v>-</v>
      </c>
      <c r="AW49" s="516" t="str">
        <f t="shared" si="22"/>
        <v>-</v>
      </c>
      <c r="AX49" s="516" t="str">
        <f t="shared" si="22"/>
        <v>-</v>
      </c>
      <c r="AY49" s="516" t="str">
        <f t="shared" si="22"/>
        <v>-</v>
      </c>
      <c r="AZ49" s="516" t="str">
        <f t="shared" si="22"/>
        <v>-</v>
      </c>
      <c r="BA49" s="516" t="str">
        <f t="shared" si="22"/>
        <v>-</v>
      </c>
      <c r="BB49" s="516" t="str">
        <f t="shared" si="22"/>
        <v>-</v>
      </c>
      <c r="BC49" s="516" t="str">
        <f t="shared" si="22"/>
        <v>-</v>
      </c>
      <c r="BD49" s="516" t="str">
        <f t="shared" si="22"/>
        <v>-</v>
      </c>
      <c r="BE49" s="516" t="str">
        <f t="shared" si="22"/>
        <v>-</v>
      </c>
      <c r="BF49" s="516" t="str">
        <f t="shared" si="22"/>
        <v>-</v>
      </c>
      <c r="BG49" s="516" t="str">
        <f t="shared" si="22"/>
        <v>-</v>
      </c>
      <c r="BH49" s="516" t="str">
        <f t="shared" si="21"/>
        <v>-</v>
      </c>
      <c r="BI49" s="516" t="str">
        <f t="shared" si="21"/>
        <v>-</v>
      </c>
      <c r="BJ49" s="516" t="str">
        <f t="shared" si="21"/>
        <v>-</v>
      </c>
      <c r="BK49" s="516" t="str">
        <f t="shared" si="21"/>
        <v>-</v>
      </c>
      <c r="BL49" s="516" t="str">
        <f t="shared" si="21"/>
        <v>-</v>
      </c>
      <c r="BM49" s="516" t="str">
        <f t="shared" si="21"/>
        <v>-</v>
      </c>
      <c r="BN49" s="516" t="str">
        <f t="shared" si="21"/>
        <v>-</v>
      </c>
      <c r="BO49" s="516" t="str">
        <f t="shared" si="21"/>
        <v>-</v>
      </c>
      <c r="BP49" s="516" t="str">
        <f t="shared" si="21"/>
        <v>-</v>
      </c>
      <c r="BQ49" s="516" t="str">
        <f t="shared" si="21"/>
        <v>-</v>
      </c>
      <c r="BR49" s="516" t="str">
        <f t="shared" si="21"/>
        <v>-</v>
      </c>
      <c r="BS49" s="516" t="str">
        <f t="shared" si="21"/>
        <v>-</v>
      </c>
      <c r="BT49" s="516" t="str">
        <f t="shared" si="21"/>
        <v>-</v>
      </c>
      <c r="BU49" s="516" t="str">
        <f t="shared" si="21"/>
        <v>-</v>
      </c>
      <c r="BV49" s="516" t="str">
        <f t="shared" si="21"/>
        <v>-</v>
      </c>
      <c r="BW49" s="516" t="str">
        <f t="shared" si="21"/>
        <v>-</v>
      </c>
      <c r="BX49" s="516" t="str">
        <f t="shared" si="21"/>
        <v>-</v>
      </c>
      <c r="BY49" s="516" t="str">
        <f t="shared" si="21"/>
        <v>-</v>
      </c>
      <c r="BZ49" s="516" t="str">
        <f t="shared" si="21"/>
        <v>-</v>
      </c>
      <c r="CA49" s="516" t="str">
        <f t="shared" si="21"/>
        <v>-</v>
      </c>
    </row>
    <row r="50" spans="1:79">
      <c r="A50" s="105"/>
      <c r="B50" s="112"/>
      <c r="C50" s="262"/>
      <c r="D50" s="111" t="str">
        <f t="shared" si="6"/>
        <v/>
      </c>
      <c r="E50" s="517" t="str">
        <f>IF(LEN(B50)&gt;0,CHOOSE(MATCH(RIGHT(D50,1),{"D","W","M"},0),NextBusDay($C$4,LEFT(D50,LEN(D50)-1)),NextBusDay($C$4+7*LEFT(D50,LEN(D50)-1)),NextBusDay(EDATE($C$4,LEFT(D50,LEN(D50)-1)))),"")</f>
        <v/>
      </c>
      <c r="F50" s="107" t="str">
        <v>25Y</v>
      </c>
      <c r="G50" s="106" t="str">
        <v>25Y</v>
      </c>
      <c r="H50" s="106" t="str">
        <f>BktUsdOisPL!H50</f>
        <v>300M</v>
      </c>
      <c r="I50" s="261" t="str">
        <v>W</v>
      </c>
      <c r="J50" s="106">
        <f>BktUsdOisPL!J50</f>
        <v>51802</v>
      </c>
      <c r="L50" s="522">
        <f t="shared" si="7"/>
        <v>13086.473683550499</v>
      </c>
      <c r="N50" s="106" t="str">
        <f t="shared" si="1"/>
        <v>-</v>
      </c>
      <c r="O50" s="106" t="str">
        <f t="shared" si="16"/>
        <v>-</v>
      </c>
      <c r="P50" s="106" t="str">
        <f t="shared" si="3"/>
        <v>-</v>
      </c>
      <c r="Q50" s="106" t="b">
        <f t="shared" si="4"/>
        <v>0</v>
      </c>
      <c r="R50" s="516" t="str">
        <f t="shared" si="20"/>
        <v>-</v>
      </c>
      <c r="S50" s="516" t="str">
        <f t="shared" si="20"/>
        <v>-</v>
      </c>
      <c r="T50" s="516" t="str">
        <f t="shared" si="20"/>
        <v>-</v>
      </c>
      <c r="U50" s="516" t="str">
        <f t="shared" si="20"/>
        <v>-</v>
      </c>
      <c r="V50" s="516" t="str">
        <f t="shared" si="20"/>
        <v>-</v>
      </c>
      <c r="W50" s="516" t="str">
        <f t="shared" si="20"/>
        <v>-</v>
      </c>
      <c r="X50" s="516" t="str">
        <f t="shared" si="20"/>
        <v>-</v>
      </c>
      <c r="Y50" s="516" t="str">
        <f t="shared" si="20"/>
        <v>-</v>
      </c>
      <c r="Z50" s="516" t="str">
        <f t="shared" si="20"/>
        <v>-</v>
      </c>
      <c r="AA50" s="516" t="str">
        <f t="shared" si="20"/>
        <v>-</v>
      </c>
      <c r="AB50" s="516" t="str">
        <f t="shared" si="20"/>
        <v>-</v>
      </c>
      <c r="AC50" s="516" t="str">
        <f t="shared" si="20"/>
        <v>-</v>
      </c>
      <c r="AD50" s="516" t="str">
        <f t="shared" si="20"/>
        <v>-</v>
      </c>
      <c r="AE50" s="516" t="str">
        <f t="shared" si="20"/>
        <v>-</v>
      </c>
      <c r="AF50" s="516" t="str">
        <f t="shared" si="20"/>
        <v>-</v>
      </c>
      <c r="AG50" s="516" t="str">
        <f t="shared" si="20"/>
        <v>-</v>
      </c>
      <c r="AH50" s="516" t="str">
        <f t="shared" si="22"/>
        <v>-</v>
      </c>
      <c r="AI50" s="516" t="str">
        <f t="shared" si="22"/>
        <v>-</v>
      </c>
      <c r="AJ50" s="516" t="str">
        <f t="shared" si="22"/>
        <v>-</v>
      </c>
      <c r="AK50" s="516" t="str">
        <f t="shared" si="22"/>
        <v>-</v>
      </c>
      <c r="AL50" s="516" t="str">
        <f t="shared" si="22"/>
        <v>-</v>
      </c>
      <c r="AM50" s="516" t="str">
        <f t="shared" si="22"/>
        <v>-</v>
      </c>
      <c r="AN50" s="516" t="str">
        <f t="shared" si="22"/>
        <v>-</v>
      </c>
      <c r="AO50" s="516" t="str">
        <f t="shared" si="22"/>
        <v>-</v>
      </c>
      <c r="AP50" s="516" t="str">
        <f t="shared" si="22"/>
        <v>-</v>
      </c>
      <c r="AQ50" s="516" t="str">
        <f t="shared" si="22"/>
        <v>-</v>
      </c>
      <c r="AR50" s="516" t="str">
        <f t="shared" si="22"/>
        <v>-</v>
      </c>
      <c r="AS50" s="516" t="str">
        <f t="shared" si="22"/>
        <v>-</v>
      </c>
      <c r="AT50" s="516" t="str">
        <f t="shared" si="22"/>
        <v>-</v>
      </c>
      <c r="AU50" s="516" t="str">
        <f t="shared" si="22"/>
        <v>-</v>
      </c>
      <c r="AV50" s="516" t="str">
        <f t="shared" si="22"/>
        <v>-</v>
      </c>
      <c r="AW50" s="516" t="str">
        <f t="shared" si="22"/>
        <v>-</v>
      </c>
      <c r="AX50" s="516" t="str">
        <f t="shared" si="22"/>
        <v>-</v>
      </c>
      <c r="AY50" s="516">
        <f t="shared" si="22"/>
        <v>13086.473683550499</v>
      </c>
      <c r="AZ50" s="516" t="str">
        <f t="shared" si="22"/>
        <v>-</v>
      </c>
      <c r="BA50" s="516" t="str">
        <f t="shared" si="22"/>
        <v>-</v>
      </c>
      <c r="BB50" s="516" t="str">
        <f t="shared" si="22"/>
        <v>-</v>
      </c>
      <c r="BC50" s="516" t="str">
        <f t="shared" ref="BC50:BR65" si="23">IF(LEN($F50)&gt;0,IF(AND(BC$8=$J50,NOT(AND(BC$8&gt;=$N50,BC$8&lt;$P50))),BC$6,IF(AND(NOT(BC$8&gt;$J49),BC$8&lt;$J50),"-",IF(AND(BC$8&gt;=$N50,BC$8&lt;$P50),"???",IF(AND(BC$8&gt;$J49,BC$8&lt;$J50),BC$6*(BC$8-$J49)/($J50-$J49),IF(AND(BC$8&gt;$J50,BC$8&lt;$J51),BC$6*($J51-BC$8)/($J51-$J50),"-"))))),"-")</f>
        <v>-</v>
      </c>
      <c r="BD50" s="516" t="str">
        <f t="shared" si="23"/>
        <v>-</v>
      </c>
      <c r="BE50" s="516" t="str">
        <f t="shared" si="23"/>
        <v>-</v>
      </c>
      <c r="BF50" s="516" t="str">
        <f t="shared" si="23"/>
        <v>-</v>
      </c>
      <c r="BG50" s="516" t="str">
        <f t="shared" si="23"/>
        <v>-</v>
      </c>
      <c r="BH50" s="516" t="str">
        <f t="shared" si="21"/>
        <v>-</v>
      </c>
      <c r="BI50" s="516" t="str">
        <f t="shared" si="21"/>
        <v>-</v>
      </c>
      <c r="BJ50" s="516" t="str">
        <f t="shared" si="21"/>
        <v>-</v>
      </c>
      <c r="BK50" s="516" t="str">
        <f t="shared" si="21"/>
        <v>-</v>
      </c>
      <c r="BL50" s="516" t="str">
        <f t="shared" si="21"/>
        <v>-</v>
      </c>
      <c r="BM50" s="516" t="str">
        <f t="shared" si="21"/>
        <v>-</v>
      </c>
      <c r="BN50" s="516" t="str">
        <f t="shared" si="21"/>
        <v>-</v>
      </c>
      <c r="BO50" s="516" t="str">
        <f t="shared" si="21"/>
        <v>-</v>
      </c>
      <c r="BP50" s="516" t="str">
        <f t="shared" si="21"/>
        <v>-</v>
      </c>
      <c r="BQ50" s="516" t="str">
        <f t="shared" si="21"/>
        <v>-</v>
      </c>
      <c r="BR50" s="516" t="str">
        <f t="shared" si="21"/>
        <v>-</v>
      </c>
      <c r="BS50" s="516" t="str">
        <f t="shared" si="21"/>
        <v>-</v>
      </c>
      <c r="BT50" s="516" t="str">
        <f t="shared" si="21"/>
        <v>-</v>
      </c>
      <c r="BU50" s="516" t="str">
        <f t="shared" si="21"/>
        <v>-</v>
      </c>
      <c r="BV50" s="516" t="str">
        <f t="shared" si="21"/>
        <v>-</v>
      </c>
      <c r="BW50" s="516" t="str">
        <f t="shared" si="21"/>
        <v>-</v>
      </c>
      <c r="BX50" s="516" t="str">
        <f t="shared" si="21"/>
        <v>-</v>
      </c>
      <c r="BY50" s="516" t="str">
        <f t="shared" si="21"/>
        <v>-</v>
      </c>
      <c r="BZ50" s="516" t="str">
        <f t="shared" si="21"/>
        <v>-</v>
      </c>
      <c r="CA50" s="516" t="str">
        <f t="shared" si="21"/>
        <v>-</v>
      </c>
    </row>
    <row r="51" spans="1:79">
      <c r="A51" s="105"/>
      <c r="B51" s="112"/>
      <c r="C51" s="262"/>
      <c r="D51" s="111" t="str">
        <f t="shared" si="6"/>
        <v/>
      </c>
      <c r="E51" s="517" t="str">
        <f>IF(LEN(B51)&gt;0,CHOOSE(MATCH(RIGHT(D51,1),{"D","W","M"},0),NextBusDay($C$4,LEFT(D51,LEN(D51)-1)),NextBusDay($C$4+7*LEFT(D51,LEN(D51)-1)),NextBusDay(EDATE($C$4,LEFT(D51,LEN(D51)-1)))),"")</f>
        <v/>
      </c>
      <c r="F51" s="107" t="str">
        <v>26Y</v>
      </c>
      <c r="G51" s="106" t="str">
        <v>26Y</v>
      </c>
      <c r="H51" s="106" t="str">
        <f>BktUsdOisPL!H51</f>
        <v>312M</v>
      </c>
      <c r="I51" s="261" t="str">
        <v>W</v>
      </c>
      <c r="J51" s="106">
        <f>BktUsdOisPL!J51</f>
        <v>52166</v>
      </c>
      <c r="L51" s="522">
        <f t="shared" si="7"/>
        <v>0</v>
      </c>
      <c r="N51" s="106" t="str">
        <f t="shared" si="1"/>
        <v>-</v>
      </c>
      <c r="O51" s="106" t="str">
        <f t="shared" si="16"/>
        <v>-</v>
      </c>
      <c r="P51" s="106" t="str">
        <f t="shared" si="3"/>
        <v>-</v>
      </c>
      <c r="Q51" s="106" t="b">
        <f t="shared" si="4"/>
        <v>0</v>
      </c>
      <c r="R51" s="516" t="str">
        <f t="shared" si="20"/>
        <v>-</v>
      </c>
      <c r="S51" s="516" t="str">
        <f t="shared" si="20"/>
        <v>-</v>
      </c>
      <c r="T51" s="516" t="str">
        <f t="shared" si="20"/>
        <v>-</v>
      </c>
      <c r="U51" s="516" t="str">
        <f t="shared" si="20"/>
        <v>-</v>
      </c>
      <c r="V51" s="516" t="str">
        <f t="shared" si="20"/>
        <v>-</v>
      </c>
      <c r="W51" s="516" t="str">
        <f t="shared" si="20"/>
        <v>-</v>
      </c>
      <c r="X51" s="516" t="str">
        <f t="shared" si="20"/>
        <v>-</v>
      </c>
      <c r="Y51" s="516" t="str">
        <f t="shared" si="20"/>
        <v>-</v>
      </c>
      <c r="Z51" s="516" t="str">
        <f t="shared" si="20"/>
        <v>-</v>
      </c>
      <c r="AA51" s="516" t="str">
        <f t="shared" si="20"/>
        <v>-</v>
      </c>
      <c r="AB51" s="516" t="str">
        <f t="shared" si="20"/>
        <v>-</v>
      </c>
      <c r="AC51" s="516" t="str">
        <f t="shared" si="20"/>
        <v>-</v>
      </c>
      <c r="AD51" s="516" t="str">
        <f t="shared" si="20"/>
        <v>-</v>
      </c>
      <c r="AE51" s="516" t="str">
        <f t="shared" si="20"/>
        <v>-</v>
      </c>
      <c r="AF51" s="516" t="str">
        <f t="shared" si="20"/>
        <v>-</v>
      </c>
      <c r="AG51" s="516" t="str">
        <f t="shared" si="20"/>
        <v>-</v>
      </c>
      <c r="AH51" s="516" t="str">
        <f t="shared" ref="AH51:BB63" si="24">IF(LEN($F51)&gt;0,IF(AND(AH$8=$J51,NOT(AND(AH$8&gt;=$N51,AH$8&lt;$P51))),AH$6,IF(AND(NOT(AH$8&gt;$J50),AH$8&lt;$J51),"-",IF(AND(AH$8&gt;=$N51,AH$8&lt;$P51),"???",IF(AND(AH$8&gt;$J50,AH$8&lt;$J51),AH$6*(AH$8-$J50)/($J51-$J50),IF(AND(AH$8&gt;$J51,AH$8&lt;$J52),AH$6*($J52-AH$8)/($J52-$J51),"-"))))),"-")</f>
        <v>-</v>
      </c>
      <c r="AI51" s="516" t="str">
        <f t="shared" si="24"/>
        <v>-</v>
      </c>
      <c r="AJ51" s="516" t="str">
        <f t="shared" si="24"/>
        <v>-</v>
      </c>
      <c r="AK51" s="516" t="str">
        <f t="shared" si="24"/>
        <v>-</v>
      </c>
      <c r="AL51" s="516" t="str">
        <f t="shared" si="24"/>
        <v>-</v>
      </c>
      <c r="AM51" s="516" t="str">
        <f t="shared" si="24"/>
        <v>-</v>
      </c>
      <c r="AN51" s="516" t="str">
        <f t="shared" si="24"/>
        <v>-</v>
      </c>
      <c r="AO51" s="516" t="str">
        <f t="shared" si="24"/>
        <v>-</v>
      </c>
      <c r="AP51" s="516" t="str">
        <f t="shared" si="24"/>
        <v>-</v>
      </c>
      <c r="AQ51" s="516" t="str">
        <f t="shared" si="24"/>
        <v>-</v>
      </c>
      <c r="AR51" s="516" t="str">
        <f t="shared" si="24"/>
        <v>-</v>
      </c>
      <c r="AS51" s="516" t="str">
        <f t="shared" si="24"/>
        <v>-</v>
      </c>
      <c r="AT51" s="516" t="str">
        <f t="shared" si="24"/>
        <v>-</v>
      </c>
      <c r="AU51" s="516" t="str">
        <f t="shared" si="24"/>
        <v>-</v>
      </c>
      <c r="AV51" s="516" t="str">
        <f t="shared" si="24"/>
        <v>-</v>
      </c>
      <c r="AW51" s="516" t="str">
        <f t="shared" si="24"/>
        <v>-</v>
      </c>
      <c r="AX51" s="516" t="str">
        <f t="shared" si="24"/>
        <v>-</v>
      </c>
      <c r="AY51" s="516" t="str">
        <f t="shared" si="24"/>
        <v>-</v>
      </c>
      <c r="AZ51" s="516" t="str">
        <f t="shared" si="24"/>
        <v>-</v>
      </c>
      <c r="BA51" s="516" t="str">
        <f t="shared" si="24"/>
        <v>-</v>
      </c>
      <c r="BB51" s="516" t="str">
        <f t="shared" si="24"/>
        <v>-</v>
      </c>
      <c r="BC51" s="516" t="str">
        <f t="shared" si="23"/>
        <v>-</v>
      </c>
      <c r="BD51" s="516" t="str">
        <f t="shared" si="23"/>
        <v>-</v>
      </c>
      <c r="BE51" s="516" t="str">
        <f t="shared" si="23"/>
        <v>-</v>
      </c>
      <c r="BF51" s="516" t="str">
        <f t="shared" si="23"/>
        <v>-</v>
      </c>
      <c r="BG51" s="516" t="str">
        <f t="shared" si="23"/>
        <v>-</v>
      </c>
      <c r="BH51" s="516" t="str">
        <f t="shared" si="21"/>
        <v>-</v>
      </c>
      <c r="BI51" s="516" t="str">
        <f t="shared" si="21"/>
        <v>-</v>
      </c>
      <c r="BJ51" s="516" t="str">
        <f t="shared" si="21"/>
        <v>-</v>
      </c>
      <c r="BK51" s="516" t="str">
        <f t="shared" si="21"/>
        <v>-</v>
      </c>
      <c r="BL51" s="516" t="str">
        <f t="shared" si="21"/>
        <v>-</v>
      </c>
      <c r="BM51" s="516" t="str">
        <f t="shared" si="21"/>
        <v>-</v>
      </c>
      <c r="BN51" s="516" t="str">
        <f t="shared" si="21"/>
        <v>-</v>
      </c>
      <c r="BO51" s="516" t="str">
        <f t="shared" si="21"/>
        <v>-</v>
      </c>
      <c r="BP51" s="516" t="str">
        <f t="shared" si="21"/>
        <v>-</v>
      </c>
      <c r="BQ51" s="516" t="str">
        <f t="shared" si="21"/>
        <v>-</v>
      </c>
      <c r="BR51" s="516" t="str">
        <f t="shared" si="21"/>
        <v>-</v>
      </c>
      <c r="BS51" s="516" t="str">
        <f t="shared" si="21"/>
        <v>-</v>
      </c>
      <c r="BT51" s="516" t="str">
        <f t="shared" si="21"/>
        <v>-</v>
      </c>
      <c r="BU51" s="516" t="str">
        <f t="shared" si="21"/>
        <v>-</v>
      </c>
      <c r="BV51" s="516" t="str">
        <f t="shared" si="21"/>
        <v>-</v>
      </c>
      <c r="BW51" s="516" t="str">
        <f t="shared" si="21"/>
        <v>-</v>
      </c>
      <c r="BX51" s="516" t="str">
        <f t="shared" si="21"/>
        <v>-</v>
      </c>
      <c r="BY51" s="516" t="str">
        <f t="shared" si="21"/>
        <v>-</v>
      </c>
      <c r="BZ51" s="516" t="str">
        <f t="shared" si="21"/>
        <v>-</v>
      </c>
      <c r="CA51" s="516" t="str">
        <f t="shared" si="21"/>
        <v>-</v>
      </c>
    </row>
    <row r="52" spans="1:79">
      <c r="A52" s="105"/>
      <c r="B52" s="112"/>
      <c r="C52" s="262"/>
      <c r="D52" s="111" t="str">
        <f t="shared" si="6"/>
        <v/>
      </c>
      <c r="E52" s="517" t="str">
        <f>IF(LEN(B52)&gt;0,CHOOSE(MATCH(RIGHT(D52,1),{"D","W","M"},0),NextBusDay($C$4,LEFT(D52,LEN(D52)-1)),NextBusDay($C$4+7*LEFT(D52,LEN(D52)-1)),NextBusDay(EDATE($C$4,LEFT(D52,LEN(D52)-1)))),"")</f>
        <v/>
      </c>
      <c r="F52" s="107" t="str">
        <v>27Y</v>
      </c>
      <c r="G52" s="106" t="str">
        <v>27Y</v>
      </c>
      <c r="H52" s="106" t="str">
        <f>BktUsdOisPL!H52</f>
        <v>324M</v>
      </c>
      <c r="I52" s="261" t="str">
        <v>W</v>
      </c>
      <c r="J52" s="106">
        <f>BktUsdOisPL!J52</f>
        <v>52530</v>
      </c>
      <c r="L52" s="522">
        <f t="shared" si="7"/>
        <v>0</v>
      </c>
      <c r="N52" s="106" t="str">
        <f t="shared" si="1"/>
        <v>-</v>
      </c>
      <c r="O52" s="106" t="str">
        <f t="shared" si="16"/>
        <v>-</v>
      </c>
      <c r="P52" s="106" t="str">
        <f t="shared" si="3"/>
        <v>-</v>
      </c>
      <c r="Q52" s="106" t="b">
        <f t="shared" si="4"/>
        <v>0</v>
      </c>
      <c r="R52" s="516" t="str">
        <f t="shared" si="20"/>
        <v>-</v>
      </c>
      <c r="S52" s="516" t="str">
        <f t="shared" si="20"/>
        <v>-</v>
      </c>
      <c r="T52" s="516" t="str">
        <f t="shared" si="20"/>
        <v>-</v>
      </c>
      <c r="U52" s="516" t="str">
        <f t="shared" si="20"/>
        <v>-</v>
      </c>
      <c r="V52" s="516" t="str">
        <f t="shared" si="20"/>
        <v>-</v>
      </c>
      <c r="W52" s="516" t="str">
        <f t="shared" si="20"/>
        <v>-</v>
      </c>
      <c r="X52" s="516" t="str">
        <f t="shared" si="20"/>
        <v>-</v>
      </c>
      <c r="Y52" s="516" t="str">
        <f t="shared" si="20"/>
        <v>-</v>
      </c>
      <c r="Z52" s="516" t="str">
        <f t="shared" si="20"/>
        <v>-</v>
      </c>
      <c r="AA52" s="516" t="str">
        <f t="shared" si="20"/>
        <v>-</v>
      </c>
      <c r="AB52" s="516" t="str">
        <f t="shared" si="20"/>
        <v>-</v>
      </c>
      <c r="AC52" s="516" t="str">
        <f t="shared" si="20"/>
        <v>-</v>
      </c>
      <c r="AD52" s="516" t="str">
        <f t="shared" si="20"/>
        <v>-</v>
      </c>
      <c r="AE52" s="516" t="str">
        <f t="shared" si="20"/>
        <v>-</v>
      </c>
      <c r="AF52" s="516" t="str">
        <f t="shared" si="20"/>
        <v>-</v>
      </c>
      <c r="AG52" s="516" t="str">
        <f t="shared" si="20"/>
        <v>-</v>
      </c>
      <c r="AH52" s="516" t="str">
        <f t="shared" si="24"/>
        <v>-</v>
      </c>
      <c r="AI52" s="516" t="str">
        <f t="shared" si="24"/>
        <v>-</v>
      </c>
      <c r="AJ52" s="516" t="str">
        <f t="shared" si="24"/>
        <v>-</v>
      </c>
      <c r="AK52" s="516" t="str">
        <f t="shared" si="24"/>
        <v>-</v>
      </c>
      <c r="AL52" s="516" t="str">
        <f t="shared" si="24"/>
        <v>-</v>
      </c>
      <c r="AM52" s="516" t="str">
        <f t="shared" si="24"/>
        <v>-</v>
      </c>
      <c r="AN52" s="516" t="str">
        <f t="shared" si="24"/>
        <v>-</v>
      </c>
      <c r="AO52" s="516" t="str">
        <f t="shared" si="24"/>
        <v>-</v>
      </c>
      <c r="AP52" s="516" t="str">
        <f t="shared" si="24"/>
        <v>-</v>
      </c>
      <c r="AQ52" s="516" t="str">
        <f t="shared" si="24"/>
        <v>-</v>
      </c>
      <c r="AR52" s="516" t="str">
        <f t="shared" si="24"/>
        <v>-</v>
      </c>
      <c r="AS52" s="516" t="str">
        <f t="shared" si="24"/>
        <v>-</v>
      </c>
      <c r="AT52" s="516" t="str">
        <f t="shared" si="24"/>
        <v>-</v>
      </c>
      <c r="AU52" s="516" t="str">
        <f t="shared" si="24"/>
        <v>-</v>
      </c>
      <c r="AV52" s="516" t="str">
        <f t="shared" si="24"/>
        <v>-</v>
      </c>
      <c r="AW52" s="516" t="str">
        <f t="shared" si="24"/>
        <v>-</v>
      </c>
      <c r="AX52" s="516" t="str">
        <f t="shared" si="24"/>
        <v>-</v>
      </c>
      <c r="AY52" s="516" t="str">
        <f t="shared" si="24"/>
        <v>-</v>
      </c>
      <c r="AZ52" s="516" t="str">
        <f t="shared" si="24"/>
        <v>-</v>
      </c>
      <c r="BA52" s="516" t="str">
        <f t="shared" si="24"/>
        <v>-</v>
      </c>
      <c r="BB52" s="516" t="str">
        <f t="shared" si="24"/>
        <v>-</v>
      </c>
      <c r="BC52" s="516" t="str">
        <f t="shared" si="23"/>
        <v>-</v>
      </c>
      <c r="BD52" s="516" t="str">
        <f t="shared" si="23"/>
        <v>-</v>
      </c>
      <c r="BE52" s="516" t="str">
        <f t="shared" si="23"/>
        <v>-</v>
      </c>
      <c r="BF52" s="516" t="str">
        <f t="shared" si="23"/>
        <v>-</v>
      </c>
      <c r="BG52" s="516" t="str">
        <f t="shared" si="23"/>
        <v>-</v>
      </c>
      <c r="BH52" s="516" t="str">
        <f t="shared" si="21"/>
        <v>-</v>
      </c>
      <c r="BI52" s="516" t="str">
        <f t="shared" si="21"/>
        <v>-</v>
      </c>
      <c r="BJ52" s="516" t="str">
        <f t="shared" si="21"/>
        <v>-</v>
      </c>
      <c r="BK52" s="516" t="str">
        <f t="shared" si="21"/>
        <v>-</v>
      </c>
      <c r="BL52" s="516" t="str">
        <f t="shared" si="21"/>
        <v>-</v>
      </c>
      <c r="BM52" s="516" t="str">
        <f t="shared" si="21"/>
        <v>-</v>
      </c>
      <c r="BN52" s="516" t="str">
        <f t="shared" si="21"/>
        <v>-</v>
      </c>
      <c r="BO52" s="516" t="str">
        <f t="shared" si="21"/>
        <v>-</v>
      </c>
      <c r="BP52" s="516" t="str">
        <f t="shared" si="21"/>
        <v>-</v>
      </c>
      <c r="BQ52" s="516" t="str">
        <f t="shared" si="21"/>
        <v>-</v>
      </c>
      <c r="BR52" s="516" t="str">
        <f t="shared" si="21"/>
        <v>-</v>
      </c>
      <c r="BS52" s="516" t="str">
        <f t="shared" si="21"/>
        <v>-</v>
      </c>
      <c r="BT52" s="516" t="str">
        <f t="shared" si="21"/>
        <v>-</v>
      </c>
      <c r="BU52" s="516" t="str">
        <f t="shared" si="21"/>
        <v>-</v>
      </c>
      <c r="BV52" s="516" t="str">
        <f t="shared" si="21"/>
        <v>-</v>
      </c>
      <c r="BW52" s="516" t="str">
        <f t="shared" ref="BW52:CA67" si="25">IF(LEN($F52)&gt;0,IF(AND(BW$8=$J52,NOT(AND(BW$8&gt;=$N52,BW$8&lt;$P52))),BW$6,IF(AND(NOT(BW$8&gt;$J51),BW$8&lt;$J52),"-",IF(AND(BW$8&gt;=$N52,BW$8&lt;$P52),"???",IF(AND(BW$8&gt;$J51,BW$8&lt;$J52),BW$6*(BW$8-$J51)/($J52-$J51),IF(AND(BW$8&gt;$J52,BW$8&lt;$J53),BW$6*($J53-BW$8)/($J53-$J52),"-"))))),"-")</f>
        <v>-</v>
      </c>
      <c r="BX52" s="516" t="str">
        <f t="shared" si="25"/>
        <v>-</v>
      </c>
      <c r="BY52" s="516" t="str">
        <f t="shared" si="25"/>
        <v>-</v>
      </c>
      <c r="BZ52" s="516" t="str">
        <f t="shared" si="25"/>
        <v>-</v>
      </c>
      <c r="CA52" s="516" t="str">
        <f t="shared" si="25"/>
        <v>-</v>
      </c>
    </row>
    <row r="53" spans="1:79">
      <c r="A53" s="105"/>
      <c r="B53" s="112"/>
      <c r="C53" s="262"/>
      <c r="D53" s="111" t="str">
        <f t="shared" si="6"/>
        <v/>
      </c>
      <c r="E53" s="517" t="str">
        <f>IF(LEN(B53)&gt;0,CHOOSE(MATCH(RIGHT(D53,1),{"D","W","M"},0),NextBusDay($C$4,LEFT(D53,LEN(D53)-1)),NextBusDay($C$4+7*LEFT(D53,LEN(D53)-1)),NextBusDay(EDATE($C$4,LEFT(D53,LEN(D53)-1)))),"")</f>
        <v/>
      </c>
      <c r="F53" s="107" t="str">
        <v>28Y</v>
      </c>
      <c r="G53" s="106" t="str">
        <v>28Y</v>
      </c>
      <c r="H53" s="106" t="str">
        <f>BktUsdOisPL!H53</f>
        <v>336M</v>
      </c>
      <c r="I53" s="261" t="str">
        <v>W</v>
      </c>
      <c r="J53" s="106">
        <f>BktUsdOisPL!J53</f>
        <v>52896</v>
      </c>
      <c r="L53" s="522">
        <f t="shared" si="7"/>
        <v>0</v>
      </c>
      <c r="N53" s="106" t="str">
        <f t="shared" si="1"/>
        <v>-</v>
      </c>
      <c r="O53" s="106" t="str">
        <f t="shared" si="16"/>
        <v>-</v>
      </c>
      <c r="P53" s="106" t="str">
        <f t="shared" si="3"/>
        <v>-</v>
      </c>
      <c r="Q53" s="106" t="b">
        <f t="shared" si="4"/>
        <v>0</v>
      </c>
      <c r="R53" s="516" t="str">
        <f t="shared" ref="R53:AG68" si="26">IF(LEN($F53)&gt;0,IF(AND(R$8=$J53,NOT(AND(R$8&gt;=$N53,R$8&lt;$P53))),R$6,IF(AND(NOT(R$8&gt;$J52),R$8&lt;$J53),"-",IF(AND(R$8&gt;=$N53,R$8&lt;$P53),"???",IF(AND(R$8&gt;$J52,R$8&lt;$J53),R$6*(R$8-$J52)/($J53-$J52),IF(AND(R$8&gt;$J53,R$8&lt;$J54),R$6*($J54-R$8)/($J54-$J53),"-"))))),"-")</f>
        <v>-</v>
      </c>
      <c r="S53" s="516" t="str">
        <f t="shared" si="26"/>
        <v>-</v>
      </c>
      <c r="T53" s="516" t="str">
        <f t="shared" si="26"/>
        <v>-</v>
      </c>
      <c r="U53" s="516" t="str">
        <f t="shared" si="26"/>
        <v>-</v>
      </c>
      <c r="V53" s="516" t="str">
        <f t="shared" si="26"/>
        <v>-</v>
      </c>
      <c r="W53" s="516" t="str">
        <f t="shared" si="26"/>
        <v>-</v>
      </c>
      <c r="X53" s="516" t="str">
        <f t="shared" si="26"/>
        <v>-</v>
      </c>
      <c r="Y53" s="516" t="str">
        <f t="shared" si="26"/>
        <v>-</v>
      </c>
      <c r="Z53" s="516" t="str">
        <f t="shared" si="26"/>
        <v>-</v>
      </c>
      <c r="AA53" s="516" t="str">
        <f t="shared" si="26"/>
        <v>-</v>
      </c>
      <c r="AB53" s="516" t="str">
        <f t="shared" si="26"/>
        <v>-</v>
      </c>
      <c r="AC53" s="516" t="str">
        <f t="shared" si="26"/>
        <v>-</v>
      </c>
      <c r="AD53" s="516" t="str">
        <f t="shared" si="26"/>
        <v>-</v>
      </c>
      <c r="AE53" s="516" t="str">
        <f t="shared" si="26"/>
        <v>-</v>
      </c>
      <c r="AF53" s="516" t="str">
        <f t="shared" si="26"/>
        <v>-</v>
      </c>
      <c r="AG53" s="516" t="str">
        <f t="shared" si="26"/>
        <v>-</v>
      </c>
      <c r="AH53" s="516" t="str">
        <f t="shared" si="24"/>
        <v>-</v>
      </c>
      <c r="AI53" s="516" t="str">
        <f t="shared" si="24"/>
        <v>-</v>
      </c>
      <c r="AJ53" s="516" t="str">
        <f t="shared" si="24"/>
        <v>-</v>
      </c>
      <c r="AK53" s="516" t="str">
        <f t="shared" si="24"/>
        <v>-</v>
      </c>
      <c r="AL53" s="516" t="str">
        <f t="shared" si="24"/>
        <v>-</v>
      </c>
      <c r="AM53" s="516" t="str">
        <f t="shared" si="24"/>
        <v>-</v>
      </c>
      <c r="AN53" s="516" t="str">
        <f t="shared" si="24"/>
        <v>-</v>
      </c>
      <c r="AO53" s="516" t="str">
        <f t="shared" si="24"/>
        <v>-</v>
      </c>
      <c r="AP53" s="516" t="str">
        <f t="shared" si="24"/>
        <v>-</v>
      </c>
      <c r="AQ53" s="516" t="str">
        <f t="shared" si="24"/>
        <v>-</v>
      </c>
      <c r="AR53" s="516" t="str">
        <f t="shared" si="24"/>
        <v>-</v>
      </c>
      <c r="AS53" s="516" t="str">
        <f t="shared" si="24"/>
        <v>-</v>
      </c>
      <c r="AT53" s="516" t="str">
        <f t="shared" si="24"/>
        <v>-</v>
      </c>
      <c r="AU53" s="516" t="str">
        <f t="shared" si="24"/>
        <v>-</v>
      </c>
      <c r="AV53" s="516" t="str">
        <f t="shared" si="24"/>
        <v>-</v>
      </c>
      <c r="AW53" s="516" t="str">
        <f t="shared" si="24"/>
        <v>-</v>
      </c>
      <c r="AX53" s="516" t="str">
        <f t="shared" si="24"/>
        <v>-</v>
      </c>
      <c r="AY53" s="516" t="str">
        <f t="shared" si="24"/>
        <v>-</v>
      </c>
      <c r="AZ53" s="516" t="str">
        <f t="shared" si="24"/>
        <v>-</v>
      </c>
      <c r="BA53" s="516" t="str">
        <f t="shared" si="24"/>
        <v>-</v>
      </c>
      <c r="BB53" s="516" t="str">
        <f t="shared" si="24"/>
        <v>-</v>
      </c>
      <c r="BC53" s="516" t="str">
        <f t="shared" si="23"/>
        <v>-</v>
      </c>
      <c r="BD53" s="516" t="str">
        <f t="shared" si="23"/>
        <v>-</v>
      </c>
      <c r="BE53" s="516" t="str">
        <f t="shared" si="23"/>
        <v>-</v>
      </c>
      <c r="BF53" s="516" t="str">
        <f t="shared" si="23"/>
        <v>-</v>
      </c>
      <c r="BG53" s="516" t="str">
        <f t="shared" si="23"/>
        <v>-</v>
      </c>
      <c r="BH53" s="516" t="str">
        <f t="shared" si="23"/>
        <v>-</v>
      </c>
      <c r="BI53" s="516" t="str">
        <f t="shared" si="23"/>
        <v>-</v>
      </c>
      <c r="BJ53" s="516" t="str">
        <f t="shared" si="23"/>
        <v>-</v>
      </c>
      <c r="BK53" s="516" t="str">
        <f t="shared" si="23"/>
        <v>-</v>
      </c>
      <c r="BL53" s="516" t="str">
        <f t="shared" si="23"/>
        <v>-</v>
      </c>
      <c r="BM53" s="516" t="str">
        <f t="shared" si="23"/>
        <v>-</v>
      </c>
      <c r="BN53" s="516" t="str">
        <f t="shared" si="23"/>
        <v>-</v>
      </c>
      <c r="BO53" s="516" t="str">
        <f t="shared" si="23"/>
        <v>-</v>
      </c>
      <c r="BP53" s="516" t="str">
        <f t="shared" si="23"/>
        <v>-</v>
      </c>
      <c r="BQ53" s="516" t="str">
        <f t="shared" si="23"/>
        <v>-</v>
      </c>
      <c r="BR53" s="516" t="str">
        <f t="shared" si="23"/>
        <v>-</v>
      </c>
      <c r="BS53" s="516" t="str">
        <f t="shared" ref="BS53:CA68" si="27">IF(LEN($F53)&gt;0,IF(AND(BS$8=$J53,NOT(AND(BS$8&gt;=$N53,BS$8&lt;$P53))),BS$6,IF(AND(NOT(BS$8&gt;$J52),BS$8&lt;$J53),"-",IF(AND(BS$8&gt;=$N53,BS$8&lt;$P53),"???",IF(AND(BS$8&gt;$J52,BS$8&lt;$J53),BS$6*(BS$8-$J52)/($J53-$J52),IF(AND(BS$8&gt;$J53,BS$8&lt;$J54),BS$6*($J54-BS$8)/($J54-$J53),"-"))))),"-")</f>
        <v>-</v>
      </c>
      <c r="BT53" s="516" t="str">
        <f t="shared" si="27"/>
        <v>-</v>
      </c>
      <c r="BU53" s="516" t="str">
        <f t="shared" si="27"/>
        <v>-</v>
      </c>
      <c r="BV53" s="516" t="str">
        <f t="shared" si="27"/>
        <v>-</v>
      </c>
      <c r="BW53" s="516" t="str">
        <f t="shared" si="25"/>
        <v>-</v>
      </c>
      <c r="BX53" s="516" t="str">
        <f t="shared" si="25"/>
        <v>-</v>
      </c>
      <c r="BY53" s="516" t="str">
        <f t="shared" si="25"/>
        <v>-</v>
      </c>
      <c r="BZ53" s="516" t="str">
        <f t="shared" si="25"/>
        <v>-</v>
      </c>
      <c r="CA53" s="516" t="str">
        <f t="shared" si="25"/>
        <v>-</v>
      </c>
    </row>
    <row r="54" spans="1:79">
      <c r="A54" s="105"/>
      <c r="B54" s="112"/>
      <c r="C54" s="262"/>
      <c r="D54" s="111" t="str">
        <f t="shared" si="6"/>
        <v/>
      </c>
      <c r="E54" s="517" t="str">
        <f>IF(LEN(B54)&gt;0,CHOOSE(MATCH(RIGHT(D54,1),{"D","W","M"},0),NextBusDay($C$4,LEFT(D54,LEN(D54)-1)),NextBusDay($C$4+7*LEFT(D54,LEN(D54)-1)),NextBusDay(EDATE($C$4,LEFT(D54,LEN(D54)-1)))),"")</f>
        <v/>
      </c>
      <c r="F54" s="107" t="str">
        <v>29Y</v>
      </c>
      <c r="G54" s="106" t="str">
        <v>29Y</v>
      </c>
      <c r="H54" s="106" t="str">
        <f>BktUsdOisPL!H54</f>
        <v>348M</v>
      </c>
      <c r="I54" s="261" t="str">
        <v>W</v>
      </c>
      <c r="J54" s="106">
        <f>BktUsdOisPL!J54</f>
        <v>53261</v>
      </c>
      <c r="L54" s="522">
        <f t="shared" si="7"/>
        <v>0</v>
      </c>
      <c r="N54" s="106" t="str">
        <f t="shared" si="1"/>
        <v>-</v>
      </c>
      <c r="O54" s="106" t="str">
        <f t="shared" si="16"/>
        <v>-</v>
      </c>
      <c r="P54" s="106" t="str">
        <f t="shared" si="3"/>
        <v>-</v>
      </c>
      <c r="Q54" s="106" t="b">
        <f t="shared" si="4"/>
        <v>0</v>
      </c>
      <c r="R54" s="516" t="str">
        <f t="shared" si="26"/>
        <v>-</v>
      </c>
      <c r="S54" s="516" t="str">
        <f t="shared" si="26"/>
        <v>-</v>
      </c>
      <c r="T54" s="516" t="str">
        <f t="shared" si="26"/>
        <v>-</v>
      </c>
      <c r="U54" s="516" t="str">
        <f t="shared" si="26"/>
        <v>-</v>
      </c>
      <c r="V54" s="516" t="str">
        <f t="shared" si="26"/>
        <v>-</v>
      </c>
      <c r="W54" s="516" t="str">
        <f t="shared" si="26"/>
        <v>-</v>
      </c>
      <c r="X54" s="516" t="str">
        <f t="shared" si="26"/>
        <v>-</v>
      </c>
      <c r="Y54" s="516" t="str">
        <f t="shared" si="26"/>
        <v>-</v>
      </c>
      <c r="Z54" s="516" t="str">
        <f t="shared" si="26"/>
        <v>-</v>
      </c>
      <c r="AA54" s="516" t="str">
        <f t="shared" si="26"/>
        <v>-</v>
      </c>
      <c r="AB54" s="516" t="str">
        <f t="shared" si="26"/>
        <v>-</v>
      </c>
      <c r="AC54" s="516" t="str">
        <f t="shared" si="26"/>
        <v>-</v>
      </c>
      <c r="AD54" s="516" t="str">
        <f t="shared" si="26"/>
        <v>-</v>
      </c>
      <c r="AE54" s="516" t="str">
        <f t="shared" si="26"/>
        <v>-</v>
      </c>
      <c r="AF54" s="516" t="str">
        <f t="shared" si="26"/>
        <v>-</v>
      </c>
      <c r="AG54" s="516" t="str">
        <f t="shared" si="26"/>
        <v>-</v>
      </c>
      <c r="AH54" s="516" t="str">
        <f t="shared" si="24"/>
        <v>-</v>
      </c>
      <c r="AI54" s="516" t="str">
        <f t="shared" si="24"/>
        <v>-</v>
      </c>
      <c r="AJ54" s="516" t="str">
        <f t="shared" si="24"/>
        <v>-</v>
      </c>
      <c r="AK54" s="516" t="str">
        <f t="shared" si="24"/>
        <v>-</v>
      </c>
      <c r="AL54" s="516" t="str">
        <f t="shared" si="24"/>
        <v>-</v>
      </c>
      <c r="AM54" s="516" t="str">
        <f t="shared" si="24"/>
        <v>-</v>
      </c>
      <c r="AN54" s="516" t="str">
        <f t="shared" si="24"/>
        <v>-</v>
      </c>
      <c r="AO54" s="516" t="str">
        <f t="shared" si="24"/>
        <v>-</v>
      </c>
      <c r="AP54" s="516" t="str">
        <f t="shared" si="24"/>
        <v>-</v>
      </c>
      <c r="AQ54" s="516" t="str">
        <f t="shared" si="24"/>
        <v>-</v>
      </c>
      <c r="AR54" s="516" t="str">
        <f t="shared" si="24"/>
        <v>-</v>
      </c>
      <c r="AS54" s="516" t="str">
        <f t="shared" si="24"/>
        <v>-</v>
      </c>
      <c r="AT54" s="516" t="str">
        <f t="shared" si="24"/>
        <v>-</v>
      </c>
      <c r="AU54" s="516" t="str">
        <f t="shared" si="24"/>
        <v>-</v>
      </c>
      <c r="AV54" s="516" t="str">
        <f t="shared" si="24"/>
        <v>-</v>
      </c>
      <c r="AW54" s="516" t="str">
        <f t="shared" si="24"/>
        <v>-</v>
      </c>
      <c r="AX54" s="516" t="str">
        <f t="shared" si="24"/>
        <v>-</v>
      </c>
      <c r="AY54" s="516" t="str">
        <f t="shared" si="24"/>
        <v>-</v>
      </c>
      <c r="AZ54" s="516" t="str">
        <f t="shared" si="24"/>
        <v>-</v>
      </c>
      <c r="BA54" s="516" t="str">
        <f t="shared" si="24"/>
        <v>-</v>
      </c>
      <c r="BB54" s="516" t="str">
        <f t="shared" si="24"/>
        <v>-</v>
      </c>
      <c r="BC54" s="516" t="str">
        <f t="shared" si="23"/>
        <v>-</v>
      </c>
      <c r="BD54" s="516" t="str">
        <f t="shared" si="23"/>
        <v>-</v>
      </c>
      <c r="BE54" s="516" t="str">
        <f t="shared" si="23"/>
        <v>-</v>
      </c>
      <c r="BF54" s="516" t="str">
        <f t="shared" si="23"/>
        <v>-</v>
      </c>
      <c r="BG54" s="516" t="str">
        <f t="shared" si="23"/>
        <v>-</v>
      </c>
      <c r="BH54" s="516" t="str">
        <f t="shared" si="23"/>
        <v>-</v>
      </c>
      <c r="BI54" s="516" t="str">
        <f t="shared" si="23"/>
        <v>-</v>
      </c>
      <c r="BJ54" s="516" t="str">
        <f t="shared" si="23"/>
        <v>-</v>
      </c>
      <c r="BK54" s="516" t="str">
        <f t="shared" si="23"/>
        <v>-</v>
      </c>
      <c r="BL54" s="516" t="str">
        <f t="shared" si="23"/>
        <v>-</v>
      </c>
      <c r="BM54" s="516" t="str">
        <f t="shared" si="23"/>
        <v>-</v>
      </c>
      <c r="BN54" s="516" t="str">
        <f t="shared" si="23"/>
        <v>-</v>
      </c>
      <c r="BO54" s="516" t="str">
        <f t="shared" si="23"/>
        <v>-</v>
      </c>
      <c r="BP54" s="516" t="str">
        <f t="shared" si="23"/>
        <v>-</v>
      </c>
      <c r="BQ54" s="516" t="str">
        <f t="shared" si="23"/>
        <v>-</v>
      </c>
      <c r="BR54" s="516" t="str">
        <f t="shared" si="23"/>
        <v>-</v>
      </c>
      <c r="BS54" s="516" t="str">
        <f t="shared" si="27"/>
        <v>-</v>
      </c>
      <c r="BT54" s="516" t="str">
        <f t="shared" si="27"/>
        <v>-</v>
      </c>
      <c r="BU54" s="516" t="str">
        <f t="shared" si="27"/>
        <v>-</v>
      </c>
      <c r="BV54" s="516" t="str">
        <f t="shared" si="27"/>
        <v>-</v>
      </c>
      <c r="BW54" s="516" t="str">
        <f t="shared" si="25"/>
        <v>-</v>
      </c>
      <c r="BX54" s="516" t="str">
        <f t="shared" si="25"/>
        <v>-</v>
      </c>
      <c r="BY54" s="516" t="str">
        <f t="shared" si="25"/>
        <v>-</v>
      </c>
      <c r="BZ54" s="516" t="str">
        <f t="shared" si="25"/>
        <v>-</v>
      </c>
      <c r="CA54" s="516" t="str">
        <f t="shared" si="25"/>
        <v>-</v>
      </c>
    </row>
    <row r="55" spans="1:79">
      <c r="A55" s="105"/>
      <c r="B55" s="112"/>
      <c r="C55" s="262"/>
      <c r="D55" s="111" t="str">
        <f t="shared" si="6"/>
        <v/>
      </c>
      <c r="E55" s="517" t="str">
        <f>IF(LEN(B55)&gt;0,CHOOSE(MATCH(RIGHT(D55,1),{"D","W","M"},0),NextBusDay($C$4,LEFT(D55,LEN(D55)-1)),NextBusDay($C$4+7*LEFT(D55,LEN(D55)-1)),NextBusDay(EDATE($C$4,LEFT(D55,LEN(D55)-1)))),"")</f>
        <v/>
      </c>
      <c r="F55" s="107" t="str">
        <v>30Y</v>
      </c>
      <c r="G55" s="106" t="str">
        <v>30Y</v>
      </c>
      <c r="H55" s="106" t="str">
        <f>BktUsdOisPL!H55</f>
        <v>360M</v>
      </c>
      <c r="I55" s="261" t="str">
        <v>W</v>
      </c>
      <c r="J55" s="106">
        <f>BktUsdOisPL!J55</f>
        <v>53626</v>
      </c>
      <c r="L55" s="522">
        <f t="shared" si="7"/>
        <v>717.89143936861797</v>
      </c>
      <c r="N55" s="106" t="str">
        <f t="shared" si="1"/>
        <v>-</v>
      </c>
      <c r="O55" s="106" t="str">
        <f t="shared" si="16"/>
        <v>-</v>
      </c>
      <c r="P55" s="106" t="str">
        <f t="shared" si="3"/>
        <v>-</v>
      </c>
      <c r="Q55" s="106" t="b">
        <f t="shared" si="4"/>
        <v>0</v>
      </c>
      <c r="R55" s="516" t="str">
        <f t="shared" si="26"/>
        <v>-</v>
      </c>
      <c r="S55" s="516" t="str">
        <f t="shared" si="26"/>
        <v>-</v>
      </c>
      <c r="T55" s="516" t="str">
        <f t="shared" si="26"/>
        <v>-</v>
      </c>
      <c r="U55" s="516" t="str">
        <f t="shared" si="26"/>
        <v>-</v>
      </c>
      <c r="V55" s="516" t="str">
        <f t="shared" si="26"/>
        <v>-</v>
      </c>
      <c r="W55" s="516" t="str">
        <f t="shared" si="26"/>
        <v>-</v>
      </c>
      <c r="X55" s="516" t="str">
        <f t="shared" si="26"/>
        <v>-</v>
      </c>
      <c r="Y55" s="516" t="str">
        <f t="shared" si="26"/>
        <v>-</v>
      </c>
      <c r="Z55" s="516" t="str">
        <f t="shared" si="26"/>
        <v>-</v>
      </c>
      <c r="AA55" s="516" t="str">
        <f t="shared" si="26"/>
        <v>-</v>
      </c>
      <c r="AB55" s="516" t="str">
        <f t="shared" si="26"/>
        <v>-</v>
      </c>
      <c r="AC55" s="516" t="str">
        <f t="shared" si="26"/>
        <v>-</v>
      </c>
      <c r="AD55" s="516" t="str">
        <f t="shared" si="26"/>
        <v>-</v>
      </c>
      <c r="AE55" s="516" t="str">
        <f t="shared" si="26"/>
        <v>-</v>
      </c>
      <c r="AF55" s="516" t="str">
        <f t="shared" si="26"/>
        <v>-</v>
      </c>
      <c r="AG55" s="516" t="str">
        <f t="shared" si="26"/>
        <v>-</v>
      </c>
      <c r="AH55" s="516" t="str">
        <f t="shared" si="24"/>
        <v>-</v>
      </c>
      <c r="AI55" s="516" t="str">
        <f t="shared" si="24"/>
        <v>-</v>
      </c>
      <c r="AJ55" s="516" t="str">
        <f t="shared" si="24"/>
        <v>-</v>
      </c>
      <c r="AK55" s="516" t="str">
        <f t="shared" si="24"/>
        <v>-</v>
      </c>
      <c r="AL55" s="516" t="str">
        <f t="shared" si="24"/>
        <v>-</v>
      </c>
      <c r="AM55" s="516" t="str">
        <f t="shared" si="24"/>
        <v>-</v>
      </c>
      <c r="AN55" s="516" t="str">
        <f t="shared" si="24"/>
        <v>-</v>
      </c>
      <c r="AO55" s="516" t="str">
        <f t="shared" si="24"/>
        <v>-</v>
      </c>
      <c r="AP55" s="516" t="str">
        <f t="shared" si="24"/>
        <v>-</v>
      </c>
      <c r="AQ55" s="516" t="str">
        <f t="shared" si="24"/>
        <v>-</v>
      </c>
      <c r="AR55" s="516" t="str">
        <f t="shared" si="24"/>
        <v>-</v>
      </c>
      <c r="AS55" s="516" t="str">
        <f t="shared" si="24"/>
        <v>-</v>
      </c>
      <c r="AT55" s="516" t="str">
        <f t="shared" si="24"/>
        <v>-</v>
      </c>
      <c r="AU55" s="516" t="str">
        <f t="shared" si="24"/>
        <v>-</v>
      </c>
      <c r="AV55" s="516" t="str">
        <f t="shared" si="24"/>
        <v>-</v>
      </c>
      <c r="AW55" s="516" t="str">
        <f t="shared" si="24"/>
        <v>-</v>
      </c>
      <c r="AX55" s="516" t="str">
        <f t="shared" si="24"/>
        <v>-</v>
      </c>
      <c r="AY55" s="516" t="str">
        <f t="shared" si="24"/>
        <v>-</v>
      </c>
      <c r="AZ55" s="516">
        <f t="shared" si="24"/>
        <v>717.89143936861797</v>
      </c>
      <c r="BA55" s="516" t="str">
        <f t="shared" si="24"/>
        <v>-</v>
      </c>
      <c r="BB55" s="516" t="str">
        <f t="shared" si="24"/>
        <v>-</v>
      </c>
      <c r="BC55" s="516" t="str">
        <f t="shared" si="23"/>
        <v>-</v>
      </c>
      <c r="BD55" s="516" t="str">
        <f t="shared" si="23"/>
        <v>-</v>
      </c>
      <c r="BE55" s="516" t="str">
        <f t="shared" si="23"/>
        <v>-</v>
      </c>
      <c r="BF55" s="516" t="str">
        <f t="shared" si="23"/>
        <v>-</v>
      </c>
      <c r="BG55" s="516" t="str">
        <f t="shared" si="23"/>
        <v>-</v>
      </c>
      <c r="BH55" s="516" t="str">
        <f t="shared" si="23"/>
        <v>-</v>
      </c>
      <c r="BI55" s="516" t="str">
        <f t="shared" si="23"/>
        <v>-</v>
      </c>
      <c r="BJ55" s="516" t="str">
        <f t="shared" si="23"/>
        <v>-</v>
      </c>
      <c r="BK55" s="516" t="str">
        <f t="shared" si="23"/>
        <v>-</v>
      </c>
      <c r="BL55" s="516" t="str">
        <f t="shared" si="23"/>
        <v>-</v>
      </c>
      <c r="BM55" s="516" t="str">
        <f t="shared" si="23"/>
        <v>-</v>
      </c>
      <c r="BN55" s="516" t="str">
        <f t="shared" si="23"/>
        <v>-</v>
      </c>
      <c r="BO55" s="516" t="str">
        <f t="shared" si="23"/>
        <v>-</v>
      </c>
      <c r="BP55" s="516" t="str">
        <f t="shared" si="23"/>
        <v>-</v>
      </c>
      <c r="BQ55" s="516" t="str">
        <f t="shared" si="23"/>
        <v>-</v>
      </c>
      <c r="BR55" s="516" t="str">
        <f t="shared" si="23"/>
        <v>-</v>
      </c>
      <c r="BS55" s="516" t="str">
        <f t="shared" si="27"/>
        <v>-</v>
      </c>
      <c r="BT55" s="516" t="str">
        <f t="shared" si="27"/>
        <v>-</v>
      </c>
      <c r="BU55" s="516" t="str">
        <f t="shared" si="27"/>
        <v>-</v>
      </c>
      <c r="BV55" s="516" t="str">
        <f t="shared" si="27"/>
        <v>-</v>
      </c>
      <c r="BW55" s="516" t="str">
        <f t="shared" si="25"/>
        <v>-</v>
      </c>
      <c r="BX55" s="516" t="str">
        <f t="shared" si="25"/>
        <v>-</v>
      </c>
      <c r="BY55" s="516" t="str">
        <f t="shared" si="25"/>
        <v>-</v>
      </c>
      <c r="BZ55" s="516" t="str">
        <f t="shared" si="25"/>
        <v>-</v>
      </c>
      <c r="CA55" s="516" t="str">
        <f t="shared" si="25"/>
        <v>-</v>
      </c>
    </row>
    <row r="56" spans="1:79">
      <c r="A56" s="105"/>
      <c r="B56" s="112"/>
      <c r="C56" s="262"/>
      <c r="D56" s="111" t="str">
        <f t="shared" si="6"/>
        <v/>
      </c>
      <c r="E56" s="517" t="str">
        <f>IF(LEN(B56)&gt;0,CHOOSE(MATCH(RIGHT(D56,1),{"D","W","M"},0),NextBusDay($C$4,LEFT(D56,LEN(D56)-1)),NextBusDay($C$4+7*LEFT(D56,LEN(D56)-1)),NextBusDay(EDATE($C$4,LEFT(D56,LEN(D56)-1)))),"")</f>
        <v/>
      </c>
      <c r="F56" s="107" t="str">
        <v>40Y</v>
      </c>
      <c r="G56" s="106" t="str">
        <v>40Y</v>
      </c>
      <c r="H56" s="106" t="str">
        <f>BktUsdOisPL!H56</f>
        <v>480M</v>
      </c>
      <c r="I56" s="261" t="str">
        <v>W</v>
      </c>
      <c r="J56" s="106">
        <f>BktUsdOisPL!J56</f>
        <v>57279</v>
      </c>
      <c r="L56" s="522">
        <f t="shared" si="7"/>
        <v>2.1523715145714801</v>
      </c>
      <c r="N56" s="106" t="str">
        <f t="shared" si="1"/>
        <v>-</v>
      </c>
      <c r="O56" s="106" t="str">
        <f t="shared" si="16"/>
        <v>-</v>
      </c>
      <c r="P56" s="106" t="str">
        <f t="shared" si="3"/>
        <v>-</v>
      </c>
      <c r="Q56" s="106" t="b">
        <f t="shared" si="4"/>
        <v>0</v>
      </c>
      <c r="R56" s="516" t="str">
        <f t="shared" si="26"/>
        <v>-</v>
      </c>
      <c r="S56" s="516" t="str">
        <f t="shared" si="26"/>
        <v>-</v>
      </c>
      <c r="T56" s="516" t="str">
        <f t="shared" si="26"/>
        <v>-</v>
      </c>
      <c r="U56" s="516" t="str">
        <f t="shared" si="26"/>
        <v>-</v>
      </c>
      <c r="V56" s="516" t="str">
        <f t="shared" si="26"/>
        <v>-</v>
      </c>
      <c r="W56" s="516" t="str">
        <f t="shared" si="26"/>
        <v>-</v>
      </c>
      <c r="X56" s="516" t="str">
        <f t="shared" si="26"/>
        <v>-</v>
      </c>
      <c r="Y56" s="516" t="str">
        <f t="shared" si="26"/>
        <v>-</v>
      </c>
      <c r="Z56" s="516" t="str">
        <f t="shared" si="26"/>
        <v>-</v>
      </c>
      <c r="AA56" s="516" t="str">
        <f t="shared" si="26"/>
        <v>-</v>
      </c>
      <c r="AB56" s="516" t="str">
        <f t="shared" si="26"/>
        <v>-</v>
      </c>
      <c r="AC56" s="516" t="str">
        <f t="shared" si="26"/>
        <v>-</v>
      </c>
      <c r="AD56" s="516" t="str">
        <f t="shared" si="26"/>
        <v>-</v>
      </c>
      <c r="AE56" s="516" t="str">
        <f t="shared" si="26"/>
        <v>-</v>
      </c>
      <c r="AF56" s="516" t="str">
        <f t="shared" si="26"/>
        <v>-</v>
      </c>
      <c r="AG56" s="516" t="str">
        <f t="shared" si="26"/>
        <v>-</v>
      </c>
      <c r="AH56" s="516" t="str">
        <f t="shared" si="24"/>
        <v>-</v>
      </c>
      <c r="AI56" s="516" t="str">
        <f t="shared" si="24"/>
        <v>-</v>
      </c>
      <c r="AJ56" s="516" t="str">
        <f t="shared" si="24"/>
        <v>-</v>
      </c>
      <c r="AK56" s="516" t="str">
        <f t="shared" si="24"/>
        <v>-</v>
      </c>
      <c r="AL56" s="516" t="str">
        <f t="shared" si="24"/>
        <v>-</v>
      </c>
      <c r="AM56" s="516" t="str">
        <f t="shared" si="24"/>
        <v>-</v>
      </c>
      <c r="AN56" s="516" t="str">
        <f t="shared" si="24"/>
        <v>-</v>
      </c>
      <c r="AO56" s="516" t="str">
        <f t="shared" si="24"/>
        <v>-</v>
      </c>
      <c r="AP56" s="516" t="str">
        <f t="shared" si="24"/>
        <v>-</v>
      </c>
      <c r="AQ56" s="516" t="str">
        <f t="shared" si="24"/>
        <v>-</v>
      </c>
      <c r="AR56" s="516" t="str">
        <f t="shared" si="24"/>
        <v>-</v>
      </c>
      <c r="AS56" s="516" t="str">
        <f t="shared" si="24"/>
        <v>-</v>
      </c>
      <c r="AT56" s="516" t="str">
        <f t="shared" si="24"/>
        <v>-</v>
      </c>
      <c r="AU56" s="516" t="str">
        <f t="shared" si="24"/>
        <v>-</v>
      </c>
      <c r="AV56" s="516" t="str">
        <f t="shared" si="24"/>
        <v>-</v>
      </c>
      <c r="AW56" s="516" t="str">
        <f t="shared" si="24"/>
        <v>-</v>
      </c>
      <c r="AX56" s="516" t="str">
        <f t="shared" si="24"/>
        <v>-</v>
      </c>
      <c r="AY56" s="516" t="str">
        <f t="shared" si="24"/>
        <v>-</v>
      </c>
      <c r="AZ56" s="516" t="str">
        <f t="shared" si="24"/>
        <v>-</v>
      </c>
      <c r="BA56" s="516">
        <f t="shared" si="24"/>
        <v>2.1523715145714801</v>
      </c>
      <c r="BB56" s="516" t="str">
        <f t="shared" si="24"/>
        <v>-</v>
      </c>
      <c r="BC56" s="516" t="str">
        <f t="shared" si="23"/>
        <v>-</v>
      </c>
      <c r="BD56" s="516" t="str">
        <f t="shared" si="23"/>
        <v>-</v>
      </c>
      <c r="BE56" s="516" t="str">
        <f t="shared" si="23"/>
        <v>-</v>
      </c>
      <c r="BF56" s="516" t="str">
        <f t="shared" si="23"/>
        <v>-</v>
      </c>
      <c r="BG56" s="516" t="str">
        <f t="shared" si="23"/>
        <v>-</v>
      </c>
      <c r="BH56" s="516" t="str">
        <f t="shared" si="23"/>
        <v>-</v>
      </c>
      <c r="BI56" s="516" t="str">
        <f t="shared" si="23"/>
        <v>-</v>
      </c>
      <c r="BJ56" s="516" t="str">
        <f t="shared" si="23"/>
        <v>-</v>
      </c>
      <c r="BK56" s="516" t="str">
        <f t="shared" si="23"/>
        <v>-</v>
      </c>
      <c r="BL56" s="516" t="str">
        <f t="shared" si="23"/>
        <v>-</v>
      </c>
      <c r="BM56" s="516" t="str">
        <f t="shared" si="23"/>
        <v>-</v>
      </c>
      <c r="BN56" s="516" t="str">
        <f t="shared" si="23"/>
        <v>-</v>
      </c>
      <c r="BO56" s="516" t="str">
        <f t="shared" si="23"/>
        <v>-</v>
      </c>
      <c r="BP56" s="516" t="str">
        <f t="shared" si="23"/>
        <v>-</v>
      </c>
      <c r="BQ56" s="516" t="str">
        <f t="shared" si="23"/>
        <v>-</v>
      </c>
      <c r="BR56" s="516" t="str">
        <f t="shared" si="23"/>
        <v>-</v>
      </c>
      <c r="BS56" s="516" t="str">
        <f t="shared" si="27"/>
        <v>-</v>
      </c>
      <c r="BT56" s="516" t="str">
        <f t="shared" si="27"/>
        <v>-</v>
      </c>
      <c r="BU56" s="516" t="str">
        <f t="shared" si="27"/>
        <v>-</v>
      </c>
      <c r="BV56" s="516" t="str">
        <f t="shared" si="27"/>
        <v>-</v>
      </c>
      <c r="BW56" s="516" t="str">
        <f t="shared" si="25"/>
        <v>-</v>
      </c>
      <c r="BX56" s="516" t="str">
        <f t="shared" si="25"/>
        <v>-</v>
      </c>
      <c r="BY56" s="516" t="str">
        <f t="shared" si="25"/>
        <v>-</v>
      </c>
      <c r="BZ56" s="516" t="str">
        <f t="shared" si="25"/>
        <v>-</v>
      </c>
      <c r="CA56" s="516" t="str">
        <f t="shared" si="25"/>
        <v>-</v>
      </c>
    </row>
    <row r="57" spans="1:79">
      <c r="A57" s="105"/>
      <c r="B57" s="112"/>
      <c r="C57" s="262"/>
      <c r="D57" s="111" t="str">
        <f t="shared" si="6"/>
        <v/>
      </c>
      <c r="E57" s="517" t="str">
        <f>IF(LEN(B57)&gt;0,CHOOSE(MATCH(RIGHT(D57,1),{"D","W","M"},0),NextBusDay($C$4,LEFT(D57,LEN(D57)-1)),NextBusDay($C$4+7*LEFT(D57,LEN(D57)-1)),NextBusDay(EDATE($C$4,LEFT(D57,LEN(D57)-1)))),"")</f>
        <v/>
      </c>
      <c r="F57" s="107" t="str">
        <v>50Y</v>
      </c>
      <c r="G57" s="106" t="str">
        <v>50Y</v>
      </c>
      <c r="H57" s="106" t="str">
        <f>BktUsdOisPL!H57</f>
        <v>600M</v>
      </c>
      <c r="I57" s="261" t="str">
        <v>W</v>
      </c>
      <c r="J57" s="106">
        <f>BktUsdOisPL!J57</f>
        <v>60931</v>
      </c>
      <c r="L57" s="522">
        <f t="shared" si="7"/>
        <v>2.7119986312733501E-2</v>
      </c>
      <c r="N57" s="106" t="str">
        <f t="shared" si="1"/>
        <v>-</v>
      </c>
      <c r="O57" s="106" t="str">
        <f t="shared" si="16"/>
        <v>-</v>
      </c>
      <c r="P57" s="106" t="str">
        <f t="shared" si="3"/>
        <v>-</v>
      </c>
      <c r="Q57" s="106" t="b">
        <f t="shared" si="4"/>
        <v>0</v>
      </c>
      <c r="R57" s="516" t="str">
        <f t="shared" si="26"/>
        <v>-</v>
      </c>
      <c r="S57" s="516" t="str">
        <f t="shared" si="26"/>
        <v>-</v>
      </c>
      <c r="T57" s="516" t="str">
        <f t="shared" si="26"/>
        <v>-</v>
      </c>
      <c r="U57" s="516" t="str">
        <f t="shared" si="26"/>
        <v>-</v>
      </c>
      <c r="V57" s="516" t="str">
        <f t="shared" si="26"/>
        <v>-</v>
      </c>
      <c r="W57" s="516" t="str">
        <f t="shared" si="26"/>
        <v>-</v>
      </c>
      <c r="X57" s="516" t="str">
        <f t="shared" si="26"/>
        <v>-</v>
      </c>
      <c r="Y57" s="516" t="str">
        <f t="shared" si="26"/>
        <v>-</v>
      </c>
      <c r="Z57" s="516" t="str">
        <f t="shared" si="26"/>
        <v>-</v>
      </c>
      <c r="AA57" s="516" t="str">
        <f t="shared" si="26"/>
        <v>-</v>
      </c>
      <c r="AB57" s="516" t="str">
        <f t="shared" si="26"/>
        <v>-</v>
      </c>
      <c r="AC57" s="516" t="str">
        <f t="shared" si="26"/>
        <v>-</v>
      </c>
      <c r="AD57" s="516" t="str">
        <f t="shared" si="26"/>
        <v>-</v>
      </c>
      <c r="AE57" s="516" t="str">
        <f t="shared" si="26"/>
        <v>-</v>
      </c>
      <c r="AF57" s="516" t="str">
        <f t="shared" si="26"/>
        <v>-</v>
      </c>
      <c r="AG57" s="516" t="str">
        <f t="shared" si="26"/>
        <v>-</v>
      </c>
      <c r="AH57" s="516" t="str">
        <f t="shared" si="24"/>
        <v>-</v>
      </c>
      <c r="AI57" s="516" t="str">
        <f t="shared" si="24"/>
        <v>-</v>
      </c>
      <c r="AJ57" s="516" t="str">
        <f t="shared" si="24"/>
        <v>-</v>
      </c>
      <c r="AK57" s="516" t="str">
        <f t="shared" si="24"/>
        <v>-</v>
      </c>
      <c r="AL57" s="516" t="str">
        <f t="shared" si="24"/>
        <v>-</v>
      </c>
      <c r="AM57" s="516" t="str">
        <f t="shared" si="24"/>
        <v>-</v>
      </c>
      <c r="AN57" s="516" t="str">
        <f t="shared" si="24"/>
        <v>-</v>
      </c>
      <c r="AO57" s="516" t="str">
        <f t="shared" si="24"/>
        <v>-</v>
      </c>
      <c r="AP57" s="516" t="str">
        <f t="shared" si="24"/>
        <v>-</v>
      </c>
      <c r="AQ57" s="516" t="str">
        <f t="shared" si="24"/>
        <v>-</v>
      </c>
      <c r="AR57" s="516" t="str">
        <f t="shared" si="24"/>
        <v>-</v>
      </c>
      <c r="AS57" s="516" t="str">
        <f t="shared" si="24"/>
        <v>-</v>
      </c>
      <c r="AT57" s="516" t="str">
        <f t="shared" si="24"/>
        <v>-</v>
      </c>
      <c r="AU57" s="516" t="str">
        <f t="shared" si="24"/>
        <v>-</v>
      </c>
      <c r="AV57" s="516" t="str">
        <f t="shared" si="24"/>
        <v>-</v>
      </c>
      <c r="AW57" s="516" t="str">
        <f t="shared" si="24"/>
        <v>-</v>
      </c>
      <c r="AX57" s="516" t="str">
        <f t="shared" si="24"/>
        <v>-</v>
      </c>
      <c r="AY57" s="516" t="str">
        <f t="shared" si="24"/>
        <v>-</v>
      </c>
      <c r="AZ57" s="516" t="str">
        <f t="shared" si="24"/>
        <v>-</v>
      </c>
      <c r="BA57" s="516" t="str">
        <f t="shared" si="24"/>
        <v>-</v>
      </c>
      <c r="BB57" s="516">
        <f t="shared" si="24"/>
        <v>2.7119986312733501E-2</v>
      </c>
      <c r="BC57" s="516" t="str">
        <f t="shared" si="23"/>
        <v>-</v>
      </c>
      <c r="BD57" s="516" t="str">
        <f t="shared" si="23"/>
        <v>-</v>
      </c>
      <c r="BE57" s="516" t="str">
        <f t="shared" si="23"/>
        <v>-</v>
      </c>
      <c r="BF57" s="516" t="str">
        <f t="shared" si="23"/>
        <v>-</v>
      </c>
      <c r="BG57" s="516" t="str">
        <f t="shared" si="23"/>
        <v>-</v>
      </c>
      <c r="BH57" s="516" t="str">
        <f t="shared" si="23"/>
        <v>-</v>
      </c>
      <c r="BI57" s="516" t="str">
        <f t="shared" si="23"/>
        <v>-</v>
      </c>
      <c r="BJ57" s="516" t="str">
        <f t="shared" si="23"/>
        <v>-</v>
      </c>
      <c r="BK57" s="516" t="str">
        <f t="shared" si="23"/>
        <v>-</v>
      </c>
      <c r="BL57" s="516" t="str">
        <f t="shared" si="23"/>
        <v>-</v>
      </c>
      <c r="BM57" s="516" t="str">
        <f t="shared" si="23"/>
        <v>-</v>
      </c>
      <c r="BN57" s="516" t="str">
        <f t="shared" si="23"/>
        <v>-</v>
      </c>
      <c r="BO57" s="516" t="str">
        <f t="shared" si="23"/>
        <v>-</v>
      </c>
      <c r="BP57" s="516" t="str">
        <f t="shared" si="23"/>
        <v>-</v>
      </c>
      <c r="BQ57" s="516" t="str">
        <f t="shared" si="23"/>
        <v>-</v>
      </c>
      <c r="BR57" s="516" t="str">
        <f t="shared" si="23"/>
        <v>-</v>
      </c>
      <c r="BS57" s="516" t="str">
        <f t="shared" si="27"/>
        <v>-</v>
      </c>
      <c r="BT57" s="516" t="str">
        <f t="shared" si="27"/>
        <v>-</v>
      </c>
      <c r="BU57" s="516" t="str">
        <f t="shared" si="27"/>
        <v>-</v>
      </c>
      <c r="BV57" s="516" t="str">
        <f t="shared" si="27"/>
        <v>-</v>
      </c>
      <c r="BW57" s="516" t="str">
        <f t="shared" si="25"/>
        <v>-</v>
      </c>
      <c r="BX57" s="516" t="str">
        <f t="shared" si="25"/>
        <v>-</v>
      </c>
      <c r="BY57" s="516" t="str">
        <f t="shared" si="25"/>
        <v>-</v>
      </c>
      <c r="BZ57" s="516" t="str">
        <f t="shared" si="25"/>
        <v>-</v>
      </c>
      <c r="CA57" s="516" t="str">
        <f t="shared" si="25"/>
        <v>-</v>
      </c>
    </row>
    <row r="58" spans="1:79">
      <c r="A58" s="105"/>
      <c r="B58" s="112"/>
      <c r="C58" s="262"/>
      <c r="D58" s="111" t="str">
        <f t="shared" si="6"/>
        <v/>
      </c>
      <c r="E58" s="517" t="str">
        <f>IF(LEN(B58)&gt;0,CHOOSE(MATCH(RIGHT(D58,1),{"D","W","M"},0),NextBusDay($C$4,LEFT(D58,LEN(D58)-1)),NextBusDay($C$4+7*LEFT(D58,LEN(D58)-1)),NextBusDay(EDATE($C$4,LEFT(D58,LEN(D58)-1)))),"")</f>
        <v/>
      </c>
      <c r="F58" s="107" t="str">
        <v>60Y</v>
      </c>
      <c r="G58" s="106" t="str">
        <v>60Y</v>
      </c>
      <c r="H58" s="106" t="str">
        <f>BktUsdOisPL!H58</f>
        <v>720M</v>
      </c>
      <c r="I58" s="261" t="str">
        <v>W</v>
      </c>
      <c r="J58" s="106">
        <f>BktUsdOisPL!J58</f>
        <v>64584</v>
      </c>
      <c r="L58" s="522">
        <f t="shared" si="7"/>
        <v>3.1793433814539203E-4</v>
      </c>
      <c r="N58" s="106" t="str">
        <f t="shared" si="1"/>
        <v>-</v>
      </c>
      <c r="O58" s="106" t="str">
        <f t="shared" si="16"/>
        <v>-</v>
      </c>
      <c r="P58" s="106" t="str">
        <f t="shared" si="3"/>
        <v>-</v>
      </c>
      <c r="Q58" s="106" t="b">
        <f t="shared" si="4"/>
        <v>0</v>
      </c>
      <c r="R58" s="516" t="str">
        <f t="shared" si="26"/>
        <v>-</v>
      </c>
      <c r="S58" s="516" t="str">
        <f t="shared" si="26"/>
        <v>-</v>
      </c>
      <c r="T58" s="516" t="str">
        <f t="shared" si="26"/>
        <v>-</v>
      </c>
      <c r="U58" s="516" t="str">
        <f t="shared" si="26"/>
        <v>-</v>
      </c>
      <c r="V58" s="516" t="str">
        <f t="shared" si="26"/>
        <v>-</v>
      </c>
      <c r="W58" s="516" t="str">
        <f t="shared" si="26"/>
        <v>-</v>
      </c>
      <c r="X58" s="516" t="str">
        <f t="shared" si="26"/>
        <v>-</v>
      </c>
      <c r="Y58" s="516" t="str">
        <f t="shared" si="26"/>
        <v>-</v>
      </c>
      <c r="Z58" s="516" t="str">
        <f t="shared" si="26"/>
        <v>-</v>
      </c>
      <c r="AA58" s="516" t="str">
        <f t="shared" si="26"/>
        <v>-</v>
      </c>
      <c r="AB58" s="516" t="str">
        <f t="shared" si="26"/>
        <v>-</v>
      </c>
      <c r="AC58" s="516" t="str">
        <f t="shared" si="26"/>
        <v>-</v>
      </c>
      <c r="AD58" s="516" t="str">
        <f t="shared" si="26"/>
        <v>-</v>
      </c>
      <c r="AE58" s="516" t="str">
        <f t="shared" si="26"/>
        <v>-</v>
      </c>
      <c r="AF58" s="516" t="str">
        <f t="shared" si="26"/>
        <v>-</v>
      </c>
      <c r="AG58" s="516" t="str">
        <f t="shared" si="26"/>
        <v>-</v>
      </c>
      <c r="AH58" s="516" t="str">
        <f t="shared" si="24"/>
        <v>-</v>
      </c>
      <c r="AI58" s="516" t="str">
        <f t="shared" si="24"/>
        <v>-</v>
      </c>
      <c r="AJ58" s="516" t="str">
        <f t="shared" si="24"/>
        <v>-</v>
      </c>
      <c r="AK58" s="516" t="str">
        <f t="shared" si="24"/>
        <v>-</v>
      </c>
      <c r="AL58" s="516" t="str">
        <f t="shared" si="24"/>
        <v>-</v>
      </c>
      <c r="AM58" s="516" t="str">
        <f t="shared" si="24"/>
        <v>-</v>
      </c>
      <c r="AN58" s="516" t="str">
        <f t="shared" si="24"/>
        <v>-</v>
      </c>
      <c r="AO58" s="516" t="str">
        <f t="shared" si="24"/>
        <v>-</v>
      </c>
      <c r="AP58" s="516" t="str">
        <f t="shared" si="24"/>
        <v>-</v>
      </c>
      <c r="AQ58" s="516" t="str">
        <f t="shared" si="24"/>
        <v>-</v>
      </c>
      <c r="AR58" s="516" t="str">
        <f t="shared" si="24"/>
        <v>-</v>
      </c>
      <c r="AS58" s="516" t="str">
        <f t="shared" si="24"/>
        <v>-</v>
      </c>
      <c r="AT58" s="516" t="str">
        <f t="shared" si="24"/>
        <v>-</v>
      </c>
      <c r="AU58" s="516" t="str">
        <f t="shared" si="24"/>
        <v>-</v>
      </c>
      <c r="AV58" s="516" t="str">
        <f t="shared" si="24"/>
        <v>-</v>
      </c>
      <c r="AW58" s="516" t="str">
        <f t="shared" si="24"/>
        <v>-</v>
      </c>
      <c r="AX58" s="516" t="str">
        <f t="shared" si="24"/>
        <v>-</v>
      </c>
      <c r="AY58" s="516" t="str">
        <f t="shared" si="24"/>
        <v>-</v>
      </c>
      <c r="AZ58" s="516" t="str">
        <f t="shared" si="24"/>
        <v>-</v>
      </c>
      <c r="BA58" s="516" t="str">
        <f t="shared" si="24"/>
        <v>-</v>
      </c>
      <c r="BB58" s="516" t="str">
        <f t="shared" si="24"/>
        <v>-</v>
      </c>
      <c r="BC58" s="516">
        <f t="shared" si="23"/>
        <v>3.1793433814539203E-4</v>
      </c>
      <c r="BD58" s="516" t="str">
        <f t="shared" si="23"/>
        <v>-</v>
      </c>
      <c r="BE58" s="516" t="str">
        <f t="shared" si="23"/>
        <v>-</v>
      </c>
      <c r="BF58" s="516" t="str">
        <f t="shared" si="23"/>
        <v>-</v>
      </c>
      <c r="BG58" s="516" t="str">
        <f t="shared" si="23"/>
        <v>-</v>
      </c>
      <c r="BH58" s="516" t="str">
        <f t="shared" si="23"/>
        <v>-</v>
      </c>
      <c r="BI58" s="516" t="str">
        <f t="shared" si="23"/>
        <v>-</v>
      </c>
      <c r="BJ58" s="516" t="str">
        <f t="shared" si="23"/>
        <v>-</v>
      </c>
      <c r="BK58" s="516" t="str">
        <f t="shared" si="23"/>
        <v>-</v>
      </c>
      <c r="BL58" s="516" t="str">
        <f t="shared" si="23"/>
        <v>-</v>
      </c>
      <c r="BM58" s="516" t="str">
        <f t="shared" si="23"/>
        <v>-</v>
      </c>
      <c r="BN58" s="516" t="str">
        <f t="shared" si="23"/>
        <v>-</v>
      </c>
      <c r="BO58" s="516" t="str">
        <f t="shared" si="23"/>
        <v>-</v>
      </c>
      <c r="BP58" s="516" t="str">
        <f t="shared" si="23"/>
        <v>-</v>
      </c>
      <c r="BQ58" s="516" t="str">
        <f t="shared" si="23"/>
        <v>-</v>
      </c>
      <c r="BR58" s="516" t="str">
        <f t="shared" si="23"/>
        <v>-</v>
      </c>
      <c r="BS58" s="516" t="str">
        <f t="shared" si="27"/>
        <v>-</v>
      </c>
      <c r="BT58" s="516" t="str">
        <f t="shared" si="27"/>
        <v>-</v>
      </c>
      <c r="BU58" s="516" t="str">
        <f t="shared" si="27"/>
        <v>-</v>
      </c>
      <c r="BV58" s="516" t="str">
        <f t="shared" si="27"/>
        <v>-</v>
      </c>
      <c r="BW58" s="516" t="str">
        <f t="shared" si="25"/>
        <v>-</v>
      </c>
      <c r="BX58" s="516" t="str">
        <f t="shared" si="25"/>
        <v>-</v>
      </c>
      <c r="BY58" s="516" t="str">
        <f t="shared" si="25"/>
        <v>-</v>
      </c>
      <c r="BZ58" s="516" t="str">
        <f t="shared" si="25"/>
        <v>-</v>
      </c>
      <c r="CA58" s="516" t="str">
        <f t="shared" si="25"/>
        <v>-</v>
      </c>
    </row>
    <row r="59" spans="1:79">
      <c r="A59" s="105"/>
      <c r="B59" s="112"/>
      <c r="C59" s="262"/>
      <c r="D59" s="111" t="str">
        <f t="shared" si="6"/>
        <v/>
      </c>
      <c r="E59" s="517" t="str">
        <f>IF(LEN(B59)&gt;0,CHOOSE(MATCH(RIGHT(D59,1),{"D","W","M"},0),NextBusDay($C$4,LEFT(D59,LEN(D59)-1)),NextBusDay($C$4+7*LEFT(D59,LEN(D59)-1)),NextBusDay(EDATE($C$4,LEFT(D59,LEN(D59)-1)))),"")</f>
        <v/>
      </c>
      <c r="F59" s="107" t="str">
        <v/>
      </c>
      <c r="G59" s="106" t="str">
        <v/>
      </c>
      <c r="H59" s="106" t="str">
        <f>BktUsdOisPL!H59</f>
        <v/>
      </c>
      <c r="I59" s="261" t="str">
        <v/>
      </c>
      <c r="J59" s="106" t="str">
        <f>BktUsdOisPL!J59</f>
        <v/>
      </c>
      <c r="L59" s="522">
        <f t="shared" si="7"/>
        <v>0</v>
      </c>
      <c r="N59" s="106" t="str">
        <f t="shared" si="1"/>
        <v>-</v>
      </c>
      <c r="O59" s="106" t="str">
        <f t="shared" si="16"/>
        <v>-</v>
      </c>
      <c r="P59" s="106" t="str">
        <f t="shared" si="3"/>
        <v>-</v>
      </c>
      <c r="Q59" s="106" t="b">
        <f t="shared" si="4"/>
        <v>0</v>
      </c>
      <c r="R59" s="516" t="str">
        <f t="shared" si="26"/>
        <v>-</v>
      </c>
      <c r="S59" s="516" t="str">
        <f t="shared" si="26"/>
        <v>-</v>
      </c>
      <c r="T59" s="516" t="str">
        <f t="shared" si="26"/>
        <v>-</v>
      </c>
      <c r="U59" s="516" t="str">
        <f t="shared" si="26"/>
        <v>-</v>
      </c>
      <c r="V59" s="516" t="str">
        <f t="shared" si="26"/>
        <v>-</v>
      </c>
      <c r="W59" s="516" t="str">
        <f t="shared" si="26"/>
        <v>-</v>
      </c>
      <c r="X59" s="516" t="str">
        <f t="shared" si="26"/>
        <v>-</v>
      </c>
      <c r="Y59" s="516" t="str">
        <f t="shared" si="26"/>
        <v>-</v>
      </c>
      <c r="Z59" s="516" t="str">
        <f t="shared" si="26"/>
        <v>-</v>
      </c>
      <c r="AA59" s="516" t="str">
        <f t="shared" si="26"/>
        <v>-</v>
      </c>
      <c r="AB59" s="516" t="str">
        <f t="shared" si="26"/>
        <v>-</v>
      </c>
      <c r="AC59" s="516" t="str">
        <f t="shared" si="26"/>
        <v>-</v>
      </c>
      <c r="AD59" s="516" t="str">
        <f t="shared" si="26"/>
        <v>-</v>
      </c>
      <c r="AE59" s="516" t="str">
        <f t="shared" si="26"/>
        <v>-</v>
      </c>
      <c r="AF59" s="516" t="str">
        <f t="shared" si="26"/>
        <v>-</v>
      </c>
      <c r="AG59" s="516" t="str">
        <f t="shared" si="26"/>
        <v>-</v>
      </c>
      <c r="AH59" s="516" t="str">
        <f t="shared" si="24"/>
        <v>-</v>
      </c>
      <c r="AI59" s="516" t="str">
        <f t="shared" si="24"/>
        <v>-</v>
      </c>
      <c r="AJ59" s="516" t="str">
        <f t="shared" si="24"/>
        <v>-</v>
      </c>
      <c r="AK59" s="516" t="str">
        <f t="shared" si="24"/>
        <v>-</v>
      </c>
      <c r="AL59" s="516" t="str">
        <f t="shared" si="24"/>
        <v>-</v>
      </c>
      <c r="AM59" s="516" t="str">
        <f t="shared" si="24"/>
        <v>-</v>
      </c>
      <c r="AN59" s="516" t="str">
        <f t="shared" si="24"/>
        <v>-</v>
      </c>
      <c r="AO59" s="516" t="str">
        <f t="shared" si="24"/>
        <v>-</v>
      </c>
      <c r="AP59" s="516" t="str">
        <f t="shared" si="24"/>
        <v>-</v>
      </c>
      <c r="AQ59" s="516" t="str">
        <f t="shared" si="24"/>
        <v>-</v>
      </c>
      <c r="AR59" s="516" t="str">
        <f t="shared" si="24"/>
        <v>-</v>
      </c>
      <c r="AS59" s="516" t="str">
        <f t="shared" si="24"/>
        <v>-</v>
      </c>
      <c r="AT59" s="516" t="str">
        <f t="shared" si="24"/>
        <v>-</v>
      </c>
      <c r="AU59" s="516" t="str">
        <f t="shared" si="24"/>
        <v>-</v>
      </c>
      <c r="AV59" s="516" t="str">
        <f t="shared" si="24"/>
        <v>-</v>
      </c>
      <c r="AW59" s="516" t="str">
        <f t="shared" si="24"/>
        <v>-</v>
      </c>
      <c r="AX59" s="516" t="str">
        <f t="shared" si="24"/>
        <v>-</v>
      </c>
      <c r="AY59" s="516" t="str">
        <f t="shared" si="24"/>
        <v>-</v>
      </c>
      <c r="AZ59" s="516" t="str">
        <f t="shared" si="24"/>
        <v>-</v>
      </c>
      <c r="BA59" s="516" t="str">
        <f t="shared" si="24"/>
        <v>-</v>
      </c>
      <c r="BB59" s="516" t="str">
        <f t="shared" si="24"/>
        <v>-</v>
      </c>
      <c r="BC59" s="516" t="str">
        <f t="shared" si="23"/>
        <v>-</v>
      </c>
      <c r="BD59" s="516" t="str">
        <f t="shared" si="23"/>
        <v>-</v>
      </c>
      <c r="BE59" s="516" t="str">
        <f t="shared" si="23"/>
        <v>-</v>
      </c>
      <c r="BF59" s="516" t="str">
        <f t="shared" si="23"/>
        <v>-</v>
      </c>
      <c r="BG59" s="516" t="str">
        <f t="shared" si="23"/>
        <v>-</v>
      </c>
      <c r="BH59" s="516" t="str">
        <f t="shared" si="23"/>
        <v>-</v>
      </c>
      <c r="BI59" s="516" t="str">
        <f t="shared" si="23"/>
        <v>-</v>
      </c>
      <c r="BJ59" s="516" t="str">
        <f t="shared" si="23"/>
        <v>-</v>
      </c>
      <c r="BK59" s="516" t="str">
        <f t="shared" si="23"/>
        <v>-</v>
      </c>
      <c r="BL59" s="516" t="str">
        <f t="shared" si="23"/>
        <v>-</v>
      </c>
      <c r="BM59" s="516" t="str">
        <f t="shared" si="23"/>
        <v>-</v>
      </c>
      <c r="BN59" s="516" t="str">
        <f t="shared" si="23"/>
        <v>-</v>
      </c>
      <c r="BO59" s="516" t="str">
        <f t="shared" si="23"/>
        <v>-</v>
      </c>
      <c r="BP59" s="516" t="str">
        <f t="shared" si="23"/>
        <v>-</v>
      </c>
      <c r="BQ59" s="516" t="str">
        <f t="shared" si="23"/>
        <v>-</v>
      </c>
      <c r="BR59" s="516" t="str">
        <f t="shared" si="23"/>
        <v>-</v>
      </c>
      <c r="BS59" s="516" t="str">
        <f t="shared" si="27"/>
        <v>-</v>
      </c>
      <c r="BT59" s="516" t="str">
        <f t="shared" si="27"/>
        <v>-</v>
      </c>
      <c r="BU59" s="516" t="str">
        <f t="shared" si="27"/>
        <v>-</v>
      </c>
      <c r="BV59" s="516" t="str">
        <f t="shared" si="27"/>
        <v>-</v>
      </c>
      <c r="BW59" s="516" t="str">
        <f t="shared" si="25"/>
        <v>-</v>
      </c>
      <c r="BX59" s="516" t="str">
        <f t="shared" si="25"/>
        <v>-</v>
      </c>
      <c r="BY59" s="516" t="str">
        <f t="shared" si="25"/>
        <v>-</v>
      </c>
      <c r="BZ59" s="516" t="str">
        <f t="shared" si="25"/>
        <v>-</v>
      </c>
      <c r="CA59" s="516" t="str">
        <f t="shared" si="25"/>
        <v>-</v>
      </c>
    </row>
    <row r="60" spans="1:79">
      <c r="A60" s="105"/>
      <c r="B60" s="112"/>
      <c r="C60" s="262"/>
      <c r="D60" s="111" t="str">
        <f t="shared" si="6"/>
        <v/>
      </c>
      <c r="E60" s="517" t="str">
        <f>IF(LEN(B60)&gt;0,CHOOSE(MATCH(RIGHT(D60,1),{"D","W","M"},0),NextBusDay($C$4,LEFT(D60,LEN(D60)-1)),NextBusDay($C$4+7*LEFT(D60,LEN(D60)-1)),NextBusDay(EDATE($C$4,LEFT(D60,LEN(D60)-1)))),"")</f>
        <v/>
      </c>
      <c r="F60" s="107"/>
      <c r="G60" s="106"/>
      <c r="H60" s="106" t="str">
        <f>BktUsdOisPL!H60</f>
        <v/>
      </c>
      <c r="I60" s="261"/>
      <c r="J60" s="106" t="str">
        <f>BktUsdOisPL!J60</f>
        <v/>
      </c>
      <c r="L60" s="522">
        <f t="shared" si="7"/>
        <v>0</v>
      </c>
      <c r="N60" s="106" t="str">
        <f t="shared" si="1"/>
        <v>-</v>
      </c>
      <c r="O60" s="106" t="str">
        <f t="shared" si="16"/>
        <v>-</v>
      </c>
      <c r="P60" s="106" t="str">
        <f t="shared" si="3"/>
        <v>-</v>
      </c>
      <c r="Q60" s="106" t="b">
        <f t="shared" si="4"/>
        <v>0</v>
      </c>
      <c r="R60" s="516" t="str">
        <f t="shared" si="26"/>
        <v>-</v>
      </c>
      <c r="S60" s="516" t="str">
        <f t="shared" si="26"/>
        <v>-</v>
      </c>
      <c r="T60" s="516" t="str">
        <f t="shared" si="26"/>
        <v>-</v>
      </c>
      <c r="U60" s="516" t="str">
        <f t="shared" si="26"/>
        <v>-</v>
      </c>
      <c r="V60" s="516" t="str">
        <f t="shared" si="26"/>
        <v>-</v>
      </c>
      <c r="W60" s="516" t="str">
        <f t="shared" si="26"/>
        <v>-</v>
      </c>
      <c r="X60" s="516" t="str">
        <f t="shared" si="26"/>
        <v>-</v>
      </c>
      <c r="Y60" s="516" t="str">
        <f t="shared" si="26"/>
        <v>-</v>
      </c>
      <c r="Z60" s="516" t="str">
        <f t="shared" si="26"/>
        <v>-</v>
      </c>
      <c r="AA60" s="516" t="str">
        <f t="shared" si="26"/>
        <v>-</v>
      </c>
      <c r="AB60" s="516" t="str">
        <f t="shared" si="26"/>
        <v>-</v>
      </c>
      <c r="AC60" s="516" t="str">
        <f t="shared" si="26"/>
        <v>-</v>
      </c>
      <c r="AD60" s="516" t="str">
        <f t="shared" si="26"/>
        <v>-</v>
      </c>
      <c r="AE60" s="516" t="str">
        <f t="shared" si="26"/>
        <v>-</v>
      </c>
      <c r="AF60" s="516" t="str">
        <f t="shared" si="26"/>
        <v>-</v>
      </c>
      <c r="AG60" s="516" t="str">
        <f t="shared" si="26"/>
        <v>-</v>
      </c>
      <c r="AH60" s="516" t="str">
        <f t="shared" si="24"/>
        <v>-</v>
      </c>
      <c r="AI60" s="516" t="str">
        <f t="shared" si="24"/>
        <v>-</v>
      </c>
      <c r="AJ60" s="516" t="str">
        <f t="shared" si="24"/>
        <v>-</v>
      </c>
      <c r="AK60" s="516" t="str">
        <f t="shared" si="24"/>
        <v>-</v>
      </c>
      <c r="AL60" s="516" t="str">
        <f t="shared" si="24"/>
        <v>-</v>
      </c>
      <c r="AM60" s="516" t="str">
        <f t="shared" si="24"/>
        <v>-</v>
      </c>
      <c r="AN60" s="516" t="str">
        <f t="shared" si="24"/>
        <v>-</v>
      </c>
      <c r="AO60" s="516" t="str">
        <f t="shared" si="24"/>
        <v>-</v>
      </c>
      <c r="AP60" s="516" t="str">
        <f t="shared" si="24"/>
        <v>-</v>
      </c>
      <c r="AQ60" s="516" t="str">
        <f t="shared" si="24"/>
        <v>-</v>
      </c>
      <c r="AR60" s="516" t="str">
        <f t="shared" si="24"/>
        <v>-</v>
      </c>
      <c r="AS60" s="516" t="str">
        <f t="shared" si="24"/>
        <v>-</v>
      </c>
      <c r="AT60" s="516" t="str">
        <f t="shared" si="24"/>
        <v>-</v>
      </c>
      <c r="AU60" s="516" t="str">
        <f t="shared" si="24"/>
        <v>-</v>
      </c>
      <c r="AV60" s="516" t="str">
        <f t="shared" si="24"/>
        <v>-</v>
      </c>
      <c r="AW60" s="516" t="str">
        <f t="shared" si="24"/>
        <v>-</v>
      </c>
      <c r="AX60" s="516" t="str">
        <f t="shared" si="24"/>
        <v>-</v>
      </c>
      <c r="AY60" s="516" t="str">
        <f t="shared" si="24"/>
        <v>-</v>
      </c>
      <c r="AZ60" s="516" t="str">
        <f t="shared" si="24"/>
        <v>-</v>
      </c>
      <c r="BA60" s="516" t="str">
        <f t="shared" si="24"/>
        <v>-</v>
      </c>
      <c r="BB60" s="516" t="str">
        <f t="shared" si="24"/>
        <v>-</v>
      </c>
      <c r="BC60" s="516" t="str">
        <f t="shared" si="23"/>
        <v>-</v>
      </c>
      <c r="BD60" s="516" t="str">
        <f t="shared" si="23"/>
        <v>-</v>
      </c>
      <c r="BE60" s="516" t="str">
        <f t="shared" si="23"/>
        <v>-</v>
      </c>
      <c r="BF60" s="516" t="str">
        <f t="shared" si="23"/>
        <v>-</v>
      </c>
      <c r="BG60" s="516" t="str">
        <f t="shared" si="23"/>
        <v>-</v>
      </c>
      <c r="BH60" s="516" t="str">
        <f t="shared" si="23"/>
        <v>-</v>
      </c>
      <c r="BI60" s="516" t="str">
        <f t="shared" si="23"/>
        <v>-</v>
      </c>
      <c r="BJ60" s="516" t="str">
        <f t="shared" si="23"/>
        <v>-</v>
      </c>
      <c r="BK60" s="516" t="str">
        <f t="shared" si="23"/>
        <v>-</v>
      </c>
      <c r="BL60" s="516" t="str">
        <f t="shared" si="23"/>
        <v>-</v>
      </c>
      <c r="BM60" s="516" t="str">
        <f t="shared" si="23"/>
        <v>-</v>
      </c>
      <c r="BN60" s="516" t="str">
        <f t="shared" si="23"/>
        <v>-</v>
      </c>
      <c r="BO60" s="516" t="str">
        <f t="shared" si="23"/>
        <v>-</v>
      </c>
      <c r="BP60" s="516" t="str">
        <f t="shared" si="23"/>
        <v>-</v>
      </c>
      <c r="BQ60" s="516" t="str">
        <f t="shared" si="23"/>
        <v>-</v>
      </c>
      <c r="BR60" s="516" t="str">
        <f t="shared" si="23"/>
        <v>-</v>
      </c>
      <c r="BS60" s="516" t="str">
        <f t="shared" si="27"/>
        <v>-</v>
      </c>
      <c r="BT60" s="516" t="str">
        <f t="shared" si="27"/>
        <v>-</v>
      </c>
      <c r="BU60" s="516" t="str">
        <f t="shared" si="27"/>
        <v>-</v>
      </c>
      <c r="BV60" s="516" t="str">
        <f t="shared" si="27"/>
        <v>-</v>
      </c>
      <c r="BW60" s="516" t="str">
        <f t="shared" si="25"/>
        <v>-</v>
      </c>
      <c r="BX60" s="516" t="str">
        <f t="shared" si="25"/>
        <v>-</v>
      </c>
      <c r="BY60" s="516" t="str">
        <f t="shared" si="25"/>
        <v>-</v>
      </c>
      <c r="BZ60" s="516" t="str">
        <f t="shared" si="25"/>
        <v>-</v>
      </c>
      <c r="CA60" s="516" t="str">
        <f t="shared" si="25"/>
        <v>-</v>
      </c>
    </row>
    <row r="61" spans="1:79">
      <c r="A61" s="105"/>
      <c r="B61" s="112"/>
      <c r="C61" s="262"/>
      <c r="D61" s="111" t="str">
        <f t="shared" si="6"/>
        <v/>
      </c>
      <c r="E61" s="517" t="str">
        <f>IF(LEN(B61)&gt;0,CHOOSE(MATCH(RIGHT(D61,1),{"D","W","M"},0),NextBusDay($C$4,LEFT(D61,LEN(D61)-1)),NextBusDay($C$4+7*LEFT(D61,LEN(D61)-1)),NextBusDay(EDATE($C$4,LEFT(D61,LEN(D61)-1)))),"")</f>
        <v/>
      </c>
      <c r="F61" s="107"/>
      <c r="G61" s="106"/>
      <c r="H61" s="106" t="str">
        <f>BktUsdOisPL!H61</f>
        <v/>
      </c>
      <c r="I61" s="261"/>
      <c r="J61" s="106" t="str">
        <f>BktUsdOisPL!J61</f>
        <v/>
      </c>
      <c r="L61" s="522">
        <f t="shared" si="7"/>
        <v>0</v>
      </c>
      <c r="N61" s="106" t="str">
        <f t="shared" si="1"/>
        <v>-</v>
      </c>
      <c r="O61" s="106" t="str">
        <f t="shared" si="16"/>
        <v>-</v>
      </c>
      <c r="P61" s="106" t="str">
        <f t="shared" si="3"/>
        <v>-</v>
      </c>
      <c r="Q61" s="106" t="b">
        <f t="shared" si="4"/>
        <v>0</v>
      </c>
      <c r="R61" s="516" t="str">
        <f t="shared" si="26"/>
        <v>-</v>
      </c>
      <c r="S61" s="516" t="str">
        <f t="shared" si="26"/>
        <v>-</v>
      </c>
      <c r="T61" s="516" t="str">
        <f t="shared" si="26"/>
        <v>-</v>
      </c>
      <c r="U61" s="516" t="str">
        <f t="shared" si="26"/>
        <v>-</v>
      </c>
      <c r="V61" s="516" t="str">
        <f t="shared" si="26"/>
        <v>-</v>
      </c>
      <c r="W61" s="516" t="str">
        <f t="shared" si="26"/>
        <v>-</v>
      </c>
      <c r="X61" s="516" t="str">
        <f t="shared" si="26"/>
        <v>-</v>
      </c>
      <c r="Y61" s="516" t="str">
        <f t="shared" si="26"/>
        <v>-</v>
      </c>
      <c r="Z61" s="516" t="str">
        <f t="shared" si="26"/>
        <v>-</v>
      </c>
      <c r="AA61" s="516" t="str">
        <f t="shared" si="26"/>
        <v>-</v>
      </c>
      <c r="AB61" s="516" t="str">
        <f t="shared" si="26"/>
        <v>-</v>
      </c>
      <c r="AC61" s="516" t="str">
        <f t="shared" si="26"/>
        <v>-</v>
      </c>
      <c r="AD61" s="516" t="str">
        <f t="shared" si="26"/>
        <v>-</v>
      </c>
      <c r="AE61" s="516" t="str">
        <f t="shared" si="26"/>
        <v>-</v>
      </c>
      <c r="AF61" s="516" t="str">
        <f t="shared" si="26"/>
        <v>-</v>
      </c>
      <c r="AG61" s="516" t="str">
        <f t="shared" si="26"/>
        <v>-</v>
      </c>
      <c r="AH61" s="516" t="str">
        <f t="shared" si="24"/>
        <v>-</v>
      </c>
      <c r="AI61" s="516" t="str">
        <f t="shared" si="24"/>
        <v>-</v>
      </c>
      <c r="AJ61" s="516" t="str">
        <f t="shared" si="24"/>
        <v>-</v>
      </c>
      <c r="AK61" s="516" t="str">
        <f t="shared" si="24"/>
        <v>-</v>
      </c>
      <c r="AL61" s="516" t="str">
        <f t="shared" si="24"/>
        <v>-</v>
      </c>
      <c r="AM61" s="516" t="str">
        <f t="shared" si="24"/>
        <v>-</v>
      </c>
      <c r="AN61" s="516" t="str">
        <f t="shared" si="24"/>
        <v>-</v>
      </c>
      <c r="AO61" s="516" t="str">
        <f t="shared" si="24"/>
        <v>-</v>
      </c>
      <c r="AP61" s="516" t="str">
        <f t="shared" si="24"/>
        <v>-</v>
      </c>
      <c r="AQ61" s="516" t="str">
        <f t="shared" si="24"/>
        <v>-</v>
      </c>
      <c r="AR61" s="516" t="str">
        <f t="shared" si="24"/>
        <v>-</v>
      </c>
      <c r="AS61" s="516" t="str">
        <f t="shared" si="24"/>
        <v>-</v>
      </c>
      <c r="AT61" s="516" t="str">
        <f t="shared" si="24"/>
        <v>-</v>
      </c>
      <c r="AU61" s="516" t="str">
        <f t="shared" si="24"/>
        <v>-</v>
      </c>
      <c r="AV61" s="516" t="str">
        <f t="shared" si="24"/>
        <v>-</v>
      </c>
      <c r="AW61" s="516" t="str">
        <f t="shared" si="24"/>
        <v>-</v>
      </c>
      <c r="AX61" s="516" t="str">
        <f t="shared" si="24"/>
        <v>-</v>
      </c>
      <c r="AY61" s="516" t="str">
        <f t="shared" si="24"/>
        <v>-</v>
      </c>
      <c r="AZ61" s="516" t="str">
        <f t="shared" si="24"/>
        <v>-</v>
      </c>
      <c r="BA61" s="516" t="str">
        <f t="shared" si="24"/>
        <v>-</v>
      </c>
      <c r="BB61" s="516" t="str">
        <f t="shared" si="24"/>
        <v>-</v>
      </c>
      <c r="BC61" s="516" t="str">
        <f t="shared" si="23"/>
        <v>-</v>
      </c>
      <c r="BD61" s="516" t="str">
        <f t="shared" si="23"/>
        <v>-</v>
      </c>
      <c r="BE61" s="516" t="str">
        <f t="shared" si="23"/>
        <v>-</v>
      </c>
      <c r="BF61" s="516" t="str">
        <f t="shared" si="23"/>
        <v>-</v>
      </c>
      <c r="BG61" s="516" t="str">
        <f t="shared" si="23"/>
        <v>-</v>
      </c>
      <c r="BH61" s="516" t="str">
        <f t="shared" si="23"/>
        <v>-</v>
      </c>
      <c r="BI61" s="516" t="str">
        <f t="shared" si="23"/>
        <v>-</v>
      </c>
      <c r="BJ61" s="516" t="str">
        <f t="shared" si="23"/>
        <v>-</v>
      </c>
      <c r="BK61" s="516" t="str">
        <f t="shared" si="23"/>
        <v>-</v>
      </c>
      <c r="BL61" s="516" t="str">
        <f t="shared" si="23"/>
        <v>-</v>
      </c>
      <c r="BM61" s="516" t="str">
        <f t="shared" si="23"/>
        <v>-</v>
      </c>
      <c r="BN61" s="516" t="str">
        <f t="shared" si="23"/>
        <v>-</v>
      </c>
      <c r="BO61" s="516" t="str">
        <f t="shared" si="23"/>
        <v>-</v>
      </c>
      <c r="BP61" s="516" t="str">
        <f t="shared" si="23"/>
        <v>-</v>
      </c>
      <c r="BQ61" s="516" t="str">
        <f t="shared" si="23"/>
        <v>-</v>
      </c>
      <c r="BR61" s="516" t="str">
        <f t="shared" si="23"/>
        <v>-</v>
      </c>
      <c r="BS61" s="516" t="str">
        <f t="shared" si="27"/>
        <v>-</v>
      </c>
      <c r="BT61" s="516" t="str">
        <f t="shared" si="27"/>
        <v>-</v>
      </c>
      <c r="BU61" s="516" t="str">
        <f t="shared" si="27"/>
        <v>-</v>
      </c>
      <c r="BV61" s="516" t="str">
        <f t="shared" si="27"/>
        <v>-</v>
      </c>
      <c r="BW61" s="516" t="str">
        <f t="shared" si="25"/>
        <v>-</v>
      </c>
      <c r="BX61" s="516" t="str">
        <f t="shared" si="25"/>
        <v>-</v>
      </c>
      <c r="BY61" s="516" t="str">
        <f t="shared" si="25"/>
        <v>-</v>
      </c>
      <c r="BZ61" s="516" t="str">
        <f t="shared" si="25"/>
        <v>-</v>
      </c>
      <c r="CA61" s="516" t="str">
        <f t="shared" si="25"/>
        <v>-</v>
      </c>
    </row>
    <row r="62" spans="1:79">
      <c r="A62" s="105"/>
      <c r="B62" s="112"/>
      <c r="C62" s="262"/>
      <c r="D62" s="111" t="str">
        <f t="shared" si="6"/>
        <v/>
      </c>
      <c r="E62" s="517" t="str">
        <f>IF(LEN(B62)&gt;0,CHOOSE(MATCH(RIGHT(D62,1),{"D","W","M"},0),NextBusDay($C$4,LEFT(D62,LEN(D62)-1)),NextBusDay($C$4+7*LEFT(D62,LEN(D62)-1)),NextBusDay(EDATE($C$4,LEFT(D62,LEN(D62)-1)))),"")</f>
        <v/>
      </c>
      <c r="F62" s="107"/>
      <c r="G62" s="106"/>
      <c r="H62" s="106" t="str">
        <f>BktUsdOisPL!H62</f>
        <v/>
      </c>
      <c r="I62" s="261"/>
      <c r="J62" s="106" t="str">
        <f>BktUsdOisPL!J62</f>
        <v/>
      </c>
      <c r="L62" s="522">
        <f t="shared" si="7"/>
        <v>0</v>
      </c>
      <c r="N62" s="106" t="str">
        <f t="shared" si="1"/>
        <v>-</v>
      </c>
      <c r="O62" s="106" t="str">
        <f t="shared" si="16"/>
        <v>-</v>
      </c>
      <c r="P62" s="106" t="str">
        <f t="shared" si="3"/>
        <v>-</v>
      </c>
      <c r="Q62" s="106" t="b">
        <f t="shared" si="4"/>
        <v>0</v>
      </c>
      <c r="R62" s="516" t="str">
        <f t="shared" si="26"/>
        <v>-</v>
      </c>
      <c r="S62" s="516" t="str">
        <f t="shared" si="26"/>
        <v>-</v>
      </c>
      <c r="T62" s="516" t="str">
        <f t="shared" si="26"/>
        <v>-</v>
      </c>
      <c r="U62" s="516" t="str">
        <f t="shared" si="26"/>
        <v>-</v>
      </c>
      <c r="V62" s="516" t="str">
        <f t="shared" si="26"/>
        <v>-</v>
      </c>
      <c r="W62" s="516" t="str">
        <f t="shared" si="26"/>
        <v>-</v>
      </c>
      <c r="X62" s="516" t="str">
        <f t="shared" si="26"/>
        <v>-</v>
      </c>
      <c r="Y62" s="516" t="str">
        <f t="shared" si="26"/>
        <v>-</v>
      </c>
      <c r="Z62" s="516" t="str">
        <f t="shared" si="26"/>
        <v>-</v>
      </c>
      <c r="AA62" s="516" t="str">
        <f t="shared" si="26"/>
        <v>-</v>
      </c>
      <c r="AB62" s="516" t="str">
        <f t="shared" si="26"/>
        <v>-</v>
      </c>
      <c r="AC62" s="516" t="str">
        <f t="shared" si="26"/>
        <v>-</v>
      </c>
      <c r="AD62" s="516" t="str">
        <f t="shared" si="26"/>
        <v>-</v>
      </c>
      <c r="AE62" s="516" t="str">
        <f t="shared" si="26"/>
        <v>-</v>
      </c>
      <c r="AF62" s="516" t="str">
        <f t="shared" si="26"/>
        <v>-</v>
      </c>
      <c r="AG62" s="516" t="str">
        <f t="shared" si="26"/>
        <v>-</v>
      </c>
      <c r="AH62" s="516" t="str">
        <f t="shared" si="24"/>
        <v>-</v>
      </c>
      <c r="AI62" s="516" t="str">
        <f t="shared" si="24"/>
        <v>-</v>
      </c>
      <c r="AJ62" s="516" t="str">
        <f t="shared" si="24"/>
        <v>-</v>
      </c>
      <c r="AK62" s="516" t="str">
        <f t="shared" si="24"/>
        <v>-</v>
      </c>
      <c r="AL62" s="516" t="str">
        <f t="shared" si="24"/>
        <v>-</v>
      </c>
      <c r="AM62" s="516" t="str">
        <f t="shared" si="24"/>
        <v>-</v>
      </c>
      <c r="AN62" s="516" t="str">
        <f t="shared" si="24"/>
        <v>-</v>
      </c>
      <c r="AO62" s="516" t="str">
        <f t="shared" si="24"/>
        <v>-</v>
      </c>
      <c r="AP62" s="516" t="str">
        <f t="shared" si="24"/>
        <v>-</v>
      </c>
      <c r="AQ62" s="516" t="str">
        <f t="shared" si="24"/>
        <v>-</v>
      </c>
      <c r="AR62" s="516" t="str">
        <f t="shared" si="24"/>
        <v>-</v>
      </c>
      <c r="AS62" s="516" t="str">
        <f t="shared" si="24"/>
        <v>-</v>
      </c>
      <c r="AT62" s="516" t="str">
        <f t="shared" si="24"/>
        <v>-</v>
      </c>
      <c r="AU62" s="516" t="str">
        <f t="shared" si="24"/>
        <v>-</v>
      </c>
      <c r="AV62" s="516" t="str">
        <f t="shared" si="24"/>
        <v>-</v>
      </c>
      <c r="AW62" s="516" t="str">
        <f t="shared" si="24"/>
        <v>-</v>
      </c>
      <c r="AX62" s="516" t="str">
        <f t="shared" si="24"/>
        <v>-</v>
      </c>
      <c r="AY62" s="516" t="str">
        <f t="shared" si="24"/>
        <v>-</v>
      </c>
      <c r="AZ62" s="516" t="str">
        <f t="shared" si="24"/>
        <v>-</v>
      </c>
      <c r="BA62" s="516" t="str">
        <f t="shared" si="24"/>
        <v>-</v>
      </c>
      <c r="BB62" s="516" t="str">
        <f t="shared" si="24"/>
        <v>-</v>
      </c>
      <c r="BC62" s="516" t="str">
        <f t="shared" si="23"/>
        <v>-</v>
      </c>
      <c r="BD62" s="516" t="str">
        <f t="shared" si="23"/>
        <v>-</v>
      </c>
      <c r="BE62" s="516" t="str">
        <f t="shared" si="23"/>
        <v>-</v>
      </c>
      <c r="BF62" s="516" t="str">
        <f t="shared" si="23"/>
        <v>-</v>
      </c>
      <c r="BG62" s="516" t="str">
        <f t="shared" si="23"/>
        <v>-</v>
      </c>
      <c r="BH62" s="516" t="str">
        <f t="shared" si="23"/>
        <v>-</v>
      </c>
      <c r="BI62" s="516" t="str">
        <f t="shared" si="23"/>
        <v>-</v>
      </c>
      <c r="BJ62" s="516" t="str">
        <f t="shared" si="23"/>
        <v>-</v>
      </c>
      <c r="BK62" s="516" t="str">
        <f t="shared" si="23"/>
        <v>-</v>
      </c>
      <c r="BL62" s="516" t="str">
        <f t="shared" si="23"/>
        <v>-</v>
      </c>
      <c r="BM62" s="516" t="str">
        <f t="shared" si="23"/>
        <v>-</v>
      </c>
      <c r="BN62" s="516" t="str">
        <f t="shared" si="23"/>
        <v>-</v>
      </c>
      <c r="BO62" s="516" t="str">
        <f t="shared" si="23"/>
        <v>-</v>
      </c>
      <c r="BP62" s="516" t="str">
        <f t="shared" si="23"/>
        <v>-</v>
      </c>
      <c r="BQ62" s="516" t="str">
        <f t="shared" si="23"/>
        <v>-</v>
      </c>
      <c r="BR62" s="516" t="str">
        <f t="shared" si="23"/>
        <v>-</v>
      </c>
      <c r="BS62" s="516" t="str">
        <f t="shared" si="27"/>
        <v>-</v>
      </c>
      <c r="BT62" s="516" t="str">
        <f t="shared" si="27"/>
        <v>-</v>
      </c>
      <c r="BU62" s="516" t="str">
        <f t="shared" si="27"/>
        <v>-</v>
      </c>
      <c r="BV62" s="516" t="str">
        <f t="shared" si="27"/>
        <v>-</v>
      </c>
      <c r="BW62" s="516" t="str">
        <f t="shared" si="25"/>
        <v>-</v>
      </c>
      <c r="BX62" s="516" t="str">
        <f t="shared" si="25"/>
        <v>-</v>
      </c>
      <c r="BY62" s="516" t="str">
        <f t="shared" si="25"/>
        <v>-</v>
      </c>
      <c r="BZ62" s="516" t="str">
        <f t="shared" si="25"/>
        <v>-</v>
      </c>
      <c r="CA62" s="516" t="str">
        <f t="shared" si="25"/>
        <v>-</v>
      </c>
    </row>
    <row r="63" spans="1:79">
      <c r="A63" s="105"/>
      <c r="B63" s="112"/>
      <c r="C63" s="262"/>
      <c r="D63" s="111" t="str">
        <f t="shared" si="6"/>
        <v/>
      </c>
      <c r="E63" s="517" t="str">
        <f>IF(LEN(B63)&gt;0,CHOOSE(MATCH(RIGHT(D63,1),{"D","W","M"},0),NextBusDay($C$4,LEFT(D63,LEN(D63)-1)),NextBusDay($C$4+7*LEFT(D63,LEN(D63)-1)),NextBusDay(EDATE($C$4,LEFT(D63,LEN(D63)-1)))),"")</f>
        <v/>
      </c>
      <c r="F63" s="107"/>
      <c r="G63" s="106"/>
      <c r="H63" s="106" t="str">
        <f>BktUsdOisPL!H63</f>
        <v/>
      </c>
      <c r="I63" s="261"/>
      <c r="J63" s="106" t="str">
        <f>BktUsdOisPL!J63</f>
        <v/>
      </c>
      <c r="L63" s="522">
        <f t="shared" si="7"/>
        <v>0</v>
      </c>
      <c r="N63" s="106" t="str">
        <f t="shared" si="1"/>
        <v>-</v>
      </c>
      <c r="O63" s="106" t="str">
        <f t="shared" si="16"/>
        <v>-</v>
      </c>
      <c r="P63" s="106" t="str">
        <f t="shared" si="3"/>
        <v>-</v>
      </c>
      <c r="Q63" s="106" t="b">
        <f t="shared" si="4"/>
        <v>0</v>
      </c>
      <c r="R63" s="516" t="str">
        <f t="shared" si="26"/>
        <v>-</v>
      </c>
      <c r="S63" s="516" t="str">
        <f t="shared" si="26"/>
        <v>-</v>
      </c>
      <c r="T63" s="516" t="str">
        <f t="shared" si="26"/>
        <v>-</v>
      </c>
      <c r="U63" s="516" t="str">
        <f t="shared" si="26"/>
        <v>-</v>
      </c>
      <c r="V63" s="516" t="str">
        <f t="shared" si="26"/>
        <v>-</v>
      </c>
      <c r="W63" s="516" t="str">
        <f t="shared" si="26"/>
        <v>-</v>
      </c>
      <c r="X63" s="516" t="str">
        <f t="shared" si="26"/>
        <v>-</v>
      </c>
      <c r="Y63" s="516" t="str">
        <f t="shared" si="26"/>
        <v>-</v>
      </c>
      <c r="Z63" s="516" t="str">
        <f t="shared" si="26"/>
        <v>-</v>
      </c>
      <c r="AA63" s="516" t="str">
        <f t="shared" si="26"/>
        <v>-</v>
      </c>
      <c r="AB63" s="516" t="str">
        <f t="shared" si="26"/>
        <v>-</v>
      </c>
      <c r="AC63" s="516" t="str">
        <f t="shared" si="26"/>
        <v>-</v>
      </c>
      <c r="AD63" s="516" t="str">
        <f t="shared" si="26"/>
        <v>-</v>
      </c>
      <c r="AE63" s="516" t="str">
        <f t="shared" si="26"/>
        <v>-</v>
      </c>
      <c r="AF63" s="516" t="str">
        <f t="shared" si="26"/>
        <v>-</v>
      </c>
      <c r="AG63" s="516" t="str">
        <f t="shared" si="26"/>
        <v>-</v>
      </c>
      <c r="AH63" s="516" t="str">
        <f t="shared" si="24"/>
        <v>-</v>
      </c>
      <c r="AI63" s="516" t="str">
        <f t="shared" si="24"/>
        <v>-</v>
      </c>
      <c r="AJ63" s="516" t="str">
        <f t="shared" si="24"/>
        <v>-</v>
      </c>
      <c r="AK63" s="516" t="str">
        <f t="shared" ref="AK63:BB70" si="28">IF(LEN($F63)&gt;0,IF(AND(AK$8=$J63,NOT(AND(AK$8&gt;=$N63,AK$8&lt;$P63))),AK$6,IF(AND(NOT(AK$8&gt;$J62),AK$8&lt;$J63),"-",IF(AND(AK$8&gt;=$N63,AK$8&lt;$P63),"???",IF(AND(AK$8&gt;$J62,AK$8&lt;$J63),AK$6*(AK$8-$J62)/($J63-$J62),IF(AND(AK$8&gt;$J63,AK$8&lt;$J64),AK$6*($J64-AK$8)/($J64-$J63),"-"))))),"-")</f>
        <v>-</v>
      </c>
      <c r="AL63" s="516" t="str">
        <f t="shared" si="28"/>
        <v>-</v>
      </c>
      <c r="AM63" s="516" t="str">
        <f t="shared" si="28"/>
        <v>-</v>
      </c>
      <c r="AN63" s="516" t="str">
        <f t="shared" si="28"/>
        <v>-</v>
      </c>
      <c r="AO63" s="516" t="str">
        <f t="shared" si="28"/>
        <v>-</v>
      </c>
      <c r="AP63" s="516" t="str">
        <f t="shared" si="28"/>
        <v>-</v>
      </c>
      <c r="AQ63" s="516" t="str">
        <f t="shared" si="28"/>
        <v>-</v>
      </c>
      <c r="AR63" s="516" t="str">
        <f t="shared" si="28"/>
        <v>-</v>
      </c>
      <c r="AS63" s="516" t="str">
        <f t="shared" si="28"/>
        <v>-</v>
      </c>
      <c r="AT63" s="516" t="str">
        <f t="shared" si="28"/>
        <v>-</v>
      </c>
      <c r="AU63" s="516" t="str">
        <f t="shared" si="28"/>
        <v>-</v>
      </c>
      <c r="AV63" s="516" t="str">
        <f t="shared" si="28"/>
        <v>-</v>
      </c>
      <c r="AW63" s="516" t="str">
        <f t="shared" si="28"/>
        <v>-</v>
      </c>
      <c r="AX63" s="516" t="str">
        <f t="shared" si="28"/>
        <v>-</v>
      </c>
      <c r="AY63" s="516" t="str">
        <f t="shared" si="28"/>
        <v>-</v>
      </c>
      <c r="AZ63" s="516" t="str">
        <f t="shared" si="28"/>
        <v>-</v>
      </c>
      <c r="BA63" s="516" t="str">
        <f t="shared" si="28"/>
        <v>-</v>
      </c>
      <c r="BB63" s="516" t="str">
        <f t="shared" si="28"/>
        <v>-</v>
      </c>
      <c r="BC63" s="516" t="str">
        <f t="shared" si="23"/>
        <v>-</v>
      </c>
      <c r="BD63" s="516" t="str">
        <f t="shared" si="23"/>
        <v>-</v>
      </c>
      <c r="BE63" s="516" t="str">
        <f t="shared" si="23"/>
        <v>-</v>
      </c>
      <c r="BF63" s="516" t="str">
        <f t="shared" si="23"/>
        <v>-</v>
      </c>
      <c r="BG63" s="516" t="str">
        <f t="shared" si="23"/>
        <v>-</v>
      </c>
      <c r="BH63" s="516" t="str">
        <f t="shared" si="23"/>
        <v>-</v>
      </c>
      <c r="BI63" s="516" t="str">
        <f t="shared" si="23"/>
        <v>-</v>
      </c>
      <c r="BJ63" s="516" t="str">
        <f t="shared" si="23"/>
        <v>-</v>
      </c>
      <c r="BK63" s="516" t="str">
        <f t="shared" si="23"/>
        <v>-</v>
      </c>
      <c r="BL63" s="516" t="str">
        <f t="shared" si="23"/>
        <v>-</v>
      </c>
      <c r="BM63" s="516" t="str">
        <f t="shared" si="23"/>
        <v>-</v>
      </c>
      <c r="BN63" s="516" t="str">
        <f t="shared" si="23"/>
        <v>-</v>
      </c>
      <c r="BO63" s="516" t="str">
        <f t="shared" si="23"/>
        <v>-</v>
      </c>
      <c r="BP63" s="516" t="str">
        <f t="shared" si="23"/>
        <v>-</v>
      </c>
      <c r="BQ63" s="516" t="str">
        <f t="shared" si="23"/>
        <v>-</v>
      </c>
      <c r="BR63" s="516" t="str">
        <f t="shared" si="23"/>
        <v>-</v>
      </c>
      <c r="BS63" s="516" t="str">
        <f t="shared" si="27"/>
        <v>-</v>
      </c>
      <c r="BT63" s="516" t="str">
        <f t="shared" si="27"/>
        <v>-</v>
      </c>
      <c r="BU63" s="516" t="str">
        <f t="shared" si="27"/>
        <v>-</v>
      </c>
      <c r="BV63" s="516" t="str">
        <f t="shared" si="27"/>
        <v>-</v>
      </c>
      <c r="BW63" s="516" t="str">
        <f t="shared" si="25"/>
        <v>-</v>
      </c>
      <c r="BX63" s="516" t="str">
        <f t="shared" si="25"/>
        <v>-</v>
      </c>
      <c r="BY63" s="516" t="str">
        <f t="shared" si="25"/>
        <v>-</v>
      </c>
      <c r="BZ63" s="516" t="str">
        <f t="shared" si="25"/>
        <v>-</v>
      </c>
      <c r="CA63" s="516" t="str">
        <f t="shared" si="25"/>
        <v>-</v>
      </c>
    </row>
    <row r="64" spans="1:79">
      <c r="A64" s="105"/>
      <c r="B64" s="112"/>
      <c r="C64" s="262"/>
      <c r="D64" s="111" t="str">
        <f t="shared" si="6"/>
        <v/>
      </c>
      <c r="E64" s="517" t="str">
        <f>IF(LEN(B64)&gt;0,CHOOSE(MATCH(RIGHT(D64,1),{"D","W","M"},0),NextBusDay($C$4,LEFT(D64,LEN(D64)-1)),NextBusDay($C$4+7*LEFT(D64,LEN(D64)-1)),NextBusDay(EDATE($C$4,LEFT(D64,LEN(D64)-1)))),"")</f>
        <v/>
      </c>
      <c r="F64" s="107"/>
      <c r="G64" s="106"/>
      <c r="H64" s="106" t="str">
        <f>BktUsdOisPL!H64</f>
        <v/>
      </c>
      <c r="I64" s="261"/>
      <c r="J64" s="106" t="str">
        <f>BktUsdOisPL!J64</f>
        <v/>
      </c>
      <c r="L64" s="522">
        <f t="shared" si="7"/>
        <v>0</v>
      </c>
      <c r="N64" s="106" t="str">
        <f t="shared" si="1"/>
        <v>-</v>
      </c>
      <c r="O64" s="106" t="str">
        <f t="shared" si="16"/>
        <v>-</v>
      </c>
      <c r="P64" s="106" t="str">
        <f t="shared" si="3"/>
        <v>-</v>
      </c>
      <c r="Q64" s="106" t="b">
        <f t="shared" si="4"/>
        <v>0</v>
      </c>
      <c r="R64" s="516" t="str">
        <f t="shared" si="26"/>
        <v>-</v>
      </c>
      <c r="S64" s="516" t="str">
        <f t="shared" si="26"/>
        <v>-</v>
      </c>
      <c r="T64" s="516" t="str">
        <f t="shared" si="26"/>
        <v>-</v>
      </c>
      <c r="U64" s="516" t="str">
        <f t="shared" si="26"/>
        <v>-</v>
      </c>
      <c r="V64" s="516" t="str">
        <f t="shared" si="26"/>
        <v>-</v>
      </c>
      <c r="W64" s="516" t="str">
        <f t="shared" si="26"/>
        <v>-</v>
      </c>
      <c r="X64" s="516" t="str">
        <f t="shared" si="26"/>
        <v>-</v>
      </c>
      <c r="Y64" s="516" t="str">
        <f t="shared" si="26"/>
        <v>-</v>
      </c>
      <c r="Z64" s="516" t="str">
        <f t="shared" si="26"/>
        <v>-</v>
      </c>
      <c r="AA64" s="516" t="str">
        <f t="shared" si="26"/>
        <v>-</v>
      </c>
      <c r="AB64" s="516" t="str">
        <f t="shared" si="26"/>
        <v>-</v>
      </c>
      <c r="AC64" s="516" t="str">
        <f t="shared" si="26"/>
        <v>-</v>
      </c>
      <c r="AD64" s="516" t="str">
        <f t="shared" si="26"/>
        <v>-</v>
      </c>
      <c r="AE64" s="516" t="str">
        <f t="shared" si="26"/>
        <v>-</v>
      </c>
      <c r="AF64" s="516" t="str">
        <f t="shared" si="26"/>
        <v>-</v>
      </c>
      <c r="AG64" s="516" t="str">
        <f t="shared" si="26"/>
        <v>-</v>
      </c>
      <c r="AH64" s="516" t="str">
        <f t="shared" ref="AH64:AJ70" si="29">IF(LEN($F64)&gt;0,IF(AND(AH$8=$J64,NOT(AND(AH$8&gt;=$N64,AH$8&lt;$P64))),AH$6,IF(AND(NOT(AH$8&gt;$J63),AH$8&lt;$J64),"-",IF(AND(AH$8&gt;=$N64,AH$8&lt;$P64),"???",IF(AND(AH$8&gt;$J63,AH$8&lt;$J64),AH$6*(AH$8-$J63)/($J64-$J63),IF(AND(AH$8&gt;$J64,AH$8&lt;$J65),AH$6*($J65-AH$8)/($J65-$J64),"-"))))),"-")</f>
        <v>-</v>
      </c>
      <c r="AI64" s="516" t="str">
        <f t="shared" si="29"/>
        <v>-</v>
      </c>
      <c r="AJ64" s="516" t="str">
        <f t="shared" si="29"/>
        <v>-</v>
      </c>
      <c r="AK64" s="516" t="str">
        <f t="shared" si="28"/>
        <v>-</v>
      </c>
      <c r="AL64" s="516" t="str">
        <f t="shared" si="28"/>
        <v>-</v>
      </c>
      <c r="AM64" s="516" t="str">
        <f t="shared" si="28"/>
        <v>-</v>
      </c>
      <c r="AN64" s="516" t="str">
        <f t="shared" si="28"/>
        <v>-</v>
      </c>
      <c r="AO64" s="516" t="str">
        <f t="shared" si="28"/>
        <v>-</v>
      </c>
      <c r="AP64" s="516" t="str">
        <f t="shared" si="28"/>
        <v>-</v>
      </c>
      <c r="AQ64" s="516" t="str">
        <f t="shared" si="28"/>
        <v>-</v>
      </c>
      <c r="AR64" s="516" t="str">
        <f t="shared" si="28"/>
        <v>-</v>
      </c>
      <c r="AS64" s="516" t="str">
        <f t="shared" si="28"/>
        <v>-</v>
      </c>
      <c r="AT64" s="516" t="str">
        <f t="shared" si="28"/>
        <v>-</v>
      </c>
      <c r="AU64" s="516" t="str">
        <f t="shared" si="28"/>
        <v>-</v>
      </c>
      <c r="AV64" s="516" t="str">
        <f t="shared" si="28"/>
        <v>-</v>
      </c>
      <c r="AW64" s="516" t="str">
        <f t="shared" si="28"/>
        <v>-</v>
      </c>
      <c r="AX64" s="516" t="str">
        <f t="shared" si="28"/>
        <v>-</v>
      </c>
      <c r="AY64" s="516" t="str">
        <f t="shared" si="28"/>
        <v>-</v>
      </c>
      <c r="AZ64" s="516" t="str">
        <f t="shared" si="28"/>
        <v>-</v>
      </c>
      <c r="BA64" s="516" t="str">
        <f t="shared" si="28"/>
        <v>-</v>
      </c>
      <c r="BB64" s="516" t="str">
        <f t="shared" si="28"/>
        <v>-</v>
      </c>
      <c r="BC64" s="516" t="str">
        <f t="shared" si="23"/>
        <v>-</v>
      </c>
      <c r="BD64" s="516" t="str">
        <f t="shared" si="23"/>
        <v>-</v>
      </c>
      <c r="BE64" s="516" t="str">
        <f t="shared" si="23"/>
        <v>-</v>
      </c>
      <c r="BF64" s="516" t="str">
        <f t="shared" si="23"/>
        <v>-</v>
      </c>
      <c r="BG64" s="516" t="str">
        <f t="shared" si="23"/>
        <v>-</v>
      </c>
      <c r="BH64" s="516" t="str">
        <f t="shared" si="23"/>
        <v>-</v>
      </c>
      <c r="BI64" s="516" t="str">
        <f t="shared" si="23"/>
        <v>-</v>
      </c>
      <c r="BJ64" s="516" t="str">
        <f t="shared" si="23"/>
        <v>-</v>
      </c>
      <c r="BK64" s="516" t="str">
        <f t="shared" si="23"/>
        <v>-</v>
      </c>
      <c r="BL64" s="516" t="str">
        <f t="shared" si="23"/>
        <v>-</v>
      </c>
      <c r="BM64" s="516" t="str">
        <f t="shared" si="23"/>
        <v>-</v>
      </c>
      <c r="BN64" s="516" t="str">
        <f t="shared" si="23"/>
        <v>-</v>
      </c>
      <c r="BO64" s="516" t="str">
        <f t="shared" si="23"/>
        <v>-</v>
      </c>
      <c r="BP64" s="516" t="str">
        <f t="shared" si="23"/>
        <v>-</v>
      </c>
      <c r="BQ64" s="516" t="str">
        <f t="shared" si="23"/>
        <v>-</v>
      </c>
      <c r="BR64" s="516" t="str">
        <f t="shared" si="23"/>
        <v>-</v>
      </c>
      <c r="BS64" s="516" t="str">
        <f t="shared" si="27"/>
        <v>-</v>
      </c>
      <c r="BT64" s="516" t="str">
        <f t="shared" si="27"/>
        <v>-</v>
      </c>
      <c r="BU64" s="516" t="str">
        <f t="shared" si="27"/>
        <v>-</v>
      </c>
      <c r="BV64" s="516" t="str">
        <f t="shared" si="27"/>
        <v>-</v>
      </c>
      <c r="BW64" s="516" t="str">
        <f t="shared" si="25"/>
        <v>-</v>
      </c>
      <c r="BX64" s="516" t="str">
        <f t="shared" si="25"/>
        <v>-</v>
      </c>
      <c r="BY64" s="516" t="str">
        <f t="shared" si="25"/>
        <v>-</v>
      </c>
      <c r="BZ64" s="516" t="str">
        <f t="shared" si="25"/>
        <v>-</v>
      </c>
      <c r="CA64" s="516" t="str">
        <f t="shared" si="25"/>
        <v>-</v>
      </c>
    </row>
    <row r="65" spans="1:79">
      <c r="A65" s="105"/>
      <c r="B65" s="112"/>
      <c r="C65" s="262"/>
      <c r="D65" s="111" t="str">
        <f t="shared" si="6"/>
        <v/>
      </c>
      <c r="E65" s="517" t="str">
        <f>IF(LEN(B65)&gt;0,CHOOSE(MATCH(RIGHT(D65,1),{"D","W","M"},0),NextBusDay($C$4,LEFT(D65,LEN(D65)-1)),NextBusDay($C$4+7*LEFT(D65,LEN(D65)-1)),NextBusDay(EDATE($C$4,LEFT(D65,LEN(D65)-1)))),"")</f>
        <v/>
      </c>
      <c r="F65" s="107"/>
      <c r="G65" s="106"/>
      <c r="H65" s="106" t="str">
        <f>BktUsdOisPL!H65</f>
        <v/>
      </c>
      <c r="I65" s="261"/>
      <c r="J65" s="106" t="str">
        <f>BktUsdOisPL!J65</f>
        <v/>
      </c>
      <c r="L65" s="522">
        <f t="shared" si="7"/>
        <v>0</v>
      </c>
      <c r="N65" s="106" t="str">
        <f t="shared" si="1"/>
        <v>-</v>
      </c>
      <c r="O65" s="106" t="str">
        <f t="shared" si="16"/>
        <v>-</v>
      </c>
      <c r="P65" s="106" t="str">
        <f t="shared" si="3"/>
        <v>-</v>
      </c>
      <c r="Q65" s="106" t="b">
        <f t="shared" si="4"/>
        <v>0</v>
      </c>
      <c r="R65" s="516" t="str">
        <f t="shared" si="26"/>
        <v>-</v>
      </c>
      <c r="S65" s="516" t="str">
        <f t="shared" si="26"/>
        <v>-</v>
      </c>
      <c r="T65" s="516" t="str">
        <f t="shared" si="26"/>
        <v>-</v>
      </c>
      <c r="U65" s="516" t="str">
        <f t="shared" si="26"/>
        <v>-</v>
      </c>
      <c r="V65" s="516" t="str">
        <f t="shared" si="26"/>
        <v>-</v>
      </c>
      <c r="W65" s="516" t="str">
        <f t="shared" si="26"/>
        <v>-</v>
      </c>
      <c r="X65" s="516" t="str">
        <f t="shared" si="26"/>
        <v>-</v>
      </c>
      <c r="Y65" s="516" t="str">
        <f t="shared" si="26"/>
        <v>-</v>
      </c>
      <c r="Z65" s="516" t="str">
        <f t="shared" si="26"/>
        <v>-</v>
      </c>
      <c r="AA65" s="516" t="str">
        <f t="shared" si="26"/>
        <v>-</v>
      </c>
      <c r="AB65" s="516" t="str">
        <f t="shared" si="26"/>
        <v>-</v>
      </c>
      <c r="AC65" s="516" t="str">
        <f t="shared" si="26"/>
        <v>-</v>
      </c>
      <c r="AD65" s="516" t="str">
        <f t="shared" si="26"/>
        <v>-</v>
      </c>
      <c r="AE65" s="516" t="str">
        <f t="shared" si="26"/>
        <v>-</v>
      </c>
      <c r="AF65" s="516" t="str">
        <f t="shared" si="26"/>
        <v>-</v>
      </c>
      <c r="AG65" s="516" t="str">
        <f t="shared" si="26"/>
        <v>-</v>
      </c>
      <c r="AH65" s="516" t="str">
        <f t="shared" si="29"/>
        <v>-</v>
      </c>
      <c r="AI65" s="516" t="str">
        <f t="shared" si="29"/>
        <v>-</v>
      </c>
      <c r="AJ65" s="516" t="str">
        <f t="shared" si="29"/>
        <v>-</v>
      </c>
      <c r="AK65" s="516" t="str">
        <f t="shared" si="28"/>
        <v>-</v>
      </c>
      <c r="AL65" s="516" t="str">
        <f t="shared" si="28"/>
        <v>-</v>
      </c>
      <c r="AM65" s="516" t="str">
        <f t="shared" si="28"/>
        <v>-</v>
      </c>
      <c r="AN65" s="516" t="str">
        <f t="shared" si="28"/>
        <v>-</v>
      </c>
      <c r="AO65" s="516" t="str">
        <f t="shared" si="28"/>
        <v>-</v>
      </c>
      <c r="AP65" s="516" t="str">
        <f t="shared" si="28"/>
        <v>-</v>
      </c>
      <c r="AQ65" s="516" t="str">
        <f t="shared" si="28"/>
        <v>-</v>
      </c>
      <c r="AR65" s="516" t="str">
        <f t="shared" si="28"/>
        <v>-</v>
      </c>
      <c r="AS65" s="516" t="str">
        <f t="shared" si="28"/>
        <v>-</v>
      </c>
      <c r="AT65" s="516" t="str">
        <f t="shared" si="28"/>
        <v>-</v>
      </c>
      <c r="AU65" s="516" t="str">
        <f t="shared" si="28"/>
        <v>-</v>
      </c>
      <c r="AV65" s="516" t="str">
        <f t="shared" si="28"/>
        <v>-</v>
      </c>
      <c r="AW65" s="516" t="str">
        <f t="shared" si="28"/>
        <v>-</v>
      </c>
      <c r="AX65" s="516" t="str">
        <f t="shared" si="28"/>
        <v>-</v>
      </c>
      <c r="AY65" s="516" t="str">
        <f t="shared" si="28"/>
        <v>-</v>
      </c>
      <c r="AZ65" s="516" t="str">
        <f t="shared" si="28"/>
        <v>-</v>
      </c>
      <c r="BA65" s="516" t="str">
        <f t="shared" si="28"/>
        <v>-</v>
      </c>
      <c r="BB65" s="516" t="str">
        <f t="shared" si="28"/>
        <v>-</v>
      </c>
      <c r="BC65" s="516" t="str">
        <f t="shared" si="23"/>
        <v>-</v>
      </c>
      <c r="BD65" s="516" t="str">
        <f t="shared" si="23"/>
        <v>-</v>
      </c>
      <c r="BE65" s="516" t="str">
        <f t="shared" si="23"/>
        <v>-</v>
      </c>
      <c r="BF65" s="516" t="str">
        <f t="shared" si="23"/>
        <v>-</v>
      </c>
      <c r="BG65" s="516" t="str">
        <f t="shared" si="23"/>
        <v>-</v>
      </c>
      <c r="BH65" s="516" t="str">
        <f t="shared" si="23"/>
        <v>-</v>
      </c>
      <c r="BI65" s="516" t="str">
        <f t="shared" si="23"/>
        <v>-</v>
      </c>
      <c r="BJ65" s="516" t="str">
        <f t="shared" si="23"/>
        <v>-</v>
      </c>
      <c r="BK65" s="516" t="str">
        <f t="shared" si="23"/>
        <v>-</v>
      </c>
      <c r="BL65" s="516" t="str">
        <f t="shared" si="23"/>
        <v>-</v>
      </c>
      <c r="BM65" s="516" t="str">
        <f t="shared" si="23"/>
        <v>-</v>
      </c>
      <c r="BN65" s="516" t="str">
        <f t="shared" si="23"/>
        <v>-</v>
      </c>
      <c r="BO65" s="516" t="str">
        <f t="shared" si="23"/>
        <v>-</v>
      </c>
      <c r="BP65" s="516" t="str">
        <f t="shared" si="23"/>
        <v>-</v>
      </c>
      <c r="BQ65" s="516" t="str">
        <f t="shared" si="23"/>
        <v>-</v>
      </c>
      <c r="BR65" s="516" t="str">
        <f t="shared" si="23"/>
        <v>-</v>
      </c>
      <c r="BS65" s="516" t="str">
        <f t="shared" si="27"/>
        <v>-</v>
      </c>
      <c r="BT65" s="516" t="str">
        <f t="shared" si="27"/>
        <v>-</v>
      </c>
      <c r="BU65" s="516" t="str">
        <f t="shared" si="27"/>
        <v>-</v>
      </c>
      <c r="BV65" s="516" t="str">
        <f t="shared" si="27"/>
        <v>-</v>
      </c>
      <c r="BW65" s="516" t="str">
        <f t="shared" si="25"/>
        <v>-</v>
      </c>
      <c r="BX65" s="516" t="str">
        <f t="shared" si="25"/>
        <v>-</v>
      </c>
      <c r="BY65" s="516" t="str">
        <f t="shared" si="25"/>
        <v>-</v>
      </c>
      <c r="BZ65" s="516" t="str">
        <f t="shared" si="25"/>
        <v>-</v>
      </c>
      <c r="CA65" s="516" t="str">
        <f t="shared" si="25"/>
        <v>-</v>
      </c>
    </row>
    <row r="66" spans="1:79">
      <c r="A66" s="105"/>
      <c r="B66" s="112"/>
      <c r="C66" s="262"/>
      <c r="D66" s="111" t="str">
        <f t="shared" si="6"/>
        <v/>
      </c>
      <c r="E66" s="517" t="str">
        <f>IF(LEN(B66)&gt;0,CHOOSE(MATCH(RIGHT(D66,1),{"D","W","M"},0),NextBusDay($C$4,LEFT(D66,LEN(D66)-1)),NextBusDay($C$4+7*LEFT(D66,LEN(D66)-1)),NextBusDay(EDATE($C$4,LEFT(D66,LEN(D66)-1)))),"")</f>
        <v/>
      </c>
      <c r="F66" s="107"/>
      <c r="G66" s="106"/>
      <c r="H66" s="106" t="str">
        <f>BktUsdOisPL!H66</f>
        <v/>
      </c>
      <c r="I66" s="261"/>
      <c r="J66" s="106" t="str">
        <f>BktUsdOisPL!J66</f>
        <v/>
      </c>
      <c r="L66" s="522">
        <f t="shared" si="7"/>
        <v>0</v>
      </c>
      <c r="N66" s="106" t="str">
        <f t="shared" si="1"/>
        <v>-</v>
      </c>
      <c r="O66" s="106" t="str">
        <f t="shared" si="16"/>
        <v>-</v>
      </c>
      <c r="P66" s="106" t="str">
        <f t="shared" si="3"/>
        <v>-</v>
      </c>
      <c r="Q66" s="106" t="b">
        <f t="shared" si="4"/>
        <v>0</v>
      </c>
      <c r="R66" s="516" t="str">
        <f t="shared" si="26"/>
        <v>-</v>
      </c>
      <c r="S66" s="516" t="str">
        <f t="shared" si="26"/>
        <v>-</v>
      </c>
      <c r="T66" s="516" t="str">
        <f t="shared" si="26"/>
        <v>-</v>
      </c>
      <c r="U66" s="516" t="str">
        <f t="shared" si="26"/>
        <v>-</v>
      </c>
      <c r="V66" s="516" t="str">
        <f t="shared" si="26"/>
        <v>-</v>
      </c>
      <c r="W66" s="516" t="str">
        <f t="shared" si="26"/>
        <v>-</v>
      </c>
      <c r="X66" s="516" t="str">
        <f t="shared" si="26"/>
        <v>-</v>
      </c>
      <c r="Y66" s="516" t="str">
        <f t="shared" si="26"/>
        <v>-</v>
      </c>
      <c r="Z66" s="516" t="str">
        <f t="shared" si="26"/>
        <v>-</v>
      </c>
      <c r="AA66" s="516" t="str">
        <f t="shared" si="26"/>
        <v>-</v>
      </c>
      <c r="AB66" s="516" t="str">
        <f t="shared" si="26"/>
        <v>-</v>
      </c>
      <c r="AC66" s="516" t="str">
        <f t="shared" si="26"/>
        <v>-</v>
      </c>
      <c r="AD66" s="516" t="str">
        <f t="shared" si="26"/>
        <v>-</v>
      </c>
      <c r="AE66" s="516" t="str">
        <f t="shared" si="26"/>
        <v>-</v>
      </c>
      <c r="AF66" s="516" t="str">
        <f t="shared" si="26"/>
        <v>-</v>
      </c>
      <c r="AG66" s="516" t="str">
        <f t="shared" si="26"/>
        <v>-</v>
      </c>
      <c r="AH66" s="516" t="str">
        <f t="shared" si="29"/>
        <v>-</v>
      </c>
      <c r="AI66" s="516" t="str">
        <f t="shared" si="29"/>
        <v>-</v>
      </c>
      <c r="AJ66" s="516" t="str">
        <f t="shared" si="29"/>
        <v>-</v>
      </c>
      <c r="AK66" s="516" t="str">
        <f t="shared" si="28"/>
        <v>-</v>
      </c>
      <c r="AL66" s="516" t="str">
        <f t="shared" si="28"/>
        <v>-</v>
      </c>
      <c r="AM66" s="516" t="str">
        <f t="shared" si="28"/>
        <v>-</v>
      </c>
      <c r="AN66" s="516" t="str">
        <f t="shared" si="28"/>
        <v>-</v>
      </c>
      <c r="AO66" s="516" t="str">
        <f t="shared" si="28"/>
        <v>-</v>
      </c>
      <c r="AP66" s="516" t="str">
        <f t="shared" si="28"/>
        <v>-</v>
      </c>
      <c r="AQ66" s="516" t="str">
        <f t="shared" si="28"/>
        <v>-</v>
      </c>
      <c r="AR66" s="516" t="str">
        <f t="shared" si="28"/>
        <v>-</v>
      </c>
      <c r="AS66" s="516" t="str">
        <f t="shared" si="28"/>
        <v>-</v>
      </c>
      <c r="AT66" s="516" t="str">
        <f t="shared" si="28"/>
        <v>-</v>
      </c>
      <c r="AU66" s="516" t="str">
        <f t="shared" si="28"/>
        <v>-</v>
      </c>
      <c r="AV66" s="516" t="str">
        <f t="shared" si="28"/>
        <v>-</v>
      </c>
      <c r="AW66" s="516" t="str">
        <f t="shared" si="28"/>
        <v>-</v>
      </c>
      <c r="AX66" s="516" t="str">
        <f t="shared" si="28"/>
        <v>-</v>
      </c>
      <c r="AY66" s="516" t="str">
        <f t="shared" si="28"/>
        <v>-</v>
      </c>
      <c r="AZ66" s="516" t="str">
        <f t="shared" si="28"/>
        <v>-</v>
      </c>
      <c r="BA66" s="516" t="str">
        <f t="shared" si="28"/>
        <v>-</v>
      </c>
      <c r="BB66" s="516" t="str">
        <f t="shared" si="28"/>
        <v>-</v>
      </c>
      <c r="BC66" s="516" t="str">
        <f t="shared" ref="BC66:BR70" si="30">IF(LEN($F66)&gt;0,IF(AND(BC$8=$J66,NOT(AND(BC$8&gt;=$N66,BC$8&lt;$P66))),BC$6,IF(AND(NOT(BC$8&gt;$J65),BC$8&lt;$J66),"-",IF(AND(BC$8&gt;=$N66,BC$8&lt;$P66),"???",IF(AND(BC$8&gt;$J65,BC$8&lt;$J66),BC$6*(BC$8-$J65)/($J66-$J65),IF(AND(BC$8&gt;$J66,BC$8&lt;$J67),BC$6*($J67-BC$8)/($J67-$J66),"-"))))),"-")</f>
        <v>-</v>
      </c>
      <c r="BD66" s="516" t="str">
        <f t="shared" si="30"/>
        <v>-</v>
      </c>
      <c r="BE66" s="516" t="str">
        <f t="shared" si="30"/>
        <v>-</v>
      </c>
      <c r="BF66" s="516" t="str">
        <f t="shared" si="30"/>
        <v>-</v>
      </c>
      <c r="BG66" s="516" t="str">
        <f t="shared" si="30"/>
        <v>-</v>
      </c>
      <c r="BH66" s="516" t="str">
        <f t="shared" si="30"/>
        <v>-</v>
      </c>
      <c r="BI66" s="516" t="str">
        <f t="shared" si="30"/>
        <v>-</v>
      </c>
      <c r="BJ66" s="516" t="str">
        <f t="shared" si="30"/>
        <v>-</v>
      </c>
      <c r="BK66" s="516" t="str">
        <f t="shared" si="30"/>
        <v>-</v>
      </c>
      <c r="BL66" s="516" t="str">
        <f t="shared" si="30"/>
        <v>-</v>
      </c>
      <c r="BM66" s="516" t="str">
        <f t="shared" si="30"/>
        <v>-</v>
      </c>
      <c r="BN66" s="516" t="str">
        <f t="shared" si="30"/>
        <v>-</v>
      </c>
      <c r="BO66" s="516" t="str">
        <f t="shared" si="30"/>
        <v>-</v>
      </c>
      <c r="BP66" s="516" t="str">
        <f t="shared" si="30"/>
        <v>-</v>
      </c>
      <c r="BQ66" s="516" t="str">
        <f t="shared" si="30"/>
        <v>-</v>
      </c>
      <c r="BR66" s="516" t="str">
        <f t="shared" si="30"/>
        <v>-</v>
      </c>
      <c r="BS66" s="516" t="str">
        <f t="shared" si="27"/>
        <v>-</v>
      </c>
      <c r="BT66" s="516" t="str">
        <f t="shared" si="27"/>
        <v>-</v>
      </c>
      <c r="BU66" s="516" t="str">
        <f t="shared" si="27"/>
        <v>-</v>
      </c>
      <c r="BV66" s="516" t="str">
        <f t="shared" si="27"/>
        <v>-</v>
      </c>
      <c r="BW66" s="516" t="str">
        <f t="shared" si="25"/>
        <v>-</v>
      </c>
      <c r="BX66" s="516" t="str">
        <f t="shared" si="25"/>
        <v>-</v>
      </c>
      <c r="BY66" s="516" t="str">
        <f t="shared" si="25"/>
        <v>-</v>
      </c>
      <c r="BZ66" s="516" t="str">
        <f t="shared" si="25"/>
        <v>-</v>
      </c>
      <c r="CA66" s="516" t="str">
        <f t="shared" si="25"/>
        <v>-</v>
      </c>
    </row>
    <row r="67" spans="1:79">
      <c r="A67" s="105"/>
      <c r="B67" s="112"/>
      <c r="C67" s="262"/>
      <c r="D67" s="111" t="str">
        <f t="shared" si="6"/>
        <v/>
      </c>
      <c r="E67" s="517" t="str">
        <f>IF(LEN(B67)&gt;0,CHOOSE(MATCH(RIGHT(D67,1),{"D","W","M"},0),NextBusDay($C$4,LEFT(D67,LEN(D67)-1)),NextBusDay($C$4+7*LEFT(D67,LEN(D67)-1)),NextBusDay(EDATE($C$4,LEFT(D67,LEN(D67)-1)))),"")</f>
        <v/>
      </c>
      <c r="F67" s="107"/>
      <c r="G67" s="106"/>
      <c r="H67" s="106" t="str">
        <f>BktUsdOisPL!H67</f>
        <v/>
      </c>
      <c r="I67" s="261"/>
      <c r="J67" s="106" t="str">
        <f>BktUsdOisPL!J67</f>
        <v/>
      </c>
      <c r="L67" s="522">
        <f t="shared" si="7"/>
        <v>0</v>
      </c>
      <c r="N67" s="106" t="str">
        <f t="shared" si="1"/>
        <v>-</v>
      </c>
      <c r="O67" s="106" t="str">
        <f t="shared" si="16"/>
        <v>-</v>
      </c>
      <c r="P67" s="106" t="str">
        <f t="shared" si="3"/>
        <v>-</v>
      </c>
      <c r="Q67" s="106" t="b">
        <f t="shared" si="4"/>
        <v>0</v>
      </c>
      <c r="R67" s="516" t="str">
        <f t="shared" si="26"/>
        <v>-</v>
      </c>
      <c r="S67" s="516" t="str">
        <f t="shared" si="26"/>
        <v>-</v>
      </c>
      <c r="T67" s="516" t="str">
        <f t="shared" si="26"/>
        <v>-</v>
      </c>
      <c r="U67" s="516" t="str">
        <f t="shared" si="26"/>
        <v>-</v>
      </c>
      <c r="V67" s="516" t="str">
        <f t="shared" si="26"/>
        <v>-</v>
      </c>
      <c r="W67" s="516" t="str">
        <f t="shared" si="26"/>
        <v>-</v>
      </c>
      <c r="X67" s="516" t="str">
        <f t="shared" si="26"/>
        <v>-</v>
      </c>
      <c r="Y67" s="516" t="str">
        <f t="shared" si="26"/>
        <v>-</v>
      </c>
      <c r="Z67" s="516" t="str">
        <f t="shared" si="26"/>
        <v>-</v>
      </c>
      <c r="AA67" s="516" t="str">
        <f t="shared" si="26"/>
        <v>-</v>
      </c>
      <c r="AB67" s="516" t="str">
        <f t="shared" si="26"/>
        <v>-</v>
      </c>
      <c r="AC67" s="516" t="str">
        <f t="shared" si="26"/>
        <v>-</v>
      </c>
      <c r="AD67" s="516" t="str">
        <f t="shared" si="26"/>
        <v>-</v>
      </c>
      <c r="AE67" s="516" t="str">
        <f t="shared" si="26"/>
        <v>-</v>
      </c>
      <c r="AF67" s="516" t="str">
        <f t="shared" si="26"/>
        <v>-</v>
      </c>
      <c r="AG67" s="516" t="str">
        <f t="shared" si="26"/>
        <v>-</v>
      </c>
      <c r="AH67" s="516" t="str">
        <f t="shared" si="29"/>
        <v>-</v>
      </c>
      <c r="AI67" s="516" t="str">
        <f t="shared" si="29"/>
        <v>-</v>
      </c>
      <c r="AJ67" s="516" t="str">
        <f t="shared" si="29"/>
        <v>-</v>
      </c>
      <c r="AK67" s="516" t="str">
        <f t="shared" si="28"/>
        <v>-</v>
      </c>
      <c r="AL67" s="516" t="str">
        <f t="shared" si="28"/>
        <v>-</v>
      </c>
      <c r="AM67" s="516" t="str">
        <f t="shared" si="28"/>
        <v>-</v>
      </c>
      <c r="AN67" s="516" t="str">
        <f t="shared" si="28"/>
        <v>-</v>
      </c>
      <c r="AO67" s="516" t="str">
        <f t="shared" si="28"/>
        <v>-</v>
      </c>
      <c r="AP67" s="516" t="str">
        <f t="shared" si="28"/>
        <v>-</v>
      </c>
      <c r="AQ67" s="516" t="str">
        <f t="shared" si="28"/>
        <v>-</v>
      </c>
      <c r="AR67" s="516" t="str">
        <f t="shared" si="28"/>
        <v>-</v>
      </c>
      <c r="AS67" s="516" t="str">
        <f t="shared" si="28"/>
        <v>-</v>
      </c>
      <c r="AT67" s="516" t="str">
        <f t="shared" si="28"/>
        <v>-</v>
      </c>
      <c r="AU67" s="516" t="str">
        <f t="shared" si="28"/>
        <v>-</v>
      </c>
      <c r="AV67" s="516" t="str">
        <f t="shared" si="28"/>
        <v>-</v>
      </c>
      <c r="AW67" s="516" t="str">
        <f t="shared" si="28"/>
        <v>-</v>
      </c>
      <c r="AX67" s="516" t="str">
        <f t="shared" si="28"/>
        <v>-</v>
      </c>
      <c r="AY67" s="516" t="str">
        <f t="shared" si="28"/>
        <v>-</v>
      </c>
      <c r="AZ67" s="516" t="str">
        <f t="shared" si="28"/>
        <v>-</v>
      </c>
      <c r="BA67" s="516" t="str">
        <f t="shared" si="28"/>
        <v>-</v>
      </c>
      <c r="BB67" s="516" t="str">
        <f t="shared" si="28"/>
        <v>-</v>
      </c>
      <c r="BC67" s="516" t="str">
        <f t="shared" si="30"/>
        <v>-</v>
      </c>
      <c r="BD67" s="516" t="str">
        <f t="shared" si="30"/>
        <v>-</v>
      </c>
      <c r="BE67" s="516" t="str">
        <f t="shared" si="30"/>
        <v>-</v>
      </c>
      <c r="BF67" s="516" t="str">
        <f t="shared" si="30"/>
        <v>-</v>
      </c>
      <c r="BG67" s="516" t="str">
        <f t="shared" si="30"/>
        <v>-</v>
      </c>
      <c r="BH67" s="516" t="str">
        <f t="shared" si="30"/>
        <v>-</v>
      </c>
      <c r="BI67" s="516" t="str">
        <f t="shared" si="30"/>
        <v>-</v>
      </c>
      <c r="BJ67" s="516" t="str">
        <f t="shared" si="30"/>
        <v>-</v>
      </c>
      <c r="BK67" s="516" t="str">
        <f t="shared" si="30"/>
        <v>-</v>
      </c>
      <c r="BL67" s="516" t="str">
        <f t="shared" si="30"/>
        <v>-</v>
      </c>
      <c r="BM67" s="516" t="str">
        <f t="shared" si="30"/>
        <v>-</v>
      </c>
      <c r="BN67" s="516" t="str">
        <f t="shared" si="30"/>
        <v>-</v>
      </c>
      <c r="BO67" s="516" t="str">
        <f t="shared" si="30"/>
        <v>-</v>
      </c>
      <c r="BP67" s="516" t="str">
        <f t="shared" si="30"/>
        <v>-</v>
      </c>
      <c r="BQ67" s="516" t="str">
        <f t="shared" si="30"/>
        <v>-</v>
      </c>
      <c r="BR67" s="516" t="str">
        <f t="shared" si="30"/>
        <v>-</v>
      </c>
      <c r="BS67" s="516" t="str">
        <f t="shared" si="27"/>
        <v>-</v>
      </c>
      <c r="BT67" s="516" t="str">
        <f t="shared" si="27"/>
        <v>-</v>
      </c>
      <c r="BU67" s="516" t="str">
        <f t="shared" si="27"/>
        <v>-</v>
      </c>
      <c r="BV67" s="516" t="str">
        <f t="shared" si="27"/>
        <v>-</v>
      </c>
      <c r="BW67" s="516" t="str">
        <f t="shared" si="25"/>
        <v>-</v>
      </c>
      <c r="BX67" s="516" t="str">
        <f t="shared" si="25"/>
        <v>-</v>
      </c>
      <c r="BY67" s="516" t="str">
        <f t="shared" si="25"/>
        <v>-</v>
      </c>
      <c r="BZ67" s="516" t="str">
        <f t="shared" si="25"/>
        <v>-</v>
      </c>
      <c r="CA67" s="516" t="str">
        <f t="shared" si="25"/>
        <v>-</v>
      </c>
    </row>
    <row r="68" spans="1:79">
      <c r="A68" s="105"/>
      <c r="B68" s="112"/>
      <c r="C68" s="262"/>
      <c r="D68" s="111" t="str">
        <f t="shared" si="6"/>
        <v/>
      </c>
      <c r="E68" s="517" t="str">
        <f>IF(LEN(B68)&gt;0,CHOOSE(MATCH(RIGHT(D68,1),{"D","W","M"},0),NextBusDay($C$4,LEFT(D68,LEN(D68)-1)),NextBusDay($C$4+7*LEFT(D68,LEN(D68)-1)),NextBusDay(EDATE($C$4,LEFT(D68,LEN(D68)-1)))),"")</f>
        <v/>
      </c>
      <c r="F68" s="107"/>
      <c r="G68" s="106"/>
      <c r="H68" s="106" t="str">
        <f>BktUsdOisPL!H68</f>
        <v/>
      </c>
      <c r="I68" s="261"/>
      <c r="J68" s="106" t="str">
        <f>BktUsdOisPL!J68</f>
        <v/>
      </c>
      <c r="L68" s="522">
        <f t="shared" si="7"/>
        <v>0</v>
      </c>
      <c r="N68" s="106" t="str">
        <f t="shared" si="1"/>
        <v>-</v>
      </c>
      <c r="O68" s="106" t="str">
        <f t="shared" si="16"/>
        <v>-</v>
      </c>
      <c r="P68" s="106" t="str">
        <f t="shared" si="3"/>
        <v>-</v>
      </c>
      <c r="Q68" s="106" t="b">
        <f t="shared" si="4"/>
        <v>0</v>
      </c>
      <c r="R68" s="516" t="str">
        <f t="shared" si="26"/>
        <v>-</v>
      </c>
      <c r="S68" s="516" t="str">
        <f t="shared" si="26"/>
        <v>-</v>
      </c>
      <c r="T68" s="516" t="str">
        <f t="shared" si="26"/>
        <v>-</v>
      </c>
      <c r="U68" s="516" t="str">
        <f t="shared" si="26"/>
        <v>-</v>
      </c>
      <c r="V68" s="516" t="str">
        <f t="shared" si="26"/>
        <v>-</v>
      </c>
      <c r="W68" s="516" t="str">
        <f t="shared" si="26"/>
        <v>-</v>
      </c>
      <c r="X68" s="516" t="str">
        <f t="shared" si="26"/>
        <v>-</v>
      </c>
      <c r="Y68" s="516" t="str">
        <f t="shared" si="26"/>
        <v>-</v>
      </c>
      <c r="Z68" s="516" t="str">
        <f t="shared" si="26"/>
        <v>-</v>
      </c>
      <c r="AA68" s="516" t="str">
        <f t="shared" si="26"/>
        <v>-</v>
      </c>
      <c r="AB68" s="516" t="str">
        <f t="shared" si="26"/>
        <v>-</v>
      </c>
      <c r="AC68" s="516" t="str">
        <f t="shared" si="26"/>
        <v>-</v>
      </c>
      <c r="AD68" s="516" t="str">
        <f t="shared" si="26"/>
        <v>-</v>
      </c>
      <c r="AE68" s="516" t="str">
        <f t="shared" si="26"/>
        <v>-</v>
      </c>
      <c r="AF68" s="516" t="str">
        <f t="shared" si="26"/>
        <v>-</v>
      </c>
      <c r="AG68" s="516" t="str">
        <f t="shared" ref="AG68:AG70" si="31">IF(LEN($F68)&gt;0,IF(AND(AG$8=$J68,NOT(AND(AG$8&gt;=$N68,AG$8&lt;$P68))),AG$6,IF(AND(NOT(AG$8&gt;$J67),AG$8&lt;$J68),"-",IF(AND(AG$8&gt;=$N68,AG$8&lt;$P68),"???",IF(AND(AG$8&gt;$J67,AG$8&lt;$J68),AG$6*(AG$8-$J67)/($J68-$J67),IF(AND(AG$8&gt;$J68,AG$8&lt;$J69),AG$6*($J69-AG$8)/($J69-$J68),"-"))))),"-")</f>
        <v>-</v>
      </c>
      <c r="AH68" s="516" t="str">
        <f t="shared" si="29"/>
        <v>-</v>
      </c>
      <c r="AI68" s="516" t="str">
        <f t="shared" si="29"/>
        <v>-</v>
      </c>
      <c r="AJ68" s="516" t="str">
        <f t="shared" si="29"/>
        <v>-</v>
      </c>
      <c r="AK68" s="516" t="str">
        <f t="shared" si="28"/>
        <v>-</v>
      </c>
      <c r="AL68" s="516" t="str">
        <f t="shared" si="28"/>
        <v>-</v>
      </c>
      <c r="AM68" s="516" t="str">
        <f t="shared" si="28"/>
        <v>-</v>
      </c>
      <c r="AN68" s="516" t="str">
        <f t="shared" si="28"/>
        <v>-</v>
      </c>
      <c r="AO68" s="516" t="str">
        <f t="shared" si="28"/>
        <v>-</v>
      </c>
      <c r="AP68" s="516" t="str">
        <f t="shared" si="28"/>
        <v>-</v>
      </c>
      <c r="AQ68" s="516" t="str">
        <f t="shared" si="28"/>
        <v>-</v>
      </c>
      <c r="AR68" s="516" t="str">
        <f t="shared" si="28"/>
        <v>-</v>
      </c>
      <c r="AS68" s="516" t="str">
        <f t="shared" si="28"/>
        <v>-</v>
      </c>
      <c r="AT68" s="516" t="str">
        <f t="shared" si="28"/>
        <v>-</v>
      </c>
      <c r="AU68" s="516" t="str">
        <f t="shared" si="28"/>
        <v>-</v>
      </c>
      <c r="AV68" s="516" t="str">
        <f t="shared" si="28"/>
        <v>-</v>
      </c>
      <c r="AW68" s="516" t="str">
        <f t="shared" si="28"/>
        <v>-</v>
      </c>
      <c r="AX68" s="516" t="str">
        <f t="shared" si="28"/>
        <v>-</v>
      </c>
      <c r="AY68" s="516" t="str">
        <f t="shared" si="28"/>
        <v>-</v>
      </c>
      <c r="AZ68" s="516" t="str">
        <f t="shared" si="28"/>
        <v>-</v>
      </c>
      <c r="BA68" s="516" t="str">
        <f t="shared" si="28"/>
        <v>-</v>
      </c>
      <c r="BB68" s="516" t="str">
        <f t="shared" si="28"/>
        <v>-</v>
      </c>
      <c r="BC68" s="516" t="str">
        <f t="shared" si="30"/>
        <v>-</v>
      </c>
      <c r="BD68" s="516" t="str">
        <f t="shared" si="30"/>
        <v>-</v>
      </c>
      <c r="BE68" s="516" t="str">
        <f t="shared" si="30"/>
        <v>-</v>
      </c>
      <c r="BF68" s="516" t="str">
        <f t="shared" si="30"/>
        <v>-</v>
      </c>
      <c r="BG68" s="516" t="str">
        <f t="shared" si="30"/>
        <v>-</v>
      </c>
      <c r="BH68" s="516" t="str">
        <f t="shared" si="30"/>
        <v>-</v>
      </c>
      <c r="BI68" s="516" t="str">
        <f t="shared" si="30"/>
        <v>-</v>
      </c>
      <c r="BJ68" s="516" t="str">
        <f t="shared" si="30"/>
        <v>-</v>
      </c>
      <c r="BK68" s="516" t="str">
        <f t="shared" si="30"/>
        <v>-</v>
      </c>
      <c r="BL68" s="516" t="str">
        <f t="shared" si="30"/>
        <v>-</v>
      </c>
      <c r="BM68" s="516" t="str">
        <f t="shared" si="30"/>
        <v>-</v>
      </c>
      <c r="BN68" s="516" t="str">
        <f t="shared" si="30"/>
        <v>-</v>
      </c>
      <c r="BO68" s="516" t="str">
        <f t="shared" si="30"/>
        <v>-</v>
      </c>
      <c r="BP68" s="516" t="str">
        <f t="shared" si="30"/>
        <v>-</v>
      </c>
      <c r="BQ68" s="516" t="str">
        <f t="shared" si="30"/>
        <v>-</v>
      </c>
      <c r="BR68" s="516" t="str">
        <f t="shared" si="30"/>
        <v>-</v>
      </c>
      <c r="BS68" s="516" t="str">
        <f t="shared" si="27"/>
        <v>-</v>
      </c>
      <c r="BT68" s="516" t="str">
        <f t="shared" si="27"/>
        <v>-</v>
      </c>
      <c r="BU68" s="516" t="str">
        <f t="shared" si="27"/>
        <v>-</v>
      </c>
      <c r="BV68" s="516" t="str">
        <f t="shared" si="27"/>
        <v>-</v>
      </c>
      <c r="BW68" s="516" t="str">
        <f t="shared" si="27"/>
        <v>-</v>
      </c>
      <c r="BX68" s="516" t="str">
        <f t="shared" si="27"/>
        <v>-</v>
      </c>
      <c r="BY68" s="516" t="str">
        <f t="shared" si="27"/>
        <v>-</v>
      </c>
      <c r="BZ68" s="516" t="str">
        <f t="shared" si="27"/>
        <v>-</v>
      </c>
      <c r="CA68" s="516" t="str">
        <f t="shared" si="27"/>
        <v>-</v>
      </c>
    </row>
    <row r="69" spans="1:79">
      <c r="A69" s="105"/>
      <c r="B69" s="112"/>
      <c r="C69" s="262"/>
      <c r="D69" s="111" t="str">
        <f t="shared" si="6"/>
        <v/>
      </c>
      <c r="E69" s="517" t="str">
        <f>IF(LEN(B69)&gt;0,CHOOSE(MATCH(RIGHT(D69,1),{"D","W","M"},0),NextBusDay($C$4,LEFT(D69,LEN(D69)-1)),NextBusDay($C$4+7*LEFT(D69,LEN(D69)-1)),NextBusDay(EDATE($C$4,LEFT(D69,LEN(D69)-1)))),"")</f>
        <v/>
      </c>
      <c r="F69" s="107"/>
      <c r="G69" s="106"/>
      <c r="H69" s="106" t="str">
        <f>BktUsdOisPL!H69</f>
        <v/>
      </c>
      <c r="I69" s="261"/>
      <c r="J69" s="106" t="str">
        <f>BktUsdOisPL!J69</f>
        <v/>
      </c>
      <c r="L69" s="522">
        <f t="shared" si="7"/>
        <v>0</v>
      </c>
      <c r="N69" s="106" t="str">
        <f t="shared" si="1"/>
        <v>-</v>
      </c>
      <c r="O69" s="106" t="str">
        <f t="shared" si="16"/>
        <v>-</v>
      </c>
      <c r="P69" s="106" t="str">
        <f t="shared" si="3"/>
        <v>-</v>
      </c>
      <c r="Q69" s="106" t="b">
        <f t="shared" si="4"/>
        <v>0</v>
      </c>
      <c r="R69" s="516" t="str">
        <f t="shared" ref="R69:AF70" si="32">IF(LEN($F69)&gt;0,IF(AND(R$8=$J69,NOT(AND(R$8&gt;=$N69,R$8&lt;$P69))),R$6,IF(AND(NOT(R$8&gt;$J68),R$8&lt;$J69),"-",IF(AND(R$8&gt;=$N69,R$8&lt;$P69),"???",IF(AND(R$8&gt;$J68,R$8&lt;$J69),R$6*(R$8-$J68)/($J69-$J68),IF(AND(R$8&gt;$J69,R$8&lt;$J70),R$6*($J70-R$8)/($J70-$J69),"-"))))),"-")</f>
        <v>-</v>
      </c>
      <c r="S69" s="516" t="str">
        <f t="shared" si="32"/>
        <v>-</v>
      </c>
      <c r="T69" s="516" t="str">
        <f t="shared" si="32"/>
        <v>-</v>
      </c>
      <c r="U69" s="516" t="str">
        <f t="shared" si="32"/>
        <v>-</v>
      </c>
      <c r="V69" s="516" t="str">
        <f t="shared" si="32"/>
        <v>-</v>
      </c>
      <c r="W69" s="516" t="str">
        <f t="shared" si="32"/>
        <v>-</v>
      </c>
      <c r="X69" s="516" t="str">
        <f t="shared" si="32"/>
        <v>-</v>
      </c>
      <c r="Y69" s="516" t="str">
        <f t="shared" si="32"/>
        <v>-</v>
      </c>
      <c r="Z69" s="516" t="str">
        <f t="shared" si="32"/>
        <v>-</v>
      </c>
      <c r="AA69" s="516" t="str">
        <f t="shared" si="32"/>
        <v>-</v>
      </c>
      <c r="AB69" s="516" t="str">
        <f t="shared" si="32"/>
        <v>-</v>
      </c>
      <c r="AC69" s="516" t="str">
        <f t="shared" si="32"/>
        <v>-</v>
      </c>
      <c r="AD69" s="516" t="str">
        <f t="shared" si="32"/>
        <v>-</v>
      </c>
      <c r="AE69" s="516" t="str">
        <f t="shared" si="32"/>
        <v>-</v>
      </c>
      <c r="AF69" s="516" t="str">
        <f t="shared" si="32"/>
        <v>-</v>
      </c>
      <c r="AG69" s="516" t="str">
        <f t="shared" si="31"/>
        <v>-</v>
      </c>
      <c r="AH69" s="516" t="str">
        <f t="shared" si="29"/>
        <v>-</v>
      </c>
      <c r="AI69" s="516" t="str">
        <f t="shared" si="29"/>
        <v>-</v>
      </c>
      <c r="AJ69" s="516" t="str">
        <f t="shared" si="29"/>
        <v>-</v>
      </c>
      <c r="AK69" s="516" t="str">
        <f t="shared" si="28"/>
        <v>-</v>
      </c>
      <c r="AL69" s="516" t="str">
        <f t="shared" si="28"/>
        <v>-</v>
      </c>
      <c r="AM69" s="516" t="str">
        <f t="shared" si="28"/>
        <v>-</v>
      </c>
      <c r="AN69" s="516" t="str">
        <f t="shared" si="28"/>
        <v>-</v>
      </c>
      <c r="AO69" s="516" t="str">
        <f t="shared" si="28"/>
        <v>-</v>
      </c>
      <c r="AP69" s="516" t="str">
        <f t="shared" si="28"/>
        <v>-</v>
      </c>
      <c r="AQ69" s="516" t="str">
        <f t="shared" si="28"/>
        <v>-</v>
      </c>
      <c r="AR69" s="516" t="str">
        <f t="shared" si="28"/>
        <v>-</v>
      </c>
      <c r="AS69" s="516" t="str">
        <f t="shared" si="28"/>
        <v>-</v>
      </c>
      <c r="AT69" s="516" t="str">
        <f t="shared" si="28"/>
        <v>-</v>
      </c>
      <c r="AU69" s="516" t="str">
        <f t="shared" si="28"/>
        <v>-</v>
      </c>
      <c r="AV69" s="516" t="str">
        <f t="shared" si="28"/>
        <v>-</v>
      </c>
      <c r="AW69" s="516" t="str">
        <f t="shared" si="28"/>
        <v>-</v>
      </c>
      <c r="AX69" s="516" t="str">
        <f t="shared" si="28"/>
        <v>-</v>
      </c>
      <c r="AY69" s="516" t="str">
        <f t="shared" si="28"/>
        <v>-</v>
      </c>
      <c r="AZ69" s="516" t="str">
        <f t="shared" si="28"/>
        <v>-</v>
      </c>
      <c r="BA69" s="516" t="str">
        <f t="shared" si="28"/>
        <v>-</v>
      </c>
      <c r="BB69" s="516" t="str">
        <f t="shared" si="28"/>
        <v>-</v>
      </c>
      <c r="BC69" s="516" t="str">
        <f t="shared" si="30"/>
        <v>-</v>
      </c>
      <c r="BD69" s="516" t="str">
        <f t="shared" si="30"/>
        <v>-</v>
      </c>
      <c r="BE69" s="516" t="str">
        <f t="shared" si="30"/>
        <v>-</v>
      </c>
      <c r="BF69" s="516" t="str">
        <f t="shared" si="30"/>
        <v>-</v>
      </c>
      <c r="BG69" s="516" t="str">
        <f t="shared" si="30"/>
        <v>-</v>
      </c>
      <c r="BH69" s="516" t="str">
        <f t="shared" si="30"/>
        <v>-</v>
      </c>
      <c r="BI69" s="516" t="str">
        <f t="shared" si="30"/>
        <v>-</v>
      </c>
      <c r="BJ69" s="516" t="str">
        <f t="shared" si="30"/>
        <v>-</v>
      </c>
      <c r="BK69" s="516" t="str">
        <f t="shared" si="30"/>
        <v>-</v>
      </c>
      <c r="BL69" s="516" t="str">
        <f t="shared" si="30"/>
        <v>-</v>
      </c>
      <c r="BM69" s="516" t="str">
        <f t="shared" si="30"/>
        <v>-</v>
      </c>
      <c r="BN69" s="516" t="str">
        <f t="shared" si="30"/>
        <v>-</v>
      </c>
      <c r="BO69" s="516" t="str">
        <f t="shared" si="30"/>
        <v>-</v>
      </c>
      <c r="BP69" s="516" t="str">
        <f t="shared" si="30"/>
        <v>-</v>
      </c>
      <c r="BQ69" s="516" t="str">
        <f t="shared" si="30"/>
        <v>-</v>
      </c>
      <c r="BR69" s="516" t="str">
        <f t="shared" si="30"/>
        <v>-</v>
      </c>
      <c r="BS69" s="516" t="str">
        <f t="shared" ref="BS69:CA70" si="33">IF(LEN($F69)&gt;0,IF(AND(BS$8=$J69,NOT(AND(BS$8&gt;=$N69,BS$8&lt;$P69))),BS$6,IF(AND(NOT(BS$8&gt;$J68),BS$8&lt;$J69),"-",IF(AND(BS$8&gt;=$N69,BS$8&lt;$P69),"???",IF(AND(BS$8&gt;$J68,BS$8&lt;$J69),BS$6*(BS$8-$J68)/($J69-$J68),IF(AND(BS$8&gt;$J69,BS$8&lt;$J70),BS$6*($J70-BS$8)/($J70-$J69),"-"))))),"-")</f>
        <v>-</v>
      </c>
      <c r="BT69" s="516" t="str">
        <f t="shared" si="33"/>
        <v>-</v>
      </c>
      <c r="BU69" s="516" t="str">
        <f t="shared" si="33"/>
        <v>-</v>
      </c>
      <c r="BV69" s="516" t="str">
        <f t="shared" si="33"/>
        <v>-</v>
      </c>
      <c r="BW69" s="516" t="str">
        <f t="shared" si="33"/>
        <v>-</v>
      </c>
      <c r="BX69" s="516" t="str">
        <f t="shared" si="33"/>
        <v>-</v>
      </c>
      <c r="BY69" s="516" t="str">
        <f t="shared" si="33"/>
        <v>-</v>
      </c>
      <c r="BZ69" s="516" t="str">
        <f t="shared" si="33"/>
        <v>-</v>
      </c>
      <c r="CA69" s="516" t="str">
        <f t="shared" si="33"/>
        <v>-</v>
      </c>
    </row>
    <row r="70" spans="1:79">
      <c r="A70" s="105"/>
      <c r="B70" s="112"/>
      <c r="C70" s="262"/>
      <c r="D70" s="111" t="str">
        <f t="shared" si="6"/>
        <v/>
      </c>
      <c r="E70" s="517" t="str">
        <f>IF(LEN(B70)&gt;0,CHOOSE(MATCH(RIGHT(D70,1),{"D","W","M"},0),NextBusDay($C$4,LEFT(D70,LEN(D70)-1)),NextBusDay($C$4+7*LEFT(D70,LEN(D70)-1)),NextBusDay(EDATE($C$4,LEFT(D70,LEN(D70)-1)))),"")</f>
        <v/>
      </c>
      <c r="F70" s="107"/>
      <c r="G70" s="106"/>
      <c r="H70" s="106" t="str">
        <f>BktUsdOisPL!H70</f>
        <v/>
      </c>
      <c r="I70" s="261"/>
      <c r="J70" s="106" t="str">
        <f>BktUsdOisPL!J70</f>
        <v/>
      </c>
      <c r="L70" s="522">
        <f t="shared" si="7"/>
        <v>0</v>
      </c>
      <c r="N70" s="106" t="str">
        <f t="shared" si="1"/>
        <v>-</v>
      </c>
      <c r="O70" s="106" t="str">
        <f t="shared" si="16"/>
        <v>-</v>
      </c>
      <c r="P70" s="106" t="str">
        <f t="shared" si="3"/>
        <v>-</v>
      </c>
      <c r="Q70" s="106" t="b">
        <f t="shared" si="4"/>
        <v>0</v>
      </c>
      <c r="R70" s="516" t="str">
        <f t="shared" si="32"/>
        <v>-</v>
      </c>
      <c r="S70" s="516" t="str">
        <f t="shared" si="32"/>
        <v>-</v>
      </c>
      <c r="T70" s="516" t="str">
        <f t="shared" si="32"/>
        <v>-</v>
      </c>
      <c r="U70" s="516" t="str">
        <f t="shared" si="32"/>
        <v>-</v>
      </c>
      <c r="V70" s="516" t="str">
        <f t="shared" si="32"/>
        <v>-</v>
      </c>
      <c r="W70" s="516" t="str">
        <f t="shared" si="32"/>
        <v>-</v>
      </c>
      <c r="X70" s="516" t="str">
        <f t="shared" si="32"/>
        <v>-</v>
      </c>
      <c r="Y70" s="516" t="str">
        <f t="shared" si="32"/>
        <v>-</v>
      </c>
      <c r="Z70" s="516" t="str">
        <f t="shared" si="32"/>
        <v>-</v>
      </c>
      <c r="AA70" s="516" t="str">
        <f t="shared" si="32"/>
        <v>-</v>
      </c>
      <c r="AB70" s="516" t="str">
        <f t="shared" si="32"/>
        <v>-</v>
      </c>
      <c r="AC70" s="516" t="str">
        <f t="shared" si="32"/>
        <v>-</v>
      </c>
      <c r="AD70" s="516" t="str">
        <f t="shared" si="32"/>
        <v>-</v>
      </c>
      <c r="AE70" s="516" t="str">
        <f t="shared" si="32"/>
        <v>-</v>
      </c>
      <c r="AF70" s="516" t="str">
        <f t="shared" si="32"/>
        <v>-</v>
      </c>
      <c r="AG70" s="516" t="str">
        <f t="shared" si="31"/>
        <v>-</v>
      </c>
      <c r="AH70" s="516" t="str">
        <f t="shared" si="29"/>
        <v>-</v>
      </c>
      <c r="AI70" s="516" t="str">
        <f t="shared" si="29"/>
        <v>-</v>
      </c>
      <c r="AJ70" s="516" t="str">
        <f t="shared" si="29"/>
        <v>-</v>
      </c>
      <c r="AK70" s="516" t="str">
        <f t="shared" si="28"/>
        <v>-</v>
      </c>
      <c r="AL70" s="516" t="str">
        <f t="shared" si="28"/>
        <v>-</v>
      </c>
      <c r="AM70" s="516" t="str">
        <f t="shared" si="28"/>
        <v>-</v>
      </c>
      <c r="AN70" s="516" t="str">
        <f t="shared" si="28"/>
        <v>-</v>
      </c>
      <c r="AO70" s="516" t="str">
        <f t="shared" si="28"/>
        <v>-</v>
      </c>
      <c r="AP70" s="516" t="str">
        <f t="shared" si="28"/>
        <v>-</v>
      </c>
      <c r="AQ70" s="516" t="str">
        <f t="shared" si="28"/>
        <v>-</v>
      </c>
      <c r="AR70" s="516" t="str">
        <f t="shared" si="28"/>
        <v>-</v>
      </c>
      <c r="AS70" s="516" t="str">
        <f t="shared" si="28"/>
        <v>-</v>
      </c>
      <c r="AT70" s="516" t="str">
        <f t="shared" si="28"/>
        <v>-</v>
      </c>
      <c r="AU70" s="516" t="str">
        <f t="shared" si="28"/>
        <v>-</v>
      </c>
      <c r="AV70" s="516" t="str">
        <f t="shared" si="28"/>
        <v>-</v>
      </c>
      <c r="AW70" s="516" t="str">
        <f t="shared" si="28"/>
        <v>-</v>
      </c>
      <c r="AX70" s="516" t="str">
        <f t="shared" si="28"/>
        <v>-</v>
      </c>
      <c r="AY70" s="516" t="str">
        <f t="shared" si="28"/>
        <v>-</v>
      </c>
      <c r="AZ70" s="516" t="str">
        <f t="shared" si="28"/>
        <v>-</v>
      </c>
      <c r="BA70" s="516" t="str">
        <f t="shared" si="28"/>
        <v>-</v>
      </c>
      <c r="BB70" s="516" t="str">
        <f t="shared" si="28"/>
        <v>-</v>
      </c>
      <c r="BC70" s="516" t="str">
        <f t="shared" si="30"/>
        <v>-</v>
      </c>
      <c r="BD70" s="516" t="str">
        <f t="shared" si="30"/>
        <v>-</v>
      </c>
      <c r="BE70" s="516" t="str">
        <f t="shared" si="30"/>
        <v>-</v>
      </c>
      <c r="BF70" s="516" t="str">
        <f t="shared" si="30"/>
        <v>-</v>
      </c>
      <c r="BG70" s="516" t="str">
        <f t="shared" si="30"/>
        <v>-</v>
      </c>
      <c r="BH70" s="516" t="str">
        <f t="shared" si="30"/>
        <v>-</v>
      </c>
      <c r="BI70" s="516" t="str">
        <f t="shared" si="30"/>
        <v>-</v>
      </c>
      <c r="BJ70" s="516" t="str">
        <f t="shared" si="30"/>
        <v>-</v>
      </c>
      <c r="BK70" s="516" t="str">
        <f t="shared" si="30"/>
        <v>-</v>
      </c>
      <c r="BL70" s="516" t="str">
        <f t="shared" si="30"/>
        <v>-</v>
      </c>
      <c r="BM70" s="516" t="str">
        <f t="shared" si="30"/>
        <v>-</v>
      </c>
      <c r="BN70" s="516" t="str">
        <f t="shared" si="30"/>
        <v>-</v>
      </c>
      <c r="BO70" s="516" t="str">
        <f t="shared" si="30"/>
        <v>-</v>
      </c>
      <c r="BP70" s="516" t="str">
        <f t="shared" si="30"/>
        <v>-</v>
      </c>
      <c r="BQ70" s="516" t="str">
        <f t="shared" si="30"/>
        <v>-</v>
      </c>
      <c r="BR70" s="516" t="str">
        <f t="shared" si="30"/>
        <v>-</v>
      </c>
      <c r="BS70" s="516" t="str">
        <f t="shared" si="33"/>
        <v>-</v>
      </c>
      <c r="BT70" s="516" t="str">
        <f t="shared" si="33"/>
        <v>-</v>
      </c>
      <c r="BU70" s="516" t="str">
        <f t="shared" si="33"/>
        <v>-</v>
      </c>
      <c r="BV70" s="516" t="str">
        <f t="shared" si="33"/>
        <v>-</v>
      </c>
      <c r="BW70" s="516" t="str">
        <f t="shared" si="33"/>
        <v>-</v>
      </c>
      <c r="BX70" s="516" t="str">
        <f t="shared" si="33"/>
        <v>-</v>
      </c>
      <c r="BY70" s="516" t="str">
        <f t="shared" si="33"/>
        <v>-</v>
      </c>
      <c r="BZ70" s="516" t="str">
        <f t="shared" si="33"/>
        <v>-</v>
      </c>
      <c r="CA70" s="516" t="str">
        <f t="shared" si="33"/>
        <v>-</v>
      </c>
    </row>
    <row r="71" spans="1:79">
      <c r="N71" s="106" t="str">
        <f t="shared" si="1"/>
        <v>-</v>
      </c>
      <c r="O71" s="106" t="e">
        <f t="shared" ref="O71:O73" si="34">IF(AND(Q70,NOT(Q71)),J70,IF(OR(Q71,Q72),O72,"-"))</f>
        <v>#VALUE!</v>
      </c>
      <c r="P71" s="106" t="e">
        <f t="shared" si="3"/>
        <v>#VALUE!</v>
      </c>
    </row>
    <row r="72" spans="1:79">
      <c r="N72" s="106" t="e">
        <f t="shared" si="1"/>
        <v>#VALUE!</v>
      </c>
      <c r="O72" s="106">
        <f t="shared" si="34"/>
        <v>0</v>
      </c>
      <c r="P72" s="106">
        <f t="shared" si="3"/>
        <v>0</v>
      </c>
    </row>
    <row r="73" spans="1:79">
      <c r="N73" s="106" t="e">
        <f t="shared" ref="N73" si="35">IF(AND(LEN(Q74)&gt;0,Q74,NOT(Q73)),J73,IF(OR(Q73,Q72),N72,"-"))</f>
        <v>#VALUE!</v>
      </c>
      <c r="O73" s="106">
        <f t="shared" si="34"/>
        <v>0</v>
      </c>
      <c r="P73" s="106">
        <f t="shared" ref="P73" si="36">IF(AND(Q72,NOT(Q73)),J73,IF(OR(Q73,Q74),P74,"-"))</f>
        <v>0</v>
      </c>
    </row>
    <row r="74" spans="1:79">
      <c r="N74" s="106" t="e">
        <f t="shared" ref="N74:N78" si="37">IF(AND(LEN(Q75)&gt;0,Q75,NOT(Q74)),J74,IF(OR(Q74,Q73),N73,"-"))</f>
        <v>#VALUE!</v>
      </c>
      <c r="O74" s="106">
        <f t="shared" si="16"/>
        <v>0</v>
      </c>
      <c r="P74" s="106">
        <f t="shared" ref="P74:P78" si="38">IF(AND(Q73,NOT(Q74)),J74,IF(OR(Q74,Q75),P75,"-"))</f>
        <v>0</v>
      </c>
    </row>
    <row r="75" spans="1:79">
      <c r="N75" s="106" t="e">
        <f t="shared" si="37"/>
        <v>#VALUE!</v>
      </c>
      <c r="O75" s="106">
        <f t="shared" si="16"/>
        <v>0</v>
      </c>
      <c r="P75" s="106">
        <f t="shared" si="38"/>
        <v>0</v>
      </c>
    </row>
    <row r="76" spans="1:79">
      <c r="L76" s="519"/>
      <c r="N76" s="106" t="e">
        <f t="shared" si="37"/>
        <v>#VALUE!</v>
      </c>
      <c r="O76" s="106">
        <f t="shared" si="16"/>
        <v>0</v>
      </c>
      <c r="P76" s="106">
        <f t="shared" si="38"/>
        <v>0</v>
      </c>
    </row>
    <row r="77" spans="1:79">
      <c r="N77" s="106" t="e">
        <f t="shared" si="37"/>
        <v>#VALUE!</v>
      </c>
      <c r="O77" s="106">
        <f t="shared" si="16"/>
        <v>0</v>
      </c>
      <c r="P77" s="106">
        <f t="shared" si="38"/>
        <v>0</v>
      </c>
    </row>
    <row r="78" spans="1:79">
      <c r="N78" s="106" t="e">
        <f t="shared" si="37"/>
        <v>#VALUE!</v>
      </c>
      <c r="O78" s="106">
        <f t="shared" si="16"/>
        <v>0</v>
      </c>
      <c r="P78" s="106">
        <f t="shared" si="38"/>
        <v>0</v>
      </c>
    </row>
  </sheetData>
  <mergeCells count="5">
    <mergeCell ref="B6:J6"/>
    <mergeCell ref="B7:E7"/>
    <mergeCell ref="F7:J7"/>
    <mergeCell ref="L7:L8"/>
    <mergeCell ref="N7:P7"/>
  </mergeCells>
  <conditionalFormatting sqref="L9:L70 Q9:CD70">
    <cfRule type="expression" dxfId="9" priority="2">
      <formula>OR(LEN($F9)=0,LEN(L$7)=0)</formula>
    </cfRule>
  </conditionalFormatting>
  <conditionalFormatting sqref="R6:CA6">
    <cfRule type="expression" dxfId="8" priority="1" stopIfTrue="1">
      <formula>ABS(SUM(R$9:R$78)-R$6)&gt;0.00001</formula>
    </cfRule>
  </conditionalFormatting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tabColor theme="6" tint="0.59999389629810485"/>
  </sheetPr>
  <dimension ref="A1:P24"/>
  <sheetViews>
    <sheetView workbookViewId="0">
      <selection sqref="A1:F1"/>
    </sheetView>
  </sheetViews>
  <sheetFormatPr defaultRowHeight="12.75"/>
  <cols>
    <col min="4" max="4" width="17.7109375" customWidth="1"/>
    <col min="14" max="14" width="11.85546875" customWidth="1"/>
  </cols>
  <sheetData>
    <row r="1" spans="1:16" ht="15">
      <c r="A1" s="596" t="s">
        <v>616</v>
      </c>
      <c r="B1" s="596"/>
      <c r="C1" s="596"/>
      <c r="D1" s="596"/>
      <c r="E1" s="596"/>
      <c r="F1" s="596"/>
    </row>
    <row r="2" spans="1:16">
      <c r="A2" s="231"/>
      <c r="B2" s="231"/>
      <c r="C2" s="179" t="s">
        <v>525</v>
      </c>
      <c r="D2" s="180"/>
      <c r="E2" s="231"/>
      <c r="F2" s="231"/>
      <c r="I2" s="179" t="s">
        <v>622</v>
      </c>
      <c r="J2" s="179"/>
      <c r="K2" s="179"/>
      <c r="L2" s="179"/>
      <c r="M2" s="179"/>
      <c r="N2" s="179"/>
      <c r="O2" s="179"/>
      <c r="P2" s="179"/>
    </row>
    <row r="3" spans="1:16">
      <c r="A3" s="231"/>
      <c r="B3" s="231"/>
      <c r="C3" s="181" t="s">
        <v>526</v>
      </c>
      <c r="D3" s="182" t="s">
        <v>527</v>
      </c>
      <c r="E3" s="231"/>
      <c r="F3" s="231"/>
      <c r="I3" s="194" t="s">
        <v>495</v>
      </c>
      <c r="J3" s="194"/>
      <c r="K3" s="194"/>
      <c r="L3" s="194"/>
      <c r="M3" s="194"/>
      <c r="N3" s="194"/>
      <c r="O3" s="194"/>
      <c r="P3" s="194"/>
    </row>
    <row r="4" spans="1:16">
      <c r="A4" s="231"/>
      <c r="B4" s="183" t="s">
        <v>528</v>
      </c>
      <c r="C4" s="184" t="s">
        <v>529</v>
      </c>
      <c r="D4" s="185" t="s">
        <v>530</v>
      </c>
      <c r="E4" s="231"/>
      <c r="F4" s="231"/>
      <c r="I4" s="194" t="s">
        <v>496</v>
      </c>
      <c r="J4" s="194" t="s">
        <v>1051</v>
      </c>
      <c r="K4" s="194"/>
      <c r="L4" s="194"/>
      <c r="M4" s="194"/>
      <c r="N4" s="194"/>
      <c r="O4" s="194"/>
      <c r="P4" s="194"/>
    </row>
    <row r="5" spans="1:16">
      <c r="A5" s="231"/>
      <c r="B5" s="186" t="s">
        <v>531</v>
      </c>
      <c r="C5" s="184" t="s">
        <v>529</v>
      </c>
      <c r="D5" s="185" t="s">
        <v>530</v>
      </c>
      <c r="E5" s="231"/>
      <c r="F5" s="231"/>
      <c r="I5" s="194"/>
      <c r="J5" s="194"/>
      <c r="K5" s="194"/>
      <c r="L5" s="194"/>
      <c r="M5" s="194"/>
      <c r="N5" s="194"/>
      <c r="O5" s="194"/>
      <c r="P5" s="194"/>
    </row>
    <row r="6" spans="1:16">
      <c r="A6" s="231"/>
      <c r="B6" s="231"/>
      <c r="C6" s="231"/>
      <c r="D6" s="231"/>
      <c r="E6" s="231"/>
      <c r="F6" s="231"/>
      <c r="I6" s="194" t="s">
        <v>483</v>
      </c>
      <c r="J6" s="194" t="s">
        <v>497</v>
      </c>
      <c r="K6" s="194"/>
      <c r="L6" s="194"/>
      <c r="M6" s="194"/>
      <c r="N6" s="194"/>
      <c r="O6" s="194"/>
      <c r="P6" s="194"/>
    </row>
    <row r="7" spans="1:16">
      <c r="A7" s="231"/>
      <c r="B7" s="231"/>
      <c r="C7" s="231"/>
      <c r="D7" s="231"/>
      <c r="E7" s="232"/>
      <c r="F7" s="231"/>
      <c r="I7" s="194"/>
      <c r="J7" s="194"/>
      <c r="K7" s="194"/>
      <c r="L7" s="194"/>
      <c r="M7" s="194"/>
      <c r="N7" s="194"/>
      <c r="O7" s="194"/>
      <c r="P7" s="194"/>
    </row>
    <row r="8" spans="1:16">
      <c r="A8" s="231"/>
      <c r="B8" s="231"/>
      <c r="C8" s="232" t="s">
        <v>532</v>
      </c>
      <c r="D8" s="187" t="s">
        <v>533</v>
      </c>
      <c r="E8" s="231"/>
      <c r="F8" s="231"/>
      <c r="I8" s="194" t="s">
        <v>482</v>
      </c>
      <c r="J8" s="194" t="s">
        <v>499</v>
      </c>
      <c r="K8" s="194"/>
      <c r="L8" s="194" t="s">
        <v>498</v>
      </c>
      <c r="M8" s="194"/>
      <c r="N8" s="194"/>
      <c r="O8" s="194"/>
      <c r="P8" s="194"/>
    </row>
    <row r="9" spans="1:16">
      <c r="A9" s="231"/>
      <c r="B9" s="231"/>
      <c r="C9" s="231"/>
      <c r="D9" s="188" t="s">
        <v>534</v>
      </c>
      <c r="E9" s="231"/>
      <c r="F9" s="231"/>
      <c r="I9" s="194"/>
      <c r="J9" s="194"/>
      <c r="K9" s="194"/>
      <c r="L9" s="194" t="s">
        <v>500</v>
      </c>
      <c r="M9" s="194" t="s">
        <v>501</v>
      </c>
      <c r="N9" s="194"/>
      <c r="O9" s="194"/>
      <c r="P9" s="194"/>
    </row>
    <row r="10" spans="1:16">
      <c r="A10" s="231"/>
      <c r="B10" s="231"/>
      <c r="C10" s="231"/>
      <c r="D10" s="189" t="s">
        <v>535</v>
      </c>
      <c r="E10" s="231"/>
      <c r="F10" s="231"/>
      <c r="I10" s="194"/>
      <c r="J10" s="194"/>
      <c r="K10" s="194"/>
      <c r="L10" s="194" t="s">
        <v>502</v>
      </c>
      <c r="M10" s="194" t="s">
        <v>503</v>
      </c>
      <c r="N10" s="194"/>
      <c r="O10" s="194"/>
      <c r="P10" s="194"/>
    </row>
    <row r="11" spans="1:16">
      <c r="A11" s="231"/>
      <c r="B11" s="231"/>
      <c r="C11" s="231"/>
      <c r="D11" s="190" t="s">
        <v>536</v>
      </c>
      <c r="E11" s="231"/>
      <c r="F11" s="231"/>
      <c r="I11" s="194"/>
      <c r="J11" s="194"/>
      <c r="K11" s="194"/>
      <c r="L11" s="194"/>
      <c r="M11" s="194"/>
      <c r="N11" s="194"/>
      <c r="O11" s="194"/>
      <c r="P11" s="194"/>
    </row>
    <row r="12" spans="1:16">
      <c r="A12" s="231"/>
      <c r="B12" s="231"/>
      <c r="C12" s="231"/>
      <c r="D12" s="110" t="s">
        <v>537</v>
      </c>
      <c r="E12" s="231"/>
      <c r="F12" s="231"/>
    </row>
    <row r="13" spans="1:16">
      <c r="A13" s="231"/>
      <c r="B13" s="231"/>
      <c r="C13" s="231"/>
      <c r="D13" s="231"/>
      <c r="E13" s="231"/>
      <c r="F13" s="231"/>
    </row>
    <row r="14" spans="1:16">
      <c r="A14" s="231"/>
      <c r="B14" s="231"/>
      <c r="C14" s="231"/>
      <c r="D14" s="231"/>
      <c r="E14" s="233"/>
      <c r="F14" s="231"/>
      <c r="K14" s="113"/>
    </row>
    <row r="15" spans="1:16">
      <c r="A15" s="231"/>
      <c r="B15" s="231"/>
      <c r="C15" s="232" t="s">
        <v>538</v>
      </c>
      <c r="D15" s="105" t="s">
        <v>539</v>
      </c>
      <c r="E15" s="231"/>
      <c r="F15" s="231"/>
      <c r="I15" s="545" t="s">
        <v>727</v>
      </c>
      <c r="J15" s="546"/>
      <c r="K15" s="113"/>
    </row>
    <row r="16" spans="1:16">
      <c r="A16" s="231"/>
      <c r="B16" s="231"/>
      <c r="C16" s="232"/>
      <c r="D16" s="191" t="s">
        <v>540</v>
      </c>
      <c r="E16" s="231"/>
      <c r="F16" s="231"/>
      <c r="I16" s="267" t="s">
        <v>728</v>
      </c>
      <c r="J16" s="353" t="s">
        <v>793</v>
      </c>
      <c r="K16" s="113"/>
    </row>
    <row r="17" spans="1:16">
      <c r="A17" s="231"/>
      <c r="B17" s="231"/>
      <c r="C17" s="231"/>
      <c r="D17" s="192" t="s">
        <v>541</v>
      </c>
      <c r="E17" s="231"/>
      <c r="F17" s="231"/>
      <c r="I17" s="267" t="s">
        <v>747</v>
      </c>
      <c r="J17" s="267" t="s">
        <v>746</v>
      </c>
      <c r="K17" s="194" t="s">
        <v>787</v>
      </c>
      <c r="L17" s="194"/>
      <c r="M17" s="194"/>
      <c r="N17" s="194"/>
      <c r="O17" s="194"/>
      <c r="P17" s="194"/>
    </row>
    <row r="18" spans="1:16">
      <c r="A18" s="231"/>
      <c r="B18" s="231"/>
      <c r="C18" s="231"/>
      <c r="D18" s="193" t="s">
        <v>542</v>
      </c>
      <c r="E18" s="231"/>
      <c r="F18" s="231"/>
    </row>
    <row r="19" spans="1:16">
      <c r="A19" s="231"/>
      <c r="B19" s="231"/>
      <c r="C19" s="231"/>
      <c r="D19" s="194" t="s">
        <v>543</v>
      </c>
      <c r="E19" s="234"/>
      <c r="F19" s="231"/>
    </row>
    <row r="20" spans="1:16">
      <c r="A20" s="231"/>
      <c r="B20" s="231"/>
      <c r="C20" s="231"/>
      <c r="D20" s="195" t="s">
        <v>544</v>
      </c>
      <c r="E20" s="234"/>
      <c r="F20" s="231"/>
      <c r="I20" s="96" t="s">
        <v>92</v>
      </c>
    </row>
    <row r="21" spans="1:16">
      <c r="A21" s="231"/>
      <c r="B21" s="231"/>
      <c r="C21" s="231"/>
      <c r="D21" s="231"/>
      <c r="E21" s="231"/>
      <c r="F21" s="231"/>
      <c r="I21" s="267" t="s">
        <v>1359</v>
      </c>
      <c r="L21" s="113"/>
      <c r="M21" s="113"/>
      <c r="N21" s="113"/>
      <c r="O21" s="113"/>
    </row>
    <row r="22" spans="1:16">
      <c r="A22" s="231"/>
      <c r="B22" s="231"/>
      <c r="C22" s="231" t="s">
        <v>1168</v>
      </c>
      <c r="D22" s="335"/>
      <c r="E22" s="231"/>
      <c r="F22" s="231"/>
      <c r="I22" s="267" t="s">
        <v>1360</v>
      </c>
      <c r="L22" s="113"/>
      <c r="M22" s="113"/>
      <c r="N22" s="113"/>
      <c r="O22" s="113"/>
    </row>
    <row r="23" spans="1:16">
      <c r="A23" s="231"/>
      <c r="B23" s="231"/>
      <c r="C23" s="231"/>
      <c r="D23" s="231"/>
      <c r="E23" s="231"/>
      <c r="F23" s="231"/>
      <c r="L23" s="113"/>
    </row>
    <row r="24" spans="1:16">
      <c r="L24" s="113"/>
    </row>
  </sheetData>
  <mergeCells count="2">
    <mergeCell ref="A1:F1"/>
    <mergeCell ref="I15:J15"/>
  </mergeCells>
  <conditionalFormatting sqref="E14 E7 C15:C16 C8">
    <cfRule type="expression" dxfId="7" priority="1" stopIfTrue="1">
      <formula>IF(ISLOGICAL(C7),(C7),FALSE)</formula>
    </cfRule>
  </conditionalFormatting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C000"/>
  </sheetPr>
  <dimension ref="A1:G309"/>
  <sheetViews>
    <sheetView workbookViewId="0">
      <pane xSplit="6" ySplit="1" topLeftCell="G2" activePane="bottomRight" state="frozen"/>
      <selection pane="topRight" activeCell="D1" sqref="D1"/>
      <selection pane="bottomLeft" activeCell="A2" sqref="A2"/>
      <selection pane="bottomRight"/>
    </sheetView>
  </sheetViews>
  <sheetFormatPr defaultRowHeight="15"/>
  <cols>
    <col min="1" max="1" width="26.85546875" style="598" bestFit="1" customWidth="1"/>
    <col min="2" max="2" width="5.42578125" style="598" customWidth="1"/>
    <col min="3" max="3" width="9.42578125" style="598" bestFit="1" customWidth="1"/>
    <col min="4" max="4" width="8.42578125" style="598" customWidth="1"/>
    <col min="5" max="5" width="10.7109375" style="598" customWidth="1"/>
    <col min="6" max="6" width="13" style="598" customWidth="1"/>
    <col min="7" max="7" width="25" style="598" customWidth="1"/>
    <col min="8" max="16384" width="9.140625" style="598"/>
  </cols>
  <sheetData>
    <row r="1" spans="1:7" ht="11.1" customHeight="1">
      <c r="A1" s="597" t="s">
        <v>228</v>
      </c>
      <c r="B1" s="597" t="s">
        <v>637</v>
      </c>
      <c r="C1" s="597" t="s">
        <v>230</v>
      </c>
      <c r="D1" s="597" t="s">
        <v>638</v>
      </c>
      <c r="E1" s="597" t="s">
        <v>639</v>
      </c>
      <c r="F1" s="597" t="s">
        <v>206</v>
      </c>
      <c r="G1" s="597" t="s">
        <v>207</v>
      </c>
    </row>
    <row r="2" spans="1:7" ht="11.1" customHeight="1">
      <c r="A2" s="599" t="s">
        <v>636</v>
      </c>
      <c r="B2" s="600" t="str">
        <f>D2</f>
        <v>Total</v>
      </c>
      <c r="C2" s="600">
        <f>E2</f>
        <v>0</v>
      </c>
      <c r="D2" s="601" t="s">
        <v>636</v>
      </c>
      <c r="E2" s="601"/>
      <c r="F2" s="601"/>
      <c r="G2" s="602">
        <v>0</v>
      </c>
    </row>
    <row r="3" spans="1:7" ht="11.1" customHeight="1">
      <c r="A3" s="600" t="str">
        <f>B3&amp;";"&amp;C3&amp;";"&amp;F3</f>
        <v>CHF;CHF :STD;Total CHF :STD</v>
      </c>
      <c r="B3" s="600" t="str">
        <f>IF(ISBLANK(D3),B2,D3)</f>
        <v>CHF</v>
      </c>
      <c r="C3" s="600" t="str">
        <f>E3</f>
        <v>CHF :STD</v>
      </c>
      <c r="D3" s="603" t="s">
        <v>1188</v>
      </c>
      <c r="E3" s="604" t="s">
        <v>1197</v>
      </c>
      <c r="F3" s="605" t="s">
        <v>1198</v>
      </c>
      <c r="G3" s="606">
        <v>-500.00012523954098</v>
      </c>
    </row>
    <row r="4" spans="1:7" ht="11.1" customHeight="1">
      <c r="A4" s="600" t="str">
        <f>B4&amp;";"&amp;C4&amp;";"&amp;F4</f>
        <v>CHF;CHF :STD;S/N</v>
      </c>
      <c r="B4" s="600" t="str">
        <f>IF(ISBLANK(D4),B3,D4)</f>
        <v>CHF</v>
      </c>
      <c r="C4" s="600" t="str">
        <f>IF(ISBLANK(E4),C3,E4)</f>
        <v>CHF :STD</v>
      </c>
      <c r="D4" s="603"/>
      <c r="E4" s="604"/>
      <c r="F4" s="607" t="s">
        <v>23</v>
      </c>
      <c r="G4" s="608">
        <v>0</v>
      </c>
    </row>
    <row r="5" spans="1:7" ht="11.1" customHeight="1">
      <c r="A5" s="600" t="str">
        <f t="shared" ref="A5:A68" si="0">B5&amp;";"&amp;C5&amp;";"&amp;F5</f>
        <v>CHF;CHF :STD;1W</v>
      </c>
      <c r="B5" s="600" t="str">
        <f t="shared" ref="B5:C20" si="1">IF(ISBLANK(D5),B4,D5)</f>
        <v>CHF</v>
      </c>
      <c r="C5" s="600" t="str">
        <f t="shared" si="1"/>
        <v>CHF :STD</v>
      </c>
      <c r="D5" s="603"/>
      <c r="E5" s="604"/>
      <c r="F5" s="607" t="s">
        <v>5</v>
      </c>
      <c r="G5" s="608">
        <v>0</v>
      </c>
    </row>
    <row r="6" spans="1:7" ht="11.1" customHeight="1">
      <c r="A6" s="600" t="str">
        <f t="shared" si="0"/>
        <v>CHF;CHF :STD;1M</v>
      </c>
      <c r="B6" s="600" t="str">
        <f t="shared" si="1"/>
        <v>CHF</v>
      </c>
      <c r="C6" s="600" t="str">
        <f t="shared" si="1"/>
        <v>CHF :STD</v>
      </c>
      <c r="D6" s="603"/>
      <c r="E6" s="604"/>
      <c r="F6" s="607" t="s">
        <v>7</v>
      </c>
      <c r="G6" s="608">
        <v>0</v>
      </c>
    </row>
    <row r="7" spans="1:7" ht="11.1" customHeight="1">
      <c r="A7" s="600" t="str">
        <f t="shared" si="0"/>
        <v>CHF;CHF :STD;2M</v>
      </c>
      <c r="B7" s="600" t="str">
        <f t="shared" si="1"/>
        <v>CHF</v>
      </c>
      <c r="C7" s="600" t="str">
        <f t="shared" si="1"/>
        <v>CHF :STD</v>
      </c>
      <c r="D7" s="603"/>
      <c r="E7" s="604"/>
      <c r="F7" s="607" t="s">
        <v>8</v>
      </c>
      <c r="G7" s="608">
        <v>0</v>
      </c>
    </row>
    <row r="8" spans="1:7" ht="11.1" customHeight="1">
      <c r="A8" s="600" t="str">
        <f t="shared" si="0"/>
        <v>CHF;CHF :STD;3M</v>
      </c>
      <c r="B8" s="600" t="str">
        <f t="shared" si="1"/>
        <v>CHF</v>
      </c>
      <c r="C8" s="600" t="str">
        <f t="shared" si="1"/>
        <v>CHF :STD</v>
      </c>
      <c r="D8" s="603"/>
      <c r="E8" s="604"/>
      <c r="F8" s="607" t="s">
        <v>25</v>
      </c>
      <c r="G8" s="608">
        <v>0</v>
      </c>
    </row>
    <row r="9" spans="1:7" ht="11.1" customHeight="1">
      <c r="A9" s="600" t="str">
        <f t="shared" si="0"/>
        <v>CHF;CHF :STD;DEC 16</v>
      </c>
      <c r="B9" s="600" t="str">
        <f t="shared" si="1"/>
        <v>CHF</v>
      </c>
      <c r="C9" s="600" t="str">
        <f t="shared" si="1"/>
        <v>CHF :STD</v>
      </c>
      <c r="D9" s="603"/>
      <c r="E9" s="604"/>
      <c r="F9" s="607" t="s">
        <v>1060</v>
      </c>
      <c r="G9" s="606">
        <v>-500.00012523954098</v>
      </c>
    </row>
    <row r="10" spans="1:7" ht="11.1" customHeight="1">
      <c r="A10" s="600" t="str">
        <f t="shared" si="0"/>
        <v>CHF;CHF :STD;MAR 17</v>
      </c>
      <c r="B10" s="600" t="str">
        <f t="shared" si="1"/>
        <v>CHF</v>
      </c>
      <c r="C10" s="600" t="str">
        <f t="shared" si="1"/>
        <v>CHF :STD</v>
      </c>
      <c r="D10" s="603"/>
      <c r="E10" s="604"/>
      <c r="F10" s="607" t="s">
        <v>1063</v>
      </c>
      <c r="G10" s="608">
        <v>0</v>
      </c>
    </row>
    <row r="11" spans="1:7" ht="11.1" customHeight="1">
      <c r="A11" s="600" t="str">
        <f t="shared" si="0"/>
        <v>CHF;CHF :STD;JUN 17</v>
      </c>
      <c r="B11" s="600" t="str">
        <f t="shared" si="1"/>
        <v>CHF</v>
      </c>
      <c r="C11" s="600" t="str">
        <f t="shared" si="1"/>
        <v>CHF :STD</v>
      </c>
      <c r="D11" s="603"/>
      <c r="E11" s="604"/>
      <c r="F11" s="607" t="s">
        <v>1066</v>
      </c>
      <c r="G11" s="608">
        <v>0</v>
      </c>
    </row>
    <row r="12" spans="1:7" ht="11.1" customHeight="1">
      <c r="A12" s="600" t="str">
        <f t="shared" si="0"/>
        <v>CHF;CHF :STD;SEP 17</v>
      </c>
      <c r="B12" s="600" t="str">
        <f t="shared" si="1"/>
        <v>CHF</v>
      </c>
      <c r="C12" s="600" t="str">
        <f t="shared" si="1"/>
        <v>CHF :STD</v>
      </c>
      <c r="D12" s="603"/>
      <c r="E12" s="604"/>
      <c r="F12" s="607" t="s">
        <v>1069</v>
      </c>
      <c r="G12" s="608">
        <v>0</v>
      </c>
    </row>
    <row r="13" spans="1:7" ht="11.1" customHeight="1">
      <c r="A13" s="600" t="str">
        <f t="shared" si="0"/>
        <v>CHF;CHF :STD;DEC 17</v>
      </c>
      <c r="B13" s="600" t="str">
        <f t="shared" si="1"/>
        <v>CHF</v>
      </c>
      <c r="C13" s="600" t="str">
        <f t="shared" si="1"/>
        <v>CHF :STD</v>
      </c>
      <c r="D13" s="603"/>
      <c r="E13" s="604"/>
      <c r="F13" s="607" t="s">
        <v>3865</v>
      </c>
      <c r="G13" s="608">
        <v>0</v>
      </c>
    </row>
    <row r="14" spans="1:7" ht="11.1" customHeight="1">
      <c r="A14" s="600" t="str">
        <f t="shared" si="0"/>
        <v>CHF;CHF :STD;MAR 18</v>
      </c>
      <c r="B14" s="600" t="str">
        <f t="shared" si="1"/>
        <v>CHF</v>
      </c>
      <c r="C14" s="600" t="str">
        <f t="shared" si="1"/>
        <v>CHF :STD</v>
      </c>
      <c r="D14" s="603"/>
      <c r="E14" s="604"/>
      <c r="F14" s="607" t="s">
        <v>3866</v>
      </c>
      <c r="G14" s="608">
        <v>0</v>
      </c>
    </row>
    <row r="15" spans="1:7" ht="11.1" customHeight="1">
      <c r="A15" s="600" t="str">
        <f t="shared" si="0"/>
        <v>CHF;CHF :STD;2Y</v>
      </c>
      <c r="B15" s="600" t="str">
        <f t="shared" si="1"/>
        <v>CHF</v>
      </c>
      <c r="C15" s="600" t="str">
        <f t="shared" si="1"/>
        <v>CHF :STD</v>
      </c>
      <c r="D15" s="603"/>
      <c r="E15" s="604"/>
      <c r="F15" s="607" t="s">
        <v>9</v>
      </c>
      <c r="G15" s="608">
        <v>0</v>
      </c>
    </row>
    <row r="16" spans="1:7" ht="11.1" customHeight="1">
      <c r="A16" s="600" t="str">
        <f t="shared" si="0"/>
        <v>CHF;CHF :STD;3Y</v>
      </c>
      <c r="B16" s="600" t="str">
        <f t="shared" si="1"/>
        <v>CHF</v>
      </c>
      <c r="C16" s="600" t="str">
        <f t="shared" si="1"/>
        <v>CHF :STD</v>
      </c>
      <c r="D16" s="603"/>
      <c r="E16" s="604"/>
      <c r="F16" s="607" t="s">
        <v>10</v>
      </c>
      <c r="G16" s="608">
        <v>0</v>
      </c>
    </row>
    <row r="17" spans="1:7" ht="11.1" customHeight="1">
      <c r="A17" s="600" t="str">
        <f t="shared" si="0"/>
        <v>CHF;CHF :STD;4Y</v>
      </c>
      <c r="B17" s="600" t="str">
        <f t="shared" si="1"/>
        <v>CHF</v>
      </c>
      <c r="C17" s="600" t="str">
        <f t="shared" si="1"/>
        <v>CHF :STD</v>
      </c>
      <c r="D17" s="603"/>
      <c r="E17" s="604"/>
      <c r="F17" s="607" t="s">
        <v>11</v>
      </c>
      <c r="G17" s="608">
        <v>0</v>
      </c>
    </row>
    <row r="18" spans="1:7" ht="11.1" customHeight="1">
      <c r="A18" s="600" t="str">
        <f t="shared" si="0"/>
        <v>CHF;CHF :STD;5Y</v>
      </c>
      <c r="B18" s="600" t="str">
        <f t="shared" si="1"/>
        <v>CHF</v>
      </c>
      <c r="C18" s="600" t="str">
        <f t="shared" si="1"/>
        <v>CHF :STD</v>
      </c>
      <c r="D18" s="603"/>
      <c r="E18" s="604"/>
      <c r="F18" s="607" t="s">
        <v>12</v>
      </c>
      <c r="G18" s="608">
        <v>0</v>
      </c>
    </row>
    <row r="19" spans="1:7" ht="11.1" customHeight="1">
      <c r="A19" s="600" t="str">
        <f t="shared" si="0"/>
        <v>CHF;CHF :STD;6Y</v>
      </c>
      <c r="B19" s="600" t="str">
        <f t="shared" si="1"/>
        <v>CHF</v>
      </c>
      <c r="C19" s="600" t="str">
        <f t="shared" si="1"/>
        <v>CHF :STD</v>
      </c>
      <c r="D19" s="603"/>
      <c r="E19" s="604"/>
      <c r="F19" s="607" t="s">
        <v>13</v>
      </c>
      <c r="G19" s="608">
        <v>0</v>
      </c>
    </row>
    <row r="20" spans="1:7" ht="11.1" customHeight="1">
      <c r="A20" s="600" t="str">
        <f t="shared" si="0"/>
        <v>CHF;CHF :STD;7Y</v>
      </c>
      <c r="B20" s="600" t="str">
        <f t="shared" si="1"/>
        <v>CHF</v>
      </c>
      <c r="C20" s="600" t="str">
        <f t="shared" si="1"/>
        <v>CHF :STD</v>
      </c>
      <c r="D20" s="603"/>
      <c r="E20" s="604"/>
      <c r="F20" s="607" t="s">
        <v>14</v>
      </c>
      <c r="G20" s="608">
        <v>0</v>
      </c>
    </row>
    <row r="21" spans="1:7" ht="11.1" customHeight="1">
      <c r="A21" s="600" t="str">
        <f t="shared" si="0"/>
        <v>CHF;CHF :STD;8Y</v>
      </c>
      <c r="B21" s="600" t="str">
        <f t="shared" ref="B21:C36" si="2">IF(ISBLANK(D21),B20,D21)</f>
        <v>CHF</v>
      </c>
      <c r="C21" s="600" t="str">
        <f t="shared" si="2"/>
        <v>CHF :STD</v>
      </c>
      <c r="D21" s="603"/>
      <c r="E21" s="604"/>
      <c r="F21" s="607" t="s">
        <v>15</v>
      </c>
      <c r="G21" s="608">
        <v>0</v>
      </c>
    </row>
    <row r="22" spans="1:7" ht="11.1" customHeight="1">
      <c r="A22" s="600" t="str">
        <f t="shared" si="0"/>
        <v>CHF;CHF :STD;9Y</v>
      </c>
      <c r="B22" s="600" t="str">
        <f t="shared" si="2"/>
        <v>CHF</v>
      </c>
      <c r="C22" s="600" t="str">
        <f t="shared" si="2"/>
        <v>CHF :STD</v>
      </c>
      <c r="D22" s="603"/>
      <c r="E22" s="604"/>
      <c r="F22" s="607" t="s">
        <v>16</v>
      </c>
      <c r="G22" s="608">
        <v>0</v>
      </c>
    </row>
    <row r="23" spans="1:7" ht="11.1" customHeight="1">
      <c r="A23" s="600" t="str">
        <f t="shared" si="0"/>
        <v>CHF;CHF :STD;10Y</v>
      </c>
      <c r="B23" s="600" t="str">
        <f t="shared" si="2"/>
        <v>CHF</v>
      </c>
      <c r="C23" s="600" t="str">
        <f t="shared" si="2"/>
        <v>CHF :STD</v>
      </c>
      <c r="D23" s="603"/>
      <c r="E23" s="604"/>
      <c r="F23" s="607" t="s">
        <v>17</v>
      </c>
      <c r="G23" s="608">
        <v>0</v>
      </c>
    </row>
    <row r="24" spans="1:7" ht="11.1" customHeight="1">
      <c r="A24" s="600" t="str">
        <f t="shared" si="0"/>
        <v>CHF;CHF :STD;12Y</v>
      </c>
      <c r="B24" s="600" t="str">
        <f t="shared" si="2"/>
        <v>CHF</v>
      </c>
      <c r="C24" s="600" t="str">
        <f t="shared" si="2"/>
        <v>CHF :STD</v>
      </c>
      <c r="D24" s="603"/>
      <c r="E24" s="604"/>
      <c r="F24" s="607" t="s">
        <v>18</v>
      </c>
      <c r="G24" s="608">
        <v>0</v>
      </c>
    </row>
    <row r="25" spans="1:7" ht="11.1" customHeight="1">
      <c r="A25" s="600" t="str">
        <f t="shared" si="0"/>
        <v>CHF;CHF :STD;15Y</v>
      </c>
      <c r="B25" s="600" t="str">
        <f t="shared" si="2"/>
        <v>CHF</v>
      </c>
      <c r="C25" s="600" t="str">
        <f t="shared" si="2"/>
        <v>CHF :STD</v>
      </c>
      <c r="D25" s="603"/>
      <c r="E25" s="604"/>
      <c r="F25" s="607" t="s">
        <v>19</v>
      </c>
      <c r="G25" s="608">
        <v>0</v>
      </c>
    </row>
    <row r="26" spans="1:7" ht="11.1" customHeight="1">
      <c r="A26" s="600" t="str">
        <f t="shared" si="0"/>
        <v>CHF;CHF :STD;20Y</v>
      </c>
      <c r="B26" s="600" t="str">
        <f t="shared" si="2"/>
        <v>CHF</v>
      </c>
      <c r="C26" s="600" t="str">
        <f t="shared" si="2"/>
        <v>CHF :STD</v>
      </c>
      <c r="D26" s="603"/>
      <c r="E26" s="604"/>
      <c r="F26" s="607" t="s">
        <v>20</v>
      </c>
      <c r="G26" s="608">
        <v>0</v>
      </c>
    </row>
    <row r="27" spans="1:7" ht="11.1" customHeight="1">
      <c r="A27" s="600" t="str">
        <f t="shared" si="0"/>
        <v>CHF;CHF :STD;25Y</v>
      </c>
      <c r="B27" s="600" t="str">
        <f t="shared" si="2"/>
        <v>CHF</v>
      </c>
      <c r="C27" s="600" t="str">
        <f t="shared" si="2"/>
        <v>CHF :STD</v>
      </c>
      <c r="D27" s="603"/>
      <c r="E27" s="604"/>
      <c r="F27" s="607" t="s">
        <v>21</v>
      </c>
      <c r="G27" s="608">
        <v>0</v>
      </c>
    </row>
    <row r="28" spans="1:7" ht="11.1" customHeight="1">
      <c r="A28" s="600" t="str">
        <f t="shared" si="0"/>
        <v>CHF;CHF :STD;30Y</v>
      </c>
      <c r="B28" s="600" t="str">
        <f t="shared" si="2"/>
        <v>CHF</v>
      </c>
      <c r="C28" s="600" t="str">
        <f t="shared" si="2"/>
        <v>CHF :STD</v>
      </c>
      <c r="D28" s="603"/>
      <c r="E28" s="604"/>
      <c r="F28" s="607" t="s">
        <v>22</v>
      </c>
      <c r="G28" s="608">
        <v>0</v>
      </c>
    </row>
    <row r="29" spans="1:7" ht="11.1" customHeight="1">
      <c r="A29" s="600" t="str">
        <f t="shared" si="0"/>
        <v>EUR;Total EUR;</v>
      </c>
      <c r="B29" s="600" t="str">
        <f t="shared" si="2"/>
        <v>EUR</v>
      </c>
      <c r="C29" s="600" t="str">
        <f t="shared" si="2"/>
        <v>Total EUR</v>
      </c>
      <c r="D29" s="603" t="s">
        <v>208</v>
      </c>
      <c r="E29" s="609" t="s">
        <v>640</v>
      </c>
      <c r="F29" s="609"/>
      <c r="G29" s="610">
        <v>32391.649363191202</v>
      </c>
    </row>
    <row r="30" spans="1:7" ht="11.1" customHeight="1">
      <c r="A30" s="600" t="str">
        <f t="shared" si="0"/>
        <v>EUR;EUR 3M;Total EUR 3M</v>
      </c>
      <c r="B30" s="600" t="str">
        <f t="shared" si="2"/>
        <v>EUR</v>
      </c>
      <c r="C30" s="600" t="str">
        <f t="shared" si="2"/>
        <v>EUR 3M</v>
      </c>
      <c r="D30" s="603"/>
      <c r="E30" s="604" t="s">
        <v>88</v>
      </c>
      <c r="F30" s="605" t="s">
        <v>643</v>
      </c>
      <c r="G30" s="611">
        <v>30025.012832065499</v>
      </c>
    </row>
    <row r="31" spans="1:7" ht="11.1" customHeight="1">
      <c r="A31" s="600" t="str">
        <f t="shared" si="0"/>
        <v>EUR;EUR 3M;S/N</v>
      </c>
      <c r="B31" s="600" t="str">
        <f t="shared" si="2"/>
        <v>EUR</v>
      </c>
      <c r="C31" s="600" t="str">
        <f t="shared" si="2"/>
        <v>EUR 3M</v>
      </c>
      <c r="D31" s="603"/>
      <c r="E31" s="604"/>
      <c r="F31" s="607" t="s">
        <v>23</v>
      </c>
      <c r="G31" s="611">
        <v>2.60745184441648</v>
      </c>
    </row>
    <row r="32" spans="1:7" ht="11.1" customHeight="1">
      <c r="A32" s="600" t="str">
        <f t="shared" si="0"/>
        <v>EUR;EUR 3M;1W</v>
      </c>
      <c r="B32" s="600" t="str">
        <f t="shared" si="2"/>
        <v>EUR</v>
      </c>
      <c r="C32" s="600" t="str">
        <f t="shared" si="2"/>
        <v>EUR 3M</v>
      </c>
      <c r="D32" s="603"/>
      <c r="E32" s="604"/>
      <c r="F32" s="607" t="s">
        <v>5</v>
      </c>
      <c r="G32" s="608">
        <v>0</v>
      </c>
    </row>
    <row r="33" spans="1:7" ht="11.1" customHeight="1">
      <c r="A33" s="600" t="str">
        <f t="shared" si="0"/>
        <v>EUR;EUR 3M;2W</v>
      </c>
      <c r="B33" s="600" t="str">
        <f t="shared" si="2"/>
        <v>EUR</v>
      </c>
      <c r="C33" s="600" t="str">
        <f t="shared" si="2"/>
        <v>EUR 3M</v>
      </c>
      <c r="D33" s="603"/>
      <c r="E33" s="604"/>
      <c r="F33" s="607" t="s">
        <v>6</v>
      </c>
      <c r="G33" s="611">
        <v>2.4091419178420201</v>
      </c>
    </row>
    <row r="34" spans="1:7" ht="11.1" customHeight="1">
      <c r="A34" s="600" t="str">
        <f t="shared" si="0"/>
        <v>EUR;EUR 3M;3W</v>
      </c>
      <c r="B34" s="600" t="str">
        <f t="shared" si="2"/>
        <v>EUR</v>
      </c>
      <c r="C34" s="600" t="str">
        <f t="shared" si="2"/>
        <v>EUR 3M</v>
      </c>
      <c r="D34" s="603"/>
      <c r="E34" s="604"/>
      <c r="F34" s="607" t="s">
        <v>24</v>
      </c>
      <c r="G34" s="606">
        <v>-21.7720035742242</v>
      </c>
    </row>
    <row r="35" spans="1:7" ht="11.1" customHeight="1">
      <c r="A35" s="600" t="str">
        <f t="shared" si="0"/>
        <v>EUR;EUR 3M;1M</v>
      </c>
      <c r="B35" s="600" t="str">
        <f t="shared" si="2"/>
        <v>EUR</v>
      </c>
      <c r="C35" s="600" t="str">
        <f t="shared" si="2"/>
        <v>EUR 3M</v>
      </c>
      <c r="D35" s="603"/>
      <c r="E35" s="604"/>
      <c r="F35" s="607" t="s">
        <v>7</v>
      </c>
      <c r="G35" s="611">
        <v>26.7276478685095</v>
      </c>
    </row>
    <row r="36" spans="1:7" ht="11.1" customHeight="1">
      <c r="A36" s="600" t="str">
        <f t="shared" si="0"/>
        <v>EUR;EUR 3M;2M</v>
      </c>
      <c r="B36" s="600" t="str">
        <f t="shared" si="2"/>
        <v>EUR</v>
      </c>
      <c r="C36" s="600" t="str">
        <f t="shared" si="2"/>
        <v>EUR 3M</v>
      </c>
      <c r="D36" s="603"/>
      <c r="E36" s="604"/>
      <c r="F36" s="607" t="s">
        <v>8</v>
      </c>
      <c r="G36" s="611">
        <v>7.5780470153539303</v>
      </c>
    </row>
    <row r="37" spans="1:7" ht="11.1" customHeight="1">
      <c r="A37" s="600" t="str">
        <f t="shared" si="0"/>
        <v>EUR;EUR 3M;3M</v>
      </c>
      <c r="B37" s="600" t="str">
        <f t="shared" ref="B37:C52" si="3">IF(ISBLANK(D37),B36,D37)</f>
        <v>EUR</v>
      </c>
      <c r="C37" s="600" t="str">
        <f t="shared" si="3"/>
        <v>EUR 3M</v>
      </c>
      <c r="D37" s="603"/>
      <c r="E37" s="604"/>
      <c r="F37" s="607" t="s">
        <v>25</v>
      </c>
      <c r="G37" s="611">
        <v>46.3612476815346</v>
      </c>
    </row>
    <row r="38" spans="1:7" ht="11.1" customHeight="1">
      <c r="A38" s="600" t="str">
        <f t="shared" si="0"/>
        <v>EUR;EUR 3M;1M-4M</v>
      </c>
      <c r="B38" s="600" t="str">
        <f t="shared" si="3"/>
        <v>EUR</v>
      </c>
      <c r="C38" s="600" t="str">
        <f t="shared" si="3"/>
        <v>EUR 3M</v>
      </c>
      <c r="D38" s="603"/>
      <c r="E38" s="604"/>
      <c r="F38" s="607" t="s">
        <v>1350</v>
      </c>
      <c r="G38" s="611">
        <v>2446.2458663196298</v>
      </c>
    </row>
    <row r="39" spans="1:7" ht="11.1" customHeight="1">
      <c r="A39" s="600" t="str">
        <f t="shared" si="0"/>
        <v>EUR;EUR 3M;2M-5M</v>
      </c>
      <c r="B39" s="600" t="str">
        <f t="shared" si="3"/>
        <v>EUR</v>
      </c>
      <c r="C39" s="600" t="str">
        <f t="shared" si="3"/>
        <v>EUR 3M</v>
      </c>
      <c r="D39" s="603"/>
      <c r="E39" s="604"/>
      <c r="F39" s="607" t="s">
        <v>1351</v>
      </c>
      <c r="G39" s="606">
        <v>-49.294156019359001</v>
      </c>
    </row>
    <row r="40" spans="1:7" ht="11.1" customHeight="1">
      <c r="A40" s="600" t="str">
        <f t="shared" si="0"/>
        <v>EUR;EUR 3M;3M-6M</v>
      </c>
      <c r="B40" s="600" t="str">
        <f t="shared" si="3"/>
        <v>EUR</v>
      </c>
      <c r="C40" s="600" t="str">
        <f t="shared" si="3"/>
        <v>EUR 3M</v>
      </c>
      <c r="D40" s="603"/>
      <c r="E40" s="604"/>
      <c r="F40" s="607" t="s">
        <v>1213</v>
      </c>
      <c r="G40" s="611">
        <v>576.43654919679602</v>
      </c>
    </row>
    <row r="41" spans="1:7" ht="11.1" customHeight="1">
      <c r="A41" s="600" t="str">
        <f t="shared" si="0"/>
        <v>EUR;EUR 3M;4M-7M</v>
      </c>
      <c r="B41" s="600" t="str">
        <f t="shared" si="3"/>
        <v>EUR</v>
      </c>
      <c r="C41" s="600" t="str">
        <f t="shared" si="3"/>
        <v>EUR 3M</v>
      </c>
      <c r="D41" s="603"/>
      <c r="E41" s="604"/>
      <c r="F41" s="607" t="s">
        <v>1352</v>
      </c>
      <c r="G41" s="611">
        <v>2048.5223853603002</v>
      </c>
    </row>
    <row r="42" spans="1:7" ht="11.1" customHeight="1">
      <c r="A42" s="600" t="str">
        <f t="shared" si="0"/>
        <v>EUR;EUR 3M;5M-8M</v>
      </c>
      <c r="B42" s="600" t="str">
        <f t="shared" si="3"/>
        <v>EUR</v>
      </c>
      <c r="C42" s="600" t="str">
        <f t="shared" si="3"/>
        <v>EUR 3M</v>
      </c>
      <c r="D42" s="603"/>
      <c r="E42" s="604"/>
      <c r="F42" s="607" t="s">
        <v>1353</v>
      </c>
      <c r="G42" s="606">
        <v>-98.594885143408703</v>
      </c>
    </row>
    <row r="43" spans="1:7" ht="11.1" customHeight="1">
      <c r="A43" s="600" t="str">
        <f t="shared" si="0"/>
        <v>EUR;EUR 3M;6M-9M</v>
      </c>
      <c r="B43" s="600" t="str">
        <f t="shared" si="3"/>
        <v>EUR</v>
      </c>
      <c r="C43" s="600" t="str">
        <f t="shared" si="3"/>
        <v>EUR 3M</v>
      </c>
      <c r="D43" s="603"/>
      <c r="E43" s="604"/>
      <c r="F43" s="607" t="s">
        <v>1214</v>
      </c>
      <c r="G43" s="611">
        <v>280.41468820529298</v>
      </c>
    </row>
    <row r="44" spans="1:7" ht="11.1" customHeight="1">
      <c r="A44" s="600" t="str">
        <f t="shared" si="0"/>
        <v>EUR;EUR 3M;7M-10M</v>
      </c>
      <c r="B44" s="600" t="str">
        <f t="shared" si="3"/>
        <v>EUR</v>
      </c>
      <c r="C44" s="600" t="str">
        <f t="shared" si="3"/>
        <v>EUR 3M</v>
      </c>
      <c r="D44" s="603"/>
      <c r="E44" s="604"/>
      <c r="F44" s="607" t="s">
        <v>1354</v>
      </c>
      <c r="G44" s="611">
        <v>9812.07371056189</v>
      </c>
    </row>
    <row r="45" spans="1:7" ht="11.1" customHeight="1">
      <c r="A45" s="600" t="str">
        <f t="shared" si="0"/>
        <v>EUR;EUR 3M;8M-11M</v>
      </c>
      <c r="B45" s="600" t="str">
        <f t="shared" si="3"/>
        <v>EUR</v>
      </c>
      <c r="C45" s="600" t="str">
        <f t="shared" si="3"/>
        <v>EUR 3M</v>
      </c>
      <c r="D45" s="603"/>
      <c r="E45" s="604"/>
      <c r="F45" s="607" t="s">
        <v>1355</v>
      </c>
      <c r="G45" s="606">
        <v>-95.066891329080605</v>
      </c>
    </row>
    <row r="46" spans="1:7" ht="11.1" customHeight="1">
      <c r="A46" s="600" t="str">
        <f t="shared" si="0"/>
        <v>EUR;EUR 3M;9M-12M</v>
      </c>
      <c r="B46" s="600" t="str">
        <f t="shared" si="3"/>
        <v>EUR</v>
      </c>
      <c r="C46" s="600" t="str">
        <f t="shared" si="3"/>
        <v>EUR 3M</v>
      </c>
      <c r="D46" s="603"/>
      <c r="E46" s="604"/>
      <c r="F46" s="607" t="s">
        <v>1215</v>
      </c>
      <c r="G46" s="611">
        <v>298.260532456281</v>
      </c>
    </row>
    <row r="47" spans="1:7" ht="11.1" customHeight="1">
      <c r="A47" s="600" t="str">
        <f t="shared" si="0"/>
        <v>EUR;EUR 3M;10M-13M</v>
      </c>
      <c r="B47" s="600" t="str">
        <f t="shared" si="3"/>
        <v>EUR</v>
      </c>
      <c r="C47" s="600" t="str">
        <f t="shared" si="3"/>
        <v>EUR 3M</v>
      </c>
      <c r="D47" s="603"/>
      <c r="E47" s="604"/>
      <c r="F47" s="607" t="s">
        <v>3887</v>
      </c>
      <c r="G47" s="611">
        <v>4796.3625470883599</v>
      </c>
    </row>
    <row r="48" spans="1:7" ht="11.1" customHeight="1">
      <c r="A48" s="600" t="str">
        <f t="shared" si="0"/>
        <v>EUR;EUR 3M;11M-14M</v>
      </c>
      <c r="B48" s="600" t="str">
        <f t="shared" si="3"/>
        <v>EUR</v>
      </c>
      <c r="C48" s="600" t="str">
        <f t="shared" si="3"/>
        <v>EUR 3M</v>
      </c>
      <c r="D48" s="603"/>
      <c r="E48" s="604"/>
      <c r="F48" s="607" t="s">
        <v>3888</v>
      </c>
      <c r="G48" s="606">
        <v>-80.795608480259901</v>
      </c>
    </row>
    <row r="49" spans="1:7" ht="11.1" customHeight="1">
      <c r="A49" s="600" t="str">
        <f t="shared" si="0"/>
        <v>EUR;EUR 3M;12M-15M</v>
      </c>
      <c r="B49" s="600" t="str">
        <f t="shared" si="3"/>
        <v>EUR</v>
      </c>
      <c r="C49" s="600" t="str">
        <f t="shared" si="3"/>
        <v>EUR 3M</v>
      </c>
      <c r="D49" s="603"/>
      <c r="E49" s="604"/>
      <c r="F49" s="607" t="s">
        <v>2179</v>
      </c>
      <c r="G49" s="611">
        <v>1.5818729084757299</v>
      </c>
    </row>
    <row r="50" spans="1:7" ht="11.1" customHeight="1">
      <c r="A50" s="600" t="str">
        <f t="shared" si="0"/>
        <v>EUR;EUR 3M;DEC 17</v>
      </c>
      <c r="B50" s="600" t="str">
        <f t="shared" si="3"/>
        <v>EUR</v>
      </c>
      <c r="C50" s="600" t="str">
        <f t="shared" si="3"/>
        <v>EUR 3M</v>
      </c>
      <c r="D50" s="603"/>
      <c r="E50" s="604"/>
      <c r="F50" s="607" t="s">
        <v>3865</v>
      </c>
      <c r="G50" s="611">
        <v>2499.9436457264101</v>
      </c>
    </row>
    <row r="51" spans="1:7" ht="11.1" customHeight="1">
      <c r="A51" s="600" t="str">
        <f t="shared" si="0"/>
        <v>EUR;EUR 3M;MAR 18</v>
      </c>
      <c r="B51" s="600" t="str">
        <f t="shared" si="3"/>
        <v>EUR</v>
      </c>
      <c r="C51" s="600" t="str">
        <f t="shared" si="3"/>
        <v>EUR 3M</v>
      </c>
      <c r="D51" s="603"/>
      <c r="E51" s="604"/>
      <c r="F51" s="607" t="s">
        <v>3866</v>
      </c>
      <c r="G51" s="606">
        <v>-2.98008586696596E-8</v>
      </c>
    </row>
    <row r="52" spans="1:7" ht="11.1" customHeight="1">
      <c r="A52" s="600" t="str">
        <f t="shared" si="0"/>
        <v>EUR;EUR 3M;JUN 18</v>
      </c>
      <c r="B52" s="600" t="str">
        <f t="shared" si="3"/>
        <v>EUR</v>
      </c>
      <c r="C52" s="600" t="str">
        <f t="shared" si="3"/>
        <v>EUR 3M</v>
      </c>
      <c r="D52" s="603"/>
      <c r="E52" s="604"/>
      <c r="F52" s="607" t="s">
        <v>3889</v>
      </c>
      <c r="G52" s="611">
        <v>25.000031929781802</v>
      </c>
    </row>
    <row r="53" spans="1:7" ht="11.1" customHeight="1">
      <c r="A53" s="600" t="str">
        <f t="shared" si="0"/>
        <v>EUR;EUR 3M;SEP 18</v>
      </c>
      <c r="B53" s="600" t="str">
        <f t="shared" ref="B53:C68" si="4">IF(ISBLANK(D53),B52,D53)</f>
        <v>EUR</v>
      </c>
      <c r="C53" s="600" t="str">
        <f t="shared" si="4"/>
        <v>EUR 3M</v>
      </c>
      <c r="D53" s="603"/>
      <c r="E53" s="604"/>
      <c r="F53" s="607" t="s">
        <v>3890</v>
      </c>
      <c r="G53" s="611">
        <v>5000.0063217919396</v>
      </c>
    </row>
    <row r="54" spans="1:7" ht="11.1" customHeight="1">
      <c r="A54" s="600" t="str">
        <f t="shared" si="0"/>
        <v>EUR;EUR 3M;DEC 18</v>
      </c>
      <c r="B54" s="600" t="str">
        <f t="shared" si="4"/>
        <v>EUR</v>
      </c>
      <c r="C54" s="600" t="str">
        <f t="shared" si="4"/>
        <v>EUR 3M</v>
      </c>
      <c r="D54" s="603"/>
      <c r="E54" s="604"/>
      <c r="F54" s="607" t="s">
        <v>4821</v>
      </c>
      <c r="G54" s="611">
        <v>2500.00468876884</v>
      </c>
    </row>
    <row r="55" spans="1:7" ht="11.1" customHeight="1">
      <c r="A55" s="600" t="str">
        <f t="shared" si="0"/>
        <v>EUR;EUR 3M;MAR 19</v>
      </c>
      <c r="B55" s="600" t="str">
        <f t="shared" si="4"/>
        <v>EUR</v>
      </c>
      <c r="C55" s="600" t="str">
        <f t="shared" si="4"/>
        <v>EUR 3M</v>
      </c>
      <c r="D55" s="603"/>
      <c r="E55" s="604"/>
      <c r="F55" s="607" t="s">
        <v>5100</v>
      </c>
      <c r="G55" s="608">
        <v>0</v>
      </c>
    </row>
    <row r="56" spans="1:7" ht="11.1" customHeight="1">
      <c r="A56" s="600" t="str">
        <f t="shared" si="0"/>
        <v>EUR;EUR 3M;3Y</v>
      </c>
      <c r="B56" s="600" t="str">
        <f t="shared" si="4"/>
        <v>EUR</v>
      </c>
      <c r="C56" s="600" t="str">
        <f t="shared" si="4"/>
        <v>EUR 3M</v>
      </c>
      <c r="D56" s="603"/>
      <c r="E56" s="604"/>
      <c r="F56" s="607" t="s">
        <v>10</v>
      </c>
      <c r="G56" s="608">
        <v>0</v>
      </c>
    </row>
    <row r="57" spans="1:7" ht="11.1" customHeight="1">
      <c r="A57" s="600" t="str">
        <f t="shared" si="0"/>
        <v>EUR;EUR 3M;4Y</v>
      </c>
      <c r="B57" s="600" t="str">
        <f t="shared" si="4"/>
        <v>EUR</v>
      </c>
      <c r="C57" s="600" t="str">
        <f t="shared" si="4"/>
        <v>EUR 3M</v>
      </c>
      <c r="D57" s="603"/>
      <c r="E57" s="604"/>
      <c r="F57" s="607" t="s">
        <v>11</v>
      </c>
      <c r="G57" s="608">
        <v>0</v>
      </c>
    </row>
    <row r="58" spans="1:7" ht="11.1" customHeight="1">
      <c r="A58" s="600" t="str">
        <f t="shared" si="0"/>
        <v>EUR;EUR 3M;5Y</v>
      </c>
      <c r="B58" s="600" t="str">
        <f t="shared" si="4"/>
        <v>EUR</v>
      </c>
      <c r="C58" s="600" t="str">
        <f t="shared" si="4"/>
        <v>EUR 3M</v>
      </c>
      <c r="D58" s="603"/>
      <c r="E58" s="604"/>
      <c r="F58" s="607" t="s">
        <v>12</v>
      </c>
      <c r="G58" s="608">
        <v>0</v>
      </c>
    </row>
    <row r="59" spans="1:7" ht="11.1" customHeight="1">
      <c r="A59" s="600" t="str">
        <f t="shared" si="0"/>
        <v>EUR;EUR 3M;6Y</v>
      </c>
      <c r="B59" s="600" t="str">
        <f t="shared" si="4"/>
        <v>EUR</v>
      </c>
      <c r="C59" s="600" t="str">
        <f t="shared" si="4"/>
        <v>EUR 3M</v>
      </c>
      <c r="D59" s="603"/>
      <c r="E59" s="604"/>
      <c r="F59" s="607" t="s">
        <v>13</v>
      </c>
      <c r="G59" s="608">
        <v>0</v>
      </c>
    </row>
    <row r="60" spans="1:7" ht="11.1" customHeight="1">
      <c r="A60" s="600" t="str">
        <f t="shared" si="0"/>
        <v>EUR;EUR 3M;7Y</v>
      </c>
      <c r="B60" s="600" t="str">
        <f t="shared" si="4"/>
        <v>EUR</v>
      </c>
      <c r="C60" s="600" t="str">
        <f t="shared" si="4"/>
        <v>EUR 3M</v>
      </c>
      <c r="D60" s="603"/>
      <c r="E60" s="604"/>
      <c r="F60" s="607" t="s">
        <v>14</v>
      </c>
      <c r="G60" s="608">
        <v>0</v>
      </c>
    </row>
    <row r="61" spans="1:7" ht="11.1" customHeight="1">
      <c r="A61" s="600" t="str">
        <f t="shared" si="0"/>
        <v>EUR;EUR 3M;8Y</v>
      </c>
      <c r="B61" s="600" t="str">
        <f t="shared" si="4"/>
        <v>EUR</v>
      </c>
      <c r="C61" s="600" t="str">
        <f t="shared" si="4"/>
        <v>EUR 3M</v>
      </c>
      <c r="D61" s="603"/>
      <c r="E61" s="604"/>
      <c r="F61" s="607" t="s">
        <v>15</v>
      </c>
      <c r="G61" s="608">
        <v>0</v>
      </c>
    </row>
    <row r="62" spans="1:7" ht="11.1" customHeight="1">
      <c r="A62" s="600" t="str">
        <f t="shared" si="0"/>
        <v>EUR;EUR 3M;9Y</v>
      </c>
      <c r="B62" s="600" t="str">
        <f t="shared" si="4"/>
        <v>EUR</v>
      </c>
      <c r="C62" s="600" t="str">
        <f t="shared" si="4"/>
        <v>EUR 3M</v>
      </c>
      <c r="D62" s="603"/>
      <c r="E62" s="604"/>
      <c r="F62" s="607" t="s">
        <v>16</v>
      </c>
      <c r="G62" s="608">
        <v>0</v>
      </c>
    </row>
    <row r="63" spans="1:7" ht="11.1" customHeight="1">
      <c r="A63" s="600" t="str">
        <f t="shared" si="0"/>
        <v>EUR;EUR 3M;10Y</v>
      </c>
      <c r="B63" s="600" t="str">
        <f t="shared" si="4"/>
        <v>EUR</v>
      </c>
      <c r="C63" s="600" t="str">
        <f t="shared" si="4"/>
        <v>EUR 3M</v>
      </c>
      <c r="D63" s="603"/>
      <c r="E63" s="604"/>
      <c r="F63" s="607" t="s">
        <v>17</v>
      </c>
      <c r="G63" s="608">
        <v>0</v>
      </c>
    </row>
    <row r="64" spans="1:7" ht="11.1" customHeight="1">
      <c r="A64" s="600" t="str">
        <f t="shared" si="0"/>
        <v>EUR;EUR 3M;11Y</v>
      </c>
      <c r="B64" s="600" t="str">
        <f t="shared" si="4"/>
        <v>EUR</v>
      </c>
      <c r="C64" s="600" t="str">
        <f t="shared" si="4"/>
        <v>EUR 3M</v>
      </c>
      <c r="D64" s="603"/>
      <c r="E64" s="604"/>
      <c r="F64" s="607" t="s">
        <v>31</v>
      </c>
      <c r="G64" s="608">
        <v>0</v>
      </c>
    </row>
    <row r="65" spans="1:7" ht="11.1" customHeight="1">
      <c r="A65" s="600" t="str">
        <f t="shared" si="0"/>
        <v>EUR;EUR 3M;12Y</v>
      </c>
      <c r="B65" s="600" t="str">
        <f t="shared" si="4"/>
        <v>EUR</v>
      </c>
      <c r="C65" s="600" t="str">
        <f t="shared" si="4"/>
        <v>EUR 3M</v>
      </c>
      <c r="D65" s="603"/>
      <c r="E65" s="604"/>
      <c r="F65" s="607" t="s">
        <v>18</v>
      </c>
      <c r="G65" s="608">
        <v>0</v>
      </c>
    </row>
    <row r="66" spans="1:7" ht="11.1" customHeight="1">
      <c r="A66" s="600" t="str">
        <f t="shared" si="0"/>
        <v>EUR;EUR 3M;13Y</v>
      </c>
      <c r="B66" s="600" t="str">
        <f t="shared" si="4"/>
        <v>EUR</v>
      </c>
      <c r="C66" s="600" t="str">
        <f t="shared" si="4"/>
        <v>EUR 3M</v>
      </c>
      <c r="D66" s="603"/>
      <c r="E66" s="604"/>
      <c r="F66" s="607" t="s">
        <v>32</v>
      </c>
      <c r="G66" s="608">
        <v>0</v>
      </c>
    </row>
    <row r="67" spans="1:7" ht="11.1" customHeight="1">
      <c r="A67" s="600" t="str">
        <f t="shared" si="0"/>
        <v>EUR;EUR 3M;14Y</v>
      </c>
      <c r="B67" s="600" t="str">
        <f t="shared" si="4"/>
        <v>EUR</v>
      </c>
      <c r="C67" s="600" t="str">
        <f t="shared" si="4"/>
        <v>EUR 3M</v>
      </c>
      <c r="D67" s="603"/>
      <c r="E67" s="604"/>
      <c r="F67" s="607" t="s">
        <v>33</v>
      </c>
      <c r="G67" s="608">
        <v>0</v>
      </c>
    </row>
    <row r="68" spans="1:7" ht="11.1" customHeight="1">
      <c r="A68" s="600" t="str">
        <f t="shared" si="0"/>
        <v>EUR;EUR 3M;15Y</v>
      </c>
      <c r="B68" s="600" t="str">
        <f t="shared" si="4"/>
        <v>EUR</v>
      </c>
      <c r="C68" s="600" t="str">
        <f t="shared" si="4"/>
        <v>EUR 3M</v>
      </c>
      <c r="D68" s="603"/>
      <c r="E68" s="604"/>
      <c r="F68" s="607" t="s">
        <v>19</v>
      </c>
      <c r="G68" s="608">
        <v>0</v>
      </c>
    </row>
    <row r="69" spans="1:7" ht="11.1" customHeight="1">
      <c r="A69" s="600" t="str">
        <f t="shared" ref="A69:A132" si="5">B69&amp;";"&amp;C69&amp;";"&amp;F69</f>
        <v>EUR;EUR 3M;16Y</v>
      </c>
      <c r="B69" s="600" t="str">
        <f t="shared" ref="B69:C84" si="6">IF(ISBLANK(D69),B68,D69)</f>
        <v>EUR</v>
      </c>
      <c r="C69" s="600" t="str">
        <f t="shared" si="6"/>
        <v>EUR 3M</v>
      </c>
      <c r="D69" s="603"/>
      <c r="E69" s="604"/>
      <c r="F69" s="607" t="s">
        <v>34</v>
      </c>
      <c r="G69" s="608">
        <v>0</v>
      </c>
    </row>
    <row r="70" spans="1:7" ht="11.1" customHeight="1">
      <c r="A70" s="600" t="str">
        <f t="shared" si="5"/>
        <v>EUR;EUR 3M;17Y</v>
      </c>
      <c r="B70" s="600" t="str">
        <f t="shared" si="6"/>
        <v>EUR</v>
      </c>
      <c r="C70" s="600" t="str">
        <f t="shared" si="6"/>
        <v>EUR 3M</v>
      </c>
      <c r="D70" s="603"/>
      <c r="E70" s="604"/>
      <c r="F70" s="607" t="s">
        <v>35</v>
      </c>
      <c r="G70" s="608">
        <v>0</v>
      </c>
    </row>
    <row r="71" spans="1:7" ht="11.1" customHeight="1">
      <c r="A71" s="600" t="str">
        <f t="shared" si="5"/>
        <v>EUR;EUR 3M;18Y</v>
      </c>
      <c r="B71" s="600" t="str">
        <f t="shared" si="6"/>
        <v>EUR</v>
      </c>
      <c r="C71" s="600" t="str">
        <f t="shared" si="6"/>
        <v>EUR 3M</v>
      </c>
      <c r="D71" s="603"/>
      <c r="E71" s="604"/>
      <c r="F71" s="607" t="s">
        <v>36</v>
      </c>
      <c r="G71" s="608">
        <v>0</v>
      </c>
    </row>
    <row r="72" spans="1:7" ht="11.1" customHeight="1">
      <c r="A72" s="600" t="str">
        <f t="shared" si="5"/>
        <v>EUR;EUR 3M;19Y</v>
      </c>
      <c r="B72" s="600" t="str">
        <f t="shared" si="6"/>
        <v>EUR</v>
      </c>
      <c r="C72" s="600" t="str">
        <f t="shared" si="6"/>
        <v>EUR 3M</v>
      </c>
      <c r="D72" s="603"/>
      <c r="E72" s="604"/>
      <c r="F72" s="607" t="s">
        <v>37</v>
      </c>
      <c r="G72" s="608">
        <v>0</v>
      </c>
    </row>
    <row r="73" spans="1:7" ht="11.1" customHeight="1">
      <c r="A73" s="600" t="str">
        <f t="shared" si="5"/>
        <v>EUR;EUR 3M;20Y</v>
      </c>
      <c r="B73" s="600" t="str">
        <f t="shared" si="6"/>
        <v>EUR</v>
      </c>
      <c r="C73" s="600" t="str">
        <f t="shared" si="6"/>
        <v>EUR 3M</v>
      </c>
      <c r="D73" s="603"/>
      <c r="E73" s="604"/>
      <c r="F73" s="607" t="s">
        <v>20</v>
      </c>
      <c r="G73" s="608">
        <v>0</v>
      </c>
    </row>
    <row r="74" spans="1:7" ht="11.1" customHeight="1">
      <c r="A74" s="600" t="str">
        <f t="shared" si="5"/>
        <v>EUR;EUR 3M;21Y</v>
      </c>
      <c r="B74" s="600" t="str">
        <f t="shared" si="6"/>
        <v>EUR</v>
      </c>
      <c r="C74" s="600" t="str">
        <f t="shared" si="6"/>
        <v>EUR 3M</v>
      </c>
      <c r="D74" s="603"/>
      <c r="E74" s="604"/>
      <c r="F74" s="607" t="s">
        <v>38</v>
      </c>
      <c r="G74" s="608">
        <v>0</v>
      </c>
    </row>
    <row r="75" spans="1:7" ht="11.1" customHeight="1">
      <c r="A75" s="600" t="str">
        <f t="shared" si="5"/>
        <v>EUR;EUR 3M;22Y</v>
      </c>
      <c r="B75" s="600" t="str">
        <f t="shared" si="6"/>
        <v>EUR</v>
      </c>
      <c r="C75" s="600" t="str">
        <f t="shared" si="6"/>
        <v>EUR 3M</v>
      </c>
      <c r="D75" s="603"/>
      <c r="E75" s="604"/>
      <c r="F75" s="607" t="s">
        <v>39</v>
      </c>
      <c r="G75" s="608">
        <v>0</v>
      </c>
    </row>
    <row r="76" spans="1:7" ht="11.1" customHeight="1">
      <c r="A76" s="600" t="str">
        <f t="shared" si="5"/>
        <v>EUR;EUR 3M;23Y</v>
      </c>
      <c r="B76" s="600" t="str">
        <f t="shared" si="6"/>
        <v>EUR</v>
      </c>
      <c r="C76" s="600" t="str">
        <f t="shared" si="6"/>
        <v>EUR 3M</v>
      </c>
      <c r="D76" s="603"/>
      <c r="E76" s="604"/>
      <c r="F76" s="607" t="s">
        <v>40</v>
      </c>
      <c r="G76" s="608">
        <v>0</v>
      </c>
    </row>
    <row r="77" spans="1:7" ht="11.1" customHeight="1">
      <c r="A77" s="600" t="str">
        <f t="shared" si="5"/>
        <v>EUR;EUR 3M;24Y</v>
      </c>
      <c r="B77" s="600" t="str">
        <f t="shared" si="6"/>
        <v>EUR</v>
      </c>
      <c r="C77" s="600" t="str">
        <f t="shared" si="6"/>
        <v>EUR 3M</v>
      </c>
      <c r="D77" s="603"/>
      <c r="E77" s="604"/>
      <c r="F77" s="607" t="s">
        <v>41</v>
      </c>
      <c r="G77" s="608">
        <v>0</v>
      </c>
    </row>
    <row r="78" spans="1:7" ht="11.1" customHeight="1">
      <c r="A78" s="600" t="str">
        <f t="shared" si="5"/>
        <v>EUR;EUR 3M;25Y</v>
      </c>
      <c r="B78" s="600" t="str">
        <f t="shared" si="6"/>
        <v>EUR</v>
      </c>
      <c r="C78" s="600" t="str">
        <f t="shared" si="6"/>
        <v>EUR 3M</v>
      </c>
      <c r="D78" s="603"/>
      <c r="E78" s="604"/>
      <c r="F78" s="607" t="s">
        <v>21</v>
      </c>
      <c r="G78" s="608">
        <v>0</v>
      </c>
    </row>
    <row r="79" spans="1:7" ht="11.1" customHeight="1">
      <c r="A79" s="600" t="str">
        <f t="shared" si="5"/>
        <v>EUR;EUR 3M;26Y</v>
      </c>
      <c r="B79" s="600" t="str">
        <f t="shared" si="6"/>
        <v>EUR</v>
      </c>
      <c r="C79" s="600" t="str">
        <f t="shared" si="6"/>
        <v>EUR 3M</v>
      </c>
      <c r="D79" s="603"/>
      <c r="E79" s="604"/>
      <c r="F79" s="607" t="s">
        <v>42</v>
      </c>
      <c r="G79" s="608">
        <v>0</v>
      </c>
    </row>
    <row r="80" spans="1:7" ht="11.1" customHeight="1">
      <c r="A80" s="600" t="str">
        <f t="shared" si="5"/>
        <v>EUR;EUR 3M;27Y</v>
      </c>
      <c r="B80" s="600" t="str">
        <f t="shared" si="6"/>
        <v>EUR</v>
      </c>
      <c r="C80" s="600" t="str">
        <f t="shared" si="6"/>
        <v>EUR 3M</v>
      </c>
      <c r="D80" s="603"/>
      <c r="E80" s="604"/>
      <c r="F80" s="607" t="s">
        <v>43</v>
      </c>
      <c r="G80" s="608">
        <v>0</v>
      </c>
    </row>
    <row r="81" spans="1:7" ht="11.1" customHeight="1">
      <c r="A81" s="600" t="str">
        <f t="shared" si="5"/>
        <v>EUR;EUR 3M;28Y</v>
      </c>
      <c r="B81" s="600" t="str">
        <f t="shared" si="6"/>
        <v>EUR</v>
      </c>
      <c r="C81" s="600" t="str">
        <f t="shared" si="6"/>
        <v>EUR 3M</v>
      </c>
      <c r="D81" s="603"/>
      <c r="E81" s="604"/>
      <c r="F81" s="607" t="s">
        <v>44</v>
      </c>
      <c r="G81" s="608">
        <v>0</v>
      </c>
    </row>
    <row r="82" spans="1:7" ht="11.1" customHeight="1">
      <c r="A82" s="600" t="str">
        <f t="shared" si="5"/>
        <v>EUR;EUR 3M;29Y</v>
      </c>
      <c r="B82" s="600" t="str">
        <f t="shared" si="6"/>
        <v>EUR</v>
      </c>
      <c r="C82" s="600" t="str">
        <f t="shared" si="6"/>
        <v>EUR 3M</v>
      </c>
      <c r="D82" s="603"/>
      <c r="E82" s="604"/>
      <c r="F82" s="607" t="s">
        <v>45</v>
      </c>
      <c r="G82" s="608">
        <v>0</v>
      </c>
    </row>
    <row r="83" spans="1:7" ht="11.1" customHeight="1">
      <c r="A83" s="600" t="str">
        <f t="shared" si="5"/>
        <v>EUR;EUR 3M;30Y</v>
      </c>
      <c r="B83" s="600" t="str">
        <f t="shared" si="6"/>
        <v>EUR</v>
      </c>
      <c r="C83" s="600" t="str">
        <f t="shared" si="6"/>
        <v>EUR 3M</v>
      </c>
      <c r="D83" s="603"/>
      <c r="E83" s="604"/>
      <c r="F83" s="607" t="s">
        <v>22</v>
      </c>
      <c r="G83" s="608">
        <v>0</v>
      </c>
    </row>
    <row r="84" spans="1:7" ht="11.1" customHeight="1">
      <c r="A84" s="600" t="str">
        <f t="shared" si="5"/>
        <v>EUR;EUR 3M;31Y</v>
      </c>
      <c r="B84" s="600" t="str">
        <f t="shared" si="6"/>
        <v>EUR</v>
      </c>
      <c r="C84" s="600" t="str">
        <f t="shared" si="6"/>
        <v>EUR 3M</v>
      </c>
      <c r="D84" s="603"/>
      <c r="E84" s="604"/>
      <c r="F84" s="607" t="s">
        <v>163</v>
      </c>
      <c r="G84" s="608">
        <v>0</v>
      </c>
    </row>
    <row r="85" spans="1:7" ht="11.1" customHeight="1">
      <c r="A85" s="600" t="str">
        <f t="shared" si="5"/>
        <v>EUR;EUR 3M;32Y</v>
      </c>
      <c r="B85" s="600" t="str">
        <f t="shared" ref="B85:C100" si="7">IF(ISBLANK(D85),B84,D85)</f>
        <v>EUR</v>
      </c>
      <c r="C85" s="600" t="str">
        <f t="shared" si="7"/>
        <v>EUR 3M</v>
      </c>
      <c r="D85" s="603"/>
      <c r="E85" s="604"/>
      <c r="F85" s="607" t="s">
        <v>164</v>
      </c>
      <c r="G85" s="608">
        <v>0</v>
      </c>
    </row>
    <row r="86" spans="1:7" ht="11.1" customHeight="1">
      <c r="A86" s="600" t="str">
        <f t="shared" si="5"/>
        <v>EUR;EUR 3M;33Y</v>
      </c>
      <c r="B86" s="600" t="str">
        <f t="shared" si="7"/>
        <v>EUR</v>
      </c>
      <c r="C86" s="600" t="str">
        <f t="shared" si="7"/>
        <v>EUR 3M</v>
      </c>
      <c r="D86" s="603"/>
      <c r="E86" s="604"/>
      <c r="F86" s="607" t="s">
        <v>165</v>
      </c>
      <c r="G86" s="608">
        <v>0</v>
      </c>
    </row>
    <row r="87" spans="1:7" ht="11.1" customHeight="1">
      <c r="A87" s="600" t="str">
        <f t="shared" si="5"/>
        <v>EUR;EUR 3M;34Y</v>
      </c>
      <c r="B87" s="600" t="str">
        <f t="shared" si="7"/>
        <v>EUR</v>
      </c>
      <c r="C87" s="600" t="str">
        <f t="shared" si="7"/>
        <v>EUR 3M</v>
      </c>
      <c r="D87" s="603"/>
      <c r="E87" s="604"/>
      <c r="F87" s="607" t="s">
        <v>166</v>
      </c>
      <c r="G87" s="608">
        <v>0</v>
      </c>
    </row>
    <row r="88" spans="1:7" ht="11.1" customHeight="1">
      <c r="A88" s="600" t="str">
        <f t="shared" si="5"/>
        <v>EUR;EUR 3M;35Y</v>
      </c>
      <c r="B88" s="600" t="str">
        <f t="shared" si="7"/>
        <v>EUR</v>
      </c>
      <c r="C88" s="600" t="str">
        <f t="shared" si="7"/>
        <v>EUR 3M</v>
      </c>
      <c r="D88" s="603"/>
      <c r="E88" s="604"/>
      <c r="F88" s="607" t="s">
        <v>167</v>
      </c>
      <c r="G88" s="608">
        <v>0</v>
      </c>
    </row>
    <row r="89" spans="1:7" ht="11.1" customHeight="1">
      <c r="A89" s="600" t="str">
        <f t="shared" si="5"/>
        <v>EUR;EUR 3M;36Y</v>
      </c>
      <c r="B89" s="600" t="str">
        <f t="shared" si="7"/>
        <v>EUR</v>
      </c>
      <c r="C89" s="600" t="str">
        <f t="shared" si="7"/>
        <v>EUR 3M</v>
      </c>
      <c r="D89" s="603"/>
      <c r="E89" s="604"/>
      <c r="F89" s="607" t="s">
        <v>168</v>
      </c>
      <c r="G89" s="608">
        <v>0</v>
      </c>
    </row>
    <row r="90" spans="1:7" ht="11.1" customHeight="1">
      <c r="A90" s="600" t="str">
        <f t="shared" si="5"/>
        <v>EUR;EUR 3M;37Y</v>
      </c>
      <c r="B90" s="600" t="str">
        <f t="shared" si="7"/>
        <v>EUR</v>
      </c>
      <c r="C90" s="600" t="str">
        <f t="shared" si="7"/>
        <v>EUR 3M</v>
      </c>
      <c r="D90" s="603"/>
      <c r="E90" s="604"/>
      <c r="F90" s="607" t="s">
        <v>169</v>
      </c>
      <c r="G90" s="608">
        <v>0</v>
      </c>
    </row>
    <row r="91" spans="1:7" ht="11.1" customHeight="1">
      <c r="A91" s="600" t="str">
        <f t="shared" si="5"/>
        <v>EUR;EUR 3M;38Y</v>
      </c>
      <c r="B91" s="600" t="str">
        <f t="shared" si="7"/>
        <v>EUR</v>
      </c>
      <c r="C91" s="600" t="str">
        <f t="shared" si="7"/>
        <v>EUR 3M</v>
      </c>
      <c r="D91" s="603"/>
      <c r="E91" s="604"/>
      <c r="F91" s="607" t="s">
        <v>170</v>
      </c>
      <c r="G91" s="608">
        <v>0</v>
      </c>
    </row>
    <row r="92" spans="1:7" ht="11.1" customHeight="1">
      <c r="A92" s="600" t="str">
        <f t="shared" si="5"/>
        <v>EUR;EUR 3M;39Y</v>
      </c>
      <c r="B92" s="600" t="str">
        <f t="shared" si="7"/>
        <v>EUR</v>
      </c>
      <c r="C92" s="600" t="str">
        <f t="shared" si="7"/>
        <v>EUR 3M</v>
      </c>
      <c r="D92" s="603"/>
      <c r="E92" s="604"/>
      <c r="F92" s="607" t="s">
        <v>171</v>
      </c>
      <c r="G92" s="608">
        <v>0</v>
      </c>
    </row>
    <row r="93" spans="1:7" ht="11.1" customHeight="1">
      <c r="A93" s="600" t="str">
        <f t="shared" si="5"/>
        <v>EUR;EUR 3M;40Y</v>
      </c>
      <c r="B93" s="600" t="str">
        <f t="shared" si="7"/>
        <v>EUR</v>
      </c>
      <c r="C93" s="600" t="str">
        <f t="shared" si="7"/>
        <v>EUR 3M</v>
      </c>
      <c r="D93" s="603"/>
      <c r="E93" s="604"/>
      <c r="F93" s="607" t="s">
        <v>46</v>
      </c>
      <c r="G93" s="608">
        <v>0</v>
      </c>
    </row>
    <row r="94" spans="1:7" ht="11.1" customHeight="1">
      <c r="A94" s="600" t="str">
        <f t="shared" si="5"/>
        <v>EUR;EUR 3M;50Y</v>
      </c>
      <c r="B94" s="600" t="str">
        <f t="shared" si="7"/>
        <v>EUR</v>
      </c>
      <c r="C94" s="600" t="str">
        <f t="shared" si="7"/>
        <v>EUR 3M</v>
      </c>
      <c r="D94" s="603"/>
      <c r="E94" s="604"/>
      <c r="F94" s="607" t="s">
        <v>47</v>
      </c>
      <c r="G94" s="608">
        <v>0</v>
      </c>
    </row>
    <row r="95" spans="1:7" ht="11.1" customHeight="1">
      <c r="A95" s="600" t="str">
        <f t="shared" si="5"/>
        <v>EUR;EUR 3M;60Y</v>
      </c>
      <c r="B95" s="600" t="str">
        <f t="shared" si="7"/>
        <v>EUR</v>
      </c>
      <c r="C95" s="600" t="str">
        <f t="shared" si="7"/>
        <v>EUR 3M</v>
      </c>
      <c r="D95" s="603"/>
      <c r="E95" s="604"/>
      <c r="F95" s="607" t="s">
        <v>48</v>
      </c>
      <c r="G95" s="608">
        <v>0</v>
      </c>
    </row>
    <row r="96" spans="1:7" ht="11.1" customHeight="1">
      <c r="A96" s="600" t="str">
        <f t="shared" si="5"/>
        <v>EUR;EUR :STD;Total EUR :STD</v>
      </c>
      <c r="B96" s="600" t="str">
        <f t="shared" si="7"/>
        <v>EUR</v>
      </c>
      <c r="C96" s="600" t="str">
        <f t="shared" si="7"/>
        <v>EUR :STD</v>
      </c>
      <c r="D96" s="603"/>
      <c r="E96" s="604" t="s">
        <v>196</v>
      </c>
      <c r="F96" s="605" t="s">
        <v>645</v>
      </c>
      <c r="G96" s="611">
        <v>2366.63653112562</v>
      </c>
    </row>
    <row r="97" spans="1:7" ht="11.1" customHeight="1">
      <c r="A97" s="600" t="str">
        <f t="shared" si="5"/>
        <v>EUR;EUR :STD;O/N</v>
      </c>
      <c r="B97" s="600" t="str">
        <f t="shared" si="7"/>
        <v>EUR</v>
      </c>
      <c r="C97" s="600" t="str">
        <f t="shared" si="7"/>
        <v>EUR :STD</v>
      </c>
      <c r="D97" s="603"/>
      <c r="E97" s="604"/>
      <c r="F97" s="607" t="s">
        <v>3</v>
      </c>
      <c r="G97" s="606">
        <v>-3.04401383372259E-3</v>
      </c>
    </row>
    <row r="98" spans="1:7" ht="11.1" customHeight="1">
      <c r="A98" s="600" t="str">
        <f t="shared" si="5"/>
        <v>EUR;EUR :STD;T/N</v>
      </c>
      <c r="B98" s="600" t="str">
        <f t="shared" si="7"/>
        <v>EUR</v>
      </c>
      <c r="C98" s="600" t="str">
        <f t="shared" si="7"/>
        <v>EUR :STD</v>
      </c>
      <c r="D98" s="603"/>
      <c r="E98" s="604"/>
      <c r="F98" s="607" t="s">
        <v>4</v>
      </c>
      <c r="G98" s="606">
        <v>-1.0146504205716699E-3</v>
      </c>
    </row>
    <row r="99" spans="1:7" ht="11.1" customHeight="1">
      <c r="A99" s="600" t="str">
        <f t="shared" si="5"/>
        <v>EUR;EUR :STD;S/N</v>
      </c>
      <c r="B99" s="600" t="str">
        <f t="shared" si="7"/>
        <v>EUR</v>
      </c>
      <c r="C99" s="600" t="str">
        <f t="shared" si="7"/>
        <v>EUR :STD</v>
      </c>
      <c r="D99" s="603"/>
      <c r="E99" s="604"/>
      <c r="F99" s="607" t="s">
        <v>23</v>
      </c>
      <c r="G99" s="608">
        <v>0</v>
      </c>
    </row>
    <row r="100" spans="1:7" ht="11.1" customHeight="1">
      <c r="A100" s="600" t="str">
        <f t="shared" si="5"/>
        <v>EUR;EUR :STD;1W</v>
      </c>
      <c r="B100" s="600" t="str">
        <f t="shared" si="7"/>
        <v>EUR</v>
      </c>
      <c r="C100" s="600" t="str">
        <f t="shared" si="7"/>
        <v>EUR :STD</v>
      </c>
      <c r="D100" s="603"/>
      <c r="E100" s="604"/>
      <c r="F100" s="607" t="s">
        <v>5</v>
      </c>
      <c r="G100" s="608">
        <v>0</v>
      </c>
    </row>
    <row r="101" spans="1:7" ht="11.1" customHeight="1">
      <c r="A101" s="600" t="str">
        <f t="shared" si="5"/>
        <v>EUR;EUR :STD;2W</v>
      </c>
      <c r="B101" s="600" t="str">
        <f t="shared" ref="B101:C116" si="8">IF(ISBLANK(D101),B100,D101)</f>
        <v>EUR</v>
      </c>
      <c r="C101" s="600" t="str">
        <f t="shared" si="8"/>
        <v>EUR :STD</v>
      </c>
      <c r="D101" s="603"/>
      <c r="E101" s="604"/>
      <c r="F101" s="607" t="s">
        <v>6</v>
      </c>
      <c r="G101" s="606">
        <v>-4.1960202638282604</v>
      </c>
    </row>
    <row r="102" spans="1:7" ht="11.1" customHeight="1">
      <c r="A102" s="600" t="str">
        <f t="shared" si="5"/>
        <v>EUR;EUR :STD;3W</v>
      </c>
      <c r="B102" s="600" t="str">
        <f t="shared" si="8"/>
        <v>EUR</v>
      </c>
      <c r="C102" s="600" t="str">
        <f t="shared" si="8"/>
        <v>EUR :STD</v>
      </c>
      <c r="D102" s="603"/>
      <c r="E102" s="604"/>
      <c r="F102" s="607" t="s">
        <v>24</v>
      </c>
      <c r="G102" s="606">
        <v>-27.1921679165551</v>
      </c>
    </row>
    <row r="103" spans="1:7" ht="11.1" customHeight="1">
      <c r="A103" s="600" t="str">
        <f t="shared" si="5"/>
        <v>EUR;EUR :STD;1M</v>
      </c>
      <c r="B103" s="600" t="str">
        <f t="shared" si="8"/>
        <v>EUR</v>
      </c>
      <c r="C103" s="600" t="str">
        <f t="shared" si="8"/>
        <v>EUR :STD</v>
      </c>
      <c r="D103" s="603"/>
      <c r="E103" s="604"/>
      <c r="F103" s="607" t="s">
        <v>7</v>
      </c>
      <c r="G103" s="608">
        <v>0</v>
      </c>
    </row>
    <row r="104" spans="1:7" ht="11.1" customHeight="1">
      <c r="A104" s="600" t="str">
        <f t="shared" si="5"/>
        <v>EUR;EUR :STD;2M</v>
      </c>
      <c r="B104" s="600" t="str">
        <f t="shared" si="8"/>
        <v>EUR</v>
      </c>
      <c r="C104" s="600" t="str">
        <f t="shared" si="8"/>
        <v>EUR :STD</v>
      </c>
      <c r="D104" s="603"/>
      <c r="E104" s="604"/>
      <c r="F104" s="607" t="s">
        <v>8</v>
      </c>
      <c r="G104" s="608">
        <v>0</v>
      </c>
    </row>
    <row r="105" spans="1:7" ht="11.1" customHeight="1">
      <c r="A105" s="600" t="str">
        <f t="shared" si="5"/>
        <v>EUR;EUR :STD;3M</v>
      </c>
      <c r="B105" s="600" t="str">
        <f t="shared" si="8"/>
        <v>EUR</v>
      </c>
      <c r="C105" s="600" t="str">
        <f t="shared" si="8"/>
        <v>EUR :STD</v>
      </c>
      <c r="D105" s="603"/>
      <c r="E105" s="604"/>
      <c r="F105" s="607" t="s">
        <v>25</v>
      </c>
      <c r="G105" s="611">
        <v>6.9388939039072299E-18</v>
      </c>
    </row>
    <row r="106" spans="1:7" ht="11.1" customHeight="1">
      <c r="A106" s="600" t="str">
        <f t="shared" si="5"/>
        <v>EUR;EUR :STD;4M</v>
      </c>
      <c r="B106" s="600" t="str">
        <f t="shared" si="8"/>
        <v>EUR</v>
      </c>
      <c r="C106" s="600" t="str">
        <f t="shared" si="8"/>
        <v>EUR :STD</v>
      </c>
      <c r="D106" s="603"/>
      <c r="E106" s="604"/>
      <c r="F106" s="607" t="s">
        <v>26</v>
      </c>
      <c r="G106" s="611">
        <v>2.0816681711721701E-17</v>
      </c>
    </row>
    <row r="107" spans="1:7" ht="11.1" customHeight="1">
      <c r="A107" s="600" t="str">
        <f t="shared" si="5"/>
        <v>EUR;EUR :STD;5M</v>
      </c>
      <c r="B107" s="600" t="str">
        <f t="shared" si="8"/>
        <v>EUR</v>
      </c>
      <c r="C107" s="600" t="str">
        <f t="shared" si="8"/>
        <v>EUR :STD</v>
      </c>
      <c r="D107" s="603"/>
      <c r="E107" s="604"/>
      <c r="F107" s="607" t="s">
        <v>27</v>
      </c>
      <c r="G107" s="608">
        <v>0</v>
      </c>
    </row>
    <row r="108" spans="1:7" ht="11.1" customHeight="1">
      <c r="A108" s="600" t="str">
        <f t="shared" si="5"/>
        <v>EUR;EUR :STD;6M</v>
      </c>
      <c r="B108" s="600" t="str">
        <f t="shared" si="8"/>
        <v>EUR</v>
      </c>
      <c r="C108" s="600" t="str">
        <f t="shared" si="8"/>
        <v>EUR :STD</v>
      </c>
      <c r="D108" s="603"/>
      <c r="E108" s="604"/>
      <c r="F108" s="607" t="s">
        <v>28</v>
      </c>
      <c r="G108" s="608">
        <v>0</v>
      </c>
    </row>
    <row r="109" spans="1:7" ht="11.1" customHeight="1">
      <c r="A109" s="600" t="str">
        <f t="shared" si="5"/>
        <v>EUR;EUR :STD;21/06/17</v>
      </c>
      <c r="B109" s="600" t="str">
        <f t="shared" si="8"/>
        <v>EUR</v>
      </c>
      <c r="C109" s="600" t="str">
        <f t="shared" si="8"/>
        <v>EUR :STD</v>
      </c>
      <c r="D109" s="603"/>
      <c r="E109" s="604"/>
      <c r="F109" s="607" t="s">
        <v>5101</v>
      </c>
      <c r="G109" s="611">
        <v>23.456234074206801</v>
      </c>
    </row>
    <row r="110" spans="1:7" ht="11.1" customHeight="1">
      <c r="A110" s="600" t="str">
        <f t="shared" si="5"/>
        <v>EUR;EUR :STD;JUN 17</v>
      </c>
      <c r="B110" s="600" t="str">
        <f t="shared" si="8"/>
        <v>EUR</v>
      </c>
      <c r="C110" s="600" t="str">
        <f t="shared" si="8"/>
        <v>EUR :STD</v>
      </c>
      <c r="D110" s="603"/>
      <c r="E110" s="604"/>
      <c r="F110" s="607" t="s">
        <v>1066</v>
      </c>
      <c r="G110" s="611">
        <v>6.4042398494918604</v>
      </c>
    </row>
    <row r="111" spans="1:7" ht="11.1" customHeight="1">
      <c r="A111" s="600" t="str">
        <f t="shared" si="5"/>
        <v>EUR;EUR :STD;SEP 17</v>
      </c>
      <c r="B111" s="600" t="str">
        <f t="shared" si="8"/>
        <v>EUR</v>
      </c>
      <c r="C111" s="600" t="str">
        <f t="shared" si="8"/>
        <v>EUR :STD</v>
      </c>
      <c r="D111" s="603"/>
      <c r="E111" s="604"/>
      <c r="F111" s="607" t="s">
        <v>1069</v>
      </c>
      <c r="G111" s="611">
        <v>6.0507830872958701</v>
      </c>
    </row>
    <row r="112" spans="1:7" ht="11.1" customHeight="1">
      <c r="A112" s="600" t="str">
        <f t="shared" si="5"/>
        <v>EUR;EUR :STD;DEC 17</v>
      </c>
      <c r="B112" s="600" t="str">
        <f t="shared" si="8"/>
        <v>EUR</v>
      </c>
      <c r="C112" s="600" t="str">
        <f t="shared" si="8"/>
        <v>EUR :STD</v>
      </c>
      <c r="D112" s="603"/>
      <c r="E112" s="604"/>
      <c r="F112" s="607" t="s">
        <v>3865</v>
      </c>
      <c r="G112" s="611">
        <v>6.0483267869502804</v>
      </c>
    </row>
    <row r="113" spans="1:7" ht="11.1" customHeight="1">
      <c r="A113" s="600" t="str">
        <f t="shared" si="5"/>
        <v>EUR;EUR :STD;MAR 18</v>
      </c>
      <c r="B113" s="600" t="str">
        <f t="shared" si="8"/>
        <v>EUR</v>
      </c>
      <c r="C113" s="600" t="str">
        <f t="shared" si="8"/>
        <v>EUR :STD</v>
      </c>
      <c r="D113" s="603"/>
      <c r="E113" s="604"/>
      <c r="F113" s="607" t="s">
        <v>3866</v>
      </c>
      <c r="G113" s="611">
        <v>6.2040525134359896</v>
      </c>
    </row>
    <row r="114" spans="1:7" ht="11.1" customHeight="1">
      <c r="A114" s="600" t="str">
        <f t="shared" si="5"/>
        <v>EUR;EUR :STD;JUN 18</v>
      </c>
      <c r="B114" s="600" t="str">
        <f t="shared" si="8"/>
        <v>EUR</v>
      </c>
      <c r="C114" s="600" t="str">
        <f t="shared" si="8"/>
        <v>EUR :STD</v>
      </c>
      <c r="D114" s="603"/>
      <c r="E114" s="604"/>
      <c r="F114" s="607" t="s">
        <v>3889</v>
      </c>
      <c r="G114" s="611">
        <v>2.54026549237402</v>
      </c>
    </row>
    <row r="115" spans="1:7" ht="11.1" customHeight="1">
      <c r="A115" s="600" t="str">
        <f t="shared" si="5"/>
        <v>EUR;EUR :STD;SEP 18</v>
      </c>
      <c r="B115" s="600" t="str">
        <f t="shared" si="8"/>
        <v>EUR</v>
      </c>
      <c r="C115" s="600" t="str">
        <f t="shared" si="8"/>
        <v>EUR :STD</v>
      </c>
      <c r="D115" s="603"/>
      <c r="E115" s="604"/>
      <c r="F115" s="607" t="s">
        <v>3890</v>
      </c>
      <c r="G115" s="611">
        <v>2.07651749051039</v>
      </c>
    </row>
    <row r="116" spans="1:7" ht="11.1" customHeight="1">
      <c r="A116" s="600" t="str">
        <f t="shared" si="5"/>
        <v>EUR;EUR :STD;3Y</v>
      </c>
      <c r="B116" s="600" t="str">
        <f t="shared" si="8"/>
        <v>EUR</v>
      </c>
      <c r="C116" s="600" t="str">
        <f t="shared" si="8"/>
        <v>EUR :STD</v>
      </c>
      <c r="D116" s="603"/>
      <c r="E116" s="604"/>
      <c r="F116" s="607" t="s">
        <v>10</v>
      </c>
      <c r="G116" s="611">
        <v>45.686086077171502</v>
      </c>
    </row>
    <row r="117" spans="1:7" ht="11.1" customHeight="1">
      <c r="A117" s="600" t="str">
        <f t="shared" si="5"/>
        <v>EUR;EUR :STD;4Y</v>
      </c>
      <c r="B117" s="600" t="str">
        <f t="shared" ref="B117:C132" si="9">IF(ISBLANK(D117),B116,D117)</f>
        <v>EUR</v>
      </c>
      <c r="C117" s="600" t="str">
        <f t="shared" si="9"/>
        <v>EUR :STD</v>
      </c>
      <c r="D117" s="603"/>
      <c r="E117" s="604"/>
      <c r="F117" s="607" t="s">
        <v>11</v>
      </c>
      <c r="G117" s="611">
        <v>955.88293828216604</v>
      </c>
    </row>
    <row r="118" spans="1:7" ht="11.1" customHeight="1">
      <c r="A118" s="600" t="str">
        <f t="shared" si="5"/>
        <v>EUR;EUR :STD;5Y</v>
      </c>
      <c r="B118" s="600" t="str">
        <f t="shared" si="9"/>
        <v>EUR</v>
      </c>
      <c r="C118" s="600" t="str">
        <f t="shared" si="9"/>
        <v>EUR :STD</v>
      </c>
      <c r="D118" s="603"/>
      <c r="E118" s="604"/>
      <c r="F118" s="607" t="s">
        <v>12</v>
      </c>
      <c r="G118" s="611">
        <v>1478.9106215807799</v>
      </c>
    </row>
    <row r="119" spans="1:7" ht="11.1" customHeight="1">
      <c r="A119" s="600" t="str">
        <f t="shared" si="5"/>
        <v>EUR;EUR :STD;6Y</v>
      </c>
      <c r="B119" s="600" t="str">
        <f t="shared" si="9"/>
        <v>EUR</v>
      </c>
      <c r="C119" s="600" t="str">
        <f t="shared" si="9"/>
        <v>EUR :STD</v>
      </c>
      <c r="D119" s="603"/>
      <c r="E119" s="604"/>
      <c r="F119" s="607" t="s">
        <v>13</v>
      </c>
      <c r="G119" s="606">
        <v>-0.38790607814033201</v>
      </c>
    </row>
    <row r="120" spans="1:7" ht="11.1" customHeight="1">
      <c r="A120" s="600" t="str">
        <f t="shared" si="5"/>
        <v>EUR;EUR :STD;7Y</v>
      </c>
      <c r="B120" s="600" t="str">
        <f t="shared" si="9"/>
        <v>EUR</v>
      </c>
      <c r="C120" s="600" t="str">
        <f t="shared" si="9"/>
        <v>EUR :STD</v>
      </c>
      <c r="D120" s="603"/>
      <c r="E120" s="604"/>
      <c r="F120" s="607" t="s">
        <v>14</v>
      </c>
      <c r="G120" s="606">
        <v>-0.45588735340422099</v>
      </c>
    </row>
    <row r="121" spans="1:7" ht="11.1" customHeight="1">
      <c r="A121" s="600" t="str">
        <f t="shared" si="5"/>
        <v>EUR;EUR :STD;8Y</v>
      </c>
      <c r="B121" s="600" t="str">
        <f t="shared" si="9"/>
        <v>EUR</v>
      </c>
      <c r="C121" s="600" t="str">
        <f t="shared" si="9"/>
        <v>EUR :STD</v>
      </c>
      <c r="D121" s="603"/>
      <c r="E121" s="604"/>
      <c r="F121" s="607" t="s">
        <v>15</v>
      </c>
      <c r="G121" s="606">
        <v>-36.990008147196797</v>
      </c>
    </row>
    <row r="122" spans="1:7" ht="11.1" customHeight="1">
      <c r="A122" s="600" t="str">
        <f t="shared" si="5"/>
        <v>EUR;EUR :STD;9Y</v>
      </c>
      <c r="B122" s="600" t="str">
        <f t="shared" si="9"/>
        <v>EUR</v>
      </c>
      <c r="C122" s="600" t="str">
        <f t="shared" si="9"/>
        <v>EUR :STD</v>
      </c>
      <c r="D122" s="603"/>
      <c r="E122" s="604"/>
      <c r="F122" s="607" t="s">
        <v>16</v>
      </c>
      <c r="G122" s="606">
        <v>-97.397485685386599</v>
      </c>
    </row>
    <row r="123" spans="1:7" ht="11.1" customHeight="1">
      <c r="A123" s="600" t="str">
        <f t="shared" si="5"/>
        <v>EUR;EUR :STD;10Y</v>
      </c>
      <c r="B123" s="600" t="str">
        <f t="shared" si="9"/>
        <v>EUR</v>
      </c>
      <c r="C123" s="600" t="str">
        <f t="shared" si="9"/>
        <v>EUR :STD</v>
      </c>
      <c r="D123" s="603"/>
      <c r="E123" s="604"/>
      <c r="F123" s="607" t="s">
        <v>17</v>
      </c>
      <c r="G123" s="611">
        <v>6.7501559897209505E-14</v>
      </c>
    </row>
    <row r="124" spans="1:7" ht="11.1" customHeight="1">
      <c r="A124" s="600" t="str">
        <f t="shared" si="5"/>
        <v>EUR;EUR :STD;11Y</v>
      </c>
      <c r="B124" s="600" t="str">
        <f t="shared" si="9"/>
        <v>EUR</v>
      </c>
      <c r="C124" s="600" t="str">
        <f t="shared" si="9"/>
        <v>EUR :STD</v>
      </c>
      <c r="D124" s="603"/>
      <c r="E124" s="604"/>
      <c r="F124" s="607" t="s">
        <v>31</v>
      </c>
      <c r="G124" s="608">
        <v>0</v>
      </c>
    </row>
    <row r="125" spans="1:7" ht="11.1" customHeight="1">
      <c r="A125" s="600" t="str">
        <f t="shared" si="5"/>
        <v>EUR;EUR :STD;12Y</v>
      </c>
      <c r="B125" s="600" t="str">
        <f t="shared" si="9"/>
        <v>EUR</v>
      </c>
      <c r="C125" s="600" t="str">
        <f t="shared" si="9"/>
        <v>EUR :STD</v>
      </c>
      <c r="D125" s="603"/>
      <c r="E125" s="604"/>
      <c r="F125" s="607" t="s">
        <v>18</v>
      </c>
      <c r="G125" s="608">
        <v>0</v>
      </c>
    </row>
    <row r="126" spans="1:7" ht="11.1" customHeight="1">
      <c r="A126" s="600" t="str">
        <f t="shared" si="5"/>
        <v>EUR;EUR :STD;13Y</v>
      </c>
      <c r="B126" s="600" t="str">
        <f t="shared" si="9"/>
        <v>EUR</v>
      </c>
      <c r="C126" s="600" t="str">
        <f t="shared" si="9"/>
        <v>EUR :STD</v>
      </c>
      <c r="D126" s="603"/>
      <c r="E126" s="604"/>
      <c r="F126" s="607" t="s">
        <v>32</v>
      </c>
      <c r="G126" s="608">
        <v>0</v>
      </c>
    </row>
    <row r="127" spans="1:7" ht="11.1" customHeight="1">
      <c r="A127" s="600" t="str">
        <f t="shared" si="5"/>
        <v>EUR;EUR :STD;14Y</v>
      </c>
      <c r="B127" s="600" t="str">
        <f t="shared" si="9"/>
        <v>EUR</v>
      </c>
      <c r="C127" s="600" t="str">
        <f t="shared" si="9"/>
        <v>EUR :STD</v>
      </c>
      <c r="D127" s="603"/>
      <c r="E127" s="604"/>
      <c r="F127" s="607" t="s">
        <v>33</v>
      </c>
      <c r="G127" s="608">
        <v>0</v>
      </c>
    </row>
    <row r="128" spans="1:7" ht="11.1" customHeight="1">
      <c r="A128" s="600" t="str">
        <f t="shared" si="5"/>
        <v>EUR;EUR :STD;15Y</v>
      </c>
      <c r="B128" s="600" t="str">
        <f t="shared" si="9"/>
        <v>EUR</v>
      </c>
      <c r="C128" s="600" t="str">
        <f t="shared" si="9"/>
        <v>EUR :STD</v>
      </c>
      <c r="D128" s="603"/>
      <c r="E128" s="604"/>
      <c r="F128" s="607" t="s">
        <v>19</v>
      </c>
      <c r="G128" s="608">
        <v>0</v>
      </c>
    </row>
    <row r="129" spans="1:7" ht="11.1" customHeight="1">
      <c r="A129" s="600" t="str">
        <f t="shared" si="5"/>
        <v>EUR;EUR :STD;16Y</v>
      </c>
      <c r="B129" s="600" t="str">
        <f t="shared" si="9"/>
        <v>EUR</v>
      </c>
      <c r="C129" s="600" t="str">
        <f t="shared" si="9"/>
        <v>EUR :STD</v>
      </c>
      <c r="D129" s="603"/>
      <c r="E129" s="604"/>
      <c r="F129" s="607" t="s">
        <v>34</v>
      </c>
      <c r="G129" s="608">
        <v>0</v>
      </c>
    </row>
    <row r="130" spans="1:7" ht="11.1" customHeight="1">
      <c r="A130" s="600" t="str">
        <f t="shared" si="5"/>
        <v>EUR;EUR :STD;17Y</v>
      </c>
      <c r="B130" s="600" t="str">
        <f t="shared" si="9"/>
        <v>EUR</v>
      </c>
      <c r="C130" s="600" t="str">
        <f t="shared" si="9"/>
        <v>EUR :STD</v>
      </c>
      <c r="D130" s="603"/>
      <c r="E130" s="604"/>
      <c r="F130" s="607" t="s">
        <v>35</v>
      </c>
      <c r="G130" s="608">
        <v>0</v>
      </c>
    </row>
    <row r="131" spans="1:7" ht="11.1" customHeight="1">
      <c r="A131" s="600" t="str">
        <f t="shared" si="5"/>
        <v>EUR;EUR :STD;18Y</v>
      </c>
      <c r="B131" s="600" t="str">
        <f t="shared" si="9"/>
        <v>EUR</v>
      </c>
      <c r="C131" s="600" t="str">
        <f t="shared" si="9"/>
        <v>EUR :STD</v>
      </c>
      <c r="D131" s="603"/>
      <c r="E131" s="604"/>
      <c r="F131" s="607" t="s">
        <v>36</v>
      </c>
      <c r="G131" s="608">
        <v>0</v>
      </c>
    </row>
    <row r="132" spans="1:7" ht="11.1" customHeight="1">
      <c r="A132" s="600" t="str">
        <f t="shared" si="5"/>
        <v>EUR;EUR :STD;19Y</v>
      </c>
      <c r="B132" s="600" t="str">
        <f t="shared" si="9"/>
        <v>EUR</v>
      </c>
      <c r="C132" s="600" t="str">
        <f t="shared" si="9"/>
        <v>EUR :STD</v>
      </c>
      <c r="D132" s="603"/>
      <c r="E132" s="604"/>
      <c r="F132" s="607" t="s">
        <v>37</v>
      </c>
      <c r="G132" s="608">
        <v>0</v>
      </c>
    </row>
    <row r="133" spans="1:7" ht="11.1" customHeight="1">
      <c r="A133" s="600" t="str">
        <f t="shared" ref="A133:A196" si="10">B133&amp;";"&amp;C133&amp;";"&amp;F133</f>
        <v>EUR;EUR :STD;20Y</v>
      </c>
      <c r="B133" s="600" t="str">
        <f t="shared" ref="B133:C148" si="11">IF(ISBLANK(D133),B132,D133)</f>
        <v>EUR</v>
      </c>
      <c r="C133" s="600" t="str">
        <f t="shared" si="11"/>
        <v>EUR :STD</v>
      </c>
      <c r="D133" s="603"/>
      <c r="E133" s="604"/>
      <c r="F133" s="607" t="s">
        <v>20</v>
      </c>
      <c r="G133" s="608">
        <v>0</v>
      </c>
    </row>
    <row r="134" spans="1:7" ht="11.1" customHeight="1">
      <c r="A134" s="600" t="str">
        <f t="shared" si="10"/>
        <v>EUR;EUR :STD;21Y</v>
      </c>
      <c r="B134" s="600" t="str">
        <f t="shared" si="11"/>
        <v>EUR</v>
      </c>
      <c r="C134" s="600" t="str">
        <f t="shared" si="11"/>
        <v>EUR :STD</v>
      </c>
      <c r="D134" s="603"/>
      <c r="E134" s="604"/>
      <c r="F134" s="607" t="s">
        <v>38</v>
      </c>
      <c r="G134" s="608">
        <v>0</v>
      </c>
    </row>
    <row r="135" spans="1:7" ht="11.1" customHeight="1">
      <c r="A135" s="600" t="str">
        <f t="shared" si="10"/>
        <v>EUR;EUR :STD;22Y</v>
      </c>
      <c r="B135" s="600" t="str">
        <f t="shared" si="11"/>
        <v>EUR</v>
      </c>
      <c r="C135" s="600" t="str">
        <f t="shared" si="11"/>
        <v>EUR :STD</v>
      </c>
      <c r="D135" s="603"/>
      <c r="E135" s="604"/>
      <c r="F135" s="607" t="s">
        <v>39</v>
      </c>
      <c r="G135" s="608">
        <v>0</v>
      </c>
    </row>
    <row r="136" spans="1:7" ht="11.1" customHeight="1">
      <c r="A136" s="600" t="str">
        <f t="shared" si="10"/>
        <v>EUR;EUR :STD;23Y</v>
      </c>
      <c r="B136" s="600" t="str">
        <f t="shared" si="11"/>
        <v>EUR</v>
      </c>
      <c r="C136" s="600" t="str">
        <f t="shared" si="11"/>
        <v>EUR :STD</v>
      </c>
      <c r="D136" s="603"/>
      <c r="E136" s="604"/>
      <c r="F136" s="607" t="s">
        <v>40</v>
      </c>
      <c r="G136" s="608">
        <v>0</v>
      </c>
    </row>
    <row r="137" spans="1:7" ht="11.1" customHeight="1">
      <c r="A137" s="600" t="str">
        <f t="shared" si="10"/>
        <v>EUR;EUR :STD;24Y</v>
      </c>
      <c r="B137" s="600" t="str">
        <f t="shared" si="11"/>
        <v>EUR</v>
      </c>
      <c r="C137" s="600" t="str">
        <f t="shared" si="11"/>
        <v>EUR :STD</v>
      </c>
      <c r="D137" s="603"/>
      <c r="E137" s="604"/>
      <c r="F137" s="607" t="s">
        <v>41</v>
      </c>
      <c r="G137" s="608">
        <v>0</v>
      </c>
    </row>
    <row r="138" spans="1:7" ht="11.1" customHeight="1">
      <c r="A138" s="600" t="str">
        <f t="shared" si="10"/>
        <v>EUR;EUR :STD;25Y</v>
      </c>
      <c r="B138" s="600" t="str">
        <f t="shared" si="11"/>
        <v>EUR</v>
      </c>
      <c r="C138" s="600" t="str">
        <f t="shared" si="11"/>
        <v>EUR :STD</v>
      </c>
      <c r="D138" s="603"/>
      <c r="E138" s="604"/>
      <c r="F138" s="607" t="s">
        <v>21</v>
      </c>
      <c r="G138" s="608">
        <v>0</v>
      </c>
    </row>
    <row r="139" spans="1:7" ht="11.1" customHeight="1">
      <c r="A139" s="600" t="str">
        <f t="shared" si="10"/>
        <v>EUR;EUR :STD;26Y</v>
      </c>
      <c r="B139" s="600" t="str">
        <f t="shared" si="11"/>
        <v>EUR</v>
      </c>
      <c r="C139" s="600" t="str">
        <f t="shared" si="11"/>
        <v>EUR :STD</v>
      </c>
      <c r="D139" s="603"/>
      <c r="E139" s="604"/>
      <c r="F139" s="607" t="s">
        <v>42</v>
      </c>
      <c r="G139" s="608">
        <v>0</v>
      </c>
    </row>
    <row r="140" spans="1:7" ht="11.1" customHeight="1">
      <c r="A140" s="600" t="str">
        <f t="shared" si="10"/>
        <v>EUR;EUR :STD;27Y</v>
      </c>
      <c r="B140" s="600" t="str">
        <f t="shared" si="11"/>
        <v>EUR</v>
      </c>
      <c r="C140" s="600" t="str">
        <f t="shared" si="11"/>
        <v>EUR :STD</v>
      </c>
      <c r="D140" s="603"/>
      <c r="E140" s="604"/>
      <c r="F140" s="607" t="s">
        <v>43</v>
      </c>
      <c r="G140" s="608">
        <v>0</v>
      </c>
    </row>
    <row r="141" spans="1:7" ht="11.1" customHeight="1">
      <c r="A141" s="600" t="str">
        <f t="shared" si="10"/>
        <v>EUR;EUR :STD;28Y</v>
      </c>
      <c r="B141" s="600" t="str">
        <f t="shared" si="11"/>
        <v>EUR</v>
      </c>
      <c r="C141" s="600" t="str">
        <f t="shared" si="11"/>
        <v>EUR :STD</v>
      </c>
      <c r="D141" s="603"/>
      <c r="E141" s="604"/>
      <c r="F141" s="607" t="s">
        <v>44</v>
      </c>
      <c r="G141" s="608">
        <v>0</v>
      </c>
    </row>
    <row r="142" spans="1:7" ht="11.1" customHeight="1">
      <c r="A142" s="600" t="str">
        <f t="shared" si="10"/>
        <v>EUR;EUR :STD;29Y</v>
      </c>
      <c r="B142" s="600" t="str">
        <f t="shared" si="11"/>
        <v>EUR</v>
      </c>
      <c r="C142" s="600" t="str">
        <f t="shared" si="11"/>
        <v>EUR :STD</v>
      </c>
      <c r="D142" s="603"/>
      <c r="E142" s="604"/>
      <c r="F142" s="607" t="s">
        <v>45</v>
      </c>
      <c r="G142" s="608">
        <v>0</v>
      </c>
    </row>
    <row r="143" spans="1:7" ht="11.1" customHeight="1">
      <c r="A143" s="600" t="str">
        <f t="shared" si="10"/>
        <v>EUR;EUR :STD;30Y</v>
      </c>
      <c r="B143" s="600" t="str">
        <f t="shared" si="11"/>
        <v>EUR</v>
      </c>
      <c r="C143" s="600" t="str">
        <f t="shared" si="11"/>
        <v>EUR :STD</v>
      </c>
      <c r="D143" s="603"/>
      <c r="E143" s="604"/>
      <c r="F143" s="607" t="s">
        <v>22</v>
      </c>
      <c r="G143" s="608">
        <v>0</v>
      </c>
    </row>
    <row r="144" spans="1:7" ht="11.1" customHeight="1">
      <c r="A144" s="600" t="str">
        <f t="shared" si="10"/>
        <v>EUR;EUR :STD;31Y</v>
      </c>
      <c r="B144" s="600" t="str">
        <f t="shared" si="11"/>
        <v>EUR</v>
      </c>
      <c r="C144" s="600" t="str">
        <f t="shared" si="11"/>
        <v>EUR :STD</v>
      </c>
      <c r="D144" s="603"/>
      <c r="E144" s="604"/>
      <c r="F144" s="607" t="s">
        <v>163</v>
      </c>
      <c r="G144" s="608">
        <v>0</v>
      </c>
    </row>
    <row r="145" spans="1:7" ht="11.1" customHeight="1">
      <c r="A145" s="600" t="str">
        <f t="shared" si="10"/>
        <v>EUR;EUR :STD;32Y</v>
      </c>
      <c r="B145" s="600" t="str">
        <f t="shared" si="11"/>
        <v>EUR</v>
      </c>
      <c r="C145" s="600" t="str">
        <f t="shared" si="11"/>
        <v>EUR :STD</v>
      </c>
      <c r="D145" s="603"/>
      <c r="E145" s="604"/>
      <c r="F145" s="607" t="s">
        <v>164</v>
      </c>
      <c r="G145" s="608">
        <v>0</v>
      </c>
    </row>
    <row r="146" spans="1:7" ht="11.1" customHeight="1">
      <c r="A146" s="600" t="str">
        <f t="shared" si="10"/>
        <v>EUR;EUR :STD;33Y</v>
      </c>
      <c r="B146" s="600" t="str">
        <f t="shared" si="11"/>
        <v>EUR</v>
      </c>
      <c r="C146" s="600" t="str">
        <f t="shared" si="11"/>
        <v>EUR :STD</v>
      </c>
      <c r="D146" s="603"/>
      <c r="E146" s="604"/>
      <c r="F146" s="607" t="s">
        <v>165</v>
      </c>
      <c r="G146" s="608">
        <v>0</v>
      </c>
    </row>
    <row r="147" spans="1:7" ht="11.1" customHeight="1">
      <c r="A147" s="600" t="str">
        <f t="shared" si="10"/>
        <v>EUR;EUR :STD;34Y</v>
      </c>
      <c r="B147" s="600" t="str">
        <f t="shared" si="11"/>
        <v>EUR</v>
      </c>
      <c r="C147" s="600" t="str">
        <f t="shared" si="11"/>
        <v>EUR :STD</v>
      </c>
      <c r="D147" s="603"/>
      <c r="E147" s="604"/>
      <c r="F147" s="607" t="s">
        <v>166</v>
      </c>
      <c r="G147" s="608">
        <v>0</v>
      </c>
    </row>
    <row r="148" spans="1:7" ht="11.1" customHeight="1">
      <c r="A148" s="600" t="str">
        <f t="shared" si="10"/>
        <v>EUR;EUR :STD;35Y</v>
      </c>
      <c r="B148" s="600" t="str">
        <f t="shared" si="11"/>
        <v>EUR</v>
      </c>
      <c r="C148" s="600" t="str">
        <f t="shared" si="11"/>
        <v>EUR :STD</v>
      </c>
      <c r="D148" s="603"/>
      <c r="E148" s="604"/>
      <c r="F148" s="607" t="s">
        <v>167</v>
      </c>
      <c r="G148" s="608">
        <v>0</v>
      </c>
    </row>
    <row r="149" spans="1:7" ht="11.1" customHeight="1">
      <c r="A149" s="600" t="str">
        <f t="shared" si="10"/>
        <v>EUR;EUR :STD;36Y</v>
      </c>
      <c r="B149" s="600" t="str">
        <f t="shared" ref="B149:C164" si="12">IF(ISBLANK(D149),B148,D149)</f>
        <v>EUR</v>
      </c>
      <c r="C149" s="600" t="str">
        <f t="shared" si="12"/>
        <v>EUR :STD</v>
      </c>
      <c r="D149" s="603"/>
      <c r="E149" s="604"/>
      <c r="F149" s="607" t="s">
        <v>168</v>
      </c>
      <c r="G149" s="608">
        <v>0</v>
      </c>
    </row>
    <row r="150" spans="1:7" ht="11.1" customHeight="1">
      <c r="A150" s="600" t="str">
        <f t="shared" si="10"/>
        <v>EUR;EUR :STD;37Y</v>
      </c>
      <c r="B150" s="600" t="str">
        <f t="shared" si="12"/>
        <v>EUR</v>
      </c>
      <c r="C150" s="600" t="str">
        <f t="shared" si="12"/>
        <v>EUR :STD</v>
      </c>
      <c r="D150" s="603"/>
      <c r="E150" s="604"/>
      <c r="F150" s="607" t="s">
        <v>169</v>
      </c>
      <c r="G150" s="608">
        <v>0</v>
      </c>
    </row>
    <row r="151" spans="1:7" ht="11.1" customHeight="1">
      <c r="A151" s="600" t="str">
        <f t="shared" si="10"/>
        <v>EUR;EUR :STD;38Y</v>
      </c>
      <c r="B151" s="600" t="str">
        <f t="shared" si="12"/>
        <v>EUR</v>
      </c>
      <c r="C151" s="600" t="str">
        <f t="shared" si="12"/>
        <v>EUR :STD</v>
      </c>
      <c r="D151" s="603"/>
      <c r="E151" s="604"/>
      <c r="F151" s="607" t="s">
        <v>170</v>
      </c>
      <c r="G151" s="608">
        <v>0</v>
      </c>
    </row>
    <row r="152" spans="1:7" ht="11.1" customHeight="1">
      <c r="A152" s="600" t="str">
        <f t="shared" si="10"/>
        <v>EUR;EUR :STD;39Y</v>
      </c>
      <c r="B152" s="600" t="str">
        <f t="shared" si="12"/>
        <v>EUR</v>
      </c>
      <c r="C152" s="600" t="str">
        <f t="shared" si="12"/>
        <v>EUR :STD</v>
      </c>
      <c r="D152" s="603"/>
      <c r="E152" s="604"/>
      <c r="F152" s="607" t="s">
        <v>171</v>
      </c>
      <c r="G152" s="608">
        <v>0</v>
      </c>
    </row>
    <row r="153" spans="1:7" ht="11.1" customHeight="1">
      <c r="A153" s="600" t="str">
        <f t="shared" si="10"/>
        <v>EUR;EUR :STD;40Y</v>
      </c>
      <c r="B153" s="600" t="str">
        <f t="shared" si="12"/>
        <v>EUR</v>
      </c>
      <c r="C153" s="600" t="str">
        <f t="shared" si="12"/>
        <v>EUR :STD</v>
      </c>
      <c r="D153" s="603"/>
      <c r="E153" s="604"/>
      <c r="F153" s="607" t="s">
        <v>46</v>
      </c>
      <c r="G153" s="608">
        <v>0</v>
      </c>
    </row>
    <row r="154" spans="1:7" ht="11.1" customHeight="1">
      <c r="A154" s="600" t="str">
        <f t="shared" si="10"/>
        <v>EUR;EUR :STD;50Y</v>
      </c>
      <c r="B154" s="600" t="str">
        <f t="shared" si="12"/>
        <v>EUR</v>
      </c>
      <c r="C154" s="600" t="str">
        <f t="shared" si="12"/>
        <v>EUR :STD</v>
      </c>
      <c r="D154" s="603"/>
      <c r="E154" s="604"/>
      <c r="F154" s="607" t="s">
        <v>47</v>
      </c>
      <c r="G154" s="608">
        <v>0</v>
      </c>
    </row>
    <row r="155" spans="1:7" ht="11.1" customHeight="1">
      <c r="A155" s="600" t="str">
        <f t="shared" si="10"/>
        <v>EUR;EUR :STD;60Y</v>
      </c>
      <c r="B155" s="600" t="str">
        <f t="shared" si="12"/>
        <v>EUR</v>
      </c>
      <c r="C155" s="600" t="str">
        <f t="shared" si="12"/>
        <v>EUR :STD</v>
      </c>
      <c r="D155" s="603"/>
      <c r="E155" s="604"/>
      <c r="F155" s="607" t="s">
        <v>48</v>
      </c>
      <c r="G155" s="608">
        <v>0</v>
      </c>
    </row>
    <row r="156" spans="1:7" ht="11.1" customHeight="1">
      <c r="A156" s="600" t="str">
        <f t="shared" si="10"/>
        <v>GBP;GBP 3M;Total GBP 3M</v>
      </c>
      <c r="B156" s="600" t="str">
        <f t="shared" si="12"/>
        <v>GBP</v>
      </c>
      <c r="C156" s="600" t="str">
        <f t="shared" si="12"/>
        <v>GBP 3M</v>
      </c>
      <c r="D156" s="603" t="s">
        <v>684</v>
      </c>
      <c r="E156" s="604" t="s">
        <v>687</v>
      </c>
      <c r="F156" s="605" t="s">
        <v>1219</v>
      </c>
      <c r="G156" s="606">
        <v>-249.992039604616</v>
      </c>
    </row>
    <row r="157" spans="1:7" ht="11.1" customHeight="1">
      <c r="A157" s="600" t="str">
        <f t="shared" si="10"/>
        <v>GBP;GBP 3M;O/N</v>
      </c>
      <c r="B157" s="600" t="str">
        <f t="shared" si="12"/>
        <v>GBP</v>
      </c>
      <c r="C157" s="600" t="str">
        <f t="shared" si="12"/>
        <v>GBP 3M</v>
      </c>
      <c r="D157" s="603"/>
      <c r="E157" s="604"/>
      <c r="F157" s="607" t="s">
        <v>3</v>
      </c>
      <c r="G157" s="608">
        <v>0</v>
      </c>
    </row>
    <row r="158" spans="1:7" ht="11.1" customHeight="1">
      <c r="A158" s="600" t="str">
        <f t="shared" si="10"/>
        <v>GBP;GBP 3M;T/N</v>
      </c>
      <c r="B158" s="600" t="str">
        <f t="shared" si="12"/>
        <v>GBP</v>
      </c>
      <c r="C158" s="600" t="str">
        <f t="shared" si="12"/>
        <v>GBP 3M</v>
      </c>
      <c r="D158" s="603"/>
      <c r="E158" s="604"/>
      <c r="F158" s="607" t="s">
        <v>4</v>
      </c>
      <c r="G158" s="608">
        <v>0</v>
      </c>
    </row>
    <row r="159" spans="1:7" ht="11.1" customHeight="1">
      <c r="A159" s="600" t="str">
        <f t="shared" si="10"/>
        <v>GBP;GBP 3M;S/N</v>
      </c>
      <c r="B159" s="600" t="str">
        <f t="shared" si="12"/>
        <v>GBP</v>
      </c>
      <c r="C159" s="600" t="str">
        <f t="shared" si="12"/>
        <v>GBP 3M</v>
      </c>
      <c r="D159" s="603"/>
      <c r="E159" s="604"/>
      <c r="F159" s="607" t="s">
        <v>23</v>
      </c>
      <c r="G159" s="608">
        <v>0</v>
      </c>
    </row>
    <row r="160" spans="1:7" ht="11.1" customHeight="1">
      <c r="A160" s="600" t="str">
        <f t="shared" si="10"/>
        <v>GBP;GBP 3M;1W</v>
      </c>
      <c r="B160" s="600" t="str">
        <f t="shared" si="12"/>
        <v>GBP</v>
      </c>
      <c r="C160" s="600" t="str">
        <f t="shared" si="12"/>
        <v>GBP 3M</v>
      </c>
      <c r="D160" s="603"/>
      <c r="E160" s="604"/>
      <c r="F160" s="607" t="s">
        <v>5</v>
      </c>
      <c r="G160" s="608">
        <v>0</v>
      </c>
    </row>
    <row r="161" spans="1:7" ht="11.1" customHeight="1">
      <c r="A161" s="600" t="str">
        <f t="shared" si="10"/>
        <v>GBP;GBP 3M;2W</v>
      </c>
      <c r="B161" s="600" t="str">
        <f t="shared" si="12"/>
        <v>GBP</v>
      </c>
      <c r="C161" s="600" t="str">
        <f t="shared" si="12"/>
        <v>GBP 3M</v>
      </c>
      <c r="D161" s="603"/>
      <c r="E161" s="604"/>
      <c r="F161" s="607" t="s">
        <v>6</v>
      </c>
      <c r="G161" s="608">
        <v>0</v>
      </c>
    </row>
    <row r="162" spans="1:7" ht="11.1" customHeight="1">
      <c r="A162" s="600" t="str">
        <f t="shared" si="10"/>
        <v>GBP;GBP 3M;3W</v>
      </c>
      <c r="B162" s="600" t="str">
        <f t="shared" si="12"/>
        <v>GBP</v>
      </c>
      <c r="C162" s="600" t="str">
        <f t="shared" si="12"/>
        <v>GBP 3M</v>
      </c>
      <c r="D162" s="603"/>
      <c r="E162" s="604"/>
      <c r="F162" s="607" t="s">
        <v>24</v>
      </c>
      <c r="G162" s="608">
        <v>0</v>
      </c>
    </row>
    <row r="163" spans="1:7" ht="11.1" customHeight="1">
      <c r="A163" s="600" t="str">
        <f t="shared" si="10"/>
        <v>GBP;GBP 3M;1M</v>
      </c>
      <c r="B163" s="600" t="str">
        <f t="shared" si="12"/>
        <v>GBP</v>
      </c>
      <c r="C163" s="600" t="str">
        <f t="shared" si="12"/>
        <v>GBP 3M</v>
      </c>
      <c r="D163" s="603"/>
      <c r="E163" s="604"/>
      <c r="F163" s="607" t="s">
        <v>7</v>
      </c>
      <c r="G163" s="606">
        <v>-3.4913227864308298E-10</v>
      </c>
    </row>
    <row r="164" spans="1:7" ht="11.1" customHeight="1">
      <c r="A164" s="600" t="str">
        <f t="shared" si="10"/>
        <v>GBP;GBP 3M;2M</v>
      </c>
      <c r="B164" s="600" t="str">
        <f t="shared" si="12"/>
        <v>GBP</v>
      </c>
      <c r="C164" s="600" t="str">
        <f t="shared" si="12"/>
        <v>GBP 3M</v>
      </c>
      <c r="D164" s="603"/>
      <c r="E164" s="604"/>
      <c r="F164" s="607" t="s">
        <v>8</v>
      </c>
      <c r="G164" s="608">
        <v>0</v>
      </c>
    </row>
    <row r="165" spans="1:7" ht="11.1" customHeight="1">
      <c r="A165" s="600" t="str">
        <f t="shared" si="10"/>
        <v>GBP;GBP 3M;3M</v>
      </c>
      <c r="B165" s="600" t="str">
        <f t="shared" ref="B165:C180" si="13">IF(ISBLANK(D165),B164,D165)</f>
        <v>GBP</v>
      </c>
      <c r="C165" s="600" t="str">
        <f t="shared" si="13"/>
        <v>GBP 3M</v>
      </c>
      <c r="D165" s="603"/>
      <c r="E165" s="604"/>
      <c r="F165" s="607" t="s">
        <v>25</v>
      </c>
      <c r="G165" s="606">
        <v>-2.11542783290497E-10</v>
      </c>
    </row>
    <row r="166" spans="1:7" ht="11.1" customHeight="1">
      <c r="A166" s="600" t="str">
        <f t="shared" si="10"/>
        <v>GBP;GBP 3M;DEC 16</v>
      </c>
      <c r="B166" s="600" t="str">
        <f t="shared" si="13"/>
        <v>GBP</v>
      </c>
      <c r="C166" s="600" t="str">
        <f t="shared" si="13"/>
        <v>GBP 3M</v>
      </c>
      <c r="D166" s="603"/>
      <c r="E166" s="604"/>
      <c r="F166" s="607" t="s">
        <v>1060</v>
      </c>
      <c r="G166" s="606">
        <v>-8.0649442679714401E-10</v>
      </c>
    </row>
    <row r="167" spans="1:7" ht="11.1" customHeight="1">
      <c r="A167" s="600" t="str">
        <f t="shared" si="10"/>
        <v>GBP;GBP 3M;MAR 17</v>
      </c>
      <c r="B167" s="600" t="str">
        <f t="shared" si="13"/>
        <v>GBP</v>
      </c>
      <c r="C167" s="600" t="str">
        <f t="shared" si="13"/>
        <v>GBP 3M</v>
      </c>
      <c r="D167" s="603"/>
      <c r="E167" s="604"/>
      <c r="F167" s="607" t="s">
        <v>1063</v>
      </c>
      <c r="G167" s="606">
        <v>-9.9555563792819199E-10</v>
      </c>
    </row>
    <row r="168" spans="1:7" ht="11.1" customHeight="1">
      <c r="A168" s="600" t="str">
        <f t="shared" si="10"/>
        <v>GBP;GBP 3M;JUN 17</v>
      </c>
      <c r="B168" s="600" t="str">
        <f t="shared" si="13"/>
        <v>GBP</v>
      </c>
      <c r="C168" s="600" t="str">
        <f t="shared" si="13"/>
        <v>GBP 3M</v>
      </c>
      <c r="D168" s="603"/>
      <c r="E168" s="604"/>
      <c r="F168" s="607" t="s">
        <v>1066</v>
      </c>
      <c r="G168" s="606">
        <v>-875.00254878539602</v>
      </c>
    </row>
    <row r="169" spans="1:7" ht="11.1" customHeight="1">
      <c r="A169" s="600" t="str">
        <f t="shared" si="10"/>
        <v>GBP;GBP 3M;SEP 17</v>
      </c>
      <c r="B169" s="600" t="str">
        <f t="shared" si="13"/>
        <v>GBP</v>
      </c>
      <c r="C169" s="600" t="str">
        <f t="shared" si="13"/>
        <v>GBP 3M</v>
      </c>
      <c r="D169" s="603"/>
      <c r="E169" s="604"/>
      <c r="F169" s="607" t="s">
        <v>1069</v>
      </c>
      <c r="G169" s="606">
        <v>-625.00311261060597</v>
      </c>
    </row>
    <row r="170" spans="1:7" ht="11.1" customHeight="1">
      <c r="A170" s="600" t="str">
        <f t="shared" si="10"/>
        <v>GBP;GBP 3M;DEC 17</v>
      </c>
      <c r="B170" s="600" t="str">
        <f t="shared" si="13"/>
        <v>GBP</v>
      </c>
      <c r="C170" s="600" t="str">
        <f t="shared" si="13"/>
        <v>GBP 3M</v>
      </c>
      <c r="D170" s="603"/>
      <c r="E170" s="604"/>
      <c r="F170" s="607" t="s">
        <v>3865</v>
      </c>
      <c r="G170" s="606">
        <v>-1.1605152394622599E-9</v>
      </c>
    </row>
    <row r="171" spans="1:7" ht="11.1" customHeight="1">
      <c r="A171" s="600" t="str">
        <f t="shared" si="10"/>
        <v>GBP;GBP 3M;MAR 18</v>
      </c>
      <c r="B171" s="600" t="str">
        <f t="shared" si="13"/>
        <v>GBP</v>
      </c>
      <c r="C171" s="600" t="str">
        <f t="shared" si="13"/>
        <v>GBP 3M</v>
      </c>
      <c r="D171" s="603"/>
      <c r="E171" s="604"/>
      <c r="F171" s="607" t="s">
        <v>3866</v>
      </c>
      <c r="G171" s="611">
        <v>1250.01362179491</v>
      </c>
    </row>
    <row r="172" spans="1:7" ht="11.1" customHeight="1">
      <c r="A172" s="600" t="str">
        <f t="shared" si="10"/>
        <v>GBP;GBP 3M;JUN 18</v>
      </c>
      <c r="B172" s="600" t="str">
        <f t="shared" si="13"/>
        <v>GBP</v>
      </c>
      <c r="C172" s="600" t="str">
        <f t="shared" si="13"/>
        <v>GBP 3M</v>
      </c>
      <c r="D172" s="603"/>
      <c r="E172" s="604"/>
      <c r="F172" s="607" t="s">
        <v>3889</v>
      </c>
      <c r="G172" s="608">
        <v>0</v>
      </c>
    </row>
    <row r="173" spans="1:7" ht="11.1" customHeight="1">
      <c r="A173" s="600" t="str">
        <f t="shared" si="10"/>
        <v>GBP;GBP 3M;SEP 18</v>
      </c>
      <c r="B173" s="600" t="str">
        <f t="shared" si="13"/>
        <v>GBP</v>
      </c>
      <c r="C173" s="600" t="str">
        <f t="shared" si="13"/>
        <v>GBP 3M</v>
      </c>
      <c r="D173" s="603"/>
      <c r="E173" s="604"/>
      <c r="F173" s="607" t="s">
        <v>3890</v>
      </c>
      <c r="G173" s="608">
        <v>0</v>
      </c>
    </row>
    <row r="174" spans="1:7" ht="11.1" customHeight="1">
      <c r="A174" s="600" t="str">
        <f t="shared" si="10"/>
        <v>GBP;GBP 3M;2Y6M</v>
      </c>
      <c r="B174" s="600" t="str">
        <f t="shared" si="13"/>
        <v>GBP</v>
      </c>
      <c r="C174" s="600" t="str">
        <f t="shared" si="13"/>
        <v>GBP 3M</v>
      </c>
      <c r="D174" s="603"/>
      <c r="E174" s="604"/>
      <c r="F174" s="607" t="s">
        <v>98</v>
      </c>
      <c r="G174" s="608">
        <v>0</v>
      </c>
    </row>
    <row r="175" spans="1:7" ht="11.1" customHeight="1">
      <c r="A175" s="600" t="str">
        <f t="shared" si="10"/>
        <v>GBP;GBP 3M;2Y9M</v>
      </c>
      <c r="B175" s="600" t="str">
        <f t="shared" si="13"/>
        <v>GBP</v>
      </c>
      <c r="C175" s="600" t="str">
        <f t="shared" si="13"/>
        <v>GBP 3M</v>
      </c>
      <c r="D175" s="603"/>
      <c r="E175" s="604"/>
      <c r="F175" s="607" t="s">
        <v>99</v>
      </c>
      <c r="G175" s="608">
        <v>0</v>
      </c>
    </row>
    <row r="176" spans="1:7" ht="11.1" customHeight="1">
      <c r="A176" s="600" t="str">
        <f t="shared" si="10"/>
        <v>GBP;GBP 3M;3Y</v>
      </c>
      <c r="B176" s="600" t="str">
        <f t="shared" si="13"/>
        <v>GBP</v>
      </c>
      <c r="C176" s="600" t="str">
        <f t="shared" si="13"/>
        <v>GBP 3M</v>
      </c>
      <c r="D176" s="603"/>
      <c r="E176" s="604"/>
      <c r="F176" s="607" t="s">
        <v>10</v>
      </c>
      <c r="G176" s="608">
        <v>0</v>
      </c>
    </row>
    <row r="177" spans="1:7" ht="11.1" customHeight="1">
      <c r="A177" s="600" t="str">
        <f t="shared" si="10"/>
        <v>GBP;GBP 3M;4Y</v>
      </c>
      <c r="B177" s="600" t="str">
        <f t="shared" si="13"/>
        <v>GBP</v>
      </c>
      <c r="C177" s="600" t="str">
        <f t="shared" si="13"/>
        <v>GBP 3M</v>
      </c>
      <c r="D177" s="603"/>
      <c r="E177" s="604"/>
      <c r="F177" s="607" t="s">
        <v>11</v>
      </c>
      <c r="G177" s="608">
        <v>0</v>
      </c>
    </row>
    <row r="178" spans="1:7" ht="11.1" customHeight="1">
      <c r="A178" s="600" t="str">
        <f t="shared" si="10"/>
        <v>GBP;GBP 3M;5Y</v>
      </c>
      <c r="B178" s="600" t="str">
        <f t="shared" si="13"/>
        <v>GBP</v>
      </c>
      <c r="C178" s="600" t="str">
        <f t="shared" si="13"/>
        <v>GBP 3M</v>
      </c>
      <c r="D178" s="603"/>
      <c r="E178" s="604"/>
      <c r="F178" s="607" t="s">
        <v>12</v>
      </c>
      <c r="G178" s="608">
        <v>0</v>
      </c>
    </row>
    <row r="179" spans="1:7" ht="11.1" customHeight="1">
      <c r="A179" s="600" t="str">
        <f t="shared" si="10"/>
        <v>GBP;GBP 3M;6Y</v>
      </c>
      <c r="B179" s="600" t="str">
        <f t="shared" si="13"/>
        <v>GBP</v>
      </c>
      <c r="C179" s="600" t="str">
        <f t="shared" si="13"/>
        <v>GBP 3M</v>
      </c>
      <c r="D179" s="603"/>
      <c r="E179" s="604"/>
      <c r="F179" s="607" t="s">
        <v>13</v>
      </c>
      <c r="G179" s="608">
        <v>0</v>
      </c>
    </row>
    <row r="180" spans="1:7" ht="11.1" customHeight="1">
      <c r="A180" s="600" t="str">
        <f t="shared" si="10"/>
        <v>GBP;GBP 3M;7Y</v>
      </c>
      <c r="B180" s="600" t="str">
        <f t="shared" si="13"/>
        <v>GBP</v>
      </c>
      <c r="C180" s="600" t="str">
        <f t="shared" si="13"/>
        <v>GBP 3M</v>
      </c>
      <c r="D180" s="603"/>
      <c r="E180" s="604"/>
      <c r="F180" s="607" t="s">
        <v>14</v>
      </c>
      <c r="G180" s="608">
        <v>0</v>
      </c>
    </row>
    <row r="181" spans="1:7" ht="11.1" customHeight="1">
      <c r="A181" s="600" t="str">
        <f t="shared" si="10"/>
        <v>GBP;GBP 3M;8Y</v>
      </c>
      <c r="B181" s="600" t="str">
        <f t="shared" ref="B181:C196" si="14">IF(ISBLANK(D181),B180,D181)</f>
        <v>GBP</v>
      </c>
      <c r="C181" s="600" t="str">
        <f t="shared" si="14"/>
        <v>GBP 3M</v>
      </c>
      <c r="D181" s="603"/>
      <c r="E181" s="604"/>
      <c r="F181" s="607" t="s">
        <v>15</v>
      </c>
      <c r="G181" s="608">
        <v>0</v>
      </c>
    </row>
    <row r="182" spans="1:7" ht="11.1" customHeight="1">
      <c r="A182" s="600" t="str">
        <f t="shared" si="10"/>
        <v>GBP;GBP 3M;9Y</v>
      </c>
      <c r="B182" s="600" t="str">
        <f t="shared" si="14"/>
        <v>GBP</v>
      </c>
      <c r="C182" s="600" t="str">
        <f t="shared" si="14"/>
        <v>GBP 3M</v>
      </c>
      <c r="D182" s="603"/>
      <c r="E182" s="604"/>
      <c r="F182" s="607" t="s">
        <v>16</v>
      </c>
      <c r="G182" s="608">
        <v>0</v>
      </c>
    </row>
    <row r="183" spans="1:7" ht="11.1" customHeight="1">
      <c r="A183" s="600" t="str">
        <f t="shared" si="10"/>
        <v>GBP;GBP 3M;10Y</v>
      </c>
      <c r="B183" s="600" t="str">
        <f t="shared" si="14"/>
        <v>GBP</v>
      </c>
      <c r="C183" s="600" t="str">
        <f t="shared" si="14"/>
        <v>GBP 3M</v>
      </c>
      <c r="D183" s="603"/>
      <c r="E183" s="604"/>
      <c r="F183" s="607" t="s">
        <v>17</v>
      </c>
      <c r="G183" s="608">
        <v>0</v>
      </c>
    </row>
    <row r="184" spans="1:7" ht="11.1" customHeight="1">
      <c r="A184" s="600" t="str">
        <f t="shared" si="10"/>
        <v>GBP;GBP 3M;11Y</v>
      </c>
      <c r="B184" s="600" t="str">
        <f t="shared" si="14"/>
        <v>GBP</v>
      </c>
      <c r="C184" s="600" t="str">
        <f t="shared" si="14"/>
        <v>GBP 3M</v>
      </c>
      <c r="D184" s="603"/>
      <c r="E184" s="604"/>
      <c r="F184" s="607" t="s">
        <v>31</v>
      </c>
      <c r="G184" s="608">
        <v>0</v>
      </c>
    </row>
    <row r="185" spans="1:7" ht="11.1" customHeight="1">
      <c r="A185" s="600" t="str">
        <f t="shared" si="10"/>
        <v>GBP;GBP 3M;12Y</v>
      </c>
      <c r="B185" s="600" t="str">
        <f t="shared" si="14"/>
        <v>GBP</v>
      </c>
      <c r="C185" s="600" t="str">
        <f t="shared" si="14"/>
        <v>GBP 3M</v>
      </c>
      <c r="D185" s="603"/>
      <c r="E185" s="604"/>
      <c r="F185" s="607" t="s">
        <v>18</v>
      </c>
      <c r="G185" s="608">
        <v>0</v>
      </c>
    </row>
    <row r="186" spans="1:7" ht="11.1" customHeight="1">
      <c r="A186" s="600" t="str">
        <f t="shared" si="10"/>
        <v>GBP;GBP 3M;13Y</v>
      </c>
      <c r="B186" s="600" t="str">
        <f t="shared" si="14"/>
        <v>GBP</v>
      </c>
      <c r="C186" s="600" t="str">
        <f t="shared" si="14"/>
        <v>GBP 3M</v>
      </c>
      <c r="D186" s="603"/>
      <c r="E186" s="604"/>
      <c r="F186" s="607" t="s">
        <v>32</v>
      </c>
      <c r="G186" s="608">
        <v>0</v>
      </c>
    </row>
    <row r="187" spans="1:7" ht="11.1" customHeight="1">
      <c r="A187" s="600" t="str">
        <f t="shared" si="10"/>
        <v>GBP;GBP 3M;14Y</v>
      </c>
      <c r="B187" s="600" t="str">
        <f t="shared" si="14"/>
        <v>GBP</v>
      </c>
      <c r="C187" s="600" t="str">
        <f t="shared" si="14"/>
        <v>GBP 3M</v>
      </c>
      <c r="D187" s="603"/>
      <c r="E187" s="604"/>
      <c r="F187" s="607" t="s">
        <v>33</v>
      </c>
      <c r="G187" s="608">
        <v>0</v>
      </c>
    </row>
    <row r="188" spans="1:7" ht="11.1" customHeight="1">
      <c r="A188" s="600" t="str">
        <f t="shared" si="10"/>
        <v>GBP;GBP 3M;15Y</v>
      </c>
      <c r="B188" s="600" t="str">
        <f t="shared" si="14"/>
        <v>GBP</v>
      </c>
      <c r="C188" s="600" t="str">
        <f t="shared" si="14"/>
        <v>GBP 3M</v>
      </c>
      <c r="D188" s="603"/>
      <c r="E188" s="604"/>
      <c r="F188" s="607" t="s">
        <v>19</v>
      </c>
      <c r="G188" s="608">
        <v>0</v>
      </c>
    </row>
    <row r="189" spans="1:7" ht="11.1" customHeight="1">
      <c r="A189" s="600" t="str">
        <f t="shared" si="10"/>
        <v>GBP;GBP 3M;16Y</v>
      </c>
      <c r="B189" s="600" t="str">
        <f t="shared" si="14"/>
        <v>GBP</v>
      </c>
      <c r="C189" s="600" t="str">
        <f t="shared" si="14"/>
        <v>GBP 3M</v>
      </c>
      <c r="D189" s="603"/>
      <c r="E189" s="604"/>
      <c r="F189" s="607" t="s">
        <v>34</v>
      </c>
      <c r="G189" s="608">
        <v>0</v>
      </c>
    </row>
    <row r="190" spans="1:7" ht="11.1" customHeight="1">
      <c r="A190" s="600" t="str">
        <f t="shared" si="10"/>
        <v>GBP;GBP 3M;17Y</v>
      </c>
      <c r="B190" s="600" t="str">
        <f t="shared" si="14"/>
        <v>GBP</v>
      </c>
      <c r="C190" s="600" t="str">
        <f t="shared" si="14"/>
        <v>GBP 3M</v>
      </c>
      <c r="D190" s="603"/>
      <c r="E190" s="604"/>
      <c r="F190" s="607" t="s">
        <v>35</v>
      </c>
      <c r="G190" s="608">
        <v>0</v>
      </c>
    </row>
    <row r="191" spans="1:7" ht="11.1" customHeight="1">
      <c r="A191" s="600" t="str">
        <f t="shared" si="10"/>
        <v>GBP;GBP 3M;18Y</v>
      </c>
      <c r="B191" s="600" t="str">
        <f t="shared" si="14"/>
        <v>GBP</v>
      </c>
      <c r="C191" s="600" t="str">
        <f t="shared" si="14"/>
        <v>GBP 3M</v>
      </c>
      <c r="D191" s="603"/>
      <c r="E191" s="604"/>
      <c r="F191" s="607" t="s">
        <v>36</v>
      </c>
      <c r="G191" s="608">
        <v>0</v>
      </c>
    </row>
    <row r="192" spans="1:7" ht="11.1" customHeight="1">
      <c r="A192" s="600" t="str">
        <f t="shared" si="10"/>
        <v>GBP;GBP 3M;19Y</v>
      </c>
      <c r="B192" s="600" t="str">
        <f t="shared" si="14"/>
        <v>GBP</v>
      </c>
      <c r="C192" s="600" t="str">
        <f t="shared" si="14"/>
        <v>GBP 3M</v>
      </c>
      <c r="D192" s="603"/>
      <c r="E192" s="604"/>
      <c r="F192" s="607" t="s">
        <v>37</v>
      </c>
      <c r="G192" s="608">
        <v>0</v>
      </c>
    </row>
    <row r="193" spans="1:7" ht="11.1" customHeight="1">
      <c r="A193" s="600" t="str">
        <f t="shared" si="10"/>
        <v>GBP;GBP 3M;20Y</v>
      </c>
      <c r="B193" s="600" t="str">
        <f t="shared" si="14"/>
        <v>GBP</v>
      </c>
      <c r="C193" s="600" t="str">
        <f t="shared" si="14"/>
        <v>GBP 3M</v>
      </c>
      <c r="D193" s="603"/>
      <c r="E193" s="604"/>
      <c r="F193" s="607" t="s">
        <v>20</v>
      </c>
      <c r="G193" s="608">
        <v>0</v>
      </c>
    </row>
    <row r="194" spans="1:7" ht="11.1" customHeight="1">
      <c r="A194" s="600" t="str">
        <f t="shared" si="10"/>
        <v>GBP;GBP 3M;21Y</v>
      </c>
      <c r="B194" s="600" t="str">
        <f t="shared" si="14"/>
        <v>GBP</v>
      </c>
      <c r="C194" s="600" t="str">
        <f t="shared" si="14"/>
        <v>GBP 3M</v>
      </c>
      <c r="D194" s="603"/>
      <c r="E194" s="604"/>
      <c r="F194" s="607" t="s">
        <v>38</v>
      </c>
      <c r="G194" s="608">
        <v>0</v>
      </c>
    </row>
    <row r="195" spans="1:7" ht="11.1" customHeight="1">
      <c r="A195" s="600" t="str">
        <f t="shared" si="10"/>
        <v>GBP;GBP 3M;22Y</v>
      </c>
      <c r="B195" s="600" t="str">
        <f t="shared" si="14"/>
        <v>GBP</v>
      </c>
      <c r="C195" s="600" t="str">
        <f t="shared" si="14"/>
        <v>GBP 3M</v>
      </c>
      <c r="D195" s="603"/>
      <c r="E195" s="604"/>
      <c r="F195" s="607" t="s">
        <v>39</v>
      </c>
      <c r="G195" s="608">
        <v>0</v>
      </c>
    </row>
    <row r="196" spans="1:7" ht="11.1" customHeight="1">
      <c r="A196" s="600" t="str">
        <f t="shared" si="10"/>
        <v>GBP;GBP 3M;23Y</v>
      </c>
      <c r="B196" s="600" t="str">
        <f t="shared" si="14"/>
        <v>GBP</v>
      </c>
      <c r="C196" s="600" t="str">
        <f t="shared" si="14"/>
        <v>GBP 3M</v>
      </c>
      <c r="D196" s="603"/>
      <c r="E196" s="604"/>
      <c r="F196" s="607" t="s">
        <v>40</v>
      </c>
      <c r="G196" s="608">
        <v>0</v>
      </c>
    </row>
    <row r="197" spans="1:7" ht="11.1" customHeight="1">
      <c r="A197" s="600" t="str">
        <f t="shared" ref="A197:A260" si="15">B197&amp;";"&amp;C197&amp;";"&amp;F197</f>
        <v>GBP;GBP 3M;24Y</v>
      </c>
      <c r="B197" s="600" t="str">
        <f t="shared" ref="B197:C212" si="16">IF(ISBLANK(D197),B196,D197)</f>
        <v>GBP</v>
      </c>
      <c r="C197" s="600" t="str">
        <f t="shared" si="16"/>
        <v>GBP 3M</v>
      </c>
      <c r="D197" s="603"/>
      <c r="E197" s="604"/>
      <c r="F197" s="607" t="s">
        <v>41</v>
      </c>
      <c r="G197" s="608">
        <v>0</v>
      </c>
    </row>
    <row r="198" spans="1:7" ht="11.1" customHeight="1">
      <c r="A198" s="600" t="str">
        <f t="shared" si="15"/>
        <v>GBP;GBP 3M;25Y</v>
      </c>
      <c r="B198" s="600" t="str">
        <f t="shared" si="16"/>
        <v>GBP</v>
      </c>
      <c r="C198" s="600" t="str">
        <f t="shared" si="16"/>
        <v>GBP 3M</v>
      </c>
      <c r="D198" s="603"/>
      <c r="E198" s="604"/>
      <c r="F198" s="607" t="s">
        <v>21</v>
      </c>
      <c r="G198" s="608">
        <v>0</v>
      </c>
    </row>
    <row r="199" spans="1:7" ht="11.1" customHeight="1">
      <c r="A199" s="600" t="str">
        <f t="shared" si="15"/>
        <v>GBP;GBP 3M;26Y</v>
      </c>
      <c r="B199" s="600" t="str">
        <f t="shared" si="16"/>
        <v>GBP</v>
      </c>
      <c r="C199" s="600" t="str">
        <f t="shared" si="16"/>
        <v>GBP 3M</v>
      </c>
      <c r="D199" s="603"/>
      <c r="E199" s="604"/>
      <c r="F199" s="607" t="s">
        <v>42</v>
      </c>
      <c r="G199" s="608">
        <v>0</v>
      </c>
    </row>
    <row r="200" spans="1:7" ht="11.1" customHeight="1">
      <c r="A200" s="600" t="str">
        <f t="shared" si="15"/>
        <v>GBP;GBP 3M;27Y</v>
      </c>
      <c r="B200" s="600" t="str">
        <f t="shared" si="16"/>
        <v>GBP</v>
      </c>
      <c r="C200" s="600" t="str">
        <f t="shared" si="16"/>
        <v>GBP 3M</v>
      </c>
      <c r="D200" s="603"/>
      <c r="E200" s="604"/>
      <c r="F200" s="607" t="s">
        <v>43</v>
      </c>
      <c r="G200" s="608">
        <v>0</v>
      </c>
    </row>
    <row r="201" spans="1:7" ht="11.1" customHeight="1">
      <c r="A201" s="600" t="str">
        <f t="shared" si="15"/>
        <v>GBP;GBP 3M;28Y</v>
      </c>
      <c r="B201" s="600" t="str">
        <f t="shared" si="16"/>
        <v>GBP</v>
      </c>
      <c r="C201" s="600" t="str">
        <f t="shared" si="16"/>
        <v>GBP 3M</v>
      </c>
      <c r="D201" s="603"/>
      <c r="E201" s="604"/>
      <c r="F201" s="607" t="s">
        <v>44</v>
      </c>
      <c r="G201" s="608">
        <v>0</v>
      </c>
    </row>
    <row r="202" spans="1:7" ht="11.1" customHeight="1">
      <c r="A202" s="600" t="str">
        <f t="shared" si="15"/>
        <v>GBP;GBP 3M;29Y</v>
      </c>
      <c r="B202" s="600" t="str">
        <f t="shared" si="16"/>
        <v>GBP</v>
      </c>
      <c r="C202" s="600" t="str">
        <f t="shared" si="16"/>
        <v>GBP 3M</v>
      </c>
      <c r="D202" s="603"/>
      <c r="E202" s="604"/>
      <c r="F202" s="607" t="s">
        <v>45</v>
      </c>
      <c r="G202" s="608">
        <v>0</v>
      </c>
    </row>
    <row r="203" spans="1:7" ht="11.1" customHeight="1">
      <c r="A203" s="600" t="str">
        <f t="shared" si="15"/>
        <v>GBP;GBP 3M;30Y</v>
      </c>
      <c r="B203" s="600" t="str">
        <f t="shared" si="16"/>
        <v>GBP</v>
      </c>
      <c r="C203" s="600" t="str">
        <f t="shared" si="16"/>
        <v>GBP 3M</v>
      </c>
      <c r="D203" s="603"/>
      <c r="E203" s="604"/>
      <c r="F203" s="607" t="s">
        <v>22</v>
      </c>
      <c r="G203" s="608">
        <v>0</v>
      </c>
    </row>
    <row r="204" spans="1:7" ht="11.1" customHeight="1">
      <c r="A204" s="600" t="str">
        <f t="shared" si="15"/>
        <v>GBP;GBP 3M;40Y</v>
      </c>
      <c r="B204" s="600" t="str">
        <f t="shared" si="16"/>
        <v>GBP</v>
      </c>
      <c r="C204" s="600" t="str">
        <f t="shared" si="16"/>
        <v>GBP 3M</v>
      </c>
      <c r="D204" s="603"/>
      <c r="E204" s="604"/>
      <c r="F204" s="607" t="s">
        <v>46</v>
      </c>
      <c r="G204" s="608">
        <v>0</v>
      </c>
    </row>
    <row r="205" spans="1:7" ht="11.1" customHeight="1">
      <c r="A205" s="600" t="str">
        <f t="shared" si="15"/>
        <v>GBP;GBP 3M;50Y</v>
      </c>
      <c r="B205" s="600" t="str">
        <f t="shared" si="16"/>
        <v>GBP</v>
      </c>
      <c r="C205" s="600" t="str">
        <f t="shared" si="16"/>
        <v>GBP 3M</v>
      </c>
      <c r="D205" s="603"/>
      <c r="E205" s="604"/>
      <c r="F205" s="607" t="s">
        <v>47</v>
      </c>
      <c r="G205" s="608">
        <v>0</v>
      </c>
    </row>
    <row r="206" spans="1:7" ht="11.1" customHeight="1">
      <c r="A206" s="600" t="str">
        <f t="shared" si="15"/>
        <v>GBP;GBP 3M;60Y</v>
      </c>
      <c r="B206" s="600" t="str">
        <f t="shared" si="16"/>
        <v>GBP</v>
      </c>
      <c r="C206" s="600" t="str">
        <f t="shared" si="16"/>
        <v>GBP 3M</v>
      </c>
      <c r="D206" s="603"/>
      <c r="E206" s="604"/>
      <c r="F206" s="607" t="s">
        <v>48</v>
      </c>
      <c r="G206" s="608">
        <v>0</v>
      </c>
    </row>
    <row r="207" spans="1:7" ht="11.1" customHeight="1">
      <c r="A207" s="600" t="str">
        <f t="shared" si="15"/>
        <v>USD;Total USD;</v>
      </c>
      <c r="B207" s="600" t="str">
        <f t="shared" si="16"/>
        <v>USD</v>
      </c>
      <c r="C207" s="600" t="str">
        <f t="shared" si="16"/>
        <v>Total USD</v>
      </c>
      <c r="D207" s="603" t="s">
        <v>635</v>
      </c>
      <c r="E207" s="609" t="s">
        <v>648</v>
      </c>
      <c r="F207" s="609"/>
      <c r="G207" s="612">
        <v>-32949.086045035998</v>
      </c>
    </row>
    <row r="208" spans="1:7" ht="11.1" customHeight="1">
      <c r="A208" s="600" t="str">
        <f t="shared" si="15"/>
        <v>USD;USD 3M;Total USD 3M</v>
      </c>
      <c r="B208" s="600" t="str">
        <f t="shared" si="16"/>
        <v>USD</v>
      </c>
      <c r="C208" s="600" t="str">
        <f t="shared" si="16"/>
        <v>USD 3M</v>
      </c>
      <c r="D208" s="603"/>
      <c r="E208" s="604" t="s">
        <v>651</v>
      </c>
      <c r="F208" s="605" t="s">
        <v>652</v>
      </c>
      <c r="G208" s="606">
        <v>-32949.086045035903</v>
      </c>
    </row>
    <row r="209" spans="1:7" ht="11.1" customHeight="1">
      <c r="A209" s="600" t="str">
        <f t="shared" si="15"/>
        <v>USD;USD 3M;O/N</v>
      </c>
      <c r="B209" s="600" t="str">
        <f t="shared" si="16"/>
        <v>USD</v>
      </c>
      <c r="C209" s="600" t="str">
        <f t="shared" si="16"/>
        <v>USD 3M</v>
      </c>
      <c r="D209" s="603"/>
      <c r="E209" s="604"/>
      <c r="F209" s="607" t="s">
        <v>3</v>
      </c>
      <c r="G209" s="611">
        <v>1.2590895659414501E-8</v>
      </c>
    </row>
    <row r="210" spans="1:7" ht="11.1" customHeight="1">
      <c r="A210" s="600" t="str">
        <f t="shared" si="15"/>
        <v>USD;USD 3M;T/N</v>
      </c>
      <c r="B210" s="600" t="str">
        <f t="shared" si="16"/>
        <v>USD</v>
      </c>
      <c r="C210" s="600" t="str">
        <f t="shared" si="16"/>
        <v>USD 3M</v>
      </c>
      <c r="D210" s="603"/>
      <c r="E210" s="604"/>
      <c r="F210" s="607" t="s">
        <v>4</v>
      </c>
      <c r="G210" s="611">
        <v>3.9414769226198099E-9</v>
      </c>
    </row>
    <row r="211" spans="1:7" ht="11.1" customHeight="1">
      <c r="A211" s="600" t="str">
        <f t="shared" si="15"/>
        <v>USD;USD 3M;S/N</v>
      </c>
      <c r="B211" s="600" t="str">
        <f t="shared" si="16"/>
        <v>USD</v>
      </c>
      <c r="C211" s="600" t="str">
        <f t="shared" si="16"/>
        <v>USD 3M</v>
      </c>
      <c r="D211" s="603"/>
      <c r="E211" s="604"/>
      <c r="F211" s="607" t="s">
        <v>23</v>
      </c>
      <c r="G211" s="608">
        <v>0</v>
      </c>
    </row>
    <row r="212" spans="1:7" ht="11.1" customHeight="1">
      <c r="A212" s="600" t="str">
        <f t="shared" si="15"/>
        <v>USD;USD 3M;1W</v>
      </c>
      <c r="B212" s="600" t="str">
        <f t="shared" si="16"/>
        <v>USD</v>
      </c>
      <c r="C212" s="600" t="str">
        <f t="shared" si="16"/>
        <v>USD 3M</v>
      </c>
      <c r="D212" s="603"/>
      <c r="E212" s="604"/>
      <c r="F212" s="607" t="s">
        <v>5</v>
      </c>
      <c r="G212" s="608">
        <v>0</v>
      </c>
    </row>
    <row r="213" spans="1:7" ht="11.1" customHeight="1">
      <c r="A213" s="600" t="str">
        <f t="shared" si="15"/>
        <v>USD;USD 3M;2W</v>
      </c>
      <c r="B213" s="600" t="str">
        <f t="shared" ref="B213:C228" si="17">IF(ISBLANK(D213),B212,D213)</f>
        <v>USD</v>
      </c>
      <c r="C213" s="600" t="str">
        <f t="shared" si="17"/>
        <v>USD 3M</v>
      </c>
      <c r="D213" s="603"/>
      <c r="E213" s="604"/>
      <c r="F213" s="607" t="s">
        <v>6</v>
      </c>
      <c r="G213" s="606">
        <v>-20.393747850231101</v>
      </c>
    </row>
    <row r="214" spans="1:7" ht="11.1" customHeight="1">
      <c r="A214" s="600" t="str">
        <f t="shared" si="15"/>
        <v>USD;USD 3M;3W</v>
      </c>
      <c r="B214" s="600" t="str">
        <f t="shared" si="17"/>
        <v>USD</v>
      </c>
      <c r="C214" s="600" t="str">
        <f t="shared" si="17"/>
        <v>USD 3M</v>
      </c>
      <c r="D214" s="603"/>
      <c r="E214" s="604"/>
      <c r="F214" s="607" t="s">
        <v>24</v>
      </c>
      <c r="G214" s="611">
        <v>352.845074131812</v>
      </c>
    </row>
    <row r="215" spans="1:7" ht="11.1" customHeight="1">
      <c r="A215" s="600" t="str">
        <f t="shared" si="15"/>
        <v>USD;USD 3M;1M</v>
      </c>
      <c r="B215" s="600" t="str">
        <f t="shared" si="17"/>
        <v>USD</v>
      </c>
      <c r="C215" s="600" t="str">
        <f t="shared" si="17"/>
        <v>USD 3M</v>
      </c>
      <c r="D215" s="603"/>
      <c r="E215" s="604"/>
      <c r="F215" s="607" t="s">
        <v>7</v>
      </c>
      <c r="G215" s="611">
        <v>5446.6199669565704</v>
      </c>
    </row>
    <row r="216" spans="1:7" ht="11.1" customHeight="1">
      <c r="A216" s="600" t="str">
        <f t="shared" si="15"/>
        <v>USD;USD 3M;2M</v>
      </c>
      <c r="B216" s="600" t="str">
        <f t="shared" si="17"/>
        <v>USD</v>
      </c>
      <c r="C216" s="600" t="str">
        <f t="shared" si="17"/>
        <v>USD 3M</v>
      </c>
      <c r="D216" s="603"/>
      <c r="E216" s="604"/>
      <c r="F216" s="607" t="s">
        <v>8</v>
      </c>
      <c r="G216" s="606">
        <v>-186.45474613915201</v>
      </c>
    </row>
    <row r="217" spans="1:7" ht="11.1" customHeight="1">
      <c r="A217" s="600" t="str">
        <f t="shared" si="15"/>
        <v>USD;USD 3M;3M</v>
      </c>
      <c r="B217" s="600" t="str">
        <f t="shared" si="17"/>
        <v>USD</v>
      </c>
      <c r="C217" s="600" t="str">
        <f t="shared" si="17"/>
        <v>USD 3M</v>
      </c>
      <c r="D217" s="603"/>
      <c r="E217" s="604"/>
      <c r="F217" s="607" t="s">
        <v>25</v>
      </c>
      <c r="G217" s="611">
        <v>588.82420996390294</v>
      </c>
    </row>
    <row r="218" spans="1:7" ht="11.1" customHeight="1">
      <c r="A218" s="600" t="str">
        <f t="shared" si="15"/>
        <v>USD;USD 3M;4M</v>
      </c>
      <c r="B218" s="600" t="str">
        <f t="shared" si="17"/>
        <v>USD</v>
      </c>
      <c r="C218" s="600" t="str">
        <f t="shared" si="17"/>
        <v>USD 3M</v>
      </c>
      <c r="D218" s="603"/>
      <c r="E218" s="604"/>
      <c r="F218" s="607" t="s">
        <v>26</v>
      </c>
      <c r="G218" s="606">
        <v>-18469.124870050098</v>
      </c>
    </row>
    <row r="219" spans="1:7" ht="11.1" customHeight="1">
      <c r="A219" s="600" t="str">
        <f t="shared" si="15"/>
        <v>USD;USD 3M;5M</v>
      </c>
      <c r="B219" s="600" t="str">
        <f t="shared" si="17"/>
        <v>USD</v>
      </c>
      <c r="C219" s="600" t="str">
        <f t="shared" si="17"/>
        <v>USD 3M</v>
      </c>
      <c r="D219" s="603"/>
      <c r="E219" s="604"/>
      <c r="F219" s="607" t="s">
        <v>27</v>
      </c>
      <c r="G219" s="611">
        <v>125.344304979874</v>
      </c>
    </row>
    <row r="220" spans="1:7" ht="11.1" customHeight="1">
      <c r="A220" s="600" t="str">
        <f t="shared" si="15"/>
        <v>USD;USD 3M;6M</v>
      </c>
      <c r="B220" s="600" t="str">
        <f t="shared" si="17"/>
        <v>USD</v>
      </c>
      <c r="C220" s="600" t="str">
        <f t="shared" si="17"/>
        <v>USD 3M</v>
      </c>
      <c r="D220" s="603"/>
      <c r="E220" s="604"/>
      <c r="F220" s="607" t="s">
        <v>28</v>
      </c>
      <c r="G220" s="606">
        <v>-1444.4023835396099</v>
      </c>
    </row>
    <row r="221" spans="1:7" ht="11.1" customHeight="1">
      <c r="A221" s="600" t="str">
        <f t="shared" si="15"/>
        <v>USD;USD 3M;21/06/17</v>
      </c>
      <c r="B221" s="600" t="str">
        <f t="shared" si="17"/>
        <v>USD</v>
      </c>
      <c r="C221" s="600" t="str">
        <f t="shared" si="17"/>
        <v>USD 3M</v>
      </c>
      <c r="D221" s="603"/>
      <c r="E221" s="604"/>
      <c r="F221" s="607" t="s">
        <v>5101</v>
      </c>
      <c r="G221" s="606">
        <v>-8150.6584265012398</v>
      </c>
    </row>
    <row r="222" spans="1:7" ht="11.1" customHeight="1">
      <c r="A222" s="600" t="str">
        <f t="shared" si="15"/>
        <v>USD;USD 3M;JUN 17</v>
      </c>
      <c r="B222" s="600" t="str">
        <f t="shared" si="17"/>
        <v>USD</v>
      </c>
      <c r="C222" s="600" t="str">
        <f t="shared" si="17"/>
        <v>USD 3M</v>
      </c>
      <c r="D222" s="603"/>
      <c r="E222" s="604"/>
      <c r="F222" s="607" t="s">
        <v>1066</v>
      </c>
      <c r="G222" s="606">
        <v>-11191.6283258108</v>
      </c>
    </row>
    <row r="223" spans="1:7" ht="11.1" customHeight="1">
      <c r="A223" s="600" t="str">
        <f t="shared" si="15"/>
        <v>USD;USD 3M;SEP 17</v>
      </c>
      <c r="B223" s="600" t="str">
        <f t="shared" si="17"/>
        <v>USD</v>
      </c>
      <c r="C223" s="600" t="str">
        <f t="shared" si="17"/>
        <v>USD 3M</v>
      </c>
      <c r="D223" s="603"/>
      <c r="E223" s="604"/>
      <c r="F223" s="607" t="s">
        <v>1069</v>
      </c>
      <c r="G223" s="606">
        <v>-2500.0302125205499</v>
      </c>
    </row>
    <row r="224" spans="1:7" ht="11.1" customHeight="1">
      <c r="A224" s="600" t="str">
        <f t="shared" si="15"/>
        <v>USD;USD 3M;DEC 17</v>
      </c>
      <c r="B224" s="600" t="str">
        <f t="shared" si="17"/>
        <v>USD</v>
      </c>
      <c r="C224" s="600" t="str">
        <f t="shared" si="17"/>
        <v>USD 3M</v>
      </c>
      <c r="D224" s="603"/>
      <c r="E224" s="604"/>
      <c r="F224" s="607" t="s">
        <v>3865</v>
      </c>
      <c r="G224" s="611">
        <v>1250.0186789084701</v>
      </c>
    </row>
    <row r="225" spans="1:7" ht="11.1" customHeight="1">
      <c r="A225" s="600" t="str">
        <f t="shared" si="15"/>
        <v>USD;USD 3M;MAR 18</v>
      </c>
      <c r="B225" s="600" t="str">
        <f t="shared" si="17"/>
        <v>USD</v>
      </c>
      <c r="C225" s="600" t="str">
        <f t="shared" si="17"/>
        <v>USD 3M</v>
      </c>
      <c r="D225" s="603"/>
      <c r="E225" s="604"/>
      <c r="F225" s="607" t="s">
        <v>3866</v>
      </c>
      <c r="G225" s="611">
        <v>6275.03948193012</v>
      </c>
    </row>
    <row r="226" spans="1:7" ht="11.1" customHeight="1">
      <c r="A226" s="600" t="str">
        <f t="shared" si="15"/>
        <v>USD;USD 3M;JUN 18</v>
      </c>
      <c r="B226" s="600" t="str">
        <f t="shared" si="17"/>
        <v>USD</v>
      </c>
      <c r="C226" s="600" t="str">
        <f t="shared" si="17"/>
        <v>USD 3M</v>
      </c>
      <c r="D226" s="603"/>
      <c r="E226" s="604"/>
      <c r="F226" s="607" t="s">
        <v>3889</v>
      </c>
      <c r="G226" s="606">
        <v>-5025.0850495119103</v>
      </c>
    </row>
    <row r="227" spans="1:7" ht="11.1" customHeight="1">
      <c r="A227" s="600" t="str">
        <f t="shared" si="15"/>
        <v>USD;USD 3M;SEP 18</v>
      </c>
      <c r="B227" s="600" t="str">
        <f t="shared" si="17"/>
        <v>USD</v>
      </c>
      <c r="C227" s="600" t="str">
        <f t="shared" si="17"/>
        <v>USD 3M</v>
      </c>
      <c r="D227" s="603"/>
      <c r="E227" s="604"/>
      <c r="F227" s="607" t="s">
        <v>3890</v>
      </c>
      <c r="G227" s="608">
        <v>0</v>
      </c>
    </row>
    <row r="228" spans="1:7" ht="11.1" customHeight="1">
      <c r="A228" s="600" t="str">
        <f t="shared" si="15"/>
        <v>USD;USD 3M;3Y</v>
      </c>
      <c r="B228" s="600" t="str">
        <f t="shared" si="17"/>
        <v>USD</v>
      </c>
      <c r="C228" s="600" t="str">
        <f t="shared" si="17"/>
        <v>USD 3M</v>
      </c>
      <c r="D228" s="603"/>
      <c r="E228" s="604"/>
      <c r="F228" s="607" t="s">
        <v>10</v>
      </c>
      <c r="G228" s="608">
        <v>0</v>
      </c>
    </row>
    <row r="229" spans="1:7" ht="11.1" customHeight="1">
      <c r="A229" s="600" t="str">
        <f t="shared" si="15"/>
        <v>USD;USD 3M;4Y</v>
      </c>
      <c r="B229" s="600" t="str">
        <f t="shared" ref="B229:C244" si="18">IF(ISBLANK(D229),B228,D229)</f>
        <v>USD</v>
      </c>
      <c r="C229" s="600" t="str">
        <f t="shared" si="18"/>
        <v>USD 3M</v>
      </c>
      <c r="D229" s="603"/>
      <c r="E229" s="604"/>
      <c r="F229" s="607" t="s">
        <v>11</v>
      </c>
      <c r="G229" s="608">
        <v>0</v>
      </c>
    </row>
    <row r="230" spans="1:7" ht="11.1" customHeight="1">
      <c r="A230" s="600" t="str">
        <f t="shared" si="15"/>
        <v>USD;USD 3M;5Y</v>
      </c>
      <c r="B230" s="600" t="str">
        <f t="shared" si="18"/>
        <v>USD</v>
      </c>
      <c r="C230" s="600" t="str">
        <f t="shared" si="18"/>
        <v>USD 3M</v>
      </c>
      <c r="D230" s="603"/>
      <c r="E230" s="604"/>
      <c r="F230" s="607" t="s">
        <v>12</v>
      </c>
      <c r="G230" s="608">
        <v>0</v>
      </c>
    </row>
    <row r="231" spans="1:7" ht="11.1" customHeight="1">
      <c r="A231" s="600" t="str">
        <f t="shared" si="15"/>
        <v>USD;USD 3M;6Y</v>
      </c>
      <c r="B231" s="600" t="str">
        <f t="shared" si="18"/>
        <v>USD</v>
      </c>
      <c r="C231" s="600" t="str">
        <f t="shared" si="18"/>
        <v>USD 3M</v>
      </c>
      <c r="D231" s="603"/>
      <c r="E231" s="604"/>
      <c r="F231" s="607" t="s">
        <v>13</v>
      </c>
      <c r="G231" s="608">
        <v>0</v>
      </c>
    </row>
    <row r="232" spans="1:7" ht="11.1" customHeight="1">
      <c r="A232" s="600" t="str">
        <f t="shared" si="15"/>
        <v>USD;USD 3M;7Y</v>
      </c>
      <c r="B232" s="600" t="str">
        <f t="shared" si="18"/>
        <v>USD</v>
      </c>
      <c r="C232" s="600" t="str">
        <f t="shared" si="18"/>
        <v>USD 3M</v>
      </c>
      <c r="D232" s="603"/>
      <c r="E232" s="604"/>
      <c r="F232" s="607" t="s">
        <v>14</v>
      </c>
      <c r="G232" s="608">
        <v>0</v>
      </c>
    </row>
    <row r="233" spans="1:7" ht="11.1" customHeight="1">
      <c r="A233" s="600" t="str">
        <f t="shared" si="15"/>
        <v>USD;USD 3M;8Y</v>
      </c>
      <c r="B233" s="600" t="str">
        <f t="shared" si="18"/>
        <v>USD</v>
      </c>
      <c r="C233" s="600" t="str">
        <f t="shared" si="18"/>
        <v>USD 3M</v>
      </c>
      <c r="D233" s="603"/>
      <c r="E233" s="604"/>
      <c r="F233" s="607" t="s">
        <v>15</v>
      </c>
      <c r="G233" s="608">
        <v>0</v>
      </c>
    </row>
    <row r="234" spans="1:7" ht="11.1" customHeight="1">
      <c r="A234" s="600" t="str">
        <f t="shared" si="15"/>
        <v>USD;USD 3M;9Y</v>
      </c>
      <c r="B234" s="600" t="str">
        <f t="shared" si="18"/>
        <v>USD</v>
      </c>
      <c r="C234" s="600" t="str">
        <f t="shared" si="18"/>
        <v>USD 3M</v>
      </c>
      <c r="D234" s="603"/>
      <c r="E234" s="604"/>
      <c r="F234" s="607" t="s">
        <v>16</v>
      </c>
      <c r="G234" s="608">
        <v>0</v>
      </c>
    </row>
    <row r="235" spans="1:7" ht="11.1" customHeight="1">
      <c r="A235" s="600" t="str">
        <f t="shared" si="15"/>
        <v>USD;USD 3M;10Y</v>
      </c>
      <c r="B235" s="600" t="str">
        <f t="shared" si="18"/>
        <v>USD</v>
      </c>
      <c r="C235" s="600" t="str">
        <f t="shared" si="18"/>
        <v>USD 3M</v>
      </c>
      <c r="D235" s="603"/>
      <c r="E235" s="604"/>
      <c r="F235" s="607" t="s">
        <v>17</v>
      </c>
      <c r="G235" s="608">
        <v>0</v>
      </c>
    </row>
    <row r="236" spans="1:7" ht="11.1" customHeight="1">
      <c r="A236" s="600" t="str">
        <f t="shared" si="15"/>
        <v>USD;USD 3M;11Y</v>
      </c>
      <c r="B236" s="600" t="str">
        <f t="shared" si="18"/>
        <v>USD</v>
      </c>
      <c r="C236" s="600" t="str">
        <f t="shared" si="18"/>
        <v>USD 3M</v>
      </c>
      <c r="D236" s="603"/>
      <c r="E236" s="604"/>
      <c r="F236" s="607" t="s">
        <v>31</v>
      </c>
      <c r="G236" s="608">
        <v>0</v>
      </c>
    </row>
    <row r="237" spans="1:7" ht="11.1" customHeight="1">
      <c r="A237" s="600" t="str">
        <f t="shared" si="15"/>
        <v>USD;USD 3M;12Y</v>
      </c>
      <c r="B237" s="600" t="str">
        <f t="shared" si="18"/>
        <v>USD</v>
      </c>
      <c r="C237" s="600" t="str">
        <f t="shared" si="18"/>
        <v>USD 3M</v>
      </c>
      <c r="D237" s="603"/>
      <c r="E237" s="604"/>
      <c r="F237" s="607" t="s">
        <v>18</v>
      </c>
      <c r="G237" s="608">
        <v>0</v>
      </c>
    </row>
    <row r="238" spans="1:7" ht="11.1" customHeight="1">
      <c r="A238" s="600" t="str">
        <f t="shared" si="15"/>
        <v>USD;USD 3M;13Y</v>
      </c>
      <c r="B238" s="600" t="str">
        <f t="shared" si="18"/>
        <v>USD</v>
      </c>
      <c r="C238" s="600" t="str">
        <f t="shared" si="18"/>
        <v>USD 3M</v>
      </c>
      <c r="D238" s="603"/>
      <c r="E238" s="604"/>
      <c r="F238" s="607" t="s">
        <v>32</v>
      </c>
      <c r="G238" s="608">
        <v>0</v>
      </c>
    </row>
    <row r="239" spans="1:7" ht="11.1" customHeight="1">
      <c r="A239" s="600" t="str">
        <f t="shared" si="15"/>
        <v>USD;USD 3M;14Y</v>
      </c>
      <c r="B239" s="600" t="str">
        <f t="shared" si="18"/>
        <v>USD</v>
      </c>
      <c r="C239" s="600" t="str">
        <f t="shared" si="18"/>
        <v>USD 3M</v>
      </c>
      <c r="D239" s="603"/>
      <c r="E239" s="604"/>
      <c r="F239" s="607" t="s">
        <v>33</v>
      </c>
      <c r="G239" s="608">
        <v>0</v>
      </c>
    </row>
    <row r="240" spans="1:7" ht="11.1" customHeight="1">
      <c r="A240" s="600" t="str">
        <f t="shared" si="15"/>
        <v>USD;USD 3M;15Y</v>
      </c>
      <c r="B240" s="600" t="str">
        <f t="shared" si="18"/>
        <v>USD</v>
      </c>
      <c r="C240" s="600" t="str">
        <f t="shared" si="18"/>
        <v>USD 3M</v>
      </c>
      <c r="D240" s="603"/>
      <c r="E240" s="604"/>
      <c r="F240" s="607" t="s">
        <v>19</v>
      </c>
      <c r="G240" s="608">
        <v>0</v>
      </c>
    </row>
    <row r="241" spans="1:7" ht="11.1" customHeight="1">
      <c r="A241" s="600" t="str">
        <f t="shared" si="15"/>
        <v>USD;USD 3M;16Y</v>
      </c>
      <c r="B241" s="600" t="str">
        <f t="shared" si="18"/>
        <v>USD</v>
      </c>
      <c r="C241" s="600" t="str">
        <f t="shared" si="18"/>
        <v>USD 3M</v>
      </c>
      <c r="D241" s="603"/>
      <c r="E241" s="604"/>
      <c r="F241" s="607" t="s">
        <v>34</v>
      </c>
      <c r="G241" s="608">
        <v>0</v>
      </c>
    </row>
    <row r="242" spans="1:7" ht="11.1" customHeight="1">
      <c r="A242" s="600" t="str">
        <f t="shared" si="15"/>
        <v>USD;USD 3M;17Y</v>
      </c>
      <c r="B242" s="600" t="str">
        <f t="shared" si="18"/>
        <v>USD</v>
      </c>
      <c r="C242" s="600" t="str">
        <f t="shared" si="18"/>
        <v>USD 3M</v>
      </c>
      <c r="D242" s="603"/>
      <c r="E242" s="604"/>
      <c r="F242" s="607" t="s">
        <v>35</v>
      </c>
      <c r="G242" s="608">
        <v>0</v>
      </c>
    </row>
    <row r="243" spans="1:7" ht="11.1" customHeight="1">
      <c r="A243" s="600" t="str">
        <f t="shared" si="15"/>
        <v>USD;USD 3M;18Y</v>
      </c>
      <c r="B243" s="600" t="str">
        <f t="shared" si="18"/>
        <v>USD</v>
      </c>
      <c r="C243" s="600" t="str">
        <f t="shared" si="18"/>
        <v>USD 3M</v>
      </c>
      <c r="D243" s="603"/>
      <c r="E243" s="604"/>
      <c r="F243" s="607" t="s">
        <v>36</v>
      </c>
      <c r="G243" s="608">
        <v>0</v>
      </c>
    </row>
    <row r="244" spans="1:7" ht="11.1" customHeight="1">
      <c r="A244" s="600" t="str">
        <f t="shared" si="15"/>
        <v>USD;USD 3M;19Y</v>
      </c>
      <c r="B244" s="600" t="str">
        <f t="shared" si="18"/>
        <v>USD</v>
      </c>
      <c r="C244" s="600" t="str">
        <f t="shared" si="18"/>
        <v>USD 3M</v>
      </c>
      <c r="D244" s="603"/>
      <c r="E244" s="604"/>
      <c r="F244" s="607" t="s">
        <v>37</v>
      </c>
      <c r="G244" s="608">
        <v>0</v>
      </c>
    </row>
    <row r="245" spans="1:7" ht="11.1" customHeight="1">
      <c r="A245" s="600" t="str">
        <f t="shared" si="15"/>
        <v>USD;USD 3M;20Y</v>
      </c>
      <c r="B245" s="600" t="str">
        <f t="shared" ref="B245:C260" si="19">IF(ISBLANK(D245),B244,D245)</f>
        <v>USD</v>
      </c>
      <c r="C245" s="600" t="str">
        <f t="shared" si="19"/>
        <v>USD 3M</v>
      </c>
      <c r="D245" s="603"/>
      <c r="E245" s="604"/>
      <c r="F245" s="607" t="s">
        <v>20</v>
      </c>
      <c r="G245" s="608">
        <v>0</v>
      </c>
    </row>
    <row r="246" spans="1:7" ht="11.1" customHeight="1">
      <c r="A246" s="600" t="str">
        <f t="shared" si="15"/>
        <v>USD;USD 3M;21Y</v>
      </c>
      <c r="B246" s="600" t="str">
        <f t="shared" si="19"/>
        <v>USD</v>
      </c>
      <c r="C246" s="600" t="str">
        <f t="shared" si="19"/>
        <v>USD 3M</v>
      </c>
      <c r="D246" s="603"/>
      <c r="E246" s="604"/>
      <c r="F246" s="607" t="s">
        <v>38</v>
      </c>
      <c r="G246" s="608">
        <v>0</v>
      </c>
    </row>
    <row r="247" spans="1:7" ht="11.1" customHeight="1">
      <c r="A247" s="600" t="str">
        <f t="shared" si="15"/>
        <v>USD;USD 3M;22Y</v>
      </c>
      <c r="B247" s="600" t="str">
        <f t="shared" si="19"/>
        <v>USD</v>
      </c>
      <c r="C247" s="600" t="str">
        <f t="shared" si="19"/>
        <v>USD 3M</v>
      </c>
      <c r="D247" s="603"/>
      <c r="E247" s="604"/>
      <c r="F247" s="607" t="s">
        <v>39</v>
      </c>
      <c r="G247" s="608">
        <v>0</v>
      </c>
    </row>
    <row r="248" spans="1:7" ht="11.1" customHeight="1">
      <c r="A248" s="600" t="str">
        <f t="shared" si="15"/>
        <v>USD;USD 3M;23Y</v>
      </c>
      <c r="B248" s="600" t="str">
        <f t="shared" si="19"/>
        <v>USD</v>
      </c>
      <c r="C248" s="600" t="str">
        <f t="shared" si="19"/>
        <v>USD 3M</v>
      </c>
      <c r="D248" s="603"/>
      <c r="E248" s="604"/>
      <c r="F248" s="607" t="s">
        <v>40</v>
      </c>
      <c r="G248" s="608">
        <v>0</v>
      </c>
    </row>
    <row r="249" spans="1:7" ht="11.1" customHeight="1">
      <c r="A249" s="600" t="str">
        <f t="shared" si="15"/>
        <v>USD;USD 3M;24Y</v>
      </c>
      <c r="B249" s="600" t="str">
        <f t="shared" si="19"/>
        <v>USD</v>
      </c>
      <c r="C249" s="600" t="str">
        <f t="shared" si="19"/>
        <v>USD 3M</v>
      </c>
      <c r="D249" s="603"/>
      <c r="E249" s="604"/>
      <c r="F249" s="607" t="s">
        <v>41</v>
      </c>
      <c r="G249" s="608">
        <v>0</v>
      </c>
    </row>
    <row r="250" spans="1:7" ht="11.1" customHeight="1">
      <c r="A250" s="600" t="str">
        <f t="shared" si="15"/>
        <v>USD;USD 3M;25Y</v>
      </c>
      <c r="B250" s="600" t="str">
        <f t="shared" si="19"/>
        <v>USD</v>
      </c>
      <c r="C250" s="600" t="str">
        <f t="shared" si="19"/>
        <v>USD 3M</v>
      </c>
      <c r="D250" s="603"/>
      <c r="E250" s="604"/>
      <c r="F250" s="607" t="s">
        <v>21</v>
      </c>
      <c r="G250" s="608">
        <v>0</v>
      </c>
    </row>
    <row r="251" spans="1:7" ht="11.1" customHeight="1">
      <c r="A251" s="600" t="str">
        <f t="shared" si="15"/>
        <v>USD;USD 3M;26Y</v>
      </c>
      <c r="B251" s="600" t="str">
        <f t="shared" si="19"/>
        <v>USD</v>
      </c>
      <c r="C251" s="600" t="str">
        <f t="shared" si="19"/>
        <v>USD 3M</v>
      </c>
      <c r="D251" s="603"/>
      <c r="E251" s="604"/>
      <c r="F251" s="607" t="s">
        <v>42</v>
      </c>
      <c r="G251" s="608">
        <v>0</v>
      </c>
    </row>
    <row r="252" spans="1:7" ht="11.1" customHeight="1">
      <c r="A252" s="600" t="str">
        <f t="shared" si="15"/>
        <v>USD;USD 3M;27Y</v>
      </c>
      <c r="B252" s="600" t="str">
        <f t="shared" si="19"/>
        <v>USD</v>
      </c>
      <c r="C252" s="600" t="str">
        <f t="shared" si="19"/>
        <v>USD 3M</v>
      </c>
      <c r="D252" s="603"/>
      <c r="E252" s="604"/>
      <c r="F252" s="607" t="s">
        <v>43</v>
      </c>
      <c r="G252" s="608">
        <v>0</v>
      </c>
    </row>
    <row r="253" spans="1:7" ht="11.1" customHeight="1">
      <c r="A253" s="600" t="str">
        <f t="shared" si="15"/>
        <v>USD;USD 3M;28Y</v>
      </c>
      <c r="B253" s="600" t="str">
        <f t="shared" si="19"/>
        <v>USD</v>
      </c>
      <c r="C253" s="600" t="str">
        <f t="shared" si="19"/>
        <v>USD 3M</v>
      </c>
      <c r="D253" s="603"/>
      <c r="E253" s="604"/>
      <c r="F253" s="607" t="s">
        <v>44</v>
      </c>
      <c r="G253" s="608">
        <v>0</v>
      </c>
    </row>
    <row r="254" spans="1:7" ht="11.1" customHeight="1">
      <c r="A254" s="600" t="str">
        <f t="shared" si="15"/>
        <v>USD;USD 3M;29Y</v>
      </c>
      <c r="B254" s="600" t="str">
        <f t="shared" si="19"/>
        <v>USD</v>
      </c>
      <c r="C254" s="600" t="str">
        <f t="shared" si="19"/>
        <v>USD 3M</v>
      </c>
      <c r="D254" s="603"/>
      <c r="E254" s="604"/>
      <c r="F254" s="607" t="s">
        <v>45</v>
      </c>
      <c r="G254" s="608">
        <v>0</v>
      </c>
    </row>
    <row r="255" spans="1:7" ht="11.1" customHeight="1">
      <c r="A255" s="600" t="str">
        <f t="shared" si="15"/>
        <v>USD;USD 3M;30Y</v>
      </c>
      <c r="B255" s="600" t="str">
        <f t="shared" si="19"/>
        <v>USD</v>
      </c>
      <c r="C255" s="600" t="str">
        <f t="shared" si="19"/>
        <v>USD 3M</v>
      </c>
      <c r="D255" s="603"/>
      <c r="E255" s="604"/>
      <c r="F255" s="607" t="s">
        <v>22</v>
      </c>
      <c r="G255" s="608">
        <v>0</v>
      </c>
    </row>
    <row r="256" spans="1:7" ht="11.1" customHeight="1">
      <c r="A256" s="600" t="str">
        <f t="shared" si="15"/>
        <v>USD;USD 3M;40Y</v>
      </c>
      <c r="B256" s="600" t="str">
        <f t="shared" si="19"/>
        <v>USD</v>
      </c>
      <c r="C256" s="600" t="str">
        <f t="shared" si="19"/>
        <v>USD 3M</v>
      </c>
      <c r="D256" s="603"/>
      <c r="E256" s="604"/>
      <c r="F256" s="607" t="s">
        <v>46</v>
      </c>
      <c r="G256" s="608">
        <v>0</v>
      </c>
    </row>
    <row r="257" spans="1:7" ht="11.1" customHeight="1">
      <c r="A257" s="600" t="str">
        <f t="shared" si="15"/>
        <v>USD;USD 3M;50Y</v>
      </c>
      <c r="B257" s="600" t="str">
        <f t="shared" si="19"/>
        <v>USD</v>
      </c>
      <c r="C257" s="600" t="str">
        <f t="shared" si="19"/>
        <v>USD 3M</v>
      </c>
      <c r="D257" s="603"/>
      <c r="E257" s="604"/>
      <c r="F257" s="607" t="s">
        <v>47</v>
      </c>
      <c r="G257" s="608">
        <v>0</v>
      </c>
    </row>
    <row r="258" spans="1:7" ht="11.1" customHeight="1">
      <c r="A258" s="600" t="str">
        <f t="shared" si="15"/>
        <v>USD;USD 3M;60Y</v>
      </c>
      <c r="B258" s="600" t="str">
        <f t="shared" si="19"/>
        <v>USD</v>
      </c>
      <c r="C258" s="600" t="str">
        <f t="shared" si="19"/>
        <v>USD 3M</v>
      </c>
      <c r="D258" s="603"/>
      <c r="E258" s="604"/>
      <c r="F258" s="607" t="s">
        <v>48</v>
      </c>
      <c r="G258" s="608">
        <v>0</v>
      </c>
    </row>
    <row r="259" spans="1:7" ht="11.1" customHeight="1">
      <c r="A259" s="600" t="str">
        <f t="shared" si="15"/>
        <v>USD;USD :STD;Total USD :STD</v>
      </c>
      <c r="B259" s="600" t="str">
        <f t="shared" si="19"/>
        <v>USD</v>
      </c>
      <c r="C259" s="600" t="str">
        <f t="shared" si="19"/>
        <v>USD :STD</v>
      </c>
      <c r="D259" s="603"/>
      <c r="E259" s="604" t="s">
        <v>655</v>
      </c>
      <c r="F259" s="605" t="s">
        <v>656</v>
      </c>
      <c r="G259" s="606">
        <v>-1.52071064074555E-11</v>
      </c>
    </row>
    <row r="260" spans="1:7" ht="11.1" customHeight="1">
      <c r="A260" s="600" t="str">
        <f t="shared" si="15"/>
        <v>USD;USD :STD;O/N</v>
      </c>
      <c r="B260" s="600" t="str">
        <f t="shared" si="19"/>
        <v>USD</v>
      </c>
      <c r="C260" s="600" t="str">
        <f t="shared" si="19"/>
        <v>USD :STD</v>
      </c>
      <c r="D260" s="603"/>
      <c r="E260" s="604"/>
      <c r="F260" s="607" t="s">
        <v>3</v>
      </c>
      <c r="G260" s="611">
        <v>1.11022302462516E-16</v>
      </c>
    </row>
    <row r="261" spans="1:7" ht="11.1" customHeight="1">
      <c r="A261" s="600" t="str">
        <f t="shared" ref="A261:A309" si="20">B261&amp;";"&amp;C261&amp;";"&amp;F261</f>
        <v>USD;USD :STD;T/N</v>
      </c>
      <c r="B261" s="600" t="str">
        <f t="shared" ref="B261:C276" si="21">IF(ISBLANK(D261),B260,D261)</f>
        <v>USD</v>
      </c>
      <c r="C261" s="600" t="str">
        <f t="shared" si="21"/>
        <v>USD :STD</v>
      </c>
      <c r="D261" s="603"/>
      <c r="E261" s="604"/>
      <c r="F261" s="607" t="s">
        <v>4</v>
      </c>
      <c r="G261" s="611">
        <v>1.2490009027032999E-15</v>
      </c>
    </row>
    <row r="262" spans="1:7" ht="11.1" customHeight="1">
      <c r="A262" s="600" t="str">
        <f t="shared" si="20"/>
        <v>USD;USD :STD;S/N</v>
      </c>
      <c r="B262" s="600" t="str">
        <f t="shared" si="21"/>
        <v>USD</v>
      </c>
      <c r="C262" s="600" t="str">
        <f t="shared" si="21"/>
        <v>USD :STD</v>
      </c>
      <c r="D262" s="603"/>
      <c r="E262" s="604"/>
      <c r="F262" s="607" t="s">
        <v>23</v>
      </c>
      <c r="G262" s="608">
        <v>0</v>
      </c>
    </row>
    <row r="263" spans="1:7" ht="11.1" customHeight="1">
      <c r="A263" s="600" t="str">
        <f t="shared" si="20"/>
        <v>USD;USD :STD;1W</v>
      </c>
      <c r="B263" s="600" t="str">
        <f t="shared" si="21"/>
        <v>USD</v>
      </c>
      <c r="C263" s="600" t="str">
        <f t="shared" si="21"/>
        <v>USD :STD</v>
      </c>
      <c r="D263" s="603"/>
      <c r="E263" s="604"/>
      <c r="F263" s="607" t="s">
        <v>5</v>
      </c>
      <c r="G263" s="608">
        <v>0</v>
      </c>
    </row>
    <row r="264" spans="1:7" ht="11.1" customHeight="1">
      <c r="A264" s="600" t="str">
        <f t="shared" si="20"/>
        <v>USD;USD :STD;2W</v>
      </c>
      <c r="B264" s="600" t="str">
        <f t="shared" si="21"/>
        <v>USD</v>
      </c>
      <c r="C264" s="600" t="str">
        <f t="shared" si="21"/>
        <v>USD :STD</v>
      </c>
      <c r="D264" s="603"/>
      <c r="E264" s="604"/>
      <c r="F264" s="607" t="s">
        <v>6</v>
      </c>
      <c r="G264" s="608">
        <v>0</v>
      </c>
    </row>
    <row r="265" spans="1:7" ht="11.1" customHeight="1">
      <c r="A265" s="600" t="str">
        <f t="shared" si="20"/>
        <v>USD;USD :STD;3W</v>
      </c>
      <c r="B265" s="600" t="str">
        <f t="shared" si="21"/>
        <v>USD</v>
      </c>
      <c r="C265" s="600" t="str">
        <f t="shared" si="21"/>
        <v>USD :STD</v>
      </c>
      <c r="D265" s="603"/>
      <c r="E265" s="604"/>
      <c r="F265" s="607" t="s">
        <v>24</v>
      </c>
      <c r="G265" s="606">
        <v>-2.2204460492503101E-16</v>
      </c>
    </row>
    <row r="266" spans="1:7" ht="11.1" customHeight="1">
      <c r="A266" s="600" t="str">
        <f t="shared" si="20"/>
        <v>USD;USD :STD;1M</v>
      </c>
      <c r="B266" s="600" t="str">
        <f t="shared" si="21"/>
        <v>USD</v>
      </c>
      <c r="C266" s="600" t="str">
        <f t="shared" si="21"/>
        <v>USD :STD</v>
      </c>
      <c r="D266" s="603"/>
      <c r="E266" s="604"/>
      <c r="F266" s="607" t="s">
        <v>7</v>
      </c>
      <c r="G266" s="611">
        <v>7.3718808835110394E-14</v>
      </c>
    </row>
    <row r="267" spans="1:7" ht="11.1" customHeight="1">
      <c r="A267" s="600" t="str">
        <f t="shared" si="20"/>
        <v>USD;USD :STD;2M</v>
      </c>
      <c r="B267" s="600" t="str">
        <f t="shared" si="21"/>
        <v>USD</v>
      </c>
      <c r="C267" s="600" t="str">
        <f t="shared" si="21"/>
        <v>USD :STD</v>
      </c>
      <c r="D267" s="603"/>
      <c r="E267" s="604"/>
      <c r="F267" s="607" t="s">
        <v>8</v>
      </c>
      <c r="G267" s="606">
        <v>-2.7061686225238201E-16</v>
      </c>
    </row>
    <row r="268" spans="1:7" ht="11.1" customHeight="1">
      <c r="A268" s="600" t="str">
        <f t="shared" si="20"/>
        <v>USD;USD :STD;3M</v>
      </c>
      <c r="B268" s="600" t="str">
        <f t="shared" si="21"/>
        <v>USD</v>
      </c>
      <c r="C268" s="600" t="str">
        <f t="shared" si="21"/>
        <v>USD :STD</v>
      </c>
      <c r="D268" s="603"/>
      <c r="E268" s="604"/>
      <c r="F268" s="607" t="s">
        <v>25</v>
      </c>
      <c r="G268" s="606">
        <v>-1.02695629777827E-15</v>
      </c>
    </row>
    <row r="269" spans="1:7" ht="11.1" customHeight="1">
      <c r="A269" s="600" t="str">
        <f t="shared" si="20"/>
        <v>USD;USD :STD;4M</v>
      </c>
      <c r="B269" s="600" t="str">
        <f t="shared" si="21"/>
        <v>USD</v>
      </c>
      <c r="C269" s="600" t="str">
        <f t="shared" si="21"/>
        <v>USD :STD</v>
      </c>
      <c r="D269" s="603"/>
      <c r="E269" s="604"/>
      <c r="F269" s="607" t="s">
        <v>26</v>
      </c>
      <c r="G269" s="608">
        <v>0</v>
      </c>
    </row>
    <row r="270" spans="1:7" ht="11.1" customHeight="1">
      <c r="A270" s="600" t="str">
        <f t="shared" si="20"/>
        <v>USD;USD :STD;5M</v>
      </c>
      <c r="B270" s="600" t="str">
        <f t="shared" si="21"/>
        <v>USD</v>
      </c>
      <c r="C270" s="600" t="str">
        <f t="shared" si="21"/>
        <v>USD :STD</v>
      </c>
      <c r="D270" s="603"/>
      <c r="E270" s="604"/>
      <c r="F270" s="607" t="s">
        <v>27</v>
      </c>
      <c r="G270" s="608">
        <v>0</v>
      </c>
    </row>
    <row r="271" spans="1:7" ht="11.1" customHeight="1">
      <c r="A271" s="600" t="str">
        <f t="shared" si="20"/>
        <v>USD;USD :STD;6M</v>
      </c>
      <c r="B271" s="600" t="str">
        <f t="shared" si="21"/>
        <v>USD</v>
      </c>
      <c r="C271" s="600" t="str">
        <f t="shared" si="21"/>
        <v>USD :STD</v>
      </c>
      <c r="D271" s="603"/>
      <c r="E271" s="604"/>
      <c r="F271" s="607" t="s">
        <v>28</v>
      </c>
      <c r="G271" s="608">
        <v>0</v>
      </c>
    </row>
    <row r="272" spans="1:7" ht="11.1" customHeight="1">
      <c r="A272" s="600" t="str">
        <f t="shared" si="20"/>
        <v>USD;USD :STD;21/06/17</v>
      </c>
      <c r="B272" s="600" t="str">
        <f t="shared" si="21"/>
        <v>USD</v>
      </c>
      <c r="C272" s="600" t="str">
        <f t="shared" si="21"/>
        <v>USD :STD</v>
      </c>
      <c r="D272" s="603"/>
      <c r="E272" s="604"/>
      <c r="F272" s="607" t="s">
        <v>5101</v>
      </c>
      <c r="G272" s="606">
        <v>-1.5543122344752199E-15</v>
      </c>
    </row>
    <row r="273" spans="1:7" ht="11.1" customHeight="1">
      <c r="A273" s="600" t="str">
        <f t="shared" si="20"/>
        <v>USD;USD :STD;JUN 17</v>
      </c>
      <c r="B273" s="600" t="str">
        <f t="shared" si="21"/>
        <v>USD</v>
      </c>
      <c r="C273" s="600" t="str">
        <f t="shared" si="21"/>
        <v>USD :STD</v>
      </c>
      <c r="D273" s="603"/>
      <c r="E273" s="604"/>
      <c r="F273" s="607" t="s">
        <v>1066</v>
      </c>
      <c r="G273" s="611">
        <v>2.9420910152566601E-15</v>
      </c>
    </row>
    <row r="274" spans="1:7" ht="11.1" customHeight="1">
      <c r="A274" s="600" t="str">
        <f t="shared" si="20"/>
        <v>USD;USD :STD;SEP 17</v>
      </c>
      <c r="B274" s="600" t="str">
        <f t="shared" si="21"/>
        <v>USD</v>
      </c>
      <c r="C274" s="600" t="str">
        <f t="shared" si="21"/>
        <v>USD :STD</v>
      </c>
      <c r="D274" s="603"/>
      <c r="E274" s="604"/>
      <c r="F274" s="607" t="s">
        <v>1069</v>
      </c>
      <c r="G274" s="606">
        <v>-2.7755575615628899E-16</v>
      </c>
    </row>
    <row r="275" spans="1:7" ht="11.1" customHeight="1">
      <c r="A275" s="600" t="str">
        <f t="shared" si="20"/>
        <v>USD;USD :STD;DEC 17</v>
      </c>
      <c r="B275" s="600" t="str">
        <f t="shared" si="21"/>
        <v>USD</v>
      </c>
      <c r="C275" s="600" t="str">
        <f t="shared" si="21"/>
        <v>USD :STD</v>
      </c>
      <c r="D275" s="603"/>
      <c r="E275" s="604"/>
      <c r="F275" s="607" t="s">
        <v>3865</v>
      </c>
      <c r="G275" s="611">
        <v>2.8588242884097801E-15</v>
      </c>
    </row>
    <row r="276" spans="1:7" ht="11.1" customHeight="1">
      <c r="A276" s="600" t="str">
        <f t="shared" si="20"/>
        <v>USD;USD :STD;MAR 18</v>
      </c>
      <c r="B276" s="600" t="str">
        <f t="shared" si="21"/>
        <v>USD</v>
      </c>
      <c r="C276" s="600" t="str">
        <f t="shared" si="21"/>
        <v>USD :STD</v>
      </c>
      <c r="D276" s="603"/>
      <c r="E276" s="604"/>
      <c r="F276" s="607" t="s">
        <v>3866</v>
      </c>
      <c r="G276" s="606">
        <v>-1.16573417585641E-15</v>
      </c>
    </row>
    <row r="277" spans="1:7" ht="11.1" customHeight="1">
      <c r="A277" s="600" t="str">
        <f t="shared" si="20"/>
        <v>USD;USD :STD;JUN 18</v>
      </c>
      <c r="B277" s="600" t="str">
        <f t="shared" ref="B277:C292" si="22">IF(ISBLANK(D277),B276,D277)</f>
        <v>USD</v>
      </c>
      <c r="C277" s="600" t="str">
        <f t="shared" si="22"/>
        <v>USD :STD</v>
      </c>
      <c r="D277" s="603"/>
      <c r="E277" s="604"/>
      <c r="F277" s="607" t="s">
        <v>3889</v>
      </c>
      <c r="G277" s="606">
        <v>-5.8286708792820699E-16</v>
      </c>
    </row>
    <row r="278" spans="1:7" ht="11.1" customHeight="1">
      <c r="A278" s="600" t="str">
        <f t="shared" si="20"/>
        <v>USD;USD :STD;SEP 18</v>
      </c>
      <c r="B278" s="600" t="str">
        <f t="shared" si="22"/>
        <v>USD</v>
      </c>
      <c r="C278" s="600" t="str">
        <f t="shared" si="22"/>
        <v>USD :STD</v>
      </c>
      <c r="D278" s="603"/>
      <c r="E278" s="604"/>
      <c r="F278" s="607" t="s">
        <v>3890</v>
      </c>
      <c r="G278" s="606">
        <v>-6.3837823915946501E-16</v>
      </c>
    </row>
    <row r="279" spans="1:7" ht="11.1" customHeight="1">
      <c r="A279" s="600" t="str">
        <f t="shared" si="20"/>
        <v>USD;USD :STD;3Y</v>
      </c>
      <c r="B279" s="600" t="str">
        <f t="shared" si="22"/>
        <v>USD</v>
      </c>
      <c r="C279" s="600" t="str">
        <f t="shared" si="22"/>
        <v>USD :STD</v>
      </c>
      <c r="D279" s="603"/>
      <c r="E279" s="604"/>
      <c r="F279" s="607" t="s">
        <v>10</v>
      </c>
      <c r="G279" s="606">
        <v>-1.33226762955019E-15</v>
      </c>
    </row>
    <row r="280" spans="1:7" ht="11.1" customHeight="1">
      <c r="A280" s="600" t="str">
        <f t="shared" si="20"/>
        <v>USD;USD :STD;4Y</v>
      </c>
      <c r="B280" s="600" t="str">
        <f t="shared" si="22"/>
        <v>USD</v>
      </c>
      <c r="C280" s="600" t="str">
        <f t="shared" si="22"/>
        <v>USD :STD</v>
      </c>
      <c r="D280" s="603"/>
      <c r="E280" s="604"/>
      <c r="F280" s="607" t="s">
        <v>11</v>
      </c>
      <c r="G280" s="611">
        <v>4.79616346638068E-14</v>
      </c>
    </row>
    <row r="281" spans="1:7" ht="11.1" customHeight="1">
      <c r="A281" s="600" t="str">
        <f t="shared" si="20"/>
        <v>USD;USD :STD;5Y</v>
      </c>
      <c r="B281" s="600" t="str">
        <f t="shared" si="22"/>
        <v>USD</v>
      </c>
      <c r="C281" s="600" t="str">
        <f t="shared" si="22"/>
        <v>USD :STD</v>
      </c>
      <c r="D281" s="603"/>
      <c r="E281" s="604"/>
      <c r="F281" s="607" t="s">
        <v>12</v>
      </c>
      <c r="G281" s="611">
        <v>1.3322676295501901E-14</v>
      </c>
    </row>
    <row r="282" spans="1:7" ht="11.1" customHeight="1">
      <c r="A282" s="600" t="str">
        <f t="shared" si="20"/>
        <v>USD;USD :STD;6Y</v>
      </c>
      <c r="B282" s="600" t="str">
        <f t="shared" si="22"/>
        <v>USD</v>
      </c>
      <c r="C282" s="600" t="str">
        <f t="shared" si="22"/>
        <v>USD :STD</v>
      </c>
      <c r="D282" s="603"/>
      <c r="E282" s="604"/>
      <c r="F282" s="607" t="s">
        <v>13</v>
      </c>
      <c r="G282" s="606">
        <v>-6.3948846218408997E-13</v>
      </c>
    </row>
    <row r="283" spans="1:7" ht="11.1" customHeight="1">
      <c r="A283" s="600" t="str">
        <f t="shared" si="20"/>
        <v>USD;USD :STD;7Y</v>
      </c>
      <c r="B283" s="600" t="str">
        <f t="shared" si="22"/>
        <v>USD</v>
      </c>
      <c r="C283" s="600" t="str">
        <f t="shared" si="22"/>
        <v>USD :STD</v>
      </c>
      <c r="D283" s="603"/>
      <c r="E283" s="604"/>
      <c r="F283" s="607" t="s">
        <v>14</v>
      </c>
      <c r="G283" s="611">
        <v>9.6633812063373605E-13</v>
      </c>
    </row>
    <row r="284" spans="1:7" ht="11.1" customHeight="1">
      <c r="A284" s="600" t="str">
        <f t="shared" si="20"/>
        <v>USD;USD :STD;8Y</v>
      </c>
      <c r="B284" s="600" t="str">
        <f t="shared" si="22"/>
        <v>USD</v>
      </c>
      <c r="C284" s="600" t="str">
        <f t="shared" si="22"/>
        <v>USD :STD</v>
      </c>
      <c r="D284" s="603"/>
      <c r="E284" s="604"/>
      <c r="F284" s="607" t="s">
        <v>15</v>
      </c>
      <c r="G284" s="608">
        <v>0</v>
      </c>
    </row>
    <row r="285" spans="1:7" ht="11.1" customHeight="1">
      <c r="A285" s="600" t="str">
        <f t="shared" si="20"/>
        <v>USD;USD :STD;9Y</v>
      </c>
      <c r="B285" s="600" t="str">
        <f t="shared" si="22"/>
        <v>USD</v>
      </c>
      <c r="C285" s="600" t="str">
        <f t="shared" si="22"/>
        <v>USD :STD</v>
      </c>
      <c r="D285" s="603"/>
      <c r="E285" s="604"/>
      <c r="F285" s="607" t="s">
        <v>16</v>
      </c>
      <c r="G285" s="608">
        <v>0</v>
      </c>
    </row>
    <row r="286" spans="1:7" ht="11.1" customHeight="1">
      <c r="A286" s="600" t="str">
        <f t="shared" si="20"/>
        <v>USD;USD :STD;10Y</v>
      </c>
      <c r="B286" s="600" t="str">
        <f t="shared" si="22"/>
        <v>USD</v>
      </c>
      <c r="C286" s="600" t="str">
        <f t="shared" si="22"/>
        <v>USD :STD</v>
      </c>
      <c r="D286" s="603"/>
      <c r="E286" s="604"/>
      <c r="F286" s="607" t="s">
        <v>17</v>
      </c>
      <c r="G286" s="608">
        <v>0</v>
      </c>
    </row>
    <row r="287" spans="1:7" ht="11.1" customHeight="1">
      <c r="A287" s="600" t="str">
        <f t="shared" si="20"/>
        <v>USD;USD :STD;11Y</v>
      </c>
      <c r="B287" s="600" t="str">
        <f t="shared" si="22"/>
        <v>USD</v>
      </c>
      <c r="C287" s="600" t="str">
        <f t="shared" si="22"/>
        <v>USD :STD</v>
      </c>
      <c r="D287" s="603"/>
      <c r="E287" s="604"/>
      <c r="F287" s="607" t="s">
        <v>31</v>
      </c>
      <c r="G287" s="608">
        <v>0</v>
      </c>
    </row>
    <row r="288" spans="1:7" ht="11.1" customHeight="1">
      <c r="A288" s="600" t="str">
        <f t="shared" si="20"/>
        <v>USD;USD :STD;12Y</v>
      </c>
      <c r="B288" s="600" t="str">
        <f t="shared" si="22"/>
        <v>USD</v>
      </c>
      <c r="C288" s="600" t="str">
        <f t="shared" si="22"/>
        <v>USD :STD</v>
      </c>
      <c r="D288" s="603"/>
      <c r="E288" s="604"/>
      <c r="F288" s="607" t="s">
        <v>18</v>
      </c>
      <c r="G288" s="608">
        <v>0</v>
      </c>
    </row>
    <row r="289" spans="1:7" ht="11.1" customHeight="1">
      <c r="A289" s="600" t="str">
        <f t="shared" si="20"/>
        <v>USD;USD :STD;13Y</v>
      </c>
      <c r="B289" s="600" t="str">
        <f t="shared" si="22"/>
        <v>USD</v>
      </c>
      <c r="C289" s="600" t="str">
        <f t="shared" si="22"/>
        <v>USD :STD</v>
      </c>
      <c r="D289" s="603"/>
      <c r="E289" s="604"/>
      <c r="F289" s="607" t="s">
        <v>32</v>
      </c>
      <c r="G289" s="608">
        <v>0</v>
      </c>
    </row>
    <row r="290" spans="1:7" ht="11.1" customHeight="1">
      <c r="A290" s="600" t="str">
        <f t="shared" si="20"/>
        <v>USD;USD :STD;14Y</v>
      </c>
      <c r="B290" s="600" t="str">
        <f t="shared" si="22"/>
        <v>USD</v>
      </c>
      <c r="C290" s="600" t="str">
        <f t="shared" si="22"/>
        <v>USD :STD</v>
      </c>
      <c r="D290" s="603"/>
      <c r="E290" s="604"/>
      <c r="F290" s="607" t="s">
        <v>33</v>
      </c>
      <c r="G290" s="608">
        <v>0</v>
      </c>
    </row>
    <row r="291" spans="1:7" ht="11.1" customHeight="1">
      <c r="A291" s="600" t="str">
        <f t="shared" si="20"/>
        <v>USD;USD :STD;15Y</v>
      </c>
      <c r="B291" s="600" t="str">
        <f t="shared" si="22"/>
        <v>USD</v>
      </c>
      <c r="C291" s="600" t="str">
        <f t="shared" si="22"/>
        <v>USD :STD</v>
      </c>
      <c r="D291" s="603"/>
      <c r="E291" s="604"/>
      <c r="F291" s="607" t="s">
        <v>19</v>
      </c>
      <c r="G291" s="608">
        <v>0</v>
      </c>
    </row>
    <row r="292" spans="1:7" ht="11.1" customHeight="1">
      <c r="A292" s="600" t="str">
        <f t="shared" si="20"/>
        <v>USD;USD :STD;16Y</v>
      </c>
      <c r="B292" s="600" t="str">
        <f t="shared" si="22"/>
        <v>USD</v>
      </c>
      <c r="C292" s="600" t="str">
        <f t="shared" si="22"/>
        <v>USD :STD</v>
      </c>
      <c r="D292" s="603"/>
      <c r="E292" s="604"/>
      <c r="F292" s="607" t="s">
        <v>34</v>
      </c>
      <c r="G292" s="608">
        <v>0</v>
      </c>
    </row>
    <row r="293" spans="1:7" ht="11.1" customHeight="1">
      <c r="A293" s="600" t="str">
        <f t="shared" si="20"/>
        <v>USD;USD :STD;17Y</v>
      </c>
      <c r="B293" s="600" t="str">
        <f t="shared" ref="B293:C308" si="23">IF(ISBLANK(D293),B292,D293)</f>
        <v>USD</v>
      </c>
      <c r="C293" s="600" t="str">
        <f t="shared" si="23"/>
        <v>USD :STD</v>
      </c>
      <c r="D293" s="603"/>
      <c r="E293" s="604"/>
      <c r="F293" s="607" t="s">
        <v>35</v>
      </c>
      <c r="G293" s="608">
        <v>0</v>
      </c>
    </row>
    <row r="294" spans="1:7" ht="11.1" customHeight="1">
      <c r="A294" s="600" t="str">
        <f t="shared" si="20"/>
        <v>USD;USD :STD;18Y</v>
      </c>
      <c r="B294" s="600" t="str">
        <f t="shared" si="23"/>
        <v>USD</v>
      </c>
      <c r="C294" s="600" t="str">
        <f t="shared" si="23"/>
        <v>USD :STD</v>
      </c>
      <c r="D294" s="603"/>
      <c r="E294" s="604"/>
      <c r="F294" s="607" t="s">
        <v>36</v>
      </c>
      <c r="G294" s="608">
        <v>0</v>
      </c>
    </row>
    <row r="295" spans="1:7" ht="11.1" customHeight="1">
      <c r="A295" s="600" t="str">
        <f t="shared" si="20"/>
        <v>USD;USD :STD;19Y</v>
      </c>
      <c r="B295" s="600" t="str">
        <f t="shared" si="23"/>
        <v>USD</v>
      </c>
      <c r="C295" s="600" t="str">
        <f t="shared" si="23"/>
        <v>USD :STD</v>
      </c>
      <c r="D295" s="603"/>
      <c r="E295" s="604"/>
      <c r="F295" s="607" t="s">
        <v>37</v>
      </c>
      <c r="G295" s="608">
        <v>0</v>
      </c>
    </row>
    <row r="296" spans="1:7" ht="11.1" customHeight="1">
      <c r="A296" s="600" t="str">
        <f t="shared" si="20"/>
        <v>USD;USD :STD;20Y</v>
      </c>
      <c r="B296" s="600" t="str">
        <f t="shared" si="23"/>
        <v>USD</v>
      </c>
      <c r="C296" s="600" t="str">
        <f t="shared" si="23"/>
        <v>USD :STD</v>
      </c>
      <c r="D296" s="603"/>
      <c r="E296" s="604"/>
      <c r="F296" s="607" t="s">
        <v>20</v>
      </c>
      <c r="G296" s="608">
        <v>0</v>
      </c>
    </row>
    <row r="297" spans="1:7" ht="11.1" customHeight="1">
      <c r="A297" s="600" t="str">
        <f t="shared" si="20"/>
        <v>USD;USD :STD;21Y</v>
      </c>
      <c r="B297" s="600" t="str">
        <f t="shared" si="23"/>
        <v>USD</v>
      </c>
      <c r="C297" s="600" t="str">
        <f t="shared" si="23"/>
        <v>USD :STD</v>
      </c>
      <c r="D297" s="603"/>
      <c r="E297" s="604"/>
      <c r="F297" s="607" t="s">
        <v>38</v>
      </c>
      <c r="G297" s="608">
        <v>0</v>
      </c>
    </row>
    <row r="298" spans="1:7" ht="11.1" customHeight="1">
      <c r="A298" s="600" t="str">
        <f t="shared" si="20"/>
        <v>USD;USD :STD;22Y</v>
      </c>
      <c r="B298" s="600" t="str">
        <f t="shared" si="23"/>
        <v>USD</v>
      </c>
      <c r="C298" s="600" t="str">
        <f t="shared" si="23"/>
        <v>USD :STD</v>
      </c>
      <c r="D298" s="603"/>
      <c r="E298" s="604"/>
      <c r="F298" s="607" t="s">
        <v>39</v>
      </c>
      <c r="G298" s="608">
        <v>0</v>
      </c>
    </row>
    <row r="299" spans="1:7" ht="11.1" customHeight="1">
      <c r="A299" s="600" t="str">
        <f t="shared" si="20"/>
        <v>USD;USD :STD;23Y</v>
      </c>
      <c r="B299" s="600" t="str">
        <f t="shared" si="23"/>
        <v>USD</v>
      </c>
      <c r="C299" s="600" t="str">
        <f t="shared" si="23"/>
        <v>USD :STD</v>
      </c>
      <c r="D299" s="603"/>
      <c r="E299" s="604"/>
      <c r="F299" s="607" t="s">
        <v>40</v>
      </c>
      <c r="G299" s="608">
        <v>0</v>
      </c>
    </row>
    <row r="300" spans="1:7" ht="11.1" customHeight="1">
      <c r="A300" s="600" t="str">
        <f t="shared" si="20"/>
        <v>USD;USD :STD;24Y</v>
      </c>
      <c r="B300" s="600" t="str">
        <f t="shared" si="23"/>
        <v>USD</v>
      </c>
      <c r="C300" s="600" t="str">
        <f t="shared" si="23"/>
        <v>USD :STD</v>
      </c>
      <c r="D300" s="603"/>
      <c r="E300" s="604"/>
      <c r="F300" s="607" t="s">
        <v>41</v>
      </c>
      <c r="G300" s="608">
        <v>0</v>
      </c>
    </row>
    <row r="301" spans="1:7" ht="11.1" customHeight="1">
      <c r="A301" s="600" t="str">
        <f t="shared" si="20"/>
        <v>USD;USD :STD;25Y</v>
      </c>
      <c r="B301" s="600" t="str">
        <f t="shared" si="23"/>
        <v>USD</v>
      </c>
      <c r="C301" s="600" t="str">
        <f t="shared" si="23"/>
        <v>USD :STD</v>
      </c>
      <c r="D301" s="603"/>
      <c r="E301" s="604"/>
      <c r="F301" s="607" t="s">
        <v>21</v>
      </c>
      <c r="G301" s="608">
        <v>0</v>
      </c>
    </row>
    <row r="302" spans="1:7" ht="11.1" customHeight="1">
      <c r="A302" s="600" t="str">
        <f t="shared" si="20"/>
        <v>USD;USD :STD;26Y</v>
      </c>
      <c r="B302" s="600" t="str">
        <f t="shared" si="23"/>
        <v>USD</v>
      </c>
      <c r="C302" s="600" t="str">
        <f t="shared" si="23"/>
        <v>USD :STD</v>
      </c>
      <c r="D302" s="603"/>
      <c r="E302" s="604"/>
      <c r="F302" s="607" t="s">
        <v>42</v>
      </c>
      <c r="G302" s="608">
        <v>0</v>
      </c>
    </row>
    <row r="303" spans="1:7" ht="11.1" customHeight="1">
      <c r="A303" s="600" t="str">
        <f t="shared" si="20"/>
        <v>USD;USD :STD;27Y</v>
      </c>
      <c r="B303" s="600" t="str">
        <f t="shared" si="23"/>
        <v>USD</v>
      </c>
      <c r="C303" s="600" t="str">
        <f t="shared" si="23"/>
        <v>USD :STD</v>
      </c>
      <c r="D303" s="603"/>
      <c r="E303" s="604"/>
      <c r="F303" s="607" t="s">
        <v>43</v>
      </c>
      <c r="G303" s="608">
        <v>0</v>
      </c>
    </row>
    <row r="304" spans="1:7" ht="11.1" customHeight="1">
      <c r="A304" s="600" t="str">
        <f t="shared" si="20"/>
        <v>USD;USD :STD;28Y</v>
      </c>
      <c r="B304" s="600" t="str">
        <f t="shared" si="23"/>
        <v>USD</v>
      </c>
      <c r="C304" s="600" t="str">
        <f t="shared" si="23"/>
        <v>USD :STD</v>
      </c>
      <c r="D304" s="603"/>
      <c r="E304" s="604"/>
      <c r="F304" s="607" t="s">
        <v>44</v>
      </c>
      <c r="G304" s="608">
        <v>0</v>
      </c>
    </row>
    <row r="305" spans="1:7" ht="11.1" customHeight="1">
      <c r="A305" s="600" t="str">
        <f t="shared" si="20"/>
        <v>USD;USD :STD;29Y</v>
      </c>
      <c r="B305" s="600" t="str">
        <f t="shared" si="23"/>
        <v>USD</v>
      </c>
      <c r="C305" s="600" t="str">
        <f t="shared" si="23"/>
        <v>USD :STD</v>
      </c>
      <c r="D305" s="603"/>
      <c r="E305" s="604"/>
      <c r="F305" s="607" t="s">
        <v>45</v>
      </c>
      <c r="G305" s="608">
        <v>0</v>
      </c>
    </row>
    <row r="306" spans="1:7" ht="11.1" customHeight="1">
      <c r="A306" s="600" t="str">
        <f t="shared" si="20"/>
        <v>USD;USD :STD;30Y</v>
      </c>
      <c r="B306" s="600" t="str">
        <f t="shared" si="23"/>
        <v>USD</v>
      </c>
      <c r="C306" s="600" t="str">
        <f t="shared" si="23"/>
        <v>USD :STD</v>
      </c>
      <c r="D306" s="603"/>
      <c r="E306" s="604"/>
      <c r="F306" s="607" t="s">
        <v>22</v>
      </c>
      <c r="G306" s="608">
        <v>0</v>
      </c>
    </row>
    <row r="307" spans="1:7" ht="11.1" customHeight="1">
      <c r="A307" s="600" t="str">
        <f t="shared" si="20"/>
        <v>USD;USD :STD;40Y</v>
      </c>
      <c r="B307" s="600" t="str">
        <f t="shared" si="23"/>
        <v>USD</v>
      </c>
      <c r="C307" s="600" t="str">
        <f t="shared" si="23"/>
        <v>USD :STD</v>
      </c>
      <c r="D307" s="603"/>
      <c r="E307" s="604"/>
      <c r="F307" s="607" t="s">
        <v>46</v>
      </c>
      <c r="G307" s="608">
        <v>0</v>
      </c>
    </row>
    <row r="308" spans="1:7" ht="11.1" customHeight="1">
      <c r="A308" s="600" t="str">
        <f t="shared" si="20"/>
        <v>USD;USD :STD;50Y</v>
      </c>
      <c r="B308" s="600" t="str">
        <f t="shared" si="23"/>
        <v>USD</v>
      </c>
      <c r="C308" s="600" t="str">
        <f t="shared" si="23"/>
        <v>USD :STD</v>
      </c>
      <c r="D308" s="603"/>
      <c r="E308" s="604"/>
      <c r="F308" s="607" t="s">
        <v>47</v>
      </c>
      <c r="G308" s="608">
        <v>0</v>
      </c>
    </row>
    <row r="309" spans="1:7" ht="11.1" customHeight="1">
      <c r="A309" s="600" t="str">
        <f t="shared" si="20"/>
        <v>USD;USD :STD;60Y</v>
      </c>
      <c r="B309" s="600" t="str">
        <f t="shared" ref="B309:C309" si="24">IF(ISBLANK(D309),B308,D309)</f>
        <v>USD</v>
      </c>
      <c r="C309" s="600" t="str">
        <f t="shared" si="24"/>
        <v>USD :STD</v>
      </c>
      <c r="D309" s="603"/>
      <c r="E309" s="604"/>
      <c r="F309" s="607" t="s">
        <v>48</v>
      </c>
      <c r="G309" s="608">
        <v>0</v>
      </c>
    </row>
  </sheetData>
  <mergeCells count="13">
    <mergeCell ref="D156:D206"/>
    <mergeCell ref="E156:E206"/>
    <mergeCell ref="D207:D309"/>
    <mergeCell ref="E207:F207"/>
    <mergeCell ref="E208:E258"/>
    <mergeCell ref="E259:E309"/>
    <mergeCell ref="D2:F2"/>
    <mergeCell ref="D3:D28"/>
    <mergeCell ref="E3:E28"/>
    <mergeCell ref="D29:D155"/>
    <mergeCell ref="E29:F29"/>
    <mergeCell ref="E30:E95"/>
    <mergeCell ref="E96:E155"/>
  </mergeCells>
  <pageMargins left="0" right="0" top="0" bottom="0" header="0.5" footer="0.5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C000"/>
  </sheetPr>
  <dimension ref="A1:G2957"/>
  <sheetViews>
    <sheetView workbookViewId="0">
      <pane xSplit="6" ySplit="1" topLeftCell="G2" activePane="bottomRight" state="frozen"/>
      <selection pane="topRight" activeCell="D1" sqref="D1"/>
      <selection pane="bottomLeft" activeCell="A2" sqref="A2"/>
      <selection pane="bottomRight"/>
    </sheetView>
  </sheetViews>
  <sheetFormatPr defaultRowHeight="15"/>
  <cols>
    <col min="1" max="1" width="47.85546875" style="598" bestFit="1" customWidth="1"/>
    <col min="2" max="2" width="5.42578125" style="598" customWidth="1"/>
    <col min="3" max="3" width="19.140625" style="598" bestFit="1" customWidth="1"/>
    <col min="4" max="4" width="8.42578125" style="598" customWidth="1"/>
    <col min="5" max="5" width="17.5703125" style="598" customWidth="1"/>
    <col min="6" max="6" width="22.140625" style="598" customWidth="1"/>
    <col min="7" max="7" width="25" style="598" customWidth="1"/>
    <col min="8" max="16384" width="9.140625" style="598"/>
  </cols>
  <sheetData>
    <row r="1" spans="1:7" ht="11.1" customHeight="1">
      <c r="A1" s="597" t="s">
        <v>228</v>
      </c>
      <c r="B1" s="597" t="s">
        <v>637</v>
      </c>
      <c r="C1" s="597" t="s">
        <v>230</v>
      </c>
      <c r="D1" s="597" t="s">
        <v>638</v>
      </c>
      <c r="E1" s="597" t="s">
        <v>639</v>
      </c>
      <c r="F1" s="597" t="s">
        <v>206</v>
      </c>
      <c r="G1" s="597" t="s">
        <v>207</v>
      </c>
    </row>
    <row r="2" spans="1:7" ht="11.1" customHeight="1">
      <c r="A2" s="599" t="s">
        <v>636</v>
      </c>
      <c r="B2" s="600" t="str">
        <f>D2</f>
        <v>Total</v>
      </c>
      <c r="C2" s="600">
        <f>E2</f>
        <v>0</v>
      </c>
      <c r="D2" s="601" t="s">
        <v>636</v>
      </c>
      <c r="E2" s="601"/>
      <c r="F2" s="601"/>
      <c r="G2" s="602">
        <v>0</v>
      </c>
    </row>
    <row r="3" spans="1:7" ht="11.1" customHeight="1">
      <c r="A3" s="600" t="str">
        <f>B3&amp;";"&amp;C3&amp;";"&amp;F3</f>
        <v>AUD;Total AUD;</v>
      </c>
      <c r="B3" s="600" t="str">
        <f>IF(ISBLANK(D3),B2,D3)</f>
        <v>AUD</v>
      </c>
      <c r="C3" s="600" t="str">
        <f>E3</f>
        <v>Total AUD</v>
      </c>
      <c r="D3" s="603" t="s">
        <v>1176</v>
      </c>
      <c r="E3" s="609" t="s">
        <v>1177</v>
      </c>
      <c r="F3" s="609"/>
      <c r="G3" s="612">
        <v>-1457.3812789712799</v>
      </c>
    </row>
    <row r="4" spans="1:7" ht="11.1" customHeight="1">
      <c r="A4" s="600" t="str">
        <f>B4&amp;";"&amp;C4&amp;";"&amp;F4</f>
        <v>AUD;AUD 3M;Total AUD 3M</v>
      </c>
      <c r="B4" s="600" t="str">
        <f>IF(ISBLANK(D4),B3,D4)</f>
        <v>AUD</v>
      </c>
      <c r="C4" s="600" t="str">
        <f>IF(ISBLANK(E4),C3,E4)</f>
        <v>AUD 3M</v>
      </c>
      <c r="D4" s="603"/>
      <c r="E4" s="604" t="s">
        <v>3843</v>
      </c>
      <c r="F4" s="605" t="s">
        <v>3844</v>
      </c>
      <c r="G4" s="611">
        <v>2672.53052726837</v>
      </c>
    </row>
    <row r="5" spans="1:7" ht="11.1" customHeight="1">
      <c r="A5" s="600" t="str">
        <f t="shared" ref="A5:A68" si="0">B5&amp;";"&amp;C5&amp;";"&amp;F5</f>
        <v>AUD;AUD 3M;O/N</v>
      </c>
      <c r="B5" s="600" t="str">
        <f t="shared" ref="B5:C20" si="1">IF(ISBLANK(D5),B4,D5)</f>
        <v>AUD</v>
      </c>
      <c r="C5" s="600" t="str">
        <f t="shared" si="1"/>
        <v>AUD 3M</v>
      </c>
      <c r="D5" s="603"/>
      <c r="E5" s="604"/>
      <c r="F5" s="607" t="s">
        <v>3</v>
      </c>
      <c r="G5" s="611">
        <v>3.6095570976613102E-12</v>
      </c>
    </row>
    <row r="6" spans="1:7" ht="11.1" customHeight="1">
      <c r="A6" s="600" t="str">
        <f t="shared" si="0"/>
        <v>AUD;AUD 3M;T/N</v>
      </c>
      <c r="B6" s="600" t="str">
        <f t="shared" si="1"/>
        <v>AUD</v>
      </c>
      <c r="C6" s="600" t="str">
        <f t="shared" si="1"/>
        <v>AUD 3M</v>
      </c>
      <c r="D6" s="603"/>
      <c r="E6" s="604"/>
      <c r="F6" s="607" t="s">
        <v>4</v>
      </c>
      <c r="G6" s="606">
        <v>-10.925155670969801</v>
      </c>
    </row>
    <row r="7" spans="1:7" ht="11.1" customHeight="1">
      <c r="A7" s="600" t="str">
        <f t="shared" si="0"/>
        <v>AUD;AUD 3M;S/N</v>
      </c>
      <c r="B7" s="600" t="str">
        <f t="shared" si="1"/>
        <v>AUD</v>
      </c>
      <c r="C7" s="600" t="str">
        <f t="shared" si="1"/>
        <v>AUD 3M</v>
      </c>
      <c r="D7" s="603"/>
      <c r="E7" s="604"/>
      <c r="F7" s="607" t="s">
        <v>23</v>
      </c>
      <c r="G7" s="608">
        <v>0</v>
      </c>
    </row>
    <row r="8" spans="1:7" ht="11.1" customHeight="1">
      <c r="A8" s="600" t="str">
        <f t="shared" si="0"/>
        <v>AUD;AUD 3M;1W</v>
      </c>
      <c r="B8" s="600" t="str">
        <f t="shared" si="1"/>
        <v>AUD</v>
      </c>
      <c r="C8" s="600" t="str">
        <f t="shared" si="1"/>
        <v>AUD 3M</v>
      </c>
      <c r="D8" s="603"/>
      <c r="E8" s="604"/>
      <c r="F8" s="607" t="s">
        <v>5</v>
      </c>
      <c r="G8" s="611">
        <v>0</v>
      </c>
    </row>
    <row r="9" spans="1:7" ht="11.1" customHeight="1">
      <c r="A9" s="600" t="str">
        <f t="shared" si="0"/>
        <v>AUD;AUD 3M;2W</v>
      </c>
      <c r="B9" s="600" t="str">
        <f t="shared" si="1"/>
        <v>AUD</v>
      </c>
      <c r="C9" s="600" t="str">
        <f t="shared" si="1"/>
        <v>AUD 3M</v>
      </c>
      <c r="D9" s="603"/>
      <c r="E9" s="604"/>
      <c r="F9" s="607" t="s">
        <v>6</v>
      </c>
      <c r="G9" s="606">
        <v>-5.6517537489043E-2</v>
      </c>
    </row>
    <row r="10" spans="1:7" ht="11.1" customHeight="1">
      <c r="A10" s="600" t="str">
        <f t="shared" si="0"/>
        <v>AUD;AUD 3M;3W</v>
      </c>
      <c r="B10" s="600" t="str">
        <f t="shared" si="1"/>
        <v>AUD</v>
      </c>
      <c r="C10" s="600" t="str">
        <f t="shared" si="1"/>
        <v>AUD 3M</v>
      </c>
      <c r="D10" s="603"/>
      <c r="E10" s="604"/>
      <c r="F10" s="607" t="s">
        <v>24</v>
      </c>
      <c r="G10" s="611">
        <v>43.520357713862701</v>
      </c>
    </row>
    <row r="11" spans="1:7" ht="11.1" customHeight="1">
      <c r="A11" s="600" t="str">
        <f t="shared" si="0"/>
        <v>AUD;AUD 3M;1M</v>
      </c>
      <c r="B11" s="600" t="str">
        <f t="shared" si="1"/>
        <v>AUD</v>
      </c>
      <c r="C11" s="600" t="str">
        <f t="shared" si="1"/>
        <v>AUD 3M</v>
      </c>
      <c r="D11" s="603"/>
      <c r="E11" s="604"/>
      <c r="F11" s="607" t="s">
        <v>7</v>
      </c>
      <c r="G11" s="606">
        <v>-191.557542950662</v>
      </c>
    </row>
    <row r="12" spans="1:7" ht="11.1" customHeight="1">
      <c r="A12" s="600" t="str">
        <f t="shared" si="0"/>
        <v>AUD;AUD 3M;2M</v>
      </c>
      <c r="B12" s="600" t="str">
        <f t="shared" si="1"/>
        <v>AUD</v>
      </c>
      <c r="C12" s="600" t="str">
        <f t="shared" si="1"/>
        <v>AUD 3M</v>
      </c>
      <c r="D12" s="603"/>
      <c r="E12" s="604"/>
      <c r="F12" s="607" t="s">
        <v>8</v>
      </c>
      <c r="G12" s="611">
        <v>135.598449010499</v>
      </c>
    </row>
    <row r="13" spans="1:7" ht="11.1" customHeight="1">
      <c r="A13" s="600" t="str">
        <f t="shared" si="0"/>
        <v>AUD;AUD 3M;3M</v>
      </c>
      <c r="B13" s="600" t="str">
        <f t="shared" si="1"/>
        <v>AUD</v>
      </c>
      <c r="C13" s="600" t="str">
        <f t="shared" si="1"/>
        <v>AUD 3M</v>
      </c>
      <c r="D13" s="603"/>
      <c r="E13" s="604"/>
      <c r="F13" s="607" t="s">
        <v>25</v>
      </c>
      <c r="G13" s="606">
        <v>-805.550186032537</v>
      </c>
    </row>
    <row r="14" spans="1:7" ht="11.1" customHeight="1">
      <c r="A14" s="600" t="str">
        <f t="shared" si="0"/>
        <v>AUD;AUD 3M;MAR 17</v>
      </c>
      <c r="B14" s="600" t="str">
        <f t="shared" si="1"/>
        <v>AUD</v>
      </c>
      <c r="C14" s="600" t="str">
        <f t="shared" si="1"/>
        <v>AUD 3M</v>
      </c>
      <c r="D14" s="603"/>
      <c r="E14" s="604"/>
      <c r="F14" s="607" t="s">
        <v>1063</v>
      </c>
      <c r="G14" s="606">
        <v>-209.972133498896</v>
      </c>
    </row>
    <row r="15" spans="1:7" ht="11.1" customHeight="1">
      <c r="A15" s="600" t="str">
        <f t="shared" si="0"/>
        <v>AUD;AUD 3M;JUN 17</v>
      </c>
      <c r="B15" s="600" t="str">
        <f t="shared" si="1"/>
        <v>AUD</v>
      </c>
      <c r="C15" s="600" t="str">
        <f t="shared" si="1"/>
        <v>AUD 3M</v>
      </c>
      <c r="D15" s="603"/>
      <c r="E15" s="604"/>
      <c r="F15" s="607" t="s">
        <v>1066</v>
      </c>
      <c r="G15" s="606">
        <v>-397.05623519193102</v>
      </c>
    </row>
    <row r="16" spans="1:7" ht="11.1" customHeight="1">
      <c r="A16" s="600" t="str">
        <f t="shared" si="0"/>
        <v>AUD;AUD 3M;SEP 17</v>
      </c>
      <c r="B16" s="600" t="str">
        <f t="shared" si="1"/>
        <v>AUD</v>
      </c>
      <c r="C16" s="600" t="str">
        <f t="shared" si="1"/>
        <v>AUD 3M</v>
      </c>
      <c r="D16" s="603"/>
      <c r="E16" s="604"/>
      <c r="F16" s="607" t="s">
        <v>1069</v>
      </c>
      <c r="G16" s="606">
        <v>-227.44795056298199</v>
      </c>
    </row>
    <row r="17" spans="1:7" ht="11.1" customHeight="1">
      <c r="A17" s="600" t="str">
        <f t="shared" si="0"/>
        <v>AUD;AUD 3M;DEC 17</v>
      </c>
      <c r="B17" s="600" t="str">
        <f t="shared" si="1"/>
        <v>AUD</v>
      </c>
      <c r="C17" s="600" t="str">
        <f t="shared" si="1"/>
        <v>AUD 3M</v>
      </c>
      <c r="D17" s="603"/>
      <c r="E17" s="604"/>
      <c r="F17" s="607" t="s">
        <v>3865</v>
      </c>
      <c r="G17" s="606">
        <v>-325.41931279613402</v>
      </c>
    </row>
    <row r="18" spans="1:7" ht="11.1" customHeight="1">
      <c r="A18" s="600" t="str">
        <f t="shared" si="0"/>
        <v>AUD;AUD 3M;MAR 18</v>
      </c>
      <c r="B18" s="600" t="str">
        <f t="shared" si="1"/>
        <v>AUD</v>
      </c>
      <c r="C18" s="600" t="str">
        <f t="shared" si="1"/>
        <v>AUD 3M</v>
      </c>
      <c r="D18" s="603"/>
      <c r="E18" s="604"/>
      <c r="F18" s="607" t="s">
        <v>3866</v>
      </c>
      <c r="G18" s="606">
        <v>-69.646175401981793</v>
      </c>
    </row>
    <row r="19" spans="1:7" ht="11.1" customHeight="1">
      <c r="A19" s="600" t="str">
        <f t="shared" si="0"/>
        <v>AUD;AUD 3M;2Y</v>
      </c>
      <c r="B19" s="600" t="str">
        <f t="shared" si="1"/>
        <v>AUD</v>
      </c>
      <c r="C19" s="600" t="str">
        <f t="shared" si="1"/>
        <v>AUD 3M</v>
      </c>
      <c r="D19" s="603"/>
      <c r="E19" s="604"/>
      <c r="F19" s="607" t="s">
        <v>9</v>
      </c>
      <c r="G19" s="606">
        <v>-3121.8003383303198</v>
      </c>
    </row>
    <row r="20" spans="1:7" ht="11.1" customHeight="1">
      <c r="A20" s="600" t="str">
        <f t="shared" si="0"/>
        <v>AUD;AUD 3M;3Y</v>
      </c>
      <c r="B20" s="600" t="str">
        <f t="shared" si="1"/>
        <v>AUD</v>
      </c>
      <c r="C20" s="600" t="str">
        <f t="shared" si="1"/>
        <v>AUD 3M</v>
      </c>
      <c r="D20" s="603"/>
      <c r="E20" s="604"/>
      <c r="F20" s="607" t="s">
        <v>10</v>
      </c>
      <c r="G20" s="611">
        <v>2419.1742709680302</v>
      </c>
    </row>
    <row r="21" spans="1:7" ht="11.1" customHeight="1">
      <c r="A21" s="600" t="str">
        <f t="shared" si="0"/>
        <v>AUD;AUD 3M;4Y</v>
      </c>
      <c r="B21" s="600" t="str">
        <f t="shared" ref="B21:C36" si="2">IF(ISBLANK(D21),B20,D21)</f>
        <v>AUD</v>
      </c>
      <c r="C21" s="600" t="str">
        <f t="shared" si="2"/>
        <v>AUD 3M</v>
      </c>
      <c r="D21" s="603"/>
      <c r="E21" s="604"/>
      <c r="F21" s="607" t="s">
        <v>11</v>
      </c>
      <c r="G21" s="611">
        <v>3245.2430519193099</v>
      </c>
    </row>
    <row r="22" spans="1:7" ht="11.1" customHeight="1">
      <c r="A22" s="600" t="str">
        <f t="shared" si="0"/>
        <v>AUD;AUD 3M;5Y</v>
      </c>
      <c r="B22" s="600" t="str">
        <f t="shared" si="2"/>
        <v>AUD</v>
      </c>
      <c r="C22" s="600" t="str">
        <f t="shared" si="2"/>
        <v>AUD 3M</v>
      </c>
      <c r="D22" s="603"/>
      <c r="E22" s="604"/>
      <c r="F22" s="607" t="s">
        <v>12</v>
      </c>
      <c r="G22" s="611">
        <v>2200.5788010808101</v>
      </c>
    </row>
    <row r="23" spans="1:7" ht="11.1" customHeight="1">
      <c r="A23" s="600" t="str">
        <f t="shared" si="0"/>
        <v>AUD;AUD 3M;6Y</v>
      </c>
      <c r="B23" s="600" t="str">
        <f t="shared" si="2"/>
        <v>AUD</v>
      </c>
      <c r="C23" s="600" t="str">
        <f t="shared" si="2"/>
        <v>AUD 3M</v>
      </c>
      <c r="D23" s="603"/>
      <c r="E23" s="604"/>
      <c r="F23" s="607" t="s">
        <v>13</v>
      </c>
      <c r="G23" s="606">
        <v>-12.161090224716601</v>
      </c>
    </row>
    <row r="24" spans="1:7" ht="11.1" customHeight="1">
      <c r="A24" s="600" t="str">
        <f t="shared" si="0"/>
        <v>AUD;AUD 3M;7Y</v>
      </c>
      <c r="B24" s="600" t="str">
        <f t="shared" si="2"/>
        <v>AUD</v>
      </c>
      <c r="C24" s="600" t="str">
        <f t="shared" si="2"/>
        <v>AUD 3M</v>
      </c>
      <c r="D24" s="603"/>
      <c r="E24" s="604"/>
      <c r="F24" s="607" t="s">
        <v>14</v>
      </c>
      <c r="G24" s="611">
        <v>8.2872253885198904E-3</v>
      </c>
    </row>
    <row r="25" spans="1:7" ht="11.1" customHeight="1">
      <c r="A25" s="600" t="str">
        <f t="shared" si="0"/>
        <v>AUD;AUD 3M;8Y</v>
      </c>
      <c r="B25" s="600" t="str">
        <f t="shared" si="2"/>
        <v>AUD</v>
      </c>
      <c r="C25" s="600" t="str">
        <f t="shared" si="2"/>
        <v>AUD 3M</v>
      </c>
      <c r="D25" s="603"/>
      <c r="E25" s="604"/>
      <c r="F25" s="607" t="s">
        <v>15</v>
      </c>
      <c r="G25" s="606">
        <v>-5.2392021636739603E-5</v>
      </c>
    </row>
    <row r="26" spans="1:7" ht="11.1" customHeight="1">
      <c r="A26" s="600" t="str">
        <f t="shared" si="0"/>
        <v>AUD;AUD 3M;9Y</v>
      </c>
      <c r="B26" s="600" t="str">
        <f t="shared" si="2"/>
        <v>AUD</v>
      </c>
      <c r="C26" s="600" t="str">
        <f t="shared" si="2"/>
        <v>AUD 3M</v>
      </c>
      <c r="D26" s="603"/>
      <c r="E26" s="604"/>
      <c r="F26" s="607" t="s">
        <v>16</v>
      </c>
      <c r="G26" s="606">
        <v>-6.0282982345917706E-8</v>
      </c>
    </row>
    <row r="27" spans="1:7" ht="11.1" customHeight="1">
      <c r="A27" s="600" t="str">
        <f t="shared" si="0"/>
        <v>AUD;AUD 3M;10Y</v>
      </c>
      <c r="B27" s="600" t="str">
        <f t="shared" si="2"/>
        <v>AUD</v>
      </c>
      <c r="C27" s="600" t="str">
        <f t="shared" si="2"/>
        <v>AUD 3M</v>
      </c>
      <c r="D27" s="603"/>
      <c r="E27" s="604"/>
      <c r="F27" s="607" t="s">
        <v>17</v>
      </c>
      <c r="G27" s="611">
        <v>8.04707139011682E-10</v>
      </c>
    </row>
    <row r="28" spans="1:7" ht="11.1" customHeight="1">
      <c r="A28" s="600" t="str">
        <f t="shared" si="0"/>
        <v>AUD;AUD 3M;12Y</v>
      </c>
      <c r="B28" s="600" t="str">
        <f t="shared" si="2"/>
        <v>AUD</v>
      </c>
      <c r="C28" s="600" t="str">
        <f t="shared" si="2"/>
        <v>AUD 3M</v>
      </c>
      <c r="D28" s="603"/>
      <c r="E28" s="604"/>
      <c r="F28" s="607" t="s">
        <v>18</v>
      </c>
      <c r="G28" s="608">
        <v>0</v>
      </c>
    </row>
    <row r="29" spans="1:7" ht="11.1" customHeight="1">
      <c r="A29" s="600" t="str">
        <f t="shared" si="0"/>
        <v>AUD;AUD 3M;15Y</v>
      </c>
      <c r="B29" s="600" t="str">
        <f t="shared" si="2"/>
        <v>AUD</v>
      </c>
      <c r="C29" s="600" t="str">
        <f t="shared" si="2"/>
        <v>AUD 3M</v>
      </c>
      <c r="D29" s="603"/>
      <c r="E29" s="604"/>
      <c r="F29" s="607" t="s">
        <v>19</v>
      </c>
      <c r="G29" s="608">
        <v>0</v>
      </c>
    </row>
    <row r="30" spans="1:7" ht="11.1" customHeight="1">
      <c r="A30" s="600" t="str">
        <f t="shared" si="0"/>
        <v>AUD;AUD 3M;20Y</v>
      </c>
      <c r="B30" s="600" t="str">
        <f t="shared" si="2"/>
        <v>AUD</v>
      </c>
      <c r="C30" s="600" t="str">
        <f t="shared" si="2"/>
        <v>AUD 3M</v>
      </c>
      <c r="D30" s="603"/>
      <c r="E30" s="604"/>
      <c r="F30" s="607" t="s">
        <v>20</v>
      </c>
      <c r="G30" s="608">
        <v>0</v>
      </c>
    </row>
    <row r="31" spans="1:7" ht="11.1" customHeight="1">
      <c r="A31" s="600" t="str">
        <f t="shared" si="0"/>
        <v>AUD;AUD 3M;25Y</v>
      </c>
      <c r="B31" s="600" t="str">
        <f t="shared" si="2"/>
        <v>AUD</v>
      </c>
      <c r="C31" s="600" t="str">
        <f t="shared" si="2"/>
        <v>AUD 3M</v>
      </c>
      <c r="D31" s="603"/>
      <c r="E31" s="604"/>
      <c r="F31" s="607" t="s">
        <v>21</v>
      </c>
      <c r="G31" s="608">
        <v>0</v>
      </c>
    </row>
    <row r="32" spans="1:7" ht="11.1" customHeight="1">
      <c r="A32" s="600" t="str">
        <f t="shared" si="0"/>
        <v>AUD;AUD 3M;30Y</v>
      </c>
      <c r="B32" s="600" t="str">
        <f t="shared" si="2"/>
        <v>AUD</v>
      </c>
      <c r="C32" s="600" t="str">
        <f t="shared" si="2"/>
        <v>AUD 3M</v>
      </c>
      <c r="D32" s="603"/>
      <c r="E32" s="604"/>
      <c r="F32" s="607" t="s">
        <v>22</v>
      </c>
      <c r="G32" s="608">
        <v>0</v>
      </c>
    </row>
    <row r="33" spans="1:7" ht="11.1" customHeight="1">
      <c r="A33" s="600" t="str">
        <f t="shared" si="0"/>
        <v>AUD;AUD FOREX;Total AUD FOREX</v>
      </c>
      <c r="B33" s="600" t="str">
        <f t="shared" si="2"/>
        <v>AUD</v>
      </c>
      <c r="C33" s="600" t="str">
        <f t="shared" si="2"/>
        <v>AUD FOREX</v>
      </c>
      <c r="D33" s="603"/>
      <c r="E33" s="604" t="s">
        <v>1178</v>
      </c>
      <c r="F33" s="605" t="s">
        <v>1179</v>
      </c>
      <c r="G33" s="611">
        <v>0.31737298125593</v>
      </c>
    </row>
    <row r="34" spans="1:7" ht="11.1" customHeight="1">
      <c r="A34" s="600" t="str">
        <f t="shared" si="0"/>
        <v>AUD;AUD FOREX;O/N</v>
      </c>
      <c r="B34" s="600" t="str">
        <f t="shared" si="2"/>
        <v>AUD</v>
      </c>
      <c r="C34" s="600" t="str">
        <f t="shared" si="2"/>
        <v>AUD FOREX</v>
      </c>
      <c r="D34" s="603"/>
      <c r="E34" s="604"/>
      <c r="F34" s="607" t="s">
        <v>3</v>
      </c>
      <c r="G34" s="611">
        <v>0.29092843716415201</v>
      </c>
    </row>
    <row r="35" spans="1:7" ht="11.1" customHeight="1">
      <c r="A35" s="600" t="str">
        <f t="shared" si="0"/>
        <v>AUD;AUD FOREX;1W</v>
      </c>
      <c r="B35" s="600" t="str">
        <f t="shared" si="2"/>
        <v>AUD</v>
      </c>
      <c r="C35" s="600" t="str">
        <f t="shared" si="2"/>
        <v>AUD FOREX</v>
      </c>
      <c r="D35" s="603"/>
      <c r="E35" s="604"/>
      <c r="F35" s="607" t="s">
        <v>5</v>
      </c>
      <c r="G35" s="611">
        <v>2.6444544091656901E-2</v>
      </c>
    </row>
    <row r="36" spans="1:7" ht="11.1" customHeight="1">
      <c r="A36" s="600" t="str">
        <f t="shared" si="0"/>
        <v>AUD;AUD FOREX;2W</v>
      </c>
      <c r="B36" s="600" t="str">
        <f t="shared" si="2"/>
        <v>AUD</v>
      </c>
      <c r="C36" s="600" t="str">
        <f t="shared" si="2"/>
        <v>AUD FOREX</v>
      </c>
      <c r="D36" s="603"/>
      <c r="E36" s="604"/>
      <c r="F36" s="607" t="s">
        <v>6</v>
      </c>
      <c r="G36" s="608">
        <v>0</v>
      </c>
    </row>
    <row r="37" spans="1:7" ht="11.1" customHeight="1">
      <c r="A37" s="600" t="str">
        <f t="shared" si="0"/>
        <v>AUD;AUD FOREX;3W</v>
      </c>
      <c r="B37" s="600" t="str">
        <f t="shared" ref="B37:C52" si="3">IF(ISBLANK(D37),B36,D37)</f>
        <v>AUD</v>
      </c>
      <c r="C37" s="600" t="str">
        <f t="shared" si="3"/>
        <v>AUD FOREX</v>
      </c>
      <c r="D37" s="603"/>
      <c r="E37" s="604"/>
      <c r="F37" s="607" t="s">
        <v>24</v>
      </c>
      <c r="G37" s="608">
        <v>0</v>
      </c>
    </row>
    <row r="38" spans="1:7" ht="11.1" customHeight="1">
      <c r="A38" s="600" t="str">
        <f t="shared" si="0"/>
        <v>AUD;AUD FOREX;1M</v>
      </c>
      <c r="B38" s="600" t="str">
        <f t="shared" si="3"/>
        <v>AUD</v>
      </c>
      <c r="C38" s="600" t="str">
        <f t="shared" si="3"/>
        <v>AUD FOREX</v>
      </c>
      <c r="D38" s="603"/>
      <c r="E38" s="604"/>
      <c r="F38" s="607" t="s">
        <v>7</v>
      </c>
      <c r="G38" s="608">
        <v>0</v>
      </c>
    </row>
    <row r="39" spans="1:7" ht="11.1" customHeight="1">
      <c r="A39" s="600" t="str">
        <f t="shared" si="0"/>
        <v>AUD;AUD FOREX;2M</v>
      </c>
      <c r="B39" s="600" t="str">
        <f t="shared" si="3"/>
        <v>AUD</v>
      </c>
      <c r="C39" s="600" t="str">
        <f t="shared" si="3"/>
        <v>AUD FOREX</v>
      </c>
      <c r="D39" s="603"/>
      <c r="E39" s="604"/>
      <c r="F39" s="607" t="s">
        <v>8</v>
      </c>
      <c r="G39" s="608">
        <v>0</v>
      </c>
    </row>
    <row r="40" spans="1:7" ht="11.1" customHeight="1">
      <c r="A40" s="600" t="str">
        <f t="shared" si="0"/>
        <v>AUD;AUD FOREX;3M</v>
      </c>
      <c r="B40" s="600" t="str">
        <f t="shared" si="3"/>
        <v>AUD</v>
      </c>
      <c r="C40" s="600" t="str">
        <f t="shared" si="3"/>
        <v>AUD FOREX</v>
      </c>
      <c r="D40" s="603"/>
      <c r="E40" s="604"/>
      <c r="F40" s="607" t="s">
        <v>25</v>
      </c>
      <c r="G40" s="608">
        <v>0</v>
      </c>
    </row>
    <row r="41" spans="1:7" ht="11.1" customHeight="1">
      <c r="A41" s="600" t="str">
        <f t="shared" si="0"/>
        <v>AUD;AUD FOREX;4M</v>
      </c>
      <c r="B41" s="600" t="str">
        <f t="shared" si="3"/>
        <v>AUD</v>
      </c>
      <c r="C41" s="600" t="str">
        <f t="shared" si="3"/>
        <v>AUD FOREX</v>
      </c>
      <c r="D41" s="603"/>
      <c r="E41" s="604"/>
      <c r="F41" s="607" t="s">
        <v>26</v>
      </c>
      <c r="G41" s="608">
        <v>0</v>
      </c>
    </row>
    <row r="42" spans="1:7" ht="11.1" customHeight="1">
      <c r="A42" s="600" t="str">
        <f t="shared" si="0"/>
        <v>AUD;AUD FOREX;5M</v>
      </c>
      <c r="B42" s="600" t="str">
        <f t="shared" si="3"/>
        <v>AUD</v>
      </c>
      <c r="C42" s="600" t="str">
        <f t="shared" si="3"/>
        <v>AUD FOREX</v>
      </c>
      <c r="D42" s="603"/>
      <c r="E42" s="604"/>
      <c r="F42" s="607" t="s">
        <v>27</v>
      </c>
      <c r="G42" s="608">
        <v>0</v>
      </c>
    </row>
    <row r="43" spans="1:7" ht="11.1" customHeight="1">
      <c r="A43" s="600" t="str">
        <f t="shared" si="0"/>
        <v>AUD;AUD FOREX;6M</v>
      </c>
      <c r="B43" s="600" t="str">
        <f t="shared" si="3"/>
        <v>AUD</v>
      </c>
      <c r="C43" s="600" t="str">
        <f t="shared" si="3"/>
        <v>AUD FOREX</v>
      </c>
      <c r="D43" s="603"/>
      <c r="E43" s="604"/>
      <c r="F43" s="607" t="s">
        <v>28</v>
      </c>
      <c r="G43" s="608">
        <v>0</v>
      </c>
    </row>
    <row r="44" spans="1:7" ht="11.1" customHeight="1">
      <c r="A44" s="600" t="str">
        <f t="shared" si="0"/>
        <v>AUD;AUD FOREX;7M</v>
      </c>
      <c r="B44" s="600" t="str">
        <f t="shared" si="3"/>
        <v>AUD</v>
      </c>
      <c r="C44" s="600" t="str">
        <f t="shared" si="3"/>
        <v>AUD FOREX</v>
      </c>
      <c r="D44" s="603"/>
      <c r="E44" s="604"/>
      <c r="F44" s="607" t="s">
        <v>29</v>
      </c>
      <c r="G44" s="608">
        <v>0</v>
      </c>
    </row>
    <row r="45" spans="1:7" ht="11.1" customHeight="1">
      <c r="A45" s="600" t="str">
        <f t="shared" si="0"/>
        <v>AUD;AUD FOREX;8M</v>
      </c>
      <c r="B45" s="600" t="str">
        <f t="shared" si="3"/>
        <v>AUD</v>
      </c>
      <c r="C45" s="600" t="str">
        <f t="shared" si="3"/>
        <v>AUD FOREX</v>
      </c>
      <c r="D45" s="603"/>
      <c r="E45" s="604"/>
      <c r="F45" s="607" t="s">
        <v>30</v>
      </c>
      <c r="G45" s="608">
        <v>0</v>
      </c>
    </row>
    <row r="46" spans="1:7" ht="11.1" customHeight="1">
      <c r="A46" s="600" t="str">
        <f t="shared" si="0"/>
        <v>AUD;AUD FOREX;9M</v>
      </c>
      <c r="B46" s="600" t="str">
        <f t="shared" si="3"/>
        <v>AUD</v>
      </c>
      <c r="C46" s="600" t="str">
        <f t="shared" si="3"/>
        <v>AUD FOREX</v>
      </c>
      <c r="D46" s="603"/>
      <c r="E46" s="604"/>
      <c r="F46" s="607" t="s">
        <v>49</v>
      </c>
      <c r="G46" s="608">
        <v>0</v>
      </c>
    </row>
    <row r="47" spans="1:7" ht="11.1" customHeight="1">
      <c r="A47" s="600" t="str">
        <f t="shared" si="0"/>
        <v>AUD;AUD FOREX;10M</v>
      </c>
      <c r="B47" s="600" t="str">
        <f t="shared" si="3"/>
        <v>AUD</v>
      </c>
      <c r="C47" s="600" t="str">
        <f t="shared" si="3"/>
        <v>AUD FOREX</v>
      </c>
      <c r="D47" s="603"/>
      <c r="E47" s="604"/>
      <c r="F47" s="607" t="s">
        <v>50</v>
      </c>
      <c r="G47" s="608">
        <v>0</v>
      </c>
    </row>
    <row r="48" spans="1:7" ht="11.1" customHeight="1">
      <c r="A48" s="600" t="str">
        <f t="shared" si="0"/>
        <v>AUD;AUD FOREX;11M</v>
      </c>
      <c r="B48" s="600" t="str">
        <f t="shared" si="3"/>
        <v>AUD</v>
      </c>
      <c r="C48" s="600" t="str">
        <f t="shared" si="3"/>
        <v>AUD FOREX</v>
      </c>
      <c r="D48" s="603"/>
      <c r="E48" s="604"/>
      <c r="F48" s="607" t="s">
        <v>51</v>
      </c>
      <c r="G48" s="608">
        <v>0</v>
      </c>
    </row>
    <row r="49" spans="1:7" ht="11.1" customHeight="1">
      <c r="A49" s="600" t="str">
        <f t="shared" si="0"/>
        <v>AUD;AUD FOREX;12M</v>
      </c>
      <c r="B49" s="600" t="str">
        <f t="shared" si="3"/>
        <v>AUD</v>
      </c>
      <c r="C49" s="600" t="str">
        <f t="shared" si="3"/>
        <v>AUD FOREX</v>
      </c>
      <c r="D49" s="603"/>
      <c r="E49" s="604"/>
      <c r="F49" s="607" t="s">
        <v>52</v>
      </c>
      <c r="G49" s="608">
        <v>0</v>
      </c>
    </row>
    <row r="50" spans="1:7" ht="11.1" customHeight="1">
      <c r="A50" s="600" t="str">
        <f t="shared" si="0"/>
        <v>AUD;AUD FOREX;15M</v>
      </c>
      <c r="B50" s="600" t="str">
        <f t="shared" si="3"/>
        <v>AUD</v>
      </c>
      <c r="C50" s="600" t="str">
        <f t="shared" si="3"/>
        <v>AUD FOREX</v>
      </c>
      <c r="D50" s="603"/>
      <c r="E50" s="604"/>
      <c r="F50" s="607" t="s">
        <v>53</v>
      </c>
      <c r="G50" s="608">
        <v>0</v>
      </c>
    </row>
    <row r="51" spans="1:7" ht="11.1" customHeight="1">
      <c r="A51" s="600" t="str">
        <f t="shared" si="0"/>
        <v>AUD;AUD FOREX;18M</v>
      </c>
      <c r="B51" s="600" t="str">
        <f t="shared" si="3"/>
        <v>AUD</v>
      </c>
      <c r="C51" s="600" t="str">
        <f t="shared" si="3"/>
        <v>AUD FOREX</v>
      </c>
      <c r="D51" s="603"/>
      <c r="E51" s="604"/>
      <c r="F51" s="607" t="s">
        <v>54</v>
      </c>
      <c r="G51" s="608">
        <v>0</v>
      </c>
    </row>
    <row r="52" spans="1:7" ht="11.1" customHeight="1">
      <c r="A52" s="600" t="str">
        <f t="shared" si="0"/>
        <v>AUD;AUD FOREX;24M</v>
      </c>
      <c r="B52" s="600" t="str">
        <f t="shared" si="3"/>
        <v>AUD</v>
      </c>
      <c r="C52" s="600" t="str">
        <f t="shared" si="3"/>
        <v>AUD FOREX</v>
      </c>
      <c r="D52" s="603"/>
      <c r="E52" s="604"/>
      <c r="F52" s="607" t="s">
        <v>659</v>
      </c>
      <c r="G52" s="608">
        <v>0</v>
      </c>
    </row>
    <row r="53" spans="1:7" ht="11.1" customHeight="1">
      <c r="A53" s="600" t="str">
        <f t="shared" si="0"/>
        <v>AUD;AUD FOREX;3Y</v>
      </c>
      <c r="B53" s="600" t="str">
        <f t="shared" ref="B53:C68" si="4">IF(ISBLANK(D53),B52,D53)</f>
        <v>AUD</v>
      </c>
      <c r="C53" s="600" t="str">
        <f t="shared" si="4"/>
        <v>AUD FOREX</v>
      </c>
      <c r="D53" s="603"/>
      <c r="E53" s="604"/>
      <c r="F53" s="607" t="s">
        <v>10</v>
      </c>
      <c r="G53" s="608">
        <v>0</v>
      </c>
    </row>
    <row r="54" spans="1:7" ht="11.1" customHeight="1">
      <c r="A54" s="600" t="str">
        <f t="shared" si="0"/>
        <v>AUD;AUD FOREX;4Y</v>
      </c>
      <c r="B54" s="600" t="str">
        <f t="shared" si="4"/>
        <v>AUD</v>
      </c>
      <c r="C54" s="600" t="str">
        <f t="shared" si="4"/>
        <v>AUD FOREX</v>
      </c>
      <c r="D54" s="603"/>
      <c r="E54" s="604"/>
      <c r="F54" s="607" t="s">
        <v>11</v>
      </c>
      <c r="G54" s="608">
        <v>0</v>
      </c>
    </row>
    <row r="55" spans="1:7" ht="11.1" customHeight="1">
      <c r="A55" s="600" t="str">
        <f t="shared" si="0"/>
        <v>AUD;AUD FOREX;5Y</v>
      </c>
      <c r="B55" s="600" t="str">
        <f t="shared" si="4"/>
        <v>AUD</v>
      </c>
      <c r="C55" s="600" t="str">
        <f t="shared" si="4"/>
        <v>AUD FOREX</v>
      </c>
      <c r="D55" s="603"/>
      <c r="E55" s="604"/>
      <c r="F55" s="607" t="s">
        <v>12</v>
      </c>
      <c r="G55" s="608">
        <v>0</v>
      </c>
    </row>
    <row r="56" spans="1:7" ht="11.1" customHeight="1">
      <c r="A56" s="600" t="str">
        <f t="shared" si="0"/>
        <v>AUD;AUD FOREX;6Y</v>
      </c>
      <c r="B56" s="600" t="str">
        <f t="shared" si="4"/>
        <v>AUD</v>
      </c>
      <c r="C56" s="600" t="str">
        <f t="shared" si="4"/>
        <v>AUD FOREX</v>
      </c>
      <c r="D56" s="603"/>
      <c r="E56" s="604"/>
      <c r="F56" s="607" t="s">
        <v>13</v>
      </c>
      <c r="G56" s="608">
        <v>0</v>
      </c>
    </row>
    <row r="57" spans="1:7" ht="11.1" customHeight="1">
      <c r="A57" s="600" t="str">
        <f t="shared" si="0"/>
        <v>AUD;AUD FOREX;7Y</v>
      </c>
      <c r="B57" s="600" t="str">
        <f t="shared" si="4"/>
        <v>AUD</v>
      </c>
      <c r="C57" s="600" t="str">
        <f t="shared" si="4"/>
        <v>AUD FOREX</v>
      </c>
      <c r="D57" s="603"/>
      <c r="E57" s="604"/>
      <c r="F57" s="607" t="s">
        <v>14</v>
      </c>
      <c r="G57" s="608">
        <v>0</v>
      </c>
    </row>
    <row r="58" spans="1:7" ht="11.1" customHeight="1">
      <c r="A58" s="600" t="str">
        <f t="shared" si="0"/>
        <v>AUD;AUD FOREX;8Y</v>
      </c>
      <c r="B58" s="600" t="str">
        <f t="shared" si="4"/>
        <v>AUD</v>
      </c>
      <c r="C58" s="600" t="str">
        <f t="shared" si="4"/>
        <v>AUD FOREX</v>
      </c>
      <c r="D58" s="603"/>
      <c r="E58" s="604"/>
      <c r="F58" s="607" t="s">
        <v>15</v>
      </c>
      <c r="G58" s="608">
        <v>0</v>
      </c>
    </row>
    <row r="59" spans="1:7" ht="11.1" customHeight="1">
      <c r="A59" s="600" t="str">
        <f t="shared" si="0"/>
        <v>AUD;AUD FOREX;9Y</v>
      </c>
      <c r="B59" s="600" t="str">
        <f t="shared" si="4"/>
        <v>AUD</v>
      </c>
      <c r="C59" s="600" t="str">
        <f t="shared" si="4"/>
        <v>AUD FOREX</v>
      </c>
      <c r="D59" s="603"/>
      <c r="E59" s="604"/>
      <c r="F59" s="607" t="s">
        <v>16</v>
      </c>
      <c r="G59" s="608">
        <v>0</v>
      </c>
    </row>
    <row r="60" spans="1:7" ht="11.1" customHeight="1">
      <c r="A60" s="600" t="str">
        <f t="shared" si="0"/>
        <v>AUD;AUD FOREX;10Y</v>
      </c>
      <c r="B60" s="600" t="str">
        <f t="shared" si="4"/>
        <v>AUD</v>
      </c>
      <c r="C60" s="600" t="str">
        <f t="shared" si="4"/>
        <v>AUD FOREX</v>
      </c>
      <c r="D60" s="603"/>
      <c r="E60" s="604"/>
      <c r="F60" s="607" t="s">
        <v>17</v>
      </c>
      <c r="G60" s="608">
        <v>0</v>
      </c>
    </row>
    <row r="61" spans="1:7" ht="11.1" customHeight="1">
      <c r="A61" s="600" t="str">
        <f t="shared" si="0"/>
        <v>AUD;AUD FOREX;11Y</v>
      </c>
      <c r="B61" s="600" t="str">
        <f t="shared" si="4"/>
        <v>AUD</v>
      </c>
      <c r="C61" s="600" t="str">
        <f t="shared" si="4"/>
        <v>AUD FOREX</v>
      </c>
      <c r="D61" s="603"/>
      <c r="E61" s="604"/>
      <c r="F61" s="607" t="s">
        <v>31</v>
      </c>
      <c r="G61" s="608">
        <v>0</v>
      </c>
    </row>
    <row r="62" spans="1:7" ht="11.1" customHeight="1">
      <c r="A62" s="600" t="str">
        <f t="shared" si="0"/>
        <v>AUD;AUD FOREX;12Y</v>
      </c>
      <c r="B62" s="600" t="str">
        <f t="shared" si="4"/>
        <v>AUD</v>
      </c>
      <c r="C62" s="600" t="str">
        <f t="shared" si="4"/>
        <v>AUD FOREX</v>
      </c>
      <c r="D62" s="603"/>
      <c r="E62" s="604"/>
      <c r="F62" s="607" t="s">
        <v>18</v>
      </c>
      <c r="G62" s="608">
        <v>0</v>
      </c>
    </row>
    <row r="63" spans="1:7" ht="11.1" customHeight="1">
      <c r="A63" s="600" t="str">
        <f t="shared" si="0"/>
        <v>AUD;AUD FOREX;13Y</v>
      </c>
      <c r="B63" s="600" t="str">
        <f t="shared" si="4"/>
        <v>AUD</v>
      </c>
      <c r="C63" s="600" t="str">
        <f t="shared" si="4"/>
        <v>AUD FOREX</v>
      </c>
      <c r="D63" s="603"/>
      <c r="E63" s="604"/>
      <c r="F63" s="607" t="s">
        <v>32</v>
      </c>
      <c r="G63" s="608">
        <v>0</v>
      </c>
    </row>
    <row r="64" spans="1:7" ht="11.1" customHeight="1">
      <c r="A64" s="600" t="str">
        <f t="shared" si="0"/>
        <v>AUD;AUD FOREX;14Y</v>
      </c>
      <c r="B64" s="600" t="str">
        <f t="shared" si="4"/>
        <v>AUD</v>
      </c>
      <c r="C64" s="600" t="str">
        <f t="shared" si="4"/>
        <v>AUD FOREX</v>
      </c>
      <c r="D64" s="603"/>
      <c r="E64" s="604"/>
      <c r="F64" s="607" t="s">
        <v>33</v>
      </c>
      <c r="G64" s="608">
        <v>0</v>
      </c>
    </row>
    <row r="65" spans="1:7" ht="11.1" customHeight="1">
      <c r="A65" s="600" t="str">
        <f t="shared" si="0"/>
        <v>AUD;AUD FOREX;15Y</v>
      </c>
      <c r="B65" s="600" t="str">
        <f t="shared" si="4"/>
        <v>AUD</v>
      </c>
      <c r="C65" s="600" t="str">
        <f t="shared" si="4"/>
        <v>AUD FOREX</v>
      </c>
      <c r="D65" s="603"/>
      <c r="E65" s="604"/>
      <c r="F65" s="607" t="s">
        <v>19</v>
      </c>
      <c r="G65" s="608">
        <v>0</v>
      </c>
    </row>
    <row r="66" spans="1:7" ht="11.1" customHeight="1">
      <c r="A66" s="600" t="str">
        <f t="shared" si="0"/>
        <v>AUD;AUD FOREX;16Y</v>
      </c>
      <c r="B66" s="600" t="str">
        <f t="shared" si="4"/>
        <v>AUD</v>
      </c>
      <c r="C66" s="600" t="str">
        <f t="shared" si="4"/>
        <v>AUD FOREX</v>
      </c>
      <c r="D66" s="603"/>
      <c r="E66" s="604"/>
      <c r="F66" s="607" t="s">
        <v>34</v>
      </c>
      <c r="G66" s="608">
        <v>0</v>
      </c>
    </row>
    <row r="67" spans="1:7" ht="11.1" customHeight="1">
      <c r="A67" s="600" t="str">
        <f t="shared" si="0"/>
        <v>AUD;AUD FOREX;17Y</v>
      </c>
      <c r="B67" s="600" t="str">
        <f t="shared" si="4"/>
        <v>AUD</v>
      </c>
      <c r="C67" s="600" t="str">
        <f t="shared" si="4"/>
        <v>AUD FOREX</v>
      </c>
      <c r="D67" s="603"/>
      <c r="E67" s="604"/>
      <c r="F67" s="607" t="s">
        <v>35</v>
      </c>
      <c r="G67" s="608">
        <v>0</v>
      </c>
    </row>
    <row r="68" spans="1:7" ht="11.1" customHeight="1">
      <c r="A68" s="600" t="str">
        <f t="shared" si="0"/>
        <v>AUD;AUD FOREX;18Y</v>
      </c>
      <c r="B68" s="600" t="str">
        <f t="shared" si="4"/>
        <v>AUD</v>
      </c>
      <c r="C68" s="600" t="str">
        <f t="shared" si="4"/>
        <v>AUD FOREX</v>
      </c>
      <c r="D68" s="603"/>
      <c r="E68" s="604"/>
      <c r="F68" s="607" t="s">
        <v>36</v>
      </c>
      <c r="G68" s="608">
        <v>0</v>
      </c>
    </row>
    <row r="69" spans="1:7" ht="11.1" customHeight="1">
      <c r="A69" s="600" t="str">
        <f t="shared" ref="A69:A132" si="5">B69&amp;";"&amp;C69&amp;";"&amp;F69</f>
        <v>AUD;AUD FOREX;19Y</v>
      </c>
      <c r="B69" s="600" t="str">
        <f t="shared" ref="B69:C84" si="6">IF(ISBLANK(D69),B68,D69)</f>
        <v>AUD</v>
      </c>
      <c r="C69" s="600" t="str">
        <f t="shared" si="6"/>
        <v>AUD FOREX</v>
      </c>
      <c r="D69" s="603"/>
      <c r="E69" s="604"/>
      <c r="F69" s="607" t="s">
        <v>37</v>
      </c>
      <c r="G69" s="608">
        <v>0</v>
      </c>
    </row>
    <row r="70" spans="1:7" ht="11.1" customHeight="1">
      <c r="A70" s="600" t="str">
        <f t="shared" si="5"/>
        <v>AUD;AUD FOREX;20Y</v>
      </c>
      <c r="B70" s="600" t="str">
        <f t="shared" si="6"/>
        <v>AUD</v>
      </c>
      <c r="C70" s="600" t="str">
        <f t="shared" si="6"/>
        <v>AUD FOREX</v>
      </c>
      <c r="D70" s="603"/>
      <c r="E70" s="604"/>
      <c r="F70" s="607" t="s">
        <v>20</v>
      </c>
      <c r="G70" s="608">
        <v>0</v>
      </c>
    </row>
    <row r="71" spans="1:7" ht="11.1" customHeight="1">
      <c r="A71" s="600" t="str">
        <f t="shared" si="5"/>
        <v>AUD;AUD FOREX;21Y</v>
      </c>
      <c r="B71" s="600" t="str">
        <f t="shared" si="6"/>
        <v>AUD</v>
      </c>
      <c r="C71" s="600" t="str">
        <f t="shared" si="6"/>
        <v>AUD FOREX</v>
      </c>
      <c r="D71" s="603"/>
      <c r="E71" s="604"/>
      <c r="F71" s="607" t="s">
        <v>38</v>
      </c>
      <c r="G71" s="608">
        <v>0</v>
      </c>
    </row>
    <row r="72" spans="1:7" ht="11.1" customHeight="1">
      <c r="A72" s="600" t="str">
        <f t="shared" si="5"/>
        <v>AUD;AUD FOREX;22Y</v>
      </c>
      <c r="B72" s="600" t="str">
        <f t="shared" si="6"/>
        <v>AUD</v>
      </c>
      <c r="C72" s="600" t="str">
        <f t="shared" si="6"/>
        <v>AUD FOREX</v>
      </c>
      <c r="D72" s="603"/>
      <c r="E72" s="604"/>
      <c r="F72" s="607" t="s">
        <v>39</v>
      </c>
      <c r="G72" s="608">
        <v>0</v>
      </c>
    </row>
    <row r="73" spans="1:7" ht="11.1" customHeight="1">
      <c r="A73" s="600" t="str">
        <f t="shared" si="5"/>
        <v>AUD;AUD FOREX;23Y</v>
      </c>
      <c r="B73" s="600" t="str">
        <f t="shared" si="6"/>
        <v>AUD</v>
      </c>
      <c r="C73" s="600" t="str">
        <f t="shared" si="6"/>
        <v>AUD FOREX</v>
      </c>
      <c r="D73" s="603"/>
      <c r="E73" s="604"/>
      <c r="F73" s="607" t="s">
        <v>40</v>
      </c>
      <c r="G73" s="608">
        <v>0</v>
      </c>
    </row>
    <row r="74" spans="1:7" ht="11.1" customHeight="1">
      <c r="A74" s="600" t="str">
        <f t="shared" si="5"/>
        <v>AUD;AUD FOREX;24Y</v>
      </c>
      <c r="B74" s="600" t="str">
        <f t="shared" si="6"/>
        <v>AUD</v>
      </c>
      <c r="C74" s="600" t="str">
        <f t="shared" si="6"/>
        <v>AUD FOREX</v>
      </c>
      <c r="D74" s="603"/>
      <c r="E74" s="604"/>
      <c r="F74" s="607" t="s">
        <v>41</v>
      </c>
      <c r="G74" s="608">
        <v>0</v>
      </c>
    </row>
    <row r="75" spans="1:7" ht="11.1" customHeight="1">
      <c r="A75" s="600" t="str">
        <f t="shared" si="5"/>
        <v>AUD;AUD FOREX;25Y</v>
      </c>
      <c r="B75" s="600" t="str">
        <f t="shared" si="6"/>
        <v>AUD</v>
      </c>
      <c r="C75" s="600" t="str">
        <f t="shared" si="6"/>
        <v>AUD FOREX</v>
      </c>
      <c r="D75" s="603"/>
      <c r="E75" s="604"/>
      <c r="F75" s="607" t="s">
        <v>21</v>
      </c>
      <c r="G75" s="608">
        <v>0</v>
      </c>
    </row>
    <row r="76" spans="1:7" ht="11.1" customHeight="1">
      <c r="A76" s="600" t="str">
        <f t="shared" si="5"/>
        <v>AUD;AUD FOREX;26Y</v>
      </c>
      <c r="B76" s="600" t="str">
        <f t="shared" si="6"/>
        <v>AUD</v>
      </c>
      <c r="C76" s="600" t="str">
        <f t="shared" si="6"/>
        <v>AUD FOREX</v>
      </c>
      <c r="D76" s="603"/>
      <c r="E76" s="604"/>
      <c r="F76" s="607" t="s">
        <v>42</v>
      </c>
      <c r="G76" s="608">
        <v>0</v>
      </c>
    </row>
    <row r="77" spans="1:7" ht="11.1" customHeight="1">
      <c r="A77" s="600" t="str">
        <f t="shared" si="5"/>
        <v>AUD;AUD FOREX;27Y</v>
      </c>
      <c r="B77" s="600" t="str">
        <f t="shared" si="6"/>
        <v>AUD</v>
      </c>
      <c r="C77" s="600" t="str">
        <f t="shared" si="6"/>
        <v>AUD FOREX</v>
      </c>
      <c r="D77" s="603"/>
      <c r="E77" s="604"/>
      <c r="F77" s="607" t="s">
        <v>43</v>
      </c>
      <c r="G77" s="608">
        <v>0</v>
      </c>
    </row>
    <row r="78" spans="1:7" ht="11.1" customHeight="1">
      <c r="A78" s="600" t="str">
        <f t="shared" si="5"/>
        <v>AUD;AUD FOREX;28Y</v>
      </c>
      <c r="B78" s="600" t="str">
        <f t="shared" si="6"/>
        <v>AUD</v>
      </c>
      <c r="C78" s="600" t="str">
        <f t="shared" si="6"/>
        <v>AUD FOREX</v>
      </c>
      <c r="D78" s="603"/>
      <c r="E78" s="604"/>
      <c r="F78" s="607" t="s">
        <v>44</v>
      </c>
      <c r="G78" s="608">
        <v>0</v>
      </c>
    </row>
    <row r="79" spans="1:7" ht="11.1" customHeight="1">
      <c r="A79" s="600" t="str">
        <f t="shared" si="5"/>
        <v>AUD;AUD FOREX;29Y</v>
      </c>
      <c r="B79" s="600" t="str">
        <f t="shared" si="6"/>
        <v>AUD</v>
      </c>
      <c r="C79" s="600" t="str">
        <f t="shared" si="6"/>
        <v>AUD FOREX</v>
      </c>
      <c r="D79" s="603"/>
      <c r="E79" s="604"/>
      <c r="F79" s="607" t="s">
        <v>45</v>
      </c>
      <c r="G79" s="608">
        <v>0</v>
      </c>
    </row>
    <row r="80" spans="1:7" ht="11.1" customHeight="1">
      <c r="A80" s="600" t="str">
        <f t="shared" si="5"/>
        <v>AUD;AUD FOREX;30Y</v>
      </c>
      <c r="B80" s="600" t="str">
        <f t="shared" si="6"/>
        <v>AUD</v>
      </c>
      <c r="C80" s="600" t="str">
        <f t="shared" si="6"/>
        <v>AUD FOREX</v>
      </c>
      <c r="D80" s="603"/>
      <c r="E80" s="604"/>
      <c r="F80" s="607" t="s">
        <v>22</v>
      </c>
      <c r="G80" s="608">
        <v>0</v>
      </c>
    </row>
    <row r="81" spans="1:7" ht="11.1" customHeight="1">
      <c r="A81" s="600" t="str">
        <f t="shared" si="5"/>
        <v>AUD;AUD OIS;Total AUD OIS</v>
      </c>
      <c r="B81" s="600" t="str">
        <f t="shared" si="6"/>
        <v>AUD</v>
      </c>
      <c r="C81" s="600" t="str">
        <f t="shared" si="6"/>
        <v>AUD OIS</v>
      </c>
      <c r="D81" s="603"/>
      <c r="E81" s="604" t="s">
        <v>3845</v>
      </c>
      <c r="F81" s="605" t="s">
        <v>3846</v>
      </c>
      <c r="G81" s="606">
        <v>-4130.2291792198803</v>
      </c>
    </row>
    <row r="82" spans="1:7" ht="11.1" customHeight="1">
      <c r="A82" s="600" t="str">
        <f t="shared" si="5"/>
        <v>AUD;AUD OIS;O/N</v>
      </c>
      <c r="B82" s="600" t="str">
        <f t="shared" si="6"/>
        <v>AUD</v>
      </c>
      <c r="C82" s="600" t="str">
        <f t="shared" si="6"/>
        <v>AUD OIS</v>
      </c>
      <c r="D82" s="603"/>
      <c r="E82" s="604"/>
      <c r="F82" s="607" t="s">
        <v>3</v>
      </c>
      <c r="G82" s="606">
        <v>-46.875568945947002</v>
      </c>
    </row>
    <row r="83" spans="1:7" ht="11.1" customHeight="1">
      <c r="A83" s="600" t="str">
        <f t="shared" si="5"/>
        <v>AUD;AUD OIS;T/N</v>
      </c>
      <c r="B83" s="600" t="str">
        <f t="shared" si="6"/>
        <v>AUD</v>
      </c>
      <c r="C83" s="600" t="str">
        <f t="shared" si="6"/>
        <v>AUD OIS</v>
      </c>
      <c r="D83" s="603"/>
      <c r="E83" s="604"/>
      <c r="F83" s="607" t="s">
        <v>4</v>
      </c>
      <c r="G83" s="606">
        <v>-15.6264754053466</v>
      </c>
    </row>
    <row r="84" spans="1:7" ht="11.1" customHeight="1">
      <c r="A84" s="600" t="str">
        <f t="shared" si="5"/>
        <v>AUD;AUD OIS;S/N</v>
      </c>
      <c r="B84" s="600" t="str">
        <f t="shared" si="6"/>
        <v>AUD</v>
      </c>
      <c r="C84" s="600" t="str">
        <f t="shared" si="6"/>
        <v>AUD OIS</v>
      </c>
      <c r="D84" s="603"/>
      <c r="E84" s="604"/>
      <c r="F84" s="607" t="s">
        <v>23</v>
      </c>
      <c r="G84" s="606">
        <v>-9.4887591662102402</v>
      </c>
    </row>
    <row r="85" spans="1:7" ht="11.1" customHeight="1">
      <c r="A85" s="600" t="str">
        <f t="shared" si="5"/>
        <v>AUD;AUD OIS;1W</v>
      </c>
      <c r="B85" s="600" t="str">
        <f t="shared" ref="B85:C100" si="7">IF(ISBLANK(D85),B84,D85)</f>
        <v>AUD</v>
      </c>
      <c r="C85" s="600" t="str">
        <f t="shared" si="7"/>
        <v>AUD OIS</v>
      </c>
      <c r="D85" s="603"/>
      <c r="E85" s="604"/>
      <c r="F85" s="607" t="s">
        <v>5</v>
      </c>
      <c r="G85" s="611">
        <v>42.467803373859503</v>
      </c>
    </row>
    <row r="86" spans="1:7" ht="11.1" customHeight="1">
      <c r="A86" s="600" t="str">
        <f t="shared" si="5"/>
        <v>AUD;AUD OIS;1M</v>
      </c>
      <c r="B86" s="600" t="str">
        <f t="shared" si="7"/>
        <v>AUD</v>
      </c>
      <c r="C86" s="600" t="str">
        <f t="shared" si="7"/>
        <v>AUD OIS</v>
      </c>
      <c r="D86" s="603"/>
      <c r="E86" s="604"/>
      <c r="F86" s="607" t="s">
        <v>7</v>
      </c>
      <c r="G86" s="611">
        <v>25.1082792452966</v>
      </c>
    </row>
    <row r="87" spans="1:7" ht="11.1" customHeight="1">
      <c r="A87" s="600" t="str">
        <f t="shared" si="5"/>
        <v>AUD;AUD OIS;2M</v>
      </c>
      <c r="B87" s="600" t="str">
        <f t="shared" si="7"/>
        <v>AUD</v>
      </c>
      <c r="C87" s="600" t="str">
        <f t="shared" si="7"/>
        <v>AUD OIS</v>
      </c>
      <c r="D87" s="603"/>
      <c r="E87" s="604"/>
      <c r="F87" s="607" t="s">
        <v>8</v>
      </c>
      <c r="G87" s="606">
        <v>-115.405821824114</v>
      </c>
    </row>
    <row r="88" spans="1:7" ht="11.1" customHeight="1">
      <c r="A88" s="600" t="str">
        <f t="shared" si="5"/>
        <v>AUD;AUD OIS;3M</v>
      </c>
      <c r="B88" s="600" t="str">
        <f t="shared" si="7"/>
        <v>AUD</v>
      </c>
      <c r="C88" s="600" t="str">
        <f t="shared" si="7"/>
        <v>AUD OIS</v>
      </c>
      <c r="D88" s="603"/>
      <c r="E88" s="604"/>
      <c r="F88" s="607" t="s">
        <v>25</v>
      </c>
      <c r="G88" s="606">
        <v>-33.192972860012297</v>
      </c>
    </row>
    <row r="89" spans="1:7" ht="11.1" customHeight="1">
      <c r="A89" s="600" t="str">
        <f t="shared" si="5"/>
        <v>AUD;AUD OIS;4M</v>
      </c>
      <c r="B89" s="600" t="str">
        <f t="shared" si="7"/>
        <v>AUD</v>
      </c>
      <c r="C89" s="600" t="str">
        <f t="shared" si="7"/>
        <v>AUD OIS</v>
      </c>
      <c r="D89" s="603"/>
      <c r="E89" s="604"/>
      <c r="F89" s="607" t="s">
        <v>26</v>
      </c>
      <c r="G89" s="611">
        <v>84.865836645999295</v>
      </c>
    </row>
    <row r="90" spans="1:7" ht="11.1" customHeight="1">
      <c r="A90" s="600" t="str">
        <f t="shared" si="5"/>
        <v>AUD;AUD OIS;5M</v>
      </c>
      <c r="B90" s="600" t="str">
        <f t="shared" si="7"/>
        <v>AUD</v>
      </c>
      <c r="C90" s="600" t="str">
        <f t="shared" si="7"/>
        <v>AUD OIS</v>
      </c>
      <c r="D90" s="603"/>
      <c r="E90" s="604"/>
      <c r="F90" s="607" t="s">
        <v>27</v>
      </c>
      <c r="G90" s="611">
        <v>105.99155115706399</v>
      </c>
    </row>
    <row r="91" spans="1:7" ht="11.1" customHeight="1">
      <c r="A91" s="600" t="str">
        <f t="shared" si="5"/>
        <v>AUD;AUD OIS;6M</v>
      </c>
      <c r="B91" s="600" t="str">
        <f t="shared" si="7"/>
        <v>AUD</v>
      </c>
      <c r="C91" s="600" t="str">
        <f t="shared" si="7"/>
        <v>AUD OIS</v>
      </c>
      <c r="D91" s="603"/>
      <c r="E91" s="604"/>
      <c r="F91" s="607" t="s">
        <v>28</v>
      </c>
      <c r="G91" s="606">
        <v>-525.018115944957</v>
      </c>
    </row>
    <row r="92" spans="1:7" ht="11.1" customHeight="1">
      <c r="A92" s="600" t="str">
        <f t="shared" si="5"/>
        <v>AUD;AUD OIS;9M</v>
      </c>
      <c r="B92" s="600" t="str">
        <f t="shared" si="7"/>
        <v>AUD</v>
      </c>
      <c r="C92" s="600" t="str">
        <f t="shared" si="7"/>
        <v>AUD OIS</v>
      </c>
      <c r="D92" s="603"/>
      <c r="E92" s="604"/>
      <c r="F92" s="607" t="s">
        <v>49</v>
      </c>
      <c r="G92" s="606">
        <v>-93.151144473466104</v>
      </c>
    </row>
    <row r="93" spans="1:7" ht="11.1" customHeight="1">
      <c r="A93" s="600" t="str">
        <f t="shared" si="5"/>
        <v>AUD;AUD OIS;1Y</v>
      </c>
      <c r="B93" s="600" t="str">
        <f t="shared" si="7"/>
        <v>AUD</v>
      </c>
      <c r="C93" s="600" t="str">
        <f t="shared" si="7"/>
        <v>AUD OIS</v>
      </c>
      <c r="D93" s="603"/>
      <c r="E93" s="604"/>
      <c r="F93" s="607" t="s">
        <v>56</v>
      </c>
      <c r="G93" s="611">
        <v>1399.13392131259</v>
      </c>
    </row>
    <row r="94" spans="1:7" ht="11.1" customHeight="1">
      <c r="A94" s="600" t="str">
        <f t="shared" si="5"/>
        <v>AUD;AUD OIS;18M</v>
      </c>
      <c r="B94" s="600" t="str">
        <f t="shared" si="7"/>
        <v>AUD</v>
      </c>
      <c r="C94" s="600" t="str">
        <f t="shared" si="7"/>
        <v>AUD OIS</v>
      </c>
      <c r="D94" s="603"/>
      <c r="E94" s="604"/>
      <c r="F94" s="607" t="s">
        <v>54</v>
      </c>
      <c r="G94" s="606">
        <v>-3076.4310717774802</v>
      </c>
    </row>
    <row r="95" spans="1:7" ht="11.1" customHeight="1">
      <c r="A95" s="600" t="str">
        <f t="shared" si="5"/>
        <v>AUD;AUD OIS;2Y</v>
      </c>
      <c r="B95" s="600" t="str">
        <f t="shared" si="7"/>
        <v>AUD</v>
      </c>
      <c r="C95" s="600" t="str">
        <f t="shared" si="7"/>
        <v>AUD OIS</v>
      </c>
      <c r="D95" s="603"/>
      <c r="E95" s="604"/>
      <c r="F95" s="607" t="s">
        <v>9</v>
      </c>
      <c r="G95" s="606">
        <v>-1198.17921128228</v>
      </c>
    </row>
    <row r="96" spans="1:7" ht="11.1" customHeight="1">
      <c r="A96" s="600" t="str">
        <f t="shared" si="5"/>
        <v>AUD;AUD OIS;3Y</v>
      </c>
      <c r="B96" s="600" t="str">
        <f t="shared" si="7"/>
        <v>AUD</v>
      </c>
      <c r="C96" s="600" t="str">
        <f t="shared" si="7"/>
        <v>AUD OIS</v>
      </c>
      <c r="D96" s="603"/>
      <c r="E96" s="604"/>
      <c r="F96" s="607" t="s">
        <v>10</v>
      </c>
      <c r="G96" s="606">
        <v>-1306.65797337565</v>
      </c>
    </row>
    <row r="97" spans="1:7" ht="11.1" customHeight="1">
      <c r="A97" s="600" t="str">
        <f t="shared" si="5"/>
        <v>AUD;AUD OIS;4Y</v>
      </c>
      <c r="B97" s="600" t="str">
        <f t="shared" si="7"/>
        <v>AUD</v>
      </c>
      <c r="C97" s="600" t="str">
        <f t="shared" si="7"/>
        <v>AUD OIS</v>
      </c>
      <c r="D97" s="603"/>
      <c r="E97" s="604"/>
      <c r="F97" s="607" t="s">
        <v>11</v>
      </c>
      <c r="G97" s="611">
        <v>649.03647836728396</v>
      </c>
    </row>
    <row r="98" spans="1:7" ht="11.1" customHeight="1">
      <c r="A98" s="600" t="str">
        <f t="shared" si="5"/>
        <v>AUD;AUD OIS;5Y</v>
      </c>
      <c r="B98" s="600" t="str">
        <f t="shared" si="7"/>
        <v>AUD</v>
      </c>
      <c r="C98" s="600" t="str">
        <f t="shared" si="7"/>
        <v>AUD OIS</v>
      </c>
      <c r="D98" s="603"/>
      <c r="E98" s="604"/>
      <c r="F98" s="607" t="s">
        <v>12</v>
      </c>
      <c r="G98" s="611">
        <v>304.169784927416</v>
      </c>
    </row>
    <row r="99" spans="1:7" ht="11.1" customHeight="1">
      <c r="A99" s="600" t="str">
        <f t="shared" si="5"/>
        <v>AUD;AUD OIS;6Y</v>
      </c>
      <c r="B99" s="600" t="str">
        <f t="shared" si="7"/>
        <v>AUD</v>
      </c>
      <c r="C99" s="600" t="str">
        <f t="shared" si="7"/>
        <v>AUD OIS</v>
      </c>
      <c r="D99" s="603"/>
      <c r="E99" s="604"/>
      <c r="F99" s="607" t="s">
        <v>13</v>
      </c>
      <c r="G99" s="606">
        <v>-320.98964300687999</v>
      </c>
    </row>
    <row r="100" spans="1:7" ht="11.1" customHeight="1">
      <c r="A100" s="600" t="str">
        <f t="shared" si="5"/>
        <v>AUD;AUD OIS;7Y</v>
      </c>
      <c r="B100" s="600" t="str">
        <f t="shared" si="7"/>
        <v>AUD</v>
      </c>
      <c r="C100" s="600" t="str">
        <f t="shared" si="7"/>
        <v>AUD OIS</v>
      </c>
      <c r="D100" s="603"/>
      <c r="E100" s="604"/>
      <c r="F100" s="607" t="s">
        <v>14</v>
      </c>
      <c r="G100" s="611">
        <v>1.3927065448760901E-2</v>
      </c>
    </row>
    <row r="101" spans="1:7" ht="11.1" customHeight="1">
      <c r="A101" s="600" t="str">
        <f t="shared" si="5"/>
        <v>AUD;AUD OIS;8Y</v>
      </c>
      <c r="B101" s="600" t="str">
        <f t="shared" ref="B101:C116" si="8">IF(ISBLANK(D101),B100,D101)</f>
        <v>AUD</v>
      </c>
      <c r="C101" s="600" t="str">
        <f t="shared" si="8"/>
        <v>AUD OIS</v>
      </c>
      <c r="D101" s="603"/>
      <c r="E101" s="604"/>
      <c r="F101" s="607" t="s">
        <v>15</v>
      </c>
      <c r="G101" s="606">
        <v>-3.2525162815752699E-6</v>
      </c>
    </row>
    <row r="102" spans="1:7" ht="11.1" customHeight="1">
      <c r="A102" s="600" t="str">
        <f t="shared" si="5"/>
        <v>AUD;AUD OIS;9Y</v>
      </c>
      <c r="B102" s="600" t="str">
        <f t="shared" si="8"/>
        <v>AUD</v>
      </c>
      <c r="C102" s="600" t="str">
        <f t="shared" si="8"/>
        <v>AUD OIS</v>
      </c>
      <c r="D102" s="603"/>
      <c r="E102" s="604"/>
      <c r="F102" s="607" t="s">
        <v>16</v>
      </c>
      <c r="G102" s="608">
        <v>0</v>
      </c>
    </row>
    <row r="103" spans="1:7" ht="11.1" customHeight="1">
      <c r="A103" s="600" t="str">
        <f t="shared" si="5"/>
        <v>AUD;AUD OIS;10Y</v>
      </c>
      <c r="B103" s="600" t="str">
        <f t="shared" si="8"/>
        <v>AUD</v>
      </c>
      <c r="C103" s="600" t="str">
        <f t="shared" si="8"/>
        <v>AUD OIS</v>
      </c>
      <c r="D103" s="603"/>
      <c r="E103" s="604"/>
      <c r="F103" s="607" t="s">
        <v>17</v>
      </c>
      <c r="G103" s="608">
        <v>0</v>
      </c>
    </row>
    <row r="104" spans="1:7" ht="11.1" customHeight="1">
      <c r="A104" s="600" t="str">
        <f t="shared" si="5"/>
        <v>AUD;AUD OIS;12Y</v>
      </c>
      <c r="B104" s="600" t="str">
        <f t="shared" si="8"/>
        <v>AUD</v>
      </c>
      <c r="C104" s="600" t="str">
        <f t="shared" si="8"/>
        <v>AUD OIS</v>
      </c>
      <c r="D104" s="603"/>
      <c r="E104" s="604"/>
      <c r="F104" s="607" t="s">
        <v>18</v>
      </c>
      <c r="G104" s="608">
        <v>0</v>
      </c>
    </row>
    <row r="105" spans="1:7" ht="11.1" customHeight="1">
      <c r="A105" s="600" t="str">
        <f t="shared" si="5"/>
        <v>AUD;AUD OIS;15Y</v>
      </c>
      <c r="B105" s="600" t="str">
        <f t="shared" si="8"/>
        <v>AUD</v>
      </c>
      <c r="C105" s="600" t="str">
        <f t="shared" si="8"/>
        <v>AUD OIS</v>
      </c>
      <c r="D105" s="603"/>
      <c r="E105" s="604"/>
      <c r="F105" s="607" t="s">
        <v>19</v>
      </c>
      <c r="G105" s="608">
        <v>0</v>
      </c>
    </row>
    <row r="106" spans="1:7" ht="11.1" customHeight="1">
      <c r="A106" s="600" t="str">
        <f t="shared" si="5"/>
        <v>AUD;AUD OIS;20Y</v>
      </c>
      <c r="B106" s="600" t="str">
        <f t="shared" si="8"/>
        <v>AUD</v>
      </c>
      <c r="C106" s="600" t="str">
        <f t="shared" si="8"/>
        <v>AUD OIS</v>
      </c>
      <c r="D106" s="603"/>
      <c r="E106" s="604"/>
      <c r="F106" s="607" t="s">
        <v>20</v>
      </c>
      <c r="G106" s="608">
        <v>0</v>
      </c>
    </row>
    <row r="107" spans="1:7" ht="11.1" customHeight="1">
      <c r="A107" s="600" t="str">
        <f t="shared" si="5"/>
        <v>AUD;AUD OIS;25Y</v>
      </c>
      <c r="B107" s="600" t="str">
        <f t="shared" si="8"/>
        <v>AUD</v>
      </c>
      <c r="C107" s="600" t="str">
        <f t="shared" si="8"/>
        <v>AUD OIS</v>
      </c>
      <c r="D107" s="603"/>
      <c r="E107" s="604"/>
      <c r="F107" s="607" t="s">
        <v>21</v>
      </c>
      <c r="G107" s="608">
        <v>0</v>
      </c>
    </row>
    <row r="108" spans="1:7" ht="11.1" customHeight="1">
      <c r="A108" s="600" t="str">
        <f t="shared" si="5"/>
        <v>AUD;AUD OIS;30Y</v>
      </c>
      <c r="B108" s="600" t="str">
        <f t="shared" si="8"/>
        <v>AUD</v>
      </c>
      <c r="C108" s="600" t="str">
        <f t="shared" si="8"/>
        <v>AUD OIS</v>
      </c>
      <c r="D108" s="603"/>
      <c r="E108" s="604"/>
      <c r="F108" s="607" t="s">
        <v>22</v>
      </c>
      <c r="G108" s="608">
        <v>0</v>
      </c>
    </row>
    <row r="109" spans="1:7" ht="11.1" customHeight="1">
      <c r="A109" s="600" t="str">
        <f t="shared" si="5"/>
        <v>BRL;Total BRL;</v>
      </c>
      <c r="B109" s="600" t="str">
        <f t="shared" si="8"/>
        <v>BRL</v>
      </c>
      <c r="C109" s="600" t="str">
        <f t="shared" si="8"/>
        <v>Total BRL</v>
      </c>
      <c r="D109" s="603" t="s">
        <v>1180</v>
      </c>
      <c r="E109" s="609" t="s">
        <v>1181</v>
      </c>
      <c r="F109" s="609"/>
      <c r="G109" s="612">
        <v>-320.048011909678</v>
      </c>
    </row>
    <row r="110" spans="1:7" ht="11.1" customHeight="1">
      <c r="A110" s="600" t="str">
        <f t="shared" si="5"/>
        <v>BRL;BRL FOREX;Total BRL FOREX</v>
      </c>
      <c r="B110" s="600" t="str">
        <f t="shared" si="8"/>
        <v>BRL</v>
      </c>
      <c r="C110" s="600" t="str">
        <f t="shared" si="8"/>
        <v>BRL FOREX</v>
      </c>
      <c r="D110" s="603"/>
      <c r="E110" s="604" t="s">
        <v>1182</v>
      </c>
      <c r="F110" s="605" t="s">
        <v>1183</v>
      </c>
      <c r="G110" s="606">
        <v>-394.07453295233103</v>
      </c>
    </row>
    <row r="111" spans="1:7" ht="11.1" customHeight="1">
      <c r="A111" s="600" t="str">
        <f t="shared" si="5"/>
        <v>BRL;BRL FOREX;O/N</v>
      </c>
      <c r="B111" s="600" t="str">
        <f t="shared" si="8"/>
        <v>BRL</v>
      </c>
      <c r="C111" s="600" t="str">
        <f t="shared" si="8"/>
        <v>BRL FOREX</v>
      </c>
      <c r="D111" s="603"/>
      <c r="E111" s="604"/>
      <c r="F111" s="607" t="s">
        <v>3</v>
      </c>
      <c r="G111" s="606">
        <v>-9.9780381649657204E-2</v>
      </c>
    </row>
    <row r="112" spans="1:7" ht="11.1" customHeight="1">
      <c r="A112" s="600" t="str">
        <f t="shared" si="5"/>
        <v>BRL;BRL FOREX;T/N</v>
      </c>
      <c r="B112" s="600" t="str">
        <f t="shared" si="8"/>
        <v>BRL</v>
      </c>
      <c r="C112" s="600" t="str">
        <f t="shared" si="8"/>
        <v>BRL FOREX</v>
      </c>
      <c r="D112" s="603"/>
      <c r="E112" s="604"/>
      <c r="F112" s="607" t="s">
        <v>4</v>
      </c>
      <c r="G112" s="606">
        <v>-3.3295216609212003E-2</v>
      </c>
    </row>
    <row r="113" spans="1:7" ht="11.1" customHeight="1">
      <c r="A113" s="600" t="str">
        <f t="shared" si="5"/>
        <v>BRL;BRL FOREX;S/N</v>
      </c>
      <c r="B113" s="600" t="str">
        <f t="shared" si="8"/>
        <v>BRL</v>
      </c>
      <c r="C113" s="600" t="str">
        <f t="shared" si="8"/>
        <v>BRL FOREX</v>
      </c>
      <c r="D113" s="603"/>
      <c r="E113" s="604"/>
      <c r="F113" s="607" t="s">
        <v>23</v>
      </c>
      <c r="G113" s="608">
        <v>0</v>
      </c>
    </row>
    <row r="114" spans="1:7" ht="11.1" customHeight="1">
      <c r="A114" s="600" t="str">
        <f t="shared" si="5"/>
        <v>BRL;BRL FOREX;1W</v>
      </c>
      <c r="B114" s="600" t="str">
        <f t="shared" si="8"/>
        <v>BRL</v>
      </c>
      <c r="C114" s="600" t="str">
        <f t="shared" si="8"/>
        <v>BRL FOREX</v>
      </c>
      <c r="D114" s="603"/>
      <c r="E114" s="604"/>
      <c r="F114" s="607" t="s">
        <v>5</v>
      </c>
      <c r="G114" s="608">
        <v>0</v>
      </c>
    </row>
    <row r="115" spans="1:7" ht="11.1" customHeight="1">
      <c r="A115" s="600" t="str">
        <f t="shared" si="5"/>
        <v>BRL;BRL FOREX;2W</v>
      </c>
      <c r="B115" s="600" t="str">
        <f t="shared" si="8"/>
        <v>BRL</v>
      </c>
      <c r="C115" s="600" t="str">
        <f t="shared" si="8"/>
        <v>BRL FOREX</v>
      </c>
      <c r="D115" s="603"/>
      <c r="E115" s="604"/>
      <c r="F115" s="607" t="s">
        <v>6</v>
      </c>
      <c r="G115" s="608">
        <v>0</v>
      </c>
    </row>
    <row r="116" spans="1:7" ht="11.1" customHeight="1">
      <c r="A116" s="600" t="str">
        <f t="shared" si="5"/>
        <v>BRL;BRL FOREX;3W</v>
      </c>
      <c r="B116" s="600" t="str">
        <f t="shared" si="8"/>
        <v>BRL</v>
      </c>
      <c r="C116" s="600" t="str">
        <f t="shared" si="8"/>
        <v>BRL FOREX</v>
      </c>
      <c r="D116" s="603"/>
      <c r="E116" s="604"/>
      <c r="F116" s="607" t="s">
        <v>24</v>
      </c>
      <c r="G116" s="608">
        <v>0</v>
      </c>
    </row>
    <row r="117" spans="1:7" ht="11.1" customHeight="1">
      <c r="A117" s="600" t="str">
        <f t="shared" si="5"/>
        <v>BRL;BRL FOREX;1M</v>
      </c>
      <c r="B117" s="600" t="str">
        <f t="shared" ref="B117:C132" si="9">IF(ISBLANK(D117),B116,D117)</f>
        <v>BRL</v>
      </c>
      <c r="C117" s="600" t="str">
        <f t="shared" si="9"/>
        <v>BRL FOREX</v>
      </c>
      <c r="D117" s="603"/>
      <c r="E117" s="604"/>
      <c r="F117" s="607" t="s">
        <v>7</v>
      </c>
      <c r="G117" s="608">
        <v>0</v>
      </c>
    </row>
    <row r="118" spans="1:7" ht="11.1" customHeight="1">
      <c r="A118" s="600" t="str">
        <f t="shared" si="5"/>
        <v>BRL;BRL FOREX;2M</v>
      </c>
      <c r="B118" s="600" t="str">
        <f t="shared" si="9"/>
        <v>BRL</v>
      </c>
      <c r="C118" s="600" t="str">
        <f t="shared" si="9"/>
        <v>BRL FOREX</v>
      </c>
      <c r="D118" s="603"/>
      <c r="E118" s="604"/>
      <c r="F118" s="607" t="s">
        <v>8</v>
      </c>
      <c r="G118" s="608">
        <v>0</v>
      </c>
    </row>
    <row r="119" spans="1:7" ht="11.1" customHeight="1">
      <c r="A119" s="600" t="str">
        <f t="shared" si="5"/>
        <v>BRL;BRL FOREX;3M</v>
      </c>
      <c r="B119" s="600" t="str">
        <f t="shared" si="9"/>
        <v>BRL</v>
      </c>
      <c r="C119" s="600" t="str">
        <f t="shared" si="9"/>
        <v>BRL FOREX</v>
      </c>
      <c r="D119" s="603"/>
      <c r="E119" s="604"/>
      <c r="F119" s="607" t="s">
        <v>25</v>
      </c>
      <c r="G119" s="608">
        <v>0</v>
      </c>
    </row>
    <row r="120" spans="1:7" ht="11.1" customHeight="1">
      <c r="A120" s="600" t="str">
        <f t="shared" si="5"/>
        <v>BRL;BRL FOREX;4M</v>
      </c>
      <c r="B120" s="600" t="str">
        <f t="shared" si="9"/>
        <v>BRL</v>
      </c>
      <c r="C120" s="600" t="str">
        <f t="shared" si="9"/>
        <v>BRL FOREX</v>
      </c>
      <c r="D120" s="603"/>
      <c r="E120" s="604"/>
      <c r="F120" s="607" t="s">
        <v>26</v>
      </c>
      <c r="G120" s="608">
        <v>0</v>
      </c>
    </row>
    <row r="121" spans="1:7" ht="11.1" customHeight="1">
      <c r="A121" s="600" t="str">
        <f t="shared" si="5"/>
        <v>BRL;BRL FOREX;5M</v>
      </c>
      <c r="B121" s="600" t="str">
        <f t="shared" si="9"/>
        <v>BRL</v>
      </c>
      <c r="C121" s="600" t="str">
        <f t="shared" si="9"/>
        <v>BRL FOREX</v>
      </c>
      <c r="D121" s="603"/>
      <c r="E121" s="604"/>
      <c r="F121" s="607" t="s">
        <v>27</v>
      </c>
      <c r="G121" s="608">
        <v>0</v>
      </c>
    </row>
    <row r="122" spans="1:7" ht="11.1" customHeight="1">
      <c r="A122" s="600" t="str">
        <f t="shared" si="5"/>
        <v>BRL;BRL FOREX;6M</v>
      </c>
      <c r="B122" s="600" t="str">
        <f t="shared" si="9"/>
        <v>BRL</v>
      </c>
      <c r="C122" s="600" t="str">
        <f t="shared" si="9"/>
        <v>BRL FOREX</v>
      </c>
      <c r="D122" s="603"/>
      <c r="E122" s="604"/>
      <c r="F122" s="607" t="s">
        <v>28</v>
      </c>
      <c r="G122" s="608">
        <v>0</v>
      </c>
    </row>
    <row r="123" spans="1:7" ht="11.1" customHeight="1">
      <c r="A123" s="600" t="str">
        <f t="shared" si="5"/>
        <v>BRL;BRL FOREX;7M</v>
      </c>
      <c r="B123" s="600" t="str">
        <f t="shared" si="9"/>
        <v>BRL</v>
      </c>
      <c r="C123" s="600" t="str">
        <f t="shared" si="9"/>
        <v>BRL FOREX</v>
      </c>
      <c r="D123" s="603"/>
      <c r="E123" s="604"/>
      <c r="F123" s="607" t="s">
        <v>29</v>
      </c>
      <c r="G123" s="608">
        <v>0</v>
      </c>
    </row>
    <row r="124" spans="1:7" ht="11.1" customHeight="1">
      <c r="A124" s="600" t="str">
        <f t="shared" si="5"/>
        <v>BRL;BRL FOREX;8M</v>
      </c>
      <c r="B124" s="600" t="str">
        <f t="shared" si="9"/>
        <v>BRL</v>
      </c>
      <c r="C124" s="600" t="str">
        <f t="shared" si="9"/>
        <v>BRL FOREX</v>
      </c>
      <c r="D124" s="603"/>
      <c r="E124" s="604"/>
      <c r="F124" s="607" t="s">
        <v>30</v>
      </c>
      <c r="G124" s="606">
        <v>-7.7756488120021201</v>
      </c>
    </row>
    <row r="125" spans="1:7" ht="11.1" customHeight="1">
      <c r="A125" s="600" t="str">
        <f t="shared" si="5"/>
        <v>BRL;BRL FOREX;9M</v>
      </c>
      <c r="B125" s="600" t="str">
        <f t="shared" si="9"/>
        <v>BRL</v>
      </c>
      <c r="C125" s="600" t="str">
        <f t="shared" si="9"/>
        <v>BRL FOREX</v>
      </c>
      <c r="D125" s="603"/>
      <c r="E125" s="604"/>
      <c r="F125" s="607" t="s">
        <v>49</v>
      </c>
      <c r="G125" s="606">
        <v>-8.2382185201804194</v>
      </c>
    </row>
    <row r="126" spans="1:7" ht="11.1" customHeight="1">
      <c r="A126" s="600" t="str">
        <f t="shared" si="5"/>
        <v>BRL;BRL FOREX;10M</v>
      </c>
      <c r="B126" s="600" t="str">
        <f t="shared" si="9"/>
        <v>BRL</v>
      </c>
      <c r="C126" s="600" t="str">
        <f t="shared" si="9"/>
        <v>BRL FOREX</v>
      </c>
      <c r="D126" s="603"/>
      <c r="E126" s="604"/>
      <c r="F126" s="607" t="s">
        <v>50</v>
      </c>
      <c r="G126" s="608">
        <v>0</v>
      </c>
    </row>
    <row r="127" spans="1:7" ht="11.1" customHeight="1">
      <c r="A127" s="600" t="str">
        <f t="shared" si="5"/>
        <v>BRL;BRL FOREX;11M</v>
      </c>
      <c r="B127" s="600" t="str">
        <f t="shared" si="9"/>
        <v>BRL</v>
      </c>
      <c r="C127" s="600" t="str">
        <f t="shared" si="9"/>
        <v>BRL FOREX</v>
      </c>
      <c r="D127" s="603"/>
      <c r="E127" s="604"/>
      <c r="F127" s="607" t="s">
        <v>51</v>
      </c>
      <c r="G127" s="608">
        <v>0</v>
      </c>
    </row>
    <row r="128" spans="1:7" ht="11.1" customHeight="1">
      <c r="A128" s="600" t="str">
        <f t="shared" si="5"/>
        <v>BRL;BRL FOREX;12M</v>
      </c>
      <c r="B128" s="600" t="str">
        <f t="shared" si="9"/>
        <v>BRL</v>
      </c>
      <c r="C128" s="600" t="str">
        <f t="shared" si="9"/>
        <v>BRL FOREX</v>
      </c>
      <c r="D128" s="603"/>
      <c r="E128" s="604"/>
      <c r="F128" s="607" t="s">
        <v>52</v>
      </c>
      <c r="G128" s="608">
        <v>0</v>
      </c>
    </row>
    <row r="129" spans="1:7" ht="11.1" customHeight="1">
      <c r="A129" s="600" t="str">
        <f t="shared" si="5"/>
        <v>BRL;BRL FOREX;15M</v>
      </c>
      <c r="B129" s="600" t="str">
        <f t="shared" si="9"/>
        <v>BRL</v>
      </c>
      <c r="C129" s="600" t="str">
        <f t="shared" si="9"/>
        <v>BRL FOREX</v>
      </c>
      <c r="D129" s="603"/>
      <c r="E129" s="604"/>
      <c r="F129" s="607" t="s">
        <v>53</v>
      </c>
      <c r="G129" s="608">
        <v>0</v>
      </c>
    </row>
    <row r="130" spans="1:7" ht="11.1" customHeight="1">
      <c r="A130" s="600" t="str">
        <f t="shared" si="5"/>
        <v>BRL;BRL FOREX;18M</v>
      </c>
      <c r="B130" s="600" t="str">
        <f t="shared" si="9"/>
        <v>BRL</v>
      </c>
      <c r="C130" s="600" t="str">
        <f t="shared" si="9"/>
        <v>BRL FOREX</v>
      </c>
      <c r="D130" s="603"/>
      <c r="E130" s="604"/>
      <c r="F130" s="607" t="s">
        <v>54</v>
      </c>
      <c r="G130" s="606">
        <v>-225.81538137748899</v>
      </c>
    </row>
    <row r="131" spans="1:7" ht="11.1" customHeight="1">
      <c r="A131" s="600" t="str">
        <f t="shared" si="5"/>
        <v>BRL;BRL FOREX;24M</v>
      </c>
      <c r="B131" s="600" t="str">
        <f t="shared" si="9"/>
        <v>BRL</v>
      </c>
      <c r="C131" s="600" t="str">
        <f t="shared" si="9"/>
        <v>BRL FOREX</v>
      </c>
      <c r="D131" s="603"/>
      <c r="E131" s="604"/>
      <c r="F131" s="607" t="s">
        <v>659</v>
      </c>
      <c r="G131" s="606">
        <v>-152.1122086444</v>
      </c>
    </row>
    <row r="132" spans="1:7" ht="11.1" customHeight="1">
      <c r="A132" s="600" t="str">
        <f t="shared" si="5"/>
        <v>BRL;BRL FOREX;3Y</v>
      </c>
      <c r="B132" s="600" t="str">
        <f t="shared" si="9"/>
        <v>BRL</v>
      </c>
      <c r="C132" s="600" t="str">
        <f t="shared" si="9"/>
        <v>BRL FOREX</v>
      </c>
      <c r="D132" s="603"/>
      <c r="E132" s="604"/>
      <c r="F132" s="607" t="s">
        <v>10</v>
      </c>
      <c r="G132" s="608">
        <v>0</v>
      </c>
    </row>
    <row r="133" spans="1:7" ht="11.1" customHeight="1">
      <c r="A133" s="600" t="str">
        <f t="shared" ref="A133:A196" si="10">B133&amp;";"&amp;C133&amp;";"&amp;F133</f>
        <v>BRL;BRL FOREX;4Y</v>
      </c>
      <c r="B133" s="600" t="str">
        <f t="shared" ref="B133:C148" si="11">IF(ISBLANK(D133),B132,D133)</f>
        <v>BRL</v>
      </c>
      <c r="C133" s="600" t="str">
        <f t="shared" si="11"/>
        <v>BRL FOREX</v>
      </c>
      <c r="D133" s="603"/>
      <c r="E133" s="604"/>
      <c r="F133" s="607" t="s">
        <v>11</v>
      </c>
      <c r="G133" s="608">
        <v>0</v>
      </c>
    </row>
    <row r="134" spans="1:7" ht="11.1" customHeight="1">
      <c r="A134" s="600" t="str">
        <f t="shared" si="10"/>
        <v>BRL;BRL FOREX;5Y</v>
      </c>
      <c r="B134" s="600" t="str">
        <f t="shared" si="11"/>
        <v>BRL</v>
      </c>
      <c r="C134" s="600" t="str">
        <f t="shared" si="11"/>
        <v>BRL FOREX</v>
      </c>
      <c r="D134" s="603"/>
      <c r="E134" s="604"/>
      <c r="F134" s="607" t="s">
        <v>12</v>
      </c>
      <c r="G134" s="608">
        <v>0</v>
      </c>
    </row>
    <row r="135" spans="1:7" ht="11.1" customHeight="1">
      <c r="A135" s="600" t="str">
        <f t="shared" si="10"/>
        <v>BRL;BRL FOREX;6Y</v>
      </c>
      <c r="B135" s="600" t="str">
        <f t="shared" si="11"/>
        <v>BRL</v>
      </c>
      <c r="C135" s="600" t="str">
        <f t="shared" si="11"/>
        <v>BRL FOREX</v>
      </c>
      <c r="D135" s="603"/>
      <c r="E135" s="604"/>
      <c r="F135" s="607" t="s">
        <v>13</v>
      </c>
      <c r="G135" s="608">
        <v>0</v>
      </c>
    </row>
    <row r="136" spans="1:7" ht="11.1" customHeight="1">
      <c r="A136" s="600" t="str">
        <f t="shared" si="10"/>
        <v>BRL;BRL FOREX;7Y</v>
      </c>
      <c r="B136" s="600" t="str">
        <f t="shared" si="11"/>
        <v>BRL</v>
      </c>
      <c r="C136" s="600" t="str">
        <f t="shared" si="11"/>
        <v>BRL FOREX</v>
      </c>
      <c r="D136" s="603"/>
      <c r="E136" s="604"/>
      <c r="F136" s="607" t="s">
        <v>14</v>
      </c>
      <c r="G136" s="608">
        <v>0</v>
      </c>
    </row>
    <row r="137" spans="1:7" ht="11.1" customHeight="1">
      <c r="A137" s="600" t="str">
        <f t="shared" si="10"/>
        <v>BRL;BRL FOREX;8Y</v>
      </c>
      <c r="B137" s="600" t="str">
        <f t="shared" si="11"/>
        <v>BRL</v>
      </c>
      <c r="C137" s="600" t="str">
        <f t="shared" si="11"/>
        <v>BRL FOREX</v>
      </c>
      <c r="D137" s="603"/>
      <c r="E137" s="604"/>
      <c r="F137" s="607" t="s">
        <v>15</v>
      </c>
      <c r="G137" s="608">
        <v>0</v>
      </c>
    </row>
    <row r="138" spans="1:7" ht="11.1" customHeight="1">
      <c r="A138" s="600" t="str">
        <f t="shared" si="10"/>
        <v>BRL;BRL FOREX;9Y</v>
      </c>
      <c r="B138" s="600" t="str">
        <f t="shared" si="11"/>
        <v>BRL</v>
      </c>
      <c r="C138" s="600" t="str">
        <f t="shared" si="11"/>
        <v>BRL FOREX</v>
      </c>
      <c r="D138" s="603"/>
      <c r="E138" s="604"/>
      <c r="F138" s="607" t="s">
        <v>16</v>
      </c>
      <c r="G138" s="608">
        <v>0</v>
      </c>
    </row>
    <row r="139" spans="1:7" ht="11.1" customHeight="1">
      <c r="A139" s="600" t="str">
        <f t="shared" si="10"/>
        <v>BRL;BRL FOREX;10Y</v>
      </c>
      <c r="B139" s="600" t="str">
        <f t="shared" si="11"/>
        <v>BRL</v>
      </c>
      <c r="C139" s="600" t="str">
        <f t="shared" si="11"/>
        <v>BRL FOREX</v>
      </c>
      <c r="D139" s="603"/>
      <c r="E139" s="604"/>
      <c r="F139" s="607" t="s">
        <v>17</v>
      </c>
      <c r="G139" s="608">
        <v>0</v>
      </c>
    </row>
    <row r="140" spans="1:7" ht="11.1" customHeight="1">
      <c r="A140" s="600" t="str">
        <f t="shared" si="10"/>
        <v>BRL;BRL OIS ND;Total BRL OIS ND</v>
      </c>
      <c r="B140" s="600" t="str">
        <f t="shared" si="11"/>
        <v>BRL</v>
      </c>
      <c r="C140" s="600" t="str">
        <f t="shared" si="11"/>
        <v>BRL OIS ND</v>
      </c>
      <c r="D140" s="603"/>
      <c r="E140" s="604" t="s">
        <v>5086</v>
      </c>
      <c r="F140" s="605" t="s">
        <v>5087</v>
      </c>
      <c r="G140" s="611">
        <v>74.026521042652703</v>
      </c>
    </row>
    <row r="141" spans="1:7" ht="11.1" customHeight="1">
      <c r="A141" s="600" t="str">
        <f t="shared" si="10"/>
        <v>BRL;BRL OIS ND;O/N</v>
      </c>
      <c r="B141" s="600" t="str">
        <f t="shared" si="11"/>
        <v>BRL</v>
      </c>
      <c r="C141" s="600" t="str">
        <f t="shared" si="11"/>
        <v>BRL OIS ND</v>
      </c>
      <c r="D141" s="603"/>
      <c r="E141" s="604"/>
      <c r="F141" s="607" t="s">
        <v>3</v>
      </c>
      <c r="G141" s="606">
        <v>-5.1894001079113297</v>
      </c>
    </row>
    <row r="142" spans="1:7" ht="11.1" customHeight="1">
      <c r="A142" s="600" t="str">
        <f t="shared" si="10"/>
        <v>BRL;BRL OIS ND;02/01/17</v>
      </c>
      <c r="B142" s="600" t="str">
        <f t="shared" si="11"/>
        <v>BRL</v>
      </c>
      <c r="C142" s="600" t="str">
        <f t="shared" si="11"/>
        <v>BRL OIS ND</v>
      </c>
      <c r="D142" s="603"/>
      <c r="E142" s="604"/>
      <c r="F142" s="607" t="s">
        <v>5088</v>
      </c>
      <c r="G142" s="611">
        <v>50.005502802238098</v>
      </c>
    </row>
    <row r="143" spans="1:7" ht="11.1" customHeight="1">
      <c r="A143" s="600" t="str">
        <f t="shared" si="10"/>
        <v>BRL;BRL OIS ND;02/01/18</v>
      </c>
      <c r="B143" s="600" t="str">
        <f t="shared" si="11"/>
        <v>BRL</v>
      </c>
      <c r="C143" s="600" t="str">
        <f t="shared" si="11"/>
        <v>BRL OIS ND</v>
      </c>
      <c r="D143" s="603"/>
      <c r="E143" s="604"/>
      <c r="F143" s="607" t="s">
        <v>5089</v>
      </c>
      <c r="G143" s="611">
        <v>28.652244819269601</v>
      </c>
    </row>
    <row r="144" spans="1:7" ht="11.1" customHeight="1">
      <c r="A144" s="600" t="str">
        <f t="shared" si="10"/>
        <v>BRL;BRL OIS ND;02/01/19</v>
      </c>
      <c r="B144" s="600" t="str">
        <f t="shared" si="11"/>
        <v>BRL</v>
      </c>
      <c r="C144" s="600" t="str">
        <f t="shared" si="11"/>
        <v>BRL OIS ND</v>
      </c>
      <c r="D144" s="603"/>
      <c r="E144" s="604"/>
      <c r="F144" s="607" t="s">
        <v>5090</v>
      </c>
      <c r="G144" s="611">
        <v>18.861113471773098</v>
      </c>
    </row>
    <row r="145" spans="1:7" ht="11.1" customHeight="1">
      <c r="A145" s="600" t="str">
        <f t="shared" si="10"/>
        <v>BRL;BRL OIS ND;04/01/21</v>
      </c>
      <c r="B145" s="600" t="str">
        <f t="shared" si="11"/>
        <v>BRL</v>
      </c>
      <c r="C145" s="600" t="str">
        <f t="shared" si="11"/>
        <v>BRL OIS ND</v>
      </c>
      <c r="D145" s="603"/>
      <c r="E145" s="604"/>
      <c r="F145" s="607" t="s">
        <v>5091</v>
      </c>
      <c r="G145" s="606">
        <v>-18.302939942718002</v>
      </c>
    </row>
    <row r="146" spans="1:7" ht="11.1" customHeight="1">
      <c r="A146" s="600" t="str">
        <f t="shared" si="10"/>
        <v>CAD;Total CAD;</v>
      </c>
      <c r="B146" s="600" t="str">
        <f t="shared" si="11"/>
        <v>CAD</v>
      </c>
      <c r="C146" s="600" t="str">
        <f t="shared" si="11"/>
        <v>Total CAD</v>
      </c>
      <c r="D146" s="603" t="s">
        <v>1184</v>
      </c>
      <c r="E146" s="609" t="s">
        <v>1185</v>
      </c>
      <c r="F146" s="609"/>
      <c r="G146" s="612">
        <v>-2152.2984372985502</v>
      </c>
    </row>
    <row r="147" spans="1:7" ht="11.1" customHeight="1">
      <c r="A147" s="600" t="str">
        <f t="shared" si="10"/>
        <v>CAD;CAD 3M;Total CAD 3M</v>
      </c>
      <c r="B147" s="600" t="str">
        <f t="shared" si="11"/>
        <v>CAD</v>
      </c>
      <c r="C147" s="600" t="str">
        <f t="shared" si="11"/>
        <v>CAD 3M</v>
      </c>
      <c r="D147" s="603"/>
      <c r="E147" s="604" t="s">
        <v>3867</v>
      </c>
      <c r="F147" s="605" t="s">
        <v>3868</v>
      </c>
      <c r="G147" s="606">
        <v>-2149.99677484832</v>
      </c>
    </row>
    <row r="148" spans="1:7" ht="11.1" customHeight="1">
      <c r="A148" s="600" t="str">
        <f t="shared" si="10"/>
        <v>CAD;CAD 3M;O/N</v>
      </c>
      <c r="B148" s="600" t="str">
        <f t="shared" si="11"/>
        <v>CAD</v>
      </c>
      <c r="C148" s="600" t="str">
        <f t="shared" si="11"/>
        <v>CAD 3M</v>
      </c>
      <c r="D148" s="603"/>
      <c r="E148" s="604"/>
      <c r="F148" s="607" t="s">
        <v>3</v>
      </c>
      <c r="G148" s="611">
        <v>5.6922495012602203</v>
      </c>
    </row>
    <row r="149" spans="1:7" ht="11.1" customHeight="1">
      <c r="A149" s="600" t="str">
        <f t="shared" si="10"/>
        <v>CAD;CAD 3M;T/N</v>
      </c>
      <c r="B149" s="600" t="str">
        <f t="shared" ref="B149:C164" si="12">IF(ISBLANK(D149),B148,D149)</f>
        <v>CAD</v>
      </c>
      <c r="C149" s="600" t="str">
        <f t="shared" si="12"/>
        <v>CAD 3M</v>
      </c>
      <c r="D149" s="603"/>
      <c r="E149" s="604"/>
      <c r="F149" s="607" t="s">
        <v>4</v>
      </c>
      <c r="G149" s="611">
        <v>1.3401147622806899</v>
      </c>
    </row>
    <row r="150" spans="1:7" ht="11.1" customHeight="1">
      <c r="A150" s="600" t="str">
        <f t="shared" si="10"/>
        <v>CAD;CAD 3M;1W</v>
      </c>
      <c r="B150" s="600" t="str">
        <f t="shared" si="12"/>
        <v>CAD</v>
      </c>
      <c r="C150" s="600" t="str">
        <f t="shared" si="12"/>
        <v>CAD 3M</v>
      </c>
      <c r="D150" s="603"/>
      <c r="E150" s="604"/>
      <c r="F150" s="607" t="s">
        <v>5</v>
      </c>
      <c r="G150" s="611">
        <v>0.91783973657333395</v>
      </c>
    </row>
    <row r="151" spans="1:7" ht="11.1" customHeight="1">
      <c r="A151" s="600" t="str">
        <f t="shared" si="10"/>
        <v>CAD;CAD 3M;2W</v>
      </c>
      <c r="B151" s="600" t="str">
        <f t="shared" si="12"/>
        <v>CAD</v>
      </c>
      <c r="C151" s="600" t="str">
        <f t="shared" si="12"/>
        <v>CAD 3M</v>
      </c>
      <c r="D151" s="603"/>
      <c r="E151" s="604"/>
      <c r="F151" s="607" t="s">
        <v>6</v>
      </c>
      <c r="G151" s="611">
        <v>2.8239880254362499</v>
      </c>
    </row>
    <row r="152" spans="1:7" ht="11.1" customHeight="1">
      <c r="A152" s="600" t="str">
        <f t="shared" si="10"/>
        <v>CAD;CAD 3M;3W</v>
      </c>
      <c r="B152" s="600" t="str">
        <f t="shared" si="12"/>
        <v>CAD</v>
      </c>
      <c r="C152" s="600" t="str">
        <f t="shared" si="12"/>
        <v>CAD 3M</v>
      </c>
      <c r="D152" s="603"/>
      <c r="E152" s="604"/>
      <c r="F152" s="607" t="s">
        <v>24</v>
      </c>
      <c r="G152" s="611">
        <v>7.9268532988980702</v>
      </c>
    </row>
    <row r="153" spans="1:7" ht="11.1" customHeight="1">
      <c r="A153" s="600" t="str">
        <f t="shared" si="10"/>
        <v>CAD;CAD 3M;DEC 16</v>
      </c>
      <c r="B153" s="600" t="str">
        <f t="shared" si="12"/>
        <v>CAD</v>
      </c>
      <c r="C153" s="600" t="str">
        <f t="shared" si="12"/>
        <v>CAD 3M</v>
      </c>
      <c r="D153" s="603"/>
      <c r="E153" s="604"/>
      <c r="F153" s="607" t="s">
        <v>1060</v>
      </c>
      <c r="G153" s="611">
        <v>0.505126728195746</v>
      </c>
    </row>
    <row r="154" spans="1:7" ht="11.1" customHeight="1">
      <c r="A154" s="600" t="str">
        <f t="shared" si="10"/>
        <v>CAD;CAD 3M;MAR 17</v>
      </c>
      <c r="B154" s="600" t="str">
        <f t="shared" si="12"/>
        <v>CAD</v>
      </c>
      <c r="C154" s="600" t="str">
        <f t="shared" si="12"/>
        <v>CAD 3M</v>
      </c>
      <c r="D154" s="603"/>
      <c r="E154" s="604"/>
      <c r="F154" s="607" t="s">
        <v>1063</v>
      </c>
      <c r="G154" s="611">
        <v>5.13980038158022</v>
      </c>
    </row>
    <row r="155" spans="1:7" ht="11.1" customHeight="1">
      <c r="A155" s="600" t="str">
        <f t="shared" si="10"/>
        <v>CAD;CAD 3M;JUN 17</v>
      </c>
      <c r="B155" s="600" t="str">
        <f t="shared" si="12"/>
        <v>CAD</v>
      </c>
      <c r="C155" s="600" t="str">
        <f t="shared" si="12"/>
        <v>CAD 3M</v>
      </c>
      <c r="D155" s="603"/>
      <c r="E155" s="604"/>
      <c r="F155" s="607" t="s">
        <v>1066</v>
      </c>
      <c r="G155" s="611">
        <v>3.9737093112456399</v>
      </c>
    </row>
    <row r="156" spans="1:7" ht="11.1" customHeight="1">
      <c r="A156" s="600" t="str">
        <f t="shared" si="10"/>
        <v>CAD;CAD 3M;SEP 17</v>
      </c>
      <c r="B156" s="600" t="str">
        <f t="shared" si="12"/>
        <v>CAD</v>
      </c>
      <c r="C156" s="600" t="str">
        <f t="shared" si="12"/>
        <v>CAD 3M</v>
      </c>
      <c r="D156" s="603"/>
      <c r="E156" s="604"/>
      <c r="F156" s="607" t="s">
        <v>1069</v>
      </c>
      <c r="G156" s="611">
        <v>4.6882661300169302</v>
      </c>
    </row>
    <row r="157" spans="1:7" ht="11.1" customHeight="1">
      <c r="A157" s="600" t="str">
        <f t="shared" si="10"/>
        <v>CAD;CAD 3M;DEC 17</v>
      </c>
      <c r="B157" s="600" t="str">
        <f t="shared" si="12"/>
        <v>CAD</v>
      </c>
      <c r="C157" s="600" t="str">
        <f t="shared" si="12"/>
        <v>CAD 3M</v>
      </c>
      <c r="D157" s="603"/>
      <c r="E157" s="604"/>
      <c r="F157" s="607" t="s">
        <v>3865</v>
      </c>
      <c r="G157" s="606">
        <v>-4.0329489631317896</v>
      </c>
    </row>
    <row r="158" spans="1:7" ht="11.1" customHeight="1">
      <c r="A158" s="600" t="str">
        <f t="shared" si="10"/>
        <v>CAD;CAD 3M;MAR 18</v>
      </c>
      <c r="B158" s="600" t="str">
        <f t="shared" si="12"/>
        <v>CAD</v>
      </c>
      <c r="C158" s="600" t="str">
        <f t="shared" si="12"/>
        <v>CAD 3M</v>
      </c>
      <c r="D158" s="603"/>
      <c r="E158" s="604"/>
      <c r="F158" s="607" t="s">
        <v>3866</v>
      </c>
      <c r="G158" s="611">
        <v>2.90197307308495</v>
      </c>
    </row>
    <row r="159" spans="1:7" ht="11.1" customHeight="1">
      <c r="A159" s="600" t="str">
        <f t="shared" si="10"/>
        <v>CAD;CAD 3M;2Y</v>
      </c>
      <c r="B159" s="600" t="str">
        <f t="shared" si="12"/>
        <v>CAD</v>
      </c>
      <c r="C159" s="600" t="str">
        <f t="shared" si="12"/>
        <v>CAD 3M</v>
      </c>
      <c r="D159" s="603"/>
      <c r="E159" s="604"/>
      <c r="F159" s="607" t="s">
        <v>9</v>
      </c>
      <c r="G159" s="611">
        <v>20.3106604717292</v>
      </c>
    </row>
    <row r="160" spans="1:7" ht="11.1" customHeight="1">
      <c r="A160" s="600" t="str">
        <f t="shared" si="10"/>
        <v>CAD;CAD 3M;3Y</v>
      </c>
      <c r="B160" s="600" t="str">
        <f t="shared" si="12"/>
        <v>CAD</v>
      </c>
      <c r="C160" s="600" t="str">
        <f t="shared" si="12"/>
        <v>CAD 3M</v>
      </c>
      <c r="D160" s="603"/>
      <c r="E160" s="604"/>
      <c r="F160" s="607" t="s">
        <v>10</v>
      </c>
      <c r="G160" s="606">
        <v>-1204.4452856707501</v>
      </c>
    </row>
    <row r="161" spans="1:7" ht="11.1" customHeight="1">
      <c r="A161" s="600" t="str">
        <f t="shared" si="10"/>
        <v>CAD;CAD 3M;4Y</v>
      </c>
      <c r="B161" s="600" t="str">
        <f t="shared" si="12"/>
        <v>CAD</v>
      </c>
      <c r="C161" s="600" t="str">
        <f t="shared" si="12"/>
        <v>CAD 3M</v>
      </c>
      <c r="D161" s="603"/>
      <c r="E161" s="604"/>
      <c r="F161" s="607" t="s">
        <v>11</v>
      </c>
      <c r="G161" s="606">
        <v>-1070.2782502687101</v>
      </c>
    </row>
    <row r="162" spans="1:7" ht="11.1" customHeight="1">
      <c r="A162" s="600" t="str">
        <f t="shared" si="10"/>
        <v>CAD;CAD 3M;5Y</v>
      </c>
      <c r="B162" s="600" t="str">
        <f t="shared" si="12"/>
        <v>CAD</v>
      </c>
      <c r="C162" s="600" t="str">
        <f t="shared" si="12"/>
        <v>CAD 3M</v>
      </c>
      <c r="D162" s="603"/>
      <c r="E162" s="604"/>
      <c r="F162" s="607" t="s">
        <v>12</v>
      </c>
      <c r="G162" s="606">
        <v>-31.915460468185401</v>
      </c>
    </row>
    <row r="163" spans="1:7" ht="11.1" customHeight="1">
      <c r="A163" s="600" t="str">
        <f t="shared" si="10"/>
        <v>CAD;CAD 3M;6Y</v>
      </c>
      <c r="B163" s="600" t="str">
        <f t="shared" si="12"/>
        <v>CAD</v>
      </c>
      <c r="C163" s="600" t="str">
        <f t="shared" si="12"/>
        <v>CAD 3M</v>
      </c>
      <c r="D163" s="603"/>
      <c r="E163" s="604"/>
      <c r="F163" s="607" t="s">
        <v>13</v>
      </c>
      <c r="G163" s="611">
        <v>104.482199557767</v>
      </c>
    </row>
    <row r="164" spans="1:7" ht="11.1" customHeight="1">
      <c r="A164" s="600" t="str">
        <f t="shared" si="10"/>
        <v>CAD;CAD 3M;7Y</v>
      </c>
      <c r="B164" s="600" t="str">
        <f t="shared" si="12"/>
        <v>CAD</v>
      </c>
      <c r="C164" s="600" t="str">
        <f t="shared" si="12"/>
        <v>CAD 3M</v>
      </c>
      <c r="D164" s="603"/>
      <c r="E164" s="604"/>
      <c r="F164" s="607" t="s">
        <v>14</v>
      </c>
      <c r="G164" s="606">
        <v>-2.7604834282973299E-2</v>
      </c>
    </row>
    <row r="165" spans="1:7" ht="11.1" customHeight="1">
      <c r="A165" s="600" t="str">
        <f t="shared" si="10"/>
        <v>CAD;CAD 3M;8Y</v>
      </c>
      <c r="B165" s="600" t="str">
        <f t="shared" ref="B165:C180" si="13">IF(ISBLANK(D165),B164,D165)</f>
        <v>CAD</v>
      </c>
      <c r="C165" s="600" t="str">
        <f t="shared" si="13"/>
        <v>CAD 3M</v>
      </c>
      <c r="D165" s="603"/>
      <c r="E165" s="604"/>
      <c r="F165" s="607" t="s">
        <v>15</v>
      </c>
      <c r="G165" s="606">
        <v>-5.6227777090102704E-6</v>
      </c>
    </row>
    <row r="166" spans="1:7" ht="11.1" customHeight="1">
      <c r="A166" s="600" t="str">
        <f t="shared" si="10"/>
        <v>CAD;CAD 3M;9Y</v>
      </c>
      <c r="B166" s="600" t="str">
        <f t="shared" si="13"/>
        <v>CAD</v>
      </c>
      <c r="C166" s="600" t="str">
        <f t="shared" si="13"/>
        <v>CAD 3M</v>
      </c>
      <c r="D166" s="603"/>
      <c r="E166" s="604"/>
      <c r="F166" s="607" t="s">
        <v>16</v>
      </c>
      <c r="G166" s="611">
        <v>1.4849318410580301E-9</v>
      </c>
    </row>
    <row r="167" spans="1:7" ht="11.1" customHeight="1">
      <c r="A167" s="600" t="str">
        <f t="shared" si="10"/>
        <v>CAD;CAD 3M;10Y</v>
      </c>
      <c r="B167" s="600" t="str">
        <f t="shared" si="13"/>
        <v>CAD</v>
      </c>
      <c r="C167" s="600" t="str">
        <f t="shared" si="13"/>
        <v>CAD 3M</v>
      </c>
      <c r="D167" s="603"/>
      <c r="E167" s="604"/>
      <c r="F167" s="607" t="s">
        <v>17</v>
      </c>
      <c r="G167" s="606">
        <v>-2.2250984538326299E-11</v>
      </c>
    </row>
    <row r="168" spans="1:7" ht="11.1" customHeight="1">
      <c r="A168" s="600" t="str">
        <f t="shared" si="10"/>
        <v>CAD;CAD 3M;12Y</v>
      </c>
      <c r="B168" s="600" t="str">
        <f t="shared" si="13"/>
        <v>CAD</v>
      </c>
      <c r="C168" s="600" t="str">
        <f t="shared" si="13"/>
        <v>CAD 3M</v>
      </c>
      <c r="D168" s="603"/>
      <c r="E168" s="604"/>
      <c r="F168" s="607" t="s">
        <v>18</v>
      </c>
      <c r="G168" s="608">
        <v>0</v>
      </c>
    </row>
    <row r="169" spans="1:7" ht="11.1" customHeight="1">
      <c r="A169" s="600" t="str">
        <f t="shared" si="10"/>
        <v>CAD;CAD 3M;15Y</v>
      </c>
      <c r="B169" s="600" t="str">
        <f t="shared" si="13"/>
        <v>CAD</v>
      </c>
      <c r="C169" s="600" t="str">
        <f t="shared" si="13"/>
        <v>CAD 3M</v>
      </c>
      <c r="D169" s="603"/>
      <c r="E169" s="604"/>
      <c r="F169" s="607" t="s">
        <v>19</v>
      </c>
      <c r="G169" s="608">
        <v>0</v>
      </c>
    </row>
    <row r="170" spans="1:7" ht="11.1" customHeight="1">
      <c r="A170" s="600" t="str">
        <f t="shared" si="10"/>
        <v>CAD;CAD 3M;20Y</v>
      </c>
      <c r="B170" s="600" t="str">
        <f t="shared" si="13"/>
        <v>CAD</v>
      </c>
      <c r="C170" s="600" t="str">
        <f t="shared" si="13"/>
        <v>CAD 3M</v>
      </c>
      <c r="D170" s="603"/>
      <c r="E170" s="604"/>
      <c r="F170" s="607" t="s">
        <v>20</v>
      </c>
      <c r="G170" s="608">
        <v>0</v>
      </c>
    </row>
    <row r="171" spans="1:7" ht="11.1" customHeight="1">
      <c r="A171" s="600" t="str">
        <f t="shared" si="10"/>
        <v>CAD;CAD 3M;25Y</v>
      </c>
      <c r="B171" s="600" t="str">
        <f t="shared" si="13"/>
        <v>CAD</v>
      </c>
      <c r="C171" s="600" t="str">
        <f t="shared" si="13"/>
        <v>CAD 3M</v>
      </c>
      <c r="D171" s="603"/>
      <c r="E171" s="604"/>
      <c r="F171" s="607" t="s">
        <v>21</v>
      </c>
      <c r="G171" s="608">
        <v>0</v>
      </c>
    </row>
    <row r="172" spans="1:7" ht="11.1" customHeight="1">
      <c r="A172" s="600" t="str">
        <f t="shared" si="10"/>
        <v>CAD;CAD 3M;30Y</v>
      </c>
      <c r="B172" s="600" t="str">
        <f t="shared" si="13"/>
        <v>CAD</v>
      </c>
      <c r="C172" s="600" t="str">
        <f t="shared" si="13"/>
        <v>CAD 3M</v>
      </c>
      <c r="D172" s="603"/>
      <c r="E172" s="604"/>
      <c r="F172" s="607" t="s">
        <v>22</v>
      </c>
      <c r="G172" s="608">
        <v>0</v>
      </c>
    </row>
    <row r="173" spans="1:7" ht="11.1" customHeight="1">
      <c r="A173" s="600" t="str">
        <f t="shared" si="10"/>
        <v>CAD;CAD 3M;40Y</v>
      </c>
      <c r="B173" s="600" t="str">
        <f t="shared" si="13"/>
        <v>CAD</v>
      </c>
      <c r="C173" s="600" t="str">
        <f t="shared" si="13"/>
        <v>CAD 3M</v>
      </c>
      <c r="D173" s="603"/>
      <c r="E173" s="604"/>
      <c r="F173" s="607" t="s">
        <v>46</v>
      </c>
      <c r="G173" s="608">
        <v>0</v>
      </c>
    </row>
    <row r="174" spans="1:7" ht="11.1" customHeight="1">
      <c r="A174" s="600" t="str">
        <f t="shared" si="10"/>
        <v>CAD;CAD FOREX;Total CAD FOREX</v>
      </c>
      <c r="B174" s="600" t="str">
        <f t="shared" si="13"/>
        <v>CAD</v>
      </c>
      <c r="C174" s="600" t="str">
        <f t="shared" si="13"/>
        <v>CAD FOREX</v>
      </c>
      <c r="D174" s="603"/>
      <c r="E174" s="604" t="s">
        <v>1186</v>
      </c>
      <c r="F174" s="605" t="s">
        <v>1187</v>
      </c>
      <c r="G174" s="606">
        <v>-0.64069934549020202</v>
      </c>
    </row>
    <row r="175" spans="1:7" ht="11.1" customHeight="1">
      <c r="A175" s="600" t="str">
        <f t="shared" si="10"/>
        <v>CAD;CAD FOREX;O/N</v>
      </c>
      <c r="B175" s="600" t="str">
        <f t="shared" si="13"/>
        <v>CAD</v>
      </c>
      <c r="C175" s="600" t="str">
        <f t="shared" si="13"/>
        <v>CAD FOREX</v>
      </c>
      <c r="D175" s="603"/>
      <c r="E175" s="604"/>
      <c r="F175" s="607" t="s">
        <v>3</v>
      </c>
      <c r="G175" s="606">
        <v>-0.34815987059500603</v>
      </c>
    </row>
    <row r="176" spans="1:7" ht="11.1" customHeight="1">
      <c r="A176" s="600" t="str">
        <f t="shared" si="10"/>
        <v>CAD;CAD FOREX;T/N</v>
      </c>
      <c r="B176" s="600" t="str">
        <f t="shared" si="13"/>
        <v>CAD</v>
      </c>
      <c r="C176" s="600" t="str">
        <f t="shared" si="13"/>
        <v>CAD FOREX</v>
      </c>
      <c r="D176" s="603"/>
      <c r="E176" s="604"/>
      <c r="F176" s="607" t="s">
        <v>4</v>
      </c>
      <c r="G176" s="606">
        <v>-0.29253947489519899</v>
      </c>
    </row>
    <row r="177" spans="1:7" ht="11.1" customHeight="1">
      <c r="A177" s="600" t="str">
        <f t="shared" si="10"/>
        <v>CAD;CAD FOREX;1W</v>
      </c>
      <c r="B177" s="600" t="str">
        <f t="shared" si="13"/>
        <v>CAD</v>
      </c>
      <c r="C177" s="600" t="str">
        <f t="shared" si="13"/>
        <v>CAD FOREX</v>
      </c>
      <c r="D177" s="603"/>
      <c r="E177" s="604"/>
      <c r="F177" s="607" t="s">
        <v>5</v>
      </c>
      <c r="G177" s="608">
        <v>0</v>
      </c>
    </row>
    <row r="178" spans="1:7" ht="11.1" customHeight="1">
      <c r="A178" s="600" t="str">
        <f t="shared" si="10"/>
        <v>CAD;CAD FOREX;2W</v>
      </c>
      <c r="B178" s="600" t="str">
        <f t="shared" si="13"/>
        <v>CAD</v>
      </c>
      <c r="C178" s="600" t="str">
        <f t="shared" si="13"/>
        <v>CAD FOREX</v>
      </c>
      <c r="D178" s="603"/>
      <c r="E178" s="604"/>
      <c r="F178" s="607" t="s">
        <v>6</v>
      </c>
      <c r="G178" s="608">
        <v>0</v>
      </c>
    </row>
    <row r="179" spans="1:7" ht="11.1" customHeight="1">
      <c r="A179" s="600" t="str">
        <f t="shared" si="10"/>
        <v>CAD;CAD FOREX;3W</v>
      </c>
      <c r="B179" s="600" t="str">
        <f t="shared" si="13"/>
        <v>CAD</v>
      </c>
      <c r="C179" s="600" t="str">
        <f t="shared" si="13"/>
        <v>CAD FOREX</v>
      </c>
      <c r="D179" s="603"/>
      <c r="E179" s="604"/>
      <c r="F179" s="607" t="s">
        <v>24</v>
      </c>
      <c r="G179" s="608">
        <v>0</v>
      </c>
    </row>
    <row r="180" spans="1:7" ht="11.1" customHeight="1">
      <c r="A180" s="600" t="str">
        <f t="shared" si="10"/>
        <v>CAD;CAD FOREX;1M</v>
      </c>
      <c r="B180" s="600" t="str">
        <f t="shared" si="13"/>
        <v>CAD</v>
      </c>
      <c r="C180" s="600" t="str">
        <f t="shared" si="13"/>
        <v>CAD FOREX</v>
      </c>
      <c r="D180" s="603"/>
      <c r="E180" s="604"/>
      <c r="F180" s="607" t="s">
        <v>7</v>
      </c>
      <c r="G180" s="608">
        <v>0</v>
      </c>
    </row>
    <row r="181" spans="1:7" ht="11.1" customHeight="1">
      <c r="A181" s="600" t="str">
        <f t="shared" si="10"/>
        <v>CAD;CAD FOREX;2M</v>
      </c>
      <c r="B181" s="600" t="str">
        <f t="shared" ref="B181:C196" si="14">IF(ISBLANK(D181),B180,D181)</f>
        <v>CAD</v>
      </c>
      <c r="C181" s="600" t="str">
        <f t="shared" si="14"/>
        <v>CAD FOREX</v>
      </c>
      <c r="D181" s="603"/>
      <c r="E181" s="604"/>
      <c r="F181" s="607" t="s">
        <v>8</v>
      </c>
      <c r="G181" s="608">
        <v>0</v>
      </c>
    </row>
    <row r="182" spans="1:7" ht="11.1" customHeight="1">
      <c r="A182" s="600" t="str">
        <f t="shared" si="10"/>
        <v>CAD;CAD FOREX;3M</v>
      </c>
      <c r="B182" s="600" t="str">
        <f t="shared" si="14"/>
        <v>CAD</v>
      </c>
      <c r="C182" s="600" t="str">
        <f t="shared" si="14"/>
        <v>CAD FOREX</v>
      </c>
      <c r="D182" s="603"/>
      <c r="E182" s="604"/>
      <c r="F182" s="607" t="s">
        <v>25</v>
      </c>
      <c r="G182" s="608">
        <v>0</v>
      </c>
    </row>
    <row r="183" spans="1:7" ht="11.1" customHeight="1">
      <c r="A183" s="600" t="str">
        <f t="shared" si="10"/>
        <v>CAD;CAD FOREX;4M</v>
      </c>
      <c r="B183" s="600" t="str">
        <f t="shared" si="14"/>
        <v>CAD</v>
      </c>
      <c r="C183" s="600" t="str">
        <f t="shared" si="14"/>
        <v>CAD FOREX</v>
      </c>
      <c r="D183" s="603"/>
      <c r="E183" s="604"/>
      <c r="F183" s="607" t="s">
        <v>26</v>
      </c>
      <c r="G183" s="608">
        <v>0</v>
      </c>
    </row>
    <row r="184" spans="1:7" ht="11.1" customHeight="1">
      <c r="A184" s="600" t="str">
        <f t="shared" si="10"/>
        <v>CAD;CAD FOREX;5M</v>
      </c>
      <c r="B184" s="600" t="str">
        <f t="shared" si="14"/>
        <v>CAD</v>
      </c>
      <c r="C184" s="600" t="str">
        <f t="shared" si="14"/>
        <v>CAD FOREX</v>
      </c>
      <c r="D184" s="603"/>
      <c r="E184" s="604"/>
      <c r="F184" s="607" t="s">
        <v>27</v>
      </c>
      <c r="G184" s="608">
        <v>0</v>
      </c>
    </row>
    <row r="185" spans="1:7" ht="11.1" customHeight="1">
      <c r="A185" s="600" t="str">
        <f t="shared" si="10"/>
        <v>CAD;CAD FOREX;6M</v>
      </c>
      <c r="B185" s="600" t="str">
        <f t="shared" si="14"/>
        <v>CAD</v>
      </c>
      <c r="C185" s="600" t="str">
        <f t="shared" si="14"/>
        <v>CAD FOREX</v>
      </c>
      <c r="D185" s="603"/>
      <c r="E185" s="604"/>
      <c r="F185" s="607" t="s">
        <v>28</v>
      </c>
      <c r="G185" s="608">
        <v>0</v>
      </c>
    </row>
    <row r="186" spans="1:7" ht="11.1" customHeight="1">
      <c r="A186" s="600" t="str">
        <f t="shared" si="10"/>
        <v>CAD;CAD FOREX;7M</v>
      </c>
      <c r="B186" s="600" t="str">
        <f t="shared" si="14"/>
        <v>CAD</v>
      </c>
      <c r="C186" s="600" t="str">
        <f t="shared" si="14"/>
        <v>CAD FOREX</v>
      </c>
      <c r="D186" s="603"/>
      <c r="E186" s="604"/>
      <c r="F186" s="607" t="s">
        <v>29</v>
      </c>
      <c r="G186" s="608">
        <v>0</v>
      </c>
    </row>
    <row r="187" spans="1:7" ht="11.1" customHeight="1">
      <c r="A187" s="600" t="str">
        <f t="shared" si="10"/>
        <v>CAD;CAD FOREX;8M</v>
      </c>
      <c r="B187" s="600" t="str">
        <f t="shared" si="14"/>
        <v>CAD</v>
      </c>
      <c r="C187" s="600" t="str">
        <f t="shared" si="14"/>
        <v>CAD FOREX</v>
      </c>
      <c r="D187" s="603"/>
      <c r="E187" s="604"/>
      <c r="F187" s="607" t="s">
        <v>30</v>
      </c>
      <c r="G187" s="608">
        <v>0</v>
      </c>
    </row>
    <row r="188" spans="1:7" ht="11.1" customHeight="1">
      <c r="A188" s="600" t="str">
        <f t="shared" si="10"/>
        <v>CAD;CAD FOREX;9M</v>
      </c>
      <c r="B188" s="600" t="str">
        <f t="shared" si="14"/>
        <v>CAD</v>
      </c>
      <c r="C188" s="600" t="str">
        <f t="shared" si="14"/>
        <v>CAD FOREX</v>
      </c>
      <c r="D188" s="603"/>
      <c r="E188" s="604"/>
      <c r="F188" s="607" t="s">
        <v>49</v>
      </c>
      <c r="G188" s="608">
        <v>0</v>
      </c>
    </row>
    <row r="189" spans="1:7" ht="11.1" customHeight="1">
      <c r="A189" s="600" t="str">
        <f t="shared" si="10"/>
        <v>CAD;CAD FOREX;10M</v>
      </c>
      <c r="B189" s="600" t="str">
        <f t="shared" si="14"/>
        <v>CAD</v>
      </c>
      <c r="C189" s="600" t="str">
        <f t="shared" si="14"/>
        <v>CAD FOREX</v>
      </c>
      <c r="D189" s="603"/>
      <c r="E189" s="604"/>
      <c r="F189" s="607" t="s">
        <v>50</v>
      </c>
      <c r="G189" s="608">
        <v>0</v>
      </c>
    </row>
    <row r="190" spans="1:7" ht="11.1" customHeight="1">
      <c r="A190" s="600" t="str">
        <f t="shared" si="10"/>
        <v>CAD;CAD FOREX;11M</v>
      </c>
      <c r="B190" s="600" t="str">
        <f t="shared" si="14"/>
        <v>CAD</v>
      </c>
      <c r="C190" s="600" t="str">
        <f t="shared" si="14"/>
        <v>CAD FOREX</v>
      </c>
      <c r="D190" s="603"/>
      <c r="E190" s="604"/>
      <c r="F190" s="607" t="s">
        <v>51</v>
      </c>
      <c r="G190" s="608">
        <v>0</v>
      </c>
    </row>
    <row r="191" spans="1:7" ht="11.1" customHeight="1">
      <c r="A191" s="600" t="str">
        <f t="shared" si="10"/>
        <v>CAD;CAD FOREX;12M</v>
      </c>
      <c r="B191" s="600" t="str">
        <f t="shared" si="14"/>
        <v>CAD</v>
      </c>
      <c r="C191" s="600" t="str">
        <f t="shared" si="14"/>
        <v>CAD FOREX</v>
      </c>
      <c r="D191" s="603"/>
      <c r="E191" s="604"/>
      <c r="F191" s="607" t="s">
        <v>52</v>
      </c>
      <c r="G191" s="608">
        <v>0</v>
      </c>
    </row>
    <row r="192" spans="1:7" ht="11.1" customHeight="1">
      <c r="A192" s="600" t="str">
        <f t="shared" si="10"/>
        <v>CAD;CAD FOREX;15M</v>
      </c>
      <c r="B192" s="600" t="str">
        <f t="shared" si="14"/>
        <v>CAD</v>
      </c>
      <c r="C192" s="600" t="str">
        <f t="shared" si="14"/>
        <v>CAD FOREX</v>
      </c>
      <c r="D192" s="603"/>
      <c r="E192" s="604"/>
      <c r="F192" s="607" t="s">
        <v>53</v>
      </c>
      <c r="G192" s="608">
        <v>0</v>
      </c>
    </row>
    <row r="193" spans="1:7" ht="11.1" customHeight="1">
      <c r="A193" s="600" t="str">
        <f t="shared" si="10"/>
        <v>CAD;CAD FOREX;18M</v>
      </c>
      <c r="B193" s="600" t="str">
        <f t="shared" si="14"/>
        <v>CAD</v>
      </c>
      <c r="C193" s="600" t="str">
        <f t="shared" si="14"/>
        <v>CAD FOREX</v>
      </c>
      <c r="D193" s="603"/>
      <c r="E193" s="604"/>
      <c r="F193" s="607" t="s">
        <v>54</v>
      </c>
      <c r="G193" s="608">
        <v>0</v>
      </c>
    </row>
    <row r="194" spans="1:7" ht="11.1" customHeight="1">
      <c r="A194" s="600" t="str">
        <f t="shared" si="10"/>
        <v>CAD;CAD FOREX;24M</v>
      </c>
      <c r="B194" s="600" t="str">
        <f t="shared" si="14"/>
        <v>CAD</v>
      </c>
      <c r="C194" s="600" t="str">
        <f t="shared" si="14"/>
        <v>CAD FOREX</v>
      </c>
      <c r="D194" s="603"/>
      <c r="E194" s="604"/>
      <c r="F194" s="607" t="s">
        <v>659</v>
      </c>
      <c r="G194" s="608">
        <v>0</v>
      </c>
    </row>
    <row r="195" spans="1:7" ht="11.1" customHeight="1">
      <c r="A195" s="600" t="str">
        <f t="shared" si="10"/>
        <v>CAD;CAD FOREX;3Y</v>
      </c>
      <c r="B195" s="600" t="str">
        <f t="shared" si="14"/>
        <v>CAD</v>
      </c>
      <c r="C195" s="600" t="str">
        <f t="shared" si="14"/>
        <v>CAD FOREX</v>
      </c>
      <c r="D195" s="603"/>
      <c r="E195" s="604"/>
      <c r="F195" s="607" t="s">
        <v>10</v>
      </c>
      <c r="G195" s="608">
        <v>0</v>
      </c>
    </row>
    <row r="196" spans="1:7" ht="11.1" customHeight="1">
      <c r="A196" s="600" t="str">
        <f t="shared" si="10"/>
        <v>CAD;CAD FOREX;4Y</v>
      </c>
      <c r="B196" s="600" t="str">
        <f t="shared" si="14"/>
        <v>CAD</v>
      </c>
      <c r="C196" s="600" t="str">
        <f t="shared" si="14"/>
        <v>CAD FOREX</v>
      </c>
      <c r="D196" s="603"/>
      <c r="E196" s="604"/>
      <c r="F196" s="607" t="s">
        <v>11</v>
      </c>
      <c r="G196" s="608">
        <v>0</v>
      </c>
    </row>
    <row r="197" spans="1:7" ht="11.1" customHeight="1">
      <c r="A197" s="600" t="str">
        <f t="shared" ref="A197:A260" si="15">B197&amp;";"&amp;C197&amp;";"&amp;F197</f>
        <v>CAD;CAD FOREX;5Y</v>
      </c>
      <c r="B197" s="600" t="str">
        <f t="shared" ref="B197:C212" si="16">IF(ISBLANK(D197),B196,D197)</f>
        <v>CAD</v>
      </c>
      <c r="C197" s="600" t="str">
        <f t="shared" si="16"/>
        <v>CAD FOREX</v>
      </c>
      <c r="D197" s="603"/>
      <c r="E197" s="604"/>
      <c r="F197" s="607" t="s">
        <v>12</v>
      </c>
      <c r="G197" s="608">
        <v>0</v>
      </c>
    </row>
    <row r="198" spans="1:7" ht="11.1" customHeight="1">
      <c r="A198" s="600" t="str">
        <f t="shared" si="15"/>
        <v>CAD;CAD FOREX;6Y</v>
      </c>
      <c r="B198" s="600" t="str">
        <f t="shared" si="16"/>
        <v>CAD</v>
      </c>
      <c r="C198" s="600" t="str">
        <f t="shared" si="16"/>
        <v>CAD FOREX</v>
      </c>
      <c r="D198" s="603"/>
      <c r="E198" s="604"/>
      <c r="F198" s="607" t="s">
        <v>13</v>
      </c>
      <c r="G198" s="608">
        <v>0</v>
      </c>
    </row>
    <row r="199" spans="1:7" ht="11.1" customHeight="1">
      <c r="A199" s="600" t="str">
        <f t="shared" si="15"/>
        <v>CAD;CAD FOREX;7Y</v>
      </c>
      <c r="B199" s="600" t="str">
        <f t="shared" si="16"/>
        <v>CAD</v>
      </c>
      <c r="C199" s="600" t="str">
        <f t="shared" si="16"/>
        <v>CAD FOREX</v>
      </c>
      <c r="D199" s="603"/>
      <c r="E199" s="604"/>
      <c r="F199" s="607" t="s">
        <v>14</v>
      </c>
      <c r="G199" s="608">
        <v>0</v>
      </c>
    </row>
    <row r="200" spans="1:7" ht="11.1" customHeight="1">
      <c r="A200" s="600" t="str">
        <f t="shared" si="15"/>
        <v>CAD;CAD FOREX;8Y</v>
      </c>
      <c r="B200" s="600" t="str">
        <f t="shared" si="16"/>
        <v>CAD</v>
      </c>
      <c r="C200" s="600" t="str">
        <f t="shared" si="16"/>
        <v>CAD FOREX</v>
      </c>
      <c r="D200" s="603"/>
      <c r="E200" s="604"/>
      <c r="F200" s="607" t="s">
        <v>15</v>
      </c>
      <c r="G200" s="608">
        <v>0</v>
      </c>
    </row>
    <row r="201" spans="1:7" ht="11.1" customHeight="1">
      <c r="A201" s="600" t="str">
        <f t="shared" si="15"/>
        <v>CAD;CAD FOREX;9Y</v>
      </c>
      <c r="B201" s="600" t="str">
        <f t="shared" si="16"/>
        <v>CAD</v>
      </c>
      <c r="C201" s="600" t="str">
        <f t="shared" si="16"/>
        <v>CAD FOREX</v>
      </c>
      <c r="D201" s="603"/>
      <c r="E201" s="604"/>
      <c r="F201" s="607" t="s">
        <v>16</v>
      </c>
      <c r="G201" s="608">
        <v>0</v>
      </c>
    </row>
    <row r="202" spans="1:7" ht="11.1" customHeight="1">
      <c r="A202" s="600" t="str">
        <f t="shared" si="15"/>
        <v>CAD;CAD FOREX;10Y</v>
      </c>
      <c r="B202" s="600" t="str">
        <f t="shared" si="16"/>
        <v>CAD</v>
      </c>
      <c r="C202" s="600" t="str">
        <f t="shared" si="16"/>
        <v>CAD FOREX</v>
      </c>
      <c r="D202" s="603"/>
      <c r="E202" s="604"/>
      <c r="F202" s="607" t="s">
        <v>17</v>
      </c>
      <c r="G202" s="608">
        <v>0</v>
      </c>
    </row>
    <row r="203" spans="1:7" ht="11.1" customHeight="1">
      <c r="A203" s="600" t="str">
        <f t="shared" si="15"/>
        <v>CAD;CAD FOREX;11Y</v>
      </c>
      <c r="B203" s="600" t="str">
        <f t="shared" si="16"/>
        <v>CAD</v>
      </c>
      <c r="C203" s="600" t="str">
        <f t="shared" si="16"/>
        <v>CAD FOREX</v>
      </c>
      <c r="D203" s="603"/>
      <c r="E203" s="604"/>
      <c r="F203" s="607" t="s">
        <v>31</v>
      </c>
      <c r="G203" s="608">
        <v>0</v>
      </c>
    </row>
    <row r="204" spans="1:7" ht="11.1" customHeight="1">
      <c r="A204" s="600" t="str">
        <f t="shared" si="15"/>
        <v>CAD;CAD FOREX;12Y</v>
      </c>
      <c r="B204" s="600" t="str">
        <f t="shared" si="16"/>
        <v>CAD</v>
      </c>
      <c r="C204" s="600" t="str">
        <f t="shared" si="16"/>
        <v>CAD FOREX</v>
      </c>
      <c r="D204" s="603"/>
      <c r="E204" s="604"/>
      <c r="F204" s="607" t="s">
        <v>18</v>
      </c>
      <c r="G204" s="608">
        <v>0</v>
      </c>
    </row>
    <row r="205" spans="1:7" ht="11.1" customHeight="1">
      <c r="A205" s="600" t="str">
        <f t="shared" si="15"/>
        <v>CAD;CAD FOREX;13Y</v>
      </c>
      <c r="B205" s="600" t="str">
        <f t="shared" si="16"/>
        <v>CAD</v>
      </c>
      <c r="C205" s="600" t="str">
        <f t="shared" si="16"/>
        <v>CAD FOREX</v>
      </c>
      <c r="D205" s="603"/>
      <c r="E205" s="604"/>
      <c r="F205" s="607" t="s">
        <v>32</v>
      </c>
      <c r="G205" s="608">
        <v>0</v>
      </c>
    </row>
    <row r="206" spans="1:7" ht="11.1" customHeight="1">
      <c r="A206" s="600" t="str">
        <f t="shared" si="15"/>
        <v>CAD;CAD FOREX;14Y</v>
      </c>
      <c r="B206" s="600" t="str">
        <f t="shared" si="16"/>
        <v>CAD</v>
      </c>
      <c r="C206" s="600" t="str">
        <f t="shared" si="16"/>
        <v>CAD FOREX</v>
      </c>
      <c r="D206" s="603"/>
      <c r="E206" s="604"/>
      <c r="F206" s="607" t="s">
        <v>33</v>
      </c>
      <c r="G206" s="608">
        <v>0</v>
      </c>
    </row>
    <row r="207" spans="1:7" ht="11.1" customHeight="1">
      <c r="A207" s="600" t="str">
        <f t="shared" si="15"/>
        <v>CAD;CAD FOREX;15Y</v>
      </c>
      <c r="B207" s="600" t="str">
        <f t="shared" si="16"/>
        <v>CAD</v>
      </c>
      <c r="C207" s="600" t="str">
        <f t="shared" si="16"/>
        <v>CAD FOREX</v>
      </c>
      <c r="D207" s="603"/>
      <c r="E207" s="604"/>
      <c r="F207" s="607" t="s">
        <v>19</v>
      </c>
      <c r="G207" s="608">
        <v>0</v>
      </c>
    </row>
    <row r="208" spans="1:7" ht="11.1" customHeight="1">
      <c r="A208" s="600" t="str">
        <f t="shared" si="15"/>
        <v>CAD;CAD FOREX;16Y</v>
      </c>
      <c r="B208" s="600" t="str">
        <f t="shared" si="16"/>
        <v>CAD</v>
      </c>
      <c r="C208" s="600" t="str">
        <f t="shared" si="16"/>
        <v>CAD FOREX</v>
      </c>
      <c r="D208" s="603"/>
      <c r="E208" s="604"/>
      <c r="F208" s="607" t="s">
        <v>34</v>
      </c>
      <c r="G208" s="608">
        <v>0</v>
      </c>
    </row>
    <row r="209" spans="1:7" ht="11.1" customHeight="1">
      <c r="A209" s="600" t="str">
        <f t="shared" si="15"/>
        <v>CAD;CAD FOREX;17Y</v>
      </c>
      <c r="B209" s="600" t="str">
        <f t="shared" si="16"/>
        <v>CAD</v>
      </c>
      <c r="C209" s="600" t="str">
        <f t="shared" si="16"/>
        <v>CAD FOREX</v>
      </c>
      <c r="D209" s="603"/>
      <c r="E209" s="604"/>
      <c r="F209" s="607" t="s">
        <v>35</v>
      </c>
      <c r="G209" s="608">
        <v>0</v>
      </c>
    </row>
    <row r="210" spans="1:7" ht="11.1" customHeight="1">
      <c r="A210" s="600" t="str">
        <f t="shared" si="15"/>
        <v>CAD;CAD FOREX;18Y</v>
      </c>
      <c r="B210" s="600" t="str">
        <f t="shared" si="16"/>
        <v>CAD</v>
      </c>
      <c r="C210" s="600" t="str">
        <f t="shared" si="16"/>
        <v>CAD FOREX</v>
      </c>
      <c r="D210" s="603"/>
      <c r="E210" s="604"/>
      <c r="F210" s="607" t="s">
        <v>36</v>
      </c>
      <c r="G210" s="608">
        <v>0</v>
      </c>
    </row>
    <row r="211" spans="1:7" ht="11.1" customHeight="1">
      <c r="A211" s="600" t="str">
        <f t="shared" si="15"/>
        <v>CAD;CAD FOREX;19Y</v>
      </c>
      <c r="B211" s="600" t="str">
        <f t="shared" si="16"/>
        <v>CAD</v>
      </c>
      <c r="C211" s="600" t="str">
        <f t="shared" si="16"/>
        <v>CAD FOREX</v>
      </c>
      <c r="D211" s="603"/>
      <c r="E211" s="604"/>
      <c r="F211" s="607" t="s">
        <v>37</v>
      </c>
      <c r="G211" s="608">
        <v>0</v>
      </c>
    </row>
    <row r="212" spans="1:7" ht="11.1" customHeight="1">
      <c r="A212" s="600" t="str">
        <f t="shared" si="15"/>
        <v>CAD;CAD FOREX;20Y</v>
      </c>
      <c r="B212" s="600" t="str">
        <f t="shared" si="16"/>
        <v>CAD</v>
      </c>
      <c r="C212" s="600" t="str">
        <f t="shared" si="16"/>
        <v>CAD FOREX</v>
      </c>
      <c r="D212" s="603"/>
      <c r="E212" s="604"/>
      <c r="F212" s="607" t="s">
        <v>20</v>
      </c>
      <c r="G212" s="608">
        <v>0</v>
      </c>
    </row>
    <row r="213" spans="1:7" ht="11.1" customHeight="1">
      <c r="A213" s="600" t="str">
        <f t="shared" si="15"/>
        <v>CAD;CAD FOREX;21Y</v>
      </c>
      <c r="B213" s="600" t="str">
        <f t="shared" ref="B213:C228" si="17">IF(ISBLANK(D213),B212,D213)</f>
        <v>CAD</v>
      </c>
      <c r="C213" s="600" t="str">
        <f t="shared" si="17"/>
        <v>CAD FOREX</v>
      </c>
      <c r="D213" s="603"/>
      <c r="E213" s="604"/>
      <c r="F213" s="607" t="s">
        <v>38</v>
      </c>
      <c r="G213" s="608">
        <v>0</v>
      </c>
    </row>
    <row r="214" spans="1:7" ht="11.1" customHeight="1">
      <c r="A214" s="600" t="str">
        <f t="shared" si="15"/>
        <v>CAD;CAD FOREX;22Y</v>
      </c>
      <c r="B214" s="600" t="str">
        <f t="shared" si="17"/>
        <v>CAD</v>
      </c>
      <c r="C214" s="600" t="str">
        <f t="shared" si="17"/>
        <v>CAD FOREX</v>
      </c>
      <c r="D214" s="603"/>
      <c r="E214" s="604"/>
      <c r="F214" s="607" t="s">
        <v>39</v>
      </c>
      <c r="G214" s="608">
        <v>0</v>
      </c>
    </row>
    <row r="215" spans="1:7" ht="11.1" customHeight="1">
      <c r="A215" s="600" t="str">
        <f t="shared" si="15"/>
        <v>CAD;CAD FOREX;23Y</v>
      </c>
      <c r="B215" s="600" t="str">
        <f t="shared" si="17"/>
        <v>CAD</v>
      </c>
      <c r="C215" s="600" t="str">
        <f t="shared" si="17"/>
        <v>CAD FOREX</v>
      </c>
      <c r="D215" s="603"/>
      <c r="E215" s="604"/>
      <c r="F215" s="607" t="s">
        <v>40</v>
      </c>
      <c r="G215" s="608">
        <v>0</v>
      </c>
    </row>
    <row r="216" spans="1:7" ht="11.1" customHeight="1">
      <c r="A216" s="600" t="str">
        <f t="shared" si="15"/>
        <v>CAD;CAD FOREX;24Y</v>
      </c>
      <c r="B216" s="600" t="str">
        <f t="shared" si="17"/>
        <v>CAD</v>
      </c>
      <c r="C216" s="600" t="str">
        <f t="shared" si="17"/>
        <v>CAD FOREX</v>
      </c>
      <c r="D216" s="603"/>
      <c r="E216" s="604"/>
      <c r="F216" s="607" t="s">
        <v>41</v>
      </c>
      <c r="G216" s="608">
        <v>0</v>
      </c>
    </row>
    <row r="217" spans="1:7" ht="11.1" customHeight="1">
      <c r="A217" s="600" t="str">
        <f t="shared" si="15"/>
        <v>CAD;CAD FOREX;25Y</v>
      </c>
      <c r="B217" s="600" t="str">
        <f t="shared" si="17"/>
        <v>CAD</v>
      </c>
      <c r="C217" s="600" t="str">
        <f t="shared" si="17"/>
        <v>CAD FOREX</v>
      </c>
      <c r="D217" s="603"/>
      <c r="E217" s="604"/>
      <c r="F217" s="607" t="s">
        <v>21</v>
      </c>
      <c r="G217" s="608">
        <v>0</v>
      </c>
    </row>
    <row r="218" spans="1:7" ht="11.1" customHeight="1">
      <c r="A218" s="600" t="str">
        <f t="shared" si="15"/>
        <v>CAD;CAD FOREX;26Y</v>
      </c>
      <c r="B218" s="600" t="str">
        <f t="shared" si="17"/>
        <v>CAD</v>
      </c>
      <c r="C218" s="600" t="str">
        <f t="shared" si="17"/>
        <v>CAD FOREX</v>
      </c>
      <c r="D218" s="603"/>
      <c r="E218" s="604"/>
      <c r="F218" s="607" t="s">
        <v>42</v>
      </c>
      <c r="G218" s="608">
        <v>0</v>
      </c>
    </row>
    <row r="219" spans="1:7" ht="11.1" customHeight="1">
      <c r="A219" s="600" t="str">
        <f t="shared" si="15"/>
        <v>CAD;CAD FOREX;27Y</v>
      </c>
      <c r="B219" s="600" t="str">
        <f t="shared" si="17"/>
        <v>CAD</v>
      </c>
      <c r="C219" s="600" t="str">
        <f t="shared" si="17"/>
        <v>CAD FOREX</v>
      </c>
      <c r="D219" s="603"/>
      <c r="E219" s="604"/>
      <c r="F219" s="607" t="s">
        <v>43</v>
      </c>
      <c r="G219" s="608">
        <v>0</v>
      </c>
    </row>
    <row r="220" spans="1:7" ht="11.1" customHeight="1">
      <c r="A220" s="600" t="str">
        <f t="shared" si="15"/>
        <v>CAD;CAD FOREX;28Y</v>
      </c>
      <c r="B220" s="600" t="str">
        <f t="shared" si="17"/>
        <v>CAD</v>
      </c>
      <c r="C220" s="600" t="str">
        <f t="shared" si="17"/>
        <v>CAD FOREX</v>
      </c>
      <c r="D220" s="603"/>
      <c r="E220" s="604"/>
      <c r="F220" s="607" t="s">
        <v>44</v>
      </c>
      <c r="G220" s="608">
        <v>0</v>
      </c>
    </row>
    <row r="221" spans="1:7" ht="11.1" customHeight="1">
      <c r="A221" s="600" t="str">
        <f t="shared" si="15"/>
        <v>CAD;CAD FOREX;29Y</v>
      </c>
      <c r="B221" s="600" t="str">
        <f t="shared" si="17"/>
        <v>CAD</v>
      </c>
      <c r="C221" s="600" t="str">
        <f t="shared" si="17"/>
        <v>CAD FOREX</v>
      </c>
      <c r="D221" s="603"/>
      <c r="E221" s="604"/>
      <c r="F221" s="607" t="s">
        <v>45</v>
      </c>
      <c r="G221" s="608">
        <v>0</v>
      </c>
    </row>
    <row r="222" spans="1:7" ht="11.1" customHeight="1">
      <c r="A222" s="600" t="str">
        <f t="shared" si="15"/>
        <v>CAD;CAD FOREX;30Y</v>
      </c>
      <c r="B222" s="600" t="str">
        <f t="shared" si="17"/>
        <v>CAD</v>
      </c>
      <c r="C222" s="600" t="str">
        <f t="shared" si="17"/>
        <v>CAD FOREX</v>
      </c>
      <c r="D222" s="603"/>
      <c r="E222" s="604"/>
      <c r="F222" s="607" t="s">
        <v>22</v>
      </c>
      <c r="G222" s="608">
        <v>0</v>
      </c>
    </row>
    <row r="223" spans="1:7" ht="11.1" customHeight="1">
      <c r="A223" s="600" t="str">
        <f t="shared" si="15"/>
        <v>CAD;CAD OIS;Total CAD OIS</v>
      </c>
      <c r="B223" s="600" t="str">
        <f t="shared" si="17"/>
        <v>CAD</v>
      </c>
      <c r="C223" s="600" t="str">
        <f t="shared" si="17"/>
        <v>CAD OIS</v>
      </c>
      <c r="D223" s="603"/>
      <c r="E223" s="604" t="s">
        <v>3869</v>
      </c>
      <c r="F223" s="605" t="s">
        <v>3870</v>
      </c>
      <c r="G223" s="606">
        <v>-1.66096310472495</v>
      </c>
    </row>
    <row r="224" spans="1:7" ht="11.1" customHeight="1">
      <c r="A224" s="600" t="str">
        <f t="shared" si="15"/>
        <v>CAD;CAD OIS;1M</v>
      </c>
      <c r="B224" s="600" t="str">
        <f t="shared" si="17"/>
        <v>CAD</v>
      </c>
      <c r="C224" s="600" t="str">
        <f t="shared" si="17"/>
        <v>CAD OIS</v>
      </c>
      <c r="D224" s="603"/>
      <c r="E224" s="604"/>
      <c r="F224" s="607" t="s">
        <v>7</v>
      </c>
      <c r="G224" s="611">
        <v>1.34515247685956</v>
      </c>
    </row>
    <row r="225" spans="1:7" ht="11.1" customHeight="1">
      <c r="A225" s="600" t="str">
        <f t="shared" si="15"/>
        <v>CAD;CAD OIS;2M</v>
      </c>
      <c r="B225" s="600" t="str">
        <f t="shared" si="17"/>
        <v>CAD</v>
      </c>
      <c r="C225" s="600" t="str">
        <f t="shared" si="17"/>
        <v>CAD OIS</v>
      </c>
      <c r="D225" s="603"/>
      <c r="E225" s="604"/>
      <c r="F225" s="607" t="s">
        <v>8</v>
      </c>
      <c r="G225" s="606">
        <v>-2.2051278122516198</v>
      </c>
    </row>
    <row r="226" spans="1:7" ht="11.1" customHeight="1">
      <c r="A226" s="600" t="str">
        <f t="shared" si="15"/>
        <v>CAD;CAD OIS;3M</v>
      </c>
      <c r="B226" s="600" t="str">
        <f t="shared" si="17"/>
        <v>CAD</v>
      </c>
      <c r="C226" s="600" t="str">
        <f t="shared" si="17"/>
        <v>CAD OIS</v>
      </c>
      <c r="D226" s="603"/>
      <c r="E226" s="604"/>
      <c r="F226" s="607" t="s">
        <v>25</v>
      </c>
      <c r="G226" s="611">
        <v>6.5895060679648996</v>
      </c>
    </row>
    <row r="227" spans="1:7" ht="11.1" customHeight="1">
      <c r="A227" s="600" t="str">
        <f t="shared" si="15"/>
        <v>CAD;CAD OIS;4M</v>
      </c>
      <c r="B227" s="600" t="str">
        <f t="shared" si="17"/>
        <v>CAD</v>
      </c>
      <c r="C227" s="600" t="str">
        <f t="shared" si="17"/>
        <v>CAD OIS</v>
      </c>
      <c r="D227" s="603"/>
      <c r="E227" s="604"/>
      <c r="F227" s="607" t="s">
        <v>26</v>
      </c>
      <c r="G227" s="611">
        <v>0.43732708875816401</v>
      </c>
    </row>
    <row r="228" spans="1:7" ht="11.1" customHeight="1">
      <c r="A228" s="600" t="str">
        <f t="shared" si="15"/>
        <v>CAD;CAD OIS;5M</v>
      </c>
      <c r="B228" s="600" t="str">
        <f t="shared" si="17"/>
        <v>CAD</v>
      </c>
      <c r="C228" s="600" t="str">
        <f t="shared" si="17"/>
        <v>CAD OIS</v>
      </c>
      <c r="D228" s="603"/>
      <c r="E228" s="604"/>
      <c r="F228" s="607" t="s">
        <v>27</v>
      </c>
      <c r="G228" s="606">
        <v>-9.8397506563550206</v>
      </c>
    </row>
    <row r="229" spans="1:7" ht="11.1" customHeight="1">
      <c r="A229" s="600" t="str">
        <f t="shared" si="15"/>
        <v>CAD;CAD OIS;6M</v>
      </c>
      <c r="B229" s="600" t="str">
        <f t="shared" ref="B229:C244" si="18">IF(ISBLANK(D229),B228,D229)</f>
        <v>CAD</v>
      </c>
      <c r="C229" s="600" t="str">
        <f t="shared" si="18"/>
        <v>CAD OIS</v>
      </c>
      <c r="D229" s="603"/>
      <c r="E229" s="604"/>
      <c r="F229" s="607" t="s">
        <v>28</v>
      </c>
      <c r="G229" s="611">
        <v>0.67904765878575502</v>
      </c>
    </row>
    <row r="230" spans="1:7" ht="11.1" customHeight="1">
      <c r="A230" s="600" t="str">
        <f t="shared" si="15"/>
        <v>CAD;CAD OIS;7M</v>
      </c>
      <c r="B230" s="600" t="str">
        <f t="shared" si="18"/>
        <v>CAD</v>
      </c>
      <c r="C230" s="600" t="str">
        <f t="shared" si="18"/>
        <v>CAD OIS</v>
      </c>
      <c r="D230" s="603"/>
      <c r="E230" s="604"/>
      <c r="F230" s="607" t="s">
        <v>29</v>
      </c>
      <c r="G230" s="611">
        <v>6.8442467726388001</v>
      </c>
    </row>
    <row r="231" spans="1:7" ht="11.1" customHeight="1">
      <c r="A231" s="600" t="str">
        <f t="shared" si="15"/>
        <v>CAD;CAD OIS;8M</v>
      </c>
      <c r="B231" s="600" t="str">
        <f t="shared" si="18"/>
        <v>CAD</v>
      </c>
      <c r="C231" s="600" t="str">
        <f t="shared" si="18"/>
        <v>CAD OIS</v>
      </c>
      <c r="D231" s="603"/>
      <c r="E231" s="604"/>
      <c r="F231" s="607" t="s">
        <v>30</v>
      </c>
      <c r="G231" s="606">
        <v>-10.6760363727977</v>
      </c>
    </row>
    <row r="232" spans="1:7" ht="11.1" customHeight="1">
      <c r="A232" s="600" t="str">
        <f t="shared" si="15"/>
        <v>CAD;CAD OIS;9M</v>
      </c>
      <c r="B232" s="600" t="str">
        <f t="shared" si="18"/>
        <v>CAD</v>
      </c>
      <c r="C232" s="600" t="str">
        <f t="shared" si="18"/>
        <v>CAD OIS</v>
      </c>
      <c r="D232" s="603"/>
      <c r="E232" s="604"/>
      <c r="F232" s="607" t="s">
        <v>49</v>
      </c>
      <c r="G232" s="611">
        <v>9.3205409441581502</v>
      </c>
    </row>
    <row r="233" spans="1:7" ht="11.1" customHeight="1">
      <c r="A233" s="600" t="str">
        <f t="shared" si="15"/>
        <v>CAD;CAD OIS;10M</v>
      </c>
      <c r="B233" s="600" t="str">
        <f t="shared" si="18"/>
        <v>CAD</v>
      </c>
      <c r="C233" s="600" t="str">
        <f t="shared" si="18"/>
        <v>CAD OIS</v>
      </c>
      <c r="D233" s="603"/>
      <c r="E233" s="604"/>
      <c r="F233" s="607" t="s">
        <v>50</v>
      </c>
      <c r="G233" s="606">
        <v>-2.90045190107536</v>
      </c>
    </row>
    <row r="234" spans="1:7" ht="11.1" customHeight="1">
      <c r="A234" s="600" t="str">
        <f t="shared" si="15"/>
        <v>CAD;CAD OIS;11M</v>
      </c>
      <c r="B234" s="600" t="str">
        <f t="shared" si="18"/>
        <v>CAD</v>
      </c>
      <c r="C234" s="600" t="str">
        <f t="shared" si="18"/>
        <v>CAD OIS</v>
      </c>
      <c r="D234" s="603"/>
      <c r="E234" s="604"/>
      <c r="F234" s="607" t="s">
        <v>51</v>
      </c>
      <c r="G234" s="611">
        <v>43.917478733495301</v>
      </c>
    </row>
    <row r="235" spans="1:7" ht="11.1" customHeight="1">
      <c r="A235" s="600" t="str">
        <f t="shared" si="15"/>
        <v>CAD;CAD OIS;1Y</v>
      </c>
      <c r="B235" s="600" t="str">
        <f t="shared" si="18"/>
        <v>CAD</v>
      </c>
      <c r="C235" s="600" t="str">
        <f t="shared" si="18"/>
        <v>CAD OIS</v>
      </c>
      <c r="D235" s="603"/>
      <c r="E235" s="604"/>
      <c r="F235" s="607" t="s">
        <v>56</v>
      </c>
      <c r="G235" s="606">
        <v>-38.114141721649403</v>
      </c>
    </row>
    <row r="236" spans="1:7" ht="11.1" customHeight="1">
      <c r="A236" s="600" t="str">
        <f t="shared" si="15"/>
        <v>CAD;CAD OIS;2Y</v>
      </c>
      <c r="B236" s="600" t="str">
        <f t="shared" si="18"/>
        <v>CAD</v>
      </c>
      <c r="C236" s="600" t="str">
        <f t="shared" si="18"/>
        <v>CAD OIS</v>
      </c>
      <c r="D236" s="603"/>
      <c r="E236" s="604"/>
      <c r="F236" s="607" t="s">
        <v>9</v>
      </c>
      <c r="G236" s="611">
        <v>323.69965513119098</v>
      </c>
    </row>
    <row r="237" spans="1:7" ht="11.1" customHeight="1">
      <c r="A237" s="600" t="str">
        <f t="shared" si="15"/>
        <v>CAD;CAD OIS;3Y</v>
      </c>
      <c r="B237" s="600" t="str">
        <f t="shared" si="18"/>
        <v>CAD</v>
      </c>
      <c r="C237" s="600" t="str">
        <f t="shared" si="18"/>
        <v>CAD OIS</v>
      </c>
      <c r="D237" s="603"/>
      <c r="E237" s="604"/>
      <c r="F237" s="607" t="s">
        <v>10</v>
      </c>
      <c r="G237" s="606">
        <v>-684.43928468045897</v>
      </c>
    </row>
    <row r="238" spans="1:7" ht="11.1" customHeight="1">
      <c r="A238" s="600" t="str">
        <f t="shared" si="15"/>
        <v>CAD;CAD OIS;4Y</v>
      </c>
      <c r="B238" s="600" t="str">
        <f t="shared" si="18"/>
        <v>CAD</v>
      </c>
      <c r="C238" s="600" t="str">
        <f t="shared" si="18"/>
        <v>CAD OIS</v>
      </c>
      <c r="D238" s="603"/>
      <c r="E238" s="604"/>
      <c r="F238" s="607" t="s">
        <v>11</v>
      </c>
      <c r="G238" s="611">
        <v>241.38782283033601</v>
      </c>
    </row>
    <row r="239" spans="1:7" ht="11.1" customHeight="1">
      <c r="A239" s="600" t="str">
        <f t="shared" si="15"/>
        <v>CAD;CAD OIS;5Y</v>
      </c>
      <c r="B239" s="600" t="str">
        <f t="shared" si="18"/>
        <v>CAD</v>
      </c>
      <c r="C239" s="600" t="str">
        <f t="shared" si="18"/>
        <v>CAD OIS</v>
      </c>
      <c r="D239" s="603"/>
      <c r="E239" s="604"/>
      <c r="F239" s="607" t="s">
        <v>12</v>
      </c>
      <c r="G239" s="611">
        <v>174.505704470501</v>
      </c>
    </row>
    <row r="240" spans="1:7" ht="11.1" customHeight="1">
      <c r="A240" s="600" t="str">
        <f t="shared" si="15"/>
        <v>CAD;CAD OIS;7Y</v>
      </c>
      <c r="B240" s="600" t="str">
        <f t="shared" si="18"/>
        <v>CAD</v>
      </c>
      <c r="C240" s="600" t="str">
        <f t="shared" si="18"/>
        <v>CAD OIS</v>
      </c>
      <c r="D240" s="603"/>
      <c r="E240" s="604"/>
      <c r="F240" s="607" t="s">
        <v>14</v>
      </c>
      <c r="G240" s="606">
        <v>-66.249757695884597</v>
      </c>
    </row>
    <row r="241" spans="1:7" ht="11.1" customHeight="1">
      <c r="A241" s="600" t="str">
        <f t="shared" si="15"/>
        <v>CAD;CAD OIS;10Y</v>
      </c>
      <c r="B241" s="600" t="str">
        <f t="shared" si="18"/>
        <v>CAD</v>
      </c>
      <c r="C241" s="600" t="str">
        <f t="shared" si="18"/>
        <v>CAD OIS</v>
      </c>
      <c r="D241" s="603"/>
      <c r="E241" s="604"/>
      <c r="F241" s="607" t="s">
        <v>17</v>
      </c>
      <c r="G241" s="611">
        <v>0.52378270983363595</v>
      </c>
    </row>
    <row r="242" spans="1:7" ht="11.1" customHeight="1">
      <c r="A242" s="600" t="str">
        <f t="shared" si="15"/>
        <v>CAD;CAD OIS;12Y</v>
      </c>
      <c r="B242" s="600" t="str">
        <f t="shared" si="18"/>
        <v>CAD</v>
      </c>
      <c r="C242" s="600" t="str">
        <f t="shared" si="18"/>
        <v>CAD OIS</v>
      </c>
      <c r="D242" s="603"/>
      <c r="E242" s="604"/>
      <c r="F242" s="607" t="s">
        <v>18</v>
      </c>
      <c r="G242" s="611">
        <v>1.4299062900605399</v>
      </c>
    </row>
    <row r="243" spans="1:7" ht="11.1" customHeight="1">
      <c r="A243" s="600" t="str">
        <f t="shared" si="15"/>
        <v>CAD;CAD OIS;15Y</v>
      </c>
      <c r="B243" s="600" t="str">
        <f t="shared" si="18"/>
        <v>CAD</v>
      </c>
      <c r="C243" s="600" t="str">
        <f t="shared" si="18"/>
        <v>CAD OIS</v>
      </c>
      <c r="D243" s="603"/>
      <c r="E243" s="604"/>
      <c r="F243" s="607" t="s">
        <v>19</v>
      </c>
      <c r="G243" s="611">
        <v>2.63303515585342</v>
      </c>
    </row>
    <row r="244" spans="1:7" ht="11.1" customHeight="1">
      <c r="A244" s="600" t="str">
        <f t="shared" si="15"/>
        <v>CAD;CAD OIS;20Y</v>
      </c>
      <c r="B244" s="600" t="str">
        <f t="shared" si="18"/>
        <v>CAD</v>
      </c>
      <c r="C244" s="600" t="str">
        <f t="shared" si="18"/>
        <v>CAD OIS</v>
      </c>
      <c r="D244" s="603"/>
      <c r="E244" s="604"/>
      <c r="F244" s="607" t="s">
        <v>20</v>
      </c>
      <c r="G244" s="611">
        <v>1.1088722430716</v>
      </c>
    </row>
    <row r="245" spans="1:7" ht="11.1" customHeight="1">
      <c r="A245" s="600" t="str">
        <f t="shared" si="15"/>
        <v>CAD;CAD OIS;30Y</v>
      </c>
      <c r="B245" s="600" t="str">
        <f t="shared" ref="B245:C260" si="19">IF(ISBLANK(D245),B244,D245)</f>
        <v>CAD</v>
      </c>
      <c r="C245" s="600" t="str">
        <f t="shared" si="19"/>
        <v>CAD OIS</v>
      </c>
      <c r="D245" s="603"/>
      <c r="E245" s="604"/>
      <c r="F245" s="607" t="s">
        <v>22</v>
      </c>
      <c r="G245" s="606">
        <v>-1.6584908377702099</v>
      </c>
    </row>
    <row r="246" spans="1:7" ht="11.1" customHeight="1">
      <c r="A246" s="600" t="str">
        <f t="shared" si="15"/>
        <v>CHF;Total CHF;</v>
      </c>
      <c r="B246" s="600" t="str">
        <f t="shared" si="19"/>
        <v>CHF</v>
      </c>
      <c r="C246" s="600" t="str">
        <f t="shared" si="19"/>
        <v>Total CHF</v>
      </c>
      <c r="D246" s="603" t="s">
        <v>1188</v>
      </c>
      <c r="E246" s="609" t="s">
        <v>1189</v>
      </c>
      <c r="F246" s="609"/>
      <c r="G246" s="610">
        <v>9250.7825480395004</v>
      </c>
    </row>
    <row r="247" spans="1:7" ht="11.1" customHeight="1">
      <c r="A247" s="600" t="str">
        <f t="shared" si="15"/>
        <v>CHF;CHF 3M;Total CHF 3M</v>
      </c>
      <c r="B247" s="600" t="str">
        <f t="shared" si="19"/>
        <v>CHF</v>
      </c>
      <c r="C247" s="600" t="str">
        <f t="shared" si="19"/>
        <v>CHF 3M</v>
      </c>
      <c r="D247" s="603"/>
      <c r="E247" s="604" t="s">
        <v>1190</v>
      </c>
      <c r="F247" s="605" t="s">
        <v>1191</v>
      </c>
      <c r="G247" s="611">
        <v>3725.9887224499198</v>
      </c>
    </row>
    <row r="248" spans="1:7" ht="11.1" customHeight="1">
      <c r="A248" s="600" t="str">
        <f t="shared" si="15"/>
        <v>CHF;CHF 3M;S/N</v>
      </c>
      <c r="B248" s="600" t="str">
        <f t="shared" si="19"/>
        <v>CHF</v>
      </c>
      <c r="C248" s="600" t="str">
        <f t="shared" si="19"/>
        <v>CHF 3M</v>
      </c>
      <c r="D248" s="603"/>
      <c r="E248" s="604"/>
      <c r="F248" s="607" t="s">
        <v>23</v>
      </c>
      <c r="G248" s="611">
        <v>620.04152970083396</v>
      </c>
    </row>
    <row r="249" spans="1:7" ht="11.1" customHeight="1">
      <c r="A249" s="600" t="str">
        <f t="shared" si="15"/>
        <v>CHF;CHF 3M;DEC 16</v>
      </c>
      <c r="B249" s="600" t="str">
        <f t="shared" si="19"/>
        <v>CHF</v>
      </c>
      <c r="C249" s="600" t="str">
        <f t="shared" si="19"/>
        <v>CHF 3M</v>
      </c>
      <c r="D249" s="603"/>
      <c r="E249" s="604"/>
      <c r="F249" s="607" t="s">
        <v>1060</v>
      </c>
      <c r="G249" s="611">
        <v>3252.4534147347699</v>
      </c>
    </row>
    <row r="250" spans="1:7" ht="11.1" customHeight="1">
      <c r="A250" s="600" t="str">
        <f t="shared" si="15"/>
        <v>CHF;CHF 3M;MAR 17</v>
      </c>
      <c r="B250" s="600" t="str">
        <f t="shared" si="19"/>
        <v>CHF</v>
      </c>
      <c r="C250" s="600" t="str">
        <f t="shared" si="19"/>
        <v>CHF 3M</v>
      </c>
      <c r="D250" s="603"/>
      <c r="E250" s="604"/>
      <c r="F250" s="607" t="s">
        <v>1063</v>
      </c>
      <c r="G250" s="611">
        <v>586.322530290288</v>
      </c>
    </row>
    <row r="251" spans="1:7" ht="11.1" customHeight="1">
      <c r="A251" s="600" t="str">
        <f t="shared" si="15"/>
        <v>CHF;CHF 3M;JUN 17</v>
      </c>
      <c r="B251" s="600" t="str">
        <f t="shared" si="19"/>
        <v>CHF</v>
      </c>
      <c r="C251" s="600" t="str">
        <f t="shared" si="19"/>
        <v>CHF 3M</v>
      </c>
      <c r="D251" s="603"/>
      <c r="E251" s="604"/>
      <c r="F251" s="607" t="s">
        <v>1066</v>
      </c>
      <c r="G251" s="606">
        <v>-318.38835073630003</v>
      </c>
    </row>
    <row r="252" spans="1:7" ht="11.1" customHeight="1">
      <c r="A252" s="600" t="str">
        <f t="shared" si="15"/>
        <v>CHF;CHF 3M;SEP 17</v>
      </c>
      <c r="B252" s="600" t="str">
        <f t="shared" si="19"/>
        <v>CHF</v>
      </c>
      <c r="C252" s="600" t="str">
        <f t="shared" si="19"/>
        <v>CHF 3M</v>
      </c>
      <c r="D252" s="603"/>
      <c r="E252" s="604"/>
      <c r="F252" s="607" t="s">
        <v>1069</v>
      </c>
      <c r="G252" s="606">
        <v>-165.45458317030801</v>
      </c>
    </row>
    <row r="253" spans="1:7" ht="11.1" customHeight="1">
      <c r="A253" s="600" t="str">
        <f t="shared" si="15"/>
        <v>CHF;CHF 3M;DEC 17</v>
      </c>
      <c r="B253" s="600" t="str">
        <f t="shared" si="19"/>
        <v>CHF</v>
      </c>
      <c r="C253" s="600" t="str">
        <f t="shared" si="19"/>
        <v>CHF 3M</v>
      </c>
      <c r="D253" s="603"/>
      <c r="E253" s="604"/>
      <c r="F253" s="607" t="s">
        <v>3865</v>
      </c>
      <c r="G253" s="606">
        <v>-159.21716615664999</v>
      </c>
    </row>
    <row r="254" spans="1:7" ht="11.1" customHeight="1">
      <c r="A254" s="600" t="str">
        <f t="shared" si="15"/>
        <v>CHF;CHF 3M;MAR 18</v>
      </c>
      <c r="B254" s="600" t="str">
        <f t="shared" si="19"/>
        <v>CHF</v>
      </c>
      <c r="C254" s="600" t="str">
        <f t="shared" si="19"/>
        <v>CHF 3M</v>
      </c>
      <c r="D254" s="603"/>
      <c r="E254" s="604"/>
      <c r="F254" s="607" t="s">
        <v>3866</v>
      </c>
      <c r="G254" s="606">
        <v>-354.15200203211799</v>
      </c>
    </row>
    <row r="255" spans="1:7" ht="11.1" customHeight="1">
      <c r="A255" s="600" t="str">
        <f t="shared" si="15"/>
        <v>CHF;CHF 3M;2Y</v>
      </c>
      <c r="B255" s="600" t="str">
        <f t="shared" si="19"/>
        <v>CHF</v>
      </c>
      <c r="C255" s="600" t="str">
        <f t="shared" si="19"/>
        <v>CHF 3M</v>
      </c>
      <c r="D255" s="603"/>
      <c r="E255" s="604"/>
      <c r="F255" s="607" t="s">
        <v>9</v>
      </c>
      <c r="G255" s="611">
        <v>653.90548696543703</v>
      </c>
    </row>
    <row r="256" spans="1:7" ht="11.1" customHeight="1">
      <c r="A256" s="600" t="str">
        <f t="shared" si="15"/>
        <v>CHF;CHF 3M;3Y</v>
      </c>
      <c r="B256" s="600" t="str">
        <f t="shared" si="19"/>
        <v>CHF</v>
      </c>
      <c r="C256" s="600" t="str">
        <f t="shared" si="19"/>
        <v>CHF 3M</v>
      </c>
      <c r="D256" s="603"/>
      <c r="E256" s="604"/>
      <c r="F256" s="607" t="s">
        <v>10</v>
      </c>
      <c r="G256" s="606">
        <v>-2678.0431418947401</v>
      </c>
    </row>
    <row r="257" spans="1:7" ht="11.1" customHeight="1">
      <c r="A257" s="600" t="str">
        <f t="shared" si="15"/>
        <v>CHF;CHF 3M;4Y</v>
      </c>
      <c r="B257" s="600" t="str">
        <f t="shared" si="19"/>
        <v>CHF</v>
      </c>
      <c r="C257" s="600" t="str">
        <f t="shared" si="19"/>
        <v>CHF 3M</v>
      </c>
      <c r="D257" s="603"/>
      <c r="E257" s="604"/>
      <c r="F257" s="607" t="s">
        <v>11</v>
      </c>
      <c r="G257" s="606">
        <v>-3854.61318729697</v>
      </c>
    </row>
    <row r="258" spans="1:7" ht="11.1" customHeight="1">
      <c r="A258" s="600" t="str">
        <f t="shared" si="15"/>
        <v>CHF;CHF 3M;5Y</v>
      </c>
      <c r="B258" s="600" t="str">
        <f t="shared" si="19"/>
        <v>CHF</v>
      </c>
      <c r="C258" s="600" t="str">
        <f t="shared" si="19"/>
        <v>CHF 3M</v>
      </c>
      <c r="D258" s="603"/>
      <c r="E258" s="604"/>
      <c r="F258" s="607" t="s">
        <v>12</v>
      </c>
      <c r="G258" s="611">
        <v>70.058178933792504</v>
      </c>
    </row>
    <row r="259" spans="1:7" ht="11.1" customHeight="1">
      <c r="A259" s="600" t="str">
        <f t="shared" si="15"/>
        <v>CHF;CHF 3M;6Y</v>
      </c>
      <c r="B259" s="600" t="str">
        <f t="shared" si="19"/>
        <v>CHF</v>
      </c>
      <c r="C259" s="600" t="str">
        <f t="shared" si="19"/>
        <v>CHF 3M</v>
      </c>
      <c r="D259" s="603"/>
      <c r="E259" s="604"/>
      <c r="F259" s="607" t="s">
        <v>13</v>
      </c>
      <c r="G259" s="606">
        <v>-55.821547452813803</v>
      </c>
    </row>
    <row r="260" spans="1:7" ht="11.1" customHeight="1">
      <c r="A260" s="600" t="str">
        <f t="shared" si="15"/>
        <v>CHF;CHF 3M;7Y</v>
      </c>
      <c r="B260" s="600" t="str">
        <f t="shared" si="19"/>
        <v>CHF</v>
      </c>
      <c r="C260" s="600" t="str">
        <f t="shared" si="19"/>
        <v>CHF 3M</v>
      </c>
      <c r="D260" s="603"/>
      <c r="E260" s="604"/>
      <c r="F260" s="607" t="s">
        <v>14</v>
      </c>
      <c r="G260" s="606">
        <v>-42.878747312175499</v>
      </c>
    </row>
    <row r="261" spans="1:7" ht="11.1" customHeight="1">
      <c r="A261" s="600" t="str">
        <f t="shared" ref="A261:A324" si="20">B261&amp;";"&amp;C261&amp;";"&amp;F261</f>
        <v>CHF;CHF 3M;8Y</v>
      </c>
      <c r="B261" s="600" t="str">
        <f t="shared" ref="B261:C276" si="21">IF(ISBLANK(D261),B260,D261)</f>
        <v>CHF</v>
      </c>
      <c r="C261" s="600" t="str">
        <f t="shared" si="21"/>
        <v>CHF 3M</v>
      </c>
      <c r="D261" s="603"/>
      <c r="E261" s="604"/>
      <c r="F261" s="607" t="s">
        <v>15</v>
      </c>
      <c r="G261" s="611">
        <v>1683.45417128752</v>
      </c>
    </row>
    <row r="262" spans="1:7" ht="11.1" customHeight="1">
      <c r="A262" s="600" t="str">
        <f t="shared" si="20"/>
        <v>CHF;CHF 3M;9Y</v>
      </c>
      <c r="B262" s="600" t="str">
        <f t="shared" si="21"/>
        <v>CHF</v>
      </c>
      <c r="C262" s="600" t="str">
        <f t="shared" si="21"/>
        <v>CHF 3M</v>
      </c>
      <c r="D262" s="603"/>
      <c r="E262" s="604"/>
      <c r="F262" s="607" t="s">
        <v>16</v>
      </c>
      <c r="G262" s="611">
        <v>4467.7044195988701</v>
      </c>
    </row>
    <row r="263" spans="1:7" ht="11.1" customHeight="1">
      <c r="A263" s="600" t="str">
        <f t="shared" si="20"/>
        <v>CHF;CHF 3M;10Y</v>
      </c>
      <c r="B263" s="600" t="str">
        <f t="shared" si="21"/>
        <v>CHF</v>
      </c>
      <c r="C263" s="600" t="str">
        <f t="shared" si="21"/>
        <v>CHF 3M</v>
      </c>
      <c r="D263" s="603"/>
      <c r="E263" s="604"/>
      <c r="F263" s="607" t="s">
        <v>17</v>
      </c>
      <c r="G263" s="611">
        <v>20.6740783635219</v>
      </c>
    </row>
    <row r="264" spans="1:7" ht="11.1" customHeight="1">
      <c r="A264" s="600" t="str">
        <f t="shared" si="20"/>
        <v>CHF;CHF 3M;11Y</v>
      </c>
      <c r="B264" s="600" t="str">
        <f t="shared" si="21"/>
        <v>CHF</v>
      </c>
      <c r="C264" s="600" t="str">
        <f t="shared" si="21"/>
        <v>CHF 3M</v>
      </c>
      <c r="D264" s="603"/>
      <c r="E264" s="604"/>
      <c r="F264" s="607" t="s">
        <v>31</v>
      </c>
      <c r="G264" s="606">
        <v>-5.6514203244458397E-2</v>
      </c>
    </row>
    <row r="265" spans="1:7" ht="11.1" customHeight="1">
      <c r="A265" s="600" t="str">
        <f t="shared" si="20"/>
        <v>CHF;CHF 3M;12Y</v>
      </c>
      <c r="B265" s="600" t="str">
        <f t="shared" si="21"/>
        <v>CHF</v>
      </c>
      <c r="C265" s="600" t="str">
        <f t="shared" si="21"/>
        <v>CHF 3M</v>
      </c>
      <c r="D265" s="603"/>
      <c r="E265" s="604"/>
      <c r="F265" s="607" t="s">
        <v>18</v>
      </c>
      <c r="G265" s="611">
        <v>1.5283007401156699E-4</v>
      </c>
    </row>
    <row r="266" spans="1:7" ht="11.1" customHeight="1">
      <c r="A266" s="600" t="str">
        <f t="shared" si="20"/>
        <v>CHF;CHF 3M;15Y</v>
      </c>
      <c r="B266" s="600" t="str">
        <f t="shared" si="21"/>
        <v>CHF</v>
      </c>
      <c r="C266" s="600" t="str">
        <f t="shared" si="21"/>
        <v>CHF 3M</v>
      </c>
      <c r="D266" s="603"/>
      <c r="E266" s="604"/>
      <c r="F266" s="607" t="s">
        <v>19</v>
      </c>
      <c r="G266" s="611">
        <v>0</v>
      </c>
    </row>
    <row r="267" spans="1:7" ht="11.1" customHeight="1">
      <c r="A267" s="600" t="str">
        <f t="shared" si="20"/>
        <v>CHF;CHF 3M;20Y</v>
      </c>
      <c r="B267" s="600" t="str">
        <f t="shared" si="21"/>
        <v>CHF</v>
      </c>
      <c r="C267" s="600" t="str">
        <f t="shared" si="21"/>
        <v>CHF 3M</v>
      </c>
      <c r="D267" s="603"/>
      <c r="E267" s="604"/>
      <c r="F267" s="607" t="s">
        <v>20</v>
      </c>
      <c r="G267" s="608">
        <v>0</v>
      </c>
    </row>
    <row r="268" spans="1:7" ht="11.1" customHeight="1">
      <c r="A268" s="600" t="str">
        <f t="shared" si="20"/>
        <v>CHF;CHF 3M;25Y</v>
      </c>
      <c r="B268" s="600" t="str">
        <f t="shared" si="21"/>
        <v>CHF</v>
      </c>
      <c r="C268" s="600" t="str">
        <f t="shared" si="21"/>
        <v>CHF 3M</v>
      </c>
      <c r="D268" s="603"/>
      <c r="E268" s="604"/>
      <c r="F268" s="607" t="s">
        <v>21</v>
      </c>
      <c r="G268" s="608">
        <v>0</v>
      </c>
    </row>
    <row r="269" spans="1:7" ht="11.1" customHeight="1">
      <c r="A269" s="600" t="str">
        <f t="shared" si="20"/>
        <v>CHF;CHF 3M;30Y</v>
      </c>
      <c r="B269" s="600" t="str">
        <f t="shared" si="21"/>
        <v>CHF</v>
      </c>
      <c r="C269" s="600" t="str">
        <f t="shared" si="21"/>
        <v>CHF 3M</v>
      </c>
      <c r="D269" s="603"/>
      <c r="E269" s="604"/>
      <c r="F269" s="607" t="s">
        <v>22</v>
      </c>
      <c r="G269" s="608">
        <v>0</v>
      </c>
    </row>
    <row r="270" spans="1:7" ht="11.1" customHeight="1">
      <c r="A270" s="600" t="str">
        <f t="shared" si="20"/>
        <v>CHF;CHF 6M;Total CHF 6M</v>
      </c>
      <c r="B270" s="600" t="str">
        <f t="shared" si="21"/>
        <v>CHF</v>
      </c>
      <c r="C270" s="600" t="str">
        <f t="shared" si="21"/>
        <v>CHF 6M</v>
      </c>
      <c r="D270" s="603"/>
      <c r="E270" s="604" t="s">
        <v>1192</v>
      </c>
      <c r="F270" s="605" t="s">
        <v>1193</v>
      </c>
      <c r="G270" s="611">
        <v>5844.8547693216296</v>
      </c>
    </row>
    <row r="271" spans="1:7" ht="11.1" customHeight="1">
      <c r="A271" s="600" t="str">
        <f t="shared" si="20"/>
        <v>CHF;CHF 6M;S/N</v>
      </c>
      <c r="B271" s="600" t="str">
        <f t="shared" si="21"/>
        <v>CHF</v>
      </c>
      <c r="C271" s="600" t="str">
        <f t="shared" si="21"/>
        <v>CHF 6M</v>
      </c>
      <c r="D271" s="603"/>
      <c r="E271" s="604"/>
      <c r="F271" s="607" t="s">
        <v>23</v>
      </c>
      <c r="G271" s="611">
        <v>50.367449666317</v>
      </c>
    </row>
    <row r="272" spans="1:7" ht="11.1" customHeight="1">
      <c r="A272" s="600" t="str">
        <f t="shared" si="20"/>
        <v>CHF;CHF 6M;6M</v>
      </c>
      <c r="B272" s="600" t="str">
        <f t="shared" si="21"/>
        <v>CHF</v>
      </c>
      <c r="C272" s="600" t="str">
        <f t="shared" si="21"/>
        <v>CHF 6M</v>
      </c>
      <c r="D272" s="603"/>
      <c r="E272" s="604"/>
      <c r="F272" s="607" t="s">
        <v>28</v>
      </c>
      <c r="G272" s="606">
        <v>-704.83817670429005</v>
      </c>
    </row>
    <row r="273" spans="1:7" ht="11.1" customHeight="1">
      <c r="A273" s="600" t="str">
        <f t="shared" si="20"/>
        <v>CHF;CHF 6M;6M-12M</v>
      </c>
      <c r="B273" s="600" t="str">
        <f t="shared" si="21"/>
        <v>CHF</v>
      </c>
      <c r="C273" s="600" t="str">
        <f t="shared" si="21"/>
        <v>CHF 6M</v>
      </c>
      <c r="D273" s="603"/>
      <c r="E273" s="604"/>
      <c r="F273" s="607" t="s">
        <v>1194</v>
      </c>
      <c r="G273" s="606">
        <v>-359.76600310997298</v>
      </c>
    </row>
    <row r="274" spans="1:7" ht="11.1" customHeight="1">
      <c r="A274" s="600" t="str">
        <f t="shared" si="20"/>
        <v>CHF;CHF 6M;9M-15M</v>
      </c>
      <c r="B274" s="600" t="str">
        <f t="shared" si="21"/>
        <v>CHF</v>
      </c>
      <c r="C274" s="600" t="str">
        <f t="shared" si="21"/>
        <v>CHF 6M</v>
      </c>
      <c r="D274" s="603"/>
      <c r="E274" s="604"/>
      <c r="F274" s="607" t="s">
        <v>1195</v>
      </c>
      <c r="G274" s="606">
        <v>-155.53307652177099</v>
      </c>
    </row>
    <row r="275" spans="1:7" ht="11.1" customHeight="1">
      <c r="A275" s="600" t="str">
        <f t="shared" si="20"/>
        <v>CHF;CHF 6M;12M-18M</v>
      </c>
      <c r="B275" s="600" t="str">
        <f t="shared" si="21"/>
        <v>CHF</v>
      </c>
      <c r="C275" s="600" t="str">
        <f t="shared" si="21"/>
        <v>CHF 6M</v>
      </c>
      <c r="D275" s="603"/>
      <c r="E275" s="604"/>
      <c r="F275" s="607" t="s">
        <v>1196</v>
      </c>
      <c r="G275" s="606">
        <v>-715.57521742466201</v>
      </c>
    </row>
    <row r="276" spans="1:7" ht="11.1" customHeight="1">
      <c r="A276" s="600" t="str">
        <f t="shared" si="20"/>
        <v>CHF;CHF 6M;2Y</v>
      </c>
      <c r="B276" s="600" t="str">
        <f t="shared" si="21"/>
        <v>CHF</v>
      </c>
      <c r="C276" s="600" t="str">
        <f t="shared" si="21"/>
        <v>CHF 6M</v>
      </c>
      <c r="D276" s="603"/>
      <c r="E276" s="604"/>
      <c r="F276" s="607" t="s">
        <v>9</v>
      </c>
      <c r="G276" s="611">
        <v>3836.2569989313301</v>
      </c>
    </row>
    <row r="277" spans="1:7" ht="11.1" customHeight="1">
      <c r="A277" s="600" t="str">
        <f t="shared" si="20"/>
        <v>CHF;CHF 6M;3Y</v>
      </c>
      <c r="B277" s="600" t="str">
        <f t="shared" ref="B277:C292" si="22">IF(ISBLANK(D277),B276,D277)</f>
        <v>CHF</v>
      </c>
      <c r="C277" s="600" t="str">
        <f t="shared" si="22"/>
        <v>CHF 6M</v>
      </c>
      <c r="D277" s="603"/>
      <c r="E277" s="604"/>
      <c r="F277" s="607" t="s">
        <v>10</v>
      </c>
      <c r="G277" s="611">
        <v>5149.8699719669803</v>
      </c>
    </row>
    <row r="278" spans="1:7" ht="11.1" customHeight="1">
      <c r="A278" s="600" t="str">
        <f t="shared" si="20"/>
        <v>CHF;CHF 6M;4Y</v>
      </c>
      <c r="B278" s="600" t="str">
        <f t="shared" si="22"/>
        <v>CHF</v>
      </c>
      <c r="C278" s="600" t="str">
        <f t="shared" si="22"/>
        <v>CHF 6M</v>
      </c>
      <c r="D278" s="603"/>
      <c r="E278" s="604"/>
      <c r="F278" s="607" t="s">
        <v>11</v>
      </c>
      <c r="G278" s="606">
        <v>-5641.1840592729905</v>
      </c>
    </row>
    <row r="279" spans="1:7" ht="11.1" customHeight="1">
      <c r="A279" s="600" t="str">
        <f t="shared" si="20"/>
        <v>CHF;CHF 6M;5Y</v>
      </c>
      <c r="B279" s="600" t="str">
        <f t="shared" si="22"/>
        <v>CHF</v>
      </c>
      <c r="C279" s="600" t="str">
        <f t="shared" si="22"/>
        <v>CHF 6M</v>
      </c>
      <c r="D279" s="603"/>
      <c r="E279" s="604"/>
      <c r="F279" s="607" t="s">
        <v>12</v>
      </c>
      <c r="G279" s="611">
        <v>4468.2741719695696</v>
      </c>
    </row>
    <row r="280" spans="1:7" ht="11.1" customHeight="1">
      <c r="A280" s="600" t="str">
        <f t="shared" si="20"/>
        <v>CHF;CHF 6M;6Y</v>
      </c>
      <c r="B280" s="600" t="str">
        <f t="shared" si="22"/>
        <v>CHF</v>
      </c>
      <c r="C280" s="600" t="str">
        <f t="shared" si="22"/>
        <v>CHF 6M</v>
      </c>
      <c r="D280" s="603"/>
      <c r="E280" s="604"/>
      <c r="F280" s="607" t="s">
        <v>13</v>
      </c>
      <c r="G280" s="606">
        <v>-83.701492857924094</v>
      </c>
    </row>
    <row r="281" spans="1:7" ht="11.1" customHeight="1">
      <c r="A281" s="600" t="str">
        <f t="shared" si="20"/>
        <v>CHF;CHF 6M;7Y</v>
      </c>
      <c r="B281" s="600" t="str">
        <f t="shared" si="22"/>
        <v>CHF</v>
      </c>
      <c r="C281" s="600" t="str">
        <f t="shared" si="22"/>
        <v>CHF 6M</v>
      </c>
      <c r="D281" s="603"/>
      <c r="E281" s="604"/>
      <c r="F281" s="607" t="s">
        <v>14</v>
      </c>
      <c r="G281" s="611">
        <v>0.687979053656674</v>
      </c>
    </row>
    <row r="282" spans="1:7" ht="11.1" customHeight="1">
      <c r="A282" s="600" t="str">
        <f t="shared" si="20"/>
        <v>CHF;CHF 6M;8Y</v>
      </c>
      <c r="B282" s="600" t="str">
        <f t="shared" si="22"/>
        <v>CHF</v>
      </c>
      <c r="C282" s="600" t="str">
        <f t="shared" si="22"/>
        <v>CHF 6M</v>
      </c>
      <c r="D282" s="603"/>
      <c r="E282" s="604"/>
      <c r="F282" s="607" t="s">
        <v>15</v>
      </c>
      <c r="G282" s="606">
        <v>-3.8074245027936099E-3</v>
      </c>
    </row>
    <row r="283" spans="1:7" ht="11.1" customHeight="1">
      <c r="A283" s="600" t="str">
        <f t="shared" si="20"/>
        <v>CHF;CHF 6M;9Y</v>
      </c>
      <c r="B283" s="600" t="str">
        <f t="shared" si="22"/>
        <v>CHF</v>
      </c>
      <c r="C283" s="600" t="str">
        <f t="shared" si="22"/>
        <v>CHF 6M</v>
      </c>
      <c r="D283" s="603"/>
      <c r="E283" s="604"/>
      <c r="F283" s="607" t="s">
        <v>16</v>
      </c>
      <c r="G283" s="611">
        <v>3.1312299112156499E-5</v>
      </c>
    </row>
    <row r="284" spans="1:7" ht="11.1" customHeight="1">
      <c r="A284" s="600" t="str">
        <f t="shared" si="20"/>
        <v>CHF;CHF 6M;10Y</v>
      </c>
      <c r="B284" s="600" t="str">
        <f t="shared" si="22"/>
        <v>CHF</v>
      </c>
      <c r="C284" s="600" t="str">
        <f t="shared" si="22"/>
        <v>CHF 6M</v>
      </c>
      <c r="D284" s="603"/>
      <c r="E284" s="604"/>
      <c r="F284" s="607" t="s">
        <v>17</v>
      </c>
      <c r="G284" s="606">
        <v>-2.6536472793373199E-7</v>
      </c>
    </row>
    <row r="285" spans="1:7" ht="11.1" customHeight="1">
      <c r="A285" s="600" t="str">
        <f t="shared" si="20"/>
        <v>CHF;CHF 6M;11Y</v>
      </c>
      <c r="B285" s="600" t="str">
        <f t="shared" si="22"/>
        <v>CHF</v>
      </c>
      <c r="C285" s="600" t="str">
        <f t="shared" si="22"/>
        <v>CHF 6M</v>
      </c>
      <c r="D285" s="603"/>
      <c r="E285" s="604"/>
      <c r="F285" s="607" t="s">
        <v>31</v>
      </c>
      <c r="G285" s="611">
        <v>2.94467452007156E-9</v>
      </c>
    </row>
    <row r="286" spans="1:7" ht="11.1" customHeight="1">
      <c r="A286" s="600" t="str">
        <f t="shared" si="20"/>
        <v>CHF;CHF 6M;12Y</v>
      </c>
      <c r="B286" s="600" t="str">
        <f t="shared" si="22"/>
        <v>CHF</v>
      </c>
      <c r="C286" s="600" t="str">
        <f t="shared" si="22"/>
        <v>CHF 6M</v>
      </c>
      <c r="D286" s="603"/>
      <c r="E286" s="604"/>
      <c r="F286" s="607" t="s">
        <v>18</v>
      </c>
      <c r="G286" s="608">
        <v>0</v>
      </c>
    </row>
    <row r="287" spans="1:7" ht="11.1" customHeight="1">
      <c r="A287" s="600" t="str">
        <f t="shared" si="20"/>
        <v>CHF;CHF 6M;15Y</v>
      </c>
      <c r="B287" s="600" t="str">
        <f t="shared" si="22"/>
        <v>CHF</v>
      </c>
      <c r="C287" s="600" t="str">
        <f t="shared" si="22"/>
        <v>CHF 6M</v>
      </c>
      <c r="D287" s="603"/>
      <c r="E287" s="604"/>
      <c r="F287" s="607" t="s">
        <v>19</v>
      </c>
      <c r="G287" s="608">
        <v>0</v>
      </c>
    </row>
    <row r="288" spans="1:7" ht="11.1" customHeight="1">
      <c r="A288" s="600" t="str">
        <f t="shared" si="20"/>
        <v>CHF;CHF 6M;20Y</v>
      </c>
      <c r="B288" s="600" t="str">
        <f t="shared" si="22"/>
        <v>CHF</v>
      </c>
      <c r="C288" s="600" t="str">
        <f t="shared" si="22"/>
        <v>CHF 6M</v>
      </c>
      <c r="D288" s="603"/>
      <c r="E288" s="604"/>
      <c r="F288" s="607" t="s">
        <v>20</v>
      </c>
      <c r="G288" s="608">
        <v>0</v>
      </c>
    </row>
    <row r="289" spans="1:7" ht="11.1" customHeight="1">
      <c r="A289" s="600" t="str">
        <f t="shared" si="20"/>
        <v>CHF;CHF 6M;25Y</v>
      </c>
      <c r="B289" s="600" t="str">
        <f t="shared" si="22"/>
        <v>CHF</v>
      </c>
      <c r="C289" s="600" t="str">
        <f t="shared" si="22"/>
        <v>CHF 6M</v>
      </c>
      <c r="D289" s="603"/>
      <c r="E289" s="604"/>
      <c r="F289" s="607" t="s">
        <v>21</v>
      </c>
      <c r="G289" s="608">
        <v>0</v>
      </c>
    </row>
    <row r="290" spans="1:7" ht="11.1" customHeight="1">
      <c r="A290" s="600" t="str">
        <f t="shared" si="20"/>
        <v>CHF;CHF 6M;30Y</v>
      </c>
      <c r="B290" s="600" t="str">
        <f t="shared" si="22"/>
        <v>CHF</v>
      </c>
      <c r="C290" s="600" t="str">
        <f t="shared" si="22"/>
        <v>CHF 6M</v>
      </c>
      <c r="D290" s="603"/>
      <c r="E290" s="604"/>
      <c r="F290" s="607" t="s">
        <v>22</v>
      </c>
      <c r="G290" s="608">
        <v>0</v>
      </c>
    </row>
    <row r="291" spans="1:7" ht="11.1" customHeight="1">
      <c r="A291" s="600" t="str">
        <f t="shared" si="20"/>
        <v>CHF;CHF :STD;Total CHF :STD</v>
      </c>
      <c r="B291" s="600" t="str">
        <f t="shared" si="22"/>
        <v>CHF</v>
      </c>
      <c r="C291" s="600" t="str">
        <f t="shared" si="22"/>
        <v>CHF :STD</v>
      </c>
      <c r="D291" s="603"/>
      <c r="E291" s="604" t="s">
        <v>1197</v>
      </c>
      <c r="F291" s="605" t="s">
        <v>1198</v>
      </c>
      <c r="G291" s="606">
        <v>-499.74070157732501</v>
      </c>
    </row>
    <row r="292" spans="1:7" ht="11.1" customHeight="1">
      <c r="A292" s="600" t="str">
        <f t="shared" si="20"/>
        <v>CHF;CHF :STD;S/N</v>
      </c>
      <c r="B292" s="600" t="str">
        <f t="shared" si="22"/>
        <v>CHF</v>
      </c>
      <c r="C292" s="600" t="str">
        <f t="shared" si="22"/>
        <v>CHF :STD</v>
      </c>
      <c r="D292" s="603"/>
      <c r="E292" s="604"/>
      <c r="F292" s="607" t="s">
        <v>23</v>
      </c>
      <c r="G292" s="606">
        <v>-5.6905545278489303E-2</v>
      </c>
    </row>
    <row r="293" spans="1:7" ht="11.1" customHeight="1">
      <c r="A293" s="600" t="str">
        <f t="shared" si="20"/>
        <v>CHF;CHF :STD;1W</v>
      </c>
      <c r="B293" s="600" t="str">
        <f t="shared" ref="B293:C308" si="23">IF(ISBLANK(D293),B292,D293)</f>
        <v>CHF</v>
      </c>
      <c r="C293" s="600" t="str">
        <f t="shared" si="23"/>
        <v>CHF :STD</v>
      </c>
      <c r="D293" s="603"/>
      <c r="E293" s="604"/>
      <c r="F293" s="607" t="s">
        <v>5</v>
      </c>
      <c r="G293" s="611">
        <v>1.7263423623864502E-2</v>
      </c>
    </row>
    <row r="294" spans="1:7" ht="11.1" customHeight="1">
      <c r="A294" s="600" t="str">
        <f t="shared" si="20"/>
        <v>CHF;CHF :STD;1M</v>
      </c>
      <c r="B294" s="600" t="str">
        <f t="shared" si="23"/>
        <v>CHF</v>
      </c>
      <c r="C294" s="600" t="str">
        <f t="shared" si="23"/>
        <v>CHF :STD</v>
      </c>
      <c r="D294" s="603"/>
      <c r="E294" s="604"/>
      <c r="F294" s="607" t="s">
        <v>7</v>
      </c>
      <c r="G294" s="611">
        <v>0.52687184041839297</v>
      </c>
    </row>
    <row r="295" spans="1:7" ht="11.1" customHeight="1">
      <c r="A295" s="600" t="str">
        <f t="shared" si="20"/>
        <v>CHF;CHF :STD;2M</v>
      </c>
      <c r="B295" s="600" t="str">
        <f t="shared" si="23"/>
        <v>CHF</v>
      </c>
      <c r="C295" s="600" t="str">
        <f t="shared" si="23"/>
        <v>CHF :STD</v>
      </c>
      <c r="D295" s="603"/>
      <c r="E295" s="604"/>
      <c r="F295" s="607" t="s">
        <v>8</v>
      </c>
      <c r="G295" s="611">
        <v>2.7755575615628901E-17</v>
      </c>
    </row>
    <row r="296" spans="1:7" ht="11.1" customHeight="1">
      <c r="A296" s="600" t="str">
        <f t="shared" si="20"/>
        <v>CHF;CHF :STD;3M</v>
      </c>
      <c r="B296" s="600" t="str">
        <f t="shared" si="23"/>
        <v>CHF</v>
      </c>
      <c r="C296" s="600" t="str">
        <f t="shared" si="23"/>
        <v>CHF :STD</v>
      </c>
      <c r="D296" s="603"/>
      <c r="E296" s="604"/>
      <c r="F296" s="607" t="s">
        <v>25</v>
      </c>
      <c r="G296" s="611">
        <v>0.63784630714556401</v>
      </c>
    </row>
    <row r="297" spans="1:7" ht="11.1" customHeight="1">
      <c r="A297" s="600" t="str">
        <f t="shared" si="20"/>
        <v>CHF;CHF :STD;DEC 16</v>
      </c>
      <c r="B297" s="600" t="str">
        <f t="shared" si="23"/>
        <v>CHF</v>
      </c>
      <c r="C297" s="600" t="str">
        <f t="shared" si="23"/>
        <v>CHF :STD</v>
      </c>
      <c r="D297" s="603"/>
      <c r="E297" s="604"/>
      <c r="F297" s="607" t="s">
        <v>1060</v>
      </c>
      <c r="G297" s="606">
        <v>-498.29544548317602</v>
      </c>
    </row>
    <row r="298" spans="1:7" ht="11.1" customHeight="1">
      <c r="A298" s="600" t="str">
        <f t="shared" si="20"/>
        <v>CHF;CHF :STD;MAR 17</v>
      </c>
      <c r="B298" s="600" t="str">
        <f t="shared" si="23"/>
        <v>CHF</v>
      </c>
      <c r="C298" s="600" t="str">
        <f t="shared" si="23"/>
        <v>CHF :STD</v>
      </c>
      <c r="D298" s="603"/>
      <c r="E298" s="604"/>
      <c r="F298" s="607" t="s">
        <v>1063</v>
      </c>
      <c r="G298" s="611">
        <v>2.35577420473181</v>
      </c>
    </row>
    <row r="299" spans="1:7" ht="11.1" customHeight="1">
      <c r="A299" s="600" t="str">
        <f t="shared" si="20"/>
        <v>CHF;CHF :STD;JUN 17</v>
      </c>
      <c r="B299" s="600" t="str">
        <f t="shared" si="23"/>
        <v>CHF</v>
      </c>
      <c r="C299" s="600" t="str">
        <f t="shared" si="23"/>
        <v>CHF :STD</v>
      </c>
      <c r="D299" s="603"/>
      <c r="E299" s="604"/>
      <c r="F299" s="607" t="s">
        <v>1066</v>
      </c>
      <c r="G299" s="611">
        <v>2.3453095288462</v>
      </c>
    </row>
    <row r="300" spans="1:7" ht="11.1" customHeight="1">
      <c r="A300" s="600" t="str">
        <f t="shared" si="20"/>
        <v>CHF;CHF :STD;SEP 17</v>
      </c>
      <c r="B300" s="600" t="str">
        <f t="shared" si="23"/>
        <v>CHF</v>
      </c>
      <c r="C300" s="600" t="str">
        <f t="shared" si="23"/>
        <v>CHF :STD</v>
      </c>
      <c r="D300" s="603"/>
      <c r="E300" s="604"/>
      <c r="F300" s="607" t="s">
        <v>1069</v>
      </c>
      <c r="G300" s="611">
        <v>5.9863172362943997</v>
      </c>
    </row>
    <row r="301" spans="1:7" ht="11.1" customHeight="1">
      <c r="A301" s="600" t="str">
        <f t="shared" si="20"/>
        <v>CHF;CHF :STD;DEC 17</v>
      </c>
      <c r="B301" s="600" t="str">
        <f t="shared" si="23"/>
        <v>CHF</v>
      </c>
      <c r="C301" s="600" t="str">
        <f t="shared" si="23"/>
        <v>CHF :STD</v>
      </c>
      <c r="D301" s="603"/>
      <c r="E301" s="604"/>
      <c r="F301" s="607" t="s">
        <v>3865</v>
      </c>
      <c r="G301" s="611">
        <v>10.958340599366</v>
      </c>
    </row>
    <row r="302" spans="1:7" ht="11.1" customHeight="1">
      <c r="A302" s="600" t="str">
        <f t="shared" si="20"/>
        <v>CHF;CHF :STD;MAR 18</v>
      </c>
      <c r="B302" s="600" t="str">
        <f t="shared" si="23"/>
        <v>CHF</v>
      </c>
      <c r="C302" s="600" t="str">
        <f t="shared" si="23"/>
        <v>CHF :STD</v>
      </c>
      <c r="D302" s="603"/>
      <c r="E302" s="604"/>
      <c r="F302" s="607" t="s">
        <v>3866</v>
      </c>
      <c r="G302" s="611">
        <v>5.7650304866044202</v>
      </c>
    </row>
    <row r="303" spans="1:7" ht="11.1" customHeight="1">
      <c r="A303" s="600" t="str">
        <f t="shared" si="20"/>
        <v>CHF;CHF :STD;2Y</v>
      </c>
      <c r="B303" s="600" t="str">
        <f t="shared" si="23"/>
        <v>CHF</v>
      </c>
      <c r="C303" s="600" t="str">
        <f t="shared" si="23"/>
        <v>CHF :STD</v>
      </c>
      <c r="D303" s="603"/>
      <c r="E303" s="604"/>
      <c r="F303" s="607" t="s">
        <v>9</v>
      </c>
      <c r="G303" s="606">
        <v>-29.868474603133301</v>
      </c>
    </row>
    <row r="304" spans="1:7" ht="11.1" customHeight="1">
      <c r="A304" s="600" t="str">
        <f t="shared" si="20"/>
        <v>CHF;CHF :STD;3Y</v>
      </c>
      <c r="B304" s="600" t="str">
        <f t="shared" si="23"/>
        <v>CHF</v>
      </c>
      <c r="C304" s="600" t="str">
        <f t="shared" si="23"/>
        <v>CHF :STD</v>
      </c>
      <c r="D304" s="603"/>
      <c r="E304" s="604"/>
      <c r="F304" s="607" t="s">
        <v>10</v>
      </c>
      <c r="G304" s="606">
        <v>-0.112629572767855</v>
      </c>
    </row>
    <row r="305" spans="1:7" ht="11.1" customHeight="1">
      <c r="A305" s="600" t="str">
        <f t="shared" si="20"/>
        <v>CHF;CHF :STD;4Y</v>
      </c>
      <c r="B305" s="600" t="str">
        <f t="shared" si="23"/>
        <v>CHF</v>
      </c>
      <c r="C305" s="600" t="str">
        <f t="shared" si="23"/>
        <v>CHF :STD</v>
      </c>
      <c r="D305" s="603"/>
      <c r="E305" s="604"/>
      <c r="F305" s="607" t="s">
        <v>11</v>
      </c>
      <c r="G305" s="608">
        <v>0</v>
      </c>
    </row>
    <row r="306" spans="1:7" ht="11.1" customHeight="1">
      <c r="A306" s="600" t="str">
        <f t="shared" si="20"/>
        <v>CHF;CHF :STD;5Y</v>
      </c>
      <c r="B306" s="600" t="str">
        <f t="shared" si="23"/>
        <v>CHF</v>
      </c>
      <c r="C306" s="600" t="str">
        <f t="shared" si="23"/>
        <v>CHF :STD</v>
      </c>
      <c r="D306" s="603"/>
      <c r="E306" s="604"/>
      <c r="F306" s="607" t="s">
        <v>12</v>
      </c>
      <c r="G306" s="608">
        <v>0</v>
      </c>
    </row>
    <row r="307" spans="1:7" ht="11.1" customHeight="1">
      <c r="A307" s="600" t="str">
        <f t="shared" si="20"/>
        <v>CHF;CHF :STD;6Y</v>
      </c>
      <c r="B307" s="600" t="str">
        <f t="shared" si="23"/>
        <v>CHF</v>
      </c>
      <c r="C307" s="600" t="str">
        <f t="shared" si="23"/>
        <v>CHF :STD</v>
      </c>
      <c r="D307" s="603"/>
      <c r="E307" s="604"/>
      <c r="F307" s="607" t="s">
        <v>13</v>
      </c>
      <c r="G307" s="608">
        <v>0</v>
      </c>
    </row>
    <row r="308" spans="1:7" ht="11.1" customHeight="1">
      <c r="A308" s="600" t="str">
        <f t="shared" si="20"/>
        <v>CHF;CHF :STD;7Y</v>
      </c>
      <c r="B308" s="600" t="str">
        <f t="shared" si="23"/>
        <v>CHF</v>
      </c>
      <c r="C308" s="600" t="str">
        <f t="shared" si="23"/>
        <v>CHF :STD</v>
      </c>
      <c r="D308" s="603"/>
      <c r="E308" s="604"/>
      <c r="F308" s="607" t="s">
        <v>14</v>
      </c>
      <c r="G308" s="608">
        <v>0</v>
      </c>
    </row>
    <row r="309" spans="1:7" ht="11.1" customHeight="1">
      <c r="A309" s="600" t="str">
        <f t="shared" si="20"/>
        <v>CHF;CHF :STD;8Y</v>
      </c>
      <c r="B309" s="600" t="str">
        <f t="shared" ref="B309:C324" si="24">IF(ISBLANK(D309),B308,D309)</f>
        <v>CHF</v>
      </c>
      <c r="C309" s="600" t="str">
        <f t="shared" si="24"/>
        <v>CHF :STD</v>
      </c>
      <c r="D309" s="603"/>
      <c r="E309" s="604"/>
      <c r="F309" s="607" t="s">
        <v>15</v>
      </c>
      <c r="G309" s="608">
        <v>0</v>
      </c>
    </row>
    <row r="310" spans="1:7" ht="11.1" customHeight="1">
      <c r="A310" s="600" t="str">
        <f t="shared" si="20"/>
        <v>CHF;CHF :STD;9Y</v>
      </c>
      <c r="B310" s="600" t="str">
        <f t="shared" si="24"/>
        <v>CHF</v>
      </c>
      <c r="C310" s="600" t="str">
        <f t="shared" si="24"/>
        <v>CHF :STD</v>
      </c>
      <c r="D310" s="603"/>
      <c r="E310" s="604"/>
      <c r="F310" s="607" t="s">
        <v>16</v>
      </c>
      <c r="G310" s="608">
        <v>0</v>
      </c>
    </row>
    <row r="311" spans="1:7" ht="11.1" customHeight="1">
      <c r="A311" s="600" t="str">
        <f t="shared" si="20"/>
        <v>CHF;CHF :STD;10Y</v>
      </c>
      <c r="B311" s="600" t="str">
        <f t="shared" si="24"/>
        <v>CHF</v>
      </c>
      <c r="C311" s="600" t="str">
        <f t="shared" si="24"/>
        <v>CHF :STD</v>
      </c>
      <c r="D311" s="603"/>
      <c r="E311" s="604"/>
      <c r="F311" s="607" t="s">
        <v>17</v>
      </c>
      <c r="G311" s="608">
        <v>0</v>
      </c>
    </row>
    <row r="312" spans="1:7" ht="11.1" customHeight="1">
      <c r="A312" s="600" t="str">
        <f t="shared" si="20"/>
        <v>CHF;CHF :STD;12Y</v>
      </c>
      <c r="B312" s="600" t="str">
        <f t="shared" si="24"/>
        <v>CHF</v>
      </c>
      <c r="C312" s="600" t="str">
        <f t="shared" si="24"/>
        <v>CHF :STD</v>
      </c>
      <c r="D312" s="603"/>
      <c r="E312" s="604"/>
      <c r="F312" s="607" t="s">
        <v>18</v>
      </c>
      <c r="G312" s="608">
        <v>0</v>
      </c>
    </row>
    <row r="313" spans="1:7" ht="11.1" customHeight="1">
      <c r="A313" s="600" t="str">
        <f t="shared" si="20"/>
        <v>CHF;CHF :STD;15Y</v>
      </c>
      <c r="B313" s="600" t="str">
        <f t="shared" si="24"/>
        <v>CHF</v>
      </c>
      <c r="C313" s="600" t="str">
        <f t="shared" si="24"/>
        <v>CHF :STD</v>
      </c>
      <c r="D313" s="603"/>
      <c r="E313" s="604"/>
      <c r="F313" s="607" t="s">
        <v>19</v>
      </c>
      <c r="G313" s="608">
        <v>0</v>
      </c>
    </row>
    <row r="314" spans="1:7" ht="11.1" customHeight="1">
      <c r="A314" s="600" t="str">
        <f t="shared" si="20"/>
        <v>CHF;CHF :STD;20Y</v>
      </c>
      <c r="B314" s="600" t="str">
        <f t="shared" si="24"/>
        <v>CHF</v>
      </c>
      <c r="C314" s="600" t="str">
        <f t="shared" si="24"/>
        <v>CHF :STD</v>
      </c>
      <c r="D314" s="603"/>
      <c r="E314" s="604"/>
      <c r="F314" s="607" t="s">
        <v>20</v>
      </c>
      <c r="G314" s="608">
        <v>0</v>
      </c>
    </row>
    <row r="315" spans="1:7" ht="11.1" customHeight="1">
      <c r="A315" s="600" t="str">
        <f t="shared" si="20"/>
        <v>CHF;CHF :STD;25Y</v>
      </c>
      <c r="B315" s="600" t="str">
        <f t="shared" si="24"/>
        <v>CHF</v>
      </c>
      <c r="C315" s="600" t="str">
        <f t="shared" si="24"/>
        <v>CHF :STD</v>
      </c>
      <c r="D315" s="603"/>
      <c r="E315" s="604"/>
      <c r="F315" s="607" t="s">
        <v>21</v>
      </c>
      <c r="G315" s="608">
        <v>0</v>
      </c>
    </row>
    <row r="316" spans="1:7" ht="11.1" customHeight="1">
      <c r="A316" s="600" t="str">
        <f t="shared" si="20"/>
        <v>CHF;CHF :STD;30Y</v>
      </c>
      <c r="B316" s="600" t="str">
        <f t="shared" si="24"/>
        <v>CHF</v>
      </c>
      <c r="C316" s="600" t="str">
        <f t="shared" si="24"/>
        <v>CHF :STD</v>
      </c>
      <c r="D316" s="603"/>
      <c r="E316" s="604"/>
      <c r="F316" s="607" t="s">
        <v>22</v>
      </c>
      <c r="G316" s="608">
        <v>0</v>
      </c>
    </row>
    <row r="317" spans="1:7" ht="11.1" customHeight="1">
      <c r="A317" s="600" t="str">
        <f t="shared" si="20"/>
        <v>CHF;CHF FOREX;Total CHF FOREX</v>
      </c>
      <c r="B317" s="600" t="str">
        <f t="shared" si="24"/>
        <v>CHF</v>
      </c>
      <c r="C317" s="600" t="str">
        <f t="shared" si="24"/>
        <v>CHF FOREX</v>
      </c>
      <c r="D317" s="603"/>
      <c r="E317" s="604" t="s">
        <v>1199</v>
      </c>
      <c r="F317" s="605" t="s">
        <v>1200</v>
      </c>
      <c r="G317" s="611">
        <v>20.955056366415299</v>
      </c>
    </row>
    <row r="318" spans="1:7" ht="11.1" customHeight="1">
      <c r="A318" s="600" t="str">
        <f t="shared" si="20"/>
        <v>CHF;CHF FOREX;O/N</v>
      </c>
      <c r="B318" s="600" t="str">
        <f t="shared" si="24"/>
        <v>CHF</v>
      </c>
      <c r="C318" s="600" t="str">
        <f t="shared" si="24"/>
        <v>CHF FOREX</v>
      </c>
      <c r="D318" s="603"/>
      <c r="E318" s="604"/>
      <c r="F318" s="607" t="s">
        <v>3</v>
      </c>
      <c r="G318" s="606">
        <v>-2.5762788990462901</v>
      </c>
    </row>
    <row r="319" spans="1:7" ht="11.1" customHeight="1">
      <c r="A319" s="600" t="str">
        <f t="shared" si="20"/>
        <v>CHF;CHF FOREX;T/N</v>
      </c>
      <c r="B319" s="600" t="str">
        <f t="shared" si="24"/>
        <v>CHF</v>
      </c>
      <c r="C319" s="600" t="str">
        <f t="shared" si="24"/>
        <v>CHF FOREX</v>
      </c>
      <c r="D319" s="603"/>
      <c r="E319" s="604"/>
      <c r="F319" s="607" t="s">
        <v>4</v>
      </c>
      <c r="G319" s="606">
        <v>-0.85872788208518003</v>
      </c>
    </row>
    <row r="320" spans="1:7" ht="11.1" customHeight="1">
      <c r="A320" s="600" t="str">
        <f t="shared" si="20"/>
        <v>CHF;CHF FOREX;S/N</v>
      </c>
      <c r="B320" s="600" t="str">
        <f t="shared" si="24"/>
        <v>CHF</v>
      </c>
      <c r="C320" s="600" t="str">
        <f t="shared" si="24"/>
        <v>CHF FOREX</v>
      </c>
      <c r="D320" s="603"/>
      <c r="E320" s="604"/>
      <c r="F320" s="607" t="s">
        <v>23</v>
      </c>
      <c r="G320" s="608">
        <v>0</v>
      </c>
    </row>
    <row r="321" spans="1:7" ht="11.1" customHeight="1">
      <c r="A321" s="600" t="str">
        <f t="shared" si="20"/>
        <v>CHF;CHF FOREX;1W</v>
      </c>
      <c r="B321" s="600" t="str">
        <f t="shared" si="24"/>
        <v>CHF</v>
      </c>
      <c r="C321" s="600" t="str">
        <f t="shared" si="24"/>
        <v>CHF FOREX</v>
      </c>
      <c r="D321" s="603"/>
      <c r="E321" s="604"/>
      <c r="F321" s="607" t="s">
        <v>5</v>
      </c>
      <c r="G321" s="611">
        <v>7.7639470387704601E-3</v>
      </c>
    </row>
    <row r="322" spans="1:7" ht="11.1" customHeight="1">
      <c r="A322" s="600" t="str">
        <f t="shared" si="20"/>
        <v>CHF;CHF FOREX;2W</v>
      </c>
      <c r="B322" s="600" t="str">
        <f t="shared" si="24"/>
        <v>CHF</v>
      </c>
      <c r="C322" s="600" t="str">
        <f t="shared" si="24"/>
        <v>CHF FOREX</v>
      </c>
      <c r="D322" s="603"/>
      <c r="E322" s="604"/>
      <c r="F322" s="607" t="s">
        <v>6</v>
      </c>
      <c r="G322" s="611">
        <v>7.1180579013736204E-3</v>
      </c>
    </row>
    <row r="323" spans="1:7" ht="11.1" customHeight="1">
      <c r="A323" s="600" t="str">
        <f t="shared" si="20"/>
        <v>CHF;CHF FOREX;3W</v>
      </c>
      <c r="B323" s="600" t="str">
        <f t="shared" si="24"/>
        <v>CHF</v>
      </c>
      <c r="C323" s="600" t="str">
        <f t="shared" si="24"/>
        <v>CHF FOREX</v>
      </c>
      <c r="D323" s="603"/>
      <c r="E323" s="604"/>
      <c r="F323" s="607" t="s">
        <v>24</v>
      </c>
      <c r="G323" s="608">
        <v>0</v>
      </c>
    </row>
    <row r="324" spans="1:7" ht="11.1" customHeight="1">
      <c r="A324" s="600" t="str">
        <f t="shared" si="20"/>
        <v>CHF;CHF FOREX;1M</v>
      </c>
      <c r="B324" s="600" t="str">
        <f t="shared" si="24"/>
        <v>CHF</v>
      </c>
      <c r="C324" s="600" t="str">
        <f t="shared" si="24"/>
        <v>CHF FOREX</v>
      </c>
      <c r="D324" s="603"/>
      <c r="E324" s="604"/>
      <c r="F324" s="607" t="s">
        <v>7</v>
      </c>
      <c r="G324" s="611">
        <v>3.1449963265304803E-2</v>
      </c>
    </row>
    <row r="325" spans="1:7" ht="11.1" customHeight="1">
      <c r="A325" s="600" t="str">
        <f t="shared" ref="A325:A388" si="25">B325&amp;";"&amp;C325&amp;";"&amp;F325</f>
        <v>CHF;CHF FOREX;2M</v>
      </c>
      <c r="B325" s="600" t="str">
        <f t="shared" ref="B325:C340" si="26">IF(ISBLANK(D325),B324,D325)</f>
        <v>CHF</v>
      </c>
      <c r="C325" s="600" t="str">
        <f t="shared" si="26"/>
        <v>CHF FOREX</v>
      </c>
      <c r="D325" s="603"/>
      <c r="E325" s="604"/>
      <c r="F325" s="607" t="s">
        <v>8</v>
      </c>
      <c r="G325" s="611">
        <v>4.3078168972540902E-2</v>
      </c>
    </row>
    <row r="326" spans="1:7" ht="11.1" customHeight="1">
      <c r="A326" s="600" t="str">
        <f t="shared" si="25"/>
        <v>CHF;CHF FOREX;3M</v>
      </c>
      <c r="B326" s="600" t="str">
        <f t="shared" si="26"/>
        <v>CHF</v>
      </c>
      <c r="C326" s="600" t="str">
        <f t="shared" si="26"/>
        <v>CHF FOREX</v>
      </c>
      <c r="D326" s="603"/>
      <c r="E326" s="604"/>
      <c r="F326" s="607" t="s">
        <v>25</v>
      </c>
      <c r="G326" s="611">
        <v>0.19143709386750099</v>
      </c>
    </row>
    <row r="327" spans="1:7" ht="11.1" customHeight="1">
      <c r="A327" s="600" t="str">
        <f t="shared" si="25"/>
        <v>CHF;CHF FOREX;4M</v>
      </c>
      <c r="B327" s="600" t="str">
        <f t="shared" si="26"/>
        <v>CHF</v>
      </c>
      <c r="C327" s="600" t="str">
        <f t="shared" si="26"/>
        <v>CHF FOREX</v>
      </c>
      <c r="D327" s="603"/>
      <c r="E327" s="604"/>
      <c r="F327" s="607" t="s">
        <v>26</v>
      </c>
      <c r="G327" s="611">
        <v>0.24495748907798301</v>
      </c>
    </row>
    <row r="328" spans="1:7" ht="11.1" customHeight="1">
      <c r="A328" s="600" t="str">
        <f t="shared" si="25"/>
        <v>CHF;CHF FOREX;5M</v>
      </c>
      <c r="B328" s="600" t="str">
        <f t="shared" si="26"/>
        <v>CHF</v>
      </c>
      <c r="C328" s="600" t="str">
        <f t="shared" si="26"/>
        <v>CHF FOREX</v>
      </c>
      <c r="D328" s="603"/>
      <c r="E328" s="604"/>
      <c r="F328" s="607" t="s">
        <v>27</v>
      </c>
      <c r="G328" s="611">
        <v>0.159181619427777</v>
      </c>
    </row>
    <row r="329" spans="1:7" ht="11.1" customHeight="1">
      <c r="A329" s="600" t="str">
        <f t="shared" si="25"/>
        <v>CHF;CHF FOREX;6M</v>
      </c>
      <c r="B329" s="600" t="str">
        <f t="shared" si="26"/>
        <v>CHF</v>
      </c>
      <c r="C329" s="600" t="str">
        <f t="shared" si="26"/>
        <v>CHF FOREX</v>
      </c>
      <c r="D329" s="603"/>
      <c r="E329" s="604"/>
      <c r="F329" s="607" t="s">
        <v>28</v>
      </c>
      <c r="G329" s="611">
        <v>0.42469589668030899</v>
      </c>
    </row>
    <row r="330" spans="1:7" ht="11.1" customHeight="1">
      <c r="A330" s="600" t="str">
        <f t="shared" si="25"/>
        <v>CHF;CHF FOREX;7M</v>
      </c>
      <c r="B330" s="600" t="str">
        <f t="shared" si="26"/>
        <v>CHF</v>
      </c>
      <c r="C330" s="600" t="str">
        <f t="shared" si="26"/>
        <v>CHF FOREX</v>
      </c>
      <c r="D330" s="603"/>
      <c r="E330" s="604"/>
      <c r="F330" s="607" t="s">
        <v>29</v>
      </c>
      <c r="G330" s="611">
        <v>0.58181442418237805</v>
      </c>
    </row>
    <row r="331" spans="1:7" ht="11.1" customHeight="1">
      <c r="A331" s="600" t="str">
        <f t="shared" si="25"/>
        <v>CHF;CHF FOREX;8M</v>
      </c>
      <c r="B331" s="600" t="str">
        <f t="shared" si="26"/>
        <v>CHF</v>
      </c>
      <c r="C331" s="600" t="str">
        <f t="shared" si="26"/>
        <v>CHF FOREX</v>
      </c>
      <c r="D331" s="603"/>
      <c r="E331" s="604"/>
      <c r="F331" s="607" t="s">
        <v>30</v>
      </c>
      <c r="G331" s="611">
        <v>0.30959368206858401</v>
      </c>
    </row>
    <row r="332" spans="1:7" ht="11.1" customHeight="1">
      <c r="A332" s="600" t="str">
        <f t="shared" si="25"/>
        <v>CHF;CHF FOREX;9M</v>
      </c>
      <c r="B332" s="600" t="str">
        <f t="shared" si="26"/>
        <v>CHF</v>
      </c>
      <c r="C332" s="600" t="str">
        <f t="shared" si="26"/>
        <v>CHF FOREX</v>
      </c>
      <c r="D332" s="603"/>
      <c r="E332" s="604"/>
      <c r="F332" s="607" t="s">
        <v>49</v>
      </c>
      <c r="G332" s="611">
        <v>0.61228029891071201</v>
      </c>
    </row>
    <row r="333" spans="1:7" ht="11.1" customHeight="1">
      <c r="A333" s="600" t="str">
        <f t="shared" si="25"/>
        <v>CHF;CHF FOREX;10M</v>
      </c>
      <c r="B333" s="600" t="str">
        <f t="shared" si="26"/>
        <v>CHF</v>
      </c>
      <c r="C333" s="600" t="str">
        <f t="shared" si="26"/>
        <v>CHF FOREX</v>
      </c>
      <c r="D333" s="603"/>
      <c r="E333" s="604"/>
      <c r="F333" s="607" t="s">
        <v>50</v>
      </c>
      <c r="G333" s="611">
        <v>0.97003124804347995</v>
      </c>
    </row>
    <row r="334" spans="1:7" ht="11.1" customHeight="1">
      <c r="A334" s="600" t="str">
        <f t="shared" si="25"/>
        <v>CHF;CHF FOREX;11M</v>
      </c>
      <c r="B334" s="600" t="str">
        <f t="shared" si="26"/>
        <v>CHF</v>
      </c>
      <c r="C334" s="600" t="str">
        <f t="shared" si="26"/>
        <v>CHF FOREX</v>
      </c>
      <c r="D334" s="603"/>
      <c r="E334" s="604"/>
      <c r="F334" s="607" t="s">
        <v>51</v>
      </c>
      <c r="G334" s="611">
        <v>0.64461897528571099</v>
      </c>
    </row>
    <row r="335" spans="1:7" ht="11.1" customHeight="1">
      <c r="A335" s="600" t="str">
        <f t="shared" si="25"/>
        <v>CHF;CHF FOREX;12M</v>
      </c>
      <c r="B335" s="600" t="str">
        <f t="shared" si="26"/>
        <v>CHF</v>
      </c>
      <c r="C335" s="600" t="str">
        <f t="shared" si="26"/>
        <v>CHF FOREX</v>
      </c>
      <c r="D335" s="603"/>
      <c r="E335" s="604"/>
      <c r="F335" s="607" t="s">
        <v>52</v>
      </c>
      <c r="G335" s="611">
        <v>0.75757359561206195</v>
      </c>
    </row>
    <row r="336" spans="1:7" ht="11.1" customHeight="1">
      <c r="A336" s="600" t="str">
        <f t="shared" si="25"/>
        <v>CHF;CHF FOREX;15M</v>
      </c>
      <c r="B336" s="600" t="str">
        <f t="shared" si="26"/>
        <v>CHF</v>
      </c>
      <c r="C336" s="600" t="str">
        <f t="shared" si="26"/>
        <v>CHF FOREX</v>
      </c>
      <c r="D336" s="603"/>
      <c r="E336" s="604"/>
      <c r="F336" s="607" t="s">
        <v>53</v>
      </c>
      <c r="G336" s="611">
        <v>1.7471724825219099</v>
      </c>
    </row>
    <row r="337" spans="1:7" ht="11.1" customHeight="1">
      <c r="A337" s="600" t="str">
        <f t="shared" si="25"/>
        <v>CHF;CHF FOREX;18M</v>
      </c>
      <c r="B337" s="600" t="str">
        <f t="shared" si="26"/>
        <v>CHF</v>
      </c>
      <c r="C337" s="600" t="str">
        <f t="shared" si="26"/>
        <v>CHF FOREX</v>
      </c>
      <c r="D337" s="603"/>
      <c r="E337" s="604"/>
      <c r="F337" s="607" t="s">
        <v>54</v>
      </c>
      <c r="G337" s="611">
        <v>3.68895920358784</v>
      </c>
    </row>
    <row r="338" spans="1:7" ht="11.1" customHeight="1">
      <c r="A338" s="600" t="str">
        <f t="shared" si="25"/>
        <v>CHF;CHF FOREX;24M</v>
      </c>
      <c r="B338" s="600" t="str">
        <f t="shared" si="26"/>
        <v>CHF</v>
      </c>
      <c r="C338" s="600" t="str">
        <f t="shared" si="26"/>
        <v>CHF FOREX</v>
      </c>
      <c r="D338" s="603"/>
      <c r="E338" s="604"/>
      <c r="F338" s="607" t="s">
        <v>659</v>
      </c>
      <c r="G338" s="611">
        <v>9.4205529072853302</v>
      </c>
    </row>
    <row r="339" spans="1:7" ht="11.1" customHeight="1">
      <c r="A339" s="600" t="str">
        <f t="shared" si="25"/>
        <v>CHF;CHF FOREX;3Y</v>
      </c>
      <c r="B339" s="600" t="str">
        <f t="shared" si="26"/>
        <v>CHF</v>
      </c>
      <c r="C339" s="600" t="str">
        <f t="shared" si="26"/>
        <v>CHF FOREX</v>
      </c>
      <c r="D339" s="603"/>
      <c r="E339" s="604"/>
      <c r="F339" s="607" t="s">
        <v>10</v>
      </c>
      <c r="G339" s="611">
        <v>4.5477840938174401</v>
      </c>
    </row>
    <row r="340" spans="1:7" ht="11.1" customHeight="1">
      <c r="A340" s="600" t="str">
        <f t="shared" si="25"/>
        <v>CHF;CHF FOREX;4Y</v>
      </c>
      <c r="B340" s="600" t="str">
        <f t="shared" si="26"/>
        <v>CHF</v>
      </c>
      <c r="C340" s="600" t="str">
        <f t="shared" si="26"/>
        <v>CHF FOREX</v>
      </c>
      <c r="D340" s="603"/>
      <c r="E340" s="604"/>
      <c r="F340" s="607" t="s">
        <v>11</v>
      </c>
      <c r="G340" s="608">
        <v>0</v>
      </c>
    </row>
    <row r="341" spans="1:7" ht="11.1" customHeight="1">
      <c r="A341" s="600" t="str">
        <f t="shared" si="25"/>
        <v>CHF;CHF FOREX;5Y</v>
      </c>
      <c r="B341" s="600" t="str">
        <f t="shared" ref="B341:C356" si="27">IF(ISBLANK(D341),B340,D341)</f>
        <v>CHF</v>
      </c>
      <c r="C341" s="600" t="str">
        <f t="shared" si="27"/>
        <v>CHF FOREX</v>
      </c>
      <c r="D341" s="603"/>
      <c r="E341" s="604"/>
      <c r="F341" s="607" t="s">
        <v>12</v>
      </c>
      <c r="G341" s="608">
        <v>0</v>
      </c>
    </row>
    <row r="342" spans="1:7" ht="11.1" customHeight="1">
      <c r="A342" s="600" t="str">
        <f t="shared" si="25"/>
        <v>CHF;CHF FOREX;6Y</v>
      </c>
      <c r="B342" s="600" t="str">
        <f t="shared" si="27"/>
        <v>CHF</v>
      </c>
      <c r="C342" s="600" t="str">
        <f t="shared" si="27"/>
        <v>CHF FOREX</v>
      </c>
      <c r="D342" s="603"/>
      <c r="E342" s="604"/>
      <c r="F342" s="607" t="s">
        <v>13</v>
      </c>
      <c r="G342" s="608">
        <v>0</v>
      </c>
    </row>
    <row r="343" spans="1:7" ht="11.1" customHeight="1">
      <c r="A343" s="600" t="str">
        <f t="shared" si="25"/>
        <v>CHF;CHF FOREX;7Y</v>
      </c>
      <c r="B343" s="600" t="str">
        <f t="shared" si="27"/>
        <v>CHF</v>
      </c>
      <c r="C343" s="600" t="str">
        <f t="shared" si="27"/>
        <v>CHF FOREX</v>
      </c>
      <c r="D343" s="603"/>
      <c r="E343" s="604"/>
      <c r="F343" s="607" t="s">
        <v>14</v>
      </c>
      <c r="G343" s="608">
        <v>0</v>
      </c>
    </row>
    <row r="344" spans="1:7" ht="11.1" customHeight="1">
      <c r="A344" s="600" t="str">
        <f t="shared" si="25"/>
        <v>CHF;CHF FOREX;8Y</v>
      </c>
      <c r="B344" s="600" t="str">
        <f t="shared" si="27"/>
        <v>CHF</v>
      </c>
      <c r="C344" s="600" t="str">
        <f t="shared" si="27"/>
        <v>CHF FOREX</v>
      </c>
      <c r="D344" s="603"/>
      <c r="E344" s="604"/>
      <c r="F344" s="607" t="s">
        <v>15</v>
      </c>
      <c r="G344" s="608">
        <v>0</v>
      </c>
    </row>
    <row r="345" spans="1:7" ht="11.1" customHeight="1">
      <c r="A345" s="600" t="str">
        <f t="shared" si="25"/>
        <v>CHF;CHF FOREX;9Y</v>
      </c>
      <c r="B345" s="600" t="str">
        <f t="shared" si="27"/>
        <v>CHF</v>
      </c>
      <c r="C345" s="600" t="str">
        <f t="shared" si="27"/>
        <v>CHF FOREX</v>
      </c>
      <c r="D345" s="603"/>
      <c r="E345" s="604"/>
      <c r="F345" s="607" t="s">
        <v>16</v>
      </c>
      <c r="G345" s="608">
        <v>0</v>
      </c>
    </row>
    <row r="346" spans="1:7" ht="11.1" customHeight="1">
      <c r="A346" s="600" t="str">
        <f t="shared" si="25"/>
        <v>CHF;CHF FOREX;10Y</v>
      </c>
      <c r="B346" s="600" t="str">
        <f t="shared" si="27"/>
        <v>CHF</v>
      </c>
      <c r="C346" s="600" t="str">
        <f t="shared" si="27"/>
        <v>CHF FOREX</v>
      </c>
      <c r="D346" s="603"/>
      <c r="E346" s="604"/>
      <c r="F346" s="607" t="s">
        <v>17</v>
      </c>
      <c r="G346" s="608">
        <v>0</v>
      </c>
    </row>
    <row r="347" spans="1:7" ht="11.1" customHeight="1">
      <c r="A347" s="600" t="str">
        <f t="shared" si="25"/>
        <v>CHF;CHF FOREX;11Y</v>
      </c>
      <c r="B347" s="600" t="str">
        <f t="shared" si="27"/>
        <v>CHF</v>
      </c>
      <c r="C347" s="600" t="str">
        <f t="shared" si="27"/>
        <v>CHF FOREX</v>
      </c>
      <c r="D347" s="603"/>
      <c r="E347" s="604"/>
      <c r="F347" s="607" t="s">
        <v>31</v>
      </c>
      <c r="G347" s="608">
        <v>0</v>
      </c>
    </row>
    <row r="348" spans="1:7" ht="11.1" customHeight="1">
      <c r="A348" s="600" t="str">
        <f t="shared" si="25"/>
        <v>CHF;CHF FOREX;12Y</v>
      </c>
      <c r="B348" s="600" t="str">
        <f t="shared" si="27"/>
        <v>CHF</v>
      </c>
      <c r="C348" s="600" t="str">
        <f t="shared" si="27"/>
        <v>CHF FOREX</v>
      </c>
      <c r="D348" s="603"/>
      <c r="E348" s="604"/>
      <c r="F348" s="607" t="s">
        <v>18</v>
      </c>
      <c r="G348" s="608">
        <v>0</v>
      </c>
    </row>
    <row r="349" spans="1:7" ht="11.1" customHeight="1">
      <c r="A349" s="600" t="str">
        <f t="shared" si="25"/>
        <v>CHF;CHF FOREX;13Y</v>
      </c>
      <c r="B349" s="600" t="str">
        <f t="shared" si="27"/>
        <v>CHF</v>
      </c>
      <c r="C349" s="600" t="str">
        <f t="shared" si="27"/>
        <v>CHF FOREX</v>
      </c>
      <c r="D349" s="603"/>
      <c r="E349" s="604"/>
      <c r="F349" s="607" t="s">
        <v>32</v>
      </c>
      <c r="G349" s="608">
        <v>0</v>
      </c>
    </row>
    <row r="350" spans="1:7" ht="11.1" customHeight="1">
      <c r="A350" s="600" t="str">
        <f t="shared" si="25"/>
        <v>CHF;CHF FOREX;14Y</v>
      </c>
      <c r="B350" s="600" t="str">
        <f t="shared" si="27"/>
        <v>CHF</v>
      </c>
      <c r="C350" s="600" t="str">
        <f t="shared" si="27"/>
        <v>CHF FOREX</v>
      </c>
      <c r="D350" s="603"/>
      <c r="E350" s="604"/>
      <c r="F350" s="607" t="s">
        <v>33</v>
      </c>
      <c r="G350" s="608">
        <v>0</v>
      </c>
    </row>
    <row r="351" spans="1:7" ht="11.1" customHeight="1">
      <c r="A351" s="600" t="str">
        <f t="shared" si="25"/>
        <v>CHF;CHF FOREX;15Y</v>
      </c>
      <c r="B351" s="600" t="str">
        <f t="shared" si="27"/>
        <v>CHF</v>
      </c>
      <c r="C351" s="600" t="str">
        <f t="shared" si="27"/>
        <v>CHF FOREX</v>
      </c>
      <c r="D351" s="603"/>
      <c r="E351" s="604"/>
      <c r="F351" s="607" t="s">
        <v>19</v>
      </c>
      <c r="G351" s="608">
        <v>0</v>
      </c>
    </row>
    <row r="352" spans="1:7" ht="11.1" customHeight="1">
      <c r="A352" s="600" t="str">
        <f t="shared" si="25"/>
        <v>CHF;CHF FOREX;16Y</v>
      </c>
      <c r="B352" s="600" t="str">
        <f t="shared" si="27"/>
        <v>CHF</v>
      </c>
      <c r="C352" s="600" t="str">
        <f t="shared" si="27"/>
        <v>CHF FOREX</v>
      </c>
      <c r="D352" s="603"/>
      <c r="E352" s="604"/>
      <c r="F352" s="607" t="s">
        <v>34</v>
      </c>
      <c r="G352" s="608">
        <v>0</v>
      </c>
    </row>
    <row r="353" spans="1:7" ht="11.1" customHeight="1">
      <c r="A353" s="600" t="str">
        <f t="shared" si="25"/>
        <v>CHF;CHF FOREX;17Y</v>
      </c>
      <c r="B353" s="600" t="str">
        <f t="shared" si="27"/>
        <v>CHF</v>
      </c>
      <c r="C353" s="600" t="str">
        <f t="shared" si="27"/>
        <v>CHF FOREX</v>
      </c>
      <c r="D353" s="603"/>
      <c r="E353" s="604"/>
      <c r="F353" s="607" t="s">
        <v>35</v>
      </c>
      <c r="G353" s="608">
        <v>0</v>
      </c>
    </row>
    <row r="354" spans="1:7" ht="11.1" customHeight="1">
      <c r="A354" s="600" t="str">
        <f t="shared" si="25"/>
        <v>CHF;CHF FOREX;18Y</v>
      </c>
      <c r="B354" s="600" t="str">
        <f t="shared" si="27"/>
        <v>CHF</v>
      </c>
      <c r="C354" s="600" t="str">
        <f t="shared" si="27"/>
        <v>CHF FOREX</v>
      </c>
      <c r="D354" s="603"/>
      <c r="E354" s="604"/>
      <c r="F354" s="607" t="s">
        <v>36</v>
      </c>
      <c r="G354" s="608">
        <v>0</v>
      </c>
    </row>
    <row r="355" spans="1:7" ht="11.1" customHeight="1">
      <c r="A355" s="600" t="str">
        <f t="shared" si="25"/>
        <v>CHF;CHF FOREX;19Y</v>
      </c>
      <c r="B355" s="600" t="str">
        <f t="shared" si="27"/>
        <v>CHF</v>
      </c>
      <c r="C355" s="600" t="str">
        <f t="shared" si="27"/>
        <v>CHF FOREX</v>
      </c>
      <c r="D355" s="603"/>
      <c r="E355" s="604"/>
      <c r="F355" s="607" t="s">
        <v>37</v>
      </c>
      <c r="G355" s="608">
        <v>0</v>
      </c>
    </row>
    <row r="356" spans="1:7" ht="11.1" customHeight="1">
      <c r="A356" s="600" t="str">
        <f t="shared" si="25"/>
        <v>CHF;CHF FOREX;20Y</v>
      </c>
      <c r="B356" s="600" t="str">
        <f t="shared" si="27"/>
        <v>CHF</v>
      </c>
      <c r="C356" s="600" t="str">
        <f t="shared" si="27"/>
        <v>CHF FOREX</v>
      </c>
      <c r="D356" s="603"/>
      <c r="E356" s="604"/>
      <c r="F356" s="607" t="s">
        <v>20</v>
      </c>
      <c r="G356" s="608">
        <v>0</v>
      </c>
    </row>
    <row r="357" spans="1:7" ht="11.1" customHeight="1">
      <c r="A357" s="600" t="str">
        <f t="shared" si="25"/>
        <v>CHF;CHF FOREX;21Y</v>
      </c>
      <c r="B357" s="600" t="str">
        <f t="shared" ref="B357:C372" si="28">IF(ISBLANK(D357),B356,D357)</f>
        <v>CHF</v>
      </c>
      <c r="C357" s="600" t="str">
        <f t="shared" si="28"/>
        <v>CHF FOREX</v>
      </c>
      <c r="D357" s="603"/>
      <c r="E357" s="604"/>
      <c r="F357" s="607" t="s">
        <v>38</v>
      </c>
      <c r="G357" s="608">
        <v>0</v>
      </c>
    </row>
    <row r="358" spans="1:7" ht="11.1" customHeight="1">
      <c r="A358" s="600" t="str">
        <f t="shared" si="25"/>
        <v>CHF;CHF FOREX;22Y</v>
      </c>
      <c r="B358" s="600" t="str">
        <f t="shared" si="28"/>
        <v>CHF</v>
      </c>
      <c r="C358" s="600" t="str">
        <f t="shared" si="28"/>
        <v>CHF FOREX</v>
      </c>
      <c r="D358" s="603"/>
      <c r="E358" s="604"/>
      <c r="F358" s="607" t="s">
        <v>39</v>
      </c>
      <c r="G358" s="608">
        <v>0</v>
      </c>
    </row>
    <row r="359" spans="1:7" ht="11.1" customHeight="1">
      <c r="A359" s="600" t="str">
        <f t="shared" si="25"/>
        <v>CHF;CHF FOREX;23Y</v>
      </c>
      <c r="B359" s="600" t="str">
        <f t="shared" si="28"/>
        <v>CHF</v>
      </c>
      <c r="C359" s="600" t="str">
        <f t="shared" si="28"/>
        <v>CHF FOREX</v>
      </c>
      <c r="D359" s="603"/>
      <c r="E359" s="604"/>
      <c r="F359" s="607" t="s">
        <v>40</v>
      </c>
      <c r="G359" s="608">
        <v>0</v>
      </c>
    </row>
    <row r="360" spans="1:7" ht="11.1" customHeight="1">
      <c r="A360" s="600" t="str">
        <f t="shared" si="25"/>
        <v>CHF;CHF FOREX;24Y</v>
      </c>
      <c r="B360" s="600" t="str">
        <f t="shared" si="28"/>
        <v>CHF</v>
      </c>
      <c r="C360" s="600" t="str">
        <f t="shared" si="28"/>
        <v>CHF FOREX</v>
      </c>
      <c r="D360" s="603"/>
      <c r="E360" s="604"/>
      <c r="F360" s="607" t="s">
        <v>41</v>
      </c>
      <c r="G360" s="608">
        <v>0</v>
      </c>
    </row>
    <row r="361" spans="1:7" ht="11.1" customHeight="1">
      <c r="A361" s="600" t="str">
        <f t="shared" si="25"/>
        <v>CHF;CHF FOREX;25Y</v>
      </c>
      <c r="B361" s="600" t="str">
        <f t="shared" si="28"/>
        <v>CHF</v>
      </c>
      <c r="C361" s="600" t="str">
        <f t="shared" si="28"/>
        <v>CHF FOREX</v>
      </c>
      <c r="D361" s="603"/>
      <c r="E361" s="604"/>
      <c r="F361" s="607" t="s">
        <v>21</v>
      </c>
      <c r="G361" s="608">
        <v>0</v>
      </c>
    </row>
    <row r="362" spans="1:7" ht="11.1" customHeight="1">
      <c r="A362" s="600" t="str">
        <f t="shared" si="25"/>
        <v>CHF;CHF FOREX;26Y</v>
      </c>
      <c r="B362" s="600" t="str">
        <f t="shared" si="28"/>
        <v>CHF</v>
      </c>
      <c r="C362" s="600" t="str">
        <f t="shared" si="28"/>
        <v>CHF FOREX</v>
      </c>
      <c r="D362" s="603"/>
      <c r="E362" s="604"/>
      <c r="F362" s="607" t="s">
        <v>42</v>
      </c>
      <c r="G362" s="608">
        <v>0</v>
      </c>
    </row>
    <row r="363" spans="1:7" ht="11.1" customHeight="1">
      <c r="A363" s="600" t="str">
        <f t="shared" si="25"/>
        <v>CHF;CHF FOREX;27Y</v>
      </c>
      <c r="B363" s="600" t="str">
        <f t="shared" si="28"/>
        <v>CHF</v>
      </c>
      <c r="C363" s="600" t="str">
        <f t="shared" si="28"/>
        <v>CHF FOREX</v>
      </c>
      <c r="D363" s="603"/>
      <c r="E363" s="604"/>
      <c r="F363" s="607" t="s">
        <v>43</v>
      </c>
      <c r="G363" s="608">
        <v>0</v>
      </c>
    </row>
    <row r="364" spans="1:7" ht="11.1" customHeight="1">
      <c r="A364" s="600" t="str">
        <f t="shared" si="25"/>
        <v>CHF;CHF FOREX;28Y</v>
      </c>
      <c r="B364" s="600" t="str">
        <f t="shared" si="28"/>
        <v>CHF</v>
      </c>
      <c r="C364" s="600" t="str">
        <f t="shared" si="28"/>
        <v>CHF FOREX</v>
      </c>
      <c r="D364" s="603"/>
      <c r="E364" s="604"/>
      <c r="F364" s="607" t="s">
        <v>44</v>
      </c>
      <c r="G364" s="608">
        <v>0</v>
      </c>
    </row>
    <row r="365" spans="1:7" ht="11.1" customHeight="1">
      <c r="A365" s="600" t="str">
        <f t="shared" si="25"/>
        <v>CHF;CHF FOREX;29Y</v>
      </c>
      <c r="B365" s="600" t="str">
        <f t="shared" si="28"/>
        <v>CHF</v>
      </c>
      <c r="C365" s="600" t="str">
        <f t="shared" si="28"/>
        <v>CHF FOREX</v>
      </c>
      <c r="D365" s="603"/>
      <c r="E365" s="604"/>
      <c r="F365" s="607" t="s">
        <v>45</v>
      </c>
      <c r="G365" s="608">
        <v>0</v>
      </c>
    </row>
    <row r="366" spans="1:7" ht="11.1" customHeight="1">
      <c r="A366" s="600" t="str">
        <f t="shared" si="25"/>
        <v>CHF;CHF FOREX;30Y</v>
      </c>
      <c r="B366" s="600" t="str">
        <f t="shared" si="28"/>
        <v>CHF</v>
      </c>
      <c r="C366" s="600" t="str">
        <f t="shared" si="28"/>
        <v>CHF FOREX</v>
      </c>
      <c r="D366" s="603"/>
      <c r="E366" s="604"/>
      <c r="F366" s="607" t="s">
        <v>22</v>
      </c>
      <c r="G366" s="608">
        <v>0</v>
      </c>
    </row>
    <row r="367" spans="1:7" ht="11.1" customHeight="1">
      <c r="A367" s="600" t="str">
        <f t="shared" si="25"/>
        <v>CHF;CHF TOIS;Total CHF TOIS</v>
      </c>
      <c r="B367" s="600" t="str">
        <f t="shared" si="28"/>
        <v>CHF</v>
      </c>
      <c r="C367" s="600" t="str">
        <f t="shared" si="28"/>
        <v>CHF TOIS</v>
      </c>
      <c r="D367" s="603"/>
      <c r="E367" s="604" t="s">
        <v>3871</v>
      </c>
      <c r="F367" s="605" t="s">
        <v>3872</v>
      </c>
      <c r="G367" s="611">
        <v>158.72470147893401</v>
      </c>
    </row>
    <row r="368" spans="1:7" ht="11.1" customHeight="1">
      <c r="A368" s="600" t="str">
        <f t="shared" si="25"/>
        <v>CHF;CHF TOIS;O/N</v>
      </c>
      <c r="B368" s="600" t="str">
        <f t="shared" si="28"/>
        <v>CHF</v>
      </c>
      <c r="C368" s="600" t="str">
        <f t="shared" si="28"/>
        <v>CHF TOIS</v>
      </c>
      <c r="D368" s="603"/>
      <c r="E368" s="604"/>
      <c r="F368" s="607" t="s">
        <v>3</v>
      </c>
      <c r="G368" s="611">
        <v>124.866681971982</v>
      </c>
    </row>
    <row r="369" spans="1:7" ht="11.1" customHeight="1">
      <c r="A369" s="600" t="str">
        <f t="shared" si="25"/>
        <v>CHF;CHF TOIS;T/N</v>
      </c>
      <c r="B369" s="600" t="str">
        <f t="shared" si="28"/>
        <v>CHF</v>
      </c>
      <c r="C369" s="600" t="str">
        <f t="shared" si="28"/>
        <v>CHF TOIS</v>
      </c>
      <c r="D369" s="603"/>
      <c r="E369" s="604"/>
      <c r="F369" s="607" t="s">
        <v>4</v>
      </c>
      <c r="G369" s="611">
        <v>13.840125781723099</v>
      </c>
    </row>
    <row r="370" spans="1:7" ht="11.1" customHeight="1">
      <c r="A370" s="600" t="str">
        <f t="shared" si="25"/>
        <v>CHF;CHF TOIS;1W</v>
      </c>
      <c r="B370" s="600" t="str">
        <f t="shared" si="28"/>
        <v>CHF</v>
      </c>
      <c r="C370" s="600" t="str">
        <f t="shared" si="28"/>
        <v>CHF TOIS</v>
      </c>
      <c r="D370" s="603"/>
      <c r="E370" s="604"/>
      <c r="F370" s="607" t="s">
        <v>5</v>
      </c>
      <c r="G370" s="606">
        <v>-128.71470458956799</v>
      </c>
    </row>
    <row r="371" spans="1:7" ht="11.1" customHeight="1">
      <c r="A371" s="600" t="str">
        <f t="shared" si="25"/>
        <v>CHF;CHF TOIS;2W</v>
      </c>
      <c r="B371" s="600" t="str">
        <f t="shared" si="28"/>
        <v>CHF</v>
      </c>
      <c r="C371" s="600" t="str">
        <f t="shared" si="28"/>
        <v>CHF TOIS</v>
      </c>
      <c r="D371" s="603"/>
      <c r="E371" s="604"/>
      <c r="F371" s="607" t="s">
        <v>6</v>
      </c>
      <c r="G371" s="606">
        <v>-2.3502240113026901E-2</v>
      </c>
    </row>
    <row r="372" spans="1:7" ht="11.1" customHeight="1">
      <c r="A372" s="600" t="str">
        <f t="shared" si="25"/>
        <v>CHF;CHF TOIS;1M</v>
      </c>
      <c r="B372" s="600" t="str">
        <f t="shared" si="28"/>
        <v>CHF</v>
      </c>
      <c r="C372" s="600" t="str">
        <f t="shared" si="28"/>
        <v>CHF TOIS</v>
      </c>
      <c r="D372" s="603"/>
      <c r="E372" s="604"/>
      <c r="F372" s="607" t="s">
        <v>7</v>
      </c>
      <c r="G372" s="606">
        <v>-1.5458884933794299</v>
      </c>
    </row>
    <row r="373" spans="1:7" ht="11.1" customHeight="1">
      <c r="A373" s="600" t="str">
        <f t="shared" si="25"/>
        <v>CHF;CHF TOIS;2M</v>
      </c>
      <c r="B373" s="600" t="str">
        <f t="shared" ref="B373:C388" si="29">IF(ISBLANK(D373),B372,D373)</f>
        <v>CHF</v>
      </c>
      <c r="C373" s="600" t="str">
        <f t="shared" si="29"/>
        <v>CHF TOIS</v>
      </c>
      <c r="D373" s="603"/>
      <c r="E373" s="604"/>
      <c r="F373" s="607" t="s">
        <v>8</v>
      </c>
      <c r="G373" s="606">
        <v>-1.4251426728321299</v>
      </c>
    </row>
    <row r="374" spans="1:7" ht="11.1" customHeight="1">
      <c r="A374" s="600" t="str">
        <f t="shared" si="25"/>
        <v>CHF;CHF TOIS;3M</v>
      </c>
      <c r="B374" s="600" t="str">
        <f t="shared" si="29"/>
        <v>CHF</v>
      </c>
      <c r="C374" s="600" t="str">
        <f t="shared" si="29"/>
        <v>CHF TOIS</v>
      </c>
      <c r="D374" s="603"/>
      <c r="E374" s="604"/>
      <c r="F374" s="607" t="s">
        <v>25</v>
      </c>
      <c r="G374" s="611">
        <v>5.8754478507668804</v>
      </c>
    </row>
    <row r="375" spans="1:7" ht="11.1" customHeight="1">
      <c r="A375" s="600" t="str">
        <f t="shared" si="25"/>
        <v>CHF;CHF TOIS;6M</v>
      </c>
      <c r="B375" s="600" t="str">
        <f t="shared" si="29"/>
        <v>CHF</v>
      </c>
      <c r="C375" s="600" t="str">
        <f t="shared" si="29"/>
        <v>CHF TOIS</v>
      </c>
      <c r="D375" s="603"/>
      <c r="E375" s="604"/>
      <c r="F375" s="607" t="s">
        <v>28</v>
      </c>
      <c r="G375" s="611">
        <v>2.1209864207200599</v>
      </c>
    </row>
    <row r="376" spans="1:7" ht="11.1" customHeight="1">
      <c r="A376" s="600" t="str">
        <f t="shared" si="25"/>
        <v>CHF;CHF TOIS;9M</v>
      </c>
      <c r="B376" s="600" t="str">
        <f t="shared" si="29"/>
        <v>CHF</v>
      </c>
      <c r="C376" s="600" t="str">
        <f t="shared" si="29"/>
        <v>CHF TOIS</v>
      </c>
      <c r="D376" s="603"/>
      <c r="E376" s="604"/>
      <c r="F376" s="607" t="s">
        <v>49</v>
      </c>
      <c r="G376" s="611">
        <v>51.443166483495901</v>
      </c>
    </row>
    <row r="377" spans="1:7" ht="11.1" customHeight="1">
      <c r="A377" s="600" t="str">
        <f t="shared" si="25"/>
        <v>CHF;CHF TOIS;1Y</v>
      </c>
      <c r="B377" s="600" t="str">
        <f t="shared" si="29"/>
        <v>CHF</v>
      </c>
      <c r="C377" s="600" t="str">
        <f t="shared" si="29"/>
        <v>CHF TOIS</v>
      </c>
      <c r="D377" s="603"/>
      <c r="E377" s="604"/>
      <c r="F377" s="607" t="s">
        <v>56</v>
      </c>
      <c r="G377" s="606">
        <v>-777.67278271459497</v>
      </c>
    </row>
    <row r="378" spans="1:7" ht="11.1" customHeight="1">
      <c r="A378" s="600" t="str">
        <f t="shared" si="25"/>
        <v>CHF;CHF TOIS;15M</v>
      </c>
      <c r="B378" s="600" t="str">
        <f t="shared" si="29"/>
        <v>CHF</v>
      </c>
      <c r="C378" s="600" t="str">
        <f t="shared" si="29"/>
        <v>CHF TOIS</v>
      </c>
      <c r="D378" s="603"/>
      <c r="E378" s="604"/>
      <c r="F378" s="607" t="s">
        <v>53</v>
      </c>
      <c r="G378" s="606">
        <v>-136.065342934493</v>
      </c>
    </row>
    <row r="379" spans="1:7" ht="11.1" customHeight="1">
      <c r="A379" s="600" t="str">
        <f t="shared" si="25"/>
        <v>CHF;CHF TOIS;18M</v>
      </c>
      <c r="B379" s="600" t="str">
        <f t="shared" si="29"/>
        <v>CHF</v>
      </c>
      <c r="C379" s="600" t="str">
        <f t="shared" si="29"/>
        <v>CHF TOIS</v>
      </c>
      <c r="D379" s="603"/>
      <c r="E379" s="604"/>
      <c r="F379" s="607" t="s">
        <v>54</v>
      </c>
      <c r="G379" s="611">
        <v>569.60249827536802</v>
      </c>
    </row>
    <row r="380" spans="1:7" ht="11.1" customHeight="1">
      <c r="A380" s="600" t="str">
        <f t="shared" si="25"/>
        <v>CHF;CHF TOIS;21M</v>
      </c>
      <c r="B380" s="600" t="str">
        <f t="shared" si="29"/>
        <v>CHF</v>
      </c>
      <c r="C380" s="600" t="str">
        <f t="shared" si="29"/>
        <v>CHF TOIS</v>
      </c>
      <c r="D380" s="603"/>
      <c r="E380" s="604"/>
      <c r="F380" s="607" t="s">
        <v>55</v>
      </c>
      <c r="G380" s="611">
        <v>29274.536855436101</v>
      </c>
    </row>
    <row r="381" spans="1:7" ht="11.1" customHeight="1">
      <c r="A381" s="600" t="str">
        <f t="shared" si="25"/>
        <v>CHF;CHF TOIS;2Y</v>
      </c>
      <c r="B381" s="600" t="str">
        <f t="shared" si="29"/>
        <v>CHF</v>
      </c>
      <c r="C381" s="600" t="str">
        <f t="shared" si="29"/>
        <v>CHF TOIS</v>
      </c>
      <c r="D381" s="603"/>
      <c r="E381" s="604"/>
      <c r="F381" s="607" t="s">
        <v>9</v>
      </c>
      <c r="G381" s="606">
        <v>-34016.919421709601</v>
      </c>
    </row>
    <row r="382" spans="1:7" ht="11.1" customHeight="1">
      <c r="A382" s="600" t="str">
        <f t="shared" si="25"/>
        <v>CHF;CHF TOIS;3Y</v>
      </c>
      <c r="B382" s="600" t="str">
        <f t="shared" si="29"/>
        <v>CHF</v>
      </c>
      <c r="C382" s="600" t="str">
        <f t="shared" si="29"/>
        <v>CHF TOIS</v>
      </c>
      <c r="D382" s="603"/>
      <c r="E382" s="604"/>
      <c r="F382" s="607" t="s">
        <v>10</v>
      </c>
      <c r="G382" s="611">
        <v>4690.3814234824604</v>
      </c>
    </row>
    <row r="383" spans="1:7" ht="11.1" customHeight="1">
      <c r="A383" s="600" t="str">
        <f t="shared" si="25"/>
        <v>CHF;CHF TOIS;4Y</v>
      </c>
      <c r="B383" s="600" t="str">
        <f t="shared" si="29"/>
        <v>CHF</v>
      </c>
      <c r="C383" s="600" t="str">
        <f t="shared" si="29"/>
        <v>CHF TOIS</v>
      </c>
      <c r="D383" s="603"/>
      <c r="E383" s="604"/>
      <c r="F383" s="607" t="s">
        <v>11</v>
      </c>
      <c r="G383" s="606">
        <v>-80.842731459814999</v>
      </c>
    </row>
    <row r="384" spans="1:7" ht="11.1" customHeight="1">
      <c r="A384" s="600" t="str">
        <f t="shared" si="25"/>
        <v>CHF;CHF TOIS;5Y</v>
      </c>
      <c r="B384" s="600" t="str">
        <f t="shared" si="29"/>
        <v>CHF</v>
      </c>
      <c r="C384" s="600" t="str">
        <f t="shared" si="29"/>
        <v>CHF TOIS</v>
      </c>
      <c r="D384" s="603"/>
      <c r="E384" s="604"/>
      <c r="F384" s="607" t="s">
        <v>12</v>
      </c>
      <c r="G384" s="611">
        <v>352.27572906928799</v>
      </c>
    </row>
    <row r="385" spans="1:7" ht="11.1" customHeight="1">
      <c r="A385" s="600" t="str">
        <f t="shared" si="25"/>
        <v>CHF;CHF TOIS;6Y</v>
      </c>
      <c r="B385" s="600" t="str">
        <f t="shared" si="29"/>
        <v>CHF</v>
      </c>
      <c r="C385" s="600" t="str">
        <f t="shared" si="29"/>
        <v>CHF TOIS</v>
      </c>
      <c r="D385" s="603"/>
      <c r="E385" s="604"/>
      <c r="F385" s="607" t="s">
        <v>13</v>
      </c>
      <c r="G385" s="611">
        <v>13.653782988570899</v>
      </c>
    </row>
    <row r="386" spans="1:7" ht="11.1" customHeight="1">
      <c r="A386" s="600" t="str">
        <f t="shared" si="25"/>
        <v>CHF;CHF TOIS;7Y</v>
      </c>
      <c r="B386" s="600" t="str">
        <f t="shared" si="29"/>
        <v>CHF</v>
      </c>
      <c r="C386" s="600" t="str">
        <f t="shared" si="29"/>
        <v>CHF TOIS</v>
      </c>
      <c r="D386" s="603"/>
      <c r="E386" s="604"/>
      <c r="F386" s="607" t="s">
        <v>14</v>
      </c>
      <c r="G386" s="606">
        <v>-102.58912656245499</v>
      </c>
    </row>
    <row r="387" spans="1:7" ht="11.1" customHeight="1">
      <c r="A387" s="600" t="str">
        <f t="shared" si="25"/>
        <v>CHF;CHF TOIS;8Y</v>
      </c>
      <c r="B387" s="600" t="str">
        <f t="shared" si="29"/>
        <v>CHF</v>
      </c>
      <c r="C387" s="600" t="str">
        <f t="shared" si="29"/>
        <v>CHF TOIS</v>
      </c>
      <c r="D387" s="603"/>
      <c r="E387" s="604"/>
      <c r="F387" s="607" t="s">
        <v>15</v>
      </c>
      <c r="G387" s="606">
        <v>-11.374292560420599</v>
      </c>
    </row>
    <row r="388" spans="1:7" ht="11.1" customHeight="1">
      <c r="A388" s="600" t="str">
        <f t="shared" si="25"/>
        <v>CHF;CHF TOIS;9Y</v>
      </c>
      <c r="B388" s="600" t="str">
        <f t="shared" si="29"/>
        <v>CHF</v>
      </c>
      <c r="C388" s="600" t="str">
        <f t="shared" si="29"/>
        <v>CHF TOIS</v>
      </c>
      <c r="D388" s="603"/>
      <c r="E388" s="604"/>
      <c r="F388" s="607" t="s">
        <v>16</v>
      </c>
      <c r="G388" s="611">
        <v>769.23651759672396</v>
      </c>
    </row>
    <row r="389" spans="1:7" ht="11.1" customHeight="1">
      <c r="A389" s="600" t="str">
        <f t="shared" ref="A389:A452" si="30">B389&amp;";"&amp;C389&amp;";"&amp;F389</f>
        <v>CHF;CHF TOIS;10Y</v>
      </c>
      <c r="B389" s="600" t="str">
        <f t="shared" ref="B389:C404" si="31">IF(ISBLANK(D389),B388,D389)</f>
        <v>CHF</v>
      </c>
      <c r="C389" s="600" t="str">
        <f t="shared" si="31"/>
        <v>CHF TOIS</v>
      </c>
      <c r="D389" s="603"/>
      <c r="E389" s="604"/>
      <c r="F389" s="607" t="s">
        <v>17</v>
      </c>
      <c r="G389" s="606">
        <v>-451.93218374928398</v>
      </c>
    </row>
    <row r="390" spans="1:7" ht="11.1" customHeight="1">
      <c r="A390" s="600" t="str">
        <f t="shared" si="30"/>
        <v>CHF;CHF TOIS;12Y</v>
      </c>
      <c r="B390" s="600" t="str">
        <f t="shared" si="31"/>
        <v>CHF</v>
      </c>
      <c r="C390" s="600" t="str">
        <f t="shared" si="31"/>
        <v>CHF TOIS</v>
      </c>
      <c r="D390" s="603"/>
      <c r="E390" s="604"/>
      <c r="F390" s="607" t="s">
        <v>18</v>
      </c>
      <c r="G390" s="606">
        <v>-3.4064909580349099E-3</v>
      </c>
    </row>
    <row r="391" spans="1:7" ht="11.1" customHeight="1">
      <c r="A391" s="600" t="str">
        <f t="shared" si="30"/>
        <v>CHF;CHF TOIS;15Y</v>
      </c>
      <c r="B391" s="600" t="str">
        <f t="shared" si="31"/>
        <v>CHF</v>
      </c>
      <c r="C391" s="600" t="str">
        <f t="shared" si="31"/>
        <v>CHF TOIS</v>
      </c>
      <c r="D391" s="603"/>
      <c r="E391" s="604"/>
      <c r="F391" s="607" t="s">
        <v>19</v>
      </c>
      <c r="G391" s="611">
        <v>1.22964083835025E-5</v>
      </c>
    </row>
    <row r="392" spans="1:7" ht="11.1" customHeight="1">
      <c r="A392" s="600" t="str">
        <f t="shared" si="30"/>
        <v>CHF;CHF TOIS;20Y</v>
      </c>
      <c r="B392" s="600" t="str">
        <f t="shared" si="31"/>
        <v>CHF</v>
      </c>
      <c r="C392" s="600" t="str">
        <f t="shared" si="31"/>
        <v>CHF TOIS</v>
      </c>
      <c r="D392" s="603"/>
      <c r="E392" s="604"/>
      <c r="F392" s="607" t="s">
        <v>20</v>
      </c>
      <c r="G392" s="611">
        <v>2.8680579664985399E-9</v>
      </c>
    </row>
    <row r="393" spans="1:7" ht="11.1" customHeight="1">
      <c r="A393" s="600" t="str">
        <f t="shared" si="30"/>
        <v>CHF;CHF TOIS;25Y</v>
      </c>
      <c r="B393" s="600" t="str">
        <f t="shared" si="31"/>
        <v>CHF</v>
      </c>
      <c r="C393" s="600" t="str">
        <f t="shared" si="31"/>
        <v>CHF TOIS</v>
      </c>
      <c r="D393" s="603"/>
      <c r="E393" s="604"/>
      <c r="F393" s="607" t="s">
        <v>21</v>
      </c>
      <c r="G393" s="611">
        <v>6.7762635780343997E-21</v>
      </c>
    </row>
    <row r="394" spans="1:7" ht="11.1" customHeight="1">
      <c r="A394" s="600" t="str">
        <f t="shared" si="30"/>
        <v>CHF;CHF TOIS;30Y</v>
      </c>
      <c r="B394" s="600" t="str">
        <f t="shared" si="31"/>
        <v>CHF</v>
      </c>
      <c r="C394" s="600" t="str">
        <f t="shared" si="31"/>
        <v>CHF TOIS</v>
      </c>
      <c r="D394" s="603"/>
      <c r="E394" s="604"/>
      <c r="F394" s="607" t="s">
        <v>22</v>
      </c>
      <c r="G394" s="606">
        <v>-8.6026783705514902E-23</v>
      </c>
    </row>
    <row r="395" spans="1:7" ht="11.1" customHeight="1">
      <c r="A395" s="600" t="str">
        <f t="shared" si="30"/>
        <v>CLP;Total CLP;</v>
      </c>
      <c r="B395" s="600" t="str">
        <f t="shared" si="31"/>
        <v>CLP</v>
      </c>
      <c r="C395" s="600" t="str">
        <f t="shared" si="31"/>
        <v>Total CLP</v>
      </c>
      <c r="D395" s="603" t="s">
        <v>1201</v>
      </c>
      <c r="E395" s="609" t="s">
        <v>1202</v>
      </c>
      <c r="F395" s="609"/>
      <c r="G395" s="612">
        <v>-2.0287743880687E-10</v>
      </c>
    </row>
    <row r="396" spans="1:7" ht="11.1" customHeight="1">
      <c r="A396" s="600" t="str">
        <f t="shared" si="30"/>
        <v>CLP;CLP FOREX;Total CLP FOREX</v>
      </c>
      <c r="B396" s="600" t="str">
        <f t="shared" si="31"/>
        <v>CLP</v>
      </c>
      <c r="C396" s="600" t="str">
        <f t="shared" si="31"/>
        <v>CLP FOREX</v>
      </c>
      <c r="D396" s="603"/>
      <c r="E396" s="604" t="s">
        <v>1203</v>
      </c>
      <c r="F396" s="605" t="s">
        <v>1204</v>
      </c>
      <c r="G396" s="606">
        <v>-1.6099482857967499E-12</v>
      </c>
    </row>
    <row r="397" spans="1:7" ht="11.1" customHeight="1">
      <c r="A397" s="600" t="str">
        <f t="shared" si="30"/>
        <v>CLP;CLP FOREX;O/N</v>
      </c>
      <c r="B397" s="600" t="str">
        <f t="shared" si="31"/>
        <v>CLP</v>
      </c>
      <c r="C397" s="600" t="str">
        <f t="shared" si="31"/>
        <v>CLP FOREX</v>
      </c>
      <c r="D397" s="603"/>
      <c r="E397" s="604"/>
      <c r="F397" s="607" t="s">
        <v>3</v>
      </c>
      <c r="G397" s="606">
        <v>-1.2055356712892301E-12</v>
      </c>
    </row>
    <row r="398" spans="1:7" ht="11.1" customHeight="1">
      <c r="A398" s="600" t="str">
        <f t="shared" si="30"/>
        <v>CLP;CLP FOREX;T/N</v>
      </c>
      <c r="B398" s="600" t="str">
        <f t="shared" si="31"/>
        <v>CLP</v>
      </c>
      <c r="C398" s="600" t="str">
        <f t="shared" si="31"/>
        <v>CLP FOREX</v>
      </c>
      <c r="D398" s="603"/>
      <c r="E398" s="604"/>
      <c r="F398" s="607" t="s">
        <v>4</v>
      </c>
      <c r="G398" s="606">
        <v>-4.03080346877971E-13</v>
      </c>
    </row>
    <row r="399" spans="1:7" ht="11.1" customHeight="1">
      <c r="A399" s="600" t="str">
        <f t="shared" si="30"/>
        <v>CLP;CLP FOREX;S/N</v>
      </c>
      <c r="B399" s="600" t="str">
        <f t="shared" si="31"/>
        <v>CLP</v>
      </c>
      <c r="C399" s="600" t="str">
        <f t="shared" si="31"/>
        <v>CLP FOREX</v>
      </c>
      <c r="D399" s="603"/>
      <c r="E399" s="604"/>
      <c r="F399" s="607" t="s">
        <v>23</v>
      </c>
      <c r="G399" s="608">
        <v>0</v>
      </c>
    </row>
    <row r="400" spans="1:7" ht="11.1" customHeight="1">
      <c r="A400" s="600" t="str">
        <f t="shared" si="30"/>
        <v>CLP;CLP FOREX;1W</v>
      </c>
      <c r="B400" s="600" t="str">
        <f t="shared" si="31"/>
        <v>CLP</v>
      </c>
      <c r="C400" s="600" t="str">
        <f t="shared" si="31"/>
        <v>CLP FOREX</v>
      </c>
      <c r="D400" s="603"/>
      <c r="E400" s="604"/>
      <c r="F400" s="607" t="s">
        <v>5</v>
      </c>
      <c r="G400" s="608">
        <v>0</v>
      </c>
    </row>
    <row r="401" spans="1:7" ht="11.1" customHeight="1">
      <c r="A401" s="600" t="str">
        <f t="shared" si="30"/>
        <v>CLP;CLP FOREX;2W</v>
      </c>
      <c r="B401" s="600" t="str">
        <f t="shared" si="31"/>
        <v>CLP</v>
      </c>
      <c r="C401" s="600" t="str">
        <f t="shared" si="31"/>
        <v>CLP FOREX</v>
      </c>
      <c r="D401" s="603"/>
      <c r="E401" s="604"/>
      <c r="F401" s="607" t="s">
        <v>6</v>
      </c>
      <c r="G401" s="608">
        <v>0</v>
      </c>
    </row>
    <row r="402" spans="1:7" ht="11.1" customHeight="1">
      <c r="A402" s="600" t="str">
        <f t="shared" si="30"/>
        <v>CLP;CLP FOREX;3W</v>
      </c>
      <c r="B402" s="600" t="str">
        <f t="shared" si="31"/>
        <v>CLP</v>
      </c>
      <c r="C402" s="600" t="str">
        <f t="shared" si="31"/>
        <v>CLP FOREX</v>
      </c>
      <c r="D402" s="603"/>
      <c r="E402" s="604"/>
      <c r="F402" s="607" t="s">
        <v>24</v>
      </c>
      <c r="G402" s="608">
        <v>0</v>
      </c>
    </row>
    <row r="403" spans="1:7" ht="11.1" customHeight="1">
      <c r="A403" s="600" t="str">
        <f t="shared" si="30"/>
        <v>CLP;CLP FOREX;1M</v>
      </c>
      <c r="B403" s="600" t="str">
        <f t="shared" si="31"/>
        <v>CLP</v>
      </c>
      <c r="C403" s="600" t="str">
        <f t="shared" si="31"/>
        <v>CLP FOREX</v>
      </c>
      <c r="D403" s="603"/>
      <c r="E403" s="604"/>
      <c r="F403" s="607" t="s">
        <v>7</v>
      </c>
      <c r="G403" s="608">
        <v>0</v>
      </c>
    </row>
    <row r="404" spans="1:7" ht="11.1" customHeight="1">
      <c r="A404" s="600" t="str">
        <f t="shared" si="30"/>
        <v>CLP;CLP FOREX;2M</v>
      </c>
      <c r="B404" s="600" t="str">
        <f t="shared" si="31"/>
        <v>CLP</v>
      </c>
      <c r="C404" s="600" t="str">
        <f t="shared" si="31"/>
        <v>CLP FOREX</v>
      </c>
      <c r="D404" s="603"/>
      <c r="E404" s="604"/>
      <c r="F404" s="607" t="s">
        <v>8</v>
      </c>
      <c r="G404" s="608">
        <v>0</v>
      </c>
    </row>
    <row r="405" spans="1:7" ht="11.1" customHeight="1">
      <c r="A405" s="600" t="str">
        <f t="shared" si="30"/>
        <v>CLP;CLP FOREX;3M</v>
      </c>
      <c r="B405" s="600" t="str">
        <f t="shared" ref="B405:C420" si="32">IF(ISBLANK(D405),B404,D405)</f>
        <v>CLP</v>
      </c>
      <c r="C405" s="600" t="str">
        <f t="shared" si="32"/>
        <v>CLP FOREX</v>
      </c>
      <c r="D405" s="603"/>
      <c r="E405" s="604"/>
      <c r="F405" s="607" t="s">
        <v>25</v>
      </c>
      <c r="G405" s="608">
        <v>0</v>
      </c>
    </row>
    <row r="406" spans="1:7" ht="11.1" customHeight="1">
      <c r="A406" s="600" t="str">
        <f t="shared" si="30"/>
        <v>CLP;CLP FOREX;4M</v>
      </c>
      <c r="B406" s="600" t="str">
        <f t="shared" si="32"/>
        <v>CLP</v>
      </c>
      <c r="C406" s="600" t="str">
        <f t="shared" si="32"/>
        <v>CLP FOREX</v>
      </c>
      <c r="D406" s="603"/>
      <c r="E406" s="604"/>
      <c r="F406" s="607" t="s">
        <v>26</v>
      </c>
      <c r="G406" s="608">
        <v>0</v>
      </c>
    </row>
    <row r="407" spans="1:7" ht="11.1" customHeight="1">
      <c r="A407" s="600" t="str">
        <f t="shared" si="30"/>
        <v>CLP;CLP FOREX;5M</v>
      </c>
      <c r="B407" s="600" t="str">
        <f t="shared" si="32"/>
        <v>CLP</v>
      </c>
      <c r="C407" s="600" t="str">
        <f t="shared" si="32"/>
        <v>CLP FOREX</v>
      </c>
      <c r="D407" s="603"/>
      <c r="E407" s="604"/>
      <c r="F407" s="607" t="s">
        <v>27</v>
      </c>
      <c r="G407" s="608">
        <v>0</v>
      </c>
    </row>
    <row r="408" spans="1:7" ht="11.1" customHeight="1">
      <c r="A408" s="600" t="str">
        <f t="shared" si="30"/>
        <v>CLP;CLP FOREX;6M</v>
      </c>
      <c r="B408" s="600" t="str">
        <f t="shared" si="32"/>
        <v>CLP</v>
      </c>
      <c r="C408" s="600" t="str">
        <f t="shared" si="32"/>
        <v>CLP FOREX</v>
      </c>
      <c r="D408" s="603"/>
      <c r="E408" s="604"/>
      <c r="F408" s="607" t="s">
        <v>28</v>
      </c>
      <c r="G408" s="608">
        <v>0</v>
      </c>
    </row>
    <row r="409" spans="1:7" ht="11.1" customHeight="1">
      <c r="A409" s="600" t="str">
        <f t="shared" si="30"/>
        <v>CLP;CLP FOREX;7M</v>
      </c>
      <c r="B409" s="600" t="str">
        <f t="shared" si="32"/>
        <v>CLP</v>
      </c>
      <c r="C409" s="600" t="str">
        <f t="shared" si="32"/>
        <v>CLP FOREX</v>
      </c>
      <c r="D409" s="603"/>
      <c r="E409" s="604"/>
      <c r="F409" s="607" t="s">
        <v>29</v>
      </c>
      <c r="G409" s="608">
        <v>0</v>
      </c>
    </row>
    <row r="410" spans="1:7" ht="11.1" customHeight="1">
      <c r="A410" s="600" t="str">
        <f t="shared" si="30"/>
        <v>CLP;CLP FOREX;8M</v>
      </c>
      <c r="B410" s="600" t="str">
        <f t="shared" si="32"/>
        <v>CLP</v>
      </c>
      <c r="C410" s="600" t="str">
        <f t="shared" si="32"/>
        <v>CLP FOREX</v>
      </c>
      <c r="D410" s="603"/>
      <c r="E410" s="604"/>
      <c r="F410" s="607" t="s">
        <v>30</v>
      </c>
      <c r="G410" s="608">
        <v>0</v>
      </c>
    </row>
    <row r="411" spans="1:7" ht="11.1" customHeight="1">
      <c r="A411" s="600" t="str">
        <f t="shared" si="30"/>
        <v>CLP;CLP FOREX;9M</v>
      </c>
      <c r="B411" s="600" t="str">
        <f t="shared" si="32"/>
        <v>CLP</v>
      </c>
      <c r="C411" s="600" t="str">
        <f t="shared" si="32"/>
        <v>CLP FOREX</v>
      </c>
      <c r="D411" s="603"/>
      <c r="E411" s="604"/>
      <c r="F411" s="607" t="s">
        <v>49</v>
      </c>
      <c r="G411" s="608">
        <v>0</v>
      </c>
    </row>
    <row r="412" spans="1:7" ht="11.1" customHeight="1">
      <c r="A412" s="600" t="str">
        <f t="shared" si="30"/>
        <v>CLP;CLP FOREX;10M</v>
      </c>
      <c r="B412" s="600" t="str">
        <f t="shared" si="32"/>
        <v>CLP</v>
      </c>
      <c r="C412" s="600" t="str">
        <f t="shared" si="32"/>
        <v>CLP FOREX</v>
      </c>
      <c r="D412" s="603"/>
      <c r="E412" s="604"/>
      <c r="F412" s="607" t="s">
        <v>50</v>
      </c>
      <c r="G412" s="608">
        <v>0</v>
      </c>
    </row>
    <row r="413" spans="1:7" ht="11.1" customHeight="1">
      <c r="A413" s="600" t="str">
        <f t="shared" si="30"/>
        <v>CLP;CLP FOREX;11M</v>
      </c>
      <c r="B413" s="600" t="str">
        <f t="shared" si="32"/>
        <v>CLP</v>
      </c>
      <c r="C413" s="600" t="str">
        <f t="shared" si="32"/>
        <v>CLP FOREX</v>
      </c>
      <c r="D413" s="603"/>
      <c r="E413" s="604"/>
      <c r="F413" s="607" t="s">
        <v>51</v>
      </c>
      <c r="G413" s="608">
        <v>0</v>
      </c>
    </row>
    <row r="414" spans="1:7" ht="11.1" customHeight="1">
      <c r="A414" s="600" t="str">
        <f t="shared" si="30"/>
        <v>CLP;CLP FOREX;12M</v>
      </c>
      <c r="B414" s="600" t="str">
        <f t="shared" si="32"/>
        <v>CLP</v>
      </c>
      <c r="C414" s="600" t="str">
        <f t="shared" si="32"/>
        <v>CLP FOREX</v>
      </c>
      <c r="D414" s="603"/>
      <c r="E414" s="604"/>
      <c r="F414" s="607" t="s">
        <v>52</v>
      </c>
      <c r="G414" s="608">
        <v>0</v>
      </c>
    </row>
    <row r="415" spans="1:7" ht="11.1" customHeight="1">
      <c r="A415" s="600" t="str">
        <f t="shared" si="30"/>
        <v>CLP;CLP FOREX;15M</v>
      </c>
      <c r="B415" s="600" t="str">
        <f t="shared" si="32"/>
        <v>CLP</v>
      </c>
      <c r="C415" s="600" t="str">
        <f t="shared" si="32"/>
        <v>CLP FOREX</v>
      </c>
      <c r="D415" s="603"/>
      <c r="E415" s="604"/>
      <c r="F415" s="607" t="s">
        <v>53</v>
      </c>
      <c r="G415" s="608">
        <v>0</v>
      </c>
    </row>
    <row r="416" spans="1:7" ht="11.1" customHeight="1">
      <c r="A416" s="600" t="str">
        <f t="shared" si="30"/>
        <v>CLP;CLP FOREX;18M</v>
      </c>
      <c r="B416" s="600" t="str">
        <f t="shared" si="32"/>
        <v>CLP</v>
      </c>
      <c r="C416" s="600" t="str">
        <f t="shared" si="32"/>
        <v>CLP FOREX</v>
      </c>
      <c r="D416" s="603"/>
      <c r="E416" s="604"/>
      <c r="F416" s="607" t="s">
        <v>54</v>
      </c>
      <c r="G416" s="608">
        <v>0</v>
      </c>
    </row>
    <row r="417" spans="1:7" ht="11.1" customHeight="1">
      <c r="A417" s="600" t="str">
        <f t="shared" si="30"/>
        <v>CLP;CLP FOREX;24M</v>
      </c>
      <c r="B417" s="600" t="str">
        <f t="shared" si="32"/>
        <v>CLP</v>
      </c>
      <c r="C417" s="600" t="str">
        <f t="shared" si="32"/>
        <v>CLP FOREX</v>
      </c>
      <c r="D417" s="603"/>
      <c r="E417" s="604"/>
      <c r="F417" s="607" t="s">
        <v>659</v>
      </c>
      <c r="G417" s="608">
        <v>0</v>
      </c>
    </row>
    <row r="418" spans="1:7" ht="11.1" customHeight="1">
      <c r="A418" s="600" t="str">
        <f t="shared" si="30"/>
        <v>CLP;CLP FOREX;3Y</v>
      </c>
      <c r="B418" s="600" t="str">
        <f t="shared" si="32"/>
        <v>CLP</v>
      </c>
      <c r="C418" s="600" t="str">
        <f t="shared" si="32"/>
        <v>CLP FOREX</v>
      </c>
      <c r="D418" s="603"/>
      <c r="E418" s="604"/>
      <c r="F418" s="607" t="s">
        <v>10</v>
      </c>
      <c r="G418" s="608">
        <v>0</v>
      </c>
    </row>
    <row r="419" spans="1:7" ht="11.1" customHeight="1">
      <c r="A419" s="600" t="str">
        <f t="shared" si="30"/>
        <v>CLP;CLP FOREX;4Y</v>
      </c>
      <c r="B419" s="600" t="str">
        <f t="shared" si="32"/>
        <v>CLP</v>
      </c>
      <c r="C419" s="600" t="str">
        <f t="shared" si="32"/>
        <v>CLP FOREX</v>
      </c>
      <c r="D419" s="603"/>
      <c r="E419" s="604"/>
      <c r="F419" s="607" t="s">
        <v>11</v>
      </c>
      <c r="G419" s="608">
        <v>0</v>
      </c>
    </row>
    <row r="420" spans="1:7" ht="11.1" customHeight="1">
      <c r="A420" s="600" t="str">
        <f t="shared" si="30"/>
        <v>CLP;CLP FOREX;5Y</v>
      </c>
      <c r="B420" s="600" t="str">
        <f t="shared" si="32"/>
        <v>CLP</v>
      </c>
      <c r="C420" s="600" t="str">
        <f t="shared" si="32"/>
        <v>CLP FOREX</v>
      </c>
      <c r="D420" s="603"/>
      <c r="E420" s="604"/>
      <c r="F420" s="607" t="s">
        <v>12</v>
      </c>
      <c r="G420" s="608">
        <v>0</v>
      </c>
    </row>
    <row r="421" spans="1:7" ht="11.1" customHeight="1">
      <c r="A421" s="600" t="str">
        <f t="shared" si="30"/>
        <v>CLP;CLP FOREX;6Y</v>
      </c>
      <c r="B421" s="600" t="str">
        <f t="shared" ref="B421:C436" si="33">IF(ISBLANK(D421),B420,D421)</f>
        <v>CLP</v>
      </c>
      <c r="C421" s="600" t="str">
        <f t="shared" si="33"/>
        <v>CLP FOREX</v>
      </c>
      <c r="D421" s="603"/>
      <c r="E421" s="604"/>
      <c r="F421" s="607" t="s">
        <v>13</v>
      </c>
      <c r="G421" s="608">
        <v>0</v>
      </c>
    </row>
    <row r="422" spans="1:7" ht="11.1" customHeight="1">
      <c r="A422" s="600" t="str">
        <f t="shared" si="30"/>
        <v>CLP;CLP FOREX;7Y</v>
      </c>
      <c r="B422" s="600" t="str">
        <f t="shared" si="33"/>
        <v>CLP</v>
      </c>
      <c r="C422" s="600" t="str">
        <f t="shared" si="33"/>
        <v>CLP FOREX</v>
      </c>
      <c r="D422" s="603"/>
      <c r="E422" s="604"/>
      <c r="F422" s="607" t="s">
        <v>14</v>
      </c>
      <c r="G422" s="608">
        <v>0</v>
      </c>
    </row>
    <row r="423" spans="1:7" ht="11.1" customHeight="1">
      <c r="A423" s="600" t="str">
        <f t="shared" si="30"/>
        <v>CLP;CLP FOREX;8Y</v>
      </c>
      <c r="B423" s="600" t="str">
        <f t="shared" si="33"/>
        <v>CLP</v>
      </c>
      <c r="C423" s="600" t="str">
        <f t="shared" si="33"/>
        <v>CLP FOREX</v>
      </c>
      <c r="D423" s="603"/>
      <c r="E423" s="604"/>
      <c r="F423" s="607" t="s">
        <v>15</v>
      </c>
      <c r="G423" s="608">
        <v>0</v>
      </c>
    </row>
    <row r="424" spans="1:7" ht="11.1" customHeight="1">
      <c r="A424" s="600" t="str">
        <f t="shared" si="30"/>
        <v>CLP;CLP FOREX;9Y</v>
      </c>
      <c r="B424" s="600" t="str">
        <f t="shared" si="33"/>
        <v>CLP</v>
      </c>
      <c r="C424" s="600" t="str">
        <f t="shared" si="33"/>
        <v>CLP FOREX</v>
      </c>
      <c r="D424" s="603"/>
      <c r="E424" s="604"/>
      <c r="F424" s="607" t="s">
        <v>16</v>
      </c>
      <c r="G424" s="608">
        <v>0</v>
      </c>
    </row>
    <row r="425" spans="1:7" ht="11.1" customHeight="1">
      <c r="A425" s="600" t="str">
        <f t="shared" si="30"/>
        <v>CLP;CLP FOREX;10Y</v>
      </c>
      <c r="B425" s="600" t="str">
        <f t="shared" si="33"/>
        <v>CLP</v>
      </c>
      <c r="C425" s="600" t="str">
        <f t="shared" si="33"/>
        <v>CLP FOREX</v>
      </c>
      <c r="D425" s="603"/>
      <c r="E425" s="604"/>
      <c r="F425" s="607" t="s">
        <v>17</v>
      </c>
      <c r="G425" s="608">
        <v>0</v>
      </c>
    </row>
    <row r="426" spans="1:7" ht="11.1" customHeight="1">
      <c r="A426" s="600" t="str">
        <f t="shared" si="30"/>
        <v>CLP;CLP NDIRS;Total CLP NDIRS</v>
      </c>
      <c r="B426" s="600" t="str">
        <f t="shared" si="33"/>
        <v>CLP</v>
      </c>
      <c r="C426" s="600" t="str">
        <f t="shared" si="33"/>
        <v>CLP NDIRS</v>
      </c>
      <c r="D426" s="603"/>
      <c r="E426" s="604" t="s">
        <v>5168</v>
      </c>
      <c r="F426" s="605" t="s">
        <v>5169</v>
      </c>
      <c r="G426" s="606">
        <v>-1.7262462466416399E-10</v>
      </c>
    </row>
    <row r="427" spans="1:7" ht="11.1" customHeight="1">
      <c r="A427" s="600" t="str">
        <f t="shared" si="30"/>
        <v>CLP;CLP NDIRS;1M</v>
      </c>
      <c r="B427" s="600" t="str">
        <f t="shared" si="33"/>
        <v>CLP</v>
      </c>
      <c r="C427" s="600" t="str">
        <f t="shared" si="33"/>
        <v>CLP NDIRS</v>
      </c>
      <c r="D427" s="603"/>
      <c r="E427" s="604"/>
      <c r="F427" s="607" t="s">
        <v>7</v>
      </c>
      <c r="G427" s="606">
        <v>-3.69482222595252E-13</v>
      </c>
    </row>
    <row r="428" spans="1:7" ht="11.1" customHeight="1">
      <c r="A428" s="600" t="str">
        <f t="shared" si="30"/>
        <v>CLP;CLP NDIRS;2M</v>
      </c>
      <c r="B428" s="600" t="str">
        <f t="shared" si="33"/>
        <v>CLP</v>
      </c>
      <c r="C428" s="600" t="str">
        <f t="shared" si="33"/>
        <v>CLP NDIRS</v>
      </c>
      <c r="D428" s="603"/>
      <c r="E428" s="604"/>
      <c r="F428" s="607" t="s">
        <v>8</v>
      </c>
      <c r="G428" s="608">
        <v>0</v>
      </c>
    </row>
    <row r="429" spans="1:7" ht="11.1" customHeight="1">
      <c r="A429" s="600" t="str">
        <f t="shared" si="30"/>
        <v>CLP;CLP NDIRS;3M</v>
      </c>
      <c r="B429" s="600" t="str">
        <f t="shared" si="33"/>
        <v>CLP</v>
      </c>
      <c r="C429" s="600" t="str">
        <f t="shared" si="33"/>
        <v>CLP NDIRS</v>
      </c>
      <c r="D429" s="603"/>
      <c r="E429" s="604"/>
      <c r="F429" s="607" t="s">
        <v>25</v>
      </c>
      <c r="G429" s="606">
        <v>-5.7181360341163097E-12</v>
      </c>
    </row>
    <row r="430" spans="1:7" ht="11.1" customHeight="1">
      <c r="A430" s="600" t="str">
        <f t="shared" si="30"/>
        <v>CLP;CLP NDIRS;6M</v>
      </c>
      <c r="B430" s="600" t="str">
        <f t="shared" si="33"/>
        <v>CLP</v>
      </c>
      <c r="C430" s="600" t="str">
        <f t="shared" si="33"/>
        <v>CLP NDIRS</v>
      </c>
      <c r="D430" s="603"/>
      <c r="E430" s="604"/>
      <c r="F430" s="607" t="s">
        <v>28</v>
      </c>
      <c r="G430" s="606">
        <v>-2.4158453015843401E-13</v>
      </c>
    </row>
    <row r="431" spans="1:7" ht="11.1" customHeight="1">
      <c r="A431" s="600" t="str">
        <f t="shared" si="30"/>
        <v>CLP;CLP NDIRS;1Y</v>
      </c>
      <c r="B431" s="600" t="str">
        <f t="shared" si="33"/>
        <v>CLP</v>
      </c>
      <c r="C431" s="600" t="str">
        <f t="shared" si="33"/>
        <v>CLP NDIRS</v>
      </c>
      <c r="D431" s="603"/>
      <c r="E431" s="604"/>
      <c r="F431" s="607" t="s">
        <v>56</v>
      </c>
      <c r="G431" s="606">
        <v>-9.8225427791476198E-11</v>
      </c>
    </row>
    <row r="432" spans="1:7" ht="11.1" customHeight="1">
      <c r="A432" s="600" t="str">
        <f t="shared" si="30"/>
        <v>CLP;CLP NDIRS;2Y</v>
      </c>
      <c r="B432" s="600" t="str">
        <f t="shared" si="33"/>
        <v>CLP</v>
      </c>
      <c r="C432" s="600" t="str">
        <f t="shared" si="33"/>
        <v>CLP NDIRS</v>
      </c>
      <c r="D432" s="603"/>
      <c r="E432" s="604"/>
      <c r="F432" s="607" t="s">
        <v>9</v>
      </c>
      <c r="G432" s="611">
        <v>8.0035533756017698E-11</v>
      </c>
    </row>
    <row r="433" spans="1:7" ht="11.1" customHeight="1">
      <c r="A433" s="600" t="str">
        <f t="shared" si="30"/>
        <v>CLP;CLP NDIRS;3Y</v>
      </c>
      <c r="B433" s="600" t="str">
        <f t="shared" si="33"/>
        <v>CLP</v>
      </c>
      <c r="C433" s="600" t="str">
        <f t="shared" si="33"/>
        <v>CLP NDIRS</v>
      </c>
      <c r="D433" s="603"/>
      <c r="E433" s="604"/>
      <c r="F433" s="607" t="s">
        <v>10</v>
      </c>
      <c r="G433" s="608">
        <v>0</v>
      </c>
    </row>
    <row r="434" spans="1:7" ht="11.1" customHeight="1">
      <c r="A434" s="600" t="str">
        <f t="shared" si="30"/>
        <v>CLP;CLP NDIRS;4Y</v>
      </c>
      <c r="B434" s="600" t="str">
        <f t="shared" si="33"/>
        <v>CLP</v>
      </c>
      <c r="C434" s="600" t="str">
        <f t="shared" si="33"/>
        <v>CLP NDIRS</v>
      </c>
      <c r="D434" s="603"/>
      <c r="E434" s="604"/>
      <c r="F434" s="607" t="s">
        <v>11</v>
      </c>
      <c r="G434" s="608">
        <v>0</v>
      </c>
    </row>
    <row r="435" spans="1:7" ht="11.1" customHeight="1">
      <c r="A435" s="600" t="str">
        <f t="shared" si="30"/>
        <v>CLP;CLP NDIRS;5Y</v>
      </c>
      <c r="B435" s="600" t="str">
        <f t="shared" si="33"/>
        <v>CLP</v>
      </c>
      <c r="C435" s="600" t="str">
        <f t="shared" si="33"/>
        <v>CLP NDIRS</v>
      </c>
      <c r="D435" s="603"/>
      <c r="E435" s="604"/>
      <c r="F435" s="607" t="s">
        <v>12</v>
      </c>
      <c r="G435" s="608">
        <v>0</v>
      </c>
    </row>
    <row r="436" spans="1:7" ht="11.1" customHeight="1">
      <c r="A436" s="600" t="str">
        <f t="shared" si="30"/>
        <v>CLP;CLP NDIRS;6Y</v>
      </c>
      <c r="B436" s="600" t="str">
        <f t="shared" si="33"/>
        <v>CLP</v>
      </c>
      <c r="C436" s="600" t="str">
        <f t="shared" si="33"/>
        <v>CLP NDIRS</v>
      </c>
      <c r="D436" s="603"/>
      <c r="E436" s="604"/>
      <c r="F436" s="607" t="s">
        <v>13</v>
      </c>
      <c r="G436" s="608">
        <v>0</v>
      </c>
    </row>
    <row r="437" spans="1:7" ht="11.1" customHeight="1">
      <c r="A437" s="600" t="str">
        <f t="shared" si="30"/>
        <v>CLP;CLP NDIRS;7Y</v>
      </c>
      <c r="B437" s="600" t="str">
        <f t="shared" ref="B437:C452" si="34">IF(ISBLANK(D437),B436,D437)</f>
        <v>CLP</v>
      </c>
      <c r="C437" s="600" t="str">
        <f t="shared" si="34"/>
        <v>CLP NDIRS</v>
      </c>
      <c r="D437" s="603"/>
      <c r="E437" s="604"/>
      <c r="F437" s="607" t="s">
        <v>14</v>
      </c>
      <c r="G437" s="608">
        <v>0</v>
      </c>
    </row>
    <row r="438" spans="1:7" ht="11.1" customHeight="1">
      <c r="A438" s="600" t="str">
        <f t="shared" si="30"/>
        <v>CLP;CLP NDIRS;8Y</v>
      </c>
      <c r="B438" s="600" t="str">
        <f t="shared" si="34"/>
        <v>CLP</v>
      </c>
      <c r="C438" s="600" t="str">
        <f t="shared" si="34"/>
        <v>CLP NDIRS</v>
      </c>
      <c r="D438" s="603"/>
      <c r="E438" s="604"/>
      <c r="F438" s="607" t="s">
        <v>15</v>
      </c>
      <c r="G438" s="608">
        <v>0</v>
      </c>
    </row>
    <row r="439" spans="1:7" ht="11.1" customHeight="1">
      <c r="A439" s="600" t="str">
        <f t="shared" si="30"/>
        <v>CLP;CLP NDIRS;9Y</v>
      </c>
      <c r="B439" s="600" t="str">
        <f t="shared" si="34"/>
        <v>CLP</v>
      </c>
      <c r="C439" s="600" t="str">
        <f t="shared" si="34"/>
        <v>CLP NDIRS</v>
      </c>
      <c r="D439" s="603"/>
      <c r="E439" s="604"/>
      <c r="F439" s="607" t="s">
        <v>16</v>
      </c>
      <c r="G439" s="608">
        <v>0</v>
      </c>
    </row>
    <row r="440" spans="1:7" ht="11.1" customHeight="1">
      <c r="A440" s="600" t="str">
        <f t="shared" si="30"/>
        <v>CLP;CLP NDIRS;10Y</v>
      </c>
      <c r="B440" s="600" t="str">
        <f t="shared" si="34"/>
        <v>CLP</v>
      </c>
      <c r="C440" s="600" t="str">
        <f t="shared" si="34"/>
        <v>CLP NDIRS</v>
      </c>
      <c r="D440" s="603"/>
      <c r="E440" s="604"/>
      <c r="F440" s="607" t="s">
        <v>17</v>
      </c>
      <c r="G440" s="608">
        <v>0</v>
      </c>
    </row>
    <row r="441" spans="1:7" ht="11.1" customHeight="1">
      <c r="A441" s="600" t="str">
        <f t="shared" si="30"/>
        <v>CNH;Total CNH;</v>
      </c>
      <c r="B441" s="600" t="str">
        <f t="shared" si="34"/>
        <v>CNH</v>
      </c>
      <c r="C441" s="600" t="str">
        <f t="shared" si="34"/>
        <v>Total CNH</v>
      </c>
      <c r="D441" s="603" t="s">
        <v>5092</v>
      </c>
      <c r="E441" s="609" t="s">
        <v>5093</v>
      </c>
      <c r="F441" s="609"/>
      <c r="G441" s="612">
        <v>-1083.6475892936501</v>
      </c>
    </row>
    <row r="442" spans="1:7" ht="11.1" customHeight="1">
      <c r="A442" s="600" t="str">
        <f t="shared" si="30"/>
        <v>CNH;CNH FOREX;Total CNH FOREX</v>
      </c>
      <c r="B442" s="600" t="str">
        <f t="shared" si="34"/>
        <v>CNH</v>
      </c>
      <c r="C442" s="600" t="str">
        <f t="shared" si="34"/>
        <v>CNH FOREX</v>
      </c>
      <c r="D442" s="603"/>
      <c r="E442" s="604" t="s">
        <v>5094</v>
      </c>
      <c r="F442" s="605" t="s">
        <v>5095</v>
      </c>
      <c r="G442" s="606">
        <v>-7.4062289878929497E-3</v>
      </c>
    </row>
    <row r="443" spans="1:7" ht="11.1" customHeight="1">
      <c r="A443" s="600" t="str">
        <f t="shared" si="30"/>
        <v>CNH;CNH FOREX;O/N</v>
      </c>
      <c r="B443" s="600" t="str">
        <f t="shared" si="34"/>
        <v>CNH</v>
      </c>
      <c r="C443" s="600" t="str">
        <f t="shared" si="34"/>
        <v>CNH FOREX</v>
      </c>
      <c r="D443" s="603"/>
      <c r="E443" s="604"/>
      <c r="F443" s="607" t="s">
        <v>3</v>
      </c>
      <c r="G443" s="606">
        <v>-5.5546331708282203E-3</v>
      </c>
    </row>
    <row r="444" spans="1:7" ht="11.1" customHeight="1">
      <c r="A444" s="600" t="str">
        <f t="shared" si="30"/>
        <v>CNH;CNH FOREX;T/N</v>
      </c>
      <c r="B444" s="600" t="str">
        <f t="shared" si="34"/>
        <v>CNH</v>
      </c>
      <c r="C444" s="600" t="str">
        <f t="shared" si="34"/>
        <v>CNH FOREX</v>
      </c>
      <c r="D444" s="603"/>
      <c r="E444" s="604"/>
      <c r="F444" s="607" t="s">
        <v>4</v>
      </c>
      <c r="G444" s="606">
        <v>-1.8515958170649599E-3</v>
      </c>
    </row>
    <row r="445" spans="1:7" ht="11.1" customHeight="1">
      <c r="A445" s="600" t="str">
        <f t="shared" si="30"/>
        <v>CNH;CNH FOREX;S/N</v>
      </c>
      <c r="B445" s="600" t="str">
        <f t="shared" si="34"/>
        <v>CNH</v>
      </c>
      <c r="C445" s="600" t="str">
        <f t="shared" si="34"/>
        <v>CNH FOREX</v>
      </c>
      <c r="D445" s="603"/>
      <c r="E445" s="604"/>
      <c r="F445" s="607" t="s">
        <v>23</v>
      </c>
      <c r="G445" s="608">
        <v>0</v>
      </c>
    </row>
    <row r="446" spans="1:7" ht="11.1" customHeight="1">
      <c r="A446" s="600" t="str">
        <f t="shared" si="30"/>
        <v>CNH;CNH FOREX;1W</v>
      </c>
      <c r="B446" s="600" t="str">
        <f t="shared" si="34"/>
        <v>CNH</v>
      </c>
      <c r="C446" s="600" t="str">
        <f t="shared" si="34"/>
        <v>CNH FOREX</v>
      </c>
      <c r="D446" s="603"/>
      <c r="E446" s="604"/>
      <c r="F446" s="607" t="s">
        <v>5</v>
      </c>
      <c r="G446" s="608">
        <v>0</v>
      </c>
    </row>
    <row r="447" spans="1:7" ht="11.1" customHeight="1">
      <c r="A447" s="600" t="str">
        <f t="shared" si="30"/>
        <v>CNH;CNH FOREX;2W</v>
      </c>
      <c r="B447" s="600" t="str">
        <f t="shared" si="34"/>
        <v>CNH</v>
      </c>
      <c r="C447" s="600" t="str">
        <f t="shared" si="34"/>
        <v>CNH FOREX</v>
      </c>
      <c r="D447" s="603"/>
      <c r="E447" s="604"/>
      <c r="F447" s="607" t="s">
        <v>6</v>
      </c>
      <c r="G447" s="608">
        <v>0</v>
      </c>
    </row>
    <row r="448" spans="1:7" ht="11.1" customHeight="1">
      <c r="A448" s="600" t="str">
        <f t="shared" si="30"/>
        <v>CNH;CNH FOREX;3W</v>
      </c>
      <c r="B448" s="600" t="str">
        <f t="shared" si="34"/>
        <v>CNH</v>
      </c>
      <c r="C448" s="600" t="str">
        <f t="shared" si="34"/>
        <v>CNH FOREX</v>
      </c>
      <c r="D448" s="603"/>
      <c r="E448" s="604"/>
      <c r="F448" s="607" t="s">
        <v>24</v>
      </c>
      <c r="G448" s="608">
        <v>0</v>
      </c>
    </row>
    <row r="449" spans="1:7" ht="11.1" customHeight="1">
      <c r="A449" s="600" t="str">
        <f t="shared" si="30"/>
        <v>CNH;CNH FOREX;1M</v>
      </c>
      <c r="B449" s="600" t="str">
        <f t="shared" si="34"/>
        <v>CNH</v>
      </c>
      <c r="C449" s="600" t="str">
        <f t="shared" si="34"/>
        <v>CNH FOREX</v>
      </c>
      <c r="D449" s="603"/>
      <c r="E449" s="604"/>
      <c r="F449" s="607" t="s">
        <v>7</v>
      </c>
      <c r="G449" s="608">
        <v>0</v>
      </c>
    </row>
    <row r="450" spans="1:7" ht="11.1" customHeight="1">
      <c r="A450" s="600" t="str">
        <f t="shared" si="30"/>
        <v>CNH;CNH FOREX;2M</v>
      </c>
      <c r="B450" s="600" t="str">
        <f t="shared" si="34"/>
        <v>CNH</v>
      </c>
      <c r="C450" s="600" t="str">
        <f t="shared" si="34"/>
        <v>CNH FOREX</v>
      </c>
      <c r="D450" s="603"/>
      <c r="E450" s="604"/>
      <c r="F450" s="607" t="s">
        <v>8</v>
      </c>
      <c r="G450" s="608">
        <v>0</v>
      </c>
    </row>
    <row r="451" spans="1:7" ht="11.1" customHeight="1">
      <c r="A451" s="600" t="str">
        <f t="shared" si="30"/>
        <v>CNH;CNH FOREX;3M</v>
      </c>
      <c r="B451" s="600" t="str">
        <f t="shared" si="34"/>
        <v>CNH</v>
      </c>
      <c r="C451" s="600" t="str">
        <f t="shared" si="34"/>
        <v>CNH FOREX</v>
      </c>
      <c r="D451" s="603"/>
      <c r="E451" s="604"/>
      <c r="F451" s="607" t="s">
        <v>25</v>
      </c>
      <c r="G451" s="608">
        <v>0</v>
      </c>
    </row>
    <row r="452" spans="1:7" ht="11.1" customHeight="1">
      <c r="A452" s="600" t="str">
        <f t="shared" si="30"/>
        <v>CNH;CNH FOREX;4M</v>
      </c>
      <c r="B452" s="600" t="str">
        <f t="shared" si="34"/>
        <v>CNH</v>
      </c>
      <c r="C452" s="600" t="str">
        <f t="shared" si="34"/>
        <v>CNH FOREX</v>
      </c>
      <c r="D452" s="603"/>
      <c r="E452" s="604"/>
      <c r="F452" s="607" t="s">
        <v>26</v>
      </c>
      <c r="G452" s="608">
        <v>0</v>
      </c>
    </row>
    <row r="453" spans="1:7" ht="11.1" customHeight="1">
      <c r="A453" s="600" t="str">
        <f t="shared" ref="A453:A516" si="35">B453&amp;";"&amp;C453&amp;";"&amp;F453</f>
        <v>CNH;CNH FOREX;5M</v>
      </c>
      <c r="B453" s="600" t="str">
        <f t="shared" ref="B453:C468" si="36">IF(ISBLANK(D453),B452,D453)</f>
        <v>CNH</v>
      </c>
      <c r="C453" s="600" t="str">
        <f t="shared" si="36"/>
        <v>CNH FOREX</v>
      </c>
      <c r="D453" s="603"/>
      <c r="E453" s="604"/>
      <c r="F453" s="607" t="s">
        <v>27</v>
      </c>
      <c r="G453" s="608">
        <v>0</v>
      </c>
    </row>
    <row r="454" spans="1:7" ht="11.1" customHeight="1">
      <c r="A454" s="600" t="str">
        <f t="shared" si="35"/>
        <v>CNH;CNH FOREX;6M</v>
      </c>
      <c r="B454" s="600" t="str">
        <f t="shared" si="36"/>
        <v>CNH</v>
      </c>
      <c r="C454" s="600" t="str">
        <f t="shared" si="36"/>
        <v>CNH FOREX</v>
      </c>
      <c r="D454" s="603"/>
      <c r="E454" s="604"/>
      <c r="F454" s="607" t="s">
        <v>28</v>
      </c>
      <c r="G454" s="608">
        <v>0</v>
      </c>
    </row>
    <row r="455" spans="1:7" ht="11.1" customHeight="1">
      <c r="A455" s="600" t="str">
        <f t="shared" si="35"/>
        <v>CNH;CNH FOREX;7M</v>
      </c>
      <c r="B455" s="600" t="str">
        <f t="shared" si="36"/>
        <v>CNH</v>
      </c>
      <c r="C455" s="600" t="str">
        <f t="shared" si="36"/>
        <v>CNH FOREX</v>
      </c>
      <c r="D455" s="603"/>
      <c r="E455" s="604"/>
      <c r="F455" s="607" t="s">
        <v>29</v>
      </c>
      <c r="G455" s="608">
        <v>0</v>
      </c>
    </row>
    <row r="456" spans="1:7" ht="11.1" customHeight="1">
      <c r="A456" s="600" t="str">
        <f t="shared" si="35"/>
        <v>CNH;CNH FOREX;8M</v>
      </c>
      <c r="B456" s="600" t="str">
        <f t="shared" si="36"/>
        <v>CNH</v>
      </c>
      <c r="C456" s="600" t="str">
        <f t="shared" si="36"/>
        <v>CNH FOREX</v>
      </c>
      <c r="D456" s="603"/>
      <c r="E456" s="604"/>
      <c r="F456" s="607" t="s">
        <v>30</v>
      </c>
      <c r="G456" s="608">
        <v>0</v>
      </c>
    </row>
    <row r="457" spans="1:7" ht="11.1" customHeight="1">
      <c r="A457" s="600" t="str">
        <f t="shared" si="35"/>
        <v>CNH;CNH FOREX;9M</v>
      </c>
      <c r="B457" s="600" t="str">
        <f t="shared" si="36"/>
        <v>CNH</v>
      </c>
      <c r="C457" s="600" t="str">
        <f t="shared" si="36"/>
        <v>CNH FOREX</v>
      </c>
      <c r="D457" s="603"/>
      <c r="E457" s="604"/>
      <c r="F457" s="607" t="s">
        <v>49</v>
      </c>
      <c r="G457" s="608">
        <v>0</v>
      </c>
    </row>
    <row r="458" spans="1:7" ht="11.1" customHeight="1">
      <c r="A458" s="600" t="str">
        <f t="shared" si="35"/>
        <v>CNH;CNH FOREX;10M</v>
      </c>
      <c r="B458" s="600" t="str">
        <f t="shared" si="36"/>
        <v>CNH</v>
      </c>
      <c r="C458" s="600" t="str">
        <f t="shared" si="36"/>
        <v>CNH FOREX</v>
      </c>
      <c r="D458" s="603"/>
      <c r="E458" s="604"/>
      <c r="F458" s="607" t="s">
        <v>50</v>
      </c>
      <c r="G458" s="608">
        <v>0</v>
      </c>
    </row>
    <row r="459" spans="1:7" ht="11.1" customHeight="1">
      <c r="A459" s="600" t="str">
        <f t="shared" si="35"/>
        <v>CNH;CNH FOREX;11M</v>
      </c>
      <c r="B459" s="600" t="str">
        <f t="shared" si="36"/>
        <v>CNH</v>
      </c>
      <c r="C459" s="600" t="str">
        <f t="shared" si="36"/>
        <v>CNH FOREX</v>
      </c>
      <c r="D459" s="603"/>
      <c r="E459" s="604"/>
      <c r="F459" s="607" t="s">
        <v>51</v>
      </c>
      <c r="G459" s="608">
        <v>0</v>
      </c>
    </row>
    <row r="460" spans="1:7" ht="11.1" customHeight="1">
      <c r="A460" s="600" t="str">
        <f t="shared" si="35"/>
        <v>CNH;CNH FOREX;12M</v>
      </c>
      <c r="B460" s="600" t="str">
        <f t="shared" si="36"/>
        <v>CNH</v>
      </c>
      <c r="C460" s="600" t="str">
        <f t="shared" si="36"/>
        <v>CNH FOREX</v>
      </c>
      <c r="D460" s="603"/>
      <c r="E460" s="604"/>
      <c r="F460" s="607" t="s">
        <v>52</v>
      </c>
      <c r="G460" s="608">
        <v>0</v>
      </c>
    </row>
    <row r="461" spans="1:7" ht="11.1" customHeight="1">
      <c r="A461" s="600" t="str">
        <f t="shared" si="35"/>
        <v>CNH;CNH FOREX;15M</v>
      </c>
      <c r="B461" s="600" t="str">
        <f t="shared" si="36"/>
        <v>CNH</v>
      </c>
      <c r="C461" s="600" t="str">
        <f t="shared" si="36"/>
        <v>CNH FOREX</v>
      </c>
      <c r="D461" s="603"/>
      <c r="E461" s="604"/>
      <c r="F461" s="607" t="s">
        <v>53</v>
      </c>
      <c r="G461" s="608">
        <v>0</v>
      </c>
    </row>
    <row r="462" spans="1:7" ht="11.1" customHeight="1">
      <c r="A462" s="600" t="str">
        <f t="shared" si="35"/>
        <v>CNH;CNH FOREX;18M</v>
      </c>
      <c r="B462" s="600" t="str">
        <f t="shared" si="36"/>
        <v>CNH</v>
      </c>
      <c r="C462" s="600" t="str">
        <f t="shared" si="36"/>
        <v>CNH FOREX</v>
      </c>
      <c r="D462" s="603"/>
      <c r="E462" s="604"/>
      <c r="F462" s="607" t="s">
        <v>54</v>
      </c>
      <c r="G462" s="608">
        <v>0</v>
      </c>
    </row>
    <row r="463" spans="1:7" ht="11.1" customHeight="1">
      <c r="A463" s="600" t="str">
        <f t="shared" si="35"/>
        <v>CNH;CNH FOREX;24M</v>
      </c>
      <c r="B463" s="600" t="str">
        <f t="shared" si="36"/>
        <v>CNH</v>
      </c>
      <c r="C463" s="600" t="str">
        <f t="shared" si="36"/>
        <v>CNH FOREX</v>
      </c>
      <c r="D463" s="603"/>
      <c r="E463" s="604"/>
      <c r="F463" s="607" t="s">
        <v>659</v>
      </c>
      <c r="G463" s="608">
        <v>0</v>
      </c>
    </row>
    <row r="464" spans="1:7" ht="11.1" customHeight="1">
      <c r="A464" s="600" t="str">
        <f t="shared" si="35"/>
        <v>CNH;CNH FOREX;3Y</v>
      </c>
      <c r="B464" s="600" t="str">
        <f t="shared" si="36"/>
        <v>CNH</v>
      </c>
      <c r="C464" s="600" t="str">
        <f t="shared" si="36"/>
        <v>CNH FOREX</v>
      </c>
      <c r="D464" s="603"/>
      <c r="E464" s="604"/>
      <c r="F464" s="607" t="s">
        <v>10</v>
      </c>
      <c r="G464" s="608">
        <v>0</v>
      </c>
    </row>
    <row r="465" spans="1:7" ht="11.1" customHeight="1">
      <c r="A465" s="600" t="str">
        <f t="shared" si="35"/>
        <v>CNH;CNH FOREX;4Y</v>
      </c>
      <c r="B465" s="600" t="str">
        <f t="shared" si="36"/>
        <v>CNH</v>
      </c>
      <c r="C465" s="600" t="str">
        <f t="shared" si="36"/>
        <v>CNH FOREX</v>
      </c>
      <c r="D465" s="603"/>
      <c r="E465" s="604"/>
      <c r="F465" s="607" t="s">
        <v>11</v>
      </c>
      <c r="G465" s="608">
        <v>0</v>
      </c>
    </row>
    <row r="466" spans="1:7" ht="11.1" customHeight="1">
      <c r="A466" s="600" t="str">
        <f t="shared" si="35"/>
        <v>CNH;CNH FOREX;5Y</v>
      </c>
      <c r="B466" s="600" t="str">
        <f t="shared" si="36"/>
        <v>CNH</v>
      </c>
      <c r="C466" s="600" t="str">
        <f t="shared" si="36"/>
        <v>CNH FOREX</v>
      </c>
      <c r="D466" s="603"/>
      <c r="E466" s="604"/>
      <c r="F466" s="607" t="s">
        <v>12</v>
      </c>
      <c r="G466" s="608">
        <v>0</v>
      </c>
    </row>
    <row r="467" spans="1:7" ht="11.1" customHeight="1">
      <c r="A467" s="600" t="str">
        <f t="shared" si="35"/>
        <v>CNH;CNH FOREX;6Y</v>
      </c>
      <c r="B467" s="600" t="str">
        <f t="shared" si="36"/>
        <v>CNH</v>
      </c>
      <c r="C467" s="600" t="str">
        <f t="shared" si="36"/>
        <v>CNH FOREX</v>
      </c>
      <c r="D467" s="603"/>
      <c r="E467" s="604"/>
      <c r="F467" s="607" t="s">
        <v>13</v>
      </c>
      <c r="G467" s="608">
        <v>0</v>
      </c>
    </row>
    <row r="468" spans="1:7" ht="11.1" customHeight="1">
      <c r="A468" s="600" t="str">
        <f t="shared" si="35"/>
        <v>CNH;CNH FOREX;7Y</v>
      </c>
      <c r="B468" s="600" t="str">
        <f t="shared" si="36"/>
        <v>CNH</v>
      </c>
      <c r="C468" s="600" t="str">
        <f t="shared" si="36"/>
        <v>CNH FOREX</v>
      </c>
      <c r="D468" s="603"/>
      <c r="E468" s="604"/>
      <c r="F468" s="607" t="s">
        <v>14</v>
      </c>
      <c r="G468" s="608">
        <v>0</v>
      </c>
    </row>
    <row r="469" spans="1:7" ht="11.1" customHeight="1">
      <c r="A469" s="600" t="str">
        <f t="shared" si="35"/>
        <v>CNH;CNH FOREX;8Y</v>
      </c>
      <c r="B469" s="600" t="str">
        <f t="shared" ref="B469:C484" si="37">IF(ISBLANK(D469),B468,D469)</f>
        <v>CNH</v>
      </c>
      <c r="C469" s="600" t="str">
        <f t="shared" si="37"/>
        <v>CNH FOREX</v>
      </c>
      <c r="D469" s="603"/>
      <c r="E469" s="604"/>
      <c r="F469" s="607" t="s">
        <v>15</v>
      </c>
      <c r="G469" s="608">
        <v>0</v>
      </c>
    </row>
    <row r="470" spans="1:7" ht="11.1" customHeight="1">
      <c r="A470" s="600" t="str">
        <f t="shared" si="35"/>
        <v>CNH;CNH FOREX;9Y</v>
      </c>
      <c r="B470" s="600" t="str">
        <f t="shared" si="37"/>
        <v>CNH</v>
      </c>
      <c r="C470" s="600" t="str">
        <f t="shared" si="37"/>
        <v>CNH FOREX</v>
      </c>
      <c r="D470" s="603"/>
      <c r="E470" s="604"/>
      <c r="F470" s="607" t="s">
        <v>16</v>
      </c>
      <c r="G470" s="608">
        <v>0</v>
      </c>
    </row>
    <row r="471" spans="1:7" ht="11.1" customHeight="1">
      <c r="A471" s="600" t="str">
        <f t="shared" si="35"/>
        <v>CNH;CNH FOREX;10Y</v>
      </c>
      <c r="B471" s="600" t="str">
        <f t="shared" si="37"/>
        <v>CNH</v>
      </c>
      <c r="C471" s="600" t="str">
        <f t="shared" si="37"/>
        <v>CNH FOREX</v>
      </c>
      <c r="D471" s="603"/>
      <c r="E471" s="604"/>
      <c r="F471" s="607" t="s">
        <v>17</v>
      </c>
      <c r="G471" s="608">
        <v>0</v>
      </c>
    </row>
    <row r="472" spans="1:7" ht="11.1" customHeight="1">
      <c r="A472" s="600" t="str">
        <f t="shared" si="35"/>
        <v>CNH;CNH USD BAS EONIA;Total CNH USD BAS EONIA</v>
      </c>
      <c r="B472" s="600" t="str">
        <f t="shared" si="37"/>
        <v>CNH</v>
      </c>
      <c r="C472" s="600" t="str">
        <f t="shared" si="37"/>
        <v>CNH USD BAS EONIA</v>
      </c>
      <c r="D472" s="603"/>
      <c r="E472" s="604" t="s">
        <v>5096</v>
      </c>
      <c r="F472" s="605" t="s">
        <v>5097</v>
      </c>
      <c r="G472" s="606">
        <v>-1083.6401830646601</v>
      </c>
    </row>
    <row r="473" spans="1:7" ht="11.1" customHeight="1">
      <c r="A473" s="600" t="str">
        <f t="shared" si="35"/>
        <v>CNH;CNH USD BAS EONIA;1W</v>
      </c>
      <c r="B473" s="600" t="str">
        <f t="shared" si="37"/>
        <v>CNH</v>
      </c>
      <c r="C473" s="600" t="str">
        <f t="shared" si="37"/>
        <v>CNH USD BAS EONIA</v>
      </c>
      <c r="D473" s="603"/>
      <c r="E473" s="604"/>
      <c r="F473" s="607" t="s">
        <v>5</v>
      </c>
      <c r="G473" s="606">
        <v>-7.3497555836355497</v>
      </c>
    </row>
    <row r="474" spans="1:7" ht="11.1" customHeight="1">
      <c r="A474" s="600" t="str">
        <f t="shared" si="35"/>
        <v>CNH;CNH USD BAS EONIA;2W</v>
      </c>
      <c r="B474" s="600" t="str">
        <f t="shared" si="37"/>
        <v>CNH</v>
      </c>
      <c r="C474" s="600" t="str">
        <f t="shared" si="37"/>
        <v>CNH USD BAS EONIA</v>
      </c>
      <c r="D474" s="603"/>
      <c r="E474" s="604"/>
      <c r="F474" s="607" t="s">
        <v>6</v>
      </c>
      <c r="G474" s="608">
        <v>0</v>
      </c>
    </row>
    <row r="475" spans="1:7" ht="11.1" customHeight="1">
      <c r="A475" s="600" t="str">
        <f t="shared" si="35"/>
        <v>CNH;CNH USD BAS EONIA;1M</v>
      </c>
      <c r="B475" s="600" t="str">
        <f t="shared" si="37"/>
        <v>CNH</v>
      </c>
      <c r="C475" s="600" t="str">
        <f t="shared" si="37"/>
        <v>CNH USD BAS EONIA</v>
      </c>
      <c r="D475" s="603"/>
      <c r="E475" s="604"/>
      <c r="F475" s="607" t="s">
        <v>7</v>
      </c>
      <c r="G475" s="606">
        <v>-2.7755482333168002E-2</v>
      </c>
    </row>
    <row r="476" spans="1:7" ht="11.1" customHeight="1">
      <c r="A476" s="600" t="str">
        <f t="shared" si="35"/>
        <v>CNH;CNH USD BAS EONIA;2M</v>
      </c>
      <c r="B476" s="600" t="str">
        <f t="shared" si="37"/>
        <v>CNH</v>
      </c>
      <c r="C476" s="600" t="str">
        <f t="shared" si="37"/>
        <v>CNH USD BAS EONIA</v>
      </c>
      <c r="D476" s="603"/>
      <c r="E476" s="604"/>
      <c r="F476" s="607" t="s">
        <v>8</v>
      </c>
      <c r="G476" s="606">
        <v>-0.84068766908546499</v>
      </c>
    </row>
    <row r="477" spans="1:7" ht="11.1" customHeight="1">
      <c r="A477" s="600" t="str">
        <f t="shared" si="35"/>
        <v>CNH;CNH USD BAS EONIA;3M</v>
      </c>
      <c r="B477" s="600" t="str">
        <f t="shared" si="37"/>
        <v>CNH</v>
      </c>
      <c r="C477" s="600" t="str">
        <f t="shared" si="37"/>
        <v>CNH USD BAS EONIA</v>
      </c>
      <c r="D477" s="603"/>
      <c r="E477" s="604"/>
      <c r="F477" s="607" t="s">
        <v>25</v>
      </c>
      <c r="G477" s="611">
        <v>1.2293905075203</v>
      </c>
    </row>
    <row r="478" spans="1:7" ht="11.1" customHeight="1">
      <c r="A478" s="600" t="str">
        <f t="shared" si="35"/>
        <v>CNH;CNH USD BAS EONIA;6M</v>
      </c>
      <c r="B478" s="600" t="str">
        <f t="shared" si="37"/>
        <v>CNH</v>
      </c>
      <c r="C478" s="600" t="str">
        <f t="shared" si="37"/>
        <v>CNH USD BAS EONIA</v>
      </c>
      <c r="D478" s="603"/>
      <c r="E478" s="604"/>
      <c r="F478" s="607" t="s">
        <v>28</v>
      </c>
      <c r="G478" s="611">
        <v>0.19480425430229301</v>
      </c>
    </row>
    <row r="479" spans="1:7" ht="11.1" customHeight="1">
      <c r="A479" s="600" t="str">
        <f t="shared" si="35"/>
        <v>CNH;CNH USD BAS EONIA;9M</v>
      </c>
      <c r="B479" s="600" t="str">
        <f t="shared" si="37"/>
        <v>CNH</v>
      </c>
      <c r="C479" s="600" t="str">
        <f t="shared" si="37"/>
        <v>CNH USD BAS EONIA</v>
      </c>
      <c r="D479" s="603"/>
      <c r="E479" s="604"/>
      <c r="F479" s="607" t="s">
        <v>49</v>
      </c>
      <c r="G479" s="611">
        <v>73.027237471538299</v>
      </c>
    </row>
    <row r="480" spans="1:7" ht="11.1" customHeight="1">
      <c r="A480" s="600" t="str">
        <f t="shared" si="35"/>
        <v>CNH;CNH USD BAS EONIA;1Y</v>
      </c>
      <c r="B480" s="600" t="str">
        <f t="shared" si="37"/>
        <v>CNH</v>
      </c>
      <c r="C480" s="600" t="str">
        <f t="shared" si="37"/>
        <v>CNH USD BAS EONIA</v>
      </c>
      <c r="D480" s="603"/>
      <c r="E480" s="604"/>
      <c r="F480" s="607" t="s">
        <v>56</v>
      </c>
      <c r="G480" s="606">
        <v>-286.38041560029097</v>
      </c>
    </row>
    <row r="481" spans="1:7" ht="11.1" customHeight="1">
      <c r="A481" s="600" t="str">
        <f t="shared" si="35"/>
        <v>CNH;CNH USD BAS EONIA;2Y</v>
      </c>
      <c r="B481" s="600" t="str">
        <f t="shared" si="37"/>
        <v>CNH</v>
      </c>
      <c r="C481" s="600" t="str">
        <f t="shared" si="37"/>
        <v>CNH USD BAS EONIA</v>
      </c>
      <c r="D481" s="603"/>
      <c r="E481" s="604"/>
      <c r="F481" s="607" t="s">
        <v>9</v>
      </c>
      <c r="G481" s="606">
        <v>-1008.12854015793</v>
      </c>
    </row>
    <row r="482" spans="1:7" ht="11.1" customHeight="1">
      <c r="A482" s="600" t="str">
        <f t="shared" si="35"/>
        <v>CNH;CNH USD BAS EONIA;3Y</v>
      </c>
      <c r="B482" s="600" t="str">
        <f t="shared" si="37"/>
        <v>CNH</v>
      </c>
      <c r="C482" s="600" t="str">
        <f t="shared" si="37"/>
        <v>CNH USD BAS EONIA</v>
      </c>
      <c r="D482" s="603"/>
      <c r="E482" s="604"/>
      <c r="F482" s="607" t="s">
        <v>10</v>
      </c>
      <c r="G482" s="611">
        <v>144.33104409666501</v>
      </c>
    </row>
    <row r="483" spans="1:7" ht="11.1" customHeight="1">
      <c r="A483" s="600" t="str">
        <f t="shared" si="35"/>
        <v>CNH;CNH USD BAS EONIA;4Y</v>
      </c>
      <c r="B483" s="600" t="str">
        <f t="shared" si="37"/>
        <v>CNH</v>
      </c>
      <c r="C483" s="600" t="str">
        <f t="shared" si="37"/>
        <v>CNH USD BAS EONIA</v>
      </c>
      <c r="D483" s="603"/>
      <c r="E483" s="604"/>
      <c r="F483" s="607" t="s">
        <v>11</v>
      </c>
      <c r="G483" s="611">
        <v>0.303897844452856</v>
      </c>
    </row>
    <row r="484" spans="1:7" ht="11.1" customHeight="1">
      <c r="A484" s="600" t="str">
        <f t="shared" si="35"/>
        <v>CNH;CNH USD BAS EONIA;5Y</v>
      </c>
      <c r="B484" s="600" t="str">
        <f t="shared" si="37"/>
        <v>CNH</v>
      </c>
      <c r="C484" s="600" t="str">
        <f t="shared" si="37"/>
        <v>CNH USD BAS EONIA</v>
      </c>
      <c r="D484" s="603"/>
      <c r="E484" s="604"/>
      <c r="F484" s="607" t="s">
        <v>12</v>
      </c>
      <c r="G484" s="611">
        <v>5.9621442355665705E-4</v>
      </c>
    </row>
    <row r="485" spans="1:7" ht="11.1" customHeight="1">
      <c r="A485" s="600" t="str">
        <f t="shared" si="35"/>
        <v>CNH;CNH USD BAS EONIA;6Y</v>
      </c>
      <c r="B485" s="600" t="str">
        <f t="shared" ref="B485:C500" si="38">IF(ISBLANK(D485),B484,D485)</f>
        <v>CNH</v>
      </c>
      <c r="C485" s="600" t="str">
        <f t="shared" si="38"/>
        <v>CNH USD BAS EONIA</v>
      </c>
      <c r="D485" s="603"/>
      <c r="E485" s="604"/>
      <c r="F485" s="607" t="s">
        <v>13</v>
      </c>
      <c r="G485" s="611">
        <v>1.0379424959019401E-6</v>
      </c>
    </row>
    <row r="486" spans="1:7" ht="11.1" customHeight="1">
      <c r="A486" s="600" t="str">
        <f t="shared" si="35"/>
        <v>CNH;CNH USD BAS EONIA;7Y</v>
      </c>
      <c r="B486" s="600" t="str">
        <f t="shared" si="38"/>
        <v>CNH</v>
      </c>
      <c r="C486" s="600" t="str">
        <f t="shared" si="38"/>
        <v>CNH USD BAS EONIA</v>
      </c>
      <c r="D486" s="603"/>
      <c r="E486" s="604"/>
      <c r="F486" s="607" t="s">
        <v>14</v>
      </c>
      <c r="G486" s="611">
        <v>1.7706052719996601E-9</v>
      </c>
    </row>
    <row r="487" spans="1:7" ht="11.1" customHeight="1">
      <c r="A487" s="600" t="str">
        <f t="shared" si="35"/>
        <v>CNH;CNH USD BAS EONIA;8Y</v>
      </c>
      <c r="B487" s="600" t="str">
        <f t="shared" si="38"/>
        <v>CNH</v>
      </c>
      <c r="C487" s="600" t="str">
        <f t="shared" si="38"/>
        <v>CNH USD BAS EONIA</v>
      </c>
      <c r="D487" s="603"/>
      <c r="E487" s="604"/>
      <c r="F487" s="607" t="s">
        <v>15</v>
      </c>
      <c r="G487" s="608">
        <v>0</v>
      </c>
    </row>
    <row r="488" spans="1:7" ht="11.1" customHeight="1">
      <c r="A488" s="600" t="str">
        <f t="shared" si="35"/>
        <v>CNH;CNH USD BAS EONIA;9Y</v>
      </c>
      <c r="B488" s="600" t="str">
        <f t="shared" si="38"/>
        <v>CNH</v>
      </c>
      <c r="C488" s="600" t="str">
        <f t="shared" si="38"/>
        <v>CNH USD BAS EONIA</v>
      </c>
      <c r="D488" s="603"/>
      <c r="E488" s="604"/>
      <c r="F488" s="607" t="s">
        <v>16</v>
      </c>
      <c r="G488" s="608">
        <v>0</v>
      </c>
    </row>
    <row r="489" spans="1:7" ht="11.1" customHeight="1">
      <c r="A489" s="600" t="str">
        <f t="shared" si="35"/>
        <v>CNH;CNH USD BAS EONIA;10Y</v>
      </c>
      <c r="B489" s="600" t="str">
        <f t="shared" si="38"/>
        <v>CNH</v>
      </c>
      <c r="C489" s="600" t="str">
        <f t="shared" si="38"/>
        <v>CNH USD BAS EONIA</v>
      </c>
      <c r="D489" s="603"/>
      <c r="E489" s="604"/>
      <c r="F489" s="607" t="s">
        <v>17</v>
      </c>
      <c r="G489" s="608">
        <v>0</v>
      </c>
    </row>
    <row r="490" spans="1:7" ht="11.1" customHeight="1">
      <c r="A490" s="600" t="str">
        <f t="shared" si="35"/>
        <v>COP;Total COP;</v>
      </c>
      <c r="B490" s="600" t="str">
        <f t="shared" si="38"/>
        <v>COP</v>
      </c>
      <c r="C490" s="600" t="str">
        <f t="shared" si="38"/>
        <v>Total COP</v>
      </c>
      <c r="D490" s="603" t="s">
        <v>1205</v>
      </c>
      <c r="E490" s="609" t="s">
        <v>1206</v>
      </c>
      <c r="F490" s="609"/>
      <c r="G490" s="610">
        <v>3.5493030736688499E-10</v>
      </c>
    </row>
    <row r="491" spans="1:7" ht="11.1" customHeight="1">
      <c r="A491" s="600" t="str">
        <f t="shared" si="35"/>
        <v>COP;COP :STD;Total COP :STD</v>
      </c>
      <c r="B491" s="600" t="str">
        <f t="shared" si="38"/>
        <v>COP</v>
      </c>
      <c r="C491" s="600" t="str">
        <f t="shared" si="38"/>
        <v>COP :STD</v>
      </c>
      <c r="D491" s="603"/>
      <c r="E491" s="604" t="s">
        <v>1207</v>
      </c>
      <c r="F491" s="605" t="s">
        <v>1208</v>
      </c>
      <c r="G491" s="606">
        <v>-3.43561623594724E-10</v>
      </c>
    </row>
    <row r="492" spans="1:7" ht="11.1" customHeight="1">
      <c r="A492" s="600" t="str">
        <f t="shared" si="35"/>
        <v>COP;COP :STD;1M</v>
      </c>
      <c r="B492" s="600" t="str">
        <f t="shared" si="38"/>
        <v>COP</v>
      </c>
      <c r="C492" s="600" t="str">
        <f t="shared" si="38"/>
        <v>COP :STD</v>
      </c>
      <c r="D492" s="603"/>
      <c r="E492" s="604"/>
      <c r="F492" s="607" t="s">
        <v>7</v>
      </c>
      <c r="G492" s="611">
        <v>1.8189894035458601E-12</v>
      </c>
    </row>
    <row r="493" spans="1:7" ht="11.1" customHeight="1">
      <c r="A493" s="600" t="str">
        <f t="shared" si="35"/>
        <v>COP;COP :STD;2M</v>
      </c>
      <c r="B493" s="600" t="str">
        <f t="shared" si="38"/>
        <v>COP</v>
      </c>
      <c r="C493" s="600" t="str">
        <f t="shared" si="38"/>
        <v>COP :STD</v>
      </c>
      <c r="D493" s="603"/>
      <c r="E493" s="604"/>
      <c r="F493" s="607" t="s">
        <v>8</v>
      </c>
      <c r="G493" s="608">
        <v>0</v>
      </c>
    </row>
    <row r="494" spans="1:7" ht="11.1" customHeight="1">
      <c r="A494" s="600" t="str">
        <f t="shared" si="35"/>
        <v>COP;COP :STD;3M</v>
      </c>
      <c r="B494" s="600" t="str">
        <f t="shared" si="38"/>
        <v>COP</v>
      </c>
      <c r="C494" s="600" t="str">
        <f t="shared" si="38"/>
        <v>COP :STD</v>
      </c>
      <c r="D494" s="603"/>
      <c r="E494" s="604"/>
      <c r="F494" s="607" t="s">
        <v>25</v>
      </c>
      <c r="G494" s="611">
        <v>0</v>
      </c>
    </row>
    <row r="495" spans="1:7" ht="11.1" customHeight="1">
      <c r="A495" s="600" t="str">
        <f t="shared" si="35"/>
        <v>COP;COP :STD;6M</v>
      </c>
      <c r="B495" s="600" t="str">
        <f t="shared" si="38"/>
        <v>COP</v>
      </c>
      <c r="C495" s="600" t="str">
        <f t="shared" si="38"/>
        <v>COP :STD</v>
      </c>
      <c r="D495" s="603"/>
      <c r="E495" s="604"/>
      <c r="F495" s="607" t="s">
        <v>28</v>
      </c>
      <c r="G495" s="611">
        <v>1.8189894035458601E-12</v>
      </c>
    </row>
    <row r="496" spans="1:7" ht="11.1" customHeight="1">
      <c r="A496" s="600" t="str">
        <f t="shared" si="35"/>
        <v>COP;COP :STD;9M</v>
      </c>
      <c r="B496" s="600" t="str">
        <f t="shared" si="38"/>
        <v>COP</v>
      </c>
      <c r="C496" s="600" t="str">
        <f t="shared" si="38"/>
        <v>COP :STD</v>
      </c>
      <c r="D496" s="603"/>
      <c r="E496" s="604"/>
      <c r="F496" s="607" t="s">
        <v>49</v>
      </c>
      <c r="G496" s="606">
        <v>-3.6379788070917097E-11</v>
      </c>
    </row>
    <row r="497" spans="1:7" ht="11.1" customHeight="1">
      <c r="A497" s="600" t="str">
        <f t="shared" si="35"/>
        <v>COP;COP :STD;1Y</v>
      </c>
      <c r="B497" s="600" t="str">
        <f t="shared" si="38"/>
        <v>COP</v>
      </c>
      <c r="C497" s="600" t="str">
        <f t="shared" si="38"/>
        <v>COP :STD</v>
      </c>
      <c r="D497" s="603"/>
      <c r="E497" s="604"/>
      <c r="F497" s="607" t="s">
        <v>56</v>
      </c>
      <c r="G497" s="611">
        <v>0</v>
      </c>
    </row>
    <row r="498" spans="1:7" ht="11.1" customHeight="1">
      <c r="A498" s="600" t="str">
        <f t="shared" si="35"/>
        <v>COP;COP :STD;2Y</v>
      </c>
      <c r="B498" s="600" t="str">
        <f t="shared" si="38"/>
        <v>COP</v>
      </c>
      <c r="C498" s="600" t="str">
        <f t="shared" si="38"/>
        <v>COP :STD</v>
      </c>
      <c r="D498" s="603"/>
      <c r="E498" s="604"/>
      <c r="F498" s="607" t="s">
        <v>9</v>
      </c>
      <c r="G498" s="611">
        <v>5.8207660913467401E-11</v>
      </c>
    </row>
    <row r="499" spans="1:7" ht="11.1" customHeight="1">
      <c r="A499" s="600" t="str">
        <f t="shared" si="35"/>
        <v>COP;COP :STD;3Y</v>
      </c>
      <c r="B499" s="600" t="str">
        <f t="shared" si="38"/>
        <v>COP</v>
      </c>
      <c r="C499" s="600" t="str">
        <f t="shared" si="38"/>
        <v>COP :STD</v>
      </c>
      <c r="D499" s="603"/>
      <c r="E499" s="604"/>
      <c r="F499" s="607" t="s">
        <v>10</v>
      </c>
      <c r="G499" s="606">
        <v>-9.2995833256281899E-11</v>
      </c>
    </row>
    <row r="500" spans="1:7" ht="11.1" customHeight="1">
      <c r="A500" s="600" t="str">
        <f t="shared" si="35"/>
        <v>COP;COP :STD;4Y</v>
      </c>
      <c r="B500" s="600" t="str">
        <f t="shared" si="38"/>
        <v>COP</v>
      </c>
      <c r="C500" s="600" t="str">
        <f t="shared" si="38"/>
        <v>COP :STD</v>
      </c>
      <c r="D500" s="603"/>
      <c r="E500" s="604"/>
      <c r="F500" s="607" t="s">
        <v>11</v>
      </c>
      <c r="G500" s="611">
        <v>0</v>
      </c>
    </row>
    <row r="501" spans="1:7" ht="11.1" customHeight="1">
      <c r="A501" s="600" t="str">
        <f t="shared" si="35"/>
        <v>COP;COP :STD;5Y</v>
      </c>
      <c r="B501" s="600" t="str">
        <f t="shared" ref="B501:C516" si="39">IF(ISBLANK(D501),B500,D501)</f>
        <v>COP</v>
      </c>
      <c r="C501" s="600" t="str">
        <f t="shared" si="39"/>
        <v>COP :STD</v>
      </c>
      <c r="D501" s="603"/>
      <c r="E501" s="604"/>
      <c r="F501" s="607" t="s">
        <v>12</v>
      </c>
      <c r="G501" s="608">
        <v>0</v>
      </c>
    </row>
    <row r="502" spans="1:7" ht="11.1" customHeight="1">
      <c r="A502" s="600" t="str">
        <f t="shared" si="35"/>
        <v>COP;COP FOREX;Total COP FOREX</v>
      </c>
      <c r="B502" s="600" t="str">
        <f t="shared" si="39"/>
        <v>COP</v>
      </c>
      <c r="C502" s="600" t="str">
        <f t="shared" si="39"/>
        <v>COP FOREX</v>
      </c>
      <c r="D502" s="603"/>
      <c r="E502" s="604" t="s">
        <v>1209</v>
      </c>
      <c r="F502" s="605" t="s">
        <v>1210</v>
      </c>
      <c r="G502" s="611">
        <v>7.1411765389939303E-12</v>
      </c>
    </row>
    <row r="503" spans="1:7" ht="11.1" customHeight="1">
      <c r="A503" s="600" t="str">
        <f t="shared" si="35"/>
        <v>COP;COP FOREX;O/N</v>
      </c>
      <c r="B503" s="600" t="str">
        <f t="shared" si="39"/>
        <v>COP</v>
      </c>
      <c r="C503" s="600" t="str">
        <f t="shared" si="39"/>
        <v>COP FOREX</v>
      </c>
      <c r="D503" s="603"/>
      <c r="E503" s="604"/>
      <c r="F503" s="607" t="s">
        <v>3</v>
      </c>
      <c r="G503" s="611">
        <v>6.5103478164019204E-12</v>
      </c>
    </row>
    <row r="504" spans="1:7" ht="11.1" customHeight="1">
      <c r="A504" s="600" t="str">
        <f t="shared" si="35"/>
        <v>COP;COP FOREX;T/N</v>
      </c>
      <c r="B504" s="600" t="str">
        <f t="shared" si="39"/>
        <v>COP</v>
      </c>
      <c r="C504" s="600" t="str">
        <f t="shared" si="39"/>
        <v>COP FOREX</v>
      </c>
      <c r="D504" s="603"/>
      <c r="E504" s="604"/>
      <c r="F504" s="607" t="s">
        <v>4</v>
      </c>
      <c r="G504" s="611">
        <v>1.9950707752514099E-12</v>
      </c>
    </row>
    <row r="505" spans="1:7" ht="11.1" customHeight="1">
      <c r="A505" s="600" t="str">
        <f t="shared" si="35"/>
        <v>COP;COP FOREX;S/N</v>
      </c>
      <c r="B505" s="600" t="str">
        <f t="shared" si="39"/>
        <v>COP</v>
      </c>
      <c r="C505" s="600" t="str">
        <f t="shared" si="39"/>
        <v>COP FOREX</v>
      </c>
      <c r="D505" s="603"/>
      <c r="E505" s="604"/>
      <c r="F505" s="607" t="s">
        <v>23</v>
      </c>
      <c r="G505" s="608">
        <v>0</v>
      </c>
    </row>
    <row r="506" spans="1:7" ht="11.1" customHeight="1">
      <c r="A506" s="600" t="str">
        <f t="shared" si="35"/>
        <v>COP;COP FOREX;1W</v>
      </c>
      <c r="B506" s="600" t="str">
        <f t="shared" si="39"/>
        <v>COP</v>
      </c>
      <c r="C506" s="600" t="str">
        <f t="shared" si="39"/>
        <v>COP FOREX</v>
      </c>
      <c r="D506" s="603"/>
      <c r="E506" s="604"/>
      <c r="F506" s="607" t="s">
        <v>5</v>
      </c>
      <c r="G506" s="608">
        <v>0</v>
      </c>
    </row>
    <row r="507" spans="1:7" ht="11.1" customHeight="1">
      <c r="A507" s="600" t="str">
        <f t="shared" si="35"/>
        <v>COP;COP FOREX;2W</v>
      </c>
      <c r="B507" s="600" t="str">
        <f t="shared" si="39"/>
        <v>COP</v>
      </c>
      <c r="C507" s="600" t="str">
        <f t="shared" si="39"/>
        <v>COP FOREX</v>
      </c>
      <c r="D507" s="603"/>
      <c r="E507" s="604"/>
      <c r="F507" s="607" t="s">
        <v>6</v>
      </c>
      <c r="G507" s="608">
        <v>0</v>
      </c>
    </row>
    <row r="508" spans="1:7" ht="11.1" customHeight="1">
      <c r="A508" s="600" t="str">
        <f t="shared" si="35"/>
        <v>COP;COP FOREX;3W</v>
      </c>
      <c r="B508" s="600" t="str">
        <f t="shared" si="39"/>
        <v>COP</v>
      </c>
      <c r="C508" s="600" t="str">
        <f t="shared" si="39"/>
        <v>COP FOREX</v>
      </c>
      <c r="D508" s="603"/>
      <c r="E508" s="604"/>
      <c r="F508" s="607" t="s">
        <v>24</v>
      </c>
      <c r="G508" s="608">
        <v>0</v>
      </c>
    </row>
    <row r="509" spans="1:7" ht="11.1" customHeight="1">
      <c r="A509" s="600" t="str">
        <f t="shared" si="35"/>
        <v>COP;COP FOREX;1M</v>
      </c>
      <c r="B509" s="600" t="str">
        <f t="shared" si="39"/>
        <v>COP</v>
      </c>
      <c r="C509" s="600" t="str">
        <f t="shared" si="39"/>
        <v>COP FOREX</v>
      </c>
      <c r="D509" s="603"/>
      <c r="E509" s="604"/>
      <c r="F509" s="607" t="s">
        <v>7</v>
      </c>
      <c r="G509" s="608">
        <v>0</v>
      </c>
    </row>
    <row r="510" spans="1:7" ht="11.1" customHeight="1">
      <c r="A510" s="600" t="str">
        <f t="shared" si="35"/>
        <v>COP;COP FOREX;2M</v>
      </c>
      <c r="B510" s="600" t="str">
        <f t="shared" si="39"/>
        <v>COP</v>
      </c>
      <c r="C510" s="600" t="str">
        <f t="shared" si="39"/>
        <v>COP FOREX</v>
      </c>
      <c r="D510" s="603"/>
      <c r="E510" s="604"/>
      <c r="F510" s="607" t="s">
        <v>8</v>
      </c>
      <c r="G510" s="608">
        <v>0</v>
      </c>
    </row>
    <row r="511" spans="1:7" ht="11.1" customHeight="1">
      <c r="A511" s="600" t="str">
        <f t="shared" si="35"/>
        <v>COP;COP FOREX;3M</v>
      </c>
      <c r="B511" s="600" t="str">
        <f t="shared" si="39"/>
        <v>COP</v>
      </c>
      <c r="C511" s="600" t="str">
        <f t="shared" si="39"/>
        <v>COP FOREX</v>
      </c>
      <c r="D511" s="603"/>
      <c r="E511" s="604"/>
      <c r="F511" s="607" t="s">
        <v>25</v>
      </c>
      <c r="G511" s="608">
        <v>0</v>
      </c>
    </row>
    <row r="512" spans="1:7" ht="11.1" customHeight="1">
      <c r="A512" s="600" t="str">
        <f t="shared" si="35"/>
        <v>COP;COP FOREX;4M</v>
      </c>
      <c r="B512" s="600" t="str">
        <f t="shared" si="39"/>
        <v>COP</v>
      </c>
      <c r="C512" s="600" t="str">
        <f t="shared" si="39"/>
        <v>COP FOREX</v>
      </c>
      <c r="D512" s="603"/>
      <c r="E512" s="604"/>
      <c r="F512" s="607" t="s">
        <v>26</v>
      </c>
      <c r="G512" s="608">
        <v>0</v>
      </c>
    </row>
    <row r="513" spans="1:7" ht="11.1" customHeight="1">
      <c r="A513" s="600" t="str">
        <f t="shared" si="35"/>
        <v>COP;COP FOREX;5M</v>
      </c>
      <c r="B513" s="600" t="str">
        <f t="shared" si="39"/>
        <v>COP</v>
      </c>
      <c r="C513" s="600" t="str">
        <f t="shared" si="39"/>
        <v>COP FOREX</v>
      </c>
      <c r="D513" s="603"/>
      <c r="E513" s="604"/>
      <c r="F513" s="607" t="s">
        <v>27</v>
      </c>
      <c r="G513" s="608">
        <v>0</v>
      </c>
    </row>
    <row r="514" spans="1:7" ht="11.1" customHeight="1">
      <c r="A514" s="600" t="str">
        <f t="shared" si="35"/>
        <v>COP;COP FOREX;6M</v>
      </c>
      <c r="B514" s="600" t="str">
        <f t="shared" si="39"/>
        <v>COP</v>
      </c>
      <c r="C514" s="600" t="str">
        <f t="shared" si="39"/>
        <v>COP FOREX</v>
      </c>
      <c r="D514" s="603"/>
      <c r="E514" s="604"/>
      <c r="F514" s="607" t="s">
        <v>28</v>
      </c>
      <c r="G514" s="608">
        <v>0</v>
      </c>
    </row>
    <row r="515" spans="1:7" ht="11.1" customHeight="1">
      <c r="A515" s="600" t="str">
        <f t="shared" si="35"/>
        <v>COP;COP FOREX;7M</v>
      </c>
      <c r="B515" s="600" t="str">
        <f t="shared" si="39"/>
        <v>COP</v>
      </c>
      <c r="C515" s="600" t="str">
        <f t="shared" si="39"/>
        <v>COP FOREX</v>
      </c>
      <c r="D515" s="603"/>
      <c r="E515" s="604"/>
      <c r="F515" s="607" t="s">
        <v>29</v>
      </c>
      <c r="G515" s="608">
        <v>0</v>
      </c>
    </row>
    <row r="516" spans="1:7" ht="11.1" customHeight="1">
      <c r="A516" s="600" t="str">
        <f t="shared" si="35"/>
        <v>COP;COP FOREX;8M</v>
      </c>
      <c r="B516" s="600" t="str">
        <f t="shared" si="39"/>
        <v>COP</v>
      </c>
      <c r="C516" s="600" t="str">
        <f t="shared" si="39"/>
        <v>COP FOREX</v>
      </c>
      <c r="D516" s="603"/>
      <c r="E516" s="604"/>
      <c r="F516" s="607" t="s">
        <v>30</v>
      </c>
      <c r="G516" s="608">
        <v>0</v>
      </c>
    </row>
    <row r="517" spans="1:7" ht="11.1" customHeight="1">
      <c r="A517" s="600" t="str">
        <f t="shared" ref="A517:A580" si="40">B517&amp;";"&amp;C517&amp;";"&amp;F517</f>
        <v>COP;COP FOREX;9M</v>
      </c>
      <c r="B517" s="600" t="str">
        <f t="shared" ref="B517:C532" si="41">IF(ISBLANK(D517),B516,D517)</f>
        <v>COP</v>
      </c>
      <c r="C517" s="600" t="str">
        <f t="shared" si="41"/>
        <v>COP FOREX</v>
      </c>
      <c r="D517" s="603"/>
      <c r="E517" s="604"/>
      <c r="F517" s="607" t="s">
        <v>49</v>
      </c>
      <c r="G517" s="608">
        <v>0</v>
      </c>
    </row>
    <row r="518" spans="1:7" ht="11.1" customHeight="1">
      <c r="A518" s="600" t="str">
        <f t="shared" si="40"/>
        <v>COP;COP FOREX;10M</v>
      </c>
      <c r="B518" s="600" t="str">
        <f t="shared" si="41"/>
        <v>COP</v>
      </c>
      <c r="C518" s="600" t="str">
        <f t="shared" si="41"/>
        <v>COP FOREX</v>
      </c>
      <c r="D518" s="603"/>
      <c r="E518" s="604"/>
      <c r="F518" s="607" t="s">
        <v>50</v>
      </c>
      <c r="G518" s="608">
        <v>0</v>
      </c>
    </row>
    <row r="519" spans="1:7" ht="11.1" customHeight="1">
      <c r="A519" s="600" t="str">
        <f t="shared" si="40"/>
        <v>COP;COP FOREX;11M</v>
      </c>
      <c r="B519" s="600" t="str">
        <f t="shared" si="41"/>
        <v>COP</v>
      </c>
      <c r="C519" s="600" t="str">
        <f t="shared" si="41"/>
        <v>COP FOREX</v>
      </c>
      <c r="D519" s="603"/>
      <c r="E519" s="604"/>
      <c r="F519" s="607" t="s">
        <v>51</v>
      </c>
      <c r="G519" s="608">
        <v>0</v>
      </c>
    </row>
    <row r="520" spans="1:7" ht="11.1" customHeight="1">
      <c r="A520" s="600" t="str">
        <f t="shared" si="40"/>
        <v>COP;COP FOREX;12M</v>
      </c>
      <c r="B520" s="600" t="str">
        <f t="shared" si="41"/>
        <v>COP</v>
      </c>
      <c r="C520" s="600" t="str">
        <f t="shared" si="41"/>
        <v>COP FOREX</v>
      </c>
      <c r="D520" s="603"/>
      <c r="E520" s="604"/>
      <c r="F520" s="607" t="s">
        <v>52</v>
      </c>
      <c r="G520" s="608">
        <v>0</v>
      </c>
    </row>
    <row r="521" spans="1:7" ht="11.1" customHeight="1">
      <c r="A521" s="600" t="str">
        <f t="shared" si="40"/>
        <v>COP;COP FOREX;15M</v>
      </c>
      <c r="B521" s="600" t="str">
        <f t="shared" si="41"/>
        <v>COP</v>
      </c>
      <c r="C521" s="600" t="str">
        <f t="shared" si="41"/>
        <v>COP FOREX</v>
      </c>
      <c r="D521" s="603"/>
      <c r="E521" s="604"/>
      <c r="F521" s="607" t="s">
        <v>53</v>
      </c>
      <c r="G521" s="608">
        <v>0</v>
      </c>
    </row>
    <row r="522" spans="1:7" ht="11.1" customHeight="1">
      <c r="A522" s="600" t="str">
        <f t="shared" si="40"/>
        <v>COP;COP FOREX;18M</v>
      </c>
      <c r="B522" s="600" t="str">
        <f t="shared" si="41"/>
        <v>COP</v>
      </c>
      <c r="C522" s="600" t="str">
        <f t="shared" si="41"/>
        <v>COP FOREX</v>
      </c>
      <c r="D522" s="603"/>
      <c r="E522" s="604"/>
      <c r="F522" s="607" t="s">
        <v>54</v>
      </c>
      <c r="G522" s="608">
        <v>0</v>
      </c>
    </row>
    <row r="523" spans="1:7" ht="11.1" customHeight="1">
      <c r="A523" s="600" t="str">
        <f t="shared" si="40"/>
        <v>COP;COP FOREX;24M</v>
      </c>
      <c r="B523" s="600" t="str">
        <f t="shared" si="41"/>
        <v>COP</v>
      </c>
      <c r="C523" s="600" t="str">
        <f t="shared" si="41"/>
        <v>COP FOREX</v>
      </c>
      <c r="D523" s="603"/>
      <c r="E523" s="604"/>
      <c r="F523" s="607" t="s">
        <v>659</v>
      </c>
      <c r="G523" s="608">
        <v>0</v>
      </c>
    </row>
    <row r="524" spans="1:7" ht="11.1" customHeight="1">
      <c r="A524" s="600" t="str">
        <f t="shared" si="40"/>
        <v>COP;COP FOREX;3Y</v>
      </c>
      <c r="B524" s="600" t="str">
        <f t="shared" si="41"/>
        <v>COP</v>
      </c>
      <c r="C524" s="600" t="str">
        <f t="shared" si="41"/>
        <v>COP FOREX</v>
      </c>
      <c r="D524" s="603"/>
      <c r="E524" s="604"/>
      <c r="F524" s="607" t="s">
        <v>10</v>
      </c>
      <c r="G524" s="608">
        <v>0</v>
      </c>
    </row>
    <row r="525" spans="1:7" ht="11.1" customHeight="1">
      <c r="A525" s="600" t="str">
        <f t="shared" si="40"/>
        <v>COP;COP FOREX;4Y</v>
      </c>
      <c r="B525" s="600" t="str">
        <f t="shared" si="41"/>
        <v>COP</v>
      </c>
      <c r="C525" s="600" t="str">
        <f t="shared" si="41"/>
        <v>COP FOREX</v>
      </c>
      <c r="D525" s="603"/>
      <c r="E525" s="604"/>
      <c r="F525" s="607" t="s">
        <v>11</v>
      </c>
      <c r="G525" s="608">
        <v>0</v>
      </c>
    </row>
    <row r="526" spans="1:7" ht="11.1" customHeight="1">
      <c r="A526" s="600" t="str">
        <f t="shared" si="40"/>
        <v>COP;COP FOREX;5Y</v>
      </c>
      <c r="B526" s="600" t="str">
        <f t="shared" si="41"/>
        <v>COP</v>
      </c>
      <c r="C526" s="600" t="str">
        <f t="shared" si="41"/>
        <v>COP FOREX</v>
      </c>
      <c r="D526" s="603"/>
      <c r="E526" s="604"/>
      <c r="F526" s="607" t="s">
        <v>12</v>
      </c>
      <c r="G526" s="608">
        <v>0</v>
      </c>
    </row>
    <row r="527" spans="1:7" ht="11.1" customHeight="1">
      <c r="A527" s="600" t="str">
        <f t="shared" si="40"/>
        <v>COP;COP FOREX;6Y</v>
      </c>
      <c r="B527" s="600" t="str">
        <f t="shared" si="41"/>
        <v>COP</v>
      </c>
      <c r="C527" s="600" t="str">
        <f t="shared" si="41"/>
        <v>COP FOREX</v>
      </c>
      <c r="D527" s="603"/>
      <c r="E527" s="604"/>
      <c r="F527" s="607" t="s">
        <v>13</v>
      </c>
      <c r="G527" s="608">
        <v>0</v>
      </c>
    </row>
    <row r="528" spans="1:7" ht="11.1" customHeight="1">
      <c r="A528" s="600" t="str">
        <f t="shared" si="40"/>
        <v>COP;COP FOREX;7Y</v>
      </c>
      <c r="B528" s="600" t="str">
        <f t="shared" si="41"/>
        <v>COP</v>
      </c>
      <c r="C528" s="600" t="str">
        <f t="shared" si="41"/>
        <v>COP FOREX</v>
      </c>
      <c r="D528" s="603"/>
      <c r="E528" s="604"/>
      <c r="F528" s="607" t="s">
        <v>14</v>
      </c>
      <c r="G528" s="608">
        <v>0</v>
      </c>
    </row>
    <row r="529" spans="1:7" ht="11.1" customHeight="1">
      <c r="A529" s="600" t="str">
        <f t="shared" si="40"/>
        <v>COP;COP FOREX;8Y</v>
      </c>
      <c r="B529" s="600" t="str">
        <f t="shared" si="41"/>
        <v>COP</v>
      </c>
      <c r="C529" s="600" t="str">
        <f t="shared" si="41"/>
        <v>COP FOREX</v>
      </c>
      <c r="D529" s="603"/>
      <c r="E529" s="604"/>
      <c r="F529" s="607" t="s">
        <v>15</v>
      </c>
      <c r="G529" s="608">
        <v>0</v>
      </c>
    </row>
    <row r="530" spans="1:7" ht="11.1" customHeight="1">
      <c r="A530" s="600" t="str">
        <f t="shared" si="40"/>
        <v>COP;COP FOREX;9Y</v>
      </c>
      <c r="B530" s="600" t="str">
        <f t="shared" si="41"/>
        <v>COP</v>
      </c>
      <c r="C530" s="600" t="str">
        <f t="shared" si="41"/>
        <v>COP FOREX</v>
      </c>
      <c r="D530" s="603"/>
      <c r="E530" s="604"/>
      <c r="F530" s="607" t="s">
        <v>16</v>
      </c>
      <c r="G530" s="608">
        <v>0</v>
      </c>
    </row>
    <row r="531" spans="1:7" ht="11.1" customHeight="1">
      <c r="A531" s="600" t="str">
        <f t="shared" si="40"/>
        <v>COP;COP FOREX;10Y</v>
      </c>
      <c r="B531" s="600" t="str">
        <f t="shared" si="41"/>
        <v>COP</v>
      </c>
      <c r="C531" s="600" t="str">
        <f t="shared" si="41"/>
        <v>COP FOREX</v>
      </c>
      <c r="D531" s="603"/>
      <c r="E531" s="604"/>
      <c r="F531" s="607" t="s">
        <v>17</v>
      </c>
      <c r="G531" s="608">
        <v>0</v>
      </c>
    </row>
    <row r="532" spans="1:7" ht="11.1" customHeight="1">
      <c r="A532" s="600" t="str">
        <f t="shared" si="40"/>
        <v>CZK;Total CZK;</v>
      </c>
      <c r="B532" s="600" t="str">
        <f t="shared" si="41"/>
        <v>CZK</v>
      </c>
      <c r="C532" s="600" t="str">
        <f t="shared" si="41"/>
        <v>Total CZK</v>
      </c>
      <c r="D532" s="603" t="s">
        <v>1211</v>
      </c>
      <c r="E532" s="609" t="s">
        <v>1212</v>
      </c>
      <c r="F532" s="609"/>
      <c r="G532" s="612">
        <v>-2637.23918478101</v>
      </c>
    </row>
    <row r="533" spans="1:7" ht="11.1" customHeight="1">
      <c r="A533" s="600" t="str">
        <f t="shared" si="40"/>
        <v>CZK;CZK 3M;Total CZK 3M</v>
      </c>
      <c r="B533" s="600" t="str">
        <f t="shared" ref="B533:C548" si="42">IF(ISBLANK(D533),B532,D533)</f>
        <v>CZK</v>
      </c>
      <c r="C533" s="600" t="str">
        <f t="shared" si="42"/>
        <v>CZK 3M</v>
      </c>
      <c r="D533" s="603"/>
      <c r="E533" s="604" t="s">
        <v>3873</v>
      </c>
      <c r="F533" s="605" t="s">
        <v>3874</v>
      </c>
      <c r="G533" s="606">
        <v>-2648.8299474263399</v>
      </c>
    </row>
    <row r="534" spans="1:7" ht="11.1" customHeight="1">
      <c r="A534" s="600" t="str">
        <f t="shared" si="40"/>
        <v>CZK;CZK 3M;O/N</v>
      </c>
      <c r="B534" s="600" t="str">
        <f t="shared" si="42"/>
        <v>CZK</v>
      </c>
      <c r="C534" s="600" t="str">
        <f t="shared" si="42"/>
        <v>CZK 3M</v>
      </c>
      <c r="D534" s="603"/>
      <c r="E534" s="604"/>
      <c r="F534" s="607" t="s">
        <v>3</v>
      </c>
      <c r="G534" s="606">
        <v>-1103.00152006549</v>
      </c>
    </row>
    <row r="535" spans="1:7" ht="11.1" customHeight="1">
      <c r="A535" s="600" t="str">
        <f t="shared" si="40"/>
        <v>CZK;CZK 3M;3M</v>
      </c>
      <c r="B535" s="600" t="str">
        <f t="shared" si="42"/>
        <v>CZK</v>
      </c>
      <c r="C535" s="600" t="str">
        <f t="shared" si="42"/>
        <v>CZK 3M</v>
      </c>
      <c r="D535" s="603"/>
      <c r="E535" s="604"/>
      <c r="F535" s="607" t="s">
        <v>25</v>
      </c>
      <c r="G535" s="611">
        <v>103.030356845724</v>
      </c>
    </row>
    <row r="536" spans="1:7" ht="11.1" customHeight="1">
      <c r="A536" s="600" t="str">
        <f t="shared" si="40"/>
        <v>CZK;CZK 3M;3M-6M</v>
      </c>
      <c r="B536" s="600" t="str">
        <f t="shared" si="42"/>
        <v>CZK</v>
      </c>
      <c r="C536" s="600" t="str">
        <f t="shared" si="42"/>
        <v>CZK 3M</v>
      </c>
      <c r="D536" s="603"/>
      <c r="E536" s="604"/>
      <c r="F536" s="607" t="s">
        <v>1213</v>
      </c>
      <c r="G536" s="611">
        <v>1244.4658267924799</v>
      </c>
    </row>
    <row r="537" spans="1:7" ht="11.1" customHeight="1">
      <c r="A537" s="600" t="str">
        <f t="shared" si="40"/>
        <v>CZK;CZK 3M;6M-9M</v>
      </c>
      <c r="B537" s="600" t="str">
        <f t="shared" si="42"/>
        <v>CZK</v>
      </c>
      <c r="C537" s="600" t="str">
        <f t="shared" si="42"/>
        <v>CZK 3M</v>
      </c>
      <c r="D537" s="603"/>
      <c r="E537" s="604"/>
      <c r="F537" s="607" t="s">
        <v>1214</v>
      </c>
      <c r="G537" s="611">
        <v>693.392513598547</v>
      </c>
    </row>
    <row r="538" spans="1:7" ht="11.1" customHeight="1">
      <c r="A538" s="600" t="str">
        <f t="shared" si="40"/>
        <v>CZK;CZK 3M;9M-12M</v>
      </c>
      <c r="B538" s="600" t="str">
        <f t="shared" si="42"/>
        <v>CZK</v>
      </c>
      <c r="C538" s="600" t="str">
        <f t="shared" si="42"/>
        <v>CZK 3M</v>
      </c>
      <c r="D538" s="603"/>
      <c r="E538" s="604"/>
      <c r="F538" s="607" t="s">
        <v>1215</v>
      </c>
      <c r="G538" s="611">
        <v>1183.6778302284499</v>
      </c>
    </row>
    <row r="539" spans="1:7" ht="11.1" customHeight="1">
      <c r="A539" s="600" t="str">
        <f t="shared" si="40"/>
        <v>CZK;CZK 3M;12M-15M</v>
      </c>
      <c r="B539" s="600" t="str">
        <f t="shared" si="42"/>
        <v>CZK</v>
      </c>
      <c r="C539" s="600" t="str">
        <f t="shared" si="42"/>
        <v>CZK 3M</v>
      </c>
      <c r="D539" s="603"/>
      <c r="E539" s="604"/>
      <c r="F539" s="607" t="s">
        <v>2179</v>
      </c>
      <c r="G539" s="611">
        <v>1121.5022897993899</v>
      </c>
    </row>
    <row r="540" spans="1:7" ht="11.1" customHeight="1">
      <c r="A540" s="600" t="str">
        <f t="shared" si="40"/>
        <v>CZK;CZK 3M;15M-18M</v>
      </c>
      <c r="B540" s="600" t="str">
        <f t="shared" si="42"/>
        <v>CZK</v>
      </c>
      <c r="C540" s="600" t="str">
        <f t="shared" si="42"/>
        <v>CZK 3M</v>
      </c>
      <c r="D540" s="603"/>
      <c r="E540" s="604"/>
      <c r="F540" s="607" t="s">
        <v>3875</v>
      </c>
      <c r="G540" s="611">
        <v>1085.0590936778499</v>
      </c>
    </row>
    <row r="541" spans="1:7" ht="11.1" customHeight="1">
      <c r="A541" s="600" t="str">
        <f t="shared" si="40"/>
        <v>CZK;CZK 3M;2Y</v>
      </c>
      <c r="B541" s="600" t="str">
        <f t="shared" si="42"/>
        <v>CZK</v>
      </c>
      <c r="C541" s="600" t="str">
        <f t="shared" si="42"/>
        <v>CZK 3M</v>
      </c>
      <c r="D541" s="603"/>
      <c r="E541" s="604"/>
      <c r="F541" s="607" t="s">
        <v>9</v>
      </c>
      <c r="G541" s="606">
        <v>-11743.567015893799</v>
      </c>
    </row>
    <row r="542" spans="1:7" ht="11.1" customHeight="1">
      <c r="A542" s="600" t="str">
        <f t="shared" si="40"/>
        <v>CZK;CZK 3M;3Y</v>
      </c>
      <c r="B542" s="600" t="str">
        <f t="shared" si="42"/>
        <v>CZK</v>
      </c>
      <c r="C542" s="600" t="str">
        <f t="shared" si="42"/>
        <v>CZK 3M</v>
      </c>
      <c r="D542" s="603"/>
      <c r="E542" s="604"/>
      <c r="F542" s="607" t="s">
        <v>10</v>
      </c>
      <c r="G542" s="611">
        <v>6170.46562141083</v>
      </c>
    </row>
    <row r="543" spans="1:7" ht="11.1" customHeight="1">
      <c r="A543" s="600" t="str">
        <f t="shared" si="40"/>
        <v>CZK;CZK 3M;4Y</v>
      </c>
      <c r="B543" s="600" t="str">
        <f t="shared" si="42"/>
        <v>CZK</v>
      </c>
      <c r="C543" s="600" t="str">
        <f t="shared" si="42"/>
        <v>CZK 3M</v>
      </c>
      <c r="D543" s="603"/>
      <c r="E543" s="604"/>
      <c r="F543" s="607" t="s">
        <v>11</v>
      </c>
      <c r="G543" s="606">
        <v>-1404.94760161975</v>
      </c>
    </row>
    <row r="544" spans="1:7" ht="11.1" customHeight="1">
      <c r="A544" s="600" t="str">
        <f t="shared" si="40"/>
        <v>CZK;CZK 3M;5Y</v>
      </c>
      <c r="B544" s="600" t="str">
        <f t="shared" si="42"/>
        <v>CZK</v>
      </c>
      <c r="C544" s="600" t="str">
        <f t="shared" si="42"/>
        <v>CZK 3M</v>
      </c>
      <c r="D544" s="603"/>
      <c r="E544" s="604"/>
      <c r="F544" s="607" t="s">
        <v>12</v>
      </c>
      <c r="G544" s="611">
        <v>1.0997138964680699</v>
      </c>
    </row>
    <row r="545" spans="1:7" ht="11.1" customHeight="1">
      <c r="A545" s="600" t="str">
        <f t="shared" si="40"/>
        <v>CZK;CZK 3M;6Y</v>
      </c>
      <c r="B545" s="600" t="str">
        <f t="shared" si="42"/>
        <v>CZK</v>
      </c>
      <c r="C545" s="600" t="str">
        <f t="shared" si="42"/>
        <v>CZK 3M</v>
      </c>
      <c r="D545" s="603"/>
      <c r="E545" s="604"/>
      <c r="F545" s="607" t="s">
        <v>13</v>
      </c>
      <c r="G545" s="606">
        <v>-7.0611119252699996E-3</v>
      </c>
    </row>
    <row r="546" spans="1:7" ht="11.1" customHeight="1">
      <c r="A546" s="600" t="str">
        <f t="shared" si="40"/>
        <v>CZK;CZK 3M;7Y</v>
      </c>
      <c r="B546" s="600" t="str">
        <f t="shared" si="42"/>
        <v>CZK</v>
      </c>
      <c r="C546" s="600" t="str">
        <f t="shared" si="42"/>
        <v>CZK 3M</v>
      </c>
      <c r="D546" s="603"/>
      <c r="E546" s="604"/>
      <c r="F546" s="607" t="s">
        <v>14</v>
      </c>
      <c r="G546" s="611">
        <v>5.0131931735544104E-6</v>
      </c>
    </row>
    <row r="547" spans="1:7" ht="11.1" customHeight="1">
      <c r="A547" s="600" t="str">
        <f t="shared" si="40"/>
        <v>CZK;CZK 3M;8Y</v>
      </c>
      <c r="B547" s="600" t="str">
        <f t="shared" si="42"/>
        <v>CZK</v>
      </c>
      <c r="C547" s="600" t="str">
        <f t="shared" si="42"/>
        <v>CZK 3M</v>
      </c>
      <c r="D547" s="603"/>
      <c r="E547" s="604"/>
      <c r="F547" s="607" t="s">
        <v>15</v>
      </c>
      <c r="G547" s="611">
        <v>1.54612343569049E-9</v>
      </c>
    </row>
    <row r="548" spans="1:7" ht="11.1" customHeight="1">
      <c r="A548" s="600" t="str">
        <f t="shared" si="40"/>
        <v>CZK;CZK 3M;9Y</v>
      </c>
      <c r="B548" s="600" t="str">
        <f t="shared" si="42"/>
        <v>CZK</v>
      </c>
      <c r="C548" s="600" t="str">
        <f t="shared" si="42"/>
        <v>CZK 3M</v>
      </c>
      <c r="D548" s="603"/>
      <c r="E548" s="604"/>
      <c r="F548" s="607" t="s">
        <v>16</v>
      </c>
      <c r="G548" s="608">
        <v>0</v>
      </c>
    </row>
    <row r="549" spans="1:7" ht="11.1" customHeight="1">
      <c r="A549" s="600" t="str">
        <f t="shared" si="40"/>
        <v>CZK;CZK 3M;10Y</v>
      </c>
      <c r="B549" s="600" t="str">
        <f t="shared" ref="B549:C564" si="43">IF(ISBLANK(D549),B548,D549)</f>
        <v>CZK</v>
      </c>
      <c r="C549" s="600" t="str">
        <f t="shared" si="43"/>
        <v>CZK 3M</v>
      </c>
      <c r="D549" s="603"/>
      <c r="E549" s="604"/>
      <c r="F549" s="607" t="s">
        <v>17</v>
      </c>
      <c r="G549" s="608">
        <v>0</v>
      </c>
    </row>
    <row r="550" spans="1:7" ht="11.1" customHeight="1">
      <c r="A550" s="600" t="str">
        <f t="shared" si="40"/>
        <v>CZK;CZK FOREX;Total CZK FOREX</v>
      </c>
      <c r="B550" s="600" t="str">
        <f t="shared" si="43"/>
        <v>CZK</v>
      </c>
      <c r="C550" s="600" t="str">
        <f t="shared" si="43"/>
        <v>CZK FOREX</v>
      </c>
      <c r="D550" s="603"/>
      <c r="E550" s="604" t="s">
        <v>1216</v>
      </c>
      <c r="F550" s="605" t="s">
        <v>1217</v>
      </c>
      <c r="G550" s="611">
        <v>3.7172404243422199</v>
      </c>
    </row>
    <row r="551" spans="1:7" ht="11.1" customHeight="1">
      <c r="A551" s="600" t="str">
        <f t="shared" si="40"/>
        <v>CZK;CZK FOREX;O/N</v>
      </c>
      <c r="B551" s="600" t="str">
        <f t="shared" si="43"/>
        <v>CZK</v>
      </c>
      <c r="C551" s="600" t="str">
        <f t="shared" si="43"/>
        <v>CZK FOREX</v>
      </c>
      <c r="D551" s="603"/>
      <c r="E551" s="604"/>
      <c r="F551" s="607" t="s">
        <v>3</v>
      </c>
      <c r="G551" s="611">
        <v>2.7879169594101101</v>
      </c>
    </row>
    <row r="552" spans="1:7" ht="11.1" customHeight="1">
      <c r="A552" s="600" t="str">
        <f t="shared" si="40"/>
        <v>CZK;CZK FOREX;T/N</v>
      </c>
      <c r="B552" s="600" t="str">
        <f t="shared" si="43"/>
        <v>CZK</v>
      </c>
      <c r="C552" s="600" t="str">
        <f t="shared" si="43"/>
        <v>CZK FOREX</v>
      </c>
      <c r="D552" s="603"/>
      <c r="E552" s="604"/>
      <c r="F552" s="607" t="s">
        <v>4</v>
      </c>
      <c r="G552" s="611">
        <v>0.92932346493222795</v>
      </c>
    </row>
    <row r="553" spans="1:7" ht="11.1" customHeight="1">
      <c r="A553" s="600" t="str">
        <f t="shared" si="40"/>
        <v>CZK;CZK FOREX;S/N</v>
      </c>
      <c r="B553" s="600" t="str">
        <f t="shared" si="43"/>
        <v>CZK</v>
      </c>
      <c r="C553" s="600" t="str">
        <f t="shared" si="43"/>
        <v>CZK FOREX</v>
      </c>
      <c r="D553" s="603"/>
      <c r="E553" s="604"/>
      <c r="F553" s="607" t="s">
        <v>23</v>
      </c>
      <c r="G553" s="608">
        <v>0</v>
      </c>
    </row>
    <row r="554" spans="1:7" ht="11.1" customHeight="1">
      <c r="A554" s="600" t="str">
        <f t="shared" si="40"/>
        <v>CZK;CZK FOREX;1W</v>
      </c>
      <c r="B554" s="600" t="str">
        <f t="shared" si="43"/>
        <v>CZK</v>
      </c>
      <c r="C554" s="600" t="str">
        <f t="shared" si="43"/>
        <v>CZK FOREX</v>
      </c>
      <c r="D554" s="603"/>
      <c r="E554" s="604"/>
      <c r="F554" s="607" t="s">
        <v>5</v>
      </c>
      <c r="G554" s="608">
        <v>0</v>
      </c>
    </row>
    <row r="555" spans="1:7" ht="11.1" customHeight="1">
      <c r="A555" s="600" t="str">
        <f t="shared" si="40"/>
        <v>CZK;CZK FOREX;2W</v>
      </c>
      <c r="B555" s="600" t="str">
        <f t="shared" si="43"/>
        <v>CZK</v>
      </c>
      <c r="C555" s="600" t="str">
        <f t="shared" si="43"/>
        <v>CZK FOREX</v>
      </c>
      <c r="D555" s="603"/>
      <c r="E555" s="604"/>
      <c r="F555" s="607" t="s">
        <v>6</v>
      </c>
      <c r="G555" s="608">
        <v>0</v>
      </c>
    </row>
    <row r="556" spans="1:7" ht="11.1" customHeight="1">
      <c r="A556" s="600" t="str">
        <f t="shared" si="40"/>
        <v>CZK;CZK FOREX;3W</v>
      </c>
      <c r="B556" s="600" t="str">
        <f t="shared" si="43"/>
        <v>CZK</v>
      </c>
      <c r="C556" s="600" t="str">
        <f t="shared" si="43"/>
        <v>CZK FOREX</v>
      </c>
      <c r="D556" s="603"/>
      <c r="E556" s="604"/>
      <c r="F556" s="607" t="s">
        <v>24</v>
      </c>
      <c r="G556" s="608">
        <v>0</v>
      </c>
    </row>
    <row r="557" spans="1:7" ht="11.1" customHeight="1">
      <c r="A557" s="600" t="str">
        <f t="shared" si="40"/>
        <v>CZK;CZK FOREX;1M</v>
      </c>
      <c r="B557" s="600" t="str">
        <f t="shared" si="43"/>
        <v>CZK</v>
      </c>
      <c r="C557" s="600" t="str">
        <f t="shared" si="43"/>
        <v>CZK FOREX</v>
      </c>
      <c r="D557" s="603"/>
      <c r="E557" s="604"/>
      <c r="F557" s="607" t="s">
        <v>7</v>
      </c>
      <c r="G557" s="608">
        <v>0</v>
      </c>
    </row>
    <row r="558" spans="1:7" ht="11.1" customHeight="1">
      <c r="A558" s="600" t="str">
        <f t="shared" si="40"/>
        <v>CZK;CZK FOREX;2M</v>
      </c>
      <c r="B558" s="600" t="str">
        <f t="shared" si="43"/>
        <v>CZK</v>
      </c>
      <c r="C558" s="600" t="str">
        <f t="shared" si="43"/>
        <v>CZK FOREX</v>
      </c>
      <c r="D558" s="603"/>
      <c r="E558" s="604"/>
      <c r="F558" s="607" t="s">
        <v>8</v>
      </c>
      <c r="G558" s="608">
        <v>0</v>
      </c>
    </row>
    <row r="559" spans="1:7" ht="11.1" customHeight="1">
      <c r="A559" s="600" t="str">
        <f t="shared" si="40"/>
        <v>CZK;CZK FOREX;3M</v>
      </c>
      <c r="B559" s="600" t="str">
        <f t="shared" si="43"/>
        <v>CZK</v>
      </c>
      <c r="C559" s="600" t="str">
        <f t="shared" si="43"/>
        <v>CZK FOREX</v>
      </c>
      <c r="D559" s="603"/>
      <c r="E559" s="604"/>
      <c r="F559" s="607" t="s">
        <v>25</v>
      </c>
      <c r="G559" s="608">
        <v>0</v>
      </c>
    </row>
    <row r="560" spans="1:7" ht="11.1" customHeight="1">
      <c r="A560" s="600" t="str">
        <f t="shared" si="40"/>
        <v>CZK;CZK FOREX;4M</v>
      </c>
      <c r="B560" s="600" t="str">
        <f t="shared" si="43"/>
        <v>CZK</v>
      </c>
      <c r="C560" s="600" t="str">
        <f t="shared" si="43"/>
        <v>CZK FOREX</v>
      </c>
      <c r="D560" s="603"/>
      <c r="E560" s="604"/>
      <c r="F560" s="607" t="s">
        <v>26</v>
      </c>
      <c r="G560" s="608">
        <v>0</v>
      </c>
    </row>
    <row r="561" spans="1:7" ht="11.1" customHeight="1">
      <c r="A561" s="600" t="str">
        <f t="shared" si="40"/>
        <v>CZK;CZK FOREX;5M</v>
      </c>
      <c r="B561" s="600" t="str">
        <f t="shared" si="43"/>
        <v>CZK</v>
      </c>
      <c r="C561" s="600" t="str">
        <f t="shared" si="43"/>
        <v>CZK FOREX</v>
      </c>
      <c r="D561" s="603"/>
      <c r="E561" s="604"/>
      <c r="F561" s="607" t="s">
        <v>27</v>
      </c>
      <c r="G561" s="608">
        <v>0</v>
      </c>
    </row>
    <row r="562" spans="1:7" ht="11.1" customHeight="1">
      <c r="A562" s="600" t="str">
        <f t="shared" si="40"/>
        <v>CZK;CZK FOREX;6M</v>
      </c>
      <c r="B562" s="600" t="str">
        <f t="shared" si="43"/>
        <v>CZK</v>
      </c>
      <c r="C562" s="600" t="str">
        <f t="shared" si="43"/>
        <v>CZK FOREX</v>
      </c>
      <c r="D562" s="603"/>
      <c r="E562" s="604"/>
      <c r="F562" s="607" t="s">
        <v>28</v>
      </c>
      <c r="G562" s="608">
        <v>0</v>
      </c>
    </row>
    <row r="563" spans="1:7" ht="11.1" customHeight="1">
      <c r="A563" s="600" t="str">
        <f t="shared" si="40"/>
        <v>CZK;CZK FOREX;7M</v>
      </c>
      <c r="B563" s="600" t="str">
        <f t="shared" si="43"/>
        <v>CZK</v>
      </c>
      <c r="C563" s="600" t="str">
        <f t="shared" si="43"/>
        <v>CZK FOREX</v>
      </c>
      <c r="D563" s="603"/>
      <c r="E563" s="604"/>
      <c r="F563" s="607" t="s">
        <v>29</v>
      </c>
      <c r="G563" s="608">
        <v>0</v>
      </c>
    </row>
    <row r="564" spans="1:7" ht="11.1" customHeight="1">
      <c r="A564" s="600" t="str">
        <f t="shared" si="40"/>
        <v>CZK;CZK FOREX;8M</v>
      </c>
      <c r="B564" s="600" t="str">
        <f t="shared" si="43"/>
        <v>CZK</v>
      </c>
      <c r="C564" s="600" t="str">
        <f t="shared" si="43"/>
        <v>CZK FOREX</v>
      </c>
      <c r="D564" s="603"/>
      <c r="E564" s="604"/>
      <c r="F564" s="607" t="s">
        <v>30</v>
      </c>
      <c r="G564" s="608">
        <v>0</v>
      </c>
    </row>
    <row r="565" spans="1:7" ht="11.1" customHeight="1">
      <c r="A565" s="600" t="str">
        <f t="shared" si="40"/>
        <v>CZK;CZK FOREX;9M</v>
      </c>
      <c r="B565" s="600" t="str">
        <f t="shared" ref="B565:C580" si="44">IF(ISBLANK(D565),B564,D565)</f>
        <v>CZK</v>
      </c>
      <c r="C565" s="600" t="str">
        <f t="shared" si="44"/>
        <v>CZK FOREX</v>
      </c>
      <c r="D565" s="603"/>
      <c r="E565" s="604"/>
      <c r="F565" s="607" t="s">
        <v>49</v>
      </c>
      <c r="G565" s="608">
        <v>0</v>
      </c>
    </row>
    <row r="566" spans="1:7" ht="11.1" customHeight="1">
      <c r="A566" s="600" t="str">
        <f t="shared" si="40"/>
        <v>CZK;CZK FOREX;10M</v>
      </c>
      <c r="B566" s="600" t="str">
        <f t="shared" si="44"/>
        <v>CZK</v>
      </c>
      <c r="C566" s="600" t="str">
        <f t="shared" si="44"/>
        <v>CZK FOREX</v>
      </c>
      <c r="D566" s="603"/>
      <c r="E566" s="604"/>
      <c r="F566" s="607" t="s">
        <v>50</v>
      </c>
      <c r="G566" s="608">
        <v>0</v>
      </c>
    </row>
    <row r="567" spans="1:7" ht="11.1" customHeight="1">
      <c r="A567" s="600" t="str">
        <f t="shared" si="40"/>
        <v>CZK;CZK FOREX;11M</v>
      </c>
      <c r="B567" s="600" t="str">
        <f t="shared" si="44"/>
        <v>CZK</v>
      </c>
      <c r="C567" s="600" t="str">
        <f t="shared" si="44"/>
        <v>CZK FOREX</v>
      </c>
      <c r="D567" s="603"/>
      <c r="E567" s="604"/>
      <c r="F567" s="607" t="s">
        <v>51</v>
      </c>
      <c r="G567" s="608">
        <v>0</v>
      </c>
    </row>
    <row r="568" spans="1:7" ht="11.1" customHeight="1">
      <c r="A568" s="600" t="str">
        <f t="shared" si="40"/>
        <v>CZK;CZK FOREX;12M</v>
      </c>
      <c r="B568" s="600" t="str">
        <f t="shared" si="44"/>
        <v>CZK</v>
      </c>
      <c r="C568" s="600" t="str">
        <f t="shared" si="44"/>
        <v>CZK FOREX</v>
      </c>
      <c r="D568" s="603"/>
      <c r="E568" s="604"/>
      <c r="F568" s="607" t="s">
        <v>52</v>
      </c>
      <c r="G568" s="608">
        <v>0</v>
      </c>
    </row>
    <row r="569" spans="1:7" ht="11.1" customHeight="1">
      <c r="A569" s="600" t="str">
        <f t="shared" si="40"/>
        <v>CZK;CZK FOREX;15M</v>
      </c>
      <c r="B569" s="600" t="str">
        <f t="shared" si="44"/>
        <v>CZK</v>
      </c>
      <c r="C569" s="600" t="str">
        <f t="shared" si="44"/>
        <v>CZK FOREX</v>
      </c>
      <c r="D569" s="603"/>
      <c r="E569" s="604"/>
      <c r="F569" s="607" t="s">
        <v>53</v>
      </c>
      <c r="G569" s="608">
        <v>0</v>
      </c>
    </row>
    <row r="570" spans="1:7" ht="11.1" customHeight="1">
      <c r="A570" s="600" t="str">
        <f t="shared" si="40"/>
        <v>CZK;CZK FOREX;18M</v>
      </c>
      <c r="B570" s="600" t="str">
        <f t="shared" si="44"/>
        <v>CZK</v>
      </c>
      <c r="C570" s="600" t="str">
        <f t="shared" si="44"/>
        <v>CZK FOREX</v>
      </c>
      <c r="D570" s="603"/>
      <c r="E570" s="604"/>
      <c r="F570" s="607" t="s">
        <v>54</v>
      </c>
      <c r="G570" s="608">
        <v>0</v>
      </c>
    </row>
    <row r="571" spans="1:7" ht="11.1" customHeight="1">
      <c r="A571" s="600" t="str">
        <f t="shared" si="40"/>
        <v>CZK;CZK FOREX;24M</v>
      </c>
      <c r="B571" s="600" t="str">
        <f t="shared" si="44"/>
        <v>CZK</v>
      </c>
      <c r="C571" s="600" t="str">
        <f t="shared" si="44"/>
        <v>CZK FOREX</v>
      </c>
      <c r="D571" s="603"/>
      <c r="E571" s="604"/>
      <c r="F571" s="607" t="s">
        <v>659</v>
      </c>
      <c r="G571" s="608">
        <v>0</v>
      </c>
    </row>
    <row r="572" spans="1:7" ht="11.1" customHeight="1">
      <c r="A572" s="600" t="str">
        <f t="shared" si="40"/>
        <v>CZK;CZK FOREX;3Y</v>
      </c>
      <c r="B572" s="600" t="str">
        <f t="shared" si="44"/>
        <v>CZK</v>
      </c>
      <c r="C572" s="600" t="str">
        <f t="shared" si="44"/>
        <v>CZK FOREX</v>
      </c>
      <c r="D572" s="603"/>
      <c r="E572" s="604"/>
      <c r="F572" s="607" t="s">
        <v>10</v>
      </c>
      <c r="G572" s="608">
        <v>0</v>
      </c>
    </row>
    <row r="573" spans="1:7" ht="11.1" customHeight="1">
      <c r="A573" s="600" t="str">
        <f t="shared" si="40"/>
        <v>CZK;CZK FOREX;4Y</v>
      </c>
      <c r="B573" s="600" t="str">
        <f t="shared" si="44"/>
        <v>CZK</v>
      </c>
      <c r="C573" s="600" t="str">
        <f t="shared" si="44"/>
        <v>CZK FOREX</v>
      </c>
      <c r="D573" s="603"/>
      <c r="E573" s="604"/>
      <c r="F573" s="607" t="s">
        <v>11</v>
      </c>
      <c r="G573" s="608">
        <v>0</v>
      </c>
    </row>
    <row r="574" spans="1:7" ht="11.1" customHeight="1">
      <c r="A574" s="600" t="str">
        <f t="shared" si="40"/>
        <v>CZK;CZK FOREX;5Y</v>
      </c>
      <c r="B574" s="600" t="str">
        <f t="shared" si="44"/>
        <v>CZK</v>
      </c>
      <c r="C574" s="600" t="str">
        <f t="shared" si="44"/>
        <v>CZK FOREX</v>
      </c>
      <c r="D574" s="603"/>
      <c r="E574" s="604"/>
      <c r="F574" s="607" t="s">
        <v>12</v>
      </c>
      <c r="G574" s="608">
        <v>0</v>
      </c>
    </row>
    <row r="575" spans="1:7" ht="11.1" customHeight="1">
      <c r="A575" s="600" t="str">
        <f t="shared" si="40"/>
        <v>CZK;CZK FOREX;6Y</v>
      </c>
      <c r="B575" s="600" t="str">
        <f t="shared" si="44"/>
        <v>CZK</v>
      </c>
      <c r="C575" s="600" t="str">
        <f t="shared" si="44"/>
        <v>CZK FOREX</v>
      </c>
      <c r="D575" s="603"/>
      <c r="E575" s="604"/>
      <c r="F575" s="607" t="s">
        <v>13</v>
      </c>
      <c r="G575" s="608">
        <v>0</v>
      </c>
    </row>
    <row r="576" spans="1:7" ht="11.1" customHeight="1">
      <c r="A576" s="600" t="str">
        <f t="shared" si="40"/>
        <v>CZK;CZK FOREX;7Y</v>
      </c>
      <c r="B576" s="600" t="str">
        <f t="shared" si="44"/>
        <v>CZK</v>
      </c>
      <c r="C576" s="600" t="str">
        <f t="shared" si="44"/>
        <v>CZK FOREX</v>
      </c>
      <c r="D576" s="603"/>
      <c r="E576" s="604"/>
      <c r="F576" s="607" t="s">
        <v>14</v>
      </c>
      <c r="G576" s="608">
        <v>0</v>
      </c>
    </row>
    <row r="577" spans="1:7" ht="11.1" customHeight="1">
      <c r="A577" s="600" t="str">
        <f t="shared" si="40"/>
        <v>CZK;CZK FOREX;8Y</v>
      </c>
      <c r="B577" s="600" t="str">
        <f t="shared" si="44"/>
        <v>CZK</v>
      </c>
      <c r="C577" s="600" t="str">
        <f t="shared" si="44"/>
        <v>CZK FOREX</v>
      </c>
      <c r="D577" s="603"/>
      <c r="E577" s="604"/>
      <c r="F577" s="607" t="s">
        <v>15</v>
      </c>
      <c r="G577" s="608">
        <v>0</v>
      </c>
    </row>
    <row r="578" spans="1:7" ht="11.1" customHeight="1">
      <c r="A578" s="600" t="str">
        <f t="shared" si="40"/>
        <v>CZK;CZK FOREX;9Y</v>
      </c>
      <c r="B578" s="600" t="str">
        <f t="shared" si="44"/>
        <v>CZK</v>
      </c>
      <c r="C578" s="600" t="str">
        <f t="shared" si="44"/>
        <v>CZK FOREX</v>
      </c>
      <c r="D578" s="603"/>
      <c r="E578" s="604"/>
      <c r="F578" s="607" t="s">
        <v>16</v>
      </c>
      <c r="G578" s="608">
        <v>0</v>
      </c>
    </row>
    <row r="579" spans="1:7" ht="11.1" customHeight="1">
      <c r="A579" s="600" t="str">
        <f t="shared" si="40"/>
        <v>CZK;CZK FOREX;10Y</v>
      </c>
      <c r="B579" s="600" t="str">
        <f t="shared" si="44"/>
        <v>CZK</v>
      </c>
      <c r="C579" s="600" t="str">
        <f t="shared" si="44"/>
        <v>CZK FOREX</v>
      </c>
      <c r="D579" s="603"/>
      <c r="E579" s="604"/>
      <c r="F579" s="607" t="s">
        <v>17</v>
      </c>
      <c r="G579" s="608">
        <v>0</v>
      </c>
    </row>
    <row r="580" spans="1:7" ht="11.1" customHeight="1">
      <c r="A580" s="600" t="str">
        <f t="shared" si="40"/>
        <v>CZK;CZK FOREX;11Y</v>
      </c>
      <c r="B580" s="600" t="str">
        <f t="shared" si="44"/>
        <v>CZK</v>
      </c>
      <c r="C580" s="600" t="str">
        <f t="shared" si="44"/>
        <v>CZK FOREX</v>
      </c>
      <c r="D580" s="603"/>
      <c r="E580" s="604"/>
      <c r="F580" s="607" t="s">
        <v>31</v>
      </c>
      <c r="G580" s="608">
        <v>0</v>
      </c>
    </row>
    <row r="581" spans="1:7" ht="11.1" customHeight="1">
      <c r="A581" s="600" t="str">
        <f t="shared" ref="A581:A644" si="45">B581&amp;";"&amp;C581&amp;";"&amp;F581</f>
        <v>CZK;CZK FOREX;12Y</v>
      </c>
      <c r="B581" s="600" t="str">
        <f t="shared" ref="B581:C596" si="46">IF(ISBLANK(D581),B580,D581)</f>
        <v>CZK</v>
      </c>
      <c r="C581" s="600" t="str">
        <f t="shared" si="46"/>
        <v>CZK FOREX</v>
      </c>
      <c r="D581" s="603"/>
      <c r="E581" s="604"/>
      <c r="F581" s="607" t="s">
        <v>18</v>
      </c>
      <c r="G581" s="608">
        <v>0</v>
      </c>
    </row>
    <row r="582" spans="1:7" ht="11.1" customHeight="1">
      <c r="A582" s="600" t="str">
        <f t="shared" si="45"/>
        <v>CZK;CZK FOREX;13Y</v>
      </c>
      <c r="B582" s="600" t="str">
        <f t="shared" si="46"/>
        <v>CZK</v>
      </c>
      <c r="C582" s="600" t="str">
        <f t="shared" si="46"/>
        <v>CZK FOREX</v>
      </c>
      <c r="D582" s="603"/>
      <c r="E582" s="604"/>
      <c r="F582" s="607" t="s">
        <v>32</v>
      </c>
      <c r="G582" s="608">
        <v>0</v>
      </c>
    </row>
    <row r="583" spans="1:7" ht="11.1" customHeight="1">
      <c r="A583" s="600" t="str">
        <f t="shared" si="45"/>
        <v>CZK;CZK FOREX;14Y</v>
      </c>
      <c r="B583" s="600" t="str">
        <f t="shared" si="46"/>
        <v>CZK</v>
      </c>
      <c r="C583" s="600" t="str">
        <f t="shared" si="46"/>
        <v>CZK FOREX</v>
      </c>
      <c r="D583" s="603"/>
      <c r="E583" s="604"/>
      <c r="F583" s="607" t="s">
        <v>33</v>
      </c>
      <c r="G583" s="608">
        <v>0</v>
      </c>
    </row>
    <row r="584" spans="1:7" ht="11.1" customHeight="1">
      <c r="A584" s="600" t="str">
        <f t="shared" si="45"/>
        <v>CZK;CZK FOREX;15Y</v>
      </c>
      <c r="B584" s="600" t="str">
        <f t="shared" si="46"/>
        <v>CZK</v>
      </c>
      <c r="C584" s="600" t="str">
        <f t="shared" si="46"/>
        <v>CZK FOREX</v>
      </c>
      <c r="D584" s="603"/>
      <c r="E584" s="604"/>
      <c r="F584" s="607" t="s">
        <v>19</v>
      </c>
      <c r="G584" s="608">
        <v>0</v>
      </c>
    </row>
    <row r="585" spans="1:7" ht="11.1" customHeight="1">
      <c r="A585" s="600" t="str">
        <f t="shared" si="45"/>
        <v>CZK;CZK FOREX;16Y</v>
      </c>
      <c r="B585" s="600" t="str">
        <f t="shared" si="46"/>
        <v>CZK</v>
      </c>
      <c r="C585" s="600" t="str">
        <f t="shared" si="46"/>
        <v>CZK FOREX</v>
      </c>
      <c r="D585" s="603"/>
      <c r="E585" s="604"/>
      <c r="F585" s="607" t="s">
        <v>34</v>
      </c>
      <c r="G585" s="608">
        <v>0</v>
      </c>
    </row>
    <row r="586" spans="1:7" ht="11.1" customHeight="1">
      <c r="A586" s="600" t="str">
        <f t="shared" si="45"/>
        <v>CZK;CZK FOREX;17Y</v>
      </c>
      <c r="B586" s="600" t="str">
        <f t="shared" si="46"/>
        <v>CZK</v>
      </c>
      <c r="C586" s="600" t="str">
        <f t="shared" si="46"/>
        <v>CZK FOREX</v>
      </c>
      <c r="D586" s="603"/>
      <c r="E586" s="604"/>
      <c r="F586" s="607" t="s">
        <v>35</v>
      </c>
      <c r="G586" s="608">
        <v>0</v>
      </c>
    </row>
    <row r="587" spans="1:7" ht="11.1" customHeight="1">
      <c r="A587" s="600" t="str">
        <f t="shared" si="45"/>
        <v>CZK;CZK FOREX;18Y</v>
      </c>
      <c r="B587" s="600" t="str">
        <f t="shared" si="46"/>
        <v>CZK</v>
      </c>
      <c r="C587" s="600" t="str">
        <f t="shared" si="46"/>
        <v>CZK FOREX</v>
      </c>
      <c r="D587" s="603"/>
      <c r="E587" s="604"/>
      <c r="F587" s="607" t="s">
        <v>36</v>
      </c>
      <c r="G587" s="608">
        <v>0</v>
      </c>
    </row>
    <row r="588" spans="1:7" ht="11.1" customHeight="1">
      <c r="A588" s="600" t="str">
        <f t="shared" si="45"/>
        <v>CZK;CZK FOREX;19Y</v>
      </c>
      <c r="B588" s="600" t="str">
        <f t="shared" si="46"/>
        <v>CZK</v>
      </c>
      <c r="C588" s="600" t="str">
        <f t="shared" si="46"/>
        <v>CZK FOREX</v>
      </c>
      <c r="D588" s="603"/>
      <c r="E588" s="604"/>
      <c r="F588" s="607" t="s">
        <v>37</v>
      </c>
      <c r="G588" s="608">
        <v>0</v>
      </c>
    </row>
    <row r="589" spans="1:7" ht="11.1" customHeight="1">
      <c r="A589" s="600" t="str">
        <f t="shared" si="45"/>
        <v>CZK;CZK FOREX;20Y</v>
      </c>
      <c r="B589" s="600" t="str">
        <f t="shared" si="46"/>
        <v>CZK</v>
      </c>
      <c r="C589" s="600" t="str">
        <f t="shared" si="46"/>
        <v>CZK FOREX</v>
      </c>
      <c r="D589" s="603"/>
      <c r="E589" s="604"/>
      <c r="F589" s="607" t="s">
        <v>20</v>
      </c>
      <c r="G589" s="608">
        <v>0</v>
      </c>
    </row>
    <row r="590" spans="1:7" ht="11.1" customHeight="1">
      <c r="A590" s="600" t="str">
        <f t="shared" si="45"/>
        <v>CZK;CZK FOREX;21Y</v>
      </c>
      <c r="B590" s="600" t="str">
        <f t="shared" si="46"/>
        <v>CZK</v>
      </c>
      <c r="C590" s="600" t="str">
        <f t="shared" si="46"/>
        <v>CZK FOREX</v>
      </c>
      <c r="D590" s="603"/>
      <c r="E590" s="604"/>
      <c r="F590" s="607" t="s">
        <v>38</v>
      </c>
      <c r="G590" s="608">
        <v>0</v>
      </c>
    </row>
    <row r="591" spans="1:7" ht="11.1" customHeight="1">
      <c r="A591" s="600" t="str">
        <f t="shared" si="45"/>
        <v>CZK;CZK FOREX;22Y</v>
      </c>
      <c r="B591" s="600" t="str">
        <f t="shared" si="46"/>
        <v>CZK</v>
      </c>
      <c r="C591" s="600" t="str">
        <f t="shared" si="46"/>
        <v>CZK FOREX</v>
      </c>
      <c r="D591" s="603"/>
      <c r="E591" s="604"/>
      <c r="F591" s="607" t="s">
        <v>39</v>
      </c>
      <c r="G591" s="608">
        <v>0</v>
      </c>
    </row>
    <row r="592" spans="1:7" ht="11.1" customHeight="1">
      <c r="A592" s="600" t="str">
        <f t="shared" si="45"/>
        <v>CZK;CZK FOREX;23Y</v>
      </c>
      <c r="B592" s="600" t="str">
        <f t="shared" si="46"/>
        <v>CZK</v>
      </c>
      <c r="C592" s="600" t="str">
        <f t="shared" si="46"/>
        <v>CZK FOREX</v>
      </c>
      <c r="D592" s="603"/>
      <c r="E592" s="604"/>
      <c r="F592" s="607" t="s">
        <v>40</v>
      </c>
      <c r="G592" s="608">
        <v>0</v>
      </c>
    </row>
    <row r="593" spans="1:7" ht="11.1" customHeight="1">
      <c r="A593" s="600" t="str">
        <f t="shared" si="45"/>
        <v>CZK;CZK FOREX;24Y</v>
      </c>
      <c r="B593" s="600" t="str">
        <f t="shared" si="46"/>
        <v>CZK</v>
      </c>
      <c r="C593" s="600" t="str">
        <f t="shared" si="46"/>
        <v>CZK FOREX</v>
      </c>
      <c r="D593" s="603"/>
      <c r="E593" s="604"/>
      <c r="F593" s="607" t="s">
        <v>41</v>
      </c>
      <c r="G593" s="608">
        <v>0</v>
      </c>
    </row>
    <row r="594" spans="1:7" ht="11.1" customHeight="1">
      <c r="A594" s="600" t="str">
        <f t="shared" si="45"/>
        <v>CZK;CZK FOREX;25Y</v>
      </c>
      <c r="B594" s="600" t="str">
        <f t="shared" si="46"/>
        <v>CZK</v>
      </c>
      <c r="C594" s="600" t="str">
        <f t="shared" si="46"/>
        <v>CZK FOREX</v>
      </c>
      <c r="D594" s="603"/>
      <c r="E594" s="604"/>
      <c r="F594" s="607" t="s">
        <v>21</v>
      </c>
      <c r="G594" s="608">
        <v>0</v>
      </c>
    </row>
    <row r="595" spans="1:7" ht="11.1" customHeight="1">
      <c r="A595" s="600" t="str">
        <f t="shared" si="45"/>
        <v>CZK;CZK FOREX;26Y</v>
      </c>
      <c r="B595" s="600" t="str">
        <f t="shared" si="46"/>
        <v>CZK</v>
      </c>
      <c r="C595" s="600" t="str">
        <f t="shared" si="46"/>
        <v>CZK FOREX</v>
      </c>
      <c r="D595" s="603"/>
      <c r="E595" s="604"/>
      <c r="F595" s="607" t="s">
        <v>42</v>
      </c>
      <c r="G595" s="608">
        <v>0</v>
      </c>
    </row>
    <row r="596" spans="1:7" ht="11.1" customHeight="1">
      <c r="A596" s="600" t="str">
        <f t="shared" si="45"/>
        <v>CZK;CZK FOREX;27Y</v>
      </c>
      <c r="B596" s="600" t="str">
        <f t="shared" si="46"/>
        <v>CZK</v>
      </c>
      <c r="C596" s="600" t="str">
        <f t="shared" si="46"/>
        <v>CZK FOREX</v>
      </c>
      <c r="D596" s="603"/>
      <c r="E596" s="604"/>
      <c r="F596" s="607" t="s">
        <v>43</v>
      </c>
      <c r="G596" s="608">
        <v>0</v>
      </c>
    </row>
    <row r="597" spans="1:7" ht="11.1" customHeight="1">
      <c r="A597" s="600" t="str">
        <f t="shared" si="45"/>
        <v>CZK;CZK FOREX;28Y</v>
      </c>
      <c r="B597" s="600" t="str">
        <f t="shared" ref="B597:C612" si="47">IF(ISBLANK(D597),B596,D597)</f>
        <v>CZK</v>
      </c>
      <c r="C597" s="600" t="str">
        <f t="shared" si="47"/>
        <v>CZK FOREX</v>
      </c>
      <c r="D597" s="603"/>
      <c r="E597" s="604"/>
      <c r="F597" s="607" t="s">
        <v>44</v>
      </c>
      <c r="G597" s="608">
        <v>0</v>
      </c>
    </row>
    <row r="598" spans="1:7" ht="11.1" customHeight="1">
      <c r="A598" s="600" t="str">
        <f t="shared" si="45"/>
        <v>CZK;CZK FOREX;29Y</v>
      </c>
      <c r="B598" s="600" t="str">
        <f t="shared" si="47"/>
        <v>CZK</v>
      </c>
      <c r="C598" s="600" t="str">
        <f t="shared" si="47"/>
        <v>CZK FOREX</v>
      </c>
      <c r="D598" s="603"/>
      <c r="E598" s="604"/>
      <c r="F598" s="607" t="s">
        <v>45</v>
      </c>
      <c r="G598" s="608">
        <v>0</v>
      </c>
    </row>
    <row r="599" spans="1:7" ht="11.1" customHeight="1">
      <c r="A599" s="600" t="str">
        <f t="shared" si="45"/>
        <v>CZK;CZK FOREX;30Y</v>
      </c>
      <c r="B599" s="600" t="str">
        <f t="shared" si="47"/>
        <v>CZK</v>
      </c>
      <c r="C599" s="600" t="str">
        <f t="shared" si="47"/>
        <v>CZK FOREX</v>
      </c>
      <c r="D599" s="603"/>
      <c r="E599" s="604"/>
      <c r="F599" s="607" t="s">
        <v>22</v>
      </c>
      <c r="G599" s="608">
        <v>0</v>
      </c>
    </row>
    <row r="600" spans="1:7" ht="11.1" customHeight="1">
      <c r="A600" s="600" t="str">
        <f t="shared" si="45"/>
        <v>CZK;CZK OIS;Total CZK OIS</v>
      </c>
      <c r="B600" s="600" t="str">
        <f t="shared" si="47"/>
        <v>CZK</v>
      </c>
      <c r="C600" s="600" t="str">
        <f t="shared" si="47"/>
        <v>CZK OIS</v>
      </c>
      <c r="D600" s="603"/>
      <c r="E600" s="604" t="s">
        <v>3876</v>
      </c>
      <c r="F600" s="605" t="s">
        <v>3877</v>
      </c>
      <c r="G600" s="611">
        <v>7.8735222210465698</v>
      </c>
    </row>
    <row r="601" spans="1:7" ht="11.1" customHeight="1">
      <c r="A601" s="600" t="str">
        <f t="shared" si="45"/>
        <v>CZK;CZK OIS;1W</v>
      </c>
      <c r="B601" s="600" t="str">
        <f t="shared" si="47"/>
        <v>CZK</v>
      </c>
      <c r="C601" s="600" t="str">
        <f t="shared" si="47"/>
        <v>CZK OIS</v>
      </c>
      <c r="D601" s="603"/>
      <c r="E601" s="604"/>
      <c r="F601" s="607" t="s">
        <v>5</v>
      </c>
      <c r="G601" s="606">
        <v>-14.1376717009686</v>
      </c>
    </row>
    <row r="602" spans="1:7" ht="11.1" customHeight="1">
      <c r="A602" s="600" t="str">
        <f t="shared" si="45"/>
        <v>CZK;CZK OIS;2W</v>
      </c>
      <c r="B602" s="600" t="str">
        <f t="shared" si="47"/>
        <v>CZK</v>
      </c>
      <c r="C602" s="600" t="str">
        <f t="shared" si="47"/>
        <v>CZK OIS</v>
      </c>
      <c r="D602" s="603"/>
      <c r="E602" s="604"/>
      <c r="F602" s="607" t="s">
        <v>6</v>
      </c>
      <c r="G602" s="611">
        <v>7.2088781880476098</v>
      </c>
    </row>
    <row r="603" spans="1:7" ht="11.1" customHeight="1">
      <c r="A603" s="600" t="str">
        <f t="shared" si="45"/>
        <v>CZK;CZK OIS;1M</v>
      </c>
      <c r="B603" s="600" t="str">
        <f t="shared" si="47"/>
        <v>CZK</v>
      </c>
      <c r="C603" s="600" t="str">
        <f t="shared" si="47"/>
        <v>CZK OIS</v>
      </c>
      <c r="D603" s="603"/>
      <c r="E603" s="604"/>
      <c r="F603" s="607" t="s">
        <v>7</v>
      </c>
      <c r="G603" s="606">
        <v>-5.5102904326206703</v>
      </c>
    </row>
    <row r="604" spans="1:7" ht="11.1" customHeight="1">
      <c r="A604" s="600" t="str">
        <f t="shared" si="45"/>
        <v>CZK;CZK OIS;2M</v>
      </c>
      <c r="B604" s="600" t="str">
        <f t="shared" si="47"/>
        <v>CZK</v>
      </c>
      <c r="C604" s="600" t="str">
        <f t="shared" si="47"/>
        <v>CZK OIS</v>
      </c>
      <c r="D604" s="603"/>
      <c r="E604" s="604"/>
      <c r="F604" s="607" t="s">
        <v>8</v>
      </c>
      <c r="G604" s="611">
        <v>1.4087529045823699</v>
      </c>
    </row>
    <row r="605" spans="1:7" ht="11.1" customHeight="1">
      <c r="A605" s="600" t="str">
        <f t="shared" si="45"/>
        <v>CZK;CZK OIS;3M</v>
      </c>
      <c r="B605" s="600" t="str">
        <f t="shared" si="47"/>
        <v>CZK</v>
      </c>
      <c r="C605" s="600" t="str">
        <f t="shared" si="47"/>
        <v>CZK OIS</v>
      </c>
      <c r="D605" s="603"/>
      <c r="E605" s="604"/>
      <c r="F605" s="607" t="s">
        <v>25</v>
      </c>
      <c r="G605" s="611">
        <v>0.182395519720423</v>
      </c>
    </row>
    <row r="606" spans="1:7" ht="11.1" customHeight="1">
      <c r="A606" s="600" t="str">
        <f t="shared" si="45"/>
        <v>CZK;CZK OIS;6M</v>
      </c>
      <c r="B606" s="600" t="str">
        <f t="shared" si="47"/>
        <v>CZK</v>
      </c>
      <c r="C606" s="600" t="str">
        <f t="shared" si="47"/>
        <v>CZK OIS</v>
      </c>
      <c r="D606" s="603"/>
      <c r="E606" s="604"/>
      <c r="F606" s="607" t="s">
        <v>28</v>
      </c>
      <c r="G606" s="606">
        <v>-0.82756890200339805</v>
      </c>
    </row>
    <row r="607" spans="1:7" ht="11.1" customHeight="1">
      <c r="A607" s="600" t="str">
        <f t="shared" si="45"/>
        <v>CZK;CZK OIS;9M</v>
      </c>
      <c r="B607" s="600" t="str">
        <f t="shared" si="47"/>
        <v>CZK</v>
      </c>
      <c r="C607" s="600" t="str">
        <f t="shared" si="47"/>
        <v>CZK OIS</v>
      </c>
      <c r="D607" s="603"/>
      <c r="E607" s="604"/>
      <c r="F607" s="607" t="s">
        <v>49</v>
      </c>
      <c r="G607" s="606">
        <v>-8.4532033640543798</v>
      </c>
    </row>
    <row r="608" spans="1:7" ht="11.1" customHeight="1">
      <c r="A608" s="600" t="str">
        <f t="shared" si="45"/>
        <v>CZK;CZK OIS;1Y</v>
      </c>
      <c r="B608" s="600" t="str">
        <f t="shared" si="47"/>
        <v>CZK</v>
      </c>
      <c r="C608" s="600" t="str">
        <f t="shared" si="47"/>
        <v>CZK OIS</v>
      </c>
      <c r="D608" s="603"/>
      <c r="E608" s="604"/>
      <c r="F608" s="607" t="s">
        <v>56</v>
      </c>
      <c r="G608" s="606">
        <v>-3210.7775343016601</v>
      </c>
    </row>
    <row r="609" spans="1:7" ht="11.1" customHeight="1">
      <c r="A609" s="600" t="str">
        <f t="shared" si="45"/>
        <v>CZK;CZK OIS;2Y</v>
      </c>
      <c r="B609" s="600" t="str">
        <f t="shared" si="47"/>
        <v>CZK</v>
      </c>
      <c r="C609" s="600" t="str">
        <f t="shared" si="47"/>
        <v>CZK OIS</v>
      </c>
      <c r="D609" s="603"/>
      <c r="E609" s="604"/>
      <c r="F609" s="607" t="s">
        <v>9</v>
      </c>
      <c r="G609" s="611">
        <v>6940.8294034229302</v>
      </c>
    </row>
    <row r="610" spans="1:7" ht="11.1" customHeight="1">
      <c r="A610" s="600" t="str">
        <f t="shared" si="45"/>
        <v>CZK;CZK OIS;3Y</v>
      </c>
      <c r="B610" s="600" t="str">
        <f t="shared" si="47"/>
        <v>CZK</v>
      </c>
      <c r="C610" s="600" t="str">
        <f t="shared" si="47"/>
        <v>CZK OIS</v>
      </c>
      <c r="D610" s="603"/>
      <c r="E610" s="604"/>
      <c r="F610" s="607" t="s">
        <v>10</v>
      </c>
      <c r="G610" s="606">
        <v>-5192.5173296414296</v>
      </c>
    </row>
    <row r="611" spans="1:7" ht="11.1" customHeight="1">
      <c r="A611" s="600" t="str">
        <f t="shared" si="45"/>
        <v>CZK;CZK OIS;4Y</v>
      </c>
      <c r="B611" s="600" t="str">
        <f t="shared" si="47"/>
        <v>CZK</v>
      </c>
      <c r="C611" s="600" t="str">
        <f t="shared" si="47"/>
        <v>CZK OIS</v>
      </c>
      <c r="D611" s="603"/>
      <c r="E611" s="604"/>
      <c r="F611" s="607" t="s">
        <v>11</v>
      </c>
      <c r="G611" s="611">
        <v>1490.5063231557101</v>
      </c>
    </row>
    <row r="612" spans="1:7" ht="11.1" customHeight="1">
      <c r="A612" s="600" t="str">
        <f t="shared" si="45"/>
        <v>CZK;CZK OIS;5Y</v>
      </c>
      <c r="B612" s="600" t="str">
        <f t="shared" si="47"/>
        <v>CZK</v>
      </c>
      <c r="C612" s="600" t="str">
        <f t="shared" si="47"/>
        <v>CZK OIS</v>
      </c>
      <c r="D612" s="603"/>
      <c r="E612" s="604"/>
      <c r="F612" s="607" t="s">
        <v>12</v>
      </c>
      <c r="G612" s="606">
        <v>-3.8180708371807502E-2</v>
      </c>
    </row>
    <row r="613" spans="1:7" ht="11.1" customHeight="1">
      <c r="A613" s="600" t="str">
        <f t="shared" si="45"/>
        <v>CZK;CZK OIS;6Y</v>
      </c>
      <c r="B613" s="600" t="str">
        <f t="shared" ref="B613:C628" si="48">IF(ISBLANK(D613),B612,D613)</f>
        <v>CZK</v>
      </c>
      <c r="C613" s="600" t="str">
        <f t="shared" si="48"/>
        <v>CZK OIS</v>
      </c>
      <c r="D613" s="603"/>
      <c r="E613" s="604"/>
      <c r="F613" s="607" t="s">
        <v>13</v>
      </c>
      <c r="G613" s="606">
        <v>-4.5612807140456703E-4</v>
      </c>
    </row>
    <row r="614" spans="1:7" ht="11.1" customHeight="1">
      <c r="A614" s="600" t="str">
        <f t="shared" si="45"/>
        <v>CZK;CZK OIS;7Y</v>
      </c>
      <c r="B614" s="600" t="str">
        <f t="shared" si="48"/>
        <v>CZK</v>
      </c>
      <c r="C614" s="600" t="str">
        <f t="shared" si="48"/>
        <v>CZK OIS</v>
      </c>
      <c r="D614" s="603"/>
      <c r="E614" s="604"/>
      <c r="F614" s="607" t="s">
        <v>14</v>
      </c>
      <c r="G614" s="611">
        <v>4.2095302724219103E-6</v>
      </c>
    </row>
    <row r="615" spans="1:7" ht="11.1" customHeight="1">
      <c r="A615" s="600" t="str">
        <f t="shared" si="45"/>
        <v>CZK;CZK OIS;8Y</v>
      </c>
      <c r="B615" s="600" t="str">
        <f t="shared" si="48"/>
        <v>CZK</v>
      </c>
      <c r="C615" s="600" t="str">
        <f t="shared" si="48"/>
        <v>CZK OIS</v>
      </c>
      <c r="D615" s="603"/>
      <c r="E615" s="604"/>
      <c r="F615" s="607" t="s">
        <v>15</v>
      </c>
      <c r="G615" s="608">
        <v>0</v>
      </c>
    </row>
    <row r="616" spans="1:7" ht="11.1" customHeight="1">
      <c r="A616" s="600" t="str">
        <f t="shared" si="45"/>
        <v>CZK;CZK OIS;9Y</v>
      </c>
      <c r="B616" s="600" t="str">
        <f t="shared" si="48"/>
        <v>CZK</v>
      </c>
      <c r="C616" s="600" t="str">
        <f t="shared" si="48"/>
        <v>CZK OIS</v>
      </c>
      <c r="D616" s="603"/>
      <c r="E616" s="604"/>
      <c r="F616" s="607" t="s">
        <v>16</v>
      </c>
      <c r="G616" s="608">
        <v>0</v>
      </c>
    </row>
    <row r="617" spans="1:7" ht="11.1" customHeight="1">
      <c r="A617" s="600" t="str">
        <f t="shared" si="45"/>
        <v>CZK;CZK OIS;10Y</v>
      </c>
      <c r="B617" s="600" t="str">
        <f t="shared" si="48"/>
        <v>CZK</v>
      </c>
      <c r="C617" s="600" t="str">
        <f t="shared" si="48"/>
        <v>CZK OIS</v>
      </c>
      <c r="D617" s="603"/>
      <c r="E617" s="604"/>
      <c r="F617" s="607" t="s">
        <v>17</v>
      </c>
      <c r="G617" s="608">
        <v>0</v>
      </c>
    </row>
    <row r="618" spans="1:7" ht="11.1" customHeight="1">
      <c r="A618" s="600" t="str">
        <f t="shared" si="45"/>
        <v>DKK;Total DKK;</v>
      </c>
      <c r="B618" s="600" t="str">
        <f t="shared" si="48"/>
        <v>DKK</v>
      </c>
      <c r="C618" s="600" t="str">
        <f t="shared" si="48"/>
        <v>Total DKK</v>
      </c>
      <c r="D618" s="603" t="s">
        <v>3878</v>
      </c>
      <c r="E618" s="609" t="s">
        <v>3879</v>
      </c>
      <c r="F618" s="609"/>
      <c r="G618" s="612">
        <v>-126.828402204368</v>
      </c>
    </row>
    <row r="619" spans="1:7" ht="11.1" customHeight="1">
      <c r="A619" s="600" t="str">
        <f t="shared" si="45"/>
        <v>DKK;DKK 3M;Total DKK 3M</v>
      </c>
      <c r="B619" s="600" t="str">
        <f t="shared" si="48"/>
        <v>DKK</v>
      </c>
      <c r="C619" s="600" t="str">
        <f t="shared" si="48"/>
        <v>DKK 3M</v>
      </c>
      <c r="D619" s="603"/>
      <c r="E619" s="604" t="s">
        <v>3880</v>
      </c>
      <c r="F619" s="605" t="s">
        <v>3881</v>
      </c>
      <c r="G619" s="606">
        <v>-592.17660182133</v>
      </c>
    </row>
    <row r="620" spans="1:7" ht="11.1" customHeight="1">
      <c r="A620" s="600" t="str">
        <f t="shared" si="45"/>
        <v>DKK;DKK 3M;1W</v>
      </c>
      <c r="B620" s="600" t="str">
        <f t="shared" si="48"/>
        <v>DKK</v>
      </c>
      <c r="C620" s="600" t="str">
        <f t="shared" si="48"/>
        <v>DKK 3M</v>
      </c>
      <c r="D620" s="603"/>
      <c r="E620" s="604"/>
      <c r="F620" s="607" t="s">
        <v>5</v>
      </c>
      <c r="G620" s="611">
        <v>3.6434575962227503E-2</v>
      </c>
    </row>
    <row r="621" spans="1:7" ht="11.1" customHeight="1">
      <c r="A621" s="600" t="str">
        <f t="shared" si="45"/>
        <v>DKK;DKK 3M;2W</v>
      </c>
      <c r="B621" s="600" t="str">
        <f t="shared" si="48"/>
        <v>DKK</v>
      </c>
      <c r="C621" s="600" t="str">
        <f t="shared" si="48"/>
        <v>DKK 3M</v>
      </c>
      <c r="D621" s="603"/>
      <c r="E621" s="604"/>
      <c r="F621" s="607" t="s">
        <v>6</v>
      </c>
      <c r="G621" s="611">
        <v>3.3280457458324899</v>
      </c>
    </row>
    <row r="622" spans="1:7" ht="11.1" customHeight="1">
      <c r="A622" s="600" t="str">
        <f t="shared" si="45"/>
        <v>DKK;DKK 3M;1M</v>
      </c>
      <c r="B622" s="600" t="str">
        <f t="shared" si="48"/>
        <v>DKK</v>
      </c>
      <c r="C622" s="600" t="str">
        <f t="shared" si="48"/>
        <v>DKK 3M</v>
      </c>
      <c r="D622" s="603"/>
      <c r="E622" s="604"/>
      <c r="F622" s="607" t="s">
        <v>7</v>
      </c>
      <c r="G622" s="606">
        <v>-16.529499538899699</v>
      </c>
    </row>
    <row r="623" spans="1:7" ht="11.1" customHeight="1">
      <c r="A623" s="600" t="str">
        <f t="shared" si="45"/>
        <v>DKK;DKK 3M;2M</v>
      </c>
      <c r="B623" s="600" t="str">
        <f t="shared" si="48"/>
        <v>DKK</v>
      </c>
      <c r="C623" s="600" t="str">
        <f t="shared" si="48"/>
        <v>DKK 3M</v>
      </c>
      <c r="D623" s="603"/>
      <c r="E623" s="604"/>
      <c r="F623" s="607" t="s">
        <v>8</v>
      </c>
      <c r="G623" s="606">
        <v>-6.0851806413233103</v>
      </c>
    </row>
    <row r="624" spans="1:7" ht="11.1" customHeight="1">
      <c r="A624" s="600" t="str">
        <f t="shared" si="45"/>
        <v>DKK;DKK 3M;3M</v>
      </c>
      <c r="B624" s="600" t="str">
        <f t="shared" si="48"/>
        <v>DKK</v>
      </c>
      <c r="C624" s="600" t="str">
        <f t="shared" si="48"/>
        <v>DKK 3M</v>
      </c>
      <c r="D624" s="603"/>
      <c r="E624" s="604"/>
      <c r="F624" s="607" t="s">
        <v>25</v>
      </c>
      <c r="G624" s="611">
        <v>1.21605336672279</v>
      </c>
    </row>
    <row r="625" spans="1:7" ht="11.1" customHeight="1">
      <c r="A625" s="600" t="str">
        <f t="shared" si="45"/>
        <v>DKK;DKK 3M;DEC 16</v>
      </c>
      <c r="B625" s="600" t="str">
        <f t="shared" si="48"/>
        <v>DKK</v>
      </c>
      <c r="C625" s="600" t="str">
        <f t="shared" si="48"/>
        <v>DKK 3M</v>
      </c>
      <c r="D625" s="603"/>
      <c r="E625" s="604"/>
      <c r="F625" s="607" t="s">
        <v>1060</v>
      </c>
      <c r="G625" s="611">
        <v>15.6832157287127</v>
      </c>
    </row>
    <row r="626" spans="1:7" ht="11.1" customHeight="1">
      <c r="A626" s="600" t="str">
        <f t="shared" si="45"/>
        <v>DKK;DKK 3M;MAR 17</v>
      </c>
      <c r="B626" s="600" t="str">
        <f t="shared" si="48"/>
        <v>DKK</v>
      </c>
      <c r="C626" s="600" t="str">
        <f t="shared" si="48"/>
        <v>DKK 3M</v>
      </c>
      <c r="D626" s="603"/>
      <c r="E626" s="604"/>
      <c r="F626" s="607" t="s">
        <v>1063</v>
      </c>
      <c r="G626" s="606">
        <v>-48.999562745787898</v>
      </c>
    </row>
    <row r="627" spans="1:7" ht="11.1" customHeight="1">
      <c r="A627" s="600" t="str">
        <f t="shared" si="45"/>
        <v>DKK;DKK 3M;JUN 17</v>
      </c>
      <c r="B627" s="600" t="str">
        <f t="shared" si="48"/>
        <v>DKK</v>
      </c>
      <c r="C627" s="600" t="str">
        <f t="shared" si="48"/>
        <v>DKK 3M</v>
      </c>
      <c r="D627" s="603"/>
      <c r="E627" s="604"/>
      <c r="F627" s="607" t="s">
        <v>1066</v>
      </c>
      <c r="G627" s="606">
        <v>-20.143834079305201</v>
      </c>
    </row>
    <row r="628" spans="1:7" ht="11.1" customHeight="1">
      <c r="A628" s="600" t="str">
        <f t="shared" si="45"/>
        <v>DKK;DKK 3M;SEP 17</v>
      </c>
      <c r="B628" s="600" t="str">
        <f t="shared" si="48"/>
        <v>DKK</v>
      </c>
      <c r="C628" s="600" t="str">
        <f t="shared" si="48"/>
        <v>DKK 3M</v>
      </c>
      <c r="D628" s="603"/>
      <c r="E628" s="604"/>
      <c r="F628" s="607" t="s">
        <v>1069</v>
      </c>
      <c r="G628" s="606">
        <v>-14.3372487710208</v>
      </c>
    </row>
    <row r="629" spans="1:7" ht="11.1" customHeight="1">
      <c r="A629" s="600" t="str">
        <f t="shared" si="45"/>
        <v>DKK;DKK 3M;2Y</v>
      </c>
      <c r="B629" s="600" t="str">
        <f t="shared" ref="B629:C644" si="49">IF(ISBLANK(D629),B628,D629)</f>
        <v>DKK</v>
      </c>
      <c r="C629" s="600" t="str">
        <f t="shared" si="49"/>
        <v>DKK 3M</v>
      </c>
      <c r="D629" s="603"/>
      <c r="E629" s="604"/>
      <c r="F629" s="607" t="s">
        <v>9</v>
      </c>
      <c r="G629" s="606">
        <v>-186.26040425427499</v>
      </c>
    </row>
    <row r="630" spans="1:7" ht="11.1" customHeight="1">
      <c r="A630" s="600" t="str">
        <f t="shared" si="45"/>
        <v>DKK;DKK 3M;3Y</v>
      </c>
      <c r="B630" s="600" t="str">
        <f t="shared" si="49"/>
        <v>DKK</v>
      </c>
      <c r="C630" s="600" t="str">
        <f t="shared" si="49"/>
        <v>DKK 3M</v>
      </c>
      <c r="D630" s="603"/>
      <c r="E630" s="604"/>
      <c r="F630" s="607" t="s">
        <v>10</v>
      </c>
      <c r="G630" s="606">
        <v>-195.73941137304899</v>
      </c>
    </row>
    <row r="631" spans="1:7" ht="11.1" customHeight="1">
      <c r="A631" s="600" t="str">
        <f t="shared" si="45"/>
        <v>DKK;DKK 3M;4Y</v>
      </c>
      <c r="B631" s="600" t="str">
        <f t="shared" si="49"/>
        <v>DKK</v>
      </c>
      <c r="C631" s="600" t="str">
        <f t="shared" si="49"/>
        <v>DKK 3M</v>
      </c>
      <c r="D631" s="603"/>
      <c r="E631" s="604"/>
      <c r="F631" s="607" t="s">
        <v>11</v>
      </c>
      <c r="G631" s="606">
        <v>-128.26759965680199</v>
      </c>
    </row>
    <row r="632" spans="1:7" ht="11.1" customHeight="1">
      <c r="A632" s="600" t="str">
        <f t="shared" si="45"/>
        <v>DKK;DKK 3M;5Y</v>
      </c>
      <c r="B632" s="600" t="str">
        <f t="shared" si="49"/>
        <v>DKK</v>
      </c>
      <c r="C632" s="600" t="str">
        <f t="shared" si="49"/>
        <v>DKK 3M</v>
      </c>
      <c r="D632" s="603"/>
      <c r="E632" s="604"/>
      <c r="F632" s="607" t="s">
        <v>12</v>
      </c>
      <c r="G632" s="611">
        <v>3.92508047273911</v>
      </c>
    </row>
    <row r="633" spans="1:7" ht="11.1" customHeight="1">
      <c r="A633" s="600" t="str">
        <f t="shared" si="45"/>
        <v>DKK;DKK 3M;6Y</v>
      </c>
      <c r="B633" s="600" t="str">
        <f t="shared" si="49"/>
        <v>DKK</v>
      </c>
      <c r="C633" s="600" t="str">
        <f t="shared" si="49"/>
        <v>DKK 3M</v>
      </c>
      <c r="D633" s="603"/>
      <c r="E633" s="604"/>
      <c r="F633" s="607" t="s">
        <v>13</v>
      </c>
      <c r="G633" s="606">
        <v>-2.7055405749932399E-3</v>
      </c>
    </row>
    <row r="634" spans="1:7" ht="11.1" customHeight="1">
      <c r="A634" s="600" t="str">
        <f t="shared" si="45"/>
        <v>DKK;DKK 3M;7Y</v>
      </c>
      <c r="B634" s="600" t="str">
        <f t="shared" si="49"/>
        <v>DKK</v>
      </c>
      <c r="C634" s="600" t="str">
        <f t="shared" si="49"/>
        <v>DKK 3M</v>
      </c>
      <c r="D634" s="603"/>
      <c r="E634" s="604"/>
      <c r="F634" s="607" t="s">
        <v>14</v>
      </c>
      <c r="G634" s="611">
        <v>1.4883681092686E-5</v>
      </c>
    </row>
    <row r="635" spans="1:7" ht="11.1" customHeight="1">
      <c r="A635" s="600" t="str">
        <f t="shared" si="45"/>
        <v>DKK;DKK 3M;8Y</v>
      </c>
      <c r="B635" s="600" t="str">
        <f t="shared" si="49"/>
        <v>DKK</v>
      </c>
      <c r="C635" s="600" t="str">
        <f t="shared" si="49"/>
        <v>DKK 3M</v>
      </c>
      <c r="D635" s="603"/>
      <c r="E635" s="604"/>
      <c r="F635" s="607" t="s">
        <v>15</v>
      </c>
      <c r="G635" s="611">
        <v>6.0488730232012599E-9</v>
      </c>
    </row>
    <row r="636" spans="1:7" ht="11.1" customHeight="1">
      <c r="A636" s="600" t="str">
        <f t="shared" si="45"/>
        <v>DKK;DKK 3M;9Y</v>
      </c>
      <c r="B636" s="600" t="str">
        <f t="shared" si="49"/>
        <v>DKK</v>
      </c>
      <c r="C636" s="600" t="str">
        <f t="shared" si="49"/>
        <v>DKK 3M</v>
      </c>
      <c r="D636" s="603"/>
      <c r="E636" s="604"/>
      <c r="F636" s="607" t="s">
        <v>16</v>
      </c>
      <c r="G636" s="611">
        <v>3.3177728010822599E-12</v>
      </c>
    </row>
    <row r="637" spans="1:7" ht="11.1" customHeight="1">
      <c r="A637" s="600" t="str">
        <f t="shared" si="45"/>
        <v>DKK;DKK 3M;10Y</v>
      </c>
      <c r="B637" s="600" t="str">
        <f t="shared" si="49"/>
        <v>DKK</v>
      </c>
      <c r="C637" s="600" t="str">
        <f t="shared" si="49"/>
        <v>DKK 3M</v>
      </c>
      <c r="D637" s="603"/>
      <c r="E637" s="604"/>
      <c r="F637" s="607" t="s">
        <v>17</v>
      </c>
      <c r="G637" s="608">
        <v>0</v>
      </c>
    </row>
    <row r="638" spans="1:7" ht="11.1" customHeight="1">
      <c r="A638" s="600" t="str">
        <f t="shared" si="45"/>
        <v>DKK;DKK 3M;12Y</v>
      </c>
      <c r="B638" s="600" t="str">
        <f t="shared" si="49"/>
        <v>DKK</v>
      </c>
      <c r="C638" s="600" t="str">
        <f t="shared" si="49"/>
        <v>DKK 3M</v>
      </c>
      <c r="D638" s="603"/>
      <c r="E638" s="604"/>
      <c r="F638" s="607" t="s">
        <v>18</v>
      </c>
      <c r="G638" s="608">
        <v>0</v>
      </c>
    </row>
    <row r="639" spans="1:7" ht="11.1" customHeight="1">
      <c r="A639" s="600" t="str">
        <f t="shared" si="45"/>
        <v>DKK;DKK 3M;15Y</v>
      </c>
      <c r="B639" s="600" t="str">
        <f t="shared" si="49"/>
        <v>DKK</v>
      </c>
      <c r="C639" s="600" t="str">
        <f t="shared" si="49"/>
        <v>DKK 3M</v>
      </c>
      <c r="D639" s="603"/>
      <c r="E639" s="604"/>
      <c r="F639" s="607" t="s">
        <v>19</v>
      </c>
      <c r="G639" s="608">
        <v>0</v>
      </c>
    </row>
    <row r="640" spans="1:7" ht="11.1" customHeight="1">
      <c r="A640" s="600" t="str">
        <f t="shared" si="45"/>
        <v>DKK;DKK 3M;20Y</v>
      </c>
      <c r="B640" s="600" t="str">
        <f t="shared" si="49"/>
        <v>DKK</v>
      </c>
      <c r="C640" s="600" t="str">
        <f t="shared" si="49"/>
        <v>DKK 3M</v>
      </c>
      <c r="D640" s="603"/>
      <c r="E640" s="604"/>
      <c r="F640" s="607" t="s">
        <v>20</v>
      </c>
      <c r="G640" s="608">
        <v>0</v>
      </c>
    </row>
    <row r="641" spans="1:7" ht="11.1" customHeight="1">
      <c r="A641" s="600" t="str">
        <f t="shared" si="45"/>
        <v>DKK;DKK 3M;25Y</v>
      </c>
      <c r="B641" s="600" t="str">
        <f t="shared" si="49"/>
        <v>DKK</v>
      </c>
      <c r="C641" s="600" t="str">
        <f t="shared" si="49"/>
        <v>DKK 3M</v>
      </c>
      <c r="D641" s="603"/>
      <c r="E641" s="604"/>
      <c r="F641" s="607" t="s">
        <v>21</v>
      </c>
      <c r="G641" s="608">
        <v>0</v>
      </c>
    </row>
    <row r="642" spans="1:7" ht="11.1" customHeight="1">
      <c r="A642" s="600" t="str">
        <f t="shared" si="45"/>
        <v>DKK;DKK 3M;30Y</v>
      </c>
      <c r="B642" s="600" t="str">
        <f t="shared" si="49"/>
        <v>DKK</v>
      </c>
      <c r="C642" s="600" t="str">
        <f t="shared" si="49"/>
        <v>DKK 3M</v>
      </c>
      <c r="D642" s="603"/>
      <c r="E642" s="604"/>
      <c r="F642" s="607" t="s">
        <v>22</v>
      </c>
      <c r="G642" s="608">
        <v>0</v>
      </c>
    </row>
    <row r="643" spans="1:7" ht="11.1" customHeight="1">
      <c r="A643" s="600" t="str">
        <f t="shared" si="45"/>
        <v>DKK;DKK FOREX;Total DKK FOREX</v>
      </c>
      <c r="B643" s="600" t="str">
        <f t="shared" si="49"/>
        <v>DKK</v>
      </c>
      <c r="C643" s="600" t="str">
        <f t="shared" si="49"/>
        <v>DKK FOREX</v>
      </c>
      <c r="D643" s="603"/>
      <c r="E643" s="604" t="s">
        <v>3882</v>
      </c>
      <c r="F643" s="605" t="s">
        <v>3883</v>
      </c>
      <c r="G643" s="611">
        <v>8.28702928356264E-2</v>
      </c>
    </row>
    <row r="644" spans="1:7" ht="11.1" customHeight="1">
      <c r="A644" s="600" t="str">
        <f t="shared" si="45"/>
        <v>DKK;DKK FOREX;O/N</v>
      </c>
      <c r="B644" s="600" t="str">
        <f t="shared" si="49"/>
        <v>DKK</v>
      </c>
      <c r="C644" s="600" t="str">
        <f t="shared" si="49"/>
        <v>DKK FOREX</v>
      </c>
      <c r="D644" s="603"/>
      <c r="E644" s="604"/>
      <c r="F644" s="607" t="s">
        <v>3</v>
      </c>
      <c r="G644" s="611">
        <v>6.21534102182323E-2</v>
      </c>
    </row>
    <row r="645" spans="1:7" ht="11.1" customHeight="1">
      <c r="A645" s="600" t="str">
        <f t="shared" ref="A645:A708" si="50">B645&amp;";"&amp;C645&amp;";"&amp;F645</f>
        <v>DKK;DKK FOREX;T/N</v>
      </c>
      <c r="B645" s="600" t="str">
        <f t="shared" ref="B645:C660" si="51">IF(ISBLANK(D645),B644,D645)</f>
        <v>DKK</v>
      </c>
      <c r="C645" s="600" t="str">
        <f t="shared" si="51"/>
        <v>DKK FOREX</v>
      </c>
      <c r="D645" s="603"/>
      <c r="E645" s="604"/>
      <c r="F645" s="607" t="s">
        <v>4</v>
      </c>
      <c r="G645" s="611">
        <v>2.0716882617379799E-2</v>
      </c>
    </row>
    <row r="646" spans="1:7" ht="11.1" customHeight="1">
      <c r="A646" s="600" t="str">
        <f t="shared" si="50"/>
        <v>DKK;DKK FOREX;1W</v>
      </c>
      <c r="B646" s="600" t="str">
        <f t="shared" si="51"/>
        <v>DKK</v>
      </c>
      <c r="C646" s="600" t="str">
        <f t="shared" si="51"/>
        <v>DKK FOREX</v>
      </c>
      <c r="D646" s="603"/>
      <c r="E646" s="604"/>
      <c r="F646" s="607" t="s">
        <v>5</v>
      </c>
      <c r="G646" s="608">
        <v>0</v>
      </c>
    </row>
    <row r="647" spans="1:7" ht="11.1" customHeight="1">
      <c r="A647" s="600" t="str">
        <f t="shared" si="50"/>
        <v>DKK;DKK FOREX;2W</v>
      </c>
      <c r="B647" s="600" t="str">
        <f t="shared" si="51"/>
        <v>DKK</v>
      </c>
      <c r="C647" s="600" t="str">
        <f t="shared" si="51"/>
        <v>DKK FOREX</v>
      </c>
      <c r="D647" s="603"/>
      <c r="E647" s="604"/>
      <c r="F647" s="607" t="s">
        <v>6</v>
      </c>
      <c r="G647" s="608">
        <v>0</v>
      </c>
    </row>
    <row r="648" spans="1:7" ht="11.1" customHeight="1">
      <c r="A648" s="600" t="str">
        <f t="shared" si="50"/>
        <v>DKK;DKK FOREX;3W</v>
      </c>
      <c r="B648" s="600" t="str">
        <f t="shared" si="51"/>
        <v>DKK</v>
      </c>
      <c r="C648" s="600" t="str">
        <f t="shared" si="51"/>
        <v>DKK FOREX</v>
      </c>
      <c r="D648" s="603"/>
      <c r="E648" s="604"/>
      <c r="F648" s="607" t="s">
        <v>24</v>
      </c>
      <c r="G648" s="608">
        <v>0</v>
      </c>
    </row>
    <row r="649" spans="1:7" ht="11.1" customHeight="1">
      <c r="A649" s="600" t="str">
        <f t="shared" si="50"/>
        <v>DKK;DKK FOREX;1M</v>
      </c>
      <c r="B649" s="600" t="str">
        <f t="shared" si="51"/>
        <v>DKK</v>
      </c>
      <c r="C649" s="600" t="str">
        <f t="shared" si="51"/>
        <v>DKK FOREX</v>
      </c>
      <c r="D649" s="603"/>
      <c r="E649" s="604"/>
      <c r="F649" s="607" t="s">
        <v>7</v>
      </c>
      <c r="G649" s="608">
        <v>0</v>
      </c>
    </row>
    <row r="650" spans="1:7" ht="11.1" customHeight="1">
      <c r="A650" s="600" t="str">
        <f t="shared" si="50"/>
        <v>DKK;DKK FOREX;2M</v>
      </c>
      <c r="B650" s="600" t="str">
        <f t="shared" si="51"/>
        <v>DKK</v>
      </c>
      <c r="C650" s="600" t="str">
        <f t="shared" si="51"/>
        <v>DKK FOREX</v>
      </c>
      <c r="D650" s="603"/>
      <c r="E650" s="604"/>
      <c r="F650" s="607" t="s">
        <v>8</v>
      </c>
      <c r="G650" s="608">
        <v>0</v>
      </c>
    </row>
    <row r="651" spans="1:7" ht="11.1" customHeight="1">
      <c r="A651" s="600" t="str">
        <f t="shared" si="50"/>
        <v>DKK;DKK FOREX;3M</v>
      </c>
      <c r="B651" s="600" t="str">
        <f t="shared" si="51"/>
        <v>DKK</v>
      </c>
      <c r="C651" s="600" t="str">
        <f t="shared" si="51"/>
        <v>DKK FOREX</v>
      </c>
      <c r="D651" s="603"/>
      <c r="E651" s="604"/>
      <c r="F651" s="607" t="s">
        <v>25</v>
      </c>
      <c r="G651" s="608">
        <v>0</v>
      </c>
    </row>
    <row r="652" spans="1:7" ht="11.1" customHeight="1">
      <c r="A652" s="600" t="str">
        <f t="shared" si="50"/>
        <v>DKK;DKK FOREX;4M</v>
      </c>
      <c r="B652" s="600" t="str">
        <f t="shared" si="51"/>
        <v>DKK</v>
      </c>
      <c r="C652" s="600" t="str">
        <f t="shared" si="51"/>
        <v>DKK FOREX</v>
      </c>
      <c r="D652" s="603"/>
      <c r="E652" s="604"/>
      <c r="F652" s="607" t="s">
        <v>26</v>
      </c>
      <c r="G652" s="608">
        <v>0</v>
      </c>
    </row>
    <row r="653" spans="1:7" ht="11.1" customHeight="1">
      <c r="A653" s="600" t="str">
        <f t="shared" si="50"/>
        <v>DKK;DKK FOREX;5M</v>
      </c>
      <c r="B653" s="600" t="str">
        <f t="shared" si="51"/>
        <v>DKK</v>
      </c>
      <c r="C653" s="600" t="str">
        <f t="shared" si="51"/>
        <v>DKK FOREX</v>
      </c>
      <c r="D653" s="603"/>
      <c r="E653" s="604"/>
      <c r="F653" s="607" t="s">
        <v>27</v>
      </c>
      <c r="G653" s="608">
        <v>0</v>
      </c>
    </row>
    <row r="654" spans="1:7" ht="11.1" customHeight="1">
      <c r="A654" s="600" t="str">
        <f t="shared" si="50"/>
        <v>DKK;DKK FOREX;6M</v>
      </c>
      <c r="B654" s="600" t="str">
        <f t="shared" si="51"/>
        <v>DKK</v>
      </c>
      <c r="C654" s="600" t="str">
        <f t="shared" si="51"/>
        <v>DKK FOREX</v>
      </c>
      <c r="D654" s="603"/>
      <c r="E654" s="604"/>
      <c r="F654" s="607" t="s">
        <v>28</v>
      </c>
      <c r="G654" s="608">
        <v>0</v>
      </c>
    </row>
    <row r="655" spans="1:7" ht="11.1" customHeight="1">
      <c r="A655" s="600" t="str">
        <f t="shared" si="50"/>
        <v>DKK;DKK FOREX;7M</v>
      </c>
      <c r="B655" s="600" t="str">
        <f t="shared" si="51"/>
        <v>DKK</v>
      </c>
      <c r="C655" s="600" t="str">
        <f t="shared" si="51"/>
        <v>DKK FOREX</v>
      </c>
      <c r="D655" s="603"/>
      <c r="E655" s="604"/>
      <c r="F655" s="607" t="s">
        <v>29</v>
      </c>
      <c r="G655" s="608">
        <v>0</v>
      </c>
    </row>
    <row r="656" spans="1:7" ht="11.1" customHeight="1">
      <c r="A656" s="600" t="str">
        <f t="shared" si="50"/>
        <v>DKK;DKK FOREX;8M</v>
      </c>
      <c r="B656" s="600" t="str">
        <f t="shared" si="51"/>
        <v>DKK</v>
      </c>
      <c r="C656" s="600" t="str">
        <f t="shared" si="51"/>
        <v>DKK FOREX</v>
      </c>
      <c r="D656" s="603"/>
      <c r="E656" s="604"/>
      <c r="F656" s="607" t="s">
        <v>30</v>
      </c>
      <c r="G656" s="608">
        <v>0</v>
      </c>
    </row>
    <row r="657" spans="1:7" ht="11.1" customHeight="1">
      <c r="A657" s="600" t="str">
        <f t="shared" si="50"/>
        <v>DKK;DKK FOREX;9M</v>
      </c>
      <c r="B657" s="600" t="str">
        <f t="shared" si="51"/>
        <v>DKK</v>
      </c>
      <c r="C657" s="600" t="str">
        <f t="shared" si="51"/>
        <v>DKK FOREX</v>
      </c>
      <c r="D657" s="603"/>
      <c r="E657" s="604"/>
      <c r="F657" s="607" t="s">
        <v>49</v>
      </c>
      <c r="G657" s="608">
        <v>0</v>
      </c>
    </row>
    <row r="658" spans="1:7" ht="11.1" customHeight="1">
      <c r="A658" s="600" t="str">
        <f t="shared" si="50"/>
        <v>DKK;DKK FOREX;10M</v>
      </c>
      <c r="B658" s="600" t="str">
        <f t="shared" si="51"/>
        <v>DKK</v>
      </c>
      <c r="C658" s="600" t="str">
        <f t="shared" si="51"/>
        <v>DKK FOREX</v>
      </c>
      <c r="D658" s="603"/>
      <c r="E658" s="604"/>
      <c r="F658" s="607" t="s">
        <v>50</v>
      </c>
      <c r="G658" s="608">
        <v>0</v>
      </c>
    </row>
    <row r="659" spans="1:7" ht="11.1" customHeight="1">
      <c r="A659" s="600" t="str">
        <f t="shared" si="50"/>
        <v>DKK;DKK FOREX;11M</v>
      </c>
      <c r="B659" s="600" t="str">
        <f t="shared" si="51"/>
        <v>DKK</v>
      </c>
      <c r="C659" s="600" t="str">
        <f t="shared" si="51"/>
        <v>DKK FOREX</v>
      </c>
      <c r="D659" s="603"/>
      <c r="E659" s="604"/>
      <c r="F659" s="607" t="s">
        <v>51</v>
      </c>
      <c r="G659" s="608">
        <v>0</v>
      </c>
    </row>
    <row r="660" spans="1:7" ht="11.1" customHeight="1">
      <c r="A660" s="600" t="str">
        <f t="shared" si="50"/>
        <v>DKK;DKK FOREX;12M</v>
      </c>
      <c r="B660" s="600" t="str">
        <f t="shared" si="51"/>
        <v>DKK</v>
      </c>
      <c r="C660" s="600" t="str">
        <f t="shared" si="51"/>
        <v>DKK FOREX</v>
      </c>
      <c r="D660" s="603"/>
      <c r="E660" s="604"/>
      <c r="F660" s="607" t="s">
        <v>52</v>
      </c>
      <c r="G660" s="608">
        <v>0</v>
      </c>
    </row>
    <row r="661" spans="1:7" ht="11.1" customHeight="1">
      <c r="A661" s="600" t="str">
        <f t="shared" si="50"/>
        <v>DKK;DKK FOREX;15M</v>
      </c>
      <c r="B661" s="600" t="str">
        <f t="shared" ref="B661:C676" si="52">IF(ISBLANK(D661),B660,D661)</f>
        <v>DKK</v>
      </c>
      <c r="C661" s="600" t="str">
        <f t="shared" si="52"/>
        <v>DKK FOREX</v>
      </c>
      <c r="D661" s="603"/>
      <c r="E661" s="604"/>
      <c r="F661" s="607" t="s">
        <v>53</v>
      </c>
      <c r="G661" s="608">
        <v>0</v>
      </c>
    </row>
    <row r="662" spans="1:7" ht="11.1" customHeight="1">
      <c r="A662" s="600" t="str">
        <f t="shared" si="50"/>
        <v>DKK;DKK FOREX;18M</v>
      </c>
      <c r="B662" s="600" t="str">
        <f t="shared" si="52"/>
        <v>DKK</v>
      </c>
      <c r="C662" s="600" t="str">
        <f t="shared" si="52"/>
        <v>DKK FOREX</v>
      </c>
      <c r="D662" s="603"/>
      <c r="E662" s="604"/>
      <c r="F662" s="607" t="s">
        <v>54</v>
      </c>
      <c r="G662" s="608">
        <v>0</v>
      </c>
    </row>
    <row r="663" spans="1:7" ht="11.1" customHeight="1">
      <c r="A663" s="600" t="str">
        <f t="shared" si="50"/>
        <v>DKK;DKK FOREX;24M</v>
      </c>
      <c r="B663" s="600" t="str">
        <f t="shared" si="52"/>
        <v>DKK</v>
      </c>
      <c r="C663" s="600" t="str">
        <f t="shared" si="52"/>
        <v>DKK FOREX</v>
      </c>
      <c r="D663" s="603"/>
      <c r="E663" s="604"/>
      <c r="F663" s="607" t="s">
        <v>659</v>
      </c>
      <c r="G663" s="608">
        <v>0</v>
      </c>
    </row>
    <row r="664" spans="1:7" ht="11.1" customHeight="1">
      <c r="A664" s="600" t="str">
        <f t="shared" si="50"/>
        <v>DKK;DKK FOREX;3Y</v>
      </c>
      <c r="B664" s="600" t="str">
        <f t="shared" si="52"/>
        <v>DKK</v>
      </c>
      <c r="C664" s="600" t="str">
        <f t="shared" si="52"/>
        <v>DKK FOREX</v>
      </c>
      <c r="D664" s="603"/>
      <c r="E664" s="604"/>
      <c r="F664" s="607" t="s">
        <v>10</v>
      </c>
      <c r="G664" s="608">
        <v>0</v>
      </c>
    </row>
    <row r="665" spans="1:7" ht="11.1" customHeight="1">
      <c r="A665" s="600" t="str">
        <f t="shared" si="50"/>
        <v>DKK;DKK FOREX;4Y</v>
      </c>
      <c r="B665" s="600" t="str">
        <f t="shared" si="52"/>
        <v>DKK</v>
      </c>
      <c r="C665" s="600" t="str">
        <f t="shared" si="52"/>
        <v>DKK FOREX</v>
      </c>
      <c r="D665" s="603"/>
      <c r="E665" s="604"/>
      <c r="F665" s="607" t="s">
        <v>11</v>
      </c>
      <c r="G665" s="608">
        <v>0</v>
      </c>
    </row>
    <row r="666" spans="1:7" ht="11.1" customHeight="1">
      <c r="A666" s="600" t="str">
        <f t="shared" si="50"/>
        <v>DKK;DKK FOREX;5Y</v>
      </c>
      <c r="B666" s="600" t="str">
        <f t="shared" si="52"/>
        <v>DKK</v>
      </c>
      <c r="C666" s="600" t="str">
        <f t="shared" si="52"/>
        <v>DKK FOREX</v>
      </c>
      <c r="D666" s="603"/>
      <c r="E666" s="604"/>
      <c r="F666" s="607" t="s">
        <v>12</v>
      </c>
      <c r="G666" s="608">
        <v>0</v>
      </c>
    </row>
    <row r="667" spans="1:7" ht="11.1" customHeight="1">
      <c r="A667" s="600" t="str">
        <f t="shared" si="50"/>
        <v>DKK;DKK FOREX;6Y</v>
      </c>
      <c r="B667" s="600" t="str">
        <f t="shared" si="52"/>
        <v>DKK</v>
      </c>
      <c r="C667" s="600" t="str">
        <f t="shared" si="52"/>
        <v>DKK FOREX</v>
      </c>
      <c r="D667" s="603"/>
      <c r="E667" s="604"/>
      <c r="F667" s="607" t="s">
        <v>13</v>
      </c>
      <c r="G667" s="608">
        <v>0</v>
      </c>
    </row>
    <row r="668" spans="1:7" ht="11.1" customHeight="1">
      <c r="A668" s="600" t="str">
        <f t="shared" si="50"/>
        <v>DKK;DKK FOREX;7Y</v>
      </c>
      <c r="B668" s="600" t="str">
        <f t="shared" si="52"/>
        <v>DKK</v>
      </c>
      <c r="C668" s="600" t="str">
        <f t="shared" si="52"/>
        <v>DKK FOREX</v>
      </c>
      <c r="D668" s="603"/>
      <c r="E668" s="604"/>
      <c r="F668" s="607" t="s">
        <v>14</v>
      </c>
      <c r="G668" s="608">
        <v>0</v>
      </c>
    </row>
    <row r="669" spans="1:7" ht="11.1" customHeight="1">
      <c r="A669" s="600" t="str">
        <f t="shared" si="50"/>
        <v>DKK;DKK FOREX;8Y</v>
      </c>
      <c r="B669" s="600" t="str">
        <f t="shared" si="52"/>
        <v>DKK</v>
      </c>
      <c r="C669" s="600" t="str">
        <f t="shared" si="52"/>
        <v>DKK FOREX</v>
      </c>
      <c r="D669" s="603"/>
      <c r="E669" s="604"/>
      <c r="F669" s="607" t="s">
        <v>15</v>
      </c>
      <c r="G669" s="608">
        <v>0</v>
      </c>
    </row>
    <row r="670" spans="1:7" ht="11.1" customHeight="1">
      <c r="A670" s="600" t="str">
        <f t="shared" si="50"/>
        <v>DKK;DKK FOREX;9Y</v>
      </c>
      <c r="B670" s="600" t="str">
        <f t="shared" si="52"/>
        <v>DKK</v>
      </c>
      <c r="C670" s="600" t="str">
        <f t="shared" si="52"/>
        <v>DKK FOREX</v>
      </c>
      <c r="D670" s="603"/>
      <c r="E670" s="604"/>
      <c r="F670" s="607" t="s">
        <v>16</v>
      </c>
      <c r="G670" s="608">
        <v>0</v>
      </c>
    </row>
    <row r="671" spans="1:7" ht="11.1" customHeight="1">
      <c r="A671" s="600" t="str">
        <f t="shared" si="50"/>
        <v>DKK;DKK FOREX;10Y</v>
      </c>
      <c r="B671" s="600" t="str">
        <f t="shared" si="52"/>
        <v>DKK</v>
      </c>
      <c r="C671" s="600" t="str">
        <f t="shared" si="52"/>
        <v>DKK FOREX</v>
      </c>
      <c r="D671" s="603"/>
      <c r="E671" s="604"/>
      <c r="F671" s="607" t="s">
        <v>17</v>
      </c>
      <c r="G671" s="608">
        <v>0</v>
      </c>
    </row>
    <row r="672" spans="1:7" ht="11.1" customHeight="1">
      <c r="A672" s="600" t="str">
        <f t="shared" si="50"/>
        <v>DKK;DKK FOREX;11Y</v>
      </c>
      <c r="B672" s="600" t="str">
        <f t="shared" si="52"/>
        <v>DKK</v>
      </c>
      <c r="C672" s="600" t="str">
        <f t="shared" si="52"/>
        <v>DKK FOREX</v>
      </c>
      <c r="D672" s="603"/>
      <c r="E672" s="604"/>
      <c r="F672" s="607" t="s">
        <v>31</v>
      </c>
      <c r="G672" s="608">
        <v>0</v>
      </c>
    </row>
    <row r="673" spans="1:7" ht="11.1" customHeight="1">
      <c r="A673" s="600" t="str">
        <f t="shared" si="50"/>
        <v>DKK;DKK FOREX;12Y</v>
      </c>
      <c r="B673" s="600" t="str">
        <f t="shared" si="52"/>
        <v>DKK</v>
      </c>
      <c r="C673" s="600" t="str">
        <f t="shared" si="52"/>
        <v>DKK FOREX</v>
      </c>
      <c r="D673" s="603"/>
      <c r="E673" s="604"/>
      <c r="F673" s="607" t="s">
        <v>18</v>
      </c>
      <c r="G673" s="608">
        <v>0</v>
      </c>
    </row>
    <row r="674" spans="1:7" ht="11.1" customHeight="1">
      <c r="A674" s="600" t="str">
        <f t="shared" si="50"/>
        <v>DKK;DKK FOREX;13Y</v>
      </c>
      <c r="B674" s="600" t="str">
        <f t="shared" si="52"/>
        <v>DKK</v>
      </c>
      <c r="C674" s="600" t="str">
        <f t="shared" si="52"/>
        <v>DKK FOREX</v>
      </c>
      <c r="D674" s="603"/>
      <c r="E674" s="604"/>
      <c r="F674" s="607" t="s">
        <v>32</v>
      </c>
      <c r="G674" s="608">
        <v>0</v>
      </c>
    </row>
    <row r="675" spans="1:7" ht="11.1" customHeight="1">
      <c r="A675" s="600" t="str">
        <f t="shared" si="50"/>
        <v>DKK;DKK FOREX;14Y</v>
      </c>
      <c r="B675" s="600" t="str">
        <f t="shared" si="52"/>
        <v>DKK</v>
      </c>
      <c r="C675" s="600" t="str">
        <f t="shared" si="52"/>
        <v>DKK FOREX</v>
      </c>
      <c r="D675" s="603"/>
      <c r="E675" s="604"/>
      <c r="F675" s="607" t="s">
        <v>33</v>
      </c>
      <c r="G675" s="608">
        <v>0</v>
      </c>
    </row>
    <row r="676" spans="1:7" ht="11.1" customHeight="1">
      <c r="A676" s="600" t="str">
        <f t="shared" si="50"/>
        <v>DKK;DKK FOREX;15Y</v>
      </c>
      <c r="B676" s="600" t="str">
        <f t="shared" si="52"/>
        <v>DKK</v>
      </c>
      <c r="C676" s="600" t="str">
        <f t="shared" si="52"/>
        <v>DKK FOREX</v>
      </c>
      <c r="D676" s="603"/>
      <c r="E676" s="604"/>
      <c r="F676" s="607" t="s">
        <v>19</v>
      </c>
      <c r="G676" s="608">
        <v>0</v>
      </c>
    </row>
    <row r="677" spans="1:7" ht="11.1" customHeight="1">
      <c r="A677" s="600" t="str">
        <f t="shared" si="50"/>
        <v>DKK;DKK FOREX;16Y</v>
      </c>
      <c r="B677" s="600" t="str">
        <f t="shared" ref="B677:C692" si="53">IF(ISBLANK(D677),B676,D677)</f>
        <v>DKK</v>
      </c>
      <c r="C677" s="600" t="str">
        <f t="shared" si="53"/>
        <v>DKK FOREX</v>
      </c>
      <c r="D677" s="603"/>
      <c r="E677" s="604"/>
      <c r="F677" s="607" t="s">
        <v>34</v>
      </c>
      <c r="G677" s="608">
        <v>0</v>
      </c>
    </row>
    <row r="678" spans="1:7" ht="11.1" customHeight="1">
      <c r="A678" s="600" t="str">
        <f t="shared" si="50"/>
        <v>DKK;DKK FOREX;17Y</v>
      </c>
      <c r="B678" s="600" t="str">
        <f t="shared" si="53"/>
        <v>DKK</v>
      </c>
      <c r="C678" s="600" t="str">
        <f t="shared" si="53"/>
        <v>DKK FOREX</v>
      </c>
      <c r="D678" s="603"/>
      <c r="E678" s="604"/>
      <c r="F678" s="607" t="s">
        <v>35</v>
      </c>
      <c r="G678" s="608">
        <v>0</v>
      </c>
    </row>
    <row r="679" spans="1:7" ht="11.1" customHeight="1">
      <c r="A679" s="600" t="str">
        <f t="shared" si="50"/>
        <v>DKK;DKK FOREX;18Y</v>
      </c>
      <c r="B679" s="600" t="str">
        <f t="shared" si="53"/>
        <v>DKK</v>
      </c>
      <c r="C679" s="600" t="str">
        <f t="shared" si="53"/>
        <v>DKK FOREX</v>
      </c>
      <c r="D679" s="603"/>
      <c r="E679" s="604"/>
      <c r="F679" s="607" t="s">
        <v>36</v>
      </c>
      <c r="G679" s="608">
        <v>0</v>
      </c>
    </row>
    <row r="680" spans="1:7" ht="11.1" customHeight="1">
      <c r="A680" s="600" t="str">
        <f t="shared" si="50"/>
        <v>DKK;DKK FOREX;19Y</v>
      </c>
      <c r="B680" s="600" t="str">
        <f t="shared" si="53"/>
        <v>DKK</v>
      </c>
      <c r="C680" s="600" t="str">
        <f t="shared" si="53"/>
        <v>DKK FOREX</v>
      </c>
      <c r="D680" s="603"/>
      <c r="E680" s="604"/>
      <c r="F680" s="607" t="s">
        <v>37</v>
      </c>
      <c r="G680" s="608">
        <v>0</v>
      </c>
    </row>
    <row r="681" spans="1:7" ht="11.1" customHeight="1">
      <c r="A681" s="600" t="str">
        <f t="shared" si="50"/>
        <v>DKK;DKK FOREX;20Y</v>
      </c>
      <c r="B681" s="600" t="str">
        <f t="shared" si="53"/>
        <v>DKK</v>
      </c>
      <c r="C681" s="600" t="str">
        <f t="shared" si="53"/>
        <v>DKK FOREX</v>
      </c>
      <c r="D681" s="603"/>
      <c r="E681" s="604"/>
      <c r="F681" s="607" t="s">
        <v>20</v>
      </c>
      <c r="G681" s="608">
        <v>0</v>
      </c>
    </row>
    <row r="682" spans="1:7" ht="11.1" customHeight="1">
      <c r="A682" s="600" t="str">
        <f t="shared" si="50"/>
        <v>DKK;DKK FOREX;21Y</v>
      </c>
      <c r="B682" s="600" t="str">
        <f t="shared" si="53"/>
        <v>DKK</v>
      </c>
      <c r="C682" s="600" t="str">
        <f t="shared" si="53"/>
        <v>DKK FOREX</v>
      </c>
      <c r="D682" s="603"/>
      <c r="E682" s="604"/>
      <c r="F682" s="607" t="s">
        <v>38</v>
      </c>
      <c r="G682" s="608">
        <v>0</v>
      </c>
    </row>
    <row r="683" spans="1:7" ht="11.1" customHeight="1">
      <c r="A683" s="600" t="str">
        <f t="shared" si="50"/>
        <v>DKK;DKK FOREX;22Y</v>
      </c>
      <c r="B683" s="600" t="str">
        <f t="shared" si="53"/>
        <v>DKK</v>
      </c>
      <c r="C683" s="600" t="str">
        <f t="shared" si="53"/>
        <v>DKK FOREX</v>
      </c>
      <c r="D683" s="603"/>
      <c r="E683" s="604"/>
      <c r="F683" s="607" t="s">
        <v>39</v>
      </c>
      <c r="G683" s="608">
        <v>0</v>
      </c>
    </row>
    <row r="684" spans="1:7" ht="11.1" customHeight="1">
      <c r="A684" s="600" t="str">
        <f t="shared" si="50"/>
        <v>DKK;DKK FOREX;23Y</v>
      </c>
      <c r="B684" s="600" t="str">
        <f t="shared" si="53"/>
        <v>DKK</v>
      </c>
      <c r="C684" s="600" t="str">
        <f t="shared" si="53"/>
        <v>DKK FOREX</v>
      </c>
      <c r="D684" s="603"/>
      <c r="E684" s="604"/>
      <c r="F684" s="607" t="s">
        <v>40</v>
      </c>
      <c r="G684" s="608">
        <v>0</v>
      </c>
    </row>
    <row r="685" spans="1:7" ht="11.1" customHeight="1">
      <c r="A685" s="600" t="str">
        <f t="shared" si="50"/>
        <v>DKK;DKK FOREX;24Y</v>
      </c>
      <c r="B685" s="600" t="str">
        <f t="shared" si="53"/>
        <v>DKK</v>
      </c>
      <c r="C685" s="600" t="str">
        <f t="shared" si="53"/>
        <v>DKK FOREX</v>
      </c>
      <c r="D685" s="603"/>
      <c r="E685" s="604"/>
      <c r="F685" s="607" t="s">
        <v>41</v>
      </c>
      <c r="G685" s="608">
        <v>0</v>
      </c>
    </row>
    <row r="686" spans="1:7" ht="11.1" customHeight="1">
      <c r="A686" s="600" t="str">
        <f t="shared" si="50"/>
        <v>DKK;DKK FOREX;25Y</v>
      </c>
      <c r="B686" s="600" t="str">
        <f t="shared" si="53"/>
        <v>DKK</v>
      </c>
      <c r="C686" s="600" t="str">
        <f t="shared" si="53"/>
        <v>DKK FOREX</v>
      </c>
      <c r="D686" s="603"/>
      <c r="E686" s="604"/>
      <c r="F686" s="607" t="s">
        <v>21</v>
      </c>
      <c r="G686" s="608">
        <v>0</v>
      </c>
    </row>
    <row r="687" spans="1:7" ht="11.1" customHeight="1">
      <c r="A687" s="600" t="str">
        <f t="shared" si="50"/>
        <v>DKK;DKK FOREX;26Y</v>
      </c>
      <c r="B687" s="600" t="str">
        <f t="shared" si="53"/>
        <v>DKK</v>
      </c>
      <c r="C687" s="600" t="str">
        <f t="shared" si="53"/>
        <v>DKK FOREX</v>
      </c>
      <c r="D687" s="603"/>
      <c r="E687" s="604"/>
      <c r="F687" s="607" t="s">
        <v>42</v>
      </c>
      <c r="G687" s="608">
        <v>0</v>
      </c>
    </row>
    <row r="688" spans="1:7" ht="11.1" customHeight="1">
      <c r="A688" s="600" t="str">
        <f t="shared" si="50"/>
        <v>DKK;DKK FOREX;27Y</v>
      </c>
      <c r="B688" s="600" t="str">
        <f t="shared" si="53"/>
        <v>DKK</v>
      </c>
      <c r="C688" s="600" t="str">
        <f t="shared" si="53"/>
        <v>DKK FOREX</v>
      </c>
      <c r="D688" s="603"/>
      <c r="E688" s="604"/>
      <c r="F688" s="607" t="s">
        <v>43</v>
      </c>
      <c r="G688" s="608">
        <v>0</v>
      </c>
    </row>
    <row r="689" spans="1:7" ht="11.1" customHeight="1">
      <c r="A689" s="600" t="str">
        <f t="shared" si="50"/>
        <v>DKK;DKK FOREX;28Y</v>
      </c>
      <c r="B689" s="600" t="str">
        <f t="shared" si="53"/>
        <v>DKK</v>
      </c>
      <c r="C689" s="600" t="str">
        <f t="shared" si="53"/>
        <v>DKK FOREX</v>
      </c>
      <c r="D689" s="603"/>
      <c r="E689" s="604"/>
      <c r="F689" s="607" t="s">
        <v>44</v>
      </c>
      <c r="G689" s="608">
        <v>0</v>
      </c>
    </row>
    <row r="690" spans="1:7" ht="11.1" customHeight="1">
      <c r="A690" s="600" t="str">
        <f t="shared" si="50"/>
        <v>DKK;DKK FOREX;29Y</v>
      </c>
      <c r="B690" s="600" t="str">
        <f t="shared" si="53"/>
        <v>DKK</v>
      </c>
      <c r="C690" s="600" t="str">
        <f t="shared" si="53"/>
        <v>DKK FOREX</v>
      </c>
      <c r="D690" s="603"/>
      <c r="E690" s="604"/>
      <c r="F690" s="607" t="s">
        <v>45</v>
      </c>
      <c r="G690" s="608">
        <v>0</v>
      </c>
    </row>
    <row r="691" spans="1:7" ht="11.1" customHeight="1">
      <c r="A691" s="600" t="str">
        <f t="shared" si="50"/>
        <v>DKK;DKK FOREX;30Y</v>
      </c>
      <c r="B691" s="600" t="str">
        <f t="shared" si="53"/>
        <v>DKK</v>
      </c>
      <c r="C691" s="600" t="str">
        <f t="shared" si="53"/>
        <v>DKK FOREX</v>
      </c>
      <c r="D691" s="603"/>
      <c r="E691" s="604"/>
      <c r="F691" s="607" t="s">
        <v>22</v>
      </c>
      <c r="G691" s="608">
        <v>0</v>
      </c>
    </row>
    <row r="692" spans="1:7" ht="11.1" customHeight="1">
      <c r="A692" s="600" t="str">
        <f t="shared" si="50"/>
        <v>DKK;DKK OIS;Total DKK OIS</v>
      </c>
      <c r="B692" s="600" t="str">
        <f t="shared" si="53"/>
        <v>DKK</v>
      </c>
      <c r="C692" s="600" t="str">
        <f t="shared" si="53"/>
        <v>DKK OIS</v>
      </c>
      <c r="D692" s="603"/>
      <c r="E692" s="604" t="s">
        <v>3884</v>
      </c>
      <c r="F692" s="605" t="s">
        <v>3885</v>
      </c>
      <c r="G692" s="611">
        <v>465.26532932413397</v>
      </c>
    </row>
    <row r="693" spans="1:7" ht="11.1" customHeight="1">
      <c r="A693" s="600" t="str">
        <f t="shared" si="50"/>
        <v>DKK;DKK OIS;O/N</v>
      </c>
      <c r="B693" s="600" t="str">
        <f t="shared" ref="B693:C708" si="54">IF(ISBLANK(D693),B692,D693)</f>
        <v>DKK</v>
      </c>
      <c r="C693" s="600" t="str">
        <f t="shared" si="54"/>
        <v>DKK OIS</v>
      </c>
      <c r="D693" s="603"/>
      <c r="E693" s="604"/>
      <c r="F693" s="607" t="s">
        <v>3</v>
      </c>
      <c r="G693" s="611">
        <v>1.3005116930495799</v>
      </c>
    </row>
    <row r="694" spans="1:7" ht="11.1" customHeight="1">
      <c r="A694" s="600" t="str">
        <f t="shared" si="50"/>
        <v>DKK;DKK OIS;1M</v>
      </c>
      <c r="B694" s="600" t="str">
        <f t="shared" si="54"/>
        <v>DKK</v>
      </c>
      <c r="C694" s="600" t="str">
        <f t="shared" si="54"/>
        <v>DKK OIS</v>
      </c>
      <c r="D694" s="603"/>
      <c r="E694" s="604"/>
      <c r="F694" s="607" t="s">
        <v>7</v>
      </c>
      <c r="G694" s="611">
        <v>3.5869004911631599</v>
      </c>
    </row>
    <row r="695" spans="1:7" ht="11.1" customHeight="1">
      <c r="A695" s="600" t="str">
        <f t="shared" si="50"/>
        <v>DKK;DKK OIS;2M</v>
      </c>
      <c r="B695" s="600" t="str">
        <f t="shared" si="54"/>
        <v>DKK</v>
      </c>
      <c r="C695" s="600" t="str">
        <f t="shared" si="54"/>
        <v>DKK OIS</v>
      </c>
      <c r="D695" s="603"/>
      <c r="E695" s="604"/>
      <c r="F695" s="607" t="s">
        <v>8</v>
      </c>
      <c r="G695" s="611">
        <v>2.3517743146620398</v>
      </c>
    </row>
    <row r="696" spans="1:7" ht="11.1" customHeight="1">
      <c r="A696" s="600" t="str">
        <f t="shared" si="50"/>
        <v>DKK;DKK OIS;3M</v>
      </c>
      <c r="B696" s="600" t="str">
        <f t="shared" si="54"/>
        <v>DKK</v>
      </c>
      <c r="C696" s="600" t="str">
        <f t="shared" si="54"/>
        <v>DKK OIS</v>
      </c>
      <c r="D696" s="603"/>
      <c r="E696" s="604"/>
      <c r="F696" s="607" t="s">
        <v>25</v>
      </c>
      <c r="G696" s="611">
        <v>6.0121690767138496</v>
      </c>
    </row>
    <row r="697" spans="1:7" ht="11.1" customHeight="1">
      <c r="A697" s="600" t="str">
        <f t="shared" si="50"/>
        <v>DKK;DKK OIS;6M</v>
      </c>
      <c r="B697" s="600" t="str">
        <f t="shared" si="54"/>
        <v>DKK</v>
      </c>
      <c r="C697" s="600" t="str">
        <f t="shared" si="54"/>
        <v>DKK OIS</v>
      </c>
      <c r="D697" s="603"/>
      <c r="E697" s="604"/>
      <c r="F697" s="607" t="s">
        <v>28</v>
      </c>
      <c r="G697" s="611">
        <v>16.957725152971602</v>
      </c>
    </row>
    <row r="698" spans="1:7" ht="11.1" customHeight="1">
      <c r="A698" s="600" t="str">
        <f t="shared" si="50"/>
        <v>DKK;DKK OIS;9M</v>
      </c>
      <c r="B698" s="600" t="str">
        <f t="shared" si="54"/>
        <v>DKK</v>
      </c>
      <c r="C698" s="600" t="str">
        <f t="shared" si="54"/>
        <v>DKK OIS</v>
      </c>
      <c r="D698" s="603"/>
      <c r="E698" s="604"/>
      <c r="F698" s="607" t="s">
        <v>49</v>
      </c>
      <c r="G698" s="611">
        <v>28.522921259635499</v>
      </c>
    </row>
    <row r="699" spans="1:7" ht="11.1" customHeight="1">
      <c r="A699" s="600" t="str">
        <f t="shared" si="50"/>
        <v>DKK;DKK OIS;1Y</v>
      </c>
      <c r="B699" s="600" t="str">
        <f t="shared" si="54"/>
        <v>DKK</v>
      </c>
      <c r="C699" s="600" t="str">
        <f t="shared" si="54"/>
        <v>DKK OIS</v>
      </c>
      <c r="D699" s="603"/>
      <c r="E699" s="604"/>
      <c r="F699" s="607" t="s">
        <v>56</v>
      </c>
      <c r="G699" s="611">
        <v>86.184149309360606</v>
      </c>
    </row>
    <row r="700" spans="1:7" ht="11.1" customHeight="1">
      <c r="A700" s="600" t="str">
        <f t="shared" si="50"/>
        <v>DKK;DKK OIS;2Y</v>
      </c>
      <c r="B700" s="600" t="str">
        <f t="shared" si="54"/>
        <v>DKK</v>
      </c>
      <c r="C700" s="600" t="str">
        <f t="shared" si="54"/>
        <v>DKK OIS</v>
      </c>
      <c r="D700" s="603"/>
      <c r="E700" s="604"/>
      <c r="F700" s="607" t="s">
        <v>9</v>
      </c>
      <c r="G700" s="611">
        <v>155.663862728558</v>
      </c>
    </row>
    <row r="701" spans="1:7" ht="11.1" customHeight="1">
      <c r="A701" s="600" t="str">
        <f t="shared" si="50"/>
        <v>DKK;DKK OIS;3Y</v>
      </c>
      <c r="B701" s="600" t="str">
        <f t="shared" si="54"/>
        <v>DKK</v>
      </c>
      <c r="C701" s="600" t="str">
        <f t="shared" si="54"/>
        <v>DKK OIS</v>
      </c>
      <c r="D701" s="603"/>
      <c r="E701" s="604"/>
      <c r="F701" s="607" t="s">
        <v>10</v>
      </c>
      <c r="G701" s="611">
        <v>127.16281249084599</v>
      </c>
    </row>
    <row r="702" spans="1:7" ht="11.1" customHeight="1">
      <c r="A702" s="600" t="str">
        <f t="shared" si="50"/>
        <v>DKK;DKK OIS;4Y</v>
      </c>
      <c r="B702" s="600" t="str">
        <f t="shared" si="54"/>
        <v>DKK</v>
      </c>
      <c r="C702" s="600" t="str">
        <f t="shared" si="54"/>
        <v>DKK OIS</v>
      </c>
      <c r="D702" s="603"/>
      <c r="E702" s="604"/>
      <c r="F702" s="607" t="s">
        <v>11</v>
      </c>
      <c r="G702" s="611">
        <v>34.882160478591402</v>
      </c>
    </row>
    <row r="703" spans="1:7" ht="11.1" customHeight="1">
      <c r="A703" s="600" t="str">
        <f t="shared" si="50"/>
        <v>DKK;DKK OIS;5Y</v>
      </c>
      <c r="B703" s="600" t="str">
        <f t="shared" si="54"/>
        <v>DKK</v>
      </c>
      <c r="C703" s="600" t="str">
        <f t="shared" si="54"/>
        <v>DKK OIS</v>
      </c>
      <c r="D703" s="603"/>
      <c r="E703" s="604"/>
      <c r="F703" s="607" t="s">
        <v>12</v>
      </c>
      <c r="G703" s="611">
        <v>2.6411574181140902</v>
      </c>
    </row>
    <row r="704" spans="1:7" ht="11.1" customHeight="1">
      <c r="A704" s="600" t="str">
        <f t="shared" si="50"/>
        <v>DKK;DKK OIS;6Y</v>
      </c>
      <c r="B704" s="600" t="str">
        <f t="shared" si="54"/>
        <v>DKK</v>
      </c>
      <c r="C704" s="600" t="str">
        <f t="shared" si="54"/>
        <v>DKK OIS</v>
      </c>
      <c r="D704" s="603"/>
      <c r="E704" s="604"/>
      <c r="F704" s="607" t="s">
        <v>13</v>
      </c>
      <c r="G704" s="606">
        <v>-8.1608974913569801E-4</v>
      </c>
    </row>
    <row r="705" spans="1:7" ht="11.1" customHeight="1">
      <c r="A705" s="600" t="str">
        <f t="shared" si="50"/>
        <v>DKK;DKK OIS;7Y</v>
      </c>
      <c r="B705" s="600" t="str">
        <f t="shared" si="54"/>
        <v>DKK</v>
      </c>
      <c r="C705" s="600" t="str">
        <f t="shared" si="54"/>
        <v>DKK OIS</v>
      </c>
      <c r="D705" s="603"/>
      <c r="E705" s="604"/>
      <c r="F705" s="607" t="s">
        <v>14</v>
      </c>
      <c r="G705" s="611">
        <v>1.0072132406806899E-6</v>
      </c>
    </row>
    <row r="706" spans="1:7" ht="11.1" customHeight="1">
      <c r="A706" s="600" t="str">
        <f t="shared" si="50"/>
        <v>DKK;DKK OIS;8Y</v>
      </c>
      <c r="B706" s="600" t="str">
        <f t="shared" si="54"/>
        <v>DKK</v>
      </c>
      <c r="C706" s="600" t="str">
        <f t="shared" si="54"/>
        <v>DKK OIS</v>
      </c>
      <c r="D706" s="603"/>
      <c r="E706" s="604"/>
      <c r="F706" s="607" t="s">
        <v>15</v>
      </c>
      <c r="G706" s="606">
        <v>-6.9962510532463498E-9</v>
      </c>
    </row>
    <row r="707" spans="1:7" ht="11.1" customHeight="1">
      <c r="A707" s="600" t="str">
        <f t="shared" si="50"/>
        <v>DKK;DKK OIS;9Y</v>
      </c>
      <c r="B707" s="600" t="str">
        <f t="shared" si="54"/>
        <v>DKK</v>
      </c>
      <c r="C707" s="600" t="str">
        <f t="shared" si="54"/>
        <v>DKK OIS</v>
      </c>
      <c r="D707" s="603"/>
      <c r="E707" s="604"/>
      <c r="F707" s="607" t="s">
        <v>16</v>
      </c>
      <c r="G707" s="608">
        <v>0</v>
      </c>
    </row>
    <row r="708" spans="1:7" ht="11.1" customHeight="1">
      <c r="A708" s="600" t="str">
        <f t="shared" si="50"/>
        <v>DKK;DKK OIS;10Y</v>
      </c>
      <c r="B708" s="600" t="str">
        <f t="shared" si="54"/>
        <v>DKK</v>
      </c>
      <c r="C708" s="600" t="str">
        <f t="shared" si="54"/>
        <v>DKK OIS</v>
      </c>
      <c r="D708" s="603"/>
      <c r="E708" s="604"/>
      <c r="F708" s="607" t="s">
        <v>17</v>
      </c>
      <c r="G708" s="608">
        <v>0</v>
      </c>
    </row>
    <row r="709" spans="1:7" ht="11.1" customHeight="1">
      <c r="A709" s="600" t="str">
        <f t="shared" ref="A709:A772" si="55">B709&amp;";"&amp;C709&amp;";"&amp;F709</f>
        <v>DKK;DKK OIS;12Y</v>
      </c>
      <c r="B709" s="600" t="str">
        <f t="shared" ref="B709:C724" si="56">IF(ISBLANK(D709),B708,D709)</f>
        <v>DKK</v>
      </c>
      <c r="C709" s="600" t="str">
        <f t="shared" si="56"/>
        <v>DKK OIS</v>
      </c>
      <c r="D709" s="603"/>
      <c r="E709" s="604"/>
      <c r="F709" s="607" t="s">
        <v>18</v>
      </c>
      <c r="G709" s="608">
        <v>0</v>
      </c>
    </row>
    <row r="710" spans="1:7" ht="11.1" customHeight="1">
      <c r="A710" s="600" t="str">
        <f t="shared" si="55"/>
        <v>DKK;DKK OIS;15Y</v>
      </c>
      <c r="B710" s="600" t="str">
        <f t="shared" si="56"/>
        <v>DKK</v>
      </c>
      <c r="C710" s="600" t="str">
        <f t="shared" si="56"/>
        <v>DKK OIS</v>
      </c>
      <c r="D710" s="603"/>
      <c r="E710" s="604"/>
      <c r="F710" s="607" t="s">
        <v>19</v>
      </c>
      <c r="G710" s="608">
        <v>0</v>
      </c>
    </row>
    <row r="711" spans="1:7" ht="11.1" customHeight="1">
      <c r="A711" s="600" t="str">
        <f t="shared" si="55"/>
        <v>DKK;DKK OIS;20Y</v>
      </c>
      <c r="B711" s="600" t="str">
        <f t="shared" si="56"/>
        <v>DKK</v>
      </c>
      <c r="C711" s="600" t="str">
        <f t="shared" si="56"/>
        <v>DKK OIS</v>
      </c>
      <c r="D711" s="603"/>
      <c r="E711" s="604"/>
      <c r="F711" s="607" t="s">
        <v>20</v>
      </c>
      <c r="G711" s="608">
        <v>0</v>
      </c>
    </row>
    <row r="712" spans="1:7" ht="11.1" customHeight="1">
      <c r="A712" s="600" t="str">
        <f t="shared" si="55"/>
        <v>DKK;DKK OIS;25Y</v>
      </c>
      <c r="B712" s="600" t="str">
        <f t="shared" si="56"/>
        <v>DKK</v>
      </c>
      <c r="C712" s="600" t="str">
        <f t="shared" si="56"/>
        <v>DKK OIS</v>
      </c>
      <c r="D712" s="603"/>
      <c r="E712" s="604"/>
      <c r="F712" s="607" t="s">
        <v>21</v>
      </c>
      <c r="G712" s="608">
        <v>0</v>
      </c>
    </row>
    <row r="713" spans="1:7" ht="11.1" customHeight="1">
      <c r="A713" s="600" t="str">
        <f t="shared" si="55"/>
        <v>DKK;DKK OIS;30Y</v>
      </c>
      <c r="B713" s="600" t="str">
        <f t="shared" si="56"/>
        <v>DKK</v>
      </c>
      <c r="C713" s="600" t="str">
        <f t="shared" si="56"/>
        <v>DKK OIS</v>
      </c>
      <c r="D713" s="603"/>
      <c r="E713" s="604"/>
      <c r="F713" s="607" t="s">
        <v>22</v>
      </c>
      <c r="G713" s="608">
        <v>0</v>
      </c>
    </row>
    <row r="714" spans="1:7" ht="11.1" customHeight="1">
      <c r="A714" s="600" t="str">
        <f t="shared" si="55"/>
        <v>EUR;Total EUR;</v>
      </c>
      <c r="B714" s="600" t="str">
        <f t="shared" si="56"/>
        <v>EUR</v>
      </c>
      <c r="C714" s="600" t="str">
        <f t="shared" si="56"/>
        <v>Total EUR</v>
      </c>
      <c r="D714" s="603" t="s">
        <v>208</v>
      </c>
      <c r="E714" s="609" t="s">
        <v>640</v>
      </c>
      <c r="F714" s="609"/>
      <c r="G714" s="612">
        <v>-60597.369144091303</v>
      </c>
    </row>
    <row r="715" spans="1:7" ht="11.1" customHeight="1">
      <c r="A715" s="600" t="str">
        <f t="shared" si="55"/>
        <v>EUR;EUR 1M;Total EUR 1M</v>
      </c>
      <c r="B715" s="600" t="str">
        <f t="shared" si="56"/>
        <v>EUR</v>
      </c>
      <c r="C715" s="600" t="str">
        <f t="shared" si="56"/>
        <v>EUR 1M</v>
      </c>
      <c r="D715" s="603"/>
      <c r="E715" s="604" t="s">
        <v>195</v>
      </c>
      <c r="F715" s="605" t="s">
        <v>641</v>
      </c>
      <c r="G715" s="606">
        <v>-23548.455443388801</v>
      </c>
    </row>
    <row r="716" spans="1:7" ht="11.1" customHeight="1">
      <c r="A716" s="600" t="str">
        <f t="shared" si="55"/>
        <v>EUR;EUR 1M;S/N</v>
      </c>
      <c r="B716" s="600" t="str">
        <f t="shared" si="56"/>
        <v>EUR</v>
      </c>
      <c r="C716" s="600" t="str">
        <f t="shared" si="56"/>
        <v>EUR 1M</v>
      </c>
      <c r="D716" s="603"/>
      <c r="E716" s="604"/>
      <c r="F716" s="607" t="s">
        <v>23</v>
      </c>
      <c r="G716" s="611">
        <v>122.96990494586299</v>
      </c>
    </row>
    <row r="717" spans="1:7" ht="11.1" customHeight="1">
      <c r="A717" s="600" t="str">
        <f t="shared" si="55"/>
        <v>EUR;EUR 1M;1W</v>
      </c>
      <c r="B717" s="600" t="str">
        <f t="shared" si="56"/>
        <v>EUR</v>
      </c>
      <c r="C717" s="600" t="str">
        <f t="shared" si="56"/>
        <v>EUR 1M</v>
      </c>
      <c r="D717" s="603"/>
      <c r="E717" s="604"/>
      <c r="F717" s="607" t="s">
        <v>5</v>
      </c>
      <c r="G717" s="611">
        <v>1302.1294182797899</v>
      </c>
    </row>
    <row r="718" spans="1:7" ht="11.1" customHeight="1">
      <c r="A718" s="600" t="str">
        <f t="shared" si="55"/>
        <v>EUR;EUR 1M;2W</v>
      </c>
      <c r="B718" s="600" t="str">
        <f t="shared" si="56"/>
        <v>EUR</v>
      </c>
      <c r="C718" s="600" t="str">
        <f t="shared" si="56"/>
        <v>EUR 1M</v>
      </c>
      <c r="D718" s="603"/>
      <c r="E718" s="604"/>
      <c r="F718" s="607" t="s">
        <v>6</v>
      </c>
      <c r="G718" s="606">
        <v>-226.32215908740201</v>
      </c>
    </row>
    <row r="719" spans="1:7" ht="11.1" customHeight="1">
      <c r="A719" s="600" t="str">
        <f t="shared" si="55"/>
        <v>EUR;EUR 1M;3W</v>
      </c>
      <c r="B719" s="600" t="str">
        <f t="shared" si="56"/>
        <v>EUR</v>
      </c>
      <c r="C719" s="600" t="str">
        <f t="shared" si="56"/>
        <v>EUR 1M</v>
      </c>
      <c r="D719" s="603"/>
      <c r="E719" s="604"/>
      <c r="F719" s="607" t="s">
        <v>24</v>
      </c>
      <c r="G719" s="606">
        <v>-2522.5541137574101</v>
      </c>
    </row>
    <row r="720" spans="1:7" ht="11.1" customHeight="1">
      <c r="A720" s="600" t="str">
        <f t="shared" si="55"/>
        <v>EUR;EUR 1M;1M</v>
      </c>
      <c r="B720" s="600" t="str">
        <f t="shared" si="56"/>
        <v>EUR</v>
      </c>
      <c r="C720" s="600" t="str">
        <f t="shared" si="56"/>
        <v>EUR 1M</v>
      </c>
      <c r="D720" s="603"/>
      <c r="E720" s="604"/>
      <c r="F720" s="607" t="s">
        <v>7</v>
      </c>
      <c r="G720" s="611">
        <v>2804.2292034340999</v>
      </c>
    </row>
    <row r="721" spans="1:7" ht="11.1" customHeight="1">
      <c r="A721" s="600" t="str">
        <f t="shared" si="55"/>
        <v>EUR;EUR 1M;2M</v>
      </c>
      <c r="B721" s="600" t="str">
        <f t="shared" si="56"/>
        <v>EUR</v>
      </c>
      <c r="C721" s="600" t="str">
        <f t="shared" si="56"/>
        <v>EUR 1M</v>
      </c>
      <c r="D721" s="603"/>
      <c r="E721" s="604"/>
      <c r="F721" s="607" t="s">
        <v>8</v>
      </c>
      <c r="G721" s="606">
        <v>-874.17247072345504</v>
      </c>
    </row>
    <row r="722" spans="1:7" ht="11.1" customHeight="1">
      <c r="A722" s="600" t="str">
        <f t="shared" si="55"/>
        <v>EUR;EUR 1M;3M</v>
      </c>
      <c r="B722" s="600" t="str">
        <f t="shared" si="56"/>
        <v>EUR</v>
      </c>
      <c r="C722" s="600" t="str">
        <f t="shared" si="56"/>
        <v>EUR 1M</v>
      </c>
      <c r="D722" s="603"/>
      <c r="E722" s="604"/>
      <c r="F722" s="607" t="s">
        <v>25</v>
      </c>
      <c r="G722" s="606">
        <v>-624.58080266680702</v>
      </c>
    </row>
    <row r="723" spans="1:7" ht="11.1" customHeight="1">
      <c r="A723" s="600" t="str">
        <f t="shared" si="55"/>
        <v>EUR;EUR 1M;4M</v>
      </c>
      <c r="B723" s="600" t="str">
        <f t="shared" si="56"/>
        <v>EUR</v>
      </c>
      <c r="C723" s="600" t="str">
        <f t="shared" si="56"/>
        <v>EUR 1M</v>
      </c>
      <c r="D723" s="603"/>
      <c r="E723" s="604"/>
      <c r="F723" s="607" t="s">
        <v>26</v>
      </c>
      <c r="G723" s="606">
        <v>-2933.24458425074</v>
      </c>
    </row>
    <row r="724" spans="1:7" ht="11.1" customHeight="1">
      <c r="A724" s="600" t="str">
        <f t="shared" si="55"/>
        <v>EUR;EUR 1M;5M</v>
      </c>
      <c r="B724" s="600" t="str">
        <f t="shared" si="56"/>
        <v>EUR</v>
      </c>
      <c r="C724" s="600" t="str">
        <f t="shared" si="56"/>
        <v>EUR 1M</v>
      </c>
      <c r="D724" s="603"/>
      <c r="E724" s="604"/>
      <c r="F724" s="607" t="s">
        <v>27</v>
      </c>
      <c r="G724" s="611">
        <v>930.42418436719299</v>
      </c>
    </row>
    <row r="725" spans="1:7" ht="11.1" customHeight="1">
      <c r="A725" s="600" t="str">
        <f t="shared" si="55"/>
        <v>EUR;EUR 1M;6M</v>
      </c>
      <c r="B725" s="600" t="str">
        <f t="shared" ref="B725:C740" si="57">IF(ISBLANK(D725),B724,D725)</f>
        <v>EUR</v>
      </c>
      <c r="C725" s="600" t="str">
        <f t="shared" si="57"/>
        <v>EUR 1M</v>
      </c>
      <c r="D725" s="603"/>
      <c r="E725" s="604"/>
      <c r="F725" s="607" t="s">
        <v>28</v>
      </c>
      <c r="G725" s="611">
        <v>1478.6638414945801</v>
      </c>
    </row>
    <row r="726" spans="1:7" ht="11.1" customHeight="1">
      <c r="A726" s="600" t="str">
        <f t="shared" si="55"/>
        <v>EUR;EUR 1M;7M</v>
      </c>
      <c r="B726" s="600" t="str">
        <f t="shared" si="57"/>
        <v>EUR</v>
      </c>
      <c r="C726" s="600" t="str">
        <f t="shared" si="57"/>
        <v>EUR 1M</v>
      </c>
      <c r="D726" s="603"/>
      <c r="E726" s="604"/>
      <c r="F726" s="607" t="s">
        <v>29</v>
      </c>
      <c r="G726" s="606">
        <v>-5840.4986884384098</v>
      </c>
    </row>
    <row r="727" spans="1:7" ht="11.1" customHeight="1">
      <c r="A727" s="600" t="str">
        <f t="shared" si="55"/>
        <v>EUR;EUR 1M;8M</v>
      </c>
      <c r="B727" s="600" t="str">
        <f t="shared" si="57"/>
        <v>EUR</v>
      </c>
      <c r="C727" s="600" t="str">
        <f t="shared" si="57"/>
        <v>EUR 1M</v>
      </c>
      <c r="D727" s="603"/>
      <c r="E727" s="604"/>
      <c r="F727" s="607" t="s">
        <v>30</v>
      </c>
      <c r="G727" s="611">
        <v>5846.6164206244803</v>
      </c>
    </row>
    <row r="728" spans="1:7" ht="11.1" customHeight="1">
      <c r="A728" s="600" t="str">
        <f t="shared" si="55"/>
        <v>EUR;EUR 1M;9M</v>
      </c>
      <c r="B728" s="600" t="str">
        <f t="shared" si="57"/>
        <v>EUR</v>
      </c>
      <c r="C728" s="600" t="str">
        <f t="shared" si="57"/>
        <v>EUR 1M</v>
      </c>
      <c r="D728" s="603"/>
      <c r="E728" s="604"/>
      <c r="F728" s="607" t="s">
        <v>49</v>
      </c>
      <c r="G728" s="606">
        <v>-3834.4889431023898</v>
      </c>
    </row>
    <row r="729" spans="1:7" ht="11.1" customHeight="1">
      <c r="A729" s="600" t="str">
        <f t="shared" si="55"/>
        <v>EUR;EUR 1M;10M</v>
      </c>
      <c r="B729" s="600" t="str">
        <f t="shared" si="57"/>
        <v>EUR</v>
      </c>
      <c r="C729" s="600" t="str">
        <f t="shared" si="57"/>
        <v>EUR 1M</v>
      </c>
      <c r="D729" s="603"/>
      <c r="E729" s="604"/>
      <c r="F729" s="607" t="s">
        <v>50</v>
      </c>
      <c r="G729" s="606">
        <v>-3470.4979195719102</v>
      </c>
    </row>
    <row r="730" spans="1:7" ht="11.1" customHeight="1">
      <c r="A730" s="600" t="str">
        <f t="shared" si="55"/>
        <v>EUR;EUR 1M;11M</v>
      </c>
      <c r="B730" s="600" t="str">
        <f t="shared" si="57"/>
        <v>EUR</v>
      </c>
      <c r="C730" s="600" t="str">
        <f t="shared" si="57"/>
        <v>EUR 1M</v>
      </c>
      <c r="D730" s="603"/>
      <c r="E730" s="604"/>
      <c r="F730" s="607" t="s">
        <v>51</v>
      </c>
      <c r="G730" s="611">
        <v>4416.2067091142999</v>
      </c>
    </row>
    <row r="731" spans="1:7" ht="11.1" customHeight="1">
      <c r="A731" s="600" t="str">
        <f t="shared" si="55"/>
        <v>EUR;EUR 1M;12M</v>
      </c>
      <c r="B731" s="600" t="str">
        <f t="shared" si="57"/>
        <v>EUR</v>
      </c>
      <c r="C731" s="600" t="str">
        <f t="shared" si="57"/>
        <v>EUR 1M</v>
      </c>
      <c r="D731" s="603"/>
      <c r="E731" s="604"/>
      <c r="F731" s="607" t="s">
        <v>52</v>
      </c>
      <c r="G731" s="606">
        <v>-3238.7967676090502</v>
      </c>
    </row>
    <row r="732" spans="1:7" ht="11.1" customHeight="1">
      <c r="A732" s="600" t="str">
        <f t="shared" si="55"/>
        <v>EUR;EUR 1M;15M</v>
      </c>
      <c r="B732" s="600" t="str">
        <f t="shared" si="57"/>
        <v>EUR</v>
      </c>
      <c r="C732" s="600" t="str">
        <f t="shared" si="57"/>
        <v>EUR 1M</v>
      </c>
      <c r="D732" s="603"/>
      <c r="E732" s="604"/>
      <c r="F732" s="607" t="s">
        <v>53</v>
      </c>
      <c r="G732" s="606">
        <v>-2069.7986788017201</v>
      </c>
    </row>
    <row r="733" spans="1:7" ht="11.1" customHeight="1">
      <c r="A733" s="600" t="str">
        <f t="shared" si="55"/>
        <v>EUR;EUR 1M;18M</v>
      </c>
      <c r="B733" s="600" t="str">
        <f t="shared" si="57"/>
        <v>EUR</v>
      </c>
      <c r="C733" s="600" t="str">
        <f t="shared" si="57"/>
        <v>EUR 1M</v>
      </c>
      <c r="D733" s="603"/>
      <c r="E733" s="604"/>
      <c r="F733" s="607" t="s">
        <v>54</v>
      </c>
      <c r="G733" s="606">
        <v>-9868.2128932927099</v>
      </c>
    </row>
    <row r="734" spans="1:7" ht="11.1" customHeight="1">
      <c r="A734" s="600" t="str">
        <f t="shared" si="55"/>
        <v>EUR;EUR 1M;21M</v>
      </c>
      <c r="B734" s="600" t="str">
        <f t="shared" si="57"/>
        <v>EUR</v>
      </c>
      <c r="C734" s="600" t="str">
        <f t="shared" si="57"/>
        <v>EUR 1M</v>
      </c>
      <c r="D734" s="603"/>
      <c r="E734" s="604"/>
      <c r="F734" s="607" t="s">
        <v>55</v>
      </c>
      <c r="G734" s="611">
        <v>10448.226999991301</v>
      </c>
    </row>
    <row r="735" spans="1:7" ht="11.1" customHeight="1">
      <c r="A735" s="600" t="str">
        <f t="shared" si="55"/>
        <v>EUR;EUR 1M;2Y</v>
      </c>
      <c r="B735" s="600" t="str">
        <f t="shared" si="57"/>
        <v>EUR</v>
      </c>
      <c r="C735" s="600" t="str">
        <f t="shared" si="57"/>
        <v>EUR 1M</v>
      </c>
      <c r="D735" s="603"/>
      <c r="E735" s="604"/>
      <c r="F735" s="607" t="s">
        <v>9</v>
      </c>
      <c r="G735" s="606">
        <v>-4222.8477210135397</v>
      </c>
    </row>
    <row r="736" spans="1:7" ht="11.1" customHeight="1">
      <c r="A736" s="600" t="str">
        <f t="shared" si="55"/>
        <v>EUR;EUR 1M;2Y3M</v>
      </c>
      <c r="B736" s="600" t="str">
        <f t="shared" si="57"/>
        <v>EUR</v>
      </c>
      <c r="C736" s="600" t="str">
        <f t="shared" si="57"/>
        <v>EUR 1M</v>
      </c>
      <c r="D736" s="603"/>
      <c r="E736" s="604"/>
      <c r="F736" s="607" t="s">
        <v>97</v>
      </c>
      <c r="G736" s="611">
        <v>537.32470455294595</v>
      </c>
    </row>
    <row r="737" spans="1:7" ht="11.1" customHeight="1">
      <c r="A737" s="600" t="str">
        <f t="shared" si="55"/>
        <v>EUR;EUR 1M;2Y6M</v>
      </c>
      <c r="B737" s="600" t="str">
        <f t="shared" si="57"/>
        <v>EUR</v>
      </c>
      <c r="C737" s="600" t="str">
        <f t="shared" si="57"/>
        <v>EUR 1M</v>
      </c>
      <c r="D737" s="603"/>
      <c r="E737" s="604"/>
      <c r="F737" s="607" t="s">
        <v>98</v>
      </c>
      <c r="G737" s="611">
        <v>3866.5303755885202</v>
      </c>
    </row>
    <row r="738" spans="1:7" ht="11.1" customHeight="1">
      <c r="A738" s="600" t="str">
        <f t="shared" si="55"/>
        <v>EUR;EUR 1M;2Y9M</v>
      </c>
      <c r="B738" s="600" t="str">
        <f t="shared" si="57"/>
        <v>EUR</v>
      </c>
      <c r="C738" s="600" t="str">
        <f t="shared" si="57"/>
        <v>EUR 1M</v>
      </c>
      <c r="D738" s="603"/>
      <c r="E738" s="604"/>
      <c r="F738" s="607" t="s">
        <v>99</v>
      </c>
      <c r="G738" s="606">
        <v>-1526.9260425745499</v>
      </c>
    </row>
    <row r="739" spans="1:7" ht="11.1" customHeight="1">
      <c r="A739" s="600" t="str">
        <f t="shared" si="55"/>
        <v>EUR;EUR 1M;3Y</v>
      </c>
      <c r="B739" s="600" t="str">
        <f t="shared" si="57"/>
        <v>EUR</v>
      </c>
      <c r="C739" s="600" t="str">
        <f t="shared" si="57"/>
        <v>EUR 1M</v>
      </c>
      <c r="D739" s="603"/>
      <c r="E739" s="604"/>
      <c r="F739" s="607" t="s">
        <v>10</v>
      </c>
      <c r="G739" s="611">
        <v>4800.2280671111002</v>
      </c>
    </row>
    <row r="740" spans="1:7" ht="11.1" customHeight="1">
      <c r="A740" s="600" t="str">
        <f t="shared" si="55"/>
        <v>EUR;EUR 1M;4Y</v>
      </c>
      <c r="B740" s="600" t="str">
        <f t="shared" si="57"/>
        <v>EUR</v>
      </c>
      <c r="C740" s="600" t="str">
        <f t="shared" si="57"/>
        <v>EUR 1M</v>
      </c>
      <c r="D740" s="603"/>
      <c r="E740" s="604"/>
      <c r="F740" s="607" t="s">
        <v>11</v>
      </c>
      <c r="G740" s="606">
        <v>-6144.0978926827902</v>
      </c>
    </row>
    <row r="741" spans="1:7" ht="11.1" customHeight="1">
      <c r="A741" s="600" t="str">
        <f t="shared" si="55"/>
        <v>EUR;EUR 1M;5Y</v>
      </c>
      <c r="B741" s="600" t="str">
        <f t="shared" ref="B741:C756" si="58">IF(ISBLANK(D741),B740,D741)</f>
        <v>EUR</v>
      </c>
      <c r="C741" s="600" t="str">
        <f t="shared" si="58"/>
        <v>EUR 1M</v>
      </c>
      <c r="D741" s="603"/>
      <c r="E741" s="604"/>
      <c r="F741" s="607" t="s">
        <v>12</v>
      </c>
      <c r="G741" s="606">
        <v>-9030.7303297496092</v>
      </c>
    </row>
    <row r="742" spans="1:7" ht="11.1" customHeight="1">
      <c r="A742" s="600" t="str">
        <f t="shared" si="55"/>
        <v>EUR;EUR 1M;6Y</v>
      </c>
      <c r="B742" s="600" t="str">
        <f t="shared" si="58"/>
        <v>EUR</v>
      </c>
      <c r="C742" s="600" t="str">
        <f t="shared" si="58"/>
        <v>EUR 1M</v>
      </c>
      <c r="D742" s="603"/>
      <c r="E742" s="604"/>
      <c r="F742" s="607" t="s">
        <v>13</v>
      </c>
      <c r="G742" s="606">
        <v>-599.282450301111</v>
      </c>
    </row>
    <row r="743" spans="1:7" ht="11.1" customHeight="1">
      <c r="A743" s="600" t="str">
        <f t="shared" si="55"/>
        <v>EUR;EUR 1M;7Y</v>
      </c>
      <c r="B743" s="600" t="str">
        <f t="shared" si="58"/>
        <v>EUR</v>
      </c>
      <c r="C743" s="600" t="str">
        <f t="shared" si="58"/>
        <v>EUR 1M</v>
      </c>
      <c r="D743" s="603"/>
      <c r="E743" s="604"/>
      <c r="F743" s="607" t="s">
        <v>14</v>
      </c>
      <c r="G743" s="611">
        <v>1497.19335187301</v>
      </c>
    </row>
    <row r="744" spans="1:7" ht="11.1" customHeight="1">
      <c r="A744" s="600" t="str">
        <f t="shared" si="55"/>
        <v>EUR;EUR 1M;8Y</v>
      </c>
      <c r="B744" s="600" t="str">
        <f t="shared" si="58"/>
        <v>EUR</v>
      </c>
      <c r="C744" s="600" t="str">
        <f t="shared" si="58"/>
        <v>EUR 1M</v>
      </c>
      <c r="D744" s="603"/>
      <c r="E744" s="604"/>
      <c r="F744" s="607" t="s">
        <v>15</v>
      </c>
      <c r="G744" s="611">
        <v>10935.487610640301</v>
      </c>
    </row>
    <row r="745" spans="1:7" ht="11.1" customHeight="1">
      <c r="A745" s="600" t="str">
        <f t="shared" si="55"/>
        <v>EUR;EUR 1M;9Y</v>
      </c>
      <c r="B745" s="600" t="str">
        <f t="shared" si="58"/>
        <v>EUR</v>
      </c>
      <c r="C745" s="600" t="str">
        <f t="shared" si="58"/>
        <v>EUR 1M</v>
      </c>
      <c r="D745" s="603"/>
      <c r="E745" s="604"/>
      <c r="F745" s="607" t="s">
        <v>16</v>
      </c>
      <c r="G745" s="606">
        <v>-64294.064739210698</v>
      </c>
    </row>
    <row r="746" spans="1:7" ht="11.1" customHeight="1">
      <c r="A746" s="600" t="str">
        <f t="shared" si="55"/>
        <v>EUR;EUR 1M;10Y</v>
      </c>
      <c r="B746" s="600" t="str">
        <f t="shared" si="58"/>
        <v>EUR</v>
      </c>
      <c r="C746" s="600" t="str">
        <f t="shared" si="58"/>
        <v>EUR 1M</v>
      </c>
      <c r="D746" s="603"/>
      <c r="E746" s="604"/>
      <c r="F746" s="607" t="s">
        <v>17</v>
      </c>
      <c r="G746" s="606">
        <v>-22709.083387828901</v>
      </c>
    </row>
    <row r="747" spans="1:7" ht="11.1" customHeight="1">
      <c r="A747" s="600" t="str">
        <f t="shared" si="55"/>
        <v>EUR;EUR 1M;11Y</v>
      </c>
      <c r="B747" s="600" t="str">
        <f t="shared" si="58"/>
        <v>EUR</v>
      </c>
      <c r="C747" s="600" t="str">
        <f t="shared" si="58"/>
        <v>EUR 1M</v>
      </c>
      <c r="D747" s="603"/>
      <c r="E747" s="604"/>
      <c r="F747" s="607" t="s">
        <v>31</v>
      </c>
      <c r="G747" s="611">
        <v>165999.65515405501</v>
      </c>
    </row>
    <row r="748" spans="1:7" ht="11.1" customHeight="1">
      <c r="A748" s="600" t="str">
        <f t="shared" si="55"/>
        <v>EUR;EUR 1M;12Y</v>
      </c>
      <c r="B748" s="600" t="str">
        <f t="shared" si="58"/>
        <v>EUR</v>
      </c>
      <c r="C748" s="600" t="str">
        <f t="shared" si="58"/>
        <v>EUR 1M</v>
      </c>
      <c r="D748" s="603"/>
      <c r="E748" s="604"/>
      <c r="F748" s="607" t="s">
        <v>18</v>
      </c>
      <c r="G748" s="606">
        <v>-56614.123880405998</v>
      </c>
    </row>
    <row r="749" spans="1:7" ht="11.1" customHeight="1">
      <c r="A749" s="600" t="str">
        <f t="shared" si="55"/>
        <v>EUR;EUR 1M;13Y</v>
      </c>
      <c r="B749" s="600" t="str">
        <f t="shared" si="58"/>
        <v>EUR</v>
      </c>
      <c r="C749" s="600" t="str">
        <f t="shared" si="58"/>
        <v>EUR 1M</v>
      </c>
      <c r="D749" s="603"/>
      <c r="E749" s="604"/>
      <c r="F749" s="607" t="s">
        <v>32</v>
      </c>
      <c r="G749" s="606">
        <v>-29487.523899883399</v>
      </c>
    </row>
    <row r="750" spans="1:7" ht="11.1" customHeight="1">
      <c r="A750" s="600" t="str">
        <f t="shared" si="55"/>
        <v>EUR;EUR 1M;14Y</v>
      </c>
      <c r="B750" s="600" t="str">
        <f t="shared" si="58"/>
        <v>EUR</v>
      </c>
      <c r="C750" s="600" t="str">
        <f t="shared" si="58"/>
        <v>EUR 1M</v>
      </c>
      <c r="D750" s="603"/>
      <c r="E750" s="604"/>
      <c r="F750" s="607" t="s">
        <v>33</v>
      </c>
      <c r="G750" s="606">
        <v>-18179.723898906599</v>
      </c>
    </row>
    <row r="751" spans="1:7" ht="11.1" customHeight="1">
      <c r="A751" s="600" t="str">
        <f t="shared" si="55"/>
        <v>EUR;EUR 1M;15Y</v>
      </c>
      <c r="B751" s="600" t="str">
        <f t="shared" si="58"/>
        <v>EUR</v>
      </c>
      <c r="C751" s="600" t="str">
        <f t="shared" si="58"/>
        <v>EUR 1M</v>
      </c>
      <c r="D751" s="603"/>
      <c r="E751" s="604"/>
      <c r="F751" s="607" t="s">
        <v>19</v>
      </c>
      <c r="G751" s="606">
        <v>-23433.102846004</v>
      </c>
    </row>
    <row r="752" spans="1:7" ht="11.1" customHeight="1">
      <c r="A752" s="600" t="str">
        <f t="shared" si="55"/>
        <v>EUR;EUR 1M;16Y</v>
      </c>
      <c r="B752" s="600" t="str">
        <f t="shared" si="58"/>
        <v>EUR</v>
      </c>
      <c r="C752" s="600" t="str">
        <f t="shared" si="58"/>
        <v>EUR 1M</v>
      </c>
      <c r="D752" s="603"/>
      <c r="E752" s="604"/>
      <c r="F752" s="607" t="s">
        <v>34</v>
      </c>
      <c r="G752" s="611">
        <v>22928.154175529799</v>
      </c>
    </row>
    <row r="753" spans="1:7" ht="11.1" customHeight="1">
      <c r="A753" s="600" t="str">
        <f t="shared" si="55"/>
        <v>EUR;EUR 1M;17Y</v>
      </c>
      <c r="B753" s="600" t="str">
        <f t="shared" si="58"/>
        <v>EUR</v>
      </c>
      <c r="C753" s="600" t="str">
        <f t="shared" si="58"/>
        <v>EUR 1M</v>
      </c>
      <c r="D753" s="603"/>
      <c r="E753" s="604"/>
      <c r="F753" s="607" t="s">
        <v>35</v>
      </c>
      <c r="G753" s="611">
        <v>8323.4482101735794</v>
      </c>
    </row>
    <row r="754" spans="1:7" ht="11.1" customHeight="1">
      <c r="A754" s="600" t="str">
        <f t="shared" si="55"/>
        <v>EUR;EUR 1M;18Y</v>
      </c>
      <c r="B754" s="600" t="str">
        <f t="shared" si="58"/>
        <v>EUR</v>
      </c>
      <c r="C754" s="600" t="str">
        <f t="shared" si="58"/>
        <v>EUR 1M</v>
      </c>
      <c r="D754" s="603"/>
      <c r="E754" s="604"/>
      <c r="F754" s="607" t="s">
        <v>36</v>
      </c>
      <c r="G754" s="606">
        <v>-11560.0898545132</v>
      </c>
    </row>
    <row r="755" spans="1:7" ht="11.1" customHeight="1">
      <c r="A755" s="600" t="str">
        <f t="shared" si="55"/>
        <v>EUR;EUR 1M;19Y</v>
      </c>
      <c r="B755" s="600" t="str">
        <f t="shared" si="58"/>
        <v>EUR</v>
      </c>
      <c r="C755" s="600" t="str">
        <f t="shared" si="58"/>
        <v>EUR 1M</v>
      </c>
      <c r="D755" s="603"/>
      <c r="E755" s="604"/>
      <c r="F755" s="607" t="s">
        <v>37</v>
      </c>
      <c r="G755" s="606">
        <v>-15819.463837727701</v>
      </c>
    </row>
    <row r="756" spans="1:7" ht="11.1" customHeight="1">
      <c r="A756" s="600" t="str">
        <f t="shared" si="55"/>
        <v>EUR;EUR 1M;20Y</v>
      </c>
      <c r="B756" s="600" t="str">
        <f t="shared" si="58"/>
        <v>EUR</v>
      </c>
      <c r="C756" s="600" t="str">
        <f t="shared" si="58"/>
        <v>EUR 1M</v>
      </c>
      <c r="D756" s="603"/>
      <c r="E756" s="604"/>
      <c r="F756" s="607" t="s">
        <v>20</v>
      </c>
      <c r="G756" s="606">
        <v>-19482.4483390063</v>
      </c>
    </row>
    <row r="757" spans="1:7" ht="11.1" customHeight="1">
      <c r="A757" s="600" t="str">
        <f t="shared" si="55"/>
        <v>EUR;EUR 1M;21Y</v>
      </c>
      <c r="B757" s="600" t="str">
        <f t="shared" ref="B757:C772" si="59">IF(ISBLANK(D757),B756,D757)</f>
        <v>EUR</v>
      </c>
      <c r="C757" s="600" t="str">
        <f t="shared" si="59"/>
        <v>EUR 1M</v>
      </c>
      <c r="D757" s="603"/>
      <c r="E757" s="604"/>
      <c r="F757" s="607" t="s">
        <v>38</v>
      </c>
      <c r="G757" s="611">
        <v>16456.237811994601</v>
      </c>
    </row>
    <row r="758" spans="1:7" ht="11.1" customHeight="1">
      <c r="A758" s="600" t="str">
        <f t="shared" si="55"/>
        <v>EUR;EUR 1M;22Y</v>
      </c>
      <c r="B758" s="600" t="str">
        <f t="shared" si="59"/>
        <v>EUR</v>
      </c>
      <c r="C758" s="600" t="str">
        <f t="shared" si="59"/>
        <v>EUR 1M</v>
      </c>
      <c r="D758" s="603"/>
      <c r="E758" s="604"/>
      <c r="F758" s="607" t="s">
        <v>39</v>
      </c>
      <c r="G758" s="611">
        <v>37242.8134750963</v>
      </c>
    </row>
    <row r="759" spans="1:7" ht="11.1" customHeight="1">
      <c r="A759" s="600" t="str">
        <f t="shared" si="55"/>
        <v>EUR;EUR 1M;23Y</v>
      </c>
      <c r="B759" s="600" t="str">
        <f t="shared" si="59"/>
        <v>EUR</v>
      </c>
      <c r="C759" s="600" t="str">
        <f t="shared" si="59"/>
        <v>EUR 1M</v>
      </c>
      <c r="D759" s="603"/>
      <c r="E759" s="604"/>
      <c r="F759" s="607" t="s">
        <v>40</v>
      </c>
      <c r="G759" s="606">
        <v>-6521.3019414986702</v>
      </c>
    </row>
    <row r="760" spans="1:7" ht="11.1" customHeight="1">
      <c r="A760" s="600" t="str">
        <f t="shared" si="55"/>
        <v>EUR;EUR 1M;24Y</v>
      </c>
      <c r="B760" s="600" t="str">
        <f t="shared" si="59"/>
        <v>EUR</v>
      </c>
      <c r="C760" s="600" t="str">
        <f t="shared" si="59"/>
        <v>EUR 1M</v>
      </c>
      <c r="D760" s="603"/>
      <c r="E760" s="604"/>
      <c r="F760" s="607" t="s">
        <v>41</v>
      </c>
      <c r="G760" s="611">
        <v>272.30455508405402</v>
      </c>
    </row>
    <row r="761" spans="1:7" ht="11.1" customHeight="1">
      <c r="A761" s="600" t="str">
        <f t="shared" si="55"/>
        <v>EUR;EUR 1M;25Y</v>
      </c>
      <c r="B761" s="600" t="str">
        <f t="shared" si="59"/>
        <v>EUR</v>
      </c>
      <c r="C761" s="600" t="str">
        <f t="shared" si="59"/>
        <v>EUR 1M</v>
      </c>
      <c r="D761" s="603"/>
      <c r="E761" s="604"/>
      <c r="F761" s="607" t="s">
        <v>21</v>
      </c>
      <c r="G761" s="611">
        <v>9832.04622788503</v>
      </c>
    </row>
    <row r="762" spans="1:7" ht="11.1" customHeight="1">
      <c r="A762" s="600" t="str">
        <f t="shared" si="55"/>
        <v>EUR;EUR 1M;26Y</v>
      </c>
      <c r="B762" s="600" t="str">
        <f t="shared" si="59"/>
        <v>EUR</v>
      </c>
      <c r="C762" s="600" t="str">
        <f t="shared" si="59"/>
        <v>EUR 1M</v>
      </c>
      <c r="D762" s="603"/>
      <c r="E762" s="604"/>
      <c r="F762" s="607" t="s">
        <v>42</v>
      </c>
      <c r="G762" s="606">
        <v>-1849.65016331417</v>
      </c>
    </row>
    <row r="763" spans="1:7" ht="11.1" customHeight="1">
      <c r="A763" s="600" t="str">
        <f t="shared" si="55"/>
        <v>EUR;EUR 1M;27Y</v>
      </c>
      <c r="B763" s="600" t="str">
        <f t="shared" si="59"/>
        <v>EUR</v>
      </c>
      <c r="C763" s="600" t="str">
        <f t="shared" si="59"/>
        <v>EUR 1M</v>
      </c>
      <c r="D763" s="603"/>
      <c r="E763" s="604"/>
      <c r="F763" s="607" t="s">
        <v>43</v>
      </c>
      <c r="G763" s="606">
        <v>-1021.38812027604</v>
      </c>
    </row>
    <row r="764" spans="1:7" ht="11.1" customHeight="1">
      <c r="A764" s="600" t="str">
        <f t="shared" si="55"/>
        <v>EUR;EUR 1M;28Y</v>
      </c>
      <c r="B764" s="600" t="str">
        <f t="shared" si="59"/>
        <v>EUR</v>
      </c>
      <c r="C764" s="600" t="str">
        <f t="shared" si="59"/>
        <v>EUR 1M</v>
      </c>
      <c r="D764" s="603"/>
      <c r="E764" s="604"/>
      <c r="F764" s="607" t="s">
        <v>44</v>
      </c>
      <c r="G764" s="606">
        <v>-1107.45660196331</v>
      </c>
    </row>
    <row r="765" spans="1:7" ht="11.1" customHeight="1">
      <c r="A765" s="600" t="str">
        <f t="shared" si="55"/>
        <v>EUR;EUR 1M;29Y</v>
      </c>
      <c r="B765" s="600" t="str">
        <f t="shared" si="59"/>
        <v>EUR</v>
      </c>
      <c r="C765" s="600" t="str">
        <f t="shared" si="59"/>
        <v>EUR 1M</v>
      </c>
      <c r="D765" s="603"/>
      <c r="E765" s="604"/>
      <c r="F765" s="607" t="s">
        <v>45</v>
      </c>
      <c r="G765" s="606">
        <v>-1186.2919567843401</v>
      </c>
    </row>
    <row r="766" spans="1:7" ht="11.1" customHeight="1">
      <c r="A766" s="600" t="str">
        <f t="shared" si="55"/>
        <v>EUR;EUR 1M;30Y</v>
      </c>
      <c r="B766" s="600" t="str">
        <f t="shared" si="59"/>
        <v>EUR</v>
      </c>
      <c r="C766" s="600" t="str">
        <f t="shared" si="59"/>
        <v>EUR 1M</v>
      </c>
      <c r="D766" s="603"/>
      <c r="E766" s="604"/>
      <c r="F766" s="607" t="s">
        <v>22</v>
      </c>
      <c r="G766" s="606">
        <v>-1284.1976198571001</v>
      </c>
    </row>
    <row r="767" spans="1:7" ht="11.1" customHeight="1">
      <c r="A767" s="600" t="str">
        <f t="shared" si="55"/>
        <v>EUR;EUR 1M;31Y</v>
      </c>
      <c r="B767" s="600" t="str">
        <f t="shared" si="59"/>
        <v>EUR</v>
      </c>
      <c r="C767" s="600" t="str">
        <f t="shared" si="59"/>
        <v>EUR 1M</v>
      </c>
      <c r="D767" s="603"/>
      <c r="E767" s="604"/>
      <c r="F767" s="607" t="s">
        <v>163</v>
      </c>
      <c r="G767" s="606">
        <v>-1422.36134600984</v>
      </c>
    </row>
    <row r="768" spans="1:7" ht="11.1" customHeight="1">
      <c r="A768" s="600" t="str">
        <f t="shared" si="55"/>
        <v>EUR;EUR 1M;32Y</v>
      </c>
      <c r="B768" s="600" t="str">
        <f t="shared" si="59"/>
        <v>EUR</v>
      </c>
      <c r="C768" s="600" t="str">
        <f t="shared" si="59"/>
        <v>EUR 1M</v>
      </c>
      <c r="D768" s="603"/>
      <c r="E768" s="604"/>
      <c r="F768" s="607" t="s">
        <v>164</v>
      </c>
      <c r="G768" s="606">
        <v>-678.51118956368896</v>
      </c>
    </row>
    <row r="769" spans="1:7" ht="11.1" customHeight="1">
      <c r="A769" s="600" t="str">
        <f t="shared" si="55"/>
        <v>EUR;EUR 1M;33Y</v>
      </c>
      <c r="B769" s="600" t="str">
        <f t="shared" si="59"/>
        <v>EUR</v>
      </c>
      <c r="C769" s="600" t="str">
        <f t="shared" si="59"/>
        <v>EUR 1M</v>
      </c>
      <c r="D769" s="603"/>
      <c r="E769" s="604"/>
      <c r="F769" s="607" t="s">
        <v>165</v>
      </c>
      <c r="G769" s="611">
        <v>88.451415653441003</v>
      </c>
    </row>
    <row r="770" spans="1:7" ht="11.1" customHeight="1">
      <c r="A770" s="600" t="str">
        <f t="shared" si="55"/>
        <v>EUR;EUR 1M;34Y</v>
      </c>
      <c r="B770" s="600" t="str">
        <f t="shared" si="59"/>
        <v>EUR</v>
      </c>
      <c r="C770" s="600" t="str">
        <f t="shared" si="59"/>
        <v>EUR 1M</v>
      </c>
      <c r="D770" s="603"/>
      <c r="E770" s="604"/>
      <c r="F770" s="607" t="s">
        <v>166</v>
      </c>
      <c r="G770" s="611">
        <v>3.8811730015612902E-2</v>
      </c>
    </row>
    <row r="771" spans="1:7" ht="11.1" customHeight="1">
      <c r="A771" s="600" t="str">
        <f t="shared" si="55"/>
        <v>EUR;EUR 1M;35Y</v>
      </c>
      <c r="B771" s="600" t="str">
        <f t="shared" si="59"/>
        <v>EUR</v>
      </c>
      <c r="C771" s="600" t="str">
        <f t="shared" si="59"/>
        <v>EUR 1M</v>
      </c>
      <c r="D771" s="603"/>
      <c r="E771" s="604"/>
      <c r="F771" s="607" t="s">
        <v>167</v>
      </c>
      <c r="G771" s="611">
        <v>7.7702614125669507E-6</v>
      </c>
    </row>
    <row r="772" spans="1:7" ht="11.1" customHeight="1">
      <c r="A772" s="600" t="str">
        <f t="shared" si="55"/>
        <v>EUR;EUR 1M;36Y</v>
      </c>
      <c r="B772" s="600" t="str">
        <f t="shared" si="59"/>
        <v>EUR</v>
      </c>
      <c r="C772" s="600" t="str">
        <f t="shared" si="59"/>
        <v>EUR 1M</v>
      </c>
      <c r="D772" s="603"/>
      <c r="E772" s="604"/>
      <c r="F772" s="607" t="s">
        <v>168</v>
      </c>
      <c r="G772" s="606">
        <v>-1.2006905089505299E-10</v>
      </c>
    </row>
    <row r="773" spans="1:7" ht="11.1" customHeight="1">
      <c r="A773" s="600" t="str">
        <f t="shared" ref="A773:A836" si="60">B773&amp;";"&amp;C773&amp;";"&amp;F773</f>
        <v>EUR;EUR 1M;37Y</v>
      </c>
      <c r="B773" s="600" t="str">
        <f t="shared" ref="B773:C788" si="61">IF(ISBLANK(D773),B772,D773)</f>
        <v>EUR</v>
      </c>
      <c r="C773" s="600" t="str">
        <f t="shared" si="61"/>
        <v>EUR 1M</v>
      </c>
      <c r="D773" s="603"/>
      <c r="E773" s="604"/>
      <c r="F773" s="607" t="s">
        <v>169</v>
      </c>
      <c r="G773" s="608">
        <v>0</v>
      </c>
    </row>
    <row r="774" spans="1:7" ht="11.1" customHeight="1">
      <c r="A774" s="600" t="str">
        <f t="shared" si="60"/>
        <v>EUR;EUR 1M;38Y</v>
      </c>
      <c r="B774" s="600" t="str">
        <f t="shared" si="61"/>
        <v>EUR</v>
      </c>
      <c r="C774" s="600" t="str">
        <f t="shared" si="61"/>
        <v>EUR 1M</v>
      </c>
      <c r="D774" s="603"/>
      <c r="E774" s="604"/>
      <c r="F774" s="607" t="s">
        <v>170</v>
      </c>
      <c r="G774" s="608">
        <v>0</v>
      </c>
    </row>
    <row r="775" spans="1:7" ht="11.1" customHeight="1">
      <c r="A775" s="600" t="str">
        <f t="shared" si="60"/>
        <v>EUR;EUR 1M;39Y</v>
      </c>
      <c r="B775" s="600" t="str">
        <f t="shared" si="61"/>
        <v>EUR</v>
      </c>
      <c r="C775" s="600" t="str">
        <f t="shared" si="61"/>
        <v>EUR 1M</v>
      </c>
      <c r="D775" s="603"/>
      <c r="E775" s="604"/>
      <c r="F775" s="607" t="s">
        <v>171</v>
      </c>
      <c r="G775" s="608">
        <v>0</v>
      </c>
    </row>
    <row r="776" spans="1:7" ht="11.1" customHeight="1">
      <c r="A776" s="600" t="str">
        <f t="shared" si="60"/>
        <v>EUR;EUR 1M;40Y</v>
      </c>
      <c r="B776" s="600" t="str">
        <f t="shared" si="61"/>
        <v>EUR</v>
      </c>
      <c r="C776" s="600" t="str">
        <f t="shared" si="61"/>
        <v>EUR 1M</v>
      </c>
      <c r="D776" s="603"/>
      <c r="E776" s="604"/>
      <c r="F776" s="607" t="s">
        <v>46</v>
      </c>
      <c r="G776" s="608">
        <v>0</v>
      </c>
    </row>
    <row r="777" spans="1:7" ht="11.1" customHeight="1">
      <c r="A777" s="600" t="str">
        <f t="shared" si="60"/>
        <v>EUR;EUR 1M;50Y</v>
      </c>
      <c r="B777" s="600" t="str">
        <f t="shared" si="61"/>
        <v>EUR</v>
      </c>
      <c r="C777" s="600" t="str">
        <f t="shared" si="61"/>
        <v>EUR 1M</v>
      </c>
      <c r="D777" s="603"/>
      <c r="E777" s="604"/>
      <c r="F777" s="607" t="s">
        <v>47</v>
      </c>
      <c r="G777" s="608">
        <v>0</v>
      </c>
    </row>
    <row r="778" spans="1:7" ht="11.1" customHeight="1">
      <c r="A778" s="600" t="str">
        <f t="shared" si="60"/>
        <v>EUR;EUR 1M;60Y</v>
      </c>
      <c r="B778" s="600" t="str">
        <f t="shared" si="61"/>
        <v>EUR</v>
      </c>
      <c r="C778" s="600" t="str">
        <f t="shared" si="61"/>
        <v>EUR 1M</v>
      </c>
      <c r="D778" s="603"/>
      <c r="E778" s="604"/>
      <c r="F778" s="607" t="s">
        <v>48</v>
      </c>
      <c r="G778" s="608">
        <v>0</v>
      </c>
    </row>
    <row r="779" spans="1:7" ht="11.1" customHeight="1">
      <c r="A779" s="600" t="str">
        <f t="shared" si="60"/>
        <v>EUR;EUR 1Y;Total EUR 1Y</v>
      </c>
      <c r="B779" s="600" t="str">
        <f t="shared" si="61"/>
        <v>EUR</v>
      </c>
      <c r="C779" s="600" t="str">
        <f t="shared" si="61"/>
        <v>EUR 1Y</v>
      </c>
      <c r="D779" s="603"/>
      <c r="E779" s="604" t="s">
        <v>87</v>
      </c>
      <c r="F779" s="605" t="s">
        <v>642</v>
      </c>
      <c r="G779" s="606">
        <v>-14359.567880684701</v>
      </c>
    </row>
    <row r="780" spans="1:7" ht="11.1" customHeight="1">
      <c r="A780" s="600" t="str">
        <f t="shared" si="60"/>
        <v>EUR;EUR 1Y;S/N</v>
      </c>
      <c r="B780" s="600" t="str">
        <f t="shared" si="61"/>
        <v>EUR</v>
      </c>
      <c r="C780" s="600" t="str">
        <f t="shared" si="61"/>
        <v>EUR 1Y</v>
      </c>
      <c r="D780" s="603"/>
      <c r="E780" s="604"/>
      <c r="F780" s="607" t="s">
        <v>23</v>
      </c>
      <c r="G780" s="611">
        <v>7.1042012957035903</v>
      </c>
    </row>
    <row r="781" spans="1:7" ht="11.1" customHeight="1">
      <c r="A781" s="600" t="str">
        <f t="shared" si="60"/>
        <v>EUR;EUR 1Y;1W</v>
      </c>
      <c r="B781" s="600" t="str">
        <f t="shared" si="61"/>
        <v>EUR</v>
      </c>
      <c r="C781" s="600" t="str">
        <f t="shared" si="61"/>
        <v>EUR 1Y</v>
      </c>
      <c r="D781" s="603"/>
      <c r="E781" s="604"/>
      <c r="F781" s="607" t="s">
        <v>5</v>
      </c>
      <c r="G781" s="608">
        <v>0</v>
      </c>
    </row>
    <row r="782" spans="1:7" ht="11.1" customHeight="1">
      <c r="A782" s="600" t="str">
        <f t="shared" si="60"/>
        <v>EUR;EUR 1Y;2W</v>
      </c>
      <c r="B782" s="600" t="str">
        <f t="shared" si="61"/>
        <v>EUR</v>
      </c>
      <c r="C782" s="600" t="str">
        <f t="shared" si="61"/>
        <v>EUR 1Y</v>
      </c>
      <c r="D782" s="603"/>
      <c r="E782" s="604"/>
      <c r="F782" s="607" t="s">
        <v>6</v>
      </c>
      <c r="G782" s="608">
        <v>0</v>
      </c>
    </row>
    <row r="783" spans="1:7" ht="11.1" customHeight="1">
      <c r="A783" s="600" t="str">
        <f t="shared" si="60"/>
        <v>EUR;EUR 1Y;3W</v>
      </c>
      <c r="B783" s="600" t="str">
        <f t="shared" si="61"/>
        <v>EUR</v>
      </c>
      <c r="C783" s="600" t="str">
        <f t="shared" si="61"/>
        <v>EUR 1Y</v>
      </c>
      <c r="D783" s="603"/>
      <c r="E783" s="604"/>
      <c r="F783" s="607" t="s">
        <v>24</v>
      </c>
      <c r="G783" s="608">
        <v>0</v>
      </c>
    </row>
    <row r="784" spans="1:7" ht="11.1" customHeight="1">
      <c r="A784" s="600" t="str">
        <f t="shared" si="60"/>
        <v>EUR;EUR 1Y;1M</v>
      </c>
      <c r="B784" s="600" t="str">
        <f t="shared" si="61"/>
        <v>EUR</v>
      </c>
      <c r="C784" s="600" t="str">
        <f t="shared" si="61"/>
        <v>EUR 1Y</v>
      </c>
      <c r="D784" s="603"/>
      <c r="E784" s="604"/>
      <c r="F784" s="607" t="s">
        <v>7</v>
      </c>
      <c r="G784" s="606">
        <v>-2.2074769447503999</v>
      </c>
    </row>
    <row r="785" spans="1:7" ht="11.1" customHeight="1">
      <c r="A785" s="600" t="str">
        <f t="shared" si="60"/>
        <v>EUR;EUR 1Y;2M</v>
      </c>
      <c r="B785" s="600" t="str">
        <f t="shared" si="61"/>
        <v>EUR</v>
      </c>
      <c r="C785" s="600" t="str">
        <f t="shared" si="61"/>
        <v>EUR 1Y</v>
      </c>
      <c r="D785" s="603"/>
      <c r="E785" s="604"/>
      <c r="F785" s="607" t="s">
        <v>8</v>
      </c>
      <c r="G785" s="611">
        <v>693.52870769824699</v>
      </c>
    </row>
    <row r="786" spans="1:7" ht="11.1" customHeight="1">
      <c r="A786" s="600" t="str">
        <f t="shared" si="60"/>
        <v>EUR;EUR 1Y;3M</v>
      </c>
      <c r="B786" s="600" t="str">
        <f t="shared" si="61"/>
        <v>EUR</v>
      </c>
      <c r="C786" s="600" t="str">
        <f t="shared" si="61"/>
        <v>EUR 1Y</v>
      </c>
      <c r="D786" s="603"/>
      <c r="E786" s="604"/>
      <c r="F786" s="607" t="s">
        <v>25</v>
      </c>
      <c r="G786" s="611">
        <v>2514.6232949861801</v>
      </c>
    </row>
    <row r="787" spans="1:7" ht="11.1" customHeight="1">
      <c r="A787" s="600" t="str">
        <f t="shared" si="60"/>
        <v>EUR;EUR 1Y;4M</v>
      </c>
      <c r="B787" s="600" t="str">
        <f t="shared" si="61"/>
        <v>EUR</v>
      </c>
      <c r="C787" s="600" t="str">
        <f t="shared" si="61"/>
        <v>EUR 1Y</v>
      </c>
      <c r="D787" s="603"/>
      <c r="E787" s="604"/>
      <c r="F787" s="607" t="s">
        <v>26</v>
      </c>
      <c r="G787" s="606">
        <v>-36.356756994291203</v>
      </c>
    </row>
    <row r="788" spans="1:7" ht="11.1" customHeight="1">
      <c r="A788" s="600" t="str">
        <f t="shared" si="60"/>
        <v>EUR;EUR 1Y;5M</v>
      </c>
      <c r="B788" s="600" t="str">
        <f t="shared" si="61"/>
        <v>EUR</v>
      </c>
      <c r="C788" s="600" t="str">
        <f t="shared" si="61"/>
        <v>EUR 1Y</v>
      </c>
      <c r="D788" s="603"/>
      <c r="E788" s="604"/>
      <c r="F788" s="607" t="s">
        <v>27</v>
      </c>
      <c r="G788" s="608">
        <v>0</v>
      </c>
    </row>
    <row r="789" spans="1:7" ht="11.1" customHeight="1">
      <c r="A789" s="600" t="str">
        <f t="shared" si="60"/>
        <v>EUR;EUR 1Y;6M</v>
      </c>
      <c r="B789" s="600" t="str">
        <f t="shared" ref="B789:C804" si="62">IF(ISBLANK(D789),B788,D789)</f>
        <v>EUR</v>
      </c>
      <c r="C789" s="600" t="str">
        <f t="shared" si="62"/>
        <v>EUR 1Y</v>
      </c>
      <c r="D789" s="603"/>
      <c r="E789" s="604"/>
      <c r="F789" s="607" t="s">
        <v>28</v>
      </c>
      <c r="G789" s="611">
        <v>535.86430948253098</v>
      </c>
    </row>
    <row r="790" spans="1:7" ht="11.1" customHeight="1">
      <c r="A790" s="600" t="str">
        <f t="shared" si="60"/>
        <v>EUR;EUR 1Y;7M</v>
      </c>
      <c r="B790" s="600" t="str">
        <f t="shared" si="62"/>
        <v>EUR</v>
      </c>
      <c r="C790" s="600" t="str">
        <f t="shared" si="62"/>
        <v>EUR 1Y</v>
      </c>
      <c r="D790" s="603"/>
      <c r="E790" s="604"/>
      <c r="F790" s="607" t="s">
        <v>29</v>
      </c>
      <c r="G790" s="606">
        <v>-6941.1110845140802</v>
      </c>
    </row>
    <row r="791" spans="1:7" ht="11.1" customHeight="1">
      <c r="A791" s="600" t="str">
        <f t="shared" si="60"/>
        <v>EUR;EUR 1Y;8M</v>
      </c>
      <c r="B791" s="600" t="str">
        <f t="shared" si="62"/>
        <v>EUR</v>
      </c>
      <c r="C791" s="600" t="str">
        <f t="shared" si="62"/>
        <v>EUR 1Y</v>
      </c>
      <c r="D791" s="603"/>
      <c r="E791" s="604"/>
      <c r="F791" s="607" t="s">
        <v>30</v>
      </c>
      <c r="G791" s="606">
        <v>-1433.42579189516</v>
      </c>
    </row>
    <row r="792" spans="1:7" ht="11.1" customHeight="1">
      <c r="A792" s="600" t="str">
        <f t="shared" si="60"/>
        <v>EUR;EUR 1Y;9M</v>
      </c>
      <c r="B792" s="600" t="str">
        <f t="shared" si="62"/>
        <v>EUR</v>
      </c>
      <c r="C792" s="600" t="str">
        <f t="shared" si="62"/>
        <v>EUR 1Y</v>
      </c>
      <c r="D792" s="603"/>
      <c r="E792" s="604"/>
      <c r="F792" s="607" t="s">
        <v>49</v>
      </c>
      <c r="G792" s="611">
        <v>180.77612184653401</v>
      </c>
    </row>
    <row r="793" spans="1:7" ht="11.1" customHeight="1">
      <c r="A793" s="600" t="str">
        <f t="shared" si="60"/>
        <v>EUR;EUR 1Y;10M</v>
      </c>
      <c r="B793" s="600" t="str">
        <f t="shared" si="62"/>
        <v>EUR</v>
      </c>
      <c r="C793" s="600" t="str">
        <f t="shared" si="62"/>
        <v>EUR 1Y</v>
      </c>
      <c r="D793" s="603"/>
      <c r="E793" s="604"/>
      <c r="F793" s="607" t="s">
        <v>50</v>
      </c>
      <c r="G793" s="606">
        <v>-23.922991744844602</v>
      </c>
    </row>
    <row r="794" spans="1:7" ht="11.1" customHeight="1">
      <c r="A794" s="600" t="str">
        <f t="shared" si="60"/>
        <v>EUR;EUR 1Y;11M</v>
      </c>
      <c r="B794" s="600" t="str">
        <f t="shared" si="62"/>
        <v>EUR</v>
      </c>
      <c r="C794" s="600" t="str">
        <f t="shared" si="62"/>
        <v>EUR 1Y</v>
      </c>
      <c r="D794" s="603"/>
      <c r="E794" s="604"/>
      <c r="F794" s="607" t="s">
        <v>51</v>
      </c>
      <c r="G794" s="606">
        <v>-99.753696479255495</v>
      </c>
    </row>
    <row r="795" spans="1:7" ht="11.1" customHeight="1">
      <c r="A795" s="600" t="str">
        <f t="shared" si="60"/>
        <v>EUR;EUR 1Y;12M</v>
      </c>
      <c r="B795" s="600" t="str">
        <f t="shared" si="62"/>
        <v>EUR</v>
      </c>
      <c r="C795" s="600" t="str">
        <f t="shared" si="62"/>
        <v>EUR 1Y</v>
      </c>
      <c r="D795" s="603"/>
      <c r="E795" s="604"/>
      <c r="F795" s="607" t="s">
        <v>52</v>
      </c>
      <c r="G795" s="611">
        <v>706.65544355444399</v>
      </c>
    </row>
    <row r="796" spans="1:7" ht="11.1" customHeight="1">
      <c r="A796" s="600" t="str">
        <f t="shared" si="60"/>
        <v>EUR;EUR 1Y;1M-13M</v>
      </c>
      <c r="B796" s="600" t="str">
        <f t="shared" si="62"/>
        <v>EUR</v>
      </c>
      <c r="C796" s="600" t="str">
        <f t="shared" si="62"/>
        <v>EUR 1Y</v>
      </c>
      <c r="D796" s="603"/>
      <c r="E796" s="604"/>
      <c r="F796" s="607" t="s">
        <v>2817</v>
      </c>
      <c r="G796" s="606">
        <v>-26.873339644096401</v>
      </c>
    </row>
    <row r="797" spans="1:7" ht="11.1" customHeight="1">
      <c r="A797" s="600" t="str">
        <f t="shared" si="60"/>
        <v>EUR;EUR 1Y;2M-14M</v>
      </c>
      <c r="B797" s="600" t="str">
        <f t="shared" si="62"/>
        <v>EUR</v>
      </c>
      <c r="C797" s="600" t="str">
        <f t="shared" si="62"/>
        <v>EUR 1Y</v>
      </c>
      <c r="D797" s="603"/>
      <c r="E797" s="604"/>
      <c r="F797" s="607" t="s">
        <v>2819</v>
      </c>
      <c r="G797" s="611">
        <v>288.71057710561001</v>
      </c>
    </row>
    <row r="798" spans="1:7" ht="11.1" customHeight="1">
      <c r="A798" s="600" t="str">
        <f t="shared" si="60"/>
        <v>EUR;EUR 1Y;3M-15M</v>
      </c>
      <c r="B798" s="600" t="str">
        <f t="shared" si="62"/>
        <v>EUR</v>
      </c>
      <c r="C798" s="600" t="str">
        <f t="shared" si="62"/>
        <v>EUR 1Y</v>
      </c>
      <c r="D798" s="603"/>
      <c r="E798" s="604"/>
      <c r="F798" s="607" t="s">
        <v>2821</v>
      </c>
      <c r="G798" s="606">
        <v>-72.771354750271996</v>
      </c>
    </row>
    <row r="799" spans="1:7" ht="11.1" customHeight="1">
      <c r="A799" s="600" t="str">
        <f t="shared" si="60"/>
        <v>EUR;EUR 1Y;4M-16M</v>
      </c>
      <c r="B799" s="600" t="str">
        <f t="shared" si="62"/>
        <v>EUR</v>
      </c>
      <c r="C799" s="600" t="str">
        <f t="shared" si="62"/>
        <v>EUR 1Y</v>
      </c>
      <c r="D799" s="603"/>
      <c r="E799" s="604"/>
      <c r="F799" s="607" t="s">
        <v>2823</v>
      </c>
      <c r="G799" s="606">
        <v>-110.587378104802</v>
      </c>
    </row>
    <row r="800" spans="1:7" ht="11.1" customHeight="1">
      <c r="A800" s="600" t="str">
        <f t="shared" si="60"/>
        <v>EUR;EUR 1Y;5M-17M</v>
      </c>
      <c r="B800" s="600" t="str">
        <f t="shared" si="62"/>
        <v>EUR</v>
      </c>
      <c r="C800" s="600" t="str">
        <f t="shared" si="62"/>
        <v>EUR 1Y</v>
      </c>
      <c r="D800" s="603"/>
      <c r="E800" s="604"/>
      <c r="F800" s="607" t="s">
        <v>2825</v>
      </c>
      <c r="G800" s="608">
        <v>0</v>
      </c>
    </row>
    <row r="801" spans="1:7" ht="11.1" customHeight="1">
      <c r="A801" s="600" t="str">
        <f t="shared" si="60"/>
        <v>EUR;EUR 1Y;6M-18M</v>
      </c>
      <c r="B801" s="600" t="str">
        <f t="shared" si="62"/>
        <v>EUR</v>
      </c>
      <c r="C801" s="600" t="str">
        <f t="shared" si="62"/>
        <v>EUR 1Y</v>
      </c>
      <c r="D801" s="603"/>
      <c r="E801" s="604"/>
      <c r="F801" s="607" t="s">
        <v>2827</v>
      </c>
      <c r="G801" s="611">
        <v>4.3331688469585599</v>
      </c>
    </row>
    <row r="802" spans="1:7" ht="11.1" customHeight="1">
      <c r="A802" s="600" t="str">
        <f t="shared" si="60"/>
        <v>EUR;EUR 1Y;7M-19M</v>
      </c>
      <c r="B802" s="600" t="str">
        <f t="shared" si="62"/>
        <v>EUR</v>
      </c>
      <c r="C802" s="600" t="str">
        <f t="shared" si="62"/>
        <v>EUR 1Y</v>
      </c>
      <c r="D802" s="603"/>
      <c r="E802" s="604"/>
      <c r="F802" s="607" t="s">
        <v>2829</v>
      </c>
      <c r="G802" s="606">
        <v>-48.197061631218503</v>
      </c>
    </row>
    <row r="803" spans="1:7" ht="11.1" customHeight="1">
      <c r="A803" s="600" t="str">
        <f t="shared" si="60"/>
        <v>EUR;EUR 1Y;8M-20M</v>
      </c>
      <c r="B803" s="600" t="str">
        <f t="shared" si="62"/>
        <v>EUR</v>
      </c>
      <c r="C803" s="600" t="str">
        <f t="shared" si="62"/>
        <v>EUR 1Y</v>
      </c>
      <c r="D803" s="603"/>
      <c r="E803" s="604"/>
      <c r="F803" s="607" t="s">
        <v>2831</v>
      </c>
      <c r="G803" s="606">
        <v>-9.1164252354211008</v>
      </c>
    </row>
    <row r="804" spans="1:7" ht="11.1" customHeight="1">
      <c r="A804" s="600" t="str">
        <f t="shared" si="60"/>
        <v>EUR;EUR 1Y;9M-21M</v>
      </c>
      <c r="B804" s="600" t="str">
        <f t="shared" si="62"/>
        <v>EUR</v>
      </c>
      <c r="C804" s="600" t="str">
        <f t="shared" si="62"/>
        <v>EUR 1Y</v>
      </c>
      <c r="D804" s="603"/>
      <c r="E804" s="604"/>
      <c r="F804" s="607" t="s">
        <v>2833</v>
      </c>
      <c r="G804" s="606">
        <v>-4.2460808840955</v>
      </c>
    </row>
    <row r="805" spans="1:7" ht="11.1" customHeight="1">
      <c r="A805" s="600" t="str">
        <f t="shared" si="60"/>
        <v>EUR;EUR 1Y;10M-22M</v>
      </c>
      <c r="B805" s="600" t="str">
        <f t="shared" ref="B805:C820" si="63">IF(ISBLANK(D805),B804,D805)</f>
        <v>EUR</v>
      </c>
      <c r="C805" s="600" t="str">
        <f t="shared" si="63"/>
        <v>EUR 1Y</v>
      </c>
      <c r="D805" s="603"/>
      <c r="E805" s="604"/>
      <c r="F805" s="607" t="s">
        <v>2835</v>
      </c>
      <c r="G805" s="606">
        <v>-0.31963319745205498</v>
      </c>
    </row>
    <row r="806" spans="1:7" ht="11.1" customHeight="1">
      <c r="A806" s="600" t="str">
        <f t="shared" si="60"/>
        <v>EUR;EUR 1Y;11M-23M</v>
      </c>
      <c r="B806" s="600" t="str">
        <f t="shared" si="63"/>
        <v>EUR</v>
      </c>
      <c r="C806" s="600" t="str">
        <f t="shared" si="63"/>
        <v>EUR 1Y</v>
      </c>
      <c r="D806" s="603"/>
      <c r="E806" s="604"/>
      <c r="F806" s="607" t="s">
        <v>2837</v>
      </c>
      <c r="G806" s="606">
        <v>-469.03218501510997</v>
      </c>
    </row>
    <row r="807" spans="1:7" ht="11.1" customHeight="1">
      <c r="A807" s="600" t="str">
        <f t="shared" si="60"/>
        <v>EUR;EUR 1Y;12M-24M</v>
      </c>
      <c r="B807" s="600" t="str">
        <f t="shared" si="63"/>
        <v>EUR</v>
      </c>
      <c r="C807" s="600" t="str">
        <f t="shared" si="63"/>
        <v>EUR 1Y</v>
      </c>
      <c r="D807" s="603"/>
      <c r="E807" s="604"/>
      <c r="F807" s="607" t="s">
        <v>3886</v>
      </c>
      <c r="G807" s="611">
        <v>619.69412398505597</v>
      </c>
    </row>
    <row r="808" spans="1:7" ht="11.1" customHeight="1">
      <c r="A808" s="600" t="str">
        <f t="shared" si="60"/>
        <v>EUR;EUR 1Y;3Y</v>
      </c>
      <c r="B808" s="600" t="str">
        <f t="shared" si="63"/>
        <v>EUR</v>
      </c>
      <c r="C808" s="600" t="str">
        <f t="shared" si="63"/>
        <v>EUR 1Y</v>
      </c>
      <c r="D808" s="603"/>
      <c r="E808" s="604"/>
      <c r="F808" s="607" t="s">
        <v>10</v>
      </c>
      <c r="G808" s="611">
        <v>539.814957009826</v>
      </c>
    </row>
    <row r="809" spans="1:7" ht="11.1" customHeight="1">
      <c r="A809" s="600" t="str">
        <f t="shared" si="60"/>
        <v>EUR;EUR 1Y;4Y</v>
      </c>
      <c r="B809" s="600" t="str">
        <f t="shared" si="63"/>
        <v>EUR</v>
      </c>
      <c r="C809" s="600" t="str">
        <f t="shared" si="63"/>
        <v>EUR 1Y</v>
      </c>
      <c r="D809" s="603"/>
      <c r="E809" s="604"/>
      <c r="F809" s="607" t="s">
        <v>11</v>
      </c>
      <c r="G809" s="606">
        <v>-499.627648172308</v>
      </c>
    </row>
    <row r="810" spans="1:7" ht="11.1" customHeight="1">
      <c r="A810" s="600" t="str">
        <f t="shared" si="60"/>
        <v>EUR;EUR 1Y;5Y</v>
      </c>
      <c r="B810" s="600" t="str">
        <f t="shared" si="63"/>
        <v>EUR</v>
      </c>
      <c r="C810" s="600" t="str">
        <f t="shared" si="63"/>
        <v>EUR 1Y</v>
      </c>
      <c r="D810" s="603"/>
      <c r="E810" s="604"/>
      <c r="F810" s="607" t="s">
        <v>12</v>
      </c>
      <c r="G810" s="606">
        <v>-726.10747468906504</v>
      </c>
    </row>
    <row r="811" spans="1:7" ht="11.1" customHeight="1">
      <c r="A811" s="600" t="str">
        <f t="shared" si="60"/>
        <v>EUR;EUR 1Y;6Y</v>
      </c>
      <c r="B811" s="600" t="str">
        <f t="shared" si="63"/>
        <v>EUR</v>
      </c>
      <c r="C811" s="600" t="str">
        <f t="shared" si="63"/>
        <v>EUR 1Y</v>
      </c>
      <c r="D811" s="603"/>
      <c r="E811" s="604"/>
      <c r="F811" s="607" t="s">
        <v>13</v>
      </c>
      <c r="G811" s="611">
        <v>169.333386094302</v>
      </c>
    </row>
    <row r="812" spans="1:7" ht="11.1" customHeight="1">
      <c r="A812" s="600" t="str">
        <f t="shared" si="60"/>
        <v>EUR;EUR 1Y;7Y</v>
      </c>
      <c r="B812" s="600" t="str">
        <f t="shared" si="63"/>
        <v>EUR</v>
      </c>
      <c r="C812" s="600" t="str">
        <f t="shared" si="63"/>
        <v>EUR 1Y</v>
      </c>
      <c r="D812" s="603"/>
      <c r="E812" s="604"/>
      <c r="F812" s="607" t="s">
        <v>14</v>
      </c>
      <c r="G812" s="611">
        <v>78.8475576590168</v>
      </c>
    </row>
    <row r="813" spans="1:7" ht="11.1" customHeight="1">
      <c r="A813" s="600" t="str">
        <f t="shared" si="60"/>
        <v>EUR;EUR 1Y;8Y</v>
      </c>
      <c r="B813" s="600" t="str">
        <f t="shared" si="63"/>
        <v>EUR</v>
      </c>
      <c r="C813" s="600" t="str">
        <f t="shared" si="63"/>
        <v>EUR 1Y</v>
      </c>
      <c r="D813" s="603"/>
      <c r="E813" s="604"/>
      <c r="F813" s="607" t="s">
        <v>15</v>
      </c>
      <c r="G813" s="606">
        <v>-35.766774867537599</v>
      </c>
    </row>
    <row r="814" spans="1:7" ht="11.1" customHeight="1">
      <c r="A814" s="600" t="str">
        <f t="shared" si="60"/>
        <v>EUR;EUR 1Y;9Y</v>
      </c>
      <c r="B814" s="600" t="str">
        <f t="shared" si="63"/>
        <v>EUR</v>
      </c>
      <c r="C814" s="600" t="str">
        <f t="shared" si="63"/>
        <v>EUR 1Y</v>
      </c>
      <c r="D814" s="603"/>
      <c r="E814" s="604"/>
      <c r="F814" s="607" t="s">
        <v>16</v>
      </c>
      <c r="G814" s="606">
        <v>-271.00985269240999</v>
      </c>
    </row>
    <row r="815" spans="1:7" ht="11.1" customHeight="1">
      <c r="A815" s="600" t="str">
        <f t="shared" si="60"/>
        <v>EUR;EUR 1Y;10Y</v>
      </c>
      <c r="B815" s="600" t="str">
        <f t="shared" si="63"/>
        <v>EUR</v>
      </c>
      <c r="C815" s="600" t="str">
        <f t="shared" si="63"/>
        <v>EUR 1Y</v>
      </c>
      <c r="D815" s="603"/>
      <c r="E815" s="604"/>
      <c r="F815" s="607" t="s">
        <v>17</v>
      </c>
      <c r="G815" s="611">
        <v>183.32053664015899</v>
      </c>
    </row>
    <row r="816" spans="1:7" ht="11.1" customHeight="1">
      <c r="A816" s="600" t="str">
        <f t="shared" si="60"/>
        <v>EUR;EUR 1Y;11Y</v>
      </c>
      <c r="B816" s="600" t="str">
        <f t="shared" si="63"/>
        <v>EUR</v>
      </c>
      <c r="C816" s="600" t="str">
        <f t="shared" si="63"/>
        <v>EUR 1Y</v>
      </c>
      <c r="D816" s="603"/>
      <c r="E816" s="604"/>
      <c r="F816" s="607" t="s">
        <v>31</v>
      </c>
      <c r="G816" s="611">
        <v>862.74766509487699</v>
      </c>
    </row>
    <row r="817" spans="1:7" ht="11.1" customHeight="1">
      <c r="A817" s="600" t="str">
        <f t="shared" si="60"/>
        <v>EUR;EUR 1Y;12Y</v>
      </c>
      <c r="B817" s="600" t="str">
        <f t="shared" si="63"/>
        <v>EUR</v>
      </c>
      <c r="C817" s="600" t="str">
        <f t="shared" si="63"/>
        <v>EUR 1Y</v>
      </c>
      <c r="D817" s="603"/>
      <c r="E817" s="604"/>
      <c r="F817" s="607" t="s">
        <v>18</v>
      </c>
      <c r="G817" s="606">
        <v>-20041.7225387488</v>
      </c>
    </row>
    <row r="818" spans="1:7" ht="11.1" customHeight="1">
      <c r="A818" s="600" t="str">
        <f t="shared" si="60"/>
        <v>EUR;EUR 1Y;13Y</v>
      </c>
      <c r="B818" s="600" t="str">
        <f t="shared" si="63"/>
        <v>EUR</v>
      </c>
      <c r="C818" s="600" t="str">
        <f t="shared" si="63"/>
        <v>EUR 1Y</v>
      </c>
      <c r="D818" s="603"/>
      <c r="E818" s="604"/>
      <c r="F818" s="607" t="s">
        <v>32</v>
      </c>
      <c r="G818" s="606">
        <v>-5404.92363017768</v>
      </c>
    </row>
    <row r="819" spans="1:7" ht="11.1" customHeight="1">
      <c r="A819" s="600" t="str">
        <f t="shared" si="60"/>
        <v>EUR;EUR 1Y;14Y</v>
      </c>
      <c r="B819" s="600" t="str">
        <f t="shared" si="63"/>
        <v>EUR</v>
      </c>
      <c r="C819" s="600" t="str">
        <f t="shared" si="63"/>
        <v>EUR 1Y</v>
      </c>
      <c r="D819" s="603"/>
      <c r="E819" s="604"/>
      <c r="F819" s="607" t="s">
        <v>33</v>
      </c>
      <c r="G819" s="611">
        <v>803.11538088440795</v>
      </c>
    </row>
    <row r="820" spans="1:7" ht="11.1" customHeight="1">
      <c r="A820" s="600" t="str">
        <f t="shared" si="60"/>
        <v>EUR;EUR 1Y;15Y</v>
      </c>
      <c r="B820" s="600" t="str">
        <f t="shared" si="63"/>
        <v>EUR</v>
      </c>
      <c r="C820" s="600" t="str">
        <f t="shared" si="63"/>
        <v>EUR 1Y</v>
      </c>
      <c r="D820" s="603"/>
      <c r="E820" s="604"/>
      <c r="F820" s="607" t="s">
        <v>19</v>
      </c>
      <c r="G820" s="606">
        <v>-468.45610789465798</v>
      </c>
    </row>
    <row r="821" spans="1:7" ht="11.1" customHeight="1">
      <c r="A821" s="600" t="str">
        <f t="shared" si="60"/>
        <v>EUR;EUR 1Y;16Y</v>
      </c>
      <c r="B821" s="600" t="str">
        <f t="shared" ref="B821:C836" si="64">IF(ISBLANK(D821),B820,D821)</f>
        <v>EUR</v>
      </c>
      <c r="C821" s="600" t="str">
        <f t="shared" si="64"/>
        <v>EUR 1Y</v>
      </c>
      <c r="D821" s="603"/>
      <c r="E821" s="604"/>
      <c r="F821" s="607" t="s">
        <v>34</v>
      </c>
      <c r="G821" s="611">
        <v>2834.3729592667401</v>
      </c>
    </row>
    <row r="822" spans="1:7" ht="11.1" customHeight="1">
      <c r="A822" s="600" t="str">
        <f t="shared" si="60"/>
        <v>EUR;EUR 1Y;17Y</v>
      </c>
      <c r="B822" s="600" t="str">
        <f t="shared" si="64"/>
        <v>EUR</v>
      </c>
      <c r="C822" s="600" t="str">
        <f t="shared" si="64"/>
        <v>EUR 1Y</v>
      </c>
      <c r="D822" s="603"/>
      <c r="E822" s="604"/>
      <c r="F822" s="607" t="s">
        <v>35</v>
      </c>
      <c r="G822" s="606">
        <v>-27413.470929782299</v>
      </c>
    </row>
    <row r="823" spans="1:7" ht="11.1" customHeight="1">
      <c r="A823" s="600" t="str">
        <f t="shared" si="60"/>
        <v>EUR;EUR 1Y;18Y</v>
      </c>
      <c r="B823" s="600" t="str">
        <f t="shared" si="64"/>
        <v>EUR</v>
      </c>
      <c r="C823" s="600" t="str">
        <f t="shared" si="64"/>
        <v>EUR 1Y</v>
      </c>
      <c r="D823" s="603"/>
      <c r="E823" s="604"/>
      <c r="F823" s="607" t="s">
        <v>36</v>
      </c>
      <c r="G823" s="606">
        <v>-80566.952559293393</v>
      </c>
    </row>
    <row r="824" spans="1:7" ht="11.1" customHeight="1">
      <c r="A824" s="600" t="str">
        <f t="shared" si="60"/>
        <v>EUR;EUR 1Y;19Y</v>
      </c>
      <c r="B824" s="600" t="str">
        <f t="shared" si="64"/>
        <v>EUR</v>
      </c>
      <c r="C824" s="600" t="str">
        <f t="shared" si="64"/>
        <v>EUR 1Y</v>
      </c>
      <c r="D824" s="603"/>
      <c r="E824" s="604"/>
      <c r="F824" s="607" t="s">
        <v>37</v>
      </c>
      <c r="G824" s="611">
        <v>114448.62245516801</v>
      </c>
    </row>
    <row r="825" spans="1:7" ht="11.1" customHeight="1">
      <c r="A825" s="600" t="str">
        <f t="shared" si="60"/>
        <v>EUR;EUR 1Y;20Y</v>
      </c>
      <c r="B825" s="600" t="str">
        <f t="shared" si="64"/>
        <v>EUR</v>
      </c>
      <c r="C825" s="600" t="str">
        <f t="shared" si="64"/>
        <v>EUR 1Y</v>
      </c>
      <c r="D825" s="603"/>
      <c r="E825" s="604"/>
      <c r="F825" s="607" t="s">
        <v>20</v>
      </c>
      <c r="G825" s="611">
        <v>240845.81626304699</v>
      </c>
    </row>
    <row r="826" spans="1:7" ht="11.1" customHeight="1">
      <c r="A826" s="600" t="str">
        <f t="shared" si="60"/>
        <v>EUR;EUR 1Y;21Y</v>
      </c>
      <c r="B826" s="600" t="str">
        <f t="shared" si="64"/>
        <v>EUR</v>
      </c>
      <c r="C826" s="600" t="str">
        <f t="shared" si="64"/>
        <v>EUR 1Y</v>
      </c>
      <c r="D826" s="603"/>
      <c r="E826" s="604"/>
      <c r="F826" s="607" t="s">
        <v>38</v>
      </c>
      <c r="G826" s="606">
        <v>-190562.77177239201</v>
      </c>
    </row>
    <row r="827" spans="1:7" ht="11.1" customHeight="1">
      <c r="A827" s="600" t="str">
        <f t="shared" si="60"/>
        <v>EUR;EUR 1Y;22Y</v>
      </c>
      <c r="B827" s="600" t="str">
        <f t="shared" si="64"/>
        <v>EUR</v>
      </c>
      <c r="C827" s="600" t="str">
        <f t="shared" si="64"/>
        <v>EUR 1Y</v>
      </c>
      <c r="D827" s="603"/>
      <c r="E827" s="604"/>
      <c r="F827" s="607" t="s">
        <v>39</v>
      </c>
      <c r="G827" s="606">
        <v>-52084.329749373799</v>
      </c>
    </row>
    <row r="828" spans="1:7" ht="11.1" customHeight="1">
      <c r="A828" s="600" t="str">
        <f t="shared" si="60"/>
        <v>EUR;EUR 1Y;23Y</v>
      </c>
      <c r="B828" s="600" t="str">
        <f t="shared" si="64"/>
        <v>EUR</v>
      </c>
      <c r="C828" s="600" t="str">
        <f t="shared" si="64"/>
        <v>EUR 1Y</v>
      </c>
      <c r="D828" s="603"/>
      <c r="E828" s="604"/>
      <c r="F828" s="607" t="s">
        <v>40</v>
      </c>
      <c r="G828" s="611">
        <v>6676.4861121958702</v>
      </c>
    </row>
    <row r="829" spans="1:7" ht="11.1" customHeight="1">
      <c r="A829" s="600" t="str">
        <f t="shared" si="60"/>
        <v>EUR;EUR 1Y;24Y</v>
      </c>
      <c r="B829" s="600" t="str">
        <f t="shared" si="64"/>
        <v>EUR</v>
      </c>
      <c r="C829" s="600" t="str">
        <f t="shared" si="64"/>
        <v>EUR 1Y</v>
      </c>
      <c r="D829" s="603"/>
      <c r="E829" s="604"/>
      <c r="F829" s="607" t="s">
        <v>41</v>
      </c>
      <c r="G829" s="606">
        <v>-0.27480742764294502</v>
      </c>
    </row>
    <row r="830" spans="1:7" ht="11.1" customHeight="1">
      <c r="A830" s="600" t="str">
        <f t="shared" si="60"/>
        <v>EUR;EUR 1Y;25Y</v>
      </c>
      <c r="B830" s="600" t="str">
        <f t="shared" si="64"/>
        <v>EUR</v>
      </c>
      <c r="C830" s="600" t="str">
        <f t="shared" si="64"/>
        <v>EUR 1Y</v>
      </c>
      <c r="D830" s="603"/>
      <c r="E830" s="604"/>
      <c r="F830" s="607" t="s">
        <v>21</v>
      </c>
      <c r="G830" s="608">
        <v>0</v>
      </c>
    </row>
    <row r="831" spans="1:7" ht="11.1" customHeight="1">
      <c r="A831" s="600" t="str">
        <f t="shared" si="60"/>
        <v>EUR;EUR 1Y;26Y</v>
      </c>
      <c r="B831" s="600" t="str">
        <f t="shared" si="64"/>
        <v>EUR</v>
      </c>
      <c r="C831" s="600" t="str">
        <f t="shared" si="64"/>
        <v>EUR 1Y</v>
      </c>
      <c r="D831" s="603"/>
      <c r="E831" s="604"/>
      <c r="F831" s="607" t="s">
        <v>42</v>
      </c>
      <c r="G831" s="608">
        <v>0</v>
      </c>
    </row>
    <row r="832" spans="1:7" ht="11.1" customHeight="1">
      <c r="A832" s="600" t="str">
        <f t="shared" si="60"/>
        <v>EUR;EUR 1Y;27Y</v>
      </c>
      <c r="B832" s="600" t="str">
        <f t="shared" si="64"/>
        <v>EUR</v>
      </c>
      <c r="C832" s="600" t="str">
        <f t="shared" si="64"/>
        <v>EUR 1Y</v>
      </c>
      <c r="D832" s="603"/>
      <c r="E832" s="604"/>
      <c r="F832" s="607" t="s">
        <v>43</v>
      </c>
      <c r="G832" s="608">
        <v>0</v>
      </c>
    </row>
    <row r="833" spans="1:7" ht="11.1" customHeight="1">
      <c r="A833" s="600" t="str">
        <f t="shared" si="60"/>
        <v>EUR;EUR 1Y;28Y</v>
      </c>
      <c r="B833" s="600" t="str">
        <f t="shared" si="64"/>
        <v>EUR</v>
      </c>
      <c r="C833" s="600" t="str">
        <f t="shared" si="64"/>
        <v>EUR 1Y</v>
      </c>
      <c r="D833" s="603"/>
      <c r="E833" s="604"/>
      <c r="F833" s="607" t="s">
        <v>44</v>
      </c>
      <c r="G833" s="608">
        <v>0</v>
      </c>
    </row>
    <row r="834" spans="1:7" ht="11.1" customHeight="1">
      <c r="A834" s="600" t="str">
        <f t="shared" si="60"/>
        <v>EUR;EUR 1Y;29Y</v>
      </c>
      <c r="B834" s="600" t="str">
        <f t="shared" si="64"/>
        <v>EUR</v>
      </c>
      <c r="C834" s="600" t="str">
        <f t="shared" si="64"/>
        <v>EUR 1Y</v>
      </c>
      <c r="D834" s="603"/>
      <c r="E834" s="604"/>
      <c r="F834" s="607" t="s">
        <v>45</v>
      </c>
      <c r="G834" s="608">
        <v>0</v>
      </c>
    </row>
    <row r="835" spans="1:7" ht="11.1" customHeight="1">
      <c r="A835" s="600" t="str">
        <f t="shared" si="60"/>
        <v>EUR;EUR 1Y;30Y</v>
      </c>
      <c r="B835" s="600" t="str">
        <f t="shared" si="64"/>
        <v>EUR</v>
      </c>
      <c r="C835" s="600" t="str">
        <f t="shared" si="64"/>
        <v>EUR 1Y</v>
      </c>
      <c r="D835" s="603"/>
      <c r="E835" s="604"/>
      <c r="F835" s="607" t="s">
        <v>22</v>
      </c>
      <c r="G835" s="608">
        <v>0</v>
      </c>
    </row>
    <row r="836" spans="1:7" ht="11.1" customHeight="1">
      <c r="A836" s="600" t="str">
        <f t="shared" si="60"/>
        <v>EUR;EUR 1Y;31Y</v>
      </c>
      <c r="B836" s="600" t="str">
        <f t="shared" si="64"/>
        <v>EUR</v>
      </c>
      <c r="C836" s="600" t="str">
        <f t="shared" si="64"/>
        <v>EUR 1Y</v>
      </c>
      <c r="D836" s="603"/>
      <c r="E836" s="604"/>
      <c r="F836" s="607" t="s">
        <v>163</v>
      </c>
      <c r="G836" s="608">
        <v>0</v>
      </c>
    </row>
    <row r="837" spans="1:7" ht="11.1" customHeight="1">
      <c r="A837" s="600" t="str">
        <f t="shared" ref="A837:A900" si="65">B837&amp;";"&amp;C837&amp;";"&amp;F837</f>
        <v>EUR;EUR 1Y;32Y</v>
      </c>
      <c r="B837" s="600" t="str">
        <f t="shared" ref="B837:C852" si="66">IF(ISBLANK(D837),B836,D837)</f>
        <v>EUR</v>
      </c>
      <c r="C837" s="600" t="str">
        <f t="shared" si="66"/>
        <v>EUR 1Y</v>
      </c>
      <c r="D837" s="603"/>
      <c r="E837" s="604"/>
      <c r="F837" s="607" t="s">
        <v>164</v>
      </c>
      <c r="G837" s="608">
        <v>0</v>
      </c>
    </row>
    <row r="838" spans="1:7" ht="11.1" customHeight="1">
      <c r="A838" s="600" t="str">
        <f t="shared" si="65"/>
        <v>EUR;EUR 1Y;33Y</v>
      </c>
      <c r="B838" s="600" t="str">
        <f t="shared" si="66"/>
        <v>EUR</v>
      </c>
      <c r="C838" s="600" t="str">
        <f t="shared" si="66"/>
        <v>EUR 1Y</v>
      </c>
      <c r="D838" s="603"/>
      <c r="E838" s="604"/>
      <c r="F838" s="607" t="s">
        <v>165</v>
      </c>
      <c r="G838" s="608">
        <v>0</v>
      </c>
    </row>
    <row r="839" spans="1:7" ht="11.1" customHeight="1">
      <c r="A839" s="600" t="str">
        <f t="shared" si="65"/>
        <v>EUR;EUR 1Y;34Y</v>
      </c>
      <c r="B839" s="600" t="str">
        <f t="shared" si="66"/>
        <v>EUR</v>
      </c>
      <c r="C839" s="600" t="str">
        <f t="shared" si="66"/>
        <v>EUR 1Y</v>
      </c>
      <c r="D839" s="603"/>
      <c r="E839" s="604"/>
      <c r="F839" s="607" t="s">
        <v>166</v>
      </c>
      <c r="G839" s="608">
        <v>0</v>
      </c>
    </row>
    <row r="840" spans="1:7" ht="11.1" customHeight="1">
      <c r="A840" s="600" t="str">
        <f t="shared" si="65"/>
        <v>EUR;EUR 1Y;35Y</v>
      </c>
      <c r="B840" s="600" t="str">
        <f t="shared" si="66"/>
        <v>EUR</v>
      </c>
      <c r="C840" s="600" t="str">
        <f t="shared" si="66"/>
        <v>EUR 1Y</v>
      </c>
      <c r="D840" s="603"/>
      <c r="E840" s="604"/>
      <c r="F840" s="607" t="s">
        <v>167</v>
      </c>
      <c r="G840" s="608">
        <v>0</v>
      </c>
    </row>
    <row r="841" spans="1:7" ht="11.1" customHeight="1">
      <c r="A841" s="600" t="str">
        <f t="shared" si="65"/>
        <v>EUR;EUR 1Y;36Y</v>
      </c>
      <c r="B841" s="600" t="str">
        <f t="shared" si="66"/>
        <v>EUR</v>
      </c>
      <c r="C841" s="600" t="str">
        <f t="shared" si="66"/>
        <v>EUR 1Y</v>
      </c>
      <c r="D841" s="603"/>
      <c r="E841" s="604"/>
      <c r="F841" s="607" t="s">
        <v>168</v>
      </c>
      <c r="G841" s="608">
        <v>0</v>
      </c>
    </row>
    <row r="842" spans="1:7" ht="11.1" customHeight="1">
      <c r="A842" s="600" t="str">
        <f t="shared" si="65"/>
        <v>EUR;EUR 1Y;37Y</v>
      </c>
      <c r="B842" s="600" t="str">
        <f t="shared" si="66"/>
        <v>EUR</v>
      </c>
      <c r="C842" s="600" t="str">
        <f t="shared" si="66"/>
        <v>EUR 1Y</v>
      </c>
      <c r="D842" s="603"/>
      <c r="E842" s="604"/>
      <c r="F842" s="607" t="s">
        <v>169</v>
      </c>
      <c r="G842" s="608">
        <v>0</v>
      </c>
    </row>
    <row r="843" spans="1:7" ht="11.1" customHeight="1">
      <c r="A843" s="600" t="str">
        <f t="shared" si="65"/>
        <v>EUR;EUR 1Y;38Y</v>
      </c>
      <c r="B843" s="600" t="str">
        <f t="shared" si="66"/>
        <v>EUR</v>
      </c>
      <c r="C843" s="600" t="str">
        <f t="shared" si="66"/>
        <v>EUR 1Y</v>
      </c>
      <c r="D843" s="603"/>
      <c r="E843" s="604"/>
      <c r="F843" s="607" t="s">
        <v>170</v>
      </c>
      <c r="G843" s="608">
        <v>0</v>
      </c>
    </row>
    <row r="844" spans="1:7" ht="11.1" customHeight="1">
      <c r="A844" s="600" t="str">
        <f t="shared" si="65"/>
        <v>EUR;EUR 1Y;39Y</v>
      </c>
      <c r="B844" s="600" t="str">
        <f t="shared" si="66"/>
        <v>EUR</v>
      </c>
      <c r="C844" s="600" t="str">
        <f t="shared" si="66"/>
        <v>EUR 1Y</v>
      </c>
      <c r="D844" s="603"/>
      <c r="E844" s="604"/>
      <c r="F844" s="607" t="s">
        <v>171</v>
      </c>
      <c r="G844" s="608">
        <v>0</v>
      </c>
    </row>
    <row r="845" spans="1:7" ht="11.1" customHeight="1">
      <c r="A845" s="600" t="str">
        <f t="shared" si="65"/>
        <v>EUR;EUR 1Y;40Y</v>
      </c>
      <c r="B845" s="600" t="str">
        <f t="shared" si="66"/>
        <v>EUR</v>
      </c>
      <c r="C845" s="600" t="str">
        <f t="shared" si="66"/>
        <v>EUR 1Y</v>
      </c>
      <c r="D845" s="603"/>
      <c r="E845" s="604"/>
      <c r="F845" s="607" t="s">
        <v>46</v>
      </c>
      <c r="G845" s="608">
        <v>0</v>
      </c>
    </row>
    <row r="846" spans="1:7" ht="11.1" customHeight="1">
      <c r="A846" s="600" t="str">
        <f t="shared" si="65"/>
        <v>EUR;EUR 1Y;50Y</v>
      </c>
      <c r="B846" s="600" t="str">
        <f t="shared" si="66"/>
        <v>EUR</v>
      </c>
      <c r="C846" s="600" t="str">
        <f t="shared" si="66"/>
        <v>EUR 1Y</v>
      </c>
      <c r="D846" s="603"/>
      <c r="E846" s="604"/>
      <c r="F846" s="607" t="s">
        <v>47</v>
      </c>
      <c r="G846" s="608">
        <v>0</v>
      </c>
    </row>
    <row r="847" spans="1:7" ht="11.1" customHeight="1">
      <c r="A847" s="600" t="str">
        <f t="shared" si="65"/>
        <v>EUR;EUR 1Y;60Y</v>
      </c>
      <c r="B847" s="600" t="str">
        <f t="shared" si="66"/>
        <v>EUR</v>
      </c>
      <c r="C847" s="600" t="str">
        <f t="shared" si="66"/>
        <v>EUR 1Y</v>
      </c>
      <c r="D847" s="603"/>
      <c r="E847" s="604"/>
      <c r="F847" s="607" t="s">
        <v>48</v>
      </c>
      <c r="G847" s="608">
        <v>0</v>
      </c>
    </row>
    <row r="848" spans="1:7" ht="11.1" customHeight="1">
      <c r="A848" s="600" t="str">
        <f t="shared" si="65"/>
        <v>EUR;EUR 3M;Total EUR 3M</v>
      </c>
      <c r="B848" s="600" t="str">
        <f t="shared" si="66"/>
        <v>EUR</v>
      </c>
      <c r="C848" s="600" t="str">
        <f t="shared" si="66"/>
        <v>EUR 3M</v>
      </c>
      <c r="D848" s="603"/>
      <c r="E848" s="604" t="s">
        <v>88</v>
      </c>
      <c r="F848" s="605" t="s">
        <v>643</v>
      </c>
      <c r="G848" s="606">
        <v>-3923.5003547425499</v>
      </c>
    </row>
    <row r="849" spans="1:7" ht="11.1" customHeight="1">
      <c r="A849" s="600" t="str">
        <f t="shared" si="65"/>
        <v>EUR;EUR 3M;S/N</v>
      </c>
      <c r="B849" s="600" t="str">
        <f t="shared" si="66"/>
        <v>EUR</v>
      </c>
      <c r="C849" s="600" t="str">
        <f t="shared" si="66"/>
        <v>EUR 3M</v>
      </c>
      <c r="D849" s="603"/>
      <c r="E849" s="604"/>
      <c r="F849" s="607" t="s">
        <v>23</v>
      </c>
      <c r="G849" s="611">
        <v>185.41702314420101</v>
      </c>
    </row>
    <row r="850" spans="1:7" ht="11.1" customHeight="1">
      <c r="A850" s="600" t="str">
        <f t="shared" si="65"/>
        <v>EUR;EUR 3M;1W</v>
      </c>
      <c r="B850" s="600" t="str">
        <f t="shared" si="66"/>
        <v>EUR</v>
      </c>
      <c r="C850" s="600" t="str">
        <f t="shared" si="66"/>
        <v>EUR 3M</v>
      </c>
      <c r="D850" s="603"/>
      <c r="E850" s="604"/>
      <c r="F850" s="607" t="s">
        <v>5</v>
      </c>
      <c r="G850" s="611">
        <v>223.329199650417</v>
      </c>
    </row>
    <row r="851" spans="1:7" ht="11.1" customHeight="1">
      <c r="A851" s="600" t="str">
        <f t="shared" si="65"/>
        <v>EUR;EUR 3M;2W</v>
      </c>
      <c r="B851" s="600" t="str">
        <f t="shared" si="66"/>
        <v>EUR</v>
      </c>
      <c r="C851" s="600" t="str">
        <f t="shared" si="66"/>
        <v>EUR 3M</v>
      </c>
      <c r="D851" s="603"/>
      <c r="E851" s="604"/>
      <c r="F851" s="607" t="s">
        <v>6</v>
      </c>
      <c r="G851" s="611">
        <v>269.63681250909201</v>
      </c>
    </row>
    <row r="852" spans="1:7" ht="11.1" customHeight="1">
      <c r="A852" s="600" t="str">
        <f t="shared" si="65"/>
        <v>EUR;EUR 3M;3W</v>
      </c>
      <c r="B852" s="600" t="str">
        <f t="shared" si="66"/>
        <v>EUR</v>
      </c>
      <c r="C852" s="600" t="str">
        <f t="shared" si="66"/>
        <v>EUR 3M</v>
      </c>
      <c r="D852" s="603"/>
      <c r="E852" s="604"/>
      <c r="F852" s="607" t="s">
        <v>24</v>
      </c>
      <c r="G852" s="606">
        <v>-1549.1214287625701</v>
      </c>
    </row>
    <row r="853" spans="1:7" ht="11.1" customHeight="1">
      <c r="A853" s="600" t="str">
        <f t="shared" si="65"/>
        <v>EUR;EUR 3M;1M</v>
      </c>
      <c r="B853" s="600" t="str">
        <f t="shared" ref="B853:C868" si="67">IF(ISBLANK(D853),B852,D853)</f>
        <v>EUR</v>
      </c>
      <c r="C853" s="600" t="str">
        <f t="shared" si="67"/>
        <v>EUR 3M</v>
      </c>
      <c r="D853" s="603"/>
      <c r="E853" s="604"/>
      <c r="F853" s="607" t="s">
        <v>7</v>
      </c>
      <c r="G853" s="611">
        <v>3433.1263533598199</v>
      </c>
    </row>
    <row r="854" spans="1:7" ht="11.1" customHeight="1">
      <c r="A854" s="600" t="str">
        <f t="shared" si="65"/>
        <v>EUR;EUR 3M;2M</v>
      </c>
      <c r="B854" s="600" t="str">
        <f t="shared" si="67"/>
        <v>EUR</v>
      </c>
      <c r="C854" s="600" t="str">
        <f t="shared" si="67"/>
        <v>EUR 3M</v>
      </c>
      <c r="D854" s="603"/>
      <c r="E854" s="604"/>
      <c r="F854" s="607" t="s">
        <v>8</v>
      </c>
      <c r="G854" s="606">
        <v>-1229.2832058259</v>
      </c>
    </row>
    <row r="855" spans="1:7" ht="11.1" customHeight="1">
      <c r="A855" s="600" t="str">
        <f t="shared" si="65"/>
        <v>EUR;EUR 3M;3M</v>
      </c>
      <c r="B855" s="600" t="str">
        <f t="shared" si="67"/>
        <v>EUR</v>
      </c>
      <c r="C855" s="600" t="str">
        <f t="shared" si="67"/>
        <v>EUR 3M</v>
      </c>
      <c r="D855" s="603"/>
      <c r="E855" s="604"/>
      <c r="F855" s="607" t="s">
        <v>25</v>
      </c>
      <c r="G855" s="606">
        <v>-5053.2759956468099</v>
      </c>
    </row>
    <row r="856" spans="1:7" ht="11.1" customHeight="1">
      <c r="A856" s="600" t="str">
        <f t="shared" si="65"/>
        <v>EUR;EUR 3M;1M-4M</v>
      </c>
      <c r="B856" s="600" t="str">
        <f t="shared" si="67"/>
        <v>EUR</v>
      </c>
      <c r="C856" s="600" t="str">
        <f t="shared" si="67"/>
        <v>EUR 3M</v>
      </c>
      <c r="D856" s="603"/>
      <c r="E856" s="604"/>
      <c r="F856" s="607" t="s">
        <v>1350</v>
      </c>
      <c r="G856" s="606">
        <v>-3503.6961936765902</v>
      </c>
    </row>
    <row r="857" spans="1:7" ht="11.1" customHeight="1">
      <c r="A857" s="600" t="str">
        <f t="shared" si="65"/>
        <v>EUR;EUR 3M;2M-5M</v>
      </c>
      <c r="B857" s="600" t="str">
        <f t="shared" si="67"/>
        <v>EUR</v>
      </c>
      <c r="C857" s="600" t="str">
        <f t="shared" si="67"/>
        <v>EUR 3M</v>
      </c>
      <c r="D857" s="603"/>
      <c r="E857" s="604"/>
      <c r="F857" s="607" t="s">
        <v>1351</v>
      </c>
      <c r="G857" s="606">
        <v>-1649.13505664384</v>
      </c>
    </row>
    <row r="858" spans="1:7" ht="11.1" customHeight="1">
      <c r="A858" s="600" t="str">
        <f t="shared" si="65"/>
        <v>EUR;EUR 3M;3M-6M</v>
      </c>
      <c r="B858" s="600" t="str">
        <f t="shared" si="67"/>
        <v>EUR</v>
      </c>
      <c r="C858" s="600" t="str">
        <f t="shared" si="67"/>
        <v>EUR 3M</v>
      </c>
      <c r="D858" s="603"/>
      <c r="E858" s="604"/>
      <c r="F858" s="607" t="s">
        <v>1213</v>
      </c>
      <c r="G858" s="611">
        <v>2737.6922581529602</v>
      </c>
    </row>
    <row r="859" spans="1:7" ht="11.1" customHeight="1">
      <c r="A859" s="600" t="str">
        <f t="shared" si="65"/>
        <v>EUR;EUR 3M;4M-7M</v>
      </c>
      <c r="B859" s="600" t="str">
        <f t="shared" si="67"/>
        <v>EUR</v>
      </c>
      <c r="C859" s="600" t="str">
        <f t="shared" si="67"/>
        <v>EUR 3M</v>
      </c>
      <c r="D859" s="603"/>
      <c r="E859" s="604"/>
      <c r="F859" s="607" t="s">
        <v>1352</v>
      </c>
      <c r="G859" s="606">
        <v>-2145.4755455664099</v>
      </c>
    </row>
    <row r="860" spans="1:7" ht="11.1" customHeight="1">
      <c r="A860" s="600" t="str">
        <f t="shared" si="65"/>
        <v>EUR;EUR 3M;5M-8M</v>
      </c>
      <c r="B860" s="600" t="str">
        <f t="shared" si="67"/>
        <v>EUR</v>
      </c>
      <c r="C860" s="600" t="str">
        <f t="shared" si="67"/>
        <v>EUR 3M</v>
      </c>
      <c r="D860" s="603"/>
      <c r="E860" s="604"/>
      <c r="F860" s="607" t="s">
        <v>1353</v>
      </c>
      <c r="G860" s="606">
        <v>-243.300840150022</v>
      </c>
    </row>
    <row r="861" spans="1:7" ht="11.1" customHeight="1">
      <c r="A861" s="600" t="str">
        <f t="shared" si="65"/>
        <v>EUR;EUR 3M;6M-9M</v>
      </c>
      <c r="B861" s="600" t="str">
        <f t="shared" si="67"/>
        <v>EUR</v>
      </c>
      <c r="C861" s="600" t="str">
        <f t="shared" si="67"/>
        <v>EUR 3M</v>
      </c>
      <c r="D861" s="603"/>
      <c r="E861" s="604"/>
      <c r="F861" s="607" t="s">
        <v>1214</v>
      </c>
      <c r="G861" s="611">
        <v>884.45374004376595</v>
      </c>
    </row>
    <row r="862" spans="1:7" ht="11.1" customHeight="1">
      <c r="A862" s="600" t="str">
        <f t="shared" si="65"/>
        <v>EUR;EUR 3M;7M-10M</v>
      </c>
      <c r="B862" s="600" t="str">
        <f t="shared" si="67"/>
        <v>EUR</v>
      </c>
      <c r="C862" s="600" t="str">
        <f t="shared" si="67"/>
        <v>EUR 3M</v>
      </c>
      <c r="D862" s="603"/>
      <c r="E862" s="604"/>
      <c r="F862" s="607" t="s">
        <v>1354</v>
      </c>
      <c r="G862" s="611">
        <v>5514.5813007215902</v>
      </c>
    </row>
    <row r="863" spans="1:7" ht="11.1" customHeight="1">
      <c r="A863" s="600" t="str">
        <f t="shared" si="65"/>
        <v>EUR;EUR 3M;8M-11M</v>
      </c>
      <c r="B863" s="600" t="str">
        <f t="shared" si="67"/>
        <v>EUR</v>
      </c>
      <c r="C863" s="600" t="str">
        <f t="shared" si="67"/>
        <v>EUR 3M</v>
      </c>
      <c r="D863" s="603"/>
      <c r="E863" s="604"/>
      <c r="F863" s="607" t="s">
        <v>1355</v>
      </c>
      <c r="G863" s="611">
        <v>150.08658135935499</v>
      </c>
    </row>
    <row r="864" spans="1:7" ht="11.1" customHeight="1">
      <c r="A864" s="600" t="str">
        <f t="shared" si="65"/>
        <v>EUR;EUR 3M;9M-12M</v>
      </c>
      <c r="B864" s="600" t="str">
        <f t="shared" si="67"/>
        <v>EUR</v>
      </c>
      <c r="C864" s="600" t="str">
        <f t="shared" si="67"/>
        <v>EUR 3M</v>
      </c>
      <c r="D864" s="603"/>
      <c r="E864" s="604"/>
      <c r="F864" s="607" t="s">
        <v>1215</v>
      </c>
      <c r="G864" s="611">
        <v>400.33200755539201</v>
      </c>
    </row>
    <row r="865" spans="1:7" ht="11.1" customHeight="1">
      <c r="A865" s="600" t="str">
        <f t="shared" si="65"/>
        <v>EUR;EUR 3M;10M-13M</v>
      </c>
      <c r="B865" s="600" t="str">
        <f t="shared" si="67"/>
        <v>EUR</v>
      </c>
      <c r="C865" s="600" t="str">
        <f t="shared" si="67"/>
        <v>EUR 3M</v>
      </c>
      <c r="D865" s="603"/>
      <c r="E865" s="604"/>
      <c r="F865" s="607" t="s">
        <v>3887</v>
      </c>
      <c r="G865" s="611">
        <v>1301.91823158083</v>
      </c>
    </row>
    <row r="866" spans="1:7" ht="11.1" customHeight="1">
      <c r="A866" s="600" t="str">
        <f t="shared" si="65"/>
        <v>EUR;EUR 3M;11M-14M</v>
      </c>
      <c r="B866" s="600" t="str">
        <f t="shared" si="67"/>
        <v>EUR</v>
      </c>
      <c r="C866" s="600" t="str">
        <f t="shared" si="67"/>
        <v>EUR 3M</v>
      </c>
      <c r="D866" s="603"/>
      <c r="E866" s="604"/>
      <c r="F866" s="607" t="s">
        <v>3888</v>
      </c>
      <c r="G866" s="606">
        <v>-274.99065025043598</v>
      </c>
    </row>
    <row r="867" spans="1:7" ht="11.1" customHeight="1">
      <c r="A867" s="600" t="str">
        <f t="shared" si="65"/>
        <v>EUR;EUR 3M;12M-15M</v>
      </c>
      <c r="B867" s="600" t="str">
        <f t="shared" si="67"/>
        <v>EUR</v>
      </c>
      <c r="C867" s="600" t="str">
        <f t="shared" si="67"/>
        <v>EUR 3M</v>
      </c>
      <c r="D867" s="603"/>
      <c r="E867" s="604"/>
      <c r="F867" s="607" t="s">
        <v>2179</v>
      </c>
      <c r="G867" s="611">
        <v>1778.8727790323901</v>
      </c>
    </row>
    <row r="868" spans="1:7" ht="11.1" customHeight="1">
      <c r="A868" s="600" t="str">
        <f t="shared" si="65"/>
        <v>EUR;EUR 3M;DEC 17</v>
      </c>
      <c r="B868" s="600" t="str">
        <f t="shared" si="67"/>
        <v>EUR</v>
      </c>
      <c r="C868" s="600" t="str">
        <f t="shared" si="67"/>
        <v>EUR 3M</v>
      </c>
      <c r="D868" s="603"/>
      <c r="E868" s="604"/>
      <c r="F868" s="607" t="s">
        <v>3865</v>
      </c>
      <c r="G868" s="611">
        <v>22.937568893296199</v>
      </c>
    </row>
    <row r="869" spans="1:7" ht="11.1" customHeight="1">
      <c r="A869" s="600" t="str">
        <f t="shared" si="65"/>
        <v>EUR;EUR 3M;MAR 18</v>
      </c>
      <c r="B869" s="600" t="str">
        <f t="shared" ref="B869:C884" si="68">IF(ISBLANK(D869),B868,D869)</f>
        <v>EUR</v>
      </c>
      <c r="C869" s="600" t="str">
        <f t="shared" si="68"/>
        <v>EUR 3M</v>
      </c>
      <c r="D869" s="603"/>
      <c r="E869" s="604"/>
      <c r="F869" s="607" t="s">
        <v>3866</v>
      </c>
      <c r="G869" s="611">
        <v>2693.74979596701</v>
      </c>
    </row>
    <row r="870" spans="1:7" ht="11.1" customHeight="1">
      <c r="A870" s="600" t="str">
        <f t="shared" si="65"/>
        <v>EUR;EUR 3M;JUN 18</v>
      </c>
      <c r="B870" s="600" t="str">
        <f t="shared" si="68"/>
        <v>EUR</v>
      </c>
      <c r="C870" s="600" t="str">
        <f t="shared" si="68"/>
        <v>EUR 3M</v>
      </c>
      <c r="D870" s="603"/>
      <c r="E870" s="604"/>
      <c r="F870" s="607" t="s">
        <v>3889</v>
      </c>
      <c r="G870" s="606">
        <v>-920.06062469482401</v>
      </c>
    </row>
    <row r="871" spans="1:7" ht="11.1" customHeight="1">
      <c r="A871" s="600" t="str">
        <f t="shared" si="65"/>
        <v>EUR;EUR 3M;SEP 18</v>
      </c>
      <c r="B871" s="600" t="str">
        <f t="shared" si="68"/>
        <v>EUR</v>
      </c>
      <c r="C871" s="600" t="str">
        <f t="shared" si="68"/>
        <v>EUR 3M</v>
      </c>
      <c r="D871" s="603"/>
      <c r="E871" s="604"/>
      <c r="F871" s="607" t="s">
        <v>3890</v>
      </c>
      <c r="G871" s="606">
        <v>-5162.01051358928</v>
      </c>
    </row>
    <row r="872" spans="1:7" ht="11.1" customHeight="1">
      <c r="A872" s="600" t="str">
        <f t="shared" si="65"/>
        <v>EUR;EUR 3M;DEC 18</v>
      </c>
      <c r="B872" s="600" t="str">
        <f t="shared" si="68"/>
        <v>EUR</v>
      </c>
      <c r="C872" s="600" t="str">
        <f t="shared" si="68"/>
        <v>EUR 3M</v>
      </c>
      <c r="D872" s="603"/>
      <c r="E872" s="604"/>
      <c r="F872" s="607" t="s">
        <v>4821</v>
      </c>
      <c r="G872" s="606">
        <v>-2638.1784946064399</v>
      </c>
    </row>
    <row r="873" spans="1:7" ht="11.1" customHeight="1">
      <c r="A873" s="600" t="str">
        <f t="shared" si="65"/>
        <v>EUR;EUR 3M;MAR 19</v>
      </c>
      <c r="B873" s="600" t="str">
        <f t="shared" si="68"/>
        <v>EUR</v>
      </c>
      <c r="C873" s="600" t="str">
        <f t="shared" si="68"/>
        <v>EUR 3M</v>
      </c>
      <c r="D873" s="603"/>
      <c r="E873" s="604"/>
      <c r="F873" s="607" t="s">
        <v>5100</v>
      </c>
      <c r="G873" s="611">
        <v>4113.2626038502804</v>
      </c>
    </row>
    <row r="874" spans="1:7" ht="11.1" customHeight="1">
      <c r="A874" s="600" t="str">
        <f t="shared" si="65"/>
        <v>EUR;EUR 3M;3Y</v>
      </c>
      <c r="B874" s="600" t="str">
        <f t="shared" si="68"/>
        <v>EUR</v>
      </c>
      <c r="C874" s="600" t="str">
        <f t="shared" si="68"/>
        <v>EUR 3M</v>
      </c>
      <c r="D874" s="603"/>
      <c r="E874" s="604"/>
      <c r="F874" s="607" t="s">
        <v>10</v>
      </c>
      <c r="G874" s="606">
        <v>-12345.0303411856</v>
      </c>
    </row>
    <row r="875" spans="1:7" ht="11.1" customHeight="1">
      <c r="A875" s="600" t="str">
        <f t="shared" si="65"/>
        <v>EUR;EUR 3M;4Y</v>
      </c>
      <c r="B875" s="600" t="str">
        <f t="shared" si="68"/>
        <v>EUR</v>
      </c>
      <c r="C875" s="600" t="str">
        <f t="shared" si="68"/>
        <v>EUR 3M</v>
      </c>
      <c r="D875" s="603"/>
      <c r="E875" s="604"/>
      <c r="F875" s="607" t="s">
        <v>11</v>
      </c>
      <c r="G875" s="606">
        <v>-18717.013622028</v>
      </c>
    </row>
    <row r="876" spans="1:7" ht="11.1" customHeight="1">
      <c r="A876" s="600" t="str">
        <f t="shared" si="65"/>
        <v>EUR;EUR 3M;5Y</v>
      </c>
      <c r="B876" s="600" t="str">
        <f t="shared" si="68"/>
        <v>EUR</v>
      </c>
      <c r="C876" s="600" t="str">
        <f t="shared" si="68"/>
        <v>EUR 3M</v>
      </c>
      <c r="D876" s="603"/>
      <c r="E876" s="604"/>
      <c r="F876" s="607" t="s">
        <v>12</v>
      </c>
      <c r="G876" s="611">
        <v>15659.1061716777</v>
      </c>
    </row>
    <row r="877" spans="1:7" ht="11.1" customHeight="1">
      <c r="A877" s="600" t="str">
        <f t="shared" si="65"/>
        <v>EUR;EUR 3M;6Y</v>
      </c>
      <c r="B877" s="600" t="str">
        <f t="shared" si="68"/>
        <v>EUR</v>
      </c>
      <c r="C877" s="600" t="str">
        <f t="shared" si="68"/>
        <v>EUR 3M</v>
      </c>
      <c r="D877" s="603"/>
      <c r="E877" s="604"/>
      <c r="F877" s="607" t="s">
        <v>13</v>
      </c>
      <c r="G877" s="606">
        <v>-14488.173226355801</v>
      </c>
    </row>
    <row r="878" spans="1:7" ht="11.1" customHeight="1">
      <c r="A878" s="600" t="str">
        <f t="shared" si="65"/>
        <v>EUR;EUR 3M;7Y</v>
      </c>
      <c r="B878" s="600" t="str">
        <f t="shared" si="68"/>
        <v>EUR</v>
      </c>
      <c r="C878" s="600" t="str">
        <f t="shared" si="68"/>
        <v>EUR 3M</v>
      </c>
      <c r="D878" s="603"/>
      <c r="E878" s="604"/>
      <c r="F878" s="607" t="s">
        <v>14</v>
      </c>
      <c r="G878" s="611">
        <v>43502.008095943696</v>
      </c>
    </row>
    <row r="879" spans="1:7" ht="11.1" customHeight="1">
      <c r="A879" s="600" t="str">
        <f t="shared" si="65"/>
        <v>EUR;EUR 3M;8Y</v>
      </c>
      <c r="B879" s="600" t="str">
        <f t="shared" si="68"/>
        <v>EUR</v>
      </c>
      <c r="C879" s="600" t="str">
        <f t="shared" si="68"/>
        <v>EUR 3M</v>
      </c>
      <c r="D879" s="603"/>
      <c r="E879" s="604"/>
      <c r="F879" s="607" t="s">
        <v>15</v>
      </c>
      <c r="G879" s="606">
        <v>-5622.0789885126396</v>
      </c>
    </row>
    <row r="880" spans="1:7" ht="11.1" customHeight="1">
      <c r="A880" s="600" t="str">
        <f t="shared" si="65"/>
        <v>EUR;EUR 3M;9Y</v>
      </c>
      <c r="B880" s="600" t="str">
        <f t="shared" si="68"/>
        <v>EUR</v>
      </c>
      <c r="C880" s="600" t="str">
        <f t="shared" si="68"/>
        <v>EUR 3M</v>
      </c>
      <c r="D880" s="603"/>
      <c r="E880" s="604"/>
      <c r="F880" s="607" t="s">
        <v>16</v>
      </c>
      <c r="G880" s="611">
        <v>13478.4848765076</v>
      </c>
    </row>
    <row r="881" spans="1:7" ht="11.1" customHeight="1">
      <c r="A881" s="600" t="str">
        <f t="shared" si="65"/>
        <v>EUR;EUR 3M;10Y</v>
      </c>
      <c r="B881" s="600" t="str">
        <f t="shared" si="68"/>
        <v>EUR</v>
      </c>
      <c r="C881" s="600" t="str">
        <f t="shared" si="68"/>
        <v>EUR 3M</v>
      </c>
      <c r="D881" s="603"/>
      <c r="E881" s="604"/>
      <c r="F881" s="607" t="s">
        <v>17</v>
      </c>
      <c r="G881" s="606">
        <v>-89005.369400818905</v>
      </c>
    </row>
    <row r="882" spans="1:7" ht="11.1" customHeight="1">
      <c r="A882" s="600" t="str">
        <f t="shared" si="65"/>
        <v>EUR;EUR 3M;11Y</v>
      </c>
      <c r="B882" s="600" t="str">
        <f t="shared" si="68"/>
        <v>EUR</v>
      </c>
      <c r="C882" s="600" t="str">
        <f t="shared" si="68"/>
        <v>EUR 3M</v>
      </c>
      <c r="D882" s="603"/>
      <c r="E882" s="604"/>
      <c r="F882" s="607" t="s">
        <v>31</v>
      </c>
      <c r="G882" s="606">
        <v>-60923.497455770899</v>
      </c>
    </row>
    <row r="883" spans="1:7" ht="11.1" customHeight="1">
      <c r="A883" s="600" t="str">
        <f t="shared" si="65"/>
        <v>EUR;EUR 3M;12Y</v>
      </c>
      <c r="B883" s="600" t="str">
        <f t="shared" si="68"/>
        <v>EUR</v>
      </c>
      <c r="C883" s="600" t="str">
        <f t="shared" si="68"/>
        <v>EUR 3M</v>
      </c>
      <c r="D883" s="603"/>
      <c r="E883" s="604"/>
      <c r="F883" s="607" t="s">
        <v>18</v>
      </c>
      <c r="G883" s="611">
        <v>63267.3705133111</v>
      </c>
    </row>
    <row r="884" spans="1:7" ht="11.1" customHeight="1">
      <c r="A884" s="600" t="str">
        <f t="shared" si="65"/>
        <v>EUR;EUR 3M;13Y</v>
      </c>
      <c r="B884" s="600" t="str">
        <f t="shared" si="68"/>
        <v>EUR</v>
      </c>
      <c r="C884" s="600" t="str">
        <f t="shared" si="68"/>
        <v>EUR 3M</v>
      </c>
      <c r="D884" s="603"/>
      <c r="E884" s="604"/>
      <c r="F884" s="607" t="s">
        <v>32</v>
      </c>
      <c r="G884" s="611">
        <v>9438.17676153701</v>
      </c>
    </row>
    <row r="885" spans="1:7" ht="11.1" customHeight="1">
      <c r="A885" s="600" t="str">
        <f t="shared" si="65"/>
        <v>EUR;EUR 3M;14Y</v>
      </c>
      <c r="B885" s="600" t="str">
        <f t="shared" ref="B885:C900" si="69">IF(ISBLANK(D885),B884,D885)</f>
        <v>EUR</v>
      </c>
      <c r="C885" s="600" t="str">
        <f t="shared" si="69"/>
        <v>EUR 3M</v>
      </c>
      <c r="D885" s="603"/>
      <c r="E885" s="604"/>
      <c r="F885" s="607" t="s">
        <v>33</v>
      </c>
      <c r="G885" s="611">
        <v>88960.230802803897</v>
      </c>
    </row>
    <row r="886" spans="1:7" ht="11.1" customHeight="1">
      <c r="A886" s="600" t="str">
        <f t="shared" si="65"/>
        <v>EUR;EUR 3M;15Y</v>
      </c>
      <c r="B886" s="600" t="str">
        <f t="shared" si="69"/>
        <v>EUR</v>
      </c>
      <c r="C886" s="600" t="str">
        <f t="shared" si="69"/>
        <v>EUR 3M</v>
      </c>
      <c r="D886" s="603"/>
      <c r="E886" s="604"/>
      <c r="F886" s="607" t="s">
        <v>19</v>
      </c>
      <c r="G886" s="611">
        <v>16332.594059221699</v>
      </c>
    </row>
    <row r="887" spans="1:7" ht="11.1" customHeight="1">
      <c r="A887" s="600" t="str">
        <f t="shared" si="65"/>
        <v>EUR;EUR 3M;16Y</v>
      </c>
      <c r="B887" s="600" t="str">
        <f t="shared" si="69"/>
        <v>EUR</v>
      </c>
      <c r="C887" s="600" t="str">
        <f t="shared" si="69"/>
        <v>EUR 3M</v>
      </c>
      <c r="D887" s="603"/>
      <c r="E887" s="604"/>
      <c r="F887" s="607" t="s">
        <v>34</v>
      </c>
      <c r="G887" s="606">
        <v>-67916.323501658306</v>
      </c>
    </row>
    <row r="888" spans="1:7" ht="11.1" customHeight="1">
      <c r="A888" s="600" t="str">
        <f t="shared" si="65"/>
        <v>EUR;EUR 3M;17Y</v>
      </c>
      <c r="B888" s="600" t="str">
        <f t="shared" si="69"/>
        <v>EUR</v>
      </c>
      <c r="C888" s="600" t="str">
        <f t="shared" si="69"/>
        <v>EUR 3M</v>
      </c>
      <c r="D888" s="603"/>
      <c r="E888" s="604"/>
      <c r="F888" s="607" t="s">
        <v>35</v>
      </c>
      <c r="G888" s="611">
        <v>4687.1531510352097</v>
      </c>
    </row>
    <row r="889" spans="1:7" ht="11.1" customHeight="1">
      <c r="A889" s="600" t="str">
        <f t="shared" si="65"/>
        <v>EUR;EUR 3M;18Y</v>
      </c>
      <c r="B889" s="600" t="str">
        <f t="shared" si="69"/>
        <v>EUR</v>
      </c>
      <c r="C889" s="600" t="str">
        <f t="shared" si="69"/>
        <v>EUR 3M</v>
      </c>
      <c r="D889" s="603"/>
      <c r="E889" s="604"/>
      <c r="F889" s="607" t="s">
        <v>36</v>
      </c>
      <c r="G889" s="611">
        <v>5291.3447842202704</v>
      </c>
    </row>
    <row r="890" spans="1:7" ht="11.1" customHeight="1">
      <c r="A890" s="600" t="str">
        <f t="shared" si="65"/>
        <v>EUR;EUR 3M;19Y</v>
      </c>
      <c r="B890" s="600" t="str">
        <f t="shared" si="69"/>
        <v>EUR</v>
      </c>
      <c r="C890" s="600" t="str">
        <f t="shared" si="69"/>
        <v>EUR 3M</v>
      </c>
      <c r="D890" s="603"/>
      <c r="E890" s="604"/>
      <c r="F890" s="607" t="s">
        <v>37</v>
      </c>
      <c r="G890" s="606">
        <v>-18935.929035528501</v>
      </c>
    </row>
    <row r="891" spans="1:7" ht="11.1" customHeight="1">
      <c r="A891" s="600" t="str">
        <f t="shared" si="65"/>
        <v>EUR;EUR 3M;20Y</v>
      </c>
      <c r="B891" s="600" t="str">
        <f t="shared" si="69"/>
        <v>EUR</v>
      </c>
      <c r="C891" s="600" t="str">
        <f t="shared" si="69"/>
        <v>EUR 3M</v>
      </c>
      <c r="D891" s="603"/>
      <c r="E891" s="604"/>
      <c r="F891" s="607" t="s">
        <v>20</v>
      </c>
      <c r="G891" s="606">
        <v>-27718.494650723202</v>
      </c>
    </row>
    <row r="892" spans="1:7" ht="11.1" customHeight="1">
      <c r="A892" s="600" t="str">
        <f t="shared" si="65"/>
        <v>EUR;EUR 3M;21Y</v>
      </c>
      <c r="B892" s="600" t="str">
        <f t="shared" si="69"/>
        <v>EUR</v>
      </c>
      <c r="C892" s="600" t="str">
        <f t="shared" si="69"/>
        <v>EUR 3M</v>
      </c>
      <c r="D892" s="603"/>
      <c r="E892" s="604"/>
      <c r="F892" s="607" t="s">
        <v>38</v>
      </c>
      <c r="G892" s="611">
        <v>114880.22288754401</v>
      </c>
    </row>
    <row r="893" spans="1:7" ht="11.1" customHeight="1">
      <c r="A893" s="600" t="str">
        <f t="shared" si="65"/>
        <v>EUR;EUR 3M;22Y</v>
      </c>
      <c r="B893" s="600" t="str">
        <f t="shared" si="69"/>
        <v>EUR</v>
      </c>
      <c r="C893" s="600" t="str">
        <f t="shared" si="69"/>
        <v>EUR 3M</v>
      </c>
      <c r="D893" s="603"/>
      <c r="E893" s="604"/>
      <c r="F893" s="607" t="s">
        <v>39</v>
      </c>
      <c r="G893" s="606">
        <v>-44202.422140939903</v>
      </c>
    </row>
    <row r="894" spans="1:7" ht="11.1" customHeight="1">
      <c r="A894" s="600" t="str">
        <f t="shared" si="65"/>
        <v>EUR;EUR 3M;23Y</v>
      </c>
      <c r="B894" s="600" t="str">
        <f t="shared" si="69"/>
        <v>EUR</v>
      </c>
      <c r="C894" s="600" t="str">
        <f t="shared" si="69"/>
        <v>EUR 3M</v>
      </c>
      <c r="D894" s="603"/>
      <c r="E894" s="604"/>
      <c r="F894" s="607" t="s">
        <v>40</v>
      </c>
      <c r="G894" s="606">
        <v>-23023.017052544699</v>
      </c>
    </row>
    <row r="895" spans="1:7" ht="11.1" customHeight="1">
      <c r="A895" s="600" t="str">
        <f t="shared" si="65"/>
        <v>EUR;EUR 3M;24Y</v>
      </c>
      <c r="B895" s="600" t="str">
        <f t="shared" si="69"/>
        <v>EUR</v>
      </c>
      <c r="C895" s="600" t="str">
        <f t="shared" si="69"/>
        <v>EUR 3M</v>
      </c>
      <c r="D895" s="603"/>
      <c r="E895" s="604"/>
      <c r="F895" s="607" t="s">
        <v>41</v>
      </c>
      <c r="G895" s="606">
        <v>-220.79907245247799</v>
      </c>
    </row>
    <row r="896" spans="1:7" ht="11.1" customHeight="1">
      <c r="A896" s="600" t="str">
        <f t="shared" si="65"/>
        <v>EUR;EUR 3M;25Y</v>
      </c>
      <c r="B896" s="600" t="str">
        <f t="shared" si="69"/>
        <v>EUR</v>
      </c>
      <c r="C896" s="600" t="str">
        <f t="shared" si="69"/>
        <v>EUR 3M</v>
      </c>
      <c r="D896" s="603"/>
      <c r="E896" s="604"/>
      <c r="F896" s="607" t="s">
        <v>21</v>
      </c>
      <c r="G896" s="611">
        <v>4301.5886000052496</v>
      </c>
    </row>
    <row r="897" spans="1:7" ht="11.1" customHeight="1">
      <c r="A897" s="600" t="str">
        <f t="shared" si="65"/>
        <v>EUR;EUR 3M;26Y</v>
      </c>
      <c r="B897" s="600" t="str">
        <f t="shared" si="69"/>
        <v>EUR</v>
      </c>
      <c r="C897" s="600" t="str">
        <f t="shared" si="69"/>
        <v>EUR 3M</v>
      </c>
      <c r="D897" s="603"/>
      <c r="E897" s="604"/>
      <c r="F897" s="607" t="s">
        <v>42</v>
      </c>
      <c r="G897" s="611">
        <v>55.701433346150097</v>
      </c>
    </row>
    <row r="898" spans="1:7" ht="11.1" customHeight="1">
      <c r="A898" s="600" t="str">
        <f t="shared" si="65"/>
        <v>EUR;EUR 3M;27Y</v>
      </c>
      <c r="B898" s="600" t="str">
        <f t="shared" si="69"/>
        <v>EUR</v>
      </c>
      <c r="C898" s="600" t="str">
        <f t="shared" si="69"/>
        <v>EUR 3M</v>
      </c>
      <c r="D898" s="603"/>
      <c r="E898" s="604"/>
      <c r="F898" s="607" t="s">
        <v>43</v>
      </c>
      <c r="G898" s="606">
        <v>-0.20175470311256999</v>
      </c>
    </row>
    <row r="899" spans="1:7" ht="11.1" customHeight="1">
      <c r="A899" s="600" t="str">
        <f t="shared" si="65"/>
        <v>EUR;EUR 3M;28Y</v>
      </c>
      <c r="B899" s="600" t="str">
        <f t="shared" si="69"/>
        <v>EUR</v>
      </c>
      <c r="C899" s="600" t="str">
        <f t="shared" si="69"/>
        <v>EUR 3M</v>
      </c>
      <c r="D899" s="603"/>
      <c r="E899" s="604"/>
      <c r="F899" s="607" t="s">
        <v>44</v>
      </c>
      <c r="G899" s="611">
        <v>4.5827609814486302E-5</v>
      </c>
    </row>
    <row r="900" spans="1:7" ht="11.1" customHeight="1">
      <c r="A900" s="600" t="str">
        <f t="shared" si="65"/>
        <v>EUR;EUR 3M;29Y</v>
      </c>
      <c r="B900" s="600" t="str">
        <f t="shared" si="69"/>
        <v>EUR</v>
      </c>
      <c r="C900" s="600" t="str">
        <f t="shared" si="69"/>
        <v>EUR 3M</v>
      </c>
      <c r="D900" s="603"/>
      <c r="E900" s="604"/>
      <c r="F900" s="607" t="s">
        <v>45</v>
      </c>
      <c r="G900" s="606">
        <v>-9.0752993753214502E-7</v>
      </c>
    </row>
    <row r="901" spans="1:7" ht="11.1" customHeight="1">
      <c r="A901" s="600" t="str">
        <f t="shared" ref="A901:A964" si="70">B901&amp;";"&amp;C901&amp;";"&amp;F901</f>
        <v>EUR;EUR 3M;30Y</v>
      </c>
      <c r="B901" s="600" t="str">
        <f t="shared" ref="B901:C916" si="71">IF(ISBLANK(D901),B900,D901)</f>
        <v>EUR</v>
      </c>
      <c r="C901" s="600" t="str">
        <f t="shared" si="71"/>
        <v>EUR 3M</v>
      </c>
      <c r="D901" s="603"/>
      <c r="E901" s="604"/>
      <c r="F901" s="607" t="s">
        <v>22</v>
      </c>
      <c r="G901" s="606">
        <v>-5.5835288789031596E-10</v>
      </c>
    </row>
    <row r="902" spans="1:7" ht="11.1" customHeight="1">
      <c r="A902" s="600" t="str">
        <f t="shared" si="70"/>
        <v>EUR;EUR 3M;31Y</v>
      </c>
      <c r="B902" s="600" t="str">
        <f t="shared" si="71"/>
        <v>EUR</v>
      </c>
      <c r="C902" s="600" t="str">
        <f t="shared" si="71"/>
        <v>EUR 3M</v>
      </c>
      <c r="D902" s="603"/>
      <c r="E902" s="604"/>
      <c r="F902" s="607" t="s">
        <v>163</v>
      </c>
      <c r="G902" s="608">
        <v>0</v>
      </c>
    </row>
    <row r="903" spans="1:7" ht="11.1" customHeight="1">
      <c r="A903" s="600" t="str">
        <f t="shared" si="70"/>
        <v>EUR;EUR 3M;32Y</v>
      </c>
      <c r="B903" s="600" t="str">
        <f t="shared" si="71"/>
        <v>EUR</v>
      </c>
      <c r="C903" s="600" t="str">
        <f t="shared" si="71"/>
        <v>EUR 3M</v>
      </c>
      <c r="D903" s="603"/>
      <c r="E903" s="604"/>
      <c r="F903" s="607" t="s">
        <v>164</v>
      </c>
      <c r="G903" s="608">
        <v>0</v>
      </c>
    </row>
    <row r="904" spans="1:7" ht="11.1" customHeight="1">
      <c r="A904" s="600" t="str">
        <f t="shared" si="70"/>
        <v>EUR;EUR 3M;33Y</v>
      </c>
      <c r="B904" s="600" t="str">
        <f t="shared" si="71"/>
        <v>EUR</v>
      </c>
      <c r="C904" s="600" t="str">
        <f t="shared" si="71"/>
        <v>EUR 3M</v>
      </c>
      <c r="D904" s="603"/>
      <c r="E904" s="604"/>
      <c r="F904" s="607" t="s">
        <v>165</v>
      </c>
      <c r="G904" s="608">
        <v>0</v>
      </c>
    </row>
    <row r="905" spans="1:7" ht="11.1" customHeight="1">
      <c r="A905" s="600" t="str">
        <f t="shared" si="70"/>
        <v>EUR;EUR 3M;34Y</v>
      </c>
      <c r="B905" s="600" t="str">
        <f t="shared" si="71"/>
        <v>EUR</v>
      </c>
      <c r="C905" s="600" t="str">
        <f t="shared" si="71"/>
        <v>EUR 3M</v>
      </c>
      <c r="D905" s="603"/>
      <c r="E905" s="604"/>
      <c r="F905" s="607" t="s">
        <v>166</v>
      </c>
      <c r="G905" s="608">
        <v>0</v>
      </c>
    </row>
    <row r="906" spans="1:7" ht="11.1" customHeight="1">
      <c r="A906" s="600" t="str">
        <f t="shared" si="70"/>
        <v>EUR;EUR 3M;35Y</v>
      </c>
      <c r="B906" s="600" t="str">
        <f t="shared" si="71"/>
        <v>EUR</v>
      </c>
      <c r="C906" s="600" t="str">
        <f t="shared" si="71"/>
        <v>EUR 3M</v>
      </c>
      <c r="D906" s="603"/>
      <c r="E906" s="604"/>
      <c r="F906" s="607" t="s">
        <v>167</v>
      </c>
      <c r="G906" s="608">
        <v>0</v>
      </c>
    </row>
    <row r="907" spans="1:7" ht="11.1" customHeight="1">
      <c r="A907" s="600" t="str">
        <f t="shared" si="70"/>
        <v>EUR;EUR 3M;36Y</v>
      </c>
      <c r="B907" s="600" t="str">
        <f t="shared" si="71"/>
        <v>EUR</v>
      </c>
      <c r="C907" s="600" t="str">
        <f t="shared" si="71"/>
        <v>EUR 3M</v>
      </c>
      <c r="D907" s="603"/>
      <c r="E907" s="604"/>
      <c r="F907" s="607" t="s">
        <v>168</v>
      </c>
      <c r="G907" s="608">
        <v>0</v>
      </c>
    </row>
    <row r="908" spans="1:7" ht="11.1" customHeight="1">
      <c r="A908" s="600" t="str">
        <f t="shared" si="70"/>
        <v>EUR;EUR 3M;37Y</v>
      </c>
      <c r="B908" s="600" t="str">
        <f t="shared" si="71"/>
        <v>EUR</v>
      </c>
      <c r="C908" s="600" t="str">
        <f t="shared" si="71"/>
        <v>EUR 3M</v>
      </c>
      <c r="D908" s="603"/>
      <c r="E908" s="604"/>
      <c r="F908" s="607" t="s">
        <v>169</v>
      </c>
      <c r="G908" s="608">
        <v>0</v>
      </c>
    </row>
    <row r="909" spans="1:7" ht="11.1" customHeight="1">
      <c r="A909" s="600" t="str">
        <f t="shared" si="70"/>
        <v>EUR;EUR 3M;38Y</v>
      </c>
      <c r="B909" s="600" t="str">
        <f t="shared" si="71"/>
        <v>EUR</v>
      </c>
      <c r="C909" s="600" t="str">
        <f t="shared" si="71"/>
        <v>EUR 3M</v>
      </c>
      <c r="D909" s="603"/>
      <c r="E909" s="604"/>
      <c r="F909" s="607" t="s">
        <v>170</v>
      </c>
      <c r="G909" s="608">
        <v>0</v>
      </c>
    </row>
    <row r="910" spans="1:7" ht="11.1" customHeight="1">
      <c r="A910" s="600" t="str">
        <f t="shared" si="70"/>
        <v>EUR;EUR 3M;39Y</v>
      </c>
      <c r="B910" s="600" t="str">
        <f t="shared" si="71"/>
        <v>EUR</v>
      </c>
      <c r="C910" s="600" t="str">
        <f t="shared" si="71"/>
        <v>EUR 3M</v>
      </c>
      <c r="D910" s="603"/>
      <c r="E910" s="604"/>
      <c r="F910" s="607" t="s">
        <v>171</v>
      </c>
      <c r="G910" s="608">
        <v>0</v>
      </c>
    </row>
    <row r="911" spans="1:7" ht="11.1" customHeight="1">
      <c r="A911" s="600" t="str">
        <f t="shared" si="70"/>
        <v>EUR;EUR 3M;40Y</v>
      </c>
      <c r="B911" s="600" t="str">
        <f t="shared" si="71"/>
        <v>EUR</v>
      </c>
      <c r="C911" s="600" t="str">
        <f t="shared" si="71"/>
        <v>EUR 3M</v>
      </c>
      <c r="D911" s="603"/>
      <c r="E911" s="604"/>
      <c r="F911" s="607" t="s">
        <v>46</v>
      </c>
      <c r="G911" s="608">
        <v>0</v>
      </c>
    </row>
    <row r="912" spans="1:7" ht="11.1" customHeight="1">
      <c r="A912" s="600" t="str">
        <f t="shared" si="70"/>
        <v>EUR;EUR 3M;50Y</v>
      </c>
      <c r="B912" s="600" t="str">
        <f t="shared" si="71"/>
        <v>EUR</v>
      </c>
      <c r="C912" s="600" t="str">
        <f t="shared" si="71"/>
        <v>EUR 3M</v>
      </c>
      <c r="D912" s="603"/>
      <c r="E912" s="604"/>
      <c r="F912" s="607" t="s">
        <v>47</v>
      </c>
      <c r="G912" s="608">
        <v>0</v>
      </c>
    </row>
    <row r="913" spans="1:7" ht="11.1" customHeight="1">
      <c r="A913" s="600" t="str">
        <f t="shared" si="70"/>
        <v>EUR;EUR 3M;60Y</v>
      </c>
      <c r="B913" s="600" t="str">
        <f t="shared" si="71"/>
        <v>EUR</v>
      </c>
      <c r="C913" s="600" t="str">
        <f t="shared" si="71"/>
        <v>EUR 3M</v>
      </c>
      <c r="D913" s="603"/>
      <c r="E913" s="604"/>
      <c r="F913" s="607" t="s">
        <v>48</v>
      </c>
      <c r="G913" s="608">
        <v>0</v>
      </c>
    </row>
    <row r="914" spans="1:7" ht="11.1" customHeight="1">
      <c r="A914" s="600" t="str">
        <f t="shared" si="70"/>
        <v>EUR;EUR 6M;Total EUR 6M</v>
      </c>
      <c r="B914" s="600" t="str">
        <f t="shared" si="71"/>
        <v>EUR</v>
      </c>
      <c r="C914" s="600" t="str">
        <f t="shared" si="71"/>
        <v>EUR 6M</v>
      </c>
      <c r="D914" s="603"/>
      <c r="E914" s="604" t="s">
        <v>89</v>
      </c>
      <c r="F914" s="605" t="s">
        <v>644</v>
      </c>
      <c r="G914" s="606">
        <v>-16806.277571190902</v>
      </c>
    </row>
    <row r="915" spans="1:7" ht="11.1" customHeight="1">
      <c r="A915" s="600" t="str">
        <f t="shared" si="70"/>
        <v>EUR;EUR 6M;S/N</v>
      </c>
      <c r="B915" s="600" t="str">
        <f t="shared" si="71"/>
        <v>EUR</v>
      </c>
      <c r="C915" s="600" t="str">
        <f t="shared" si="71"/>
        <v>EUR 6M</v>
      </c>
      <c r="D915" s="603"/>
      <c r="E915" s="604"/>
      <c r="F915" s="607" t="s">
        <v>23</v>
      </c>
      <c r="G915" s="611">
        <v>234.998829990037</v>
      </c>
    </row>
    <row r="916" spans="1:7" ht="11.1" customHeight="1">
      <c r="A916" s="600" t="str">
        <f t="shared" si="70"/>
        <v>EUR;EUR 6M;1W</v>
      </c>
      <c r="B916" s="600" t="str">
        <f t="shared" si="71"/>
        <v>EUR</v>
      </c>
      <c r="C916" s="600" t="str">
        <f t="shared" si="71"/>
        <v>EUR 6M</v>
      </c>
      <c r="D916" s="603"/>
      <c r="E916" s="604"/>
      <c r="F916" s="607" t="s">
        <v>5</v>
      </c>
      <c r="G916" s="606">
        <v>-468.387347944505</v>
      </c>
    </row>
    <row r="917" spans="1:7" ht="11.1" customHeight="1">
      <c r="A917" s="600" t="str">
        <f t="shared" si="70"/>
        <v>EUR;EUR 6M;2W</v>
      </c>
      <c r="B917" s="600" t="str">
        <f t="shared" ref="B917:C932" si="72">IF(ISBLANK(D917),B916,D917)</f>
        <v>EUR</v>
      </c>
      <c r="C917" s="600" t="str">
        <f t="shared" si="72"/>
        <v>EUR 6M</v>
      </c>
      <c r="D917" s="603"/>
      <c r="E917" s="604"/>
      <c r="F917" s="607" t="s">
        <v>6</v>
      </c>
      <c r="G917" s="606">
        <v>-560.41746517148999</v>
      </c>
    </row>
    <row r="918" spans="1:7" ht="11.1" customHeight="1">
      <c r="A918" s="600" t="str">
        <f t="shared" si="70"/>
        <v>EUR;EUR 6M;3W</v>
      </c>
      <c r="B918" s="600" t="str">
        <f t="shared" si="72"/>
        <v>EUR</v>
      </c>
      <c r="C918" s="600" t="str">
        <f t="shared" si="72"/>
        <v>EUR 6M</v>
      </c>
      <c r="D918" s="603"/>
      <c r="E918" s="604"/>
      <c r="F918" s="607" t="s">
        <v>24</v>
      </c>
      <c r="G918" s="606">
        <v>-194.69120486839901</v>
      </c>
    </row>
    <row r="919" spans="1:7" ht="11.1" customHeight="1">
      <c r="A919" s="600" t="str">
        <f t="shared" si="70"/>
        <v>EUR;EUR 6M;1M</v>
      </c>
      <c r="B919" s="600" t="str">
        <f t="shared" si="72"/>
        <v>EUR</v>
      </c>
      <c r="C919" s="600" t="str">
        <f t="shared" si="72"/>
        <v>EUR 6M</v>
      </c>
      <c r="D919" s="603"/>
      <c r="E919" s="604"/>
      <c r="F919" s="607" t="s">
        <v>7</v>
      </c>
      <c r="G919" s="611">
        <v>7254.71134521371</v>
      </c>
    </row>
    <row r="920" spans="1:7" ht="11.1" customHeight="1">
      <c r="A920" s="600" t="str">
        <f t="shared" si="70"/>
        <v>EUR;EUR 6M;2M</v>
      </c>
      <c r="B920" s="600" t="str">
        <f t="shared" si="72"/>
        <v>EUR</v>
      </c>
      <c r="C920" s="600" t="str">
        <f t="shared" si="72"/>
        <v>EUR 6M</v>
      </c>
      <c r="D920" s="603"/>
      <c r="E920" s="604"/>
      <c r="F920" s="607" t="s">
        <v>8</v>
      </c>
      <c r="G920" s="611">
        <v>6055.1558608064197</v>
      </c>
    </row>
    <row r="921" spans="1:7" ht="11.1" customHeight="1">
      <c r="A921" s="600" t="str">
        <f t="shared" si="70"/>
        <v>EUR;EUR 6M;3M</v>
      </c>
      <c r="B921" s="600" t="str">
        <f t="shared" si="72"/>
        <v>EUR</v>
      </c>
      <c r="C921" s="600" t="str">
        <f t="shared" si="72"/>
        <v>EUR 6M</v>
      </c>
      <c r="D921" s="603"/>
      <c r="E921" s="604"/>
      <c r="F921" s="607" t="s">
        <v>25</v>
      </c>
      <c r="G921" s="606">
        <v>-1792.12677799522</v>
      </c>
    </row>
    <row r="922" spans="1:7" ht="11.1" customHeight="1">
      <c r="A922" s="600" t="str">
        <f t="shared" si="70"/>
        <v>EUR;EUR 6M;4M</v>
      </c>
      <c r="B922" s="600" t="str">
        <f t="shared" si="72"/>
        <v>EUR</v>
      </c>
      <c r="C922" s="600" t="str">
        <f t="shared" si="72"/>
        <v>EUR 6M</v>
      </c>
      <c r="D922" s="603"/>
      <c r="E922" s="604"/>
      <c r="F922" s="607" t="s">
        <v>26</v>
      </c>
      <c r="G922" s="606">
        <v>-4499.5137539850602</v>
      </c>
    </row>
    <row r="923" spans="1:7" ht="11.1" customHeight="1">
      <c r="A923" s="600" t="str">
        <f t="shared" si="70"/>
        <v>EUR;EUR 6M;5M</v>
      </c>
      <c r="B923" s="600" t="str">
        <f t="shared" si="72"/>
        <v>EUR</v>
      </c>
      <c r="C923" s="600" t="str">
        <f t="shared" si="72"/>
        <v>EUR 6M</v>
      </c>
      <c r="D923" s="603"/>
      <c r="E923" s="604"/>
      <c r="F923" s="607" t="s">
        <v>27</v>
      </c>
      <c r="G923" s="606">
        <v>-18442.078152361799</v>
      </c>
    </row>
    <row r="924" spans="1:7" ht="11.1" customHeight="1">
      <c r="A924" s="600" t="str">
        <f t="shared" si="70"/>
        <v>EUR;EUR 6M;6M</v>
      </c>
      <c r="B924" s="600" t="str">
        <f t="shared" si="72"/>
        <v>EUR</v>
      </c>
      <c r="C924" s="600" t="str">
        <f t="shared" si="72"/>
        <v>EUR 6M</v>
      </c>
      <c r="D924" s="603"/>
      <c r="E924" s="604"/>
      <c r="F924" s="607" t="s">
        <v>28</v>
      </c>
      <c r="G924" s="606">
        <v>-7008.4466786688399</v>
      </c>
    </row>
    <row r="925" spans="1:7" ht="11.1" customHeight="1">
      <c r="A925" s="600" t="str">
        <f t="shared" si="70"/>
        <v>EUR;EUR 6M;1M-7M</v>
      </c>
      <c r="B925" s="600" t="str">
        <f t="shared" si="72"/>
        <v>EUR</v>
      </c>
      <c r="C925" s="600" t="str">
        <f t="shared" si="72"/>
        <v>EUR 6M</v>
      </c>
      <c r="D925" s="603"/>
      <c r="E925" s="604"/>
      <c r="F925" s="607" t="s">
        <v>1221</v>
      </c>
      <c r="G925" s="606">
        <v>-6699.8916370554998</v>
      </c>
    </row>
    <row r="926" spans="1:7" ht="11.1" customHeight="1">
      <c r="A926" s="600" t="str">
        <f t="shared" si="70"/>
        <v>EUR;EUR 6M;2M-8M</v>
      </c>
      <c r="B926" s="600" t="str">
        <f t="shared" si="72"/>
        <v>EUR</v>
      </c>
      <c r="C926" s="600" t="str">
        <f t="shared" si="72"/>
        <v>EUR 6M</v>
      </c>
      <c r="D926" s="603"/>
      <c r="E926" s="604"/>
      <c r="F926" s="607" t="s">
        <v>1222</v>
      </c>
      <c r="G926" s="611">
        <v>855.93064831926995</v>
      </c>
    </row>
    <row r="927" spans="1:7" ht="11.1" customHeight="1">
      <c r="A927" s="600" t="str">
        <f t="shared" si="70"/>
        <v>EUR;EUR 6M;3M-9M</v>
      </c>
      <c r="B927" s="600" t="str">
        <f t="shared" si="72"/>
        <v>EUR</v>
      </c>
      <c r="C927" s="600" t="str">
        <f t="shared" si="72"/>
        <v>EUR 6M</v>
      </c>
      <c r="D927" s="603"/>
      <c r="E927" s="604"/>
      <c r="F927" s="607" t="s">
        <v>1223</v>
      </c>
      <c r="G927" s="611">
        <v>2129.6546420916902</v>
      </c>
    </row>
    <row r="928" spans="1:7" ht="11.1" customHeight="1">
      <c r="A928" s="600" t="str">
        <f t="shared" si="70"/>
        <v>EUR;EUR 6M;4M-10M</v>
      </c>
      <c r="B928" s="600" t="str">
        <f t="shared" si="72"/>
        <v>EUR</v>
      </c>
      <c r="C928" s="600" t="str">
        <f t="shared" si="72"/>
        <v>EUR 6M</v>
      </c>
      <c r="D928" s="603"/>
      <c r="E928" s="604"/>
      <c r="F928" s="607" t="s">
        <v>1224</v>
      </c>
      <c r="G928" s="606">
        <v>-6285.32933753208</v>
      </c>
    </row>
    <row r="929" spans="1:7" ht="11.1" customHeight="1">
      <c r="A929" s="600" t="str">
        <f t="shared" si="70"/>
        <v>EUR;EUR 6M;5M-11M</v>
      </c>
      <c r="B929" s="600" t="str">
        <f t="shared" si="72"/>
        <v>EUR</v>
      </c>
      <c r="C929" s="600" t="str">
        <f t="shared" si="72"/>
        <v>EUR 6M</v>
      </c>
      <c r="D929" s="603"/>
      <c r="E929" s="604"/>
      <c r="F929" s="607" t="s">
        <v>1225</v>
      </c>
      <c r="G929" s="611">
        <v>3221.1032434711901</v>
      </c>
    </row>
    <row r="930" spans="1:7" ht="11.1" customHeight="1">
      <c r="A930" s="600" t="str">
        <f t="shared" si="70"/>
        <v>EUR;EUR 6M;6M-12M</v>
      </c>
      <c r="B930" s="600" t="str">
        <f t="shared" si="72"/>
        <v>EUR</v>
      </c>
      <c r="C930" s="600" t="str">
        <f t="shared" si="72"/>
        <v>EUR 6M</v>
      </c>
      <c r="D930" s="603"/>
      <c r="E930" s="604"/>
      <c r="F930" s="607" t="s">
        <v>1194</v>
      </c>
      <c r="G930" s="611">
        <v>5366.3859644025697</v>
      </c>
    </row>
    <row r="931" spans="1:7" ht="11.1" customHeight="1">
      <c r="A931" s="600" t="str">
        <f t="shared" si="70"/>
        <v>EUR;EUR 6M;7M-13M</v>
      </c>
      <c r="B931" s="600" t="str">
        <f t="shared" si="72"/>
        <v>EUR</v>
      </c>
      <c r="C931" s="600" t="str">
        <f t="shared" si="72"/>
        <v>EUR 6M</v>
      </c>
      <c r="D931" s="603"/>
      <c r="E931" s="604"/>
      <c r="F931" s="607" t="s">
        <v>1226</v>
      </c>
      <c r="G931" s="606">
        <v>-9058.0642924297008</v>
      </c>
    </row>
    <row r="932" spans="1:7" ht="11.1" customHeight="1">
      <c r="A932" s="600" t="str">
        <f t="shared" si="70"/>
        <v>EUR;EUR 6M;8M-14M</v>
      </c>
      <c r="B932" s="600" t="str">
        <f t="shared" si="72"/>
        <v>EUR</v>
      </c>
      <c r="C932" s="600" t="str">
        <f t="shared" si="72"/>
        <v>EUR 6M</v>
      </c>
      <c r="D932" s="603"/>
      <c r="E932" s="604"/>
      <c r="F932" s="607" t="s">
        <v>1227</v>
      </c>
      <c r="G932" s="606">
        <v>-919.65656751260099</v>
      </c>
    </row>
    <row r="933" spans="1:7" ht="11.1" customHeight="1">
      <c r="A933" s="600" t="str">
        <f t="shared" si="70"/>
        <v>EUR;EUR 6M;9M-15M</v>
      </c>
      <c r="B933" s="600" t="str">
        <f t="shared" ref="B933:C948" si="73">IF(ISBLANK(D933),B932,D933)</f>
        <v>EUR</v>
      </c>
      <c r="C933" s="600" t="str">
        <f t="shared" si="73"/>
        <v>EUR 6M</v>
      </c>
      <c r="D933" s="603"/>
      <c r="E933" s="604"/>
      <c r="F933" s="607" t="s">
        <v>1195</v>
      </c>
      <c r="G933" s="606">
        <v>-2363.7380005515001</v>
      </c>
    </row>
    <row r="934" spans="1:7" ht="11.1" customHeight="1">
      <c r="A934" s="600" t="str">
        <f t="shared" si="70"/>
        <v>EUR;EUR 6M;10M-16M</v>
      </c>
      <c r="B934" s="600" t="str">
        <f t="shared" si="73"/>
        <v>EUR</v>
      </c>
      <c r="C934" s="600" t="str">
        <f t="shared" si="73"/>
        <v>EUR 6M</v>
      </c>
      <c r="D934" s="603"/>
      <c r="E934" s="604"/>
      <c r="F934" s="607" t="s">
        <v>1228</v>
      </c>
      <c r="G934" s="606">
        <v>-6785.8283768053097</v>
      </c>
    </row>
    <row r="935" spans="1:7" ht="11.1" customHeight="1">
      <c r="A935" s="600" t="str">
        <f t="shared" si="70"/>
        <v>EUR;EUR 6M;11M-17M</v>
      </c>
      <c r="B935" s="600" t="str">
        <f t="shared" si="73"/>
        <v>EUR</v>
      </c>
      <c r="C935" s="600" t="str">
        <f t="shared" si="73"/>
        <v>EUR 6M</v>
      </c>
      <c r="D935" s="603"/>
      <c r="E935" s="604"/>
      <c r="F935" s="607" t="s">
        <v>1229</v>
      </c>
      <c r="G935" s="611">
        <v>4321.7124940428102</v>
      </c>
    </row>
    <row r="936" spans="1:7" ht="11.1" customHeight="1">
      <c r="A936" s="600" t="str">
        <f t="shared" si="70"/>
        <v>EUR;EUR 6M;12M-18M</v>
      </c>
      <c r="B936" s="600" t="str">
        <f t="shared" si="73"/>
        <v>EUR</v>
      </c>
      <c r="C936" s="600" t="str">
        <f t="shared" si="73"/>
        <v>EUR 6M</v>
      </c>
      <c r="D936" s="603"/>
      <c r="E936" s="604"/>
      <c r="F936" s="607" t="s">
        <v>1196</v>
      </c>
      <c r="G936" s="611">
        <v>4574.8445019973296</v>
      </c>
    </row>
    <row r="937" spans="1:7" ht="11.1" customHeight="1">
      <c r="A937" s="600" t="str">
        <f t="shared" si="70"/>
        <v>EUR;EUR 6M;13M-19M</v>
      </c>
      <c r="B937" s="600" t="str">
        <f t="shared" si="73"/>
        <v>EUR</v>
      </c>
      <c r="C937" s="600" t="str">
        <f t="shared" si="73"/>
        <v>EUR 6M</v>
      </c>
      <c r="D937" s="603"/>
      <c r="E937" s="604"/>
      <c r="F937" s="607" t="s">
        <v>1230</v>
      </c>
      <c r="G937" s="606">
        <v>-3756.00116102839</v>
      </c>
    </row>
    <row r="938" spans="1:7" ht="11.1" customHeight="1">
      <c r="A938" s="600" t="str">
        <f t="shared" si="70"/>
        <v>EUR;EUR 6M;14M-20M</v>
      </c>
      <c r="B938" s="600" t="str">
        <f t="shared" si="73"/>
        <v>EUR</v>
      </c>
      <c r="C938" s="600" t="str">
        <f t="shared" si="73"/>
        <v>EUR 6M</v>
      </c>
      <c r="D938" s="603"/>
      <c r="E938" s="604"/>
      <c r="F938" s="607" t="s">
        <v>1231</v>
      </c>
      <c r="G938" s="606">
        <v>-621.01026787639898</v>
      </c>
    </row>
    <row r="939" spans="1:7" ht="11.1" customHeight="1">
      <c r="A939" s="600" t="str">
        <f t="shared" si="70"/>
        <v>EUR;EUR 6M;15M-21M</v>
      </c>
      <c r="B939" s="600" t="str">
        <f t="shared" si="73"/>
        <v>EUR</v>
      </c>
      <c r="C939" s="600" t="str">
        <f t="shared" si="73"/>
        <v>EUR 6M</v>
      </c>
      <c r="D939" s="603"/>
      <c r="E939" s="604"/>
      <c r="F939" s="607" t="s">
        <v>1232</v>
      </c>
      <c r="G939" s="606">
        <v>-969.81133385819396</v>
      </c>
    </row>
    <row r="940" spans="1:7" ht="11.1" customHeight="1">
      <c r="A940" s="600" t="str">
        <f t="shared" si="70"/>
        <v>EUR;EUR 6M;16M-22M</v>
      </c>
      <c r="B940" s="600" t="str">
        <f t="shared" si="73"/>
        <v>EUR</v>
      </c>
      <c r="C940" s="600" t="str">
        <f t="shared" si="73"/>
        <v>EUR 6M</v>
      </c>
      <c r="D940" s="603"/>
      <c r="E940" s="604"/>
      <c r="F940" s="607" t="s">
        <v>1233</v>
      </c>
      <c r="G940" s="606">
        <v>-2874.4662702444898</v>
      </c>
    </row>
    <row r="941" spans="1:7" ht="11.1" customHeight="1">
      <c r="A941" s="600" t="str">
        <f t="shared" si="70"/>
        <v>EUR;EUR 6M;17M-23M</v>
      </c>
      <c r="B941" s="600" t="str">
        <f t="shared" si="73"/>
        <v>EUR</v>
      </c>
      <c r="C941" s="600" t="str">
        <f t="shared" si="73"/>
        <v>EUR 6M</v>
      </c>
      <c r="D941" s="603"/>
      <c r="E941" s="604"/>
      <c r="F941" s="607" t="s">
        <v>1234</v>
      </c>
      <c r="G941" s="611">
        <v>1255.9244962723999</v>
      </c>
    </row>
    <row r="942" spans="1:7" ht="11.1" customHeight="1">
      <c r="A942" s="600" t="str">
        <f t="shared" si="70"/>
        <v>EUR;EUR 6M;18M-24M</v>
      </c>
      <c r="B942" s="600" t="str">
        <f t="shared" si="73"/>
        <v>EUR</v>
      </c>
      <c r="C942" s="600" t="str">
        <f t="shared" si="73"/>
        <v>EUR 6M</v>
      </c>
      <c r="D942" s="603"/>
      <c r="E942" s="604"/>
      <c r="F942" s="607" t="s">
        <v>1235</v>
      </c>
      <c r="G942" s="606">
        <v>-190.37912969603099</v>
      </c>
    </row>
    <row r="943" spans="1:7" ht="11.1" customHeight="1">
      <c r="A943" s="600" t="str">
        <f t="shared" si="70"/>
        <v>EUR;EUR 6M;24M-30M</v>
      </c>
      <c r="B943" s="600" t="str">
        <f t="shared" si="73"/>
        <v>EUR</v>
      </c>
      <c r="C943" s="600" t="str">
        <f t="shared" si="73"/>
        <v>EUR 6M</v>
      </c>
      <c r="D943" s="603"/>
      <c r="E943" s="604"/>
      <c r="F943" s="607" t="s">
        <v>3891</v>
      </c>
      <c r="G943" s="611">
        <v>2306.9750758037299</v>
      </c>
    </row>
    <row r="944" spans="1:7" ht="11.1" customHeight="1">
      <c r="A944" s="600" t="str">
        <f t="shared" si="70"/>
        <v>EUR;EUR 6M;3Y</v>
      </c>
      <c r="B944" s="600" t="str">
        <f t="shared" si="73"/>
        <v>EUR</v>
      </c>
      <c r="C944" s="600" t="str">
        <f t="shared" si="73"/>
        <v>EUR 6M</v>
      </c>
      <c r="D944" s="603"/>
      <c r="E944" s="604"/>
      <c r="F944" s="607" t="s">
        <v>10</v>
      </c>
      <c r="G944" s="611">
        <v>15339.326027818999</v>
      </c>
    </row>
    <row r="945" spans="1:7" ht="11.1" customHeight="1">
      <c r="A945" s="600" t="str">
        <f t="shared" si="70"/>
        <v>EUR;EUR 6M;4Y</v>
      </c>
      <c r="B945" s="600" t="str">
        <f t="shared" si="73"/>
        <v>EUR</v>
      </c>
      <c r="C945" s="600" t="str">
        <f t="shared" si="73"/>
        <v>EUR 6M</v>
      </c>
      <c r="D945" s="603"/>
      <c r="E945" s="604"/>
      <c r="F945" s="607" t="s">
        <v>11</v>
      </c>
      <c r="G945" s="606">
        <v>-1738.4900660464</v>
      </c>
    </row>
    <row r="946" spans="1:7" ht="11.1" customHeight="1">
      <c r="A946" s="600" t="str">
        <f t="shared" si="70"/>
        <v>EUR;EUR 6M;5Y</v>
      </c>
      <c r="B946" s="600" t="str">
        <f t="shared" si="73"/>
        <v>EUR</v>
      </c>
      <c r="C946" s="600" t="str">
        <f t="shared" si="73"/>
        <v>EUR 6M</v>
      </c>
      <c r="D946" s="603"/>
      <c r="E946" s="604"/>
      <c r="F946" s="607" t="s">
        <v>12</v>
      </c>
      <c r="G946" s="606">
        <v>-3531.8524247124701</v>
      </c>
    </row>
    <row r="947" spans="1:7" ht="11.1" customHeight="1">
      <c r="A947" s="600" t="str">
        <f t="shared" si="70"/>
        <v>EUR;EUR 6M;6Y</v>
      </c>
      <c r="B947" s="600" t="str">
        <f t="shared" si="73"/>
        <v>EUR</v>
      </c>
      <c r="C947" s="600" t="str">
        <f t="shared" si="73"/>
        <v>EUR 6M</v>
      </c>
      <c r="D947" s="603"/>
      <c r="E947" s="604"/>
      <c r="F947" s="607" t="s">
        <v>13</v>
      </c>
      <c r="G947" s="606">
        <v>-11659.5805942754</v>
      </c>
    </row>
    <row r="948" spans="1:7" ht="11.1" customHeight="1">
      <c r="A948" s="600" t="str">
        <f t="shared" si="70"/>
        <v>EUR;EUR 6M;7Y</v>
      </c>
      <c r="B948" s="600" t="str">
        <f t="shared" si="73"/>
        <v>EUR</v>
      </c>
      <c r="C948" s="600" t="str">
        <f t="shared" si="73"/>
        <v>EUR 6M</v>
      </c>
      <c r="D948" s="603"/>
      <c r="E948" s="604"/>
      <c r="F948" s="607" t="s">
        <v>14</v>
      </c>
      <c r="G948" s="611">
        <v>12259.0319106268</v>
      </c>
    </row>
    <row r="949" spans="1:7" ht="11.1" customHeight="1">
      <c r="A949" s="600" t="str">
        <f t="shared" si="70"/>
        <v>EUR;EUR 6M;8Y</v>
      </c>
      <c r="B949" s="600" t="str">
        <f t="shared" ref="B949:C964" si="74">IF(ISBLANK(D949),B948,D949)</f>
        <v>EUR</v>
      </c>
      <c r="C949" s="600" t="str">
        <f t="shared" si="74"/>
        <v>EUR 6M</v>
      </c>
      <c r="D949" s="603"/>
      <c r="E949" s="604"/>
      <c r="F949" s="607" t="s">
        <v>15</v>
      </c>
      <c r="G949" s="606">
        <v>-7650.3760629800699</v>
      </c>
    </row>
    <row r="950" spans="1:7" ht="11.1" customHeight="1">
      <c r="A950" s="600" t="str">
        <f t="shared" si="70"/>
        <v>EUR;EUR 6M;9Y</v>
      </c>
      <c r="B950" s="600" t="str">
        <f t="shared" si="74"/>
        <v>EUR</v>
      </c>
      <c r="C950" s="600" t="str">
        <f t="shared" si="74"/>
        <v>EUR 6M</v>
      </c>
      <c r="D950" s="603"/>
      <c r="E950" s="604"/>
      <c r="F950" s="607" t="s">
        <v>16</v>
      </c>
      <c r="G950" s="611">
        <v>57991.350881979699</v>
      </c>
    </row>
    <row r="951" spans="1:7" ht="11.1" customHeight="1">
      <c r="A951" s="600" t="str">
        <f t="shared" si="70"/>
        <v>EUR;EUR 6M;10Y</v>
      </c>
      <c r="B951" s="600" t="str">
        <f t="shared" si="74"/>
        <v>EUR</v>
      </c>
      <c r="C951" s="600" t="str">
        <f t="shared" si="74"/>
        <v>EUR 6M</v>
      </c>
      <c r="D951" s="603"/>
      <c r="E951" s="604"/>
      <c r="F951" s="607" t="s">
        <v>17</v>
      </c>
      <c r="G951" s="606">
        <v>-21826.042415834399</v>
      </c>
    </row>
    <row r="952" spans="1:7" ht="11.1" customHeight="1">
      <c r="A952" s="600" t="str">
        <f t="shared" si="70"/>
        <v>EUR;EUR 6M;11Y</v>
      </c>
      <c r="B952" s="600" t="str">
        <f t="shared" si="74"/>
        <v>EUR</v>
      </c>
      <c r="C952" s="600" t="str">
        <f t="shared" si="74"/>
        <v>EUR 6M</v>
      </c>
      <c r="D952" s="603"/>
      <c r="E952" s="604"/>
      <c r="F952" s="607" t="s">
        <v>31</v>
      </c>
      <c r="G952" s="606">
        <v>-70962.796994167802</v>
      </c>
    </row>
    <row r="953" spans="1:7" ht="11.1" customHeight="1">
      <c r="A953" s="600" t="str">
        <f t="shared" si="70"/>
        <v>EUR;EUR 6M;12Y</v>
      </c>
      <c r="B953" s="600" t="str">
        <f t="shared" si="74"/>
        <v>EUR</v>
      </c>
      <c r="C953" s="600" t="str">
        <f t="shared" si="74"/>
        <v>EUR 6M</v>
      </c>
      <c r="D953" s="603"/>
      <c r="E953" s="604"/>
      <c r="F953" s="607" t="s">
        <v>18</v>
      </c>
      <c r="G953" s="611">
        <v>24599.672575668701</v>
      </c>
    </row>
    <row r="954" spans="1:7" ht="11.1" customHeight="1">
      <c r="A954" s="600" t="str">
        <f t="shared" si="70"/>
        <v>EUR;EUR 6M;13Y</v>
      </c>
      <c r="B954" s="600" t="str">
        <f t="shared" si="74"/>
        <v>EUR</v>
      </c>
      <c r="C954" s="600" t="str">
        <f t="shared" si="74"/>
        <v>EUR 6M</v>
      </c>
      <c r="D954" s="603"/>
      <c r="E954" s="604"/>
      <c r="F954" s="607" t="s">
        <v>32</v>
      </c>
      <c r="G954" s="611">
        <v>23645.940083761601</v>
      </c>
    </row>
    <row r="955" spans="1:7" ht="11.1" customHeight="1">
      <c r="A955" s="600" t="str">
        <f t="shared" si="70"/>
        <v>EUR;EUR 6M;14Y</v>
      </c>
      <c r="B955" s="600" t="str">
        <f t="shared" si="74"/>
        <v>EUR</v>
      </c>
      <c r="C955" s="600" t="str">
        <f t="shared" si="74"/>
        <v>EUR 6M</v>
      </c>
      <c r="D955" s="603"/>
      <c r="E955" s="604"/>
      <c r="F955" s="607" t="s">
        <v>33</v>
      </c>
      <c r="G955" s="611">
        <v>98.072987599063097</v>
      </c>
    </row>
    <row r="956" spans="1:7" ht="11.1" customHeight="1">
      <c r="A956" s="600" t="str">
        <f t="shared" si="70"/>
        <v>EUR;EUR 6M;15Y</v>
      </c>
      <c r="B956" s="600" t="str">
        <f t="shared" si="74"/>
        <v>EUR</v>
      </c>
      <c r="C956" s="600" t="str">
        <f t="shared" si="74"/>
        <v>EUR 6M</v>
      </c>
      <c r="D956" s="603"/>
      <c r="E956" s="604"/>
      <c r="F956" s="607" t="s">
        <v>19</v>
      </c>
      <c r="G956" s="611">
        <v>30012.796312491701</v>
      </c>
    </row>
    <row r="957" spans="1:7" ht="11.1" customHeight="1">
      <c r="A957" s="600" t="str">
        <f t="shared" si="70"/>
        <v>EUR;EUR 6M;16Y</v>
      </c>
      <c r="B957" s="600" t="str">
        <f t="shared" si="74"/>
        <v>EUR</v>
      </c>
      <c r="C957" s="600" t="str">
        <f t="shared" si="74"/>
        <v>EUR 6M</v>
      </c>
      <c r="D957" s="603"/>
      <c r="E957" s="604"/>
      <c r="F957" s="607" t="s">
        <v>34</v>
      </c>
      <c r="G957" s="611">
        <v>6329.1737197025996</v>
      </c>
    </row>
    <row r="958" spans="1:7" ht="11.1" customHeight="1">
      <c r="A958" s="600" t="str">
        <f t="shared" si="70"/>
        <v>EUR;EUR 6M;17Y</v>
      </c>
      <c r="B958" s="600" t="str">
        <f t="shared" si="74"/>
        <v>EUR</v>
      </c>
      <c r="C958" s="600" t="str">
        <f t="shared" si="74"/>
        <v>EUR 6M</v>
      </c>
      <c r="D958" s="603"/>
      <c r="E958" s="604"/>
      <c r="F958" s="607" t="s">
        <v>35</v>
      </c>
      <c r="G958" s="606">
        <v>-2158.0673765025999</v>
      </c>
    </row>
    <row r="959" spans="1:7" ht="11.1" customHeight="1">
      <c r="A959" s="600" t="str">
        <f t="shared" si="70"/>
        <v>EUR;EUR 6M;18Y</v>
      </c>
      <c r="B959" s="600" t="str">
        <f t="shared" si="74"/>
        <v>EUR</v>
      </c>
      <c r="C959" s="600" t="str">
        <f t="shared" si="74"/>
        <v>EUR 6M</v>
      </c>
      <c r="D959" s="603"/>
      <c r="E959" s="604"/>
      <c r="F959" s="607" t="s">
        <v>36</v>
      </c>
      <c r="G959" s="611">
        <v>84610.274432095102</v>
      </c>
    </row>
    <row r="960" spans="1:7" ht="11.1" customHeight="1">
      <c r="A960" s="600" t="str">
        <f t="shared" si="70"/>
        <v>EUR;EUR 6M;19Y</v>
      </c>
      <c r="B960" s="600" t="str">
        <f t="shared" si="74"/>
        <v>EUR</v>
      </c>
      <c r="C960" s="600" t="str">
        <f t="shared" si="74"/>
        <v>EUR 6M</v>
      </c>
      <c r="D960" s="603"/>
      <c r="E960" s="604"/>
      <c r="F960" s="607" t="s">
        <v>37</v>
      </c>
      <c r="G960" s="606">
        <v>-297245.53649835603</v>
      </c>
    </row>
    <row r="961" spans="1:7" ht="11.1" customHeight="1">
      <c r="A961" s="600" t="str">
        <f t="shared" si="70"/>
        <v>EUR;EUR 6M;20Y</v>
      </c>
      <c r="B961" s="600" t="str">
        <f t="shared" si="74"/>
        <v>EUR</v>
      </c>
      <c r="C961" s="600" t="str">
        <f t="shared" si="74"/>
        <v>EUR 6M</v>
      </c>
      <c r="D961" s="603"/>
      <c r="E961" s="604"/>
      <c r="F961" s="607" t="s">
        <v>20</v>
      </c>
      <c r="G961" s="611">
        <v>24403.592130513302</v>
      </c>
    </row>
    <row r="962" spans="1:7" ht="11.1" customHeight="1">
      <c r="A962" s="600" t="str">
        <f t="shared" si="70"/>
        <v>EUR;EUR 6M;21Y</v>
      </c>
      <c r="B962" s="600" t="str">
        <f t="shared" si="74"/>
        <v>EUR</v>
      </c>
      <c r="C962" s="600" t="str">
        <f t="shared" si="74"/>
        <v>EUR 6M</v>
      </c>
      <c r="D962" s="603"/>
      <c r="E962" s="604"/>
      <c r="F962" s="607" t="s">
        <v>38</v>
      </c>
      <c r="G962" s="611">
        <v>71238.179029862993</v>
      </c>
    </row>
    <row r="963" spans="1:7" ht="11.1" customHeight="1">
      <c r="A963" s="600" t="str">
        <f t="shared" si="70"/>
        <v>EUR;EUR 6M;22Y</v>
      </c>
      <c r="B963" s="600" t="str">
        <f t="shared" si="74"/>
        <v>EUR</v>
      </c>
      <c r="C963" s="600" t="str">
        <f t="shared" si="74"/>
        <v>EUR 6M</v>
      </c>
      <c r="D963" s="603"/>
      <c r="E963" s="604"/>
      <c r="F963" s="607" t="s">
        <v>39</v>
      </c>
      <c r="G963" s="611">
        <v>67896.723439502195</v>
      </c>
    </row>
    <row r="964" spans="1:7" ht="11.1" customHeight="1">
      <c r="A964" s="600" t="str">
        <f t="shared" si="70"/>
        <v>EUR;EUR 6M;23Y</v>
      </c>
      <c r="B964" s="600" t="str">
        <f t="shared" si="74"/>
        <v>EUR</v>
      </c>
      <c r="C964" s="600" t="str">
        <f t="shared" si="74"/>
        <v>EUR 6M</v>
      </c>
      <c r="D964" s="603"/>
      <c r="E964" s="604"/>
      <c r="F964" s="607" t="s">
        <v>40</v>
      </c>
      <c r="G964" s="611">
        <v>6673.03720156701</v>
      </c>
    </row>
    <row r="965" spans="1:7" ht="11.1" customHeight="1">
      <c r="A965" s="600" t="str">
        <f t="shared" ref="A965:A1028" si="75">B965&amp;";"&amp;C965&amp;";"&amp;F965</f>
        <v>EUR;EUR 6M;24Y</v>
      </c>
      <c r="B965" s="600" t="str">
        <f t="shared" ref="B965:C980" si="76">IF(ISBLANK(D965),B964,D965)</f>
        <v>EUR</v>
      </c>
      <c r="C965" s="600" t="str">
        <f t="shared" si="76"/>
        <v>EUR 6M</v>
      </c>
      <c r="D965" s="603"/>
      <c r="E965" s="604"/>
      <c r="F965" s="607" t="s">
        <v>41</v>
      </c>
      <c r="G965" s="611">
        <v>18734.066043765899</v>
      </c>
    </row>
    <row r="966" spans="1:7" ht="11.1" customHeight="1">
      <c r="A966" s="600" t="str">
        <f t="shared" si="75"/>
        <v>EUR;EUR 6M;25Y</v>
      </c>
      <c r="B966" s="600" t="str">
        <f t="shared" si="76"/>
        <v>EUR</v>
      </c>
      <c r="C966" s="600" t="str">
        <f t="shared" si="76"/>
        <v>EUR 6M</v>
      </c>
      <c r="D966" s="603"/>
      <c r="E966" s="604"/>
      <c r="F966" s="607" t="s">
        <v>21</v>
      </c>
      <c r="G966" s="606">
        <v>-17391.233549790399</v>
      </c>
    </row>
    <row r="967" spans="1:7" ht="11.1" customHeight="1">
      <c r="A967" s="600" t="str">
        <f t="shared" si="75"/>
        <v>EUR;EUR 6M;26Y</v>
      </c>
      <c r="B967" s="600" t="str">
        <f t="shared" si="76"/>
        <v>EUR</v>
      </c>
      <c r="C967" s="600" t="str">
        <f t="shared" si="76"/>
        <v>EUR 6M</v>
      </c>
      <c r="D967" s="603"/>
      <c r="E967" s="604"/>
      <c r="F967" s="607" t="s">
        <v>42</v>
      </c>
      <c r="G967" s="611">
        <v>2970.4112254963302</v>
      </c>
    </row>
    <row r="968" spans="1:7" ht="11.1" customHeight="1">
      <c r="A968" s="600" t="str">
        <f t="shared" si="75"/>
        <v>EUR;EUR 6M;27Y</v>
      </c>
      <c r="B968" s="600" t="str">
        <f t="shared" si="76"/>
        <v>EUR</v>
      </c>
      <c r="C968" s="600" t="str">
        <f t="shared" si="76"/>
        <v>EUR 6M</v>
      </c>
      <c r="D968" s="603"/>
      <c r="E968" s="604"/>
      <c r="F968" s="607" t="s">
        <v>43</v>
      </c>
      <c r="G968" s="611">
        <v>980.67614071042703</v>
      </c>
    </row>
    <row r="969" spans="1:7" ht="11.1" customHeight="1">
      <c r="A969" s="600" t="str">
        <f t="shared" si="75"/>
        <v>EUR;EUR 6M;28Y</v>
      </c>
      <c r="B969" s="600" t="str">
        <f t="shared" si="76"/>
        <v>EUR</v>
      </c>
      <c r="C969" s="600" t="str">
        <f t="shared" si="76"/>
        <v>EUR 6M</v>
      </c>
      <c r="D969" s="603"/>
      <c r="E969" s="604"/>
      <c r="F969" s="607" t="s">
        <v>44</v>
      </c>
      <c r="G969" s="611">
        <v>1040.8157529548801</v>
      </c>
    </row>
    <row r="970" spans="1:7" ht="11.1" customHeight="1">
      <c r="A970" s="600" t="str">
        <f t="shared" si="75"/>
        <v>EUR;EUR 6M;29Y</v>
      </c>
      <c r="B970" s="600" t="str">
        <f t="shared" si="76"/>
        <v>EUR</v>
      </c>
      <c r="C970" s="600" t="str">
        <f t="shared" si="76"/>
        <v>EUR 6M</v>
      </c>
      <c r="D970" s="603"/>
      <c r="E970" s="604"/>
      <c r="F970" s="607" t="s">
        <v>45</v>
      </c>
      <c r="G970" s="611">
        <v>1170.0179139389199</v>
      </c>
    </row>
    <row r="971" spans="1:7" ht="11.1" customHeight="1">
      <c r="A971" s="600" t="str">
        <f t="shared" si="75"/>
        <v>EUR;EUR 6M;30Y</v>
      </c>
      <c r="B971" s="600" t="str">
        <f t="shared" si="76"/>
        <v>EUR</v>
      </c>
      <c r="C971" s="600" t="str">
        <f t="shared" si="76"/>
        <v>EUR 6M</v>
      </c>
      <c r="D971" s="603"/>
      <c r="E971" s="604"/>
      <c r="F971" s="607" t="s">
        <v>22</v>
      </c>
      <c r="G971" s="611">
        <v>1262.55006489324</v>
      </c>
    </row>
    <row r="972" spans="1:7" ht="11.1" customHeight="1">
      <c r="A972" s="600" t="str">
        <f t="shared" si="75"/>
        <v>EUR;EUR 6M;31Y</v>
      </c>
      <c r="B972" s="600" t="str">
        <f t="shared" si="76"/>
        <v>EUR</v>
      </c>
      <c r="C972" s="600" t="str">
        <f t="shared" si="76"/>
        <v>EUR 6M</v>
      </c>
      <c r="D972" s="603"/>
      <c r="E972" s="604"/>
      <c r="F972" s="607" t="s">
        <v>163</v>
      </c>
      <c r="G972" s="611">
        <v>1477.8877104936601</v>
      </c>
    </row>
    <row r="973" spans="1:7" ht="11.1" customHeight="1">
      <c r="A973" s="600" t="str">
        <f t="shared" si="75"/>
        <v>EUR;EUR 6M;32Y</v>
      </c>
      <c r="B973" s="600" t="str">
        <f t="shared" si="76"/>
        <v>EUR</v>
      </c>
      <c r="C973" s="600" t="str">
        <f t="shared" si="76"/>
        <v>EUR 6M</v>
      </c>
      <c r="D973" s="603"/>
      <c r="E973" s="604"/>
      <c r="F973" s="607" t="s">
        <v>164</v>
      </c>
      <c r="G973" s="611">
        <v>579.80628946717798</v>
      </c>
    </row>
    <row r="974" spans="1:7" ht="11.1" customHeight="1">
      <c r="A974" s="600" t="str">
        <f t="shared" si="75"/>
        <v>EUR;EUR 6M;33Y</v>
      </c>
      <c r="B974" s="600" t="str">
        <f t="shared" si="76"/>
        <v>EUR</v>
      </c>
      <c r="C974" s="600" t="str">
        <f t="shared" si="76"/>
        <v>EUR 6M</v>
      </c>
      <c r="D974" s="603"/>
      <c r="E974" s="604"/>
      <c r="F974" s="607" t="s">
        <v>165</v>
      </c>
      <c r="G974" s="606">
        <v>-43.322161870202997</v>
      </c>
    </row>
    <row r="975" spans="1:7" ht="11.1" customHeight="1">
      <c r="A975" s="600" t="str">
        <f t="shared" si="75"/>
        <v>EUR;EUR 6M;34Y</v>
      </c>
      <c r="B975" s="600" t="str">
        <f t="shared" si="76"/>
        <v>EUR</v>
      </c>
      <c r="C975" s="600" t="str">
        <f t="shared" si="76"/>
        <v>EUR 6M</v>
      </c>
      <c r="D975" s="603"/>
      <c r="E975" s="604"/>
      <c r="F975" s="607" t="s">
        <v>166</v>
      </c>
      <c r="G975" s="611">
        <v>5.9935684072132803E-2</v>
      </c>
    </row>
    <row r="976" spans="1:7" ht="11.1" customHeight="1">
      <c r="A976" s="600" t="str">
        <f t="shared" si="75"/>
        <v>EUR;EUR 6M;35Y</v>
      </c>
      <c r="B976" s="600" t="str">
        <f t="shared" si="76"/>
        <v>EUR</v>
      </c>
      <c r="C976" s="600" t="str">
        <f t="shared" si="76"/>
        <v>EUR 6M</v>
      </c>
      <c r="D976" s="603"/>
      <c r="E976" s="604"/>
      <c r="F976" s="607" t="s">
        <v>167</v>
      </c>
      <c r="G976" s="606">
        <v>-5.8409201819987003E-4</v>
      </c>
    </row>
    <row r="977" spans="1:7" ht="11.1" customHeight="1">
      <c r="A977" s="600" t="str">
        <f t="shared" si="75"/>
        <v>EUR;EUR 6M;36Y</v>
      </c>
      <c r="B977" s="600" t="str">
        <f t="shared" si="76"/>
        <v>EUR</v>
      </c>
      <c r="C977" s="600" t="str">
        <f t="shared" si="76"/>
        <v>EUR 6M</v>
      </c>
      <c r="D977" s="603"/>
      <c r="E977" s="604"/>
      <c r="F977" s="607" t="s">
        <v>168</v>
      </c>
      <c r="G977" s="611">
        <v>1.6258278593369299E-8</v>
      </c>
    </row>
    <row r="978" spans="1:7" ht="11.1" customHeight="1">
      <c r="A978" s="600" t="str">
        <f t="shared" si="75"/>
        <v>EUR;EUR 6M;37Y</v>
      </c>
      <c r="B978" s="600" t="str">
        <f t="shared" si="76"/>
        <v>EUR</v>
      </c>
      <c r="C978" s="600" t="str">
        <f t="shared" si="76"/>
        <v>EUR 6M</v>
      </c>
      <c r="D978" s="603"/>
      <c r="E978" s="604"/>
      <c r="F978" s="607" t="s">
        <v>169</v>
      </c>
      <c r="G978" s="608">
        <v>0</v>
      </c>
    </row>
    <row r="979" spans="1:7" ht="11.1" customHeight="1">
      <c r="A979" s="600" t="str">
        <f t="shared" si="75"/>
        <v>EUR;EUR 6M;38Y</v>
      </c>
      <c r="B979" s="600" t="str">
        <f t="shared" si="76"/>
        <v>EUR</v>
      </c>
      <c r="C979" s="600" t="str">
        <f t="shared" si="76"/>
        <v>EUR 6M</v>
      </c>
      <c r="D979" s="603"/>
      <c r="E979" s="604"/>
      <c r="F979" s="607" t="s">
        <v>170</v>
      </c>
      <c r="G979" s="608">
        <v>0</v>
      </c>
    </row>
    <row r="980" spans="1:7" ht="11.1" customHeight="1">
      <c r="A980" s="600" t="str">
        <f t="shared" si="75"/>
        <v>EUR;EUR 6M;39Y</v>
      </c>
      <c r="B980" s="600" t="str">
        <f t="shared" si="76"/>
        <v>EUR</v>
      </c>
      <c r="C980" s="600" t="str">
        <f t="shared" si="76"/>
        <v>EUR 6M</v>
      </c>
      <c r="D980" s="603"/>
      <c r="E980" s="604"/>
      <c r="F980" s="607" t="s">
        <v>171</v>
      </c>
      <c r="G980" s="608">
        <v>0</v>
      </c>
    </row>
    <row r="981" spans="1:7" ht="11.1" customHeight="1">
      <c r="A981" s="600" t="str">
        <f t="shared" si="75"/>
        <v>EUR;EUR 6M;40Y</v>
      </c>
      <c r="B981" s="600" t="str">
        <f t="shared" ref="B981:C996" si="77">IF(ISBLANK(D981),B980,D981)</f>
        <v>EUR</v>
      </c>
      <c r="C981" s="600" t="str">
        <f t="shared" si="77"/>
        <v>EUR 6M</v>
      </c>
      <c r="D981" s="603"/>
      <c r="E981" s="604"/>
      <c r="F981" s="607" t="s">
        <v>46</v>
      </c>
      <c r="G981" s="608">
        <v>0</v>
      </c>
    </row>
    <row r="982" spans="1:7" ht="11.1" customHeight="1">
      <c r="A982" s="600" t="str">
        <f t="shared" si="75"/>
        <v>EUR;EUR 6M;50Y</v>
      </c>
      <c r="B982" s="600" t="str">
        <f t="shared" si="77"/>
        <v>EUR</v>
      </c>
      <c r="C982" s="600" t="str">
        <f t="shared" si="77"/>
        <v>EUR 6M</v>
      </c>
      <c r="D982" s="603"/>
      <c r="E982" s="604"/>
      <c r="F982" s="607" t="s">
        <v>47</v>
      </c>
      <c r="G982" s="608">
        <v>0</v>
      </c>
    </row>
    <row r="983" spans="1:7" ht="11.1" customHeight="1">
      <c r="A983" s="600" t="str">
        <f t="shared" si="75"/>
        <v>EUR;EUR 6M;60Y</v>
      </c>
      <c r="B983" s="600" t="str">
        <f t="shared" si="77"/>
        <v>EUR</v>
      </c>
      <c r="C983" s="600" t="str">
        <f t="shared" si="77"/>
        <v>EUR 6M</v>
      </c>
      <c r="D983" s="603"/>
      <c r="E983" s="604"/>
      <c r="F983" s="607" t="s">
        <v>48</v>
      </c>
      <c r="G983" s="608">
        <v>0</v>
      </c>
    </row>
    <row r="984" spans="1:7" ht="11.1" customHeight="1">
      <c r="A984" s="600" t="str">
        <f t="shared" si="75"/>
        <v>EUR;EUR :STD;Total EUR :STD</v>
      </c>
      <c r="B984" s="600" t="str">
        <f t="shared" si="77"/>
        <v>EUR</v>
      </c>
      <c r="C984" s="600" t="str">
        <f t="shared" si="77"/>
        <v>EUR :STD</v>
      </c>
      <c r="D984" s="603"/>
      <c r="E984" s="604" t="s">
        <v>196</v>
      </c>
      <c r="F984" s="605" t="s">
        <v>645</v>
      </c>
      <c r="G984" s="611">
        <v>1089.77561449681</v>
      </c>
    </row>
    <row r="985" spans="1:7" ht="11.1" customHeight="1">
      <c r="A985" s="600" t="str">
        <f t="shared" si="75"/>
        <v>EUR;EUR :STD;O/N</v>
      </c>
      <c r="B985" s="600" t="str">
        <f t="shared" si="77"/>
        <v>EUR</v>
      </c>
      <c r="C985" s="600" t="str">
        <f t="shared" si="77"/>
        <v>EUR :STD</v>
      </c>
      <c r="D985" s="603"/>
      <c r="E985" s="604"/>
      <c r="F985" s="607" t="s">
        <v>3</v>
      </c>
      <c r="G985" s="611">
        <v>88.837535295503102</v>
      </c>
    </row>
    <row r="986" spans="1:7" ht="11.1" customHeight="1">
      <c r="A986" s="600" t="str">
        <f t="shared" si="75"/>
        <v>EUR;EUR :STD;T/N</v>
      </c>
      <c r="B986" s="600" t="str">
        <f t="shared" si="77"/>
        <v>EUR</v>
      </c>
      <c r="C986" s="600" t="str">
        <f t="shared" si="77"/>
        <v>EUR :STD</v>
      </c>
      <c r="D986" s="603"/>
      <c r="E986" s="604"/>
      <c r="F986" s="607" t="s">
        <v>4</v>
      </c>
      <c r="G986" s="611">
        <v>29.388812657333801</v>
      </c>
    </row>
    <row r="987" spans="1:7" ht="11.1" customHeight="1">
      <c r="A987" s="600" t="str">
        <f t="shared" si="75"/>
        <v>EUR;EUR :STD;S/N</v>
      </c>
      <c r="B987" s="600" t="str">
        <f t="shared" si="77"/>
        <v>EUR</v>
      </c>
      <c r="C987" s="600" t="str">
        <f t="shared" si="77"/>
        <v>EUR :STD</v>
      </c>
      <c r="D987" s="603"/>
      <c r="E987" s="604"/>
      <c r="F987" s="607" t="s">
        <v>23</v>
      </c>
      <c r="G987" s="608">
        <v>0</v>
      </c>
    </row>
    <row r="988" spans="1:7" ht="11.1" customHeight="1">
      <c r="A988" s="600" t="str">
        <f t="shared" si="75"/>
        <v>EUR;EUR :STD;1W</v>
      </c>
      <c r="B988" s="600" t="str">
        <f t="shared" si="77"/>
        <v>EUR</v>
      </c>
      <c r="C988" s="600" t="str">
        <f t="shared" si="77"/>
        <v>EUR :STD</v>
      </c>
      <c r="D988" s="603"/>
      <c r="E988" s="604"/>
      <c r="F988" s="607" t="s">
        <v>5</v>
      </c>
      <c r="G988" s="606">
        <v>-1.04325882535098E-2</v>
      </c>
    </row>
    <row r="989" spans="1:7" ht="11.1" customHeight="1">
      <c r="A989" s="600" t="str">
        <f t="shared" si="75"/>
        <v>EUR;EUR :STD;2W</v>
      </c>
      <c r="B989" s="600" t="str">
        <f t="shared" si="77"/>
        <v>EUR</v>
      </c>
      <c r="C989" s="600" t="str">
        <f t="shared" si="77"/>
        <v>EUR :STD</v>
      </c>
      <c r="D989" s="603"/>
      <c r="E989" s="604"/>
      <c r="F989" s="607" t="s">
        <v>6</v>
      </c>
      <c r="G989" s="606">
        <v>-4.2066939765493796</v>
      </c>
    </row>
    <row r="990" spans="1:7" ht="11.1" customHeight="1">
      <c r="A990" s="600" t="str">
        <f t="shared" si="75"/>
        <v>EUR;EUR :STD;3W</v>
      </c>
      <c r="B990" s="600" t="str">
        <f t="shared" si="77"/>
        <v>EUR</v>
      </c>
      <c r="C990" s="600" t="str">
        <f t="shared" si="77"/>
        <v>EUR :STD</v>
      </c>
      <c r="D990" s="603"/>
      <c r="E990" s="604"/>
      <c r="F990" s="607" t="s">
        <v>24</v>
      </c>
      <c r="G990" s="606">
        <v>-27.193313514063298</v>
      </c>
    </row>
    <row r="991" spans="1:7" ht="11.1" customHeight="1">
      <c r="A991" s="600" t="str">
        <f t="shared" si="75"/>
        <v>EUR;EUR :STD;1M</v>
      </c>
      <c r="B991" s="600" t="str">
        <f t="shared" si="77"/>
        <v>EUR</v>
      </c>
      <c r="C991" s="600" t="str">
        <f t="shared" si="77"/>
        <v>EUR :STD</v>
      </c>
      <c r="D991" s="603"/>
      <c r="E991" s="604"/>
      <c r="F991" s="607" t="s">
        <v>7</v>
      </c>
      <c r="G991" s="611">
        <v>4.0131774585108202</v>
      </c>
    </row>
    <row r="992" spans="1:7" ht="11.1" customHeight="1">
      <c r="A992" s="600" t="str">
        <f t="shared" si="75"/>
        <v>EUR;EUR :STD;2M</v>
      </c>
      <c r="B992" s="600" t="str">
        <f t="shared" si="77"/>
        <v>EUR</v>
      </c>
      <c r="C992" s="600" t="str">
        <f t="shared" si="77"/>
        <v>EUR :STD</v>
      </c>
      <c r="D992" s="603"/>
      <c r="E992" s="604"/>
      <c r="F992" s="607" t="s">
        <v>8</v>
      </c>
      <c r="G992" s="611">
        <v>1.3947920128950599</v>
      </c>
    </row>
    <row r="993" spans="1:7" ht="11.1" customHeight="1">
      <c r="A993" s="600" t="str">
        <f t="shared" si="75"/>
        <v>EUR;EUR :STD;3M</v>
      </c>
      <c r="B993" s="600" t="str">
        <f t="shared" si="77"/>
        <v>EUR</v>
      </c>
      <c r="C993" s="600" t="str">
        <f t="shared" si="77"/>
        <v>EUR :STD</v>
      </c>
      <c r="D993" s="603"/>
      <c r="E993" s="604"/>
      <c r="F993" s="607" t="s">
        <v>25</v>
      </c>
      <c r="G993" s="606">
        <v>-0.26651713221531098</v>
      </c>
    </row>
    <row r="994" spans="1:7" ht="11.1" customHeight="1">
      <c r="A994" s="600" t="str">
        <f t="shared" si="75"/>
        <v>EUR;EUR :STD;4M</v>
      </c>
      <c r="B994" s="600" t="str">
        <f t="shared" si="77"/>
        <v>EUR</v>
      </c>
      <c r="C994" s="600" t="str">
        <f t="shared" si="77"/>
        <v>EUR :STD</v>
      </c>
      <c r="D994" s="603"/>
      <c r="E994" s="604"/>
      <c r="F994" s="607" t="s">
        <v>26</v>
      </c>
      <c r="G994" s="606">
        <v>-0.27284031591452401</v>
      </c>
    </row>
    <row r="995" spans="1:7" ht="11.1" customHeight="1">
      <c r="A995" s="600" t="str">
        <f t="shared" si="75"/>
        <v>EUR;EUR :STD;5M</v>
      </c>
      <c r="B995" s="600" t="str">
        <f t="shared" si="77"/>
        <v>EUR</v>
      </c>
      <c r="C995" s="600" t="str">
        <f t="shared" si="77"/>
        <v>EUR :STD</v>
      </c>
      <c r="D995" s="603"/>
      <c r="E995" s="604"/>
      <c r="F995" s="607" t="s">
        <v>27</v>
      </c>
      <c r="G995" s="606">
        <v>-41.6435316153906</v>
      </c>
    </row>
    <row r="996" spans="1:7" ht="11.1" customHeight="1">
      <c r="A996" s="600" t="str">
        <f t="shared" si="75"/>
        <v>EUR;EUR :STD;6M</v>
      </c>
      <c r="B996" s="600" t="str">
        <f t="shared" si="77"/>
        <v>EUR</v>
      </c>
      <c r="C996" s="600" t="str">
        <f t="shared" si="77"/>
        <v>EUR :STD</v>
      </c>
      <c r="D996" s="603"/>
      <c r="E996" s="604"/>
      <c r="F996" s="607" t="s">
        <v>28</v>
      </c>
      <c r="G996" s="606">
        <v>-192.21167118364801</v>
      </c>
    </row>
    <row r="997" spans="1:7" ht="11.1" customHeight="1">
      <c r="A997" s="600" t="str">
        <f t="shared" si="75"/>
        <v>EUR;EUR :STD;21/06/17</v>
      </c>
      <c r="B997" s="600" t="str">
        <f t="shared" ref="B997:C1012" si="78">IF(ISBLANK(D997),B996,D997)</f>
        <v>EUR</v>
      </c>
      <c r="C997" s="600" t="str">
        <f t="shared" si="78"/>
        <v>EUR :STD</v>
      </c>
      <c r="D997" s="603"/>
      <c r="E997" s="604"/>
      <c r="F997" s="607" t="s">
        <v>5101</v>
      </c>
      <c r="G997" s="606">
        <v>-534.21106176097703</v>
      </c>
    </row>
    <row r="998" spans="1:7" ht="11.1" customHeight="1">
      <c r="A998" s="600" t="str">
        <f t="shared" si="75"/>
        <v>EUR;EUR :STD;JUN 17</v>
      </c>
      <c r="B998" s="600" t="str">
        <f t="shared" si="78"/>
        <v>EUR</v>
      </c>
      <c r="C998" s="600" t="str">
        <f t="shared" si="78"/>
        <v>EUR :STD</v>
      </c>
      <c r="D998" s="603"/>
      <c r="E998" s="604"/>
      <c r="F998" s="607" t="s">
        <v>1066</v>
      </c>
      <c r="G998" s="606">
        <v>-233.41988514676399</v>
      </c>
    </row>
    <row r="999" spans="1:7" ht="11.1" customHeight="1">
      <c r="A999" s="600" t="str">
        <f t="shared" si="75"/>
        <v>EUR;EUR :STD;SEP 17</v>
      </c>
      <c r="B999" s="600" t="str">
        <f t="shared" si="78"/>
        <v>EUR</v>
      </c>
      <c r="C999" s="600" t="str">
        <f t="shared" si="78"/>
        <v>EUR :STD</v>
      </c>
      <c r="D999" s="603"/>
      <c r="E999" s="604"/>
      <c r="F999" s="607" t="s">
        <v>1069</v>
      </c>
      <c r="G999" s="606">
        <v>-234.570827513344</v>
      </c>
    </row>
    <row r="1000" spans="1:7" ht="11.1" customHeight="1">
      <c r="A1000" s="600" t="str">
        <f t="shared" si="75"/>
        <v>EUR;EUR :STD;DEC 17</v>
      </c>
      <c r="B1000" s="600" t="str">
        <f t="shared" si="78"/>
        <v>EUR</v>
      </c>
      <c r="C1000" s="600" t="str">
        <f t="shared" si="78"/>
        <v>EUR :STD</v>
      </c>
      <c r="D1000" s="603"/>
      <c r="E1000" s="604"/>
      <c r="F1000" s="607" t="s">
        <v>3865</v>
      </c>
      <c r="G1000" s="606">
        <v>-141.19665784034501</v>
      </c>
    </row>
    <row r="1001" spans="1:7" ht="11.1" customHeight="1">
      <c r="A1001" s="600" t="str">
        <f t="shared" si="75"/>
        <v>EUR;EUR :STD;MAR 18</v>
      </c>
      <c r="B1001" s="600" t="str">
        <f t="shared" si="78"/>
        <v>EUR</v>
      </c>
      <c r="C1001" s="600" t="str">
        <f t="shared" si="78"/>
        <v>EUR :STD</v>
      </c>
      <c r="D1001" s="603"/>
      <c r="E1001" s="604"/>
      <c r="F1001" s="607" t="s">
        <v>3866</v>
      </c>
      <c r="G1001" s="611">
        <v>22.7634093991485</v>
      </c>
    </row>
    <row r="1002" spans="1:7" ht="11.1" customHeight="1">
      <c r="A1002" s="600" t="str">
        <f t="shared" si="75"/>
        <v>EUR;EUR :STD;JUN 18</v>
      </c>
      <c r="B1002" s="600" t="str">
        <f t="shared" si="78"/>
        <v>EUR</v>
      </c>
      <c r="C1002" s="600" t="str">
        <f t="shared" si="78"/>
        <v>EUR :STD</v>
      </c>
      <c r="D1002" s="603"/>
      <c r="E1002" s="604"/>
      <c r="F1002" s="607" t="s">
        <v>3889</v>
      </c>
      <c r="G1002" s="611">
        <v>9.8766936858627297</v>
      </c>
    </row>
    <row r="1003" spans="1:7" ht="11.1" customHeight="1">
      <c r="A1003" s="600" t="str">
        <f t="shared" si="75"/>
        <v>EUR;EUR :STD;SEP 18</v>
      </c>
      <c r="B1003" s="600" t="str">
        <f t="shared" si="78"/>
        <v>EUR</v>
      </c>
      <c r="C1003" s="600" t="str">
        <f t="shared" si="78"/>
        <v>EUR :STD</v>
      </c>
      <c r="D1003" s="603"/>
      <c r="E1003" s="604"/>
      <c r="F1003" s="607" t="s">
        <v>3890</v>
      </c>
      <c r="G1003" s="611">
        <v>1.2151141194713699</v>
      </c>
    </row>
    <row r="1004" spans="1:7" ht="11.1" customHeight="1">
      <c r="A1004" s="600" t="str">
        <f t="shared" si="75"/>
        <v>EUR;EUR :STD;3Y</v>
      </c>
      <c r="B1004" s="600" t="str">
        <f t="shared" si="78"/>
        <v>EUR</v>
      </c>
      <c r="C1004" s="600" t="str">
        <f t="shared" si="78"/>
        <v>EUR :STD</v>
      </c>
      <c r="D1004" s="603"/>
      <c r="E1004" s="604"/>
      <c r="F1004" s="607" t="s">
        <v>10</v>
      </c>
      <c r="G1004" s="611">
        <v>41.927239856829303</v>
      </c>
    </row>
    <row r="1005" spans="1:7" ht="11.1" customHeight="1">
      <c r="A1005" s="600" t="str">
        <f t="shared" si="75"/>
        <v>EUR;EUR :STD;4Y</v>
      </c>
      <c r="B1005" s="600" t="str">
        <f t="shared" si="78"/>
        <v>EUR</v>
      </c>
      <c r="C1005" s="600" t="str">
        <f t="shared" si="78"/>
        <v>EUR :STD</v>
      </c>
      <c r="D1005" s="603"/>
      <c r="E1005" s="604"/>
      <c r="F1005" s="607" t="s">
        <v>11</v>
      </c>
      <c r="G1005" s="611">
        <v>955.88293828216399</v>
      </c>
    </row>
    <row r="1006" spans="1:7" ht="11.1" customHeight="1">
      <c r="A1006" s="600" t="str">
        <f t="shared" si="75"/>
        <v>EUR;EUR :STD;5Y</v>
      </c>
      <c r="B1006" s="600" t="str">
        <f t="shared" si="78"/>
        <v>EUR</v>
      </c>
      <c r="C1006" s="600" t="str">
        <f t="shared" si="78"/>
        <v>EUR :STD</v>
      </c>
      <c r="D1006" s="603"/>
      <c r="E1006" s="604"/>
      <c r="F1006" s="607" t="s">
        <v>12</v>
      </c>
      <c r="G1006" s="611">
        <v>1478.9106215807701</v>
      </c>
    </row>
    <row r="1007" spans="1:7" ht="11.1" customHeight="1">
      <c r="A1007" s="600" t="str">
        <f t="shared" si="75"/>
        <v>EUR;EUR :STD;6Y</v>
      </c>
      <c r="B1007" s="600" t="str">
        <f t="shared" si="78"/>
        <v>EUR</v>
      </c>
      <c r="C1007" s="600" t="str">
        <f t="shared" si="78"/>
        <v>EUR :STD</v>
      </c>
      <c r="D1007" s="603"/>
      <c r="E1007" s="604"/>
      <c r="F1007" s="607" t="s">
        <v>13</v>
      </c>
      <c r="G1007" s="606">
        <v>-0.38790607814032901</v>
      </c>
    </row>
    <row r="1008" spans="1:7" ht="11.1" customHeight="1">
      <c r="A1008" s="600" t="str">
        <f t="shared" si="75"/>
        <v>EUR;EUR :STD;7Y</v>
      </c>
      <c r="B1008" s="600" t="str">
        <f t="shared" si="78"/>
        <v>EUR</v>
      </c>
      <c r="C1008" s="600" t="str">
        <f t="shared" si="78"/>
        <v>EUR :STD</v>
      </c>
      <c r="D1008" s="603"/>
      <c r="E1008" s="604"/>
      <c r="F1008" s="607" t="s">
        <v>14</v>
      </c>
      <c r="G1008" s="606">
        <v>-0.45588735340422498</v>
      </c>
    </row>
    <row r="1009" spans="1:7" ht="11.1" customHeight="1">
      <c r="A1009" s="600" t="str">
        <f t="shared" si="75"/>
        <v>EUR;EUR :STD;8Y</v>
      </c>
      <c r="B1009" s="600" t="str">
        <f t="shared" si="78"/>
        <v>EUR</v>
      </c>
      <c r="C1009" s="600" t="str">
        <f t="shared" si="78"/>
        <v>EUR :STD</v>
      </c>
      <c r="D1009" s="603"/>
      <c r="E1009" s="604"/>
      <c r="F1009" s="607" t="s">
        <v>15</v>
      </c>
      <c r="G1009" s="606">
        <v>-36.990008147196797</v>
      </c>
    </row>
    <row r="1010" spans="1:7" ht="11.1" customHeight="1">
      <c r="A1010" s="600" t="str">
        <f t="shared" si="75"/>
        <v>EUR;EUR :STD;9Y</v>
      </c>
      <c r="B1010" s="600" t="str">
        <f t="shared" si="78"/>
        <v>EUR</v>
      </c>
      <c r="C1010" s="600" t="str">
        <f t="shared" si="78"/>
        <v>EUR :STD</v>
      </c>
      <c r="D1010" s="603"/>
      <c r="E1010" s="604"/>
      <c r="F1010" s="607" t="s">
        <v>16</v>
      </c>
      <c r="G1010" s="606">
        <v>-97.397485685387494</v>
      </c>
    </row>
    <row r="1011" spans="1:7" ht="11.1" customHeight="1">
      <c r="A1011" s="600" t="str">
        <f t="shared" si="75"/>
        <v>EUR;EUR :STD;10Y</v>
      </c>
      <c r="B1011" s="600" t="str">
        <f t="shared" si="78"/>
        <v>EUR</v>
      </c>
      <c r="C1011" s="600" t="str">
        <f t="shared" si="78"/>
        <v>EUR :STD</v>
      </c>
      <c r="D1011" s="603"/>
      <c r="E1011" s="604"/>
      <c r="F1011" s="607" t="s">
        <v>17</v>
      </c>
      <c r="G1011" s="611">
        <v>1.007776761347E-13</v>
      </c>
    </row>
    <row r="1012" spans="1:7" ht="11.1" customHeight="1">
      <c r="A1012" s="600" t="str">
        <f t="shared" si="75"/>
        <v>EUR;EUR :STD;11Y</v>
      </c>
      <c r="B1012" s="600" t="str">
        <f t="shared" si="78"/>
        <v>EUR</v>
      </c>
      <c r="C1012" s="600" t="str">
        <f t="shared" si="78"/>
        <v>EUR :STD</v>
      </c>
      <c r="D1012" s="603"/>
      <c r="E1012" s="604"/>
      <c r="F1012" s="607" t="s">
        <v>31</v>
      </c>
      <c r="G1012" s="611">
        <v>0</v>
      </c>
    </row>
    <row r="1013" spans="1:7" ht="11.1" customHeight="1">
      <c r="A1013" s="600" t="str">
        <f t="shared" si="75"/>
        <v>EUR;EUR :STD;12Y</v>
      </c>
      <c r="B1013" s="600" t="str">
        <f t="shared" ref="B1013:C1028" si="79">IF(ISBLANK(D1013),B1012,D1013)</f>
        <v>EUR</v>
      </c>
      <c r="C1013" s="600" t="str">
        <f t="shared" si="79"/>
        <v>EUR :STD</v>
      </c>
      <c r="D1013" s="603"/>
      <c r="E1013" s="604"/>
      <c r="F1013" s="607" t="s">
        <v>18</v>
      </c>
      <c r="G1013" s="611">
        <v>0</v>
      </c>
    </row>
    <row r="1014" spans="1:7" ht="11.1" customHeight="1">
      <c r="A1014" s="600" t="str">
        <f t="shared" si="75"/>
        <v>EUR;EUR :STD;13Y</v>
      </c>
      <c r="B1014" s="600" t="str">
        <f t="shared" si="79"/>
        <v>EUR</v>
      </c>
      <c r="C1014" s="600" t="str">
        <f t="shared" si="79"/>
        <v>EUR :STD</v>
      </c>
      <c r="D1014" s="603"/>
      <c r="E1014" s="604"/>
      <c r="F1014" s="607" t="s">
        <v>32</v>
      </c>
      <c r="G1014" s="611">
        <v>0</v>
      </c>
    </row>
    <row r="1015" spans="1:7" ht="11.1" customHeight="1">
      <c r="A1015" s="600" t="str">
        <f t="shared" si="75"/>
        <v>EUR;EUR :STD;14Y</v>
      </c>
      <c r="B1015" s="600" t="str">
        <f t="shared" si="79"/>
        <v>EUR</v>
      </c>
      <c r="C1015" s="600" t="str">
        <f t="shared" si="79"/>
        <v>EUR :STD</v>
      </c>
      <c r="D1015" s="603"/>
      <c r="E1015" s="604"/>
      <c r="F1015" s="607" t="s">
        <v>33</v>
      </c>
      <c r="G1015" s="608">
        <v>0</v>
      </c>
    </row>
    <row r="1016" spans="1:7" ht="11.1" customHeight="1">
      <c r="A1016" s="600" t="str">
        <f t="shared" si="75"/>
        <v>EUR;EUR :STD;15Y</v>
      </c>
      <c r="B1016" s="600" t="str">
        <f t="shared" si="79"/>
        <v>EUR</v>
      </c>
      <c r="C1016" s="600" t="str">
        <f t="shared" si="79"/>
        <v>EUR :STD</v>
      </c>
      <c r="D1016" s="603"/>
      <c r="E1016" s="604"/>
      <c r="F1016" s="607" t="s">
        <v>19</v>
      </c>
      <c r="G1016" s="608">
        <v>0</v>
      </c>
    </row>
    <row r="1017" spans="1:7" ht="11.1" customHeight="1">
      <c r="A1017" s="600" t="str">
        <f t="shared" si="75"/>
        <v>EUR;EUR :STD;16Y</v>
      </c>
      <c r="B1017" s="600" t="str">
        <f t="shared" si="79"/>
        <v>EUR</v>
      </c>
      <c r="C1017" s="600" t="str">
        <f t="shared" si="79"/>
        <v>EUR :STD</v>
      </c>
      <c r="D1017" s="603"/>
      <c r="E1017" s="604"/>
      <c r="F1017" s="607" t="s">
        <v>34</v>
      </c>
      <c r="G1017" s="608">
        <v>0</v>
      </c>
    </row>
    <row r="1018" spans="1:7" ht="11.1" customHeight="1">
      <c r="A1018" s="600" t="str">
        <f t="shared" si="75"/>
        <v>EUR;EUR :STD;17Y</v>
      </c>
      <c r="B1018" s="600" t="str">
        <f t="shared" si="79"/>
        <v>EUR</v>
      </c>
      <c r="C1018" s="600" t="str">
        <f t="shared" si="79"/>
        <v>EUR :STD</v>
      </c>
      <c r="D1018" s="603"/>
      <c r="E1018" s="604"/>
      <c r="F1018" s="607" t="s">
        <v>35</v>
      </c>
      <c r="G1018" s="608">
        <v>0</v>
      </c>
    </row>
    <row r="1019" spans="1:7" ht="11.1" customHeight="1">
      <c r="A1019" s="600" t="str">
        <f t="shared" si="75"/>
        <v>EUR;EUR :STD;18Y</v>
      </c>
      <c r="B1019" s="600" t="str">
        <f t="shared" si="79"/>
        <v>EUR</v>
      </c>
      <c r="C1019" s="600" t="str">
        <f t="shared" si="79"/>
        <v>EUR :STD</v>
      </c>
      <c r="D1019" s="603"/>
      <c r="E1019" s="604"/>
      <c r="F1019" s="607" t="s">
        <v>36</v>
      </c>
      <c r="G1019" s="608">
        <v>0</v>
      </c>
    </row>
    <row r="1020" spans="1:7" ht="11.1" customHeight="1">
      <c r="A1020" s="600" t="str">
        <f t="shared" si="75"/>
        <v>EUR;EUR :STD;19Y</v>
      </c>
      <c r="B1020" s="600" t="str">
        <f t="shared" si="79"/>
        <v>EUR</v>
      </c>
      <c r="C1020" s="600" t="str">
        <f t="shared" si="79"/>
        <v>EUR :STD</v>
      </c>
      <c r="D1020" s="603"/>
      <c r="E1020" s="604"/>
      <c r="F1020" s="607" t="s">
        <v>37</v>
      </c>
      <c r="G1020" s="608">
        <v>0</v>
      </c>
    </row>
    <row r="1021" spans="1:7" ht="11.1" customHeight="1">
      <c r="A1021" s="600" t="str">
        <f t="shared" si="75"/>
        <v>EUR;EUR :STD;20Y</v>
      </c>
      <c r="B1021" s="600" t="str">
        <f t="shared" si="79"/>
        <v>EUR</v>
      </c>
      <c r="C1021" s="600" t="str">
        <f t="shared" si="79"/>
        <v>EUR :STD</v>
      </c>
      <c r="D1021" s="603"/>
      <c r="E1021" s="604"/>
      <c r="F1021" s="607" t="s">
        <v>20</v>
      </c>
      <c r="G1021" s="608">
        <v>0</v>
      </c>
    </row>
    <row r="1022" spans="1:7" ht="11.1" customHeight="1">
      <c r="A1022" s="600" t="str">
        <f t="shared" si="75"/>
        <v>EUR;EUR :STD;21Y</v>
      </c>
      <c r="B1022" s="600" t="str">
        <f t="shared" si="79"/>
        <v>EUR</v>
      </c>
      <c r="C1022" s="600" t="str">
        <f t="shared" si="79"/>
        <v>EUR :STD</v>
      </c>
      <c r="D1022" s="603"/>
      <c r="E1022" s="604"/>
      <c r="F1022" s="607" t="s">
        <v>38</v>
      </c>
      <c r="G1022" s="608">
        <v>0</v>
      </c>
    </row>
    <row r="1023" spans="1:7" ht="11.1" customHeight="1">
      <c r="A1023" s="600" t="str">
        <f t="shared" si="75"/>
        <v>EUR;EUR :STD;22Y</v>
      </c>
      <c r="B1023" s="600" t="str">
        <f t="shared" si="79"/>
        <v>EUR</v>
      </c>
      <c r="C1023" s="600" t="str">
        <f t="shared" si="79"/>
        <v>EUR :STD</v>
      </c>
      <c r="D1023" s="603"/>
      <c r="E1023" s="604"/>
      <c r="F1023" s="607" t="s">
        <v>39</v>
      </c>
      <c r="G1023" s="608">
        <v>0</v>
      </c>
    </row>
    <row r="1024" spans="1:7" ht="11.1" customHeight="1">
      <c r="A1024" s="600" t="str">
        <f t="shared" si="75"/>
        <v>EUR;EUR :STD;23Y</v>
      </c>
      <c r="B1024" s="600" t="str">
        <f t="shared" si="79"/>
        <v>EUR</v>
      </c>
      <c r="C1024" s="600" t="str">
        <f t="shared" si="79"/>
        <v>EUR :STD</v>
      </c>
      <c r="D1024" s="603"/>
      <c r="E1024" s="604"/>
      <c r="F1024" s="607" t="s">
        <v>40</v>
      </c>
      <c r="G1024" s="608">
        <v>0</v>
      </c>
    </row>
    <row r="1025" spans="1:7" ht="11.1" customHeight="1">
      <c r="A1025" s="600" t="str">
        <f t="shared" si="75"/>
        <v>EUR;EUR :STD;24Y</v>
      </c>
      <c r="B1025" s="600" t="str">
        <f t="shared" si="79"/>
        <v>EUR</v>
      </c>
      <c r="C1025" s="600" t="str">
        <f t="shared" si="79"/>
        <v>EUR :STD</v>
      </c>
      <c r="D1025" s="603"/>
      <c r="E1025" s="604"/>
      <c r="F1025" s="607" t="s">
        <v>41</v>
      </c>
      <c r="G1025" s="608">
        <v>0</v>
      </c>
    </row>
    <row r="1026" spans="1:7" ht="11.1" customHeight="1">
      <c r="A1026" s="600" t="str">
        <f t="shared" si="75"/>
        <v>EUR;EUR :STD;25Y</v>
      </c>
      <c r="B1026" s="600" t="str">
        <f t="shared" si="79"/>
        <v>EUR</v>
      </c>
      <c r="C1026" s="600" t="str">
        <f t="shared" si="79"/>
        <v>EUR :STD</v>
      </c>
      <c r="D1026" s="603"/>
      <c r="E1026" s="604"/>
      <c r="F1026" s="607" t="s">
        <v>21</v>
      </c>
      <c r="G1026" s="608">
        <v>0</v>
      </c>
    </row>
    <row r="1027" spans="1:7" ht="11.1" customHeight="1">
      <c r="A1027" s="600" t="str">
        <f t="shared" si="75"/>
        <v>EUR;EUR :STD;26Y</v>
      </c>
      <c r="B1027" s="600" t="str">
        <f t="shared" si="79"/>
        <v>EUR</v>
      </c>
      <c r="C1027" s="600" t="str">
        <f t="shared" si="79"/>
        <v>EUR :STD</v>
      </c>
      <c r="D1027" s="603"/>
      <c r="E1027" s="604"/>
      <c r="F1027" s="607" t="s">
        <v>42</v>
      </c>
      <c r="G1027" s="608">
        <v>0</v>
      </c>
    </row>
    <row r="1028" spans="1:7" ht="11.1" customHeight="1">
      <c r="A1028" s="600" t="str">
        <f t="shared" si="75"/>
        <v>EUR;EUR :STD;27Y</v>
      </c>
      <c r="B1028" s="600" t="str">
        <f t="shared" si="79"/>
        <v>EUR</v>
      </c>
      <c r="C1028" s="600" t="str">
        <f t="shared" si="79"/>
        <v>EUR :STD</v>
      </c>
      <c r="D1028" s="603"/>
      <c r="E1028" s="604"/>
      <c r="F1028" s="607" t="s">
        <v>43</v>
      </c>
      <c r="G1028" s="608">
        <v>0</v>
      </c>
    </row>
    <row r="1029" spans="1:7" ht="11.1" customHeight="1">
      <c r="A1029" s="600" t="str">
        <f t="shared" ref="A1029:A1092" si="80">B1029&amp;";"&amp;C1029&amp;";"&amp;F1029</f>
        <v>EUR;EUR :STD;28Y</v>
      </c>
      <c r="B1029" s="600" t="str">
        <f t="shared" ref="B1029:C1044" si="81">IF(ISBLANK(D1029),B1028,D1029)</f>
        <v>EUR</v>
      </c>
      <c r="C1029" s="600" t="str">
        <f t="shared" si="81"/>
        <v>EUR :STD</v>
      </c>
      <c r="D1029" s="603"/>
      <c r="E1029" s="604"/>
      <c r="F1029" s="607" t="s">
        <v>44</v>
      </c>
      <c r="G1029" s="608">
        <v>0</v>
      </c>
    </row>
    <row r="1030" spans="1:7" ht="11.1" customHeight="1">
      <c r="A1030" s="600" t="str">
        <f t="shared" si="80"/>
        <v>EUR;EUR :STD;29Y</v>
      </c>
      <c r="B1030" s="600" t="str">
        <f t="shared" si="81"/>
        <v>EUR</v>
      </c>
      <c r="C1030" s="600" t="str">
        <f t="shared" si="81"/>
        <v>EUR :STD</v>
      </c>
      <c r="D1030" s="603"/>
      <c r="E1030" s="604"/>
      <c r="F1030" s="607" t="s">
        <v>45</v>
      </c>
      <c r="G1030" s="608">
        <v>0</v>
      </c>
    </row>
    <row r="1031" spans="1:7" ht="11.1" customHeight="1">
      <c r="A1031" s="600" t="str">
        <f t="shared" si="80"/>
        <v>EUR;EUR :STD;30Y</v>
      </c>
      <c r="B1031" s="600" t="str">
        <f t="shared" si="81"/>
        <v>EUR</v>
      </c>
      <c r="C1031" s="600" t="str">
        <f t="shared" si="81"/>
        <v>EUR :STD</v>
      </c>
      <c r="D1031" s="603"/>
      <c r="E1031" s="604"/>
      <c r="F1031" s="607" t="s">
        <v>22</v>
      </c>
      <c r="G1031" s="608">
        <v>0</v>
      </c>
    </row>
    <row r="1032" spans="1:7" ht="11.1" customHeight="1">
      <c r="A1032" s="600" t="str">
        <f t="shared" si="80"/>
        <v>EUR;EUR :STD;31Y</v>
      </c>
      <c r="B1032" s="600" t="str">
        <f t="shared" si="81"/>
        <v>EUR</v>
      </c>
      <c r="C1032" s="600" t="str">
        <f t="shared" si="81"/>
        <v>EUR :STD</v>
      </c>
      <c r="D1032" s="603"/>
      <c r="E1032" s="604"/>
      <c r="F1032" s="607" t="s">
        <v>163</v>
      </c>
      <c r="G1032" s="608">
        <v>0</v>
      </c>
    </row>
    <row r="1033" spans="1:7" ht="11.1" customHeight="1">
      <c r="A1033" s="600" t="str">
        <f t="shared" si="80"/>
        <v>EUR;EUR :STD;32Y</v>
      </c>
      <c r="B1033" s="600" t="str">
        <f t="shared" si="81"/>
        <v>EUR</v>
      </c>
      <c r="C1033" s="600" t="str">
        <f t="shared" si="81"/>
        <v>EUR :STD</v>
      </c>
      <c r="D1033" s="603"/>
      <c r="E1033" s="604"/>
      <c r="F1033" s="607" t="s">
        <v>164</v>
      </c>
      <c r="G1033" s="608">
        <v>0</v>
      </c>
    </row>
    <row r="1034" spans="1:7" ht="11.1" customHeight="1">
      <c r="A1034" s="600" t="str">
        <f t="shared" si="80"/>
        <v>EUR;EUR :STD;33Y</v>
      </c>
      <c r="B1034" s="600" t="str">
        <f t="shared" si="81"/>
        <v>EUR</v>
      </c>
      <c r="C1034" s="600" t="str">
        <f t="shared" si="81"/>
        <v>EUR :STD</v>
      </c>
      <c r="D1034" s="603"/>
      <c r="E1034" s="604"/>
      <c r="F1034" s="607" t="s">
        <v>165</v>
      </c>
      <c r="G1034" s="608">
        <v>0</v>
      </c>
    </row>
    <row r="1035" spans="1:7" ht="11.1" customHeight="1">
      <c r="A1035" s="600" t="str">
        <f t="shared" si="80"/>
        <v>EUR;EUR :STD;34Y</v>
      </c>
      <c r="B1035" s="600" t="str">
        <f t="shared" si="81"/>
        <v>EUR</v>
      </c>
      <c r="C1035" s="600" t="str">
        <f t="shared" si="81"/>
        <v>EUR :STD</v>
      </c>
      <c r="D1035" s="603"/>
      <c r="E1035" s="604"/>
      <c r="F1035" s="607" t="s">
        <v>166</v>
      </c>
      <c r="G1035" s="608">
        <v>0</v>
      </c>
    </row>
    <row r="1036" spans="1:7" ht="11.1" customHeight="1">
      <c r="A1036" s="600" t="str">
        <f t="shared" si="80"/>
        <v>EUR;EUR :STD;35Y</v>
      </c>
      <c r="B1036" s="600" t="str">
        <f t="shared" si="81"/>
        <v>EUR</v>
      </c>
      <c r="C1036" s="600" t="str">
        <f t="shared" si="81"/>
        <v>EUR :STD</v>
      </c>
      <c r="D1036" s="603"/>
      <c r="E1036" s="604"/>
      <c r="F1036" s="607" t="s">
        <v>167</v>
      </c>
      <c r="G1036" s="608">
        <v>0</v>
      </c>
    </row>
    <row r="1037" spans="1:7" ht="11.1" customHeight="1">
      <c r="A1037" s="600" t="str">
        <f t="shared" si="80"/>
        <v>EUR;EUR :STD;36Y</v>
      </c>
      <c r="B1037" s="600" t="str">
        <f t="shared" si="81"/>
        <v>EUR</v>
      </c>
      <c r="C1037" s="600" t="str">
        <f t="shared" si="81"/>
        <v>EUR :STD</v>
      </c>
      <c r="D1037" s="603"/>
      <c r="E1037" s="604"/>
      <c r="F1037" s="607" t="s">
        <v>168</v>
      </c>
      <c r="G1037" s="608">
        <v>0</v>
      </c>
    </row>
    <row r="1038" spans="1:7" ht="11.1" customHeight="1">
      <c r="A1038" s="600" t="str">
        <f t="shared" si="80"/>
        <v>EUR;EUR :STD;37Y</v>
      </c>
      <c r="B1038" s="600" t="str">
        <f t="shared" si="81"/>
        <v>EUR</v>
      </c>
      <c r="C1038" s="600" t="str">
        <f t="shared" si="81"/>
        <v>EUR :STD</v>
      </c>
      <c r="D1038" s="603"/>
      <c r="E1038" s="604"/>
      <c r="F1038" s="607" t="s">
        <v>169</v>
      </c>
      <c r="G1038" s="608">
        <v>0</v>
      </c>
    </row>
    <row r="1039" spans="1:7" ht="11.1" customHeight="1">
      <c r="A1039" s="600" t="str">
        <f t="shared" si="80"/>
        <v>EUR;EUR :STD;38Y</v>
      </c>
      <c r="B1039" s="600" t="str">
        <f t="shared" si="81"/>
        <v>EUR</v>
      </c>
      <c r="C1039" s="600" t="str">
        <f t="shared" si="81"/>
        <v>EUR :STD</v>
      </c>
      <c r="D1039" s="603"/>
      <c r="E1039" s="604"/>
      <c r="F1039" s="607" t="s">
        <v>170</v>
      </c>
      <c r="G1039" s="608">
        <v>0</v>
      </c>
    </row>
    <row r="1040" spans="1:7" ht="11.1" customHeight="1">
      <c r="A1040" s="600" t="str">
        <f t="shared" si="80"/>
        <v>EUR;EUR :STD;39Y</v>
      </c>
      <c r="B1040" s="600" t="str">
        <f t="shared" si="81"/>
        <v>EUR</v>
      </c>
      <c r="C1040" s="600" t="str">
        <f t="shared" si="81"/>
        <v>EUR :STD</v>
      </c>
      <c r="D1040" s="603"/>
      <c r="E1040" s="604"/>
      <c r="F1040" s="607" t="s">
        <v>171</v>
      </c>
      <c r="G1040" s="608">
        <v>0</v>
      </c>
    </row>
    <row r="1041" spans="1:7" ht="11.1" customHeight="1">
      <c r="A1041" s="600" t="str">
        <f t="shared" si="80"/>
        <v>EUR;EUR :STD;40Y</v>
      </c>
      <c r="B1041" s="600" t="str">
        <f t="shared" si="81"/>
        <v>EUR</v>
      </c>
      <c r="C1041" s="600" t="str">
        <f t="shared" si="81"/>
        <v>EUR :STD</v>
      </c>
      <c r="D1041" s="603"/>
      <c r="E1041" s="604"/>
      <c r="F1041" s="607" t="s">
        <v>46</v>
      </c>
      <c r="G1041" s="608">
        <v>0</v>
      </c>
    </row>
    <row r="1042" spans="1:7" ht="11.1" customHeight="1">
      <c r="A1042" s="600" t="str">
        <f t="shared" si="80"/>
        <v>EUR;EUR :STD;50Y</v>
      </c>
      <c r="B1042" s="600" t="str">
        <f t="shared" si="81"/>
        <v>EUR</v>
      </c>
      <c r="C1042" s="600" t="str">
        <f t="shared" si="81"/>
        <v>EUR :STD</v>
      </c>
      <c r="D1042" s="603"/>
      <c r="E1042" s="604"/>
      <c r="F1042" s="607" t="s">
        <v>47</v>
      </c>
      <c r="G1042" s="608">
        <v>0</v>
      </c>
    </row>
    <row r="1043" spans="1:7" ht="11.1" customHeight="1">
      <c r="A1043" s="600" t="str">
        <f t="shared" si="80"/>
        <v>EUR;EUR :STD;60Y</v>
      </c>
      <c r="B1043" s="600" t="str">
        <f t="shared" si="81"/>
        <v>EUR</v>
      </c>
      <c r="C1043" s="600" t="str">
        <f t="shared" si="81"/>
        <v>EUR :STD</v>
      </c>
      <c r="D1043" s="603"/>
      <c r="E1043" s="604"/>
      <c r="F1043" s="607" t="s">
        <v>48</v>
      </c>
      <c r="G1043" s="608">
        <v>0</v>
      </c>
    </row>
    <row r="1044" spans="1:7" ht="11.1" customHeight="1">
      <c r="A1044" s="600" t="str">
        <f t="shared" si="80"/>
        <v>EUR;EUR-OIS;Total EUR-OIS</v>
      </c>
      <c r="B1044" s="600" t="str">
        <f t="shared" si="81"/>
        <v>EUR</v>
      </c>
      <c r="C1044" s="600" t="str">
        <f t="shared" si="81"/>
        <v>EUR-OIS</v>
      </c>
      <c r="D1044" s="603"/>
      <c r="E1044" s="604" t="s">
        <v>173</v>
      </c>
      <c r="F1044" s="605" t="s">
        <v>646</v>
      </c>
      <c r="G1044" s="606">
        <v>-216840.155806436</v>
      </c>
    </row>
    <row r="1045" spans="1:7" ht="11.1" customHeight="1">
      <c r="A1045" s="600" t="str">
        <f t="shared" si="80"/>
        <v>EUR;EUR-OIS;O/N</v>
      </c>
      <c r="B1045" s="600" t="str">
        <f t="shared" ref="B1045:C1060" si="82">IF(ISBLANK(D1045),B1044,D1045)</f>
        <v>EUR</v>
      </c>
      <c r="C1045" s="600" t="str">
        <f t="shared" si="82"/>
        <v>EUR-OIS</v>
      </c>
      <c r="D1045" s="603"/>
      <c r="E1045" s="604"/>
      <c r="F1045" s="607" t="s">
        <v>3</v>
      </c>
      <c r="G1045" s="611">
        <v>5.9109214423654697</v>
      </c>
    </row>
    <row r="1046" spans="1:7" ht="11.1" customHeight="1">
      <c r="A1046" s="600" t="str">
        <f t="shared" si="80"/>
        <v>EUR;EUR-OIS;T/N</v>
      </c>
      <c r="B1046" s="600" t="str">
        <f t="shared" si="82"/>
        <v>EUR</v>
      </c>
      <c r="C1046" s="600" t="str">
        <f t="shared" si="82"/>
        <v>EUR-OIS</v>
      </c>
      <c r="D1046" s="603"/>
      <c r="E1046" s="604"/>
      <c r="F1046" s="607" t="s">
        <v>4</v>
      </c>
      <c r="G1046" s="606">
        <v>-95.644870983272995</v>
      </c>
    </row>
    <row r="1047" spans="1:7" ht="11.1" customHeight="1">
      <c r="A1047" s="600" t="str">
        <f t="shared" si="80"/>
        <v>EUR;EUR-OIS;S/N</v>
      </c>
      <c r="B1047" s="600" t="str">
        <f t="shared" si="82"/>
        <v>EUR</v>
      </c>
      <c r="C1047" s="600" t="str">
        <f t="shared" si="82"/>
        <v>EUR-OIS</v>
      </c>
      <c r="D1047" s="603"/>
      <c r="E1047" s="604"/>
      <c r="F1047" s="607" t="s">
        <v>23</v>
      </c>
      <c r="G1047" s="611">
        <v>2.1093661003686499E-2</v>
      </c>
    </row>
    <row r="1048" spans="1:7" ht="11.1" customHeight="1">
      <c r="A1048" s="600" t="str">
        <f t="shared" si="80"/>
        <v>EUR;EUR-OIS;1W</v>
      </c>
      <c r="B1048" s="600" t="str">
        <f t="shared" si="82"/>
        <v>EUR</v>
      </c>
      <c r="C1048" s="600" t="str">
        <f t="shared" si="82"/>
        <v>EUR-OIS</v>
      </c>
      <c r="D1048" s="603"/>
      <c r="E1048" s="604"/>
      <c r="F1048" s="607" t="s">
        <v>5</v>
      </c>
      <c r="G1048" s="611">
        <v>0.273063843669621</v>
      </c>
    </row>
    <row r="1049" spans="1:7" ht="11.1" customHeight="1">
      <c r="A1049" s="600" t="str">
        <f t="shared" si="80"/>
        <v>EUR;EUR-OIS;2W</v>
      </c>
      <c r="B1049" s="600" t="str">
        <f t="shared" si="82"/>
        <v>EUR</v>
      </c>
      <c r="C1049" s="600" t="str">
        <f t="shared" si="82"/>
        <v>EUR-OIS</v>
      </c>
      <c r="D1049" s="603"/>
      <c r="E1049" s="604"/>
      <c r="F1049" s="607" t="s">
        <v>6</v>
      </c>
      <c r="G1049" s="606">
        <v>-0.106710609743929</v>
      </c>
    </row>
    <row r="1050" spans="1:7" ht="11.1" customHeight="1">
      <c r="A1050" s="600" t="str">
        <f t="shared" si="80"/>
        <v>EUR;EUR-OIS;3W</v>
      </c>
      <c r="B1050" s="600" t="str">
        <f t="shared" si="82"/>
        <v>EUR</v>
      </c>
      <c r="C1050" s="600" t="str">
        <f t="shared" si="82"/>
        <v>EUR-OIS</v>
      </c>
      <c r="D1050" s="603"/>
      <c r="E1050" s="604"/>
      <c r="F1050" s="607" t="s">
        <v>24</v>
      </c>
      <c r="G1050" s="611">
        <v>170.29230994724301</v>
      </c>
    </row>
    <row r="1051" spans="1:7" ht="11.1" customHeight="1">
      <c r="A1051" s="600" t="str">
        <f t="shared" si="80"/>
        <v>EUR;EUR-OIS;1M</v>
      </c>
      <c r="B1051" s="600" t="str">
        <f t="shared" si="82"/>
        <v>EUR</v>
      </c>
      <c r="C1051" s="600" t="str">
        <f t="shared" si="82"/>
        <v>EUR-OIS</v>
      </c>
      <c r="D1051" s="603"/>
      <c r="E1051" s="604"/>
      <c r="F1051" s="607" t="s">
        <v>7</v>
      </c>
      <c r="G1051" s="611">
        <v>414.04164991823097</v>
      </c>
    </row>
    <row r="1052" spans="1:7" ht="11.1" customHeight="1">
      <c r="A1052" s="600" t="str">
        <f t="shared" si="80"/>
        <v>EUR;EUR-OIS;2M</v>
      </c>
      <c r="B1052" s="600" t="str">
        <f t="shared" si="82"/>
        <v>EUR</v>
      </c>
      <c r="C1052" s="600" t="str">
        <f t="shared" si="82"/>
        <v>EUR-OIS</v>
      </c>
      <c r="D1052" s="603"/>
      <c r="E1052" s="604"/>
      <c r="F1052" s="607" t="s">
        <v>8</v>
      </c>
      <c r="G1052" s="606">
        <v>-1283.1522808541399</v>
      </c>
    </row>
    <row r="1053" spans="1:7" ht="11.1" customHeight="1">
      <c r="A1053" s="600" t="str">
        <f t="shared" si="80"/>
        <v>EUR;EUR-OIS;3M</v>
      </c>
      <c r="B1053" s="600" t="str">
        <f t="shared" si="82"/>
        <v>EUR</v>
      </c>
      <c r="C1053" s="600" t="str">
        <f t="shared" si="82"/>
        <v>EUR-OIS</v>
      </c>
      <c r="D1053" s="603"/>
      <c r="E1053" s="604"/>
      <c r="F1053" s="607" t="s">
        <v>25</v>
      </c>
      <c r="G1053" s="606">
        <v>-825.412675051375</v>
      </c>
    </row>
    <row r="1054" spans="1:7" ht="11.1" customHeight="1">
      <c r="A1054" s="600" t="str">
        <f t="shared" si="80"/>
        <v>EUR;EUR-OIS;4M</v>
      </c>
      <c r="B1054" s="600" t="str">
        <f t="shared" si="82"/>
        <v>EUR</v>
      </c>
      <c r="C1054" s="600" t="str">
        <f t="shared" si="82"/>
        <v>EUR-OIS</v>
      </c>
      <c r="D1054" s="603"/>
      <c r="E1054" s="604"/>
      <c r="F1054" s="607" t="s">
        <v>26</v>
      </c>
      <c r="G1054" s="611">
        <v>6355.8137765326401</v>
      </c>
    </row>
    <row r="1055" spans="1:7" ht="11.1" customHeight="1">
      <c r="A1055" s="600" t="str">
        <f t="shared" si="80"/>
        <v>EUR;EUR-OIS;5M</v>
      </c>
      <c r="B1055" s="600" t="str">
        <f t="shared" si="82"/>
        <v>EUR</v>
      </c>
      <c r="C1055" s="600" t="str">
        <f t="shared" si="82"/>
        <v>EUR-OIS</v>
      </c>
      <c r="D1055" s="603"/>
      <c r="E1055" s="604"/>
      <c r="F1055" s="607" t="s">
        <v>27</v>
      </c>
      <c r="G1055" s="606">
        <v>-92.3099189492969</v>
      </c>
    </row>
    <row r="1056" spans="1:7" ht="11.1" customHeight="1">
      <c r="A1056" s="600" t="str">
        <f t="shared" si="80"/>
        <v>EUR;EUR-OIS;6M</v>
      </c>
      <c r="B1056" s="600" t="str">
        <f t="shared" si="82"/>
        <v>EUR</v>
      </c>
      <c r="C1056" s="600" t="str">
        <f t="shared" si="82"/>
        <v>EUR-OIS</v>
      </c>
      <c r="D1056" s="603"/>
      <c r="E1056" s="604"/>
      <c r="F1056" s="607" t="s">
        <v>28</v>
      </c>
      <c r="G1056" s="606">
        <v>-480.64149567743101</v>
      </c>
    </row>
    <row r="1057" spans="1:7" ht="11.1" customHeight="1">
      <c r="A1057" s="600" t="str">
        <f t="shared" si="80"/>
        <v>EUR;EUR-OIS;7M</v>
      </c>
      <c r="B1057" s="600" t="str">
        <f t="shared" si="82"/>
        <v>EUR</v>
      </c>
      <c r="C1057" s="600" t="str">
        <f t="shared" si="82"/>
        <v>EUR-OIS</v>
      </c>
      <c r="D1057" s="603"/>
      <c r="E1057" s="604"/>
      <c r="F1057" s="607" t="s">
        <v>29</v>
      </c>
      <c r="G1057" s="606">
        <v>-1830.88062480639</v>
      </c>
    </row>
    <row r="1058" spans="1:7" ht="11.1" customHeight="1">
      <c r="A1058" s="600" t="str">
        <f t="shared" si="80"/>
        <v>EUR;EUR-OIS;8M</v>
      </c>
      <c r="B1058" s="600" t="str">
        <f t="shared" si="82"/>
        <v>EUR</v>
      </c>
      <c r="C1058" s="600" t="str">
        <f t="shared" si="82"/>
        <v>EUR-OIS</v>
      </c>
      <c r="D1058" s="603"/>
      <c r="E1058" s="604"/>
      <c r="F1058" s="607" t="s">
        <v>30</v>
      </c>
      <c r="G1058" s="606">
        <v>-718.36969827078099</v>
      </c>
    </row>
    <row r="1059" spans="1:7" ht="11.1" customHeight="1">
      <c r="A1059" s="600" t="str">
        <f t="shared" si="80"/>
        <v>EUR;EUR-OIS;9M</v>
      </c>
      <c r="B1059" s="600" t="str">
        <f t="shared" si="82"/>
        <v>EUR</v>
      </c>
      <c r="C1059" s="600" t="str">
        <f t="shared" si="82"/>
        <v>EUR-OIS</v>
      </c>
      <c r="D1059" s="603"/>
      <c r="E1059" s="604"/>
      <c r="F1059" s="607" t="s">
        <v>49</v>
      </c>
      <c r="G1059" s="611">
        <v>198.90905757165899</v>
      </c>
    </row>
    <row r="1060" spans="1:7" ht="11.1" customHeight="1">
      <c r="A1060" s="600" t="str">
        <f t="shared" si="80"/>
        <v>EUR;EUR-OIS;10M</v>
      </c>
      <c r="B1060" s="600" t="str">
        <f t="shared" si="82"/>
        <v>EUR</v>
      </c>
      <c r="C1060" s="600" t="str">
        <f t="shared" si="82"/>
        <v>EUR-OIS</v>
      </c>
      <c r="D1060" s="603"/>
      <c r="E1060" s="604"/>
      <c r="F1060" s="607" t="s">
        <v>50</v>
      </c>
      <c r="G1060" s="606">
        <v>-4568.9258351531498</v>
      </c>
    </row>
    <row r="1061" spans="1:7" ht="11.1" customHeight="1">
      <c r="A1061" s="600" t="str">
        <f t="shared" si="80"/>
        <v>EUR;EUR-OIS;11M</v>
      </c>
      <c r="B1061" s="600" t="str">
        <f t="shared" ref="B1061:C1076" si="83">IF(ISBLANK(D1061),B1060,D1061)</f>
        <v>EUR</v>
      </c>
      <c r="C1061" s="600" t="str">
        <f t="shared" si="83"/>
        <v>EUR-OIS</v>
      </c>
      <c r="D1061" s="603"/>
      <c r="E1061" s="604"/>
      <c r="F1061" s="607" t="s">
        <v>51</v>
      </c>
      <c r="G1061" s="611">
        <v>289.49098983407703</v>
      </c>
    </row>
    <row r="1062" spans="1:7" ht="11.1" customHeight="1">
      <c r="A1062" s="600" t="str">
        <f t="shared" si="80"/>
        <v>EUR;EUR-OIS;1Y</v>
      </c>
      <c r="B1062" s="600" t="str">
        <f t="shared" si="83"/>
        <v>EUR</v>
      </c>
      <c r="C1062" s="600" t="str">
        <f t="shared" si="83"/>
        <v>EUR-OIS</v>
      </c>
      <c r="D1062" s="603"/>
      <c r="E1062" s="604"/>
      <c r="F1062" s="607" t="s">
        <v>56</v>
      </c>
      <c r="G1062" s="611">
        <v>4323.7648842378103</v>
      </c>
    </row>
    <row r="1063" spans="1:7" ht="11.1" customHeight="1">
      <c r="A1063" s="600" t="str">
        <f t="shared" si="80"/>
        <v>EUR;EUR-OIS;13M</v>
      </c>
      <c r="B1063" s="600" t="str">
        <f t="shared" si="83"/>
        <v>EUR</v>
      </c>
      <c r="C1063" s="600" t="str">
        <f t="shared" si="83"/>
        <v>EUR-OIS</v>
      </c>
      <c r="D1063" s="603"/>
      <c r="E1063" s="604"/>
      <c r="F1063" s="607" t="s">
        <v>57</v>
      </c>
      <c r="G1063" s="606">
        <v>-15009.8754310475</v>
      </c>
    </row>
    <row r="1064" spans="1:7" ht="11.1" customHeight="1">
      <c r="A1064" s="600" t="str">
        <f t="shared" si="80"/>
        <v>EUR;EUR-OIS;14M</v>
      </c>
      <c r="B1064" s="600" t="str">
        <f t="shared" si="83"/>
        <v>EUR</v>
      </c>
      <c r="C1064" s="600" t="str">
        <f t="shared" si="83"/>
        <v>EUR-OIS</v>
      </c>
      <c r="D1064" s="603"/>
      <c r="E1064" s="604"/>
      <c r="F1064" s="607" t="s">
        <v>58</v>
      </c>
      <c r="G1064" s="611">
        <v>6278.3767187625999</v>
      </c>
    </row>
    <row r="1065" spans="1:7" ht="11.1" customHeight="1">
      <c r="A1065" s="600" t="str">
        <f t="shared" si="80"/>
        <v>EUR;EUR-OIS;15M</v>
      </c>
      <c r="B1065" s="600" t="str">
        <f t="shared" si="83"/>
        <v>EUR</v>
      </c>
      <c r="C1065" s="600" t="str">
        <f t="shared" si="83"/>
        <v>EUR-OIS</v>
      </c>
      <c r="D1065" s="603"/>
      <c r="E1065" s="604"/>
      <c r="F1065" s="607" t="s">
        <v>53</v>
      </c>
      <c r="G1065" s="611">
        <v>2339.8865027612801</v>
      </c>
    </row>
    <row r="1066" spans="1:7" ht="11.1" customHeight="1">
      <c r="A1066" s="600" t="str">
        <f t="shared" si="80"/>
        <v>EUR;EUR-OIS;16M</v>
      </c>
      <c r="B1066" s="600" t="str">
        <f t="shared" si="83"/>
        <v>EUR</v>
      </c>
      <c r="C1066" s="600" t="str">
        <f t="shared" si="83"/>
        <v>EUR-OIS</v>
      </c>
      <c r="D1066" s="603"/>
      <c r="E1066" s="604"/>
      <c r="F1066" s="607" t="s">
        <v>59</v>
      </c>
      <c r="G1066" s="606">
        <v>-205.199426168234</v>
      </c>
    </row>
    <row r="1067" spans="1:7" ht="11.1" customHeight="1">
      <c r="A1067" s="600" t="str">
        <f t="shared" si="80"/>
        <v>EUR;EUR-OIS;17M</v>
      </c>
      <c r="B1067" s="600" t="str">
        <f t="shared" si="83"/>
        <v>EUR</v>
      </c>
      <c r="C1067" s="600" t="str">
        <f t="shared" si="83"/>
        <v>EUR-OIS</v>
      </c>
      <c r="D1067" s="603"/>
      <c r="E1067" s="604"/>
      <c r="F1067" s="607" t="s">
        <v>60</v>
      </c>
      <c r="G1067" s="606">
        <v>-5596.49939440869</v>
      </c>
    </row>
    <row r="1068" spans="1:7" ht="11.1" customHeight="1">
      <c r="A1068" s="600" t="str">
        <f t="shared" si="80"/>
        <v>EUR;EUR-OIS;18M</v>
      </c>
      <c r="B1068" s="600" t="str">
        <f t="shared" si="83"/>
        <v>EUR</v>
      </c>
      <c r="C1068" s="600" t="str">
        <f t="shared" si="83"/>
        <v>EUR-OIS</v>
      </c>
      <c r="D1068" s="603"/>
      <c r="E1068" s="604"/>
      <c r="F1068" s="607" t="s">
        <v>54</v>
      </c>
      <c r="G1068" s="606">
        <v>-7703.7500989394402</v>
      </c>
    </row>
    <row r="1069" spans="1:7" ht="11.1" customHeight="1">
      <c r="A1069" s="600" t="str">
        <f t="shared" si="80"/>
        <v>EUR;EUR-OIS;19M</v>
      </c>
      <c r="B1069" s="600" t="str">
        <f t="shared" si="83"/>
        <v>EUR</v>
      </c>
      <c r="C1069" s="600" t="str">
        <f t="shared" si="83"/>
        <v>EUR-OIS</v>
      </c>
      <c r="D1069" s="603"/>
      <c r="E1069" s="604"/>
      <c r="F1069" s="607" t="s">
        <v>61</v>
      </c>
      <c r="G1069" s="611">
        <v>278.77837948117002</v>
      </c>
    </row>
    <row r="1070" spans="1:7" ht="11.1" customHeight="1">
      <c r="A1070" s="600" t="str">
        <f t="shared" si="80"/>
        <v>EUR;EUR-OIS;20M</v>
      </c>
      <c r="B1070" s="600" t="str">
        <f t="shared" si="83"/>
        <v>EUR</v>
      </c>
      <c r="C1070" s="600" t="str">
        <f t="shared" si="83"/>
        <v>EUR-OIS</v>
      </c>
      <c r="D1070" s="603"/>
      <c r="E1070" s="604"/>
      <c r="F1070" s="607" t="s">
        <v>62</v>
      </c>
      <c r="G1070" s="611">
        <v>17.4910556585119</v>
      </c>
    </row>
    <row r="1071" spans="1:7" ht="11.1" customHeight="1">
      <c r="A1071" s="600" t="str">
        <f t="shared" si="80"/>
        <v>EUR;EUR-OIS;21M</v>
      </c>
      <c r="B1071" s="600" t="str">
        <f t="shared" si="83"/>
        <v>EUR</v>
      </c>
      <c r="C1071" s="600" t="str">
        <f t="shared" si="83"/>
        <v>EUR-OIS</v>
      </c>
      <c r="D1071" s="603"/>
      <c r="E1071" s="604"/>
      <c r="F1071" s="607" t="s">
        <v>55</v>
      </c>
      <c r="G1071" s="611">
        <v>27.6966040536939</v>
      </c>
    </row>
    <row r="1072" spans="1:7" ht="11.1" customHeight="1">
      <c r="A1072" s="600" t="str">
        <f t="shared" si="80"/>
        <v>EUR;EUR-OIS;22M</v>
      </c>
      <c r="B1072" s="600" t="str">
        <f t="shared" si="83"/>
        <v>EUR</v>
      </c>
      <c r="C1072" s="600" t="str">
        <f t="shared" si="83"/>
        <v>EUR-OIS</v>
      </c>
      <c r="D1072" s="603"/>
      <c r="E1072" s="604"/>
      <c r="F1072" s="607" t="s">
        <v>63</v>
      </c>
      <c r="G1072" s="606">
        <v>-4.0587934301337203</v>
      </c>
    </row>
    <row r="1073" spans="1:7" ht="11.1" customHeight="1">
      <c r="A1073" s="600" t="str">
        <f t="shared" si="80"/>
        <v>EUR;EUR-OIS;23M</v>
      </c>
      <c r="B1073" s="600" t="str">
        <f t="shared" si="83"/>
        <v>EUR</v>
      </c>
      <c r="C1073" s="600" t="str">
        <f t="shared" si="83"/>
        <v>EUR-OIS</v>
      </c>
      <c r="D1073" s="603"/>
      <c r="E1073" s="604"/>
      <c r="F1073" s="607" t="s">
        <v>64</v>
      </c>
      <c r="G1073" s="611">
        <v>6249.6726771301601</v>
      </c>
    </row>
    <row r="1074" spans="1:7" ht="11.1" customHeight="1">
      <c r="A1074" s="600" t="str">
        <f t="shared" si="80"/>
        <v>EUR;EUR-OIS;2Y</v>
      </c>
      <c r="B1074" s="600" t="str">
        <f t="shared" si="83"/>
        <v>EUR</v>
      </c>
      <c r="C1074" s="600" t="str">
        <f t="shared" si="83"/>
        <v>EUR-OIS</v>
      </c>
      <c r="D1074" s="603"/>
      <c r="E1074" s="604"/>
      <c r="F1074" s="607" t="s">
        <v>9</v>
      </c>
      <c r="G1074" s="606">
        <v>-9025.7131777487793</v>
      </c>
    </row>
    <row r="1075" spans="1:7" ht="11.1" customHeight="1">
      <c r="A1075" s="600" t="str">
        <f t="shared" si="80"/>
        <v>EUR;EUR-OIS;3Y</v>
      </c>
      <c r="B1075" s="600" t="str">
        <f t="shared" si="83"/>
        <v>EUR</v>
      </c>
      <c r="C1075" s="600" t="str">
        <f t="shared" si="83"/>
        <v>EUR-OIS</v>
      </c>
      <c r="D1075" s="603"/>
      <c r="E1075" s="604"/>
      <c r="F1075" s="607" t="s">
        <v>10</v>
      </c>
      <c r="G1075" s="606">
        <v>-24319.753619650801</v>
      </c>
    </row>
    <row r="1076" spans="1:7" ht="11.1" customHeight="1">
      <c r="A1076" s="600" t="str">
        <f t="shared" si="80"/>
        <v>EUR;EUR-OIS;4Y</v>
      </c>
      <c r="B1076" s="600" t="str">
        <f t="shared" si="83"/>
        <v>EUR</v>
      </c>
      <c r="C1076" s="600" t="str">
        <f t="shared" si="83"/>
        <v>EUR-OIS</v>
      </c>
      <c r="D1076" s="603"/>
      <c r="E1076" s="604"/>
      <c r="F1076" s="607" t="s">
        <v>11</v>
      </c>
      <c r="G1076" s="611">
        <v>7247.8262435094803</v>
      </c>
    </row>
    <row r="1077" spans="1:7" ht="11.1" customHeight="1">
      <c r="A1077" s="600" t="str">
        <f t="shared" si="80"/>
        <v>EUR;EUR-OIS;5Y</v>
      </c>
      <c r="B1077" s="600" t="str">
        <f t="shared" ref="B1077:C1092" si="84">IF(ISBLANK(D1077),B1076,D1077)</f>
        <v>EUR</v>
      </c>
      <c r="C1077" s="600" t="str">
        <f t="shared" si="84"/>
        <v>EUR-OIS</v>
      </c>
      <c r="D1077" s="603"/>
      <c r="E1077" s="604"/>
      <c r="F1077" s="607" t="s">
        <v>12</v>
      </c>
      <c r="G1077" s="606">
        <v>-25412.9301402358</v>
      </c>
    </row>
    <row r="1078" spans="1:7" ht="11.1" customHeight="1">
      <c r="A1078" s="600" t="str">
        <f t="shared" si="80"/>
        <v>EUR;EUR-OIS;6Y</v>
      </c>
      <c r="B1078" s="600" t="str">
        <f t="shared" si="84"/>
        <v>EUR</v>
      </c>
      <c r="C1078" s="600" t="str">
        <f t="shared" si="84"/>
        <v>EUR-OIS</v>
      </c>
      <c r="D1078" s="603"/>
      <c r="E1078" s="604"/>
      <c r="F1078" s="607" t="s">
        <v>13</v>
      </c>
      <c r="G1078" s="611">
        <v>1652.4160195935899</v>
      </c>
    </row>
    <row r="1079" spans="1:7" ht="11.1" customHeight="1">
      <c r="A1079" s="600" t="str">
        <f t="shared" si="80"/>
        <v>EUR;EUR-OIS;7Y</v>
      </c>
      <c r="B1079" s="600" t="str">
        <f t="shared" si="84"/>
        <v>EUR</v>
      </c>
      <c r="C1079" s="600" t="str">
        <f t="shared" si="84"/>
        <v>EUR-OIS</v>
      </c>
      <c r="D1079" s="603"/>
      <c r="E1079" s="604"/>
      <c r="F1079" s="607" t="s">
        <v>14</v>
      </c>
      <c r="G1079" s="606">
        <v>-38345.4184476058</v>
      </c>
    </row>
    <row r="1080" spans="1:7" ht="11.1" customHeight="1">
      <c r="A1080" s="600" t="str">
        <f t="shared" si="80"/>
        <v>EUR;EUR-OIS;8Y</v>
      </c>
      <c r="B1080" s="600" t="str">
        <f t="shared" si="84"/>
        <v>EUR</v>
      </c>
      <c r="C1080" s="600" t="str">
        <f t="shared" si="84"/>
        <v>EUR-OIS</v>
      </c>
      <c r="D1080" s="603"/>
      <c r="E1080" s="604"/>
      <c r="F1080" s="607" t="s">
        <v>15</v>
      </c>
      <c r="G1080" s="606">
        <v>-3879.9603619953</v>
      </c>
    </row>
    <row r="1081" spans="1:7" ht="11.1" customHeight="1">
      <c r="A1081" s="600" t="str">
        <f t="shared" si="80"/>
        <v>EUR;EUR-OIS;9Y</v>
      </c>
      <c r="B1081" s="600" t="str">
        <f t="shared" si="84"/>
        <v>EUR</v>
      </c>
      <c r="C1081" s="600" t="str">
        <f t="shared" si="84"/>
        <v>EUR-OIS</v>
      </c>
      <c r="D1081" s="603"/>
      <c r="E1081" s="604"/>
      <c r="F1081" s="607" t="s">
        <v>16</v>
      </c>
      <c r="G1081" s="606">
        <v>-33457.069466042703</v>
      </c>
    </row>
    <row r="1082" spans="1:7" ht="11.1" customHeight="1">
      <c r="A1082" s="600" t="str">
        <f t="shared" si="80"/>
        <v>EUR;EUR-OIS;10Y</v>
      </c>
      <c r="B1082" s="600" t="str">
        <f t="shared" si="84"/>
        <v>EUR</v>
      </c>
      <c r="C1082" s="600" t="str">
        <f t="shared" si="84"/>
        <v>EUR-OIS</v>
      </c>
      <c r="D1082" s="603"/>
      <c r="E1082" s="604"/>
      <c r="F1082" s="607" t="s">
        <v>17</v>
      </c>
      <c r="G1082" s="606">
        <v>-20756.890894090098</v>
      </c>
    </row>
    <row r="1083" spans="1:7" ht="11.1" customHeight="1">
      <c r="A1083" s="600" t="str">
        <f t="shared" si="80"/>
        <v>EUR;EUR-OIS;11Y</v>
      </c>
      <c r="B1083" s="600" t="str">
        <f t="shared" si="84"/>
        <v>EUR</v>
      </c>
      <c r="C1083" s="600" t="str">
        <f t="shared" si="84"/>
        <v>EUR-OIS</v>
      </c>
      <c r="D1083" s="603"/>
      <c r="E1083" s="604"/>
      <c r="F1083" s="607" t="s">
        <v>31</v>
      </c>
      <c r="G1083" s="611">
        <v>8989.2321245051298</v>
      </c>
    </row>
    <row r="1084" spans="1:7" ht="11.1" customHeight="1">
      <c r="A1084" s="600" t="str">
        <f t="shared" si="80"/>
        <v>EUR;EUR-OIS;12Y</v>
      </c>
      <c r="B1084" s="600" t="str">
        <f t="shared" si="84"/>
        <v>EUR</v>
      </c>
      <c r="C1084" s="600" t="str">
        <f t="shared" si="84"/>
        <v>EUR-OIS</v>
      </c>
      <c r="D1084" s="603"/>
      <c r="E1084" s="604"/>
      <c r="F1084" s="607" t="s">
        <v>18</v>
      </c>
      <c r="G1084" s="606">
        <v>-74912.003634270906</v>
      </c>
    </row>
    <row r="1085" spans="1:7" ht="11.1" customHeight="1">
      <c r="A1085" s="600" t="str">
        <f t="shared" si="80"/>
        <v>EUR;EUR-OIS;13Y</v>
      </c>
      <c r="B1085" s="600" t="str">
        <f t="shared" si="84"/>
        <v>EUR</v>
      </c>
      <c r="C1085" s="600" t="str">
        <f t="shared" si="84"/>
        <v>EUR-OIS</v>
      </c>
      <c r="D1085" s="603"/>
      <c r="E1085" s="604"/>
      <c r="F1085" s="607" t="s">
        <v>32</v>
      </c>
      <c r="G1085" s="606">
        <v>-9745.4149020586992</v>
      </c>
    </row>
    <row r="1086" spans="1:7" ht="11.1" customHeight="1">
      <c r="A1086" s="600" t="str">
        <f t="shared" si="80"/>
        <v>EUR;EUR-OIS;14Y</v>
      </c>
      <c r="B1086" s="600" t="str">
        <f t="shared" si="84"/>
        <v>EUR</v>
      </c>
      <c r="C1086" s="600" t="str">
        <f t="shared" si="84"/>
        <v>EUR-OIS</v>
      </c>
      <c r="D1086" s="603"/>
      <c r="E1086" s="604"/>
      <c r="F1086" s="607" t="s">
        <v>33</v>
      </c>
      <c r="G1086" s="606">
        <v>-19569.861528262802</v>
      </c>
    </row>
    <row r="1087" spans="1:7" ht="11.1" customHeight="1">
      <c r="A1087" s="600" t="str">
        <f t="shared" si="80"/>
        <v>EUR;EUR-OIS;15Y</v>
      </c>
      <c r="B1087" s="600" t="str">
        <f t="shared" si="84"/>
        <v>EUR</v>
      </c>
      <c r="C1087" s="600" t="str">
        <f t="shared" si="84"/>
        <v>EUR-OIS</v>
      </c>
      <c r="D1087" s="603"/>
      <c r="E1087" s="604"/>
      <c r="F1087" s="607" t="s">
        <v>19</v>
      </c>
      <c r="G1087" s="611">
        <v>271.609966783044</v>
      </c>
    </row>
    <row r="1088" spans="1:7" ht="11.1" customHeight="1">
      <c r="A1088" s="600" t="str">
        <f t="shared" si="80"/>
        <v>EUR;EUR-OIS;16Y</v>
      </c>
      <c r="B1088" s="600" t="str">
        <f t="shared" si="84"/>
        <v>EUR</v>
      </c>
      <c r="C1088" s="600" t="str">
        <f t="shared" si="84"/>
        <v>EUR-OIS</v>
      </c>
      <c r="D1088" s="603"/>
      <c r="E1088" s="604"/>
      <c r="F1088" s="607" t="s">
        <v>34</v>
      </c>
      <c r="G1088" s="606">
        <v>-402.42497604401098</v>
      </c>
    </row>
    <row r="1089" spans="1:7" ht="11.1" customHeight="1">
      <c r="A1089" s="600" t="str">
        <f t="shared" si="80"/>
        <v>EUR;EUR-OIS;17Y</v>
      </c>
      <c r="B1089" s="600" t="str">
        <f t="shared" si="84"/>
        <v>EUR</v>
      </c>
      <c r="C1089" s="600" t="str">
        <f t="shared" si="84"/>
        <v>EUR-OIS</v>
      </c>
      <c r="D1089" s="603"/>
      <c r="E1089" s="604"/>
      <c r="F1089" s="607" t="s">
        <v>35</v>
      </c>
      <c r="G1089" s="611">
        <v>745.56536971030698</v>
      </c>
    </row>
    <row r="1090" spans="1:7" ht="11.1" customHeight="1">
      <c r="A1090" s="600" t="str">
        <f t="shared" si="80"/>
        <v>EUR;EUR-OIS;18Y</v>
      </c>
      <c r="B1090" s="600" t="str">
        <f t="shared" si="84"/>
        <v>EUR</v>
      </c>
      <c r="C1090" s="600" t="str">
        <f t="shared" si="84"/>
        <v>EUR-OIS</v>
      </c>
      <c r="D1090" s="603"/>
      <c r="E1090" s="604"/>
      <c r="F1090" s="607" t="s">
        <v>36</v>
      </c>
      <c r="G1090" s="606">
        <v>-11537.054175397299</v>
      </c>
    </row>
    <row r="1091" spans="1:7" ht="11.1" customHeight="1">
      <c r="A1091" s="600" t="str">
        <f t="shared" si="80"/>
        <v>EUR;EUR-OIS;19Y</v>
      </c>
      <c r="B1091" s="600" t="str">
        <f t="shared" si="84"/>
        <v>EUR</v>
      </c>
      <c r="C1091" s="600" t="str">
        <f t="shared" si="84"/>
        <v>EUR-OIS</v>
      </c>
      <c r="D1091" s="603"/>
      <c r="E1091" s="604"/>
      <c r="F1091" s="607" t="s">
        <v>37</v>
      </c>
      <c r="G1091" s="611">
        <v>28494.945044601802</v>
      </c>
    </row>
    <row r="1092" spans="1:7" ht="11.1" customHeight="1">
      <c r="A1092" s="600" t="str">
        <f t="shared" si="80"/>
        <v>EUR;EUR-OIS;20Y</v>
      </c>
      <c r="B1092" s="600" t="str">
        <f t="shared" si="84"/>
        <v>EUR</v>
      </c>
      <c r="C1092" s="600" t="str">
        <f t="shared" si="84"/>
        <v>EUR-OIS</v>
      </c>
      <c r="D1092" s="603"/>
      <c r="E1092" s="604"/>
      <c r="F1092" s="607" t="s">
        <v>20</v>
      </c>
      <c r="G1092" s="611">
        <v>21344.0314816227</v>
      </c>
    </row>
    <row r="1093" spans="1:7" ht="11.1" customHeight="1">
      <c r="A1093" s="600" t="str">
        <f t="shared" ref="A1093:A1156" si="85">B1093&amp;";"&amp;C1093&amp;";"&amp;F1093</f>
        <v>EUR;EUR-OIS;21Y</v>
      </c>
      <c r="B1093" s="600" t="str">
        <f t="shared" ref="B1093:C1108" si="86">IF(ISBLANK(D1093),B1092,D1093)</f>
        <v>EUR</v>
      </c>
      <c r="C1093" s="600" t="str">
        <f t="shared" si="86"/>
        <v>EUR-OIS</v>
      </c>
      <c r="D1093" s="603"/>
      <c r="E1093" s="604"/>
      <c r="F1093" s="607" t="s">
        <v>38</v>
      </c>
      <c r="G1093" s="606">
        <v>-2756.8791638450002</v>
      </c>
    </row>
    <row r="1094" spans="1:7" ht="11.1" customHeight="1">
      <c r="A1094" s="600" t="str">
        <f t="shared" si="85"/>
        <v>EUR;EUR-OIS;22Y</v>
      </c>
      <c r="B1094" s="600" t="str">
        <f t="shared" si="86"/>
        <v>EUR</v>
      </c>
      <c r="C1094" s="600" t="str">
        <f t="shared" si="86"/>
        <v>EUR-OIS</v>
      </c>
      <c r="D1094" s="603"/>
      <c r="E1094" s="604"/>
      <c r="F1094" s="607" t="s">
        <v>39</v>
      </c>
      <c r="G1094" s="608">
        <v>0</v>
      </c>
    </row>
    <row r="1095" spans="1:7" ht="11.1" customHeight="1">
      <c r="A1095" s="600" t="str">
        <f t="shared" si="85"/>
        <v>EUR;EUR-OIS;23Y</v>
      </c>
      <c r="B1095" s="600" t="str">
        <f t="shared" si="86"/>
        <v>EUR</v>
      </c>
      <c r="C1095" s="600" t="str">
        <f t="shared" si="86"/>
        <v>EUR-OIS</v>
      </c>
      <c r="D1095" s="603"/>
      <c r="E1095" s="604"/>
      <c r="F1095" s="607" t="s">
        <v>40</v>
      </c>
      <c r="G1095" s="608">
        <v>0</v>
      </c>
    </row>
    <row r="1096" spans="1:7" ht="11.1" customHeight="1">
      <c r="A1096" s="600" t="str">
        <f t="shared" si="85"/>
        <v>EUR;EUR-OIS;24Y</v>
      </c>
      <c r="B1096" s="600" t="str">
        <f t="shared" si="86"/>
        <v>EUR</v>
      </c>
      <c r="C1096" s="600" t="str">
        <f t="shared" si="86"/>
        <v>EUR-OIS</v>
      </c>
      <c r="D1096" s="603"/>
      <c r="E1096" s="604"/>
      <c r="F1096" s="607" t="s">
        <v>41</v>
      </c>
      <c r="G1096" s="608">
        <v>0</v>
      </c>
    </row>
    <row r="1097" spans="1:7" ht="11.1" customHeight="1">
      <c r="A1097" s="600" t="str">
        <f t="shared" si="85"/>
        <v>EUR;EUR-OIS;25Y</v>
      </c>
      <c r="B1097" s="600" t="str">
        <f t="shared" si="86"/>
        <v>EUR</v>
      </c>
      <c r="C1097" s="600" t="str">
        <f t="shared" si="86"/>
        <v>EUR-OIS</v>
      </c>
      <c r="D1097" s="603"/>
      <c r="E1097" s="604"/>
      <c r="F1097" s="607" t="s">
        <v>21</v>
      </c>
      <c r="G1097" s="608">
        <v>0</v>
      </c>
    </row>
    <row r="1098" spans="1:7" ht="11.1" customHeight="1">
      <c r="A1098" s="600" t="str">
        <f t="shared" si="85"/>
        <v>EUR;EUR-OIS;26Y</v>
      </c>
      <c r="B1098" s="600" t="str">
        <f t="shared" si="86"/>
        <v>EUR</v>
      </c>
      <c r="C1098" s="600" t="str">
        <f t="shared" si="86"/>
        <v>EUR-OIS</v>
      </c>
      <c r="D1098" s="603"/>
      <c r="E1098" s="604"/>
      <c r="F1098" s="607" t="s">
        <v>42</v>
      </c>
      <c r="G1098" s="608">
        <v>0</v>
      </c>
    </row>
    <row r="1099" spans="1:7" ht="11.1" customHeight="1">
      <c r="A1099" s="600" t="str">
        <f t="shared" si="85"/>
        <v>EUR;EUR-OIS;27Y</v>
      </c>
      <c r="B1099" s="600" t="str">
        <f t="shared" si="86"/>
        <v>EUR</v>
      </c>
      <c r="C1099" s="600" t="str">
        <f t="shared" si="86"/>
        <v>EUR-OIS</v>
      </c>
      <c r="D1099" s="603"/>
      <c r="E1099" s="604"/>
      <c r="F1099" s="607" t="s">
        <v>43</v>
      </c>
      <c r="G1099" s="608">
        <v>0</v>
      </c>
    </row>
    <row r="1100" spans="1:7" ht="11.1" customHeight="1">
      <c r="A1100" s="600" t="str">
        <f t="shared" si="85"/>
        <v>EUR;EUR-OIS;28Y</v>
      </c>
      <c r="B1100" s="600" t="str">
        <f t="shared" si="86"/>
        <v>EUR</v>
      </c>
      <c r="C1100" s="600" t="str">
        <f t="shared" si="86"/>
        <v>EUR-OIS</v>
      </c>
      <c r="D1100" s="603"/>
      <c r="E1100" s="604"/>
      <c r="F1100" s="607" t="s">
        <v>44</v>
      </c>
      <c r="G1100" s="608">
        <v>0</v>
      </c>
    </row>
    <row r="1101" spans="1:7" ht="11.1" customHeight="1">
      <c r="A1101" s="600" t="str">
        <f t="shared" si="85"/>
        <v>EUR;EUR-OIS;29Y</v>
      </c>
      <c r="B1101" s="600" t="str">
        <f t="shared" si="86"/>
        <v>EUR</v>
      </c>
      <c r="C1101" s="600" t="str">
        <f t="shared" si="86"/>
        <v>EUR-OIS</v>
      </c>
      <c r="D1101" s="603"/>
      <c r="E1101" s="604"/>
      <c r="F1101" s="607" t="s">
        <v>45</v>
      </c>
      <c r="G1101" s="608">
        <v>0</v>
      </c>
    </row>
    <row r="1102" spans="1:7" ht="11.1" customHeight="1">
      <c r="A1102" s="600" t="str">
        <f t="shared" si="85"/>
        <v>EUR;EUR-OIS;30Y</v>
      </c>
      <c r="B1102" s="600" t="str">
        <f t="shared" si="86"/>
        <v>EUR</v>
      </c>
      <c r="C1102" s="600" t="str">
        <f t="shared" si="86"/>
        <v>EUR-OIS</v>
      </c>
      <c r="D1102" s="603"/>
      <c r="E1102" s="604"/>
      <c r="F1102" s="607" t="s">
        <v>22</v>
      </c>
      <c r="G1102" s="608">
        <v>0</v>
      </c>
    </row>
    <row r="1103" spans="1:7" ht="11.1" customHeight="1">
      <c r="A1103" s="600" t="str">
        <f t="shared" si="85"/>
        <v>EUR;EUR-OIS;35Y</v>
      </c>
      <c r="B1103" s="600" t="str">
        <f t="shared" si="86"/>
        <v>EUR</v>
      </c>
      <c r="C1103" s="600" t="str">
        <f t="shared" si="86"/>
        <v>EUR-OIS</v>
      </c>
      <c r="D1103" s="603"/>
      <c r="E1103" s="604"/>
      <c r="F1103" s="607" t="s">
        <v>167</v>
      </c>
      <c r="G1103" s="608">
        <v>0</v>
      </c>
    </row>
    <row r="1104" spans="1:7" ht="11.1" customHeight="1">
      <c r="A1104" s="600" t="str">
        <f t="shared" si="85"/>
        <v>EUR;EUR-OIS;40Y</v>
      </c>
      <c r="B1104" s="600" t="str">
        <f t="shared" si="86"/>
        <v>EUR</v>
      </c>
      <c r="C1104" s="600" t="str">
        <f t="shared" si="86"/>
        <v>EUR-OIS</v>
      </c>
      <c r="D1104" s="603"/>
      <c r="E1104" s="604"/>
      <c r="F1104" s="607" t="s">
        <v>46</v>
      </c>
      <c r="G1104" s="608">
        <v>0</v>
      </c>
    </row>
    <row r="1105" spans="1:7" ht="11.1" customHeight="1">
      <c r="A1105" s="600" t="str">
        <f t="shared" si="85"/>
        <v>EUR;EUR-OIS;50Y</v>
      </c>
      <c r="B1105" s="600" t="str">
        <f t="shared" si="86"/>
        <v>EUR</v>
      </c>
      <c r="C1105" s="600" t="str">
        <f t="shared" si="86"/>
        <v>EUR-OIS</v>
      </c>
      <c r="D1105" s="603"/>
      <c r="E1105" s="604"/>
      <c r="F1105" s="607" t="s">
        <v>47</v>
      </c>
      <c r="G1105" s="608">
        <v>0</v>
      </c>
    </row>
    <row r="1106" spans="1:7" ht="11.1" customHeight="1">
      <c r="A1106" s="600" t="str">
        <f t="shared" si="85"/>
        <v>EUR;EUR-OIS;60Y</v>
      </c>
      <c r="B1106" s="600" t="str">
        <f t="shared" si="86"/>
        <v>EUR</v>
      </c>
      <c r="C1106" s="600" t="str">
        <f t="shared" si="86"/>
        <v>EUR-OIS</v>
      </c>
      <c r="D1106" s="603"/>
      <c r="E1106" s="604"/>
      <c r="F1106" s="607" t="s">
        <v>48</v>
      </c>
      <c r="G1106" s="608">
        <v>0</v>
      </c>
    </row>
    <row r="1107" spans="1:7" ht="11.1" customHeight="1">
      <c r="A1107" s="600" t="str">
        <f t="shared" si="85"/>
        <v>EUR;EUR-OIS DISC;Total EUR-OIS DISC</v>
      </c>
      <c r="B1107" s="600" t="str">
        <f t="shared" si="86"/>
        <v>EUR</v>
      </c>
      <c r="C1107" s="600" t="str">
        <f t="shared" si="86"/>
        <v>EUR-OIS DISC</v>
      </c>
      <c r="D1107" s="603"/>
      <c r="E1107" s="604" t="s">
        <v>172</v>
      </c>
      <c r="F1107" s="605" t="s">
        <v>647</v>
      </c>
      <c r="G1107" s="611">
        <v>213790.81229784701</v>
      </c>
    </row>
    <row r="1108" spans="1:7" ht="11.1" customHeight="1">
      <c r="A1108" s="600" t="str">
        <f t="shared" si="85"/>
        <v>EUR;EUR-OIS DISC;O/N</v>
      </c>
      <c r="B1108" s="600" t="str">
        <f t="shared" si="86"/>
        <v>EUR</v>
      </c>
      <c r="C1108" s="600" t="str">
        <f t="shared" si="86"/>
        <v>EUR-OIS DISC</v>
      </c>
      <c r="D1108" s="603"/>
      <c r="E1108" s="604"/>
      <c r="F1108" s="607" t="s">
        <v>3</v>
      </c>
      <c r="G1108" s="611">
        <v>150.302576930485</v>
      </c>
    </row>
    <row r="1109" spans="1:7" ht="11.1" customHeight="1">
      <c r="A1109" s="600" t="str">
        <f t="shared" si="85"/>
        <v>EUR;EUR-OIS DISC;T/N</v>
      </c>
      <c r="B1109" s="600" t="str">
        <f t="shared" ref="B1109:C1124" si="87">IF(ISBLANK(D1109),B1108,D1109)</f>
        <v>EUR</v>
      </c>
      <c r="C1109" s="600" t="str">
        <f t="shared" si="87"/>
        <v>EUR-OIS DISC</v>
      </c>
      <c r="D1109" s="603"/>
      <c r="E1109" s="604"/>
      <c r="F1109" s="607" t="s">
        <v>4</v>
      </c>
      <c r="G1109" s="611">
        <v>81.733967505312293</v>
      </c>
    </row>
    <row r="1110" spans="1:7" ht="11.1" customHeight="1">
      <c r="A1110" s="600" t="str">
        <f t="shared" si="85"/>
        <v>EUR;EUR-OIS DISC;S/N</v>
      </c>
      <c r="B1110" s="600" t="str">
        <f t="shared" si="87"/>
        <v>EUR</v>
      </c>
      <c r="C1110" s="600" t="str">
        <f t="shared" si="87"/>
        <v>EUR-OIS DISC</v>
      </c>
      <c r="D1110" s="603"/>
      <c r="E1110" s="604"/>
      <c r="F1110" s="607" t="s">
        <v>23</v>
      </c>
      <c r="G1110" s="606">
        <v>-18.057642713348699</v>
      </c>
    </row>
    <row r="1111" spans="1:7" ht="11.1" customHeight="1">
      <c r="A1111" s="600" t="str">
        <f t="shared" si="85"/>
        <v>EUR;EUR-OIS DISC;1W</v>
      </c>
      <c r="B1111" s="600" t="str">
        <f t="shared" si="87"/>
        <v>EUR</v>
      </c>
      <c r="C1111" s="600" t="str">
        <f t="shared" si="87"/>
        <v>EUR-OIS DISC</v>
      </c>
      <c r="D1111" s="603"/>
      <c r="E1111" s="604"/>
      <c r="F1111" s="607" t="s">
        <v>5</v>
      </c>
      <c r="G1111" s="611">
        <v>110.729635137942</v>
      </c>
    </row>
    <row r="1112" spans="1:7" ht="11.1" customHeight="1">
      <c r="A1112" s="600" t="str">
        <f t="shared" si="85"/>
        <v>EUR;EUR-OIS DISC;2W</v>
      </c>
      <c r="B1112" s="600" t="str">
        <f t="shared" si="87"/>
        <v>EUR</v>
      </c>
      <c r="C1112" s="600" t="str">
        <f t="shared" si="87"/>
        <v>EUR-OIS DISC</v>
      </c>
      <c r="D1112" s="603"/>
      <c r="E1112" s="604"/>
      <c r="F1112" s="607" t="s">
        <v>6</v>
      </c>
      <c r="G1112" s="611">
        <v>5.7978031611289298</v>
      </c>
    </row>
    <row r="1113" spans="1:7" ht="11.1" customHeight="1">
      <c r="A1113" s="600" t="str">
        <f t="shared" si="85"/>
        <v>EUR;EUR-OIS DISC;3W</v>
      </c>
      <c r="B1113" s="600" t="str">
        <f t="shared" si="87"/>
        <v>EUR</v>
      </c>
      <c r="C1113" s="600" t="str">
        <f t="shared" si="87"/>
        <v>EUR-OIS DISC</v>
      </c>
      <c r="D1113" s="603"/>
      <c r="E1113" s="604"/>
      <c r="F1113" s="607" t="s">
        <v>24</v>
      </c>
      <c r="G1113" s="611">
        <v>367.81056194361997</v>
      </c>
    </row>
    <row r="1114" spans="1:7" ht="11.1" customHeight="1">
      <c r="A1114" s="600" t="str">
        <f t="shared" si="85"/>
        <v>EUR;EUR-OIS DISC;1M</v>
      </c>
      <c r="B1114" s="600" t="str">
        <f t="shared" si="87"/>
        <v>EUR</v>
      </c>
      <c r="C1114" s="600" t="str">
        <f t="shared" si="87"/>
        <v>EUR-OIS DISC</v>
      </c>
      <c r="D1114" s="603"/>
      <c r="E1114" s="604"/>
      <c r="F1114" s="607" t="s">
        <v>7</v>
      </c>
      <c r="G1114" s="606">
        <v>-600.99099864206096</v>
      </c>
    </row>
    <row r="1115" spans="1:7" ht="11.1" customHeight="1">
      <c r="A1115" s="600" t="str">
        <f t="shared" si="85"/>
        <v>EUR;EUR-OIS DISC;2M</v>
      </c>
      <c r="B1115" s="600" t="str">
        <f t="shared" si="87"/>
        <v>EUR</v>
      </c>
      <c r="C1115" s="600" t="str">
        <f t="shared" si="87"/>
        <v>EUR-OIS DISC</v>
      </c>
      <c r="D1115" s="603"/>
      <c r="E1115" s="604"/>
      <c r="F1115" s="607" t="s">
        <v>8</v>
      </c>
      <c r="G1115" s="606">
        <v>-597.04945131987404</v>
      </c>
    </row>
    <row r="1116" spans="1:7" ht="11.1" customHeight="1">
      <c r="A1116" s="600" t="str">
        <f t="shared" si="85"/>
        <v>EUR;EUR-OIS DISC;3M</v>
      </c>
      <c r="B1116" s="600" t="str">
        <f t="shared" si="87"/>
        <v>EUR</v>
      </c>
      <c r="C1116" s="600" t="str">
        <f t="shared" si="87"/>
        <v>EUR-OIS DISC</v>
      </c>
      <c r="D1116" s="603"/>
      <c r="E1116" s="604"/>
      <c r="F1116" s="607" t="s">
        <v>25</v>
      </c>
      <c r="G1116" s="606">
        <v>-76.524352887697205</v>
      </c>
    </row>
    <row r="1117" spans="1:7" ht="11.1" customHeight="1">
      <c r="A1117" s="600" t="str">
        <f t="shared" si="85"/>
        <v>EUR;EUR-OIS DISC;4M</v>
      </c>
      <c r="B1117" s="600" t="str">
        <f t="shared" si="87"/>
        <v>EUR</v>
      </c>
      <c r="C1117" s="600" t="str">
        <f t="shared" si="87"/>
        <v>EUR-OIS DISC</v>
      </c>
      <c r="D1117" s="603"/>
      <c r="E1117" s="604"/>
      <c r="F1117" s="607" t="s">
        <v>26</v>
      </c>
      <c r="G1117" s="606">
        <v>-49.1375197850221</v>
      </c>
    </row>
    <row r="1118" spans="1:7" ht="11.1" customHeight="1">
      <c r="A1118" s="600" t="str">
        <f t="shared" si="85"/>
        <v>EUR;EUR-OIS DISC;5M</v>
      </c>
      <c r="B1118" s="600" t="str">
        <f t="shared" si="87"/>
        <v>EUR</v>
      </c>
      <c r="C1118" s="600" t="str">
        <f t="shared" si="87"/>
        <v>EUR-OIS DISC</v>
      </c>
      <c r="D1118" s="603"/>
      <c r="E1118" s="604"/>
      <c r="F1118" s="607" t="s">
        <v>27</v>
      </c>
      <c r="G1118" s="611">
        <v>247.14405871939101</v>
      </c>
    </row>
    <row r="1119" spans="1:7" ht="11.1" customHeight="1">
      <c r="A1119" s="600" t="str">
        <f t="shared" si="85"/>
        <v>EUR;EUR-OIS DISC;6M</v>
      </c>
      <c r="B1119" s="600" t="str">
        <f t="shared" si="87"/>
        <v>EUR</v>
      </c>
      <c r="C1119" s="600" t="str">
        <f t="shared" si="87"/>
        <v>EUR-OIS DISC</v>
      </c>
      <c r="D1119" s="603"/>
      <c r="E1119" s="604"/>
      <c r="F1119" s="607" t="s">
        <v>28</v>
      </c>
      <c r="G1119" s="611">
        <v>696.32067505060002</v>
      </c>
    </row>
    <row r="1120" spans="1:7" ht="11.1" customHeight="1">
      <c r="A1120" s="600" t="str">
        <f t="shared" si="85"/>
        <v>EUR;EUR-OIS DISC;7M</v>
      </c>
      <c r="B1120" s="600" t="str">
        <f t="shared" si="87"/>
        <v>EUR</v>
      </c>
      <c r="C1120" s="600" t="str">
        <f t="shared" si="87"/>
        <v>EUR-OIS DISC</v>
      </c>
      <c r="D1120" s="603"/>
      <c r="E1120" s="604"/>
      <c r="F1120" s="607" t="s">
        <v>29</v>
      </c>
      <c r="G1120" s="606">
        <v>-1281.4945445174601</v>
      </c>
    </row>
    <row r="1121" spans="1:7" ht="11.1" customHeight="1">
      <c r="A1121" s="600" t="str">
        <f t="shared" si="85"/>
        <v>EUR;EUR-OIS DISC;8M</v>
      </c>
      <c r="B1121" s="600" t="str">
        <f t="shared" si="87"/>
        <v>EUR</v>
      </c>
      <c r="C1121" s="600" t="str">
        <f t="shared" si="87"/>
        <v>EUR-OIS DISC</v>
      </c>
      <c r="D1121" s="603"/>
      <c r="E1121" s="604"/>
      <c r="F1121" s="607" t="s">
        <v>30</v>
      </c>
      <c r="G1121" s="606">
        <v>-1247.4478552297301</v>
      </c>
    </row>
    <row r="1122" spans="1:7" ht="11.1" customHeight="1">
      <c r="A1122" s="600" t="str">
        <f t="shared" si="85"/>
        <v>EUR;EUR-OIS DISC;9M</v>
      </c>
      <c r="B1122" s="600" t="str">
        <f t="shared" si="87"/>
        <v>EUR</v>
      </c>
      <c r="C1122" s="600" t="str">
        <f t="shared" si="87"/>
        <v>EUR-OIS DISC</v>
      </c>
      <c r="D1122" s="603"/>
      <c r="E1122" s="604"/>
      <c r="F1122" s="607" t="s">
        <v>49</v>
      </c>
      <c r="G1122" s="611">
        <v>344.99455536655802</v>
      </c>
    </row>
    <row r="1123" spans="1:7" ht="11.1" customHeight="1">
      <c r="A1123" s="600" t="str">
        <f t="shared" si="85"/>
        <v>EUR;EUR-OIS DISC;10M</v>
      </c>
      <c r="B1123" s="600" t="str">
        <f t="shared" si="87"/>
        <v>EUR</v>
      </c>
      <c r="C1123" s="600" t="str">
        <f t="shared" si="87"/>
        <v>EUR-OIS DISC</v>
      </c>
      <c r="D1123" s="603"/>
      <c r="E1123" s="604"/>
      <c r="F1123" s="607" t="s">
        <v>50</v>
      </c>
      <c r="G1123" s="611">
        <v>4508.8583326766002</v>
      </c>
    </row>
    <row r="1124" spans="1:7" ht="11.1" customHeight="1">
      <c r="A1124" s="600" t="str">
        <f t="shared" si="85"/>
        <v>EUR;EUR-OIS DISC;11M</v>
      </c>
      <c r="B1124" s="600" t="str">
        <f t="shared" si="87"/>
        <v>EUR</v>
      </c>
      <c r="C1124" s="600" t="str">
        <f t="shared" si="87"/>
        <v>EUR-OIS DISC</v>
      </c>
      <c r="D1124" s="603"/>
      <c r="E1124" s="604"/>
      <c r="F1124" s="607" t="s">
        <v>51</v>
      </c>
      <c r="G1124" s="606">
        <v>-359.54375131864202</v>
      </c>
    </row>
    <row r="1125" spans="1:7" ht="11.1" customHeight="1">
      <c r="A1125" s="600" t="str">
        <f t="shared" si="85"/>
        <v>EUR;EUR-OIS DISC;1Y</v>
      </c>
      <c r="B1125" s="600" t="str">
        <f t="shared" ref="B1125:C1140" si="88">IF(ISBLANK(D1125),B1124,D1125)</f>
        <v>EUR</v>
      </c>
      <c r="C1125" s="600" t="str">
        <f t="shared" si="88"/>
        <v>EUR-OIS DISC</v>
      </c>
      <c r="D1125" s="603"/>
      <c r="E1125" s="604"/>
      <c r="F1125" s="607" t="s">
        <v>56</v>
      </c>
      <c r="G1125" s="606">
        <v>-998.69833258773804</v>
      </c>
    </row>
    <row r="1126" spans="1:7" ht="11.1" customHeight="1">
      <c r="A1126" s="600" t="str">
        <f t="shared" si="85"/>
        <v>EUR;EUR-OIS DISC;13M</v>
      </c>
      <c r="B1126" s="600" t="str">
        <f t="shared" si="88"/>
        <v>EUR</v>
      </c>
      <c r="C1126" s="600" t="str">
        <f t="shared" si="88"/>
        <v>EUR-OIS DISC</v>
      </c>
      <c r="D1126" s="603"/>
      <c r="E1126" s="604"/>
      <c r="F1126" s="607" t="s">
        <v>57</v>
      </c>
      <c r="G1126" s="611">
        <v>6548.1081830998</v>
      </c>
    </row>
    <row r="1127" spans="1:7" ht="11.1" customHeight="1">
      <c r="A1127" s="600" t="str">
        <f t="shared" si="85"/>
        <v>EUR;EUR-OIS DISC;14M</v>
      </c>
      <c r="B1127" s="600" t="str">
        <f t="shared" si="88"/>
        <v>EUR</v>
      </c>
      <c r="C1127" s="600" t="str">
        <f t="shared" si="88"/>
        <v>EUR-OIS DISC</v>
      </c>
      <c r="D1127" s="603"/>
      <c r="E1127" s="604"/>
      <c r="F1127" s="607" t="s">
        <v>58</v>
      </c>
      <c r="G1127" s="611">
        <v>5460.4856922606104</v>
      </c>
    </row>
    <row r="1128" spans="1:7" ht="11.1" customHeight="1">
      <c r="A1128" s="600" t="str">
        <f t="shared" si="85"/>
        <v>EUR;EUR-OIS DISC;15M</v>
      </c>
      <c r="B1128" s="600" t="str">
        <f t="shared" si="88"/>
        <v>EUR</v>
      </c>
      <c r="C1128" s="600" t="str">
        <f t="shared" si="88"/>
        <v>EUR-OIS DISC</v>
      </c>
      <c r="D1128" s="603"/>
      <c r="E1128" s="604"/>
      <c r="F1128" s="607" t="s">
        <v>53</v>
      </c>
      <c r="G1128" s="611">
        <v>8162.5458376850802</v>
      </c>
    </row>
    <row r="1129" spans="1:7" ht="11.1" customHeight="1">
      <c r="A1129" s="600" t="str">
        <f t="shared" si="85"/>
        <v>EUR;EUR-OIS DISC;16M</v>
      </c>
      <c r="B1129" s="600" t="str">
        <f t="shared" si="88"/>
        <v>EUR</v>
      </c>
      <c r="C1129" s="600" t="str">
        <f t="shared" si="88"/>
        <v>EUR-OIS DISC</v>
      </c>
      <c r="D1129" s="603"/>
      <c r="E1129" s="604"/>
      <c r="F1129" s="607" t="s">
        <v>59</v>
      </c>
      <c r="G1129" s="606">
        <v>-495.36654146698203</v>
      </c>
    </row>
    <row r="1130" spans="1:7" ht="11.1" customHeight="1">
      <c r="A1130" s="600" t="str">
        <f t="shared" si="85"/>
        <v>EUR;EUR-OIS DISC;17M</v>
      </c>
      <c r="B1130" s="600" t="str">
        <f t="shared" si="88"/>
        <v>EUR</v>
      </c>
      <c r="C1130" s="600" t="str">
        <f t="shared" si="88"/>
        <v>EUR-OIS DISC</v>
      </c>
      <c r="D1130" s="603"/>
      <c r="E1130" s="604"/>
      <c r="F1130" s="607" t="s">
        <v>60</v>
      </c>
      <c r="G1130" s="606">
        <v>-535.65870880782404</v>
      </c>
    </row>
    <row r="1131" spans="1:7" ht="11.1" customHeight="1">
      <c r="A1131" s="600" t="str">
        <f t="shared" si="85"/>
        <v>EUR;EUR-OIS DISC;18M</v>
      </c>
      <c r="B1131" s="600" t="str">
        <f t="shared" si="88"/>
        <v>EUR</v>
      </c>
      <c r="C1131" s="600" t="str">
        <f t="shared" si="88"/>
        <v>EUR-OIS DISC</v>
      </c>
      <c r="D1131" s="603"/>
      <c r="E1131" s="604"/>
      <c r="F1131" s="607" t="s">
        <v>54</v>
      </c>
      <c r="G1131" s="611">
        <v>18931.644979837602</v>
      </c>
    </row>
    <row r="1132" spans="1:7" ht="11.1" customHeight="1">
      <c r="A1132" s="600" t="str">
        <f t="shared" si="85"/>
        <v>EUR;EUR-OIS DISC;19M</v>
      </c>
      <c r="B1132" s="600" t="str">
        <f t="shared" si="88"/>
        <v>EUR</v>
      </c>
      <c r="C1132" s="600" t="str">
        <f t="shared" si="88"/>
        <v>EUR-OIS DISC</v>
      </c>
      <c r="D1132" s="603"/>
      <c r="E1132" s="604"/>
      <c r="F1132" s="607" t="s">
        <v>61</v>
      </c>
      <c r="G1132" s="606">
        <v>-3458.5148756723302</v>
      </c>
    </row>
    <row r="1133" spans="1:7" ht="11.1" customHeight="1">
      <c r="A1133" s="600" t="str">
        <f t="shared" si="85"/>
        <v>EUR;EUR-OIS DISC;20M</v>
      </c>
      <c r="B1133" s="600" t="str">
        <f t="shared" si="88"/>
        <v>EUR</v>
      </c>
      <c r="C1133" s="600" t="str">
        <f t="shared" si="88"/>
        <v>EUR-OIS DISC</v>
      </c>
      <c r="D1133" s="603"/>
      <c r="E1133" s="604"/>
      <c r="F1133" s="607" t="s">
        <v>62</v>
      </c>
      <c r="G1133" s="606">
        <v>-14949.226737372501</v>
      </c>
    </row>
    <row r="1134" spans="1:7" ht="11.1" customHeight="1">
      <c r="A1134" s="600" t="str">
        <f t="shared" si="85"/>
        <v>EUR;EUR-OIS DISC;21M</v>
      </c>
      <c r="B1134" s="600" t="str">
        <f t="shared" si="88"/>
        <v>EUR</v>
      </c>
      <c r="C1134" s="600" t="str">
        <f t="shared" si="88"/>
        <v>EUR-OIS DISC</v>
      </c>
      <c r="D1134" s="603"/>
      <c r="E1134" s="604"/>
      <c r="F1134" s="607" t="s">
        <v>55</v>
      </c>
      <c r="G1134" s="606">
        <v>-4643.8817874582701</v>
      </c>
    </row>
    <row r="1135" spans="1:7" ht="11.1" customHeight="1">
      <c r="A1135" s="600" t="str">
        <f t="shared" si="85"/>
        <v>EUR;EUR-OIS DISC;22M</v>
      </c>
      <c r="B1135" s="600" t="str">
        <f t="shared" si="88"/>
        <v>EUR</v>
      </c>
      <c r="C1135" s="600" t="str">
        <f t="shared" si="88"/>
        <v>EUR-OIS DISC</v>
      </c>
      <c r="D1135" s="603"/>
      <c r="E1135" s="604"/>
      <c r="F1135" s="607" t="s">
        <v>63</v>
      </c>
      <c r="G1135" s="606">
        <v>-11308.896256333799</v>
      </c>
    </row>
    <row r="1136" spans="1:7" ht="11.1" customHeight="1">
      <c r="A1136" s="600" t="str">
        <f t="shared" si="85"/>
        <v>EUR;EUR-OIS DISC;23M</v>
      </c>
      <c r="B1136" s="600" t="str">
        <f t="shared" si="88"/>
        <v>EUR</v>
      </c>
      <c r="C1136" s="600" t="str">
        <f t="shared" si="88"/>
        <v>EUR-OIS DISC</v>
      </c>
      <c r="D1136" s="603"/>
      <c r="E1136" s="604"/>
      <c r="F1136" s="607" t="s">
        <v>64</v>
      </c>
      <c r="G1136" s="606">
        <v>-150075.083661799</v>
      </c>
    </row>
    <row r="1137" spans="1:7" ht="11.1" customHeight="1">
      <c r="A1137" s="600" t="str">
        <f t="shared" si="85"/>
        <v>EUR;EUR-OIS DISC;2Y</v>
      </c>
      <c r="B1137" s="600" t="str">
        <f t="shared" si="88"/>
        <v>EUR</v>
      </c>
      <c r="C1137" s="600" t="str">
        <f t="shared" si="88"/>
        <v>EUR-OIS DISC</v>
      </c>
      <c r="D1137" s="603"/>
      <c r="E1137" s="604"/>
      <c r="F1137" s="607" t="s">
        <v>9</v>
      </c>
      <c r="G1137" s="611">
        <v>179438.957898013</v>
      </c>
    </row>
    <row r="1138" spans="1:7" ht="11.1" customHeight="1">
      <c r="A1138" s="600" t="str">
        <f t="shared" si="85"/>
        <v>EUR;EUR-OIS DISC;3Y</v>
      </c>
      <c r="B1138" s="600" t="str">
        <f t="shared" si="88"/>
        <v>EUR</v>
      </c>
      <c r="C1138" s="600" t="str">
        <f t="shared" si="88"/>
        <v>EUR-OIS DISC</v>
      </c>
      <c r="D1138" s="603"/>
      <c r="E1138" s="604"/>
      <c r="F1138" s="607" t="s">
        <v>10</v>
      </c>
      <c r="G1138" s="611">
        <v>5319.7902935995598</v>
      </c>
    </row>
    <row r="1139" spans="1:7" ht="11.1" customHeight="1">
      <c r="A1139" s="600" t="str">
        <f t="shared" si="85"/>
        <v>EUR;EUR-OIS DISC;4Y</v>
      </c>
      <c r="B1139" s="600" t="str">
        <f t="shared" si="88"/>
        <v>EUR</v>
      </c>
      <c r="C1139" s="600" t="str">
        <f t="shared" si="88"/>
        <v>EUR-OIS DISC</v>
      </c>
      <c r="D1139" s="603"/>
      <c r="E1139" s="604"/>
      <c r="F1139" s="607" t="s">
        <v>11</v>
      </c>
      <c r="G1139" s="611">
        <v>26582.753656428002</v>
      </c>
    </row>
    <row r="1140" spans="1:7" ht="11.1" customHeight="1">
      <c r="A1140" s="600" t="str">
        <f t="shared" si="85"/>
        <v>EUR;EUR-OIS DISC;5Y</v>
      </c>
      <c r="B1140" s="600" t="str">
        <f t="shared" si="88"/>
        <v>EUR</v>
      </c>
      <c r="C1140" s="600" t="str">
        <f t="shared" si="88"/>
        <v>EUR-OIS DISC</v>
      </c>
      <c r="D1140" s="603"/>
      <c r="E1140" s="604"/>
      <c r="F1140" s="607" t="s">
        <v>12</v>
      </c>
      <c r="G1140" s="611">
        <v>14305.9075776892</v>
      </c>
    </row>
    <row r="1141" spans="1:7" ht="11.1" customHeight="1">
      <c r="A1141" s="600" t="str">
        <f t="shared" si="85"/>
        <v>EUR;EUR-OIS DISC;6Y</v>
      </c>
      <c r="B1141" s="600" t="str">
        <f t="shared" ref="B1141:C1156" si="89">IF(ISBLANK(D1141),B1140,D1141)</f>
        <v>EUR</v>
      </c>
      <c r="C1141" s="600" t="str">
        <f t="shared" si="89"/>
        <v>EUR-OIS DISC</v>
      </c>
      <c r="D1141" s="603"/>
      <c r="E1141" s="604"/>
      <c r="F1141" s="607" t="s">
        <v>13</v>
      </c>
      <c r="G1141" s="611">
        <v>2994.01201925859</v>
      </c>
    </row>
    <row r="1142" spans="1:7" ht="11.1" customHeight="1">
      <c r="A1142" s="600" t="str">
        <f t="shared" si="85"/>
        <v>EUR;EUR-OIS DISC;7Y</v>
      </c>
      <c r="B1142" s="600" t="str">
        <f t="shared" si="89"/>
        <v>EUR</v>
      </c>
      <c r="C1142" s="600" t="str">
        <f t="shared" si="89"/>
        <v>EUR-OIS DISC</v>
      </c>
      <c r="D1142" s="603"/>
      <c r="E1142" s="604"/>
      <c r="F1142" s="607" t="s">
        <v>14</v>
      </c>
      <c r="G1142" s="606">
        <v>-6045.1488120688</v>
      </c>
    </row>
    <row r="1143" spans="1:7" ht="11.1" customHeight="1">
      <c r="A1143" s="600" t="str">
        <f t="shared" si="85"/>
        <v>EUR;EUR-OIS DISC;8Y</v>
      </c>
      <c r="B1143" s="600" t="str">
        <f t="shared" si="89"/>
        <v>EUR</v>
      </c>
      <c r="C1143" s="600" t="str">
        <f t="shared" si="89"/>
        <v>EUR-OIS DISC</v>
      </c>
      <c r="D1143" s="603"/>
      <c r="E1143" s="604"/>
      <c r="F1143" s="607" t="s">
        <v>15</v>
      </c>
      <c r="G1143" s="606">
        <v>-4101.5400919247404</v>
      </c>
    </row>
    <row r="1144" spans="1:7" ht="11.1" customHeight="1">
      <c r="A1144" s="600" t="str">
        <f t="shared" si="85"/>
        <v>EUR;EUR-OIS DISC;9Y</v>
      </c>
      <c r="B1144" s="600" t="str">
        <f t="shared" si="89"/>
        <v>EUR</v>
      </c>
      <c r="C1144" s="600" t="str">
        <f t="shared" si="89"/>
        <v>EUR-OIS DISC</v>
      </c>
      <c r="D1144" s="603"/>
      <c r="E1144" s="604"/>
      <c r="F1144" s="607" t="s">
        <v>16</v>
      </c>
      <c r="G1144" s="611">
        <v>23838.621433381501</v>
      </c>
    </row>
    <row r="1145" spans="1:7" ht="11.1" customHeight="1">
      <c r="A1145" s="600" t="str">
        <f t="shared" si="85"/>
        <v>EUR;EUR-OIS DISC;10Y</v>
      </c>
      <c r="B1145" s="600" t="str">
        <f t="shared" si="89"/>
        <v>EUR</v>
      </c>
      <c r="C1145" s="600" t="str">
        <f t="shared" si="89"/>
        <v>EUR-OIS DISC</v>
      </c>
      <c r="D1145" s="603"/>
      <c r="E1145" s="604"/>
      <c r="F1145" s="607" t="s">
        <v>17</v>
      </c>
      <c r="G1145" s="611">
        <v>149306.314296197</v>
      </c>
    </row>
    <row r="1146" spans="1:7" ht="11.1" customHeight="1">
      <c r="A1146" s="600" t="str">
        <f t="shared" si="85"/>
        <v>EUR;EUR-OIS DISC;11Y</v>
      </c>
      <c r="B1146" s="600" t="str">
        <f t="shared" si="89"/>
        <v>EUR</v>
      </c>
      <c r="C1146" s="600" t="str">
        <f t="shared" si="89"/>
        <v>EUR-OIS DISC</v>
      </c>
      <c r="D1146" s="603"/>
      <c r="E1146" s="604"/>
      <c r="F1146" s="607" t="s">
        <v>31</v>
      </c>
      <c r="G1146" s="606">
        <v>-14436.9768685176</v>
      </c>
    </row>
    <row r="1147" spans="1:7" ht="11.1" customHeight="1">
      <c r="A1147" s="600" t="str">
        <f t="shared" si="85"/>
        <v>EUR;EUR-OIS DISC;12Y</v>
      </c>
      <c r="B1147" s="600" t="str">
        <f t="shared" si="89"/>
        <v>EUR</v>
      </c>
      <c r="C1147" s="600" t="str">
        <f t="shared" si="89"/>
        <v>EUR-OIS DISC</v>
      </c>
      <c r="D1147" s="603"/>
      <c r="E1147" s="604"/>
      <c r="F1147" s="607" t="s">
        <v>18</v>
      </c>
      <c r="G1147" s="611">
        <v>16387.870543957801</v>
      </c>
    </row>
    <row r="1148" spans="1:7" ht="11.1" customHeight="1">
      <c r="A1148" s="600" t="str">
        <f t="shared" si="85"/>
        <v>EUR;EUR-OIS DISC;13Y</v>
      </c>
      <c r="B1148" s="600" t="str">
        <f t="shared" si="89"/>
        <v>EUR</v>
      </c>
      <c r="C1148" s="600" t="str">
        <f t="shared" si="89"/>
        <v>EUR-OIS DISC</v>
      </c>
      <c r="D1148" s="603"/>
      <c r="E1148" s="604"/>
      <c r="F1148" s="607" t="s">
        <v>32</v>
      </c>
      <c r="G1148" s="611">
        <v>8463.2696873683599</v>
      </c>
    </row>
    <row r="1149" spans="1:7" ht="11.1" customHeight="1">
      <c r="A1149" s="600" t="str">
        <f t="shared" si="85"/>
        <v>EUR;EUR-OIS DISC;14Y</v>
      </c>
      <c r="B1149" s="600" t="str">
        <f t="shared" si="89"/>
        <v>EUR</v>
      </c>
      <c r="C1149" s="600" t="str">
        <f t="shared" si="89"/>
        <v>EUR-OIS DISC</v>
      </c>
      <c r="D1149" s="603"/>
      <c r="E1149" s="604"/>
      <c r="F1149" s="607" t="s">
        <v>33</v>
      </c>
      <c r="G1149" s="606">
        <v>-32638.9421550759</v>
      </c>
    </row>
    <row r="1150" spans="1:7" ht="11.1" customHeight="1">
      <c r="A1150" s="600" t="str">
        <f t="shared" si="85"/>
        <v>EUR;EUR-OIS DISC;15Y</v>
      </c>
      <c r="B1150" s="600" t="str">
        <f t="shared" si="89"/>
        <v>EUR</v>
      </c>
      <c r="C1150" s="600" t="str">
        <f t="shared" si="89"/>
        <v>EUR-OIS DISC</v>
      </c>
      <c r="D1150" s="603"/>
      <c r="E1150" s="604"/>
      <c r="F1150" s="607" t="s">
        <v>19</v>
      </c>
      <c r="G1150" s="611">
        <v>7202.3517626973098</v>
      </c>
    </row>
    <row r="1151" spans="1:7" ht="11.1" customHeight="1">
      <c r="A1151" s="600" t="str">
        <f t="shared" si="85"/>
        <v>EUR;EUR-OIS DISC;16Y</v>
      </c>
      <c r="B1151" s="600" t="str">
        <f t="shared" si="89"/>
        <v>EUR</v>
      </c>
      <c r="C1151" s="600" t="str">
        <f t="shared" si="89"/>
        <v>EUR-OIS DISC</v>
      </c>
      <c r="D1151" s="603"/>
      <c r="E1151" s="604"/>
      <c r="F1151" s="607" t="s">
        <v>34</v>
      </c>
      <c r="G1151" s="606">
        <v>-2847.5149444414301</v>
      </c>
    </row>
    <row r="1152" spans="1:7" ht="11.1" customHeight="1">
      <c r="A1152" s="600" t="str">
        <f t="shared" si="85"/>
        <v>EUR;EUR-OIS DISC;17Y</v>
      </c>
      <c r="B1152" s="600" t="str">
        <f t="shared" si="89"/>
        <v>EUR</v>
      </c>
      <c r="C1152" s="600" t="str">
        <f t="shared" si="89"/>
        <v>EUR-OIS DISC</v>
      </c>
      <c r="D1152" s="603"/>
      <c r="E1152" s="604"/>
      <c r="F1152" s="607" t="s">
        <v>35</v>
      </c>
      <c r="G1152" s="606">
        <v>-7419.9196519035404</v>
      </c>
    </row>
    <row r="1153" spans="1:7" ht="11.1" customHeight="1">
      <c r="A1153" s="600" t="str">
        <f t="shared" si="85"/>
        <v>EUR;EUR-OIS DISC;18Y</v>
      </c>
      <c r="B1153" s="600" t="str">
        <f t="shared" si="89"/>
        <v>EUR</v>
      </c>
      <c r="C1153" s="600" t="str">
        <f t="shared" si="89"/>
        <v>EUR-OIS DISC</v>
      </c>
      <c r="D1153" s="603"/>
      <c r="E1153" s="604"/>
      <c r="F1153" s="607" t="s">
        <v>36</v>
      </c>
      <c r="G1153" s="606">
        <v>-1476.0497042919801</v>
      </c>
    </row>
    <row r="1154" spans="1:7" ht="11.1" customHeight="1">
      <c r="A1154" s="600" t="str">
        <f t="shared" si="85"/>
        <v>EUR;EUR-OIS DISC;19Y</v>
      </c>
      <c r="B1154" s="600" t="str">
        <f t="shared" si="89"/>
        <v>EUR</v>
      </c>
      <c r="C1154" s="600" t="str">
        <f t="shared" si="89"/>
        <v>EUR-OIS DISC</v>
      </c>
      <c r="D1154" s="603"/>
      <c r="E1154" s="604"/>
      <c r="F1154" s="607" t="s">
        <v>37</v>
      </c>
      <c r="G1154" s="611">
        <v>190066.78713237401</v>
      </c>
    </row>
    <row r="1155" spans="1:7" ht="11.1" customHeight="1">
      <c r="A1155" s="600" t="str">
        <f t="shared" si="85"/>
        <v>EUR;EUR-OIS DISC;20Y</v>
      </c>
      <c r="B1155" s="600" t="str">
        <f t="shared" si="89"/>
        <v>EUR</v>
      </c>
      <c r="C1155" s="600" t="str">
        <f t="shared" si="89"/>
        <v>EUR-OIS DISC</v>
      </c>
      <c r="D1155" s="603"/>
      <c r="E1155" s="604"/>
      <c r="F1155" s="607" t="s">
        <v>20</v>
      </c>
      <c r="G1155" s="606">
        <v>-216773.81539814299</v>
      </c>
    </row>
    <row r="1156" spans="1:7" ht="11.1" customHeight="1">
      <c r="A1156" s="600" t="str">
        <f t="shared" si="85"/>
        <v>EUR;EUR-OIS DISC;21Y</v>
      </c>
      <c r="B1156" s="600" t="str">
        <f t="shared" si="89"/>
        <v>EUR</v>
      </c>
      <c r="C1156" s="600" t="str">
        <f t="shared" si="89"/>
        <v>EUR-OIS DISC</v>
      </c>
      <c r="D1156" s="603"/>
      <c r="E1156" s="604"/>
      <c r="F1156" s="607" t="s">
        <v>38</v>
      </c>
      <c r="G1156" s="611">
        <v>22660.3411446848</v>
      </c>
    </row>
    <row r="1157" spans="1:7" ht="11.1" customHeight="1">
      <c r="A1157" s="600" t="str">
        <f t="shared" ref="A1157:A1220" si="90">B1157&amp;";"&amp;C1157&amp;";"&amp;F1157</f>
        <v>EUR;EUR-OIS DISC;22Y</v>
      </c>
      <c r="B1157" s="600" t="str">
        <f t="shared" ref="B1157:C1172" si="91">IF(ISBLANK(D1157),B1156,D1157)</f>
        <v>EUR</v>
      </c>
      <c r="C1157" s="600" t="str">
        <f t="shared" si="91"/>
        <v>EUR-OIS DISC</v>
      </c>
      <c r="D1157" s="603"/>
      <c r="E1157" s="604"/>
      <c r="F1157" s="607" t="s">
        <v>39</v>
      </c>
      <c r="G1157" s="606">
        <v>-2108.3929260438699</v>
      </c>
    </row>
    <row r="1158" spans="1:7" ht="11.1" customHeight="1">
      <c r="A1158" s="600" t="str">
        <f t="shared" si="90"/>
        <v>EUR;EUR-OIS DISC;23Y</v>
      </c>
      <c r="B1158" s="600" t="str">
        <f t="shared" si="91"/>
        <v>EUR</v>
      </c>
      <c r="C1158" s="600" t="str">
        <f t="shared" si="91"/>
        <v>EUR-OIS DISC</v>
      </c>
      <c r="D1158" s="603"/>
      <c r="E1158" s="604"/>
      <c r="F1158" s="607" t="s">
        <v>40</v>
      </c>
      <c r="G1158" s="606">
        <v>-852.45563388346295</v>
      </c>
    </row>
    <row r="1159" spans="1:7" ht="11.1" customHeight="1">
      <c r="A1159" s="600" t="str">
        <f t="shared" si="90"/>
        <v>EUR;EUR-OIS DISC;24Y</v>
      </c>
      <c r="B1159" s="600" t="str">
        <f t="shared" si="91"/>
        <v>EUR</v>
      </c>
      <c r="C1159" s="600" t="str">
        <f t="shared" si="91"/>
        <v>EUR-OIS DISC</v>
      </c>
      <c r="D1159" s="603"/>
      <c r="E1159" s="604"/>
      <c r="F1159" s="607" t="s">
        <v>41</v>
      </c>
      <c r="G1159" s="611">
        <v>6396.5370432441396</v>
      </c>
    </row>
    <row r="1160" spans="1:7" ht="11.1" customHeight="1">
      <c r="A1160" s="600" t="str">
        <f t="shared" si="90"/>
        <v>EUR;EUR-OIS DISC;25Y</v>
      </c>
      <c r="B1160" s="600" t="str">
        <f t="shared" si="91"/>
        <v>EUR</v>
      </c>
      <c r="C1160" s="600" t="str">
        <f t="shared" si="91"/>
        <v>EUR-OIS DISC</v>
      </c>
      <c r="D1160" s="603"/>
      <c r="E1160" s="604"/>
      <c r="F1160" s="607" t="s">
        <v>21</v>
      </c>
      <c r="G1160" s="606">
        <v>-5403.04088146101</v>
      </c>
    </row>
    <row r="1161" spans="1:7" ht="11.1" customHeight="1">
      <c r="A1161" s="600" t="str">
        <f t="shared" si="90"/>
        <v>EUR;EUR-OIS DISC;26Y</v>
      </c>
      <c r="B1161" s="600" t="str">
        <f t="shared" si="91"/>
        <v>EUR</v>
      </c>
      <c r="C1161" s="600" t="str">
        <f t="shared" si="91"/>
        <v>EUR-OIS DISC</v>
      </c>
      <c r="D1161" s="603"/>
      <c r="E1161" s="604"/>
      <c r="F1161" s="607" t="s">
        <v>42</v>
      </c>
      <c r="G1161" s="611">
        <v>3.4415794545896801</v>
      </c>
    </row>
    <row r="1162" spans="1:7" ht="11.1" customHeight="1">
      <c r="A1162" s="600" t="str">
        <f t="shared" si="90"/>
        <v>EUR;EUR-OIS DISC;27Y</v>
      </c>
      <c r="B1162" s="600" t="str">
        <f t="shared" si="91"/>
        <v>EUR</v>
      </c>
      <c r="C1162" s="600" t="str">
        <f t="shared" si="91"/>
        <v>EUR-OIS DISC</v>
      </c>
      <c r="D1162" s="603"/>
      <c r="E1162" s="604"/>
      <c r="F1162" s="607" t="s">
        <v>43</v>
      </c>
      <c r="G1162" s="611">
        <v>2.64981431975274</v>
      </c>
    </row>
    <row r="1163" spans="1:7" ht="11.1" customHeight="1">
      <c r="A1163" s="600" t="str">
        <f t="shared" si="90"/>
        <v>EUR;EUR-OIS DISC;28Y</v>
      </c>
      <c r="B1163" s="600" t="str">
        <f t="shared" si="91"/>
        <v>EUR</v>
      </c>
      <c r="C1163" s="600" t="str">
        <f t="shared" si="91"/>
        <v>EUR-OIS DISC</v>
      </c>
      <c r="D1163" s="603"/>
      <c r="E1163" s="604"/>
      <c r="F1163" s="607" t="s">
        <v>44</v>
      </c>
      <c r="G1163" s="611">
        <v>2.1481137522788698</v>
      </c>
    </row>
    <row r="1164" spans="1:7" ht="11.1" customHeight="1">
      <c r="A1164" s="600" t="str">
        <f t="shared" si="90"/>
        <v>EUR;EUR-OIS DISC;29Y</v>
      </c>
      <c r="B1164" s="600" t="str">
        <f t="shared" si="91"/>
        <v>EUR</v>
      </c>
      <c r="C1164" s="600" t="str">
        <f t="shared" si="91"/>
        <v>EUR-OIS DISC</v>
      </c>
      <c r="D1164" s="603"/>
      <c r="E1164" s="604"/>
      <c r="F1164" s="607" t="s">
        <v>45</v>
      </c>
      <c r="G1164" s="611">
        <v>1.5498131612317101</v>
      </c>
    </row>
    <row r="1165" spans="1:7" ht="11.1" customHeight="1">
      <c r="A1165" s="600" t="str">
        <f t="shared" si="90"/>
        <v>EUR;EUR-OIS DISC;30Y</v>
      </c>
      <c r="B1165" s="600" t="str">
        <f t="shared" si="91"/>
        <v>EUR</v>
      </c>
      <c r="C1165" s="600" t="str">
        <f t="shared" si="91"/>
        <v>EUR-OIS DISC</v>
      </c>
      <c r="D1165" s="603"/>
      <c r="E1165" s="604"/>
      <c r="F1165" s="607" t="s">
        <v>22</v>
      </c>
      <c r="G1165" s="611">
        <v>0.56597341703347304</v>
      </c>
    </row>
    <row r="1166" spans="1:7" ht="11.1" customHeight="1">
      <c r="A1166" s="600" t="str">
        <f t="shared" si="90"/>
        <v>EUR;EUR-OIS DISC;35Y</v>
      </c>
      <c r="B1166" s="600" t="str">
        <f t="shared" si="91"/>
        <v>EUR</v>
      </c>
      <c r="C1166" s="600" t="str">
        <f t="shared" si="91"/>
        <v>EUR-OIS DISC</v>
      </c>
      <c r="D1166" s="603"/>
      <c r="E1166" s="604"/>
      <c r="F1166" s="607" t="s">
        <v>167</v>
      </c>
      <c r="G1166" s="606">
        <v>-0.16425886474603901</v>
      </c>
    </row>
    <row r="1167" spans="1:7" ht="11.1" customHeight="1">
      <c r="A1167" s="600" t="str">
        <f t="shared" si="90"/>
        <v>EUR;EUR-OIS DISC;40Y</v>
      </c>
      <c r="B1167" s="600" t="str">
        <f t="shared" si="91"/>
        <v>EUR</v>
      </c>
      <c r="C1167" s="600" t="str">
        <f t="shared" si="91"/>
        <v>EUR-OIS DISC</v>
      </c>
      <c r="D1167" s="603"/>
      <c r="E1167" s="604"/>
      <c r="F1167" s="607" t="s">
        <v>46</v>
      </c>
      <c r="G1167" s="608">
        <v>0</v>
      </c>
    </row>
    <row r="1168" spans="1:7" ht="11.1" customHeight="1">
      <c r="A1168" s="600" t="str">
        <f t="shared" si="90"/>
        <v>EUR;EUR-OIS DISC;50Y</v>
      </c>
      <c r="B1168" s="600" t="str">
        <f t="shared" si="91"/>
        <v>EUR</v>
      </c>
      <c r="C1168" s="600" t="str">
        <f t="shared" si="91"/>
        <v>EUR-OIS DISC</v>
      </c>
      <c r="D1168" s="603"/>
      <c r="E1168" s="604"/>
      <c r="F1168" s="607" t="s">
        <v>47</v>
      </c>
      <c r="G1168" s="608">
        <v>0</v>
      </c>
    </row>
    <row r="1169" spans="1:7" ht="11.1" customHeight="1">
      <c r="A1169" s="600" t="str">
        <f t="shared" si="90"/>
        <v>EUR;EUR-OIS DISC;60Y</v>
      </c>
      <c r="B1169" s="600" t="str">
        <f t="shared" si="91"/>
        <v>EUR</v>
      </c>
      <c r="C1169" s="600" t="str">
        <f t="shared" si="91"/>
        <v>EUR-OIS DISC</v>
      </c>
      <c r="D1169" s="603"/>
      <c r="E1169" s="604"/>
      <c r="F1169" s="607" t="s">
        <v>48</v>
      </c>
      <c r="G1169" s="608">
        <v>0</v>
      </c>
    </row>
    <row r="1170" spans="1:7" ht="11.1" customHeight="1">
      <c r="A1170" s="600" t="str">
        <f t="shared" si="90"/>
        <v>GBP;Total GBP;</v>
      </c>
      <c r="B1170" s="600" t="str">
        <f t="shared" si="91"/>
        <v>GBP</v>
      </c>
      <c r="C1170" s="600" t="str">
        <f t="shared" si="91"/>
        <v>Total GBP</v>
      </c>
      <c r="D1170" s="603" t="s">
        <v>684</v>
      </c>
      <c r="E1170" s="609" t="s">
        <v>1218</v>
      </c>
      <c r="F1170" s="609"/>
      <c r="G1170" s="610">
        <v>682.28771470899596</v>
      </c>
    </row>
    <row r="1171" spans="1:7" ht="11.1" customHeight="1">
      <c r="A1171" s="600" t="str">
        <f t="shared" si="90"/>
        <v>GBP;GBP 3M;Total GBP 3M</v>
      </c>
      <c r="B1171" s="600" t="str">
        <f t="shared" si="91"/>
        <v>GBP</v>
      </c>
      <c r="C1171" s="600" t="str">
        <f t="shared" si="91"/>
        <v>GBP 3M</v>
      </c>
      <c r="D1171" s="603"/>
      <c r="E1171" s="604" t="s">
        <v>687</v>
      </c>
      <c r="F1171" s="605" t="s">
        <v>1219</v>
      </c>
      <c r="G1171" s="611">
        <v>5692.7914371320803</v>
      </c>
    </row>
    <row r="1172" spans="1:7" ht="11.1" customHeight="1">
      <c r="A1172" s="600" t="str">
        <f t="shared" si="90"/>
        <v>GBP;GBP 3M;O/N</v>
      </c>
      <c r="B1172" s="600" t="str">
        <f t="shared" si="91"/>
        <v>GBP</v>
      </c>
      <c r="C1172" s="600" t="str">
        <f t="shared" si="91"/>
        <v>GBP 3M</v>
      </c>
      <c r="D1172" s="603"/>
      <c r="E1172" s="604"/>
      <c r="F1172" s="607" t="s">
        <v>3</v>
      </c>
      <c r="G1172" s="606">
        <v>-69.185610504320607</v>
      </c>
    </row>
    <row r="1173" spans="1:7" ht="11.1" customHeight="1">
      <c r="A1173" s="600" t="str">
        <f t="shared" si="90"/>
        <v>GBP;GBP 3M;T/N</v>
      </c>
      <c r="B1173" s="600" t="str">
        <f t="shared" ref="B1173:C1188" si="92">IF(ISBLANK(D1173),B1172,D1173)</f>
        <v>GBP</v>
      </c>
      <c r="C1173" s="600" t="str">
        <f t="shared" si="92"/>
        <v>GBP 3M</v>
      </c>
      <c r="D1173" s="603"/>
      <c r="E1173" s="604"/>
      <c r="F1173" s="607" t="s">
        <v>4</v>
      </c>
      <c r="G1173" s="606">
        <v>-23.062371728177599</v>
      </c>
    </row>
    <row r="1174" spans="1:7" ht="11.1" customHeight="1">
      <c r="A1174" s="600" t="str">
        <f t="shared" si="90"/>
        <v>GBP;GBP 3M;S/N</v>
      </c>
      <c r="B1174" s="600" t="str">
        <f t="shared" si="92"/>
        <v>GBP</v>
      </c>
      <c r="C1174" s="600" t="str">
        <f t="shared" si="92"/>
        <v>GBP 3M</v>
      </c>
      <c r="D1174" s="603"/>
      <c r="E1174" s="604"/>
      <c r="F1174" s="607" t="s">
        <v>23</v>
      </c>
      <c r="G1174" s="606">
        <v>-25.3467632113219</v>
      </c>
    </row>
    <row r="1175" spans="1:7" ht="11.1" customHeight="1">
      <c r="A1175" s="600" t="str">
        <f t="shared" si="90"/>
        <v>GBP;GBP 3M;1W</v>
      </c>
      <c r="B1175" s="600" t="str">
        <f t="shared" si="92"/>
        <v>GBP</v>
      </c>
      <c r="C1175" s="600" t="str">
        <f t="shared" si="92"/>
        <v>GBP 3M</v>
      </c>
      <c r="D1175" s="603"/>
      <c r="E1175" s="604"/>
      <c r="F1175" s="607" t="s">
        <v>5</v>
      </c>
      <c r="G1175" s="611">
        <v>141.79023752704401</v>
      </c>
    </row>
    <row r="1176" spans="1:7" ht="11.1" customHeight="1">
      <c r="A1176" s="600" t="str">
        <f t="shared" si="90"/>
        <v>GBP;GBP 3M;2W</v>
      </c>
      <c r="B1176" s="600" t="str">
        <f t="shared" si="92"/>
        <v>GBP</v>
      </c>
      <c r="C1176" s="600" t="str">
        <f t="shared" si="92"/>
        <v>GBP 3M</v>
      </c>
      <c r="D1176" s="603"/>
      <c r="E1176" s="604"/>
      <c r="F1176" s="607" t="s">
        <v>6</v>
      </c>
      <c r="G1176" s="606">
        <v>-111.63583253068001</v>
      </c>
    </row>
    <row r="1177" spans="1:7" ht="11.1" customHeight="1">
      <c r="A1177" s="600" t="str">
        <f t="shared" si="90"/>
        <v>GBP;GBP 3M;3W</v>
      </c>
      <c r="B1177" s="600" t="str">
        <f t="shared" si="92"/>
        <v>GBP</v>
      </c>
      <c r="C1177" s="600" t="str">
        <f t="shared" si="92"/>
        <v>GBP 3M</v>
      </c>
      <c r="D1177" s="603"/>
      <c r="E1177" s="604"/>
      <c r="F1177" s="607" t="s">
        <v>24</v>
      </c>
      <c r="G1177" s="606">
        <v>-602.84091205125503</v>
      </c>
    </row>
    <row r="1178" spans="1:7" ht="11.1" customHeight="1">
      <c r="A1178" s="600" t="str">
        <f t="shared" si="90"/>
        <v>GBP;GBP 3M;1M</v>
      </c>
      <c r="B1178" s="600" t="str">
        <f t="shared" si="92"/>
        <v>GBP</v>
      </c>
      <c r="C1178" s="600" t="str">
        <f t="shared" si="92"/>
        <v>GBP 3M</v>
      </c>
      <c r="D1178" s="603"/>
      <c r="E1178" s="604"/>
      <c r="F1178" s="607" t="s">
        <v>7</v>
      </c>
      <c r="G1178" s="611">
        <v>1790.5769014078001</v>
      </c>
    </row>
    <row r="1179" spans="1:7" ht="11.1" customHeight="1">
      <c r="A1179" s="600" t="str">
        <f t="shared" si="90"/>
        <v>GBP;GBP 3M;2M</v>
      </c>
      <c r="B1179" s="600" t="str">
        <f t="shared" si="92"/>
        <v>GBP</v>
      </c>
      <c r="C1179" s="600" t="str">
        <f t="shared" si="92"/>
        <v>GBP 3M</v>
      </c>
      <c r="D1179" s="603"/>
      <c r="E1179" s="604"/>
      <c r="F1179" s="607" t="s">
        <v>8</v>
      </c>
      <c r="G1179" s="606">
        <v>-779.78431940583403</v>
      </c>
    </row>
    <row r="1180" spans="1:7" ht="11.1" customHeight="1">
      <c r="A1180" s="600" t="str">
        <f t="shared" si="90"/>
        <v>GBP;GBP 3M;3M</v>
      </c>
      <c r="B1180" s="600" t="str">
        <f t="shared" si="92"/>
        <v>GBP</v>
      </c>
      <c r="C1180" s="600" t="str">
        <f t="shared" si="92"/>
        <v>GBP 3M</v>
      </c>
      <c r="D1180" s="603"/>
      <c r="E1180" s="604"/>
      <c r="F1180" s="607" t="s">
        <v>25</v>
      </c>
      <c r="G1180" s="606">
        <v>-1859.7017454075401</v>
      </c>
    </row>
    <row r="1181" spans="1:7" ht="11.1" customHeight="1">
      <c r="A1181" s="600" t="str">
        <f t="shared" si="90"/>
        <v>GBP;GBP 3M;DEC 16</v>
      </c>
      <c r="B1181" s="600" t="str">
        <f t="shared" si="92"/>
        <v>GBP</v>
      </c>
      <c r="C1181" s="600" t="str">
        <f t="shared" si="92"/>
        <v>GBP 3M</v>
      </c>
      <c r="D1181" s="603"/>
      <c r="E1181" s="604"/>
      <c r="F1181" s="607" t="s">
        <v>1060</v>
      </c>
      <c r="G1181" s="611">
        <v>2741.8443189864502</v>
      </c>
    </row>
    <row r="1182" spans="1:7" ht="11.1" customHeight="1">
      <c r="A1182" s="600" t="str">
        <f t="shared" si="90"/>
        <v>GBP;GBP 3M;MAR 17</v>
      </c>
      <c r="B1182" s="600" t="str">
        <f t="shared" si="92"/>
        <v>GBP</v>
      </c>
      <c r="C1182" s="600" t="str">
        <f t="shared" si="92"/>
        <v>GBP 3M</v>
      </c>
      <c r="D1182" s="603"/>
      <c r="E1182" s="604"/>
      <c r="F1182" s="607" t="s">
        <v>1063</v>
      </c>
      <c r="G1182" s="611">
        <v>287.13481408928999</v>
      </c>
    </row>
    <row r="1183" spans="1:7" ht="11.1" customHeight="1">
      <c r="A1183" s="600" t="str">
        <f t="shared" si="90"/>
        <v>GBP;GBP 3M;JUN 17</v>
      </c>
      <c r="B1183" s="600" t="str">
        <f t="shared" si="92"/>
        <v>GBP</v>
      </c>
      <c r="C1183" s="600" t="str">
        <f t="shared" si="92"/>
        <v>GBP 3M</v>
      </c>
      <c r="D1183" s="603"/>
      <c r="E1183" s="604"/>
      <c r="F1183" s="607" t="s">
        <v>1066</v>
      </c>
      <c r="G1183" s="606">
        <v>-1448.04030281629</v>
      </c>
    </row>
    <row r="1184" spans="1:7" ht="11.1" customHeight="1">
      <c r="A1184" s="600" t="str">
        <f t="shared" si="90"/>
        <v>GBP;GBP 3M;SEP 17</v>
      </c>
      <c r="B1184" s="600" t="str">
        <f t="shared" si="92"/>
        <v>GBP</v>
      </c>
      <c r="C1184" s="600" t="str">
        <f t="shared" si="92"/>
        <v>GBP 3M</v>
      </c>
      <c r="D1184" s="603"/>
      <c r="E1184" s="604"/>
      <c r="F1184" s="607" t="s">
        <v>1069</v>
      </c>
      <c r="G1184" s="606">
        <v>-727.46350635043098</v>
      </c>
    </row>
    <row r="1185" spans="1:7" ht="11.1" customHeight="1">
      <c r="A1185" s="600" t="str">
        <f t="shared" si="90"/>
        <v>GBP;GBP 3M;DEC 17</v>
      </c>
      <c r="B1185" s="600" t="str">
        <f t="shared" si="92"/>
        <v>GBP</v>
      </c>
      <c r="C1185" s="600" t="str">
        <f t="shared" si="92"/>
        <v>GBP 3M</v>
      </c>
      <c r="D1185" s="603"/>
      <c r="E1185" s="604"/>
      <c r="F1185" s="607" t="s">
        <v>3865</v>
      </c>
      <c r="G1185" s="606">
        <v>-1314.6875567909001</v>
      </c>
    </row>
    <row r="1186" spans="1:7" ht="11.1" customHeight="1">
      <c r="A1186" s="600" t="str">
        <f t="shared" si="90"/>
        <v>GBP;GBP 3M;MAR 18</v>
      </c>
      <c r="B1186" s="600" t="str">
        <f t="shared" si="92"/>
        <v>GBP</v>
      </c>
      <c r="C1186" s="600" t="str">
        <f t="shared" si="92"/>
        <v>GBP 3M</v>
      </c>
      <c r="D1186" s="603"/>
      <c r="E1186" s="604"/>
      <c r="F1186" s="607" t="s">
        <v>3866</v>
      </c>
      <c r="G1186" s="606">
        <v>-1439.35696389289</v>
      </c>
    </row>
    <row r="1187" spans="1:7" ht="11.1" customHeight="1">
      <c r="A1187" s="600" t="str">
        <f t="shared" si="90"/>
        <v>GBP;GBP 3M;JUN 18</v>
      </c>
      <c r="B1187" s="600" t="str">
        <f t="shared" si="92"/>
        <v>GBP</v>
      </c>
      <c r="C1187" s="600" t="str">
        <f t="shared" si="92"/>
        <v>GBP 3M</v>
      </c>
      <c r="D1187" s="603"/>
      <c r="E1187" s="604"/>
      <c r="F1187" s="607" t="s">
        <v>3889</v>
      </c>
      <c r="G1187" s="606">
        <v>-4162.3087828608304</v>
      </c>
    </row>
    <row r="1188" spans="1:7" ht="11.1" customHeight="1">
      <c r="A1188" s="600" t="str">
        <f t="shared" si="90"/>
        <v>GBP;GBP 3M;SEP 18</v>
      </c>
      <c r="B1188" s="600" t="str">
        <f t="shared" si="92"/>
        <v>GBP</v>
      </c>
      <c r="C1188" s="600" t="str">
        <f t="shared" si="92"/>
        <v>GBP 3M</v>
      </c>
      <c r="D1188" s="603"/>
      <c r="E1188" s="604"/>
      <c r="F1188" s="607" t="s">
        <v>3890</v>
      </c>
      <c r="G1188" s="611">
        <v>312.665554971848</v>
      </c>
    </row>
    <row r="1189" spans="1:7" ht="11.1" customHeight="1">
      <c r="A1189" s="600" t="str">
        <f t="shared" si="90"/>
        <v>GBP;GBP 3M;2Y6M</v>
      </c>
      <c r="B1189" s="600" t="str">
        <f t="shared" ref="B1189:C1204" si="93">IF(ISBLANK(D1189),B1188,D1189)</f>
        <v>GBP</v>
      </c>
      <c r="C1189" s="600" t="str">
        <f t="shared" si="93"/>
        <v>GBP 3M</v>
      </c>
      <c r="D1189" s="603"/>
      <c r="E1189" s="604"/>
      <c r="F1189" s="607" t="s">
        <v>98</v>
      </c>
      <c r="G1189" s="611">
        <v>25268.684823716099</v>
      </c>
    </row>
    <row r="1190" spans="1:7" ht="11.1" customHeight="1">
      <c r="A1190" s="600" t="str">
        <f t="shared" si="90"/>
        <v>GBP;GBP 3M;2Y9M</v>
      </c>
      <c r="B1190" s="600" t="str">
        <f t="shared" si="93"/>
        <v>GBP</v>
      </c>
      <c r="C1190" s="600" t="str">
        <f t="shared" si="93"/>
        <v>GBP 3M</v>
      </c>
      <c r="D1190" s="603"/>
      <c r="E1190" s="604"/>
      <c r="F1190" s="607" t="s">
        <v>99</v>
      </c>
      <c r="G1190" s="606">
        <v>-35970.068312506701</v>
      </c>
    </row>
    <row r="1191" spans="1:7" ht="11.1" customHeight="1">
      <c r="A1191" s="600" t="str">
        <f t="shared" si="90"/>
        <v>GBP;GBP 3M;3Y</v>
      </c>
      <c r="B1191" s="600" t="str">
        <f t="shared" si="93"/>
        <v>GBP</v>
      </c>
      <c r="C1191" s="600" t="str">
        <f t="shared" si="93"/>
        <v>GBP 3M</v>
      </c>
      <c r="D1191" s="603"/>
      <c r="E1191" s="604"/>
      <c r="F1191" s="607" t="s">
        <v>10</v>
      </c>
      <c r="G1191" s="611">
        <v>26354.367485328399</v>
      </c>
    </row>
    <row r="1192" spans="1:7" ht="11.1" customHeight="1">
      <c r="A1192" s="600" t="str">
        <f t="shared" si="90"/>
        <v>GBP;GBP 3M;4Y</v>
      </c>
      <c r="B1192" s="600" t="str">
        <f t="shared" si="93"/>
        <v>GBP</v>
      </c>
      <c r="C1192" s="600" t="str">
        <f t="shared" si="93"/>
        <v>GBP 3M</v>
      </c>
      <c r="D1192" s="603"/>
      <c r="E1192" s="604"/>
      <c r="F1192" s="607" t="s">
        <v>11</v>
      </c>
      <c r="G1192" s="611">
        <v>666.35081684346699</v>
      </c>
    </row>
    <row r="1193" spans="1:7" ht="11.1" customHeight="1">
      <c r="A1193" s="600" t="str">
        <f t="shared" si="90"/>
        <v>GBP;GBP 3M;5Y</v>
      </c>
      <c r="B1193" s="600" t="str">
        <f t="shared" si="93"/>
        <v>GBP</v>
      </c>
      <c r="C1193" s="600" t="str">
        <f t="shared" si="93"/>
        <v>GBP 3M</v>
      </c>
      <c r="D1193" s="603"/>
      <c r="E1193" s="604"/>
      <c r="F1193" s="607" t="s">
        <v>12</v>
      </c>
      <c r="G1193" s="611">
        <v>6657.8623372803204</v>
      </c>
    </row>
    <row r="1194" spans="1:7" ht="11.1" customHeight="1">
      <c r="A1194" s="600" t="str">
        <f t="shared" si="90"/>
        <v>GBP;GBP 3M;6Y</v>
      </c>
      <c r="B1194" s="600" t="str">
        <f t="shared" si="93"/>
        <v>GBP</v>
      </c>
      <c r="C1194" s="600" t="str">
        <f t="shared" si="93"/>
        <v>GBP 3M</v>
      </c>
      <c r="D1194" s="603"/>
      <c r="E1194" s="604"/>
      <c r="F1194" s="607" t="s">
        <v>13</v>
      </c>
      <c r="G1194" s="611">
        <v>9819.6382404549695</v>
      </c>
    </row>
    <row r="1195" spans="1:7" ht="11.1" customHeight="1">
      <c r="A1195" s="600" t="str">
        <f t="shared" si="90"/>
        <v>GBP;GBP 3M;7Y</v>
      </c>
      <c r="B1195" s="600" t="str">
        <f t="shared" si="93"/>
        <v>GBP</v>
      </c>
      <c r="C1195" s="600" t="str">
        <f t="shared" si="93"/>
        <v>GBP 3M</v>
      </c>
      <c r="D1195" s="603"/>
      <c r="E1195" s="604"/>
      <c r="F1195" s="607" t="s">
        <v>14</v>
      </c>
      <c r="G1195" s="606">
        <v>-20395.711070164001</v>
      </c>
    </row>
    <row r="1196" spans="1:7" ht="11.1" customHeight="1">
      <c r="A1196" s="600" t="str">
        <f t="shared" si="90"/>
        <v>GBP;GBP 3M;8Y</v>
      </c>
      <c r="B1196" s="600" t="str">
        <f t="shared" si="93"/>
        <v>GBP</v>
      </c>
      <c r="C1196" s="600" t="str">
        <f t="shared" si="93"/>
        <v>GBP 3M</v>
      </c>
      <c r="D1196" s="603"/>
      <c r="E1196" s="604"/>
      <c r="F1196" s="607" t="s">
        <v>15</v>
      </c>
      <c r="G1196" s="611">
        <v>1132.66315752167</v>
      </c>
    </row>
    <row r="1197" spans="1:7" ht="11.1" customHeight="1">
      <c r="A1197" s="600" t="str">
        <f t="shared" si="90"/>
        <v>GBP;GBP 3M;9Y</v>
      </c>
      <c r="B1197" s="600" t="str">
        <f t="shared" si="93"/>
        <v>GBP</v>
      </c>
      <c r="C1197" s="600" t="str">
        <f t="shared" si="93"/>
        <v>GBP 3M</v>
      </c>
      <c r="D1197" s="603"/>
      <c r="E1197" s="604"/>
      <c r="F1197" s="607" t="s">
        <v>16</v>
      </c>
      <c r="G1197" s="606">
        <v>-1894.13784238279</v>
      </c>
    </row>
    <row r="1198" spans="1:7" ht="11.1" customHeight="1">
      <c r="A1198" s="600" t="str">
        <f t="shared" si="90"/>
        <v>GBP;GBP 3M;10Y</v>
      </c>
      <c r="B1198" s="600" t="str">
        <f t="shared" si="93"/>
        <v>GBP</v>
      </c>
      <c r="C1198" s="600" t="str">
        <f t="shared" si="93"/>
        <v>GBP 3M</v>
      </c>
      <c r="D1198" s="603"/>
      <c r="E1198" s="604"/>
      <c r="F1198" s="607" t="s">
        <v>17</v>
      </c>
      <c r="G1198" s="611">
        <v>4621.8505131191196</v>
      </c>
    </row>
    <row r="1199" spans="1:7" ht="11.1" customHeight="1">
      <c r="A1199" s="600" t="str">
        <f t="shared" si="90"/>
        <v>GBP;GBP 3M;11Y</v>
      </c>
      <c r="B1199" s="600" t="str">
        <f t="shared" si="93"/>
        <v>GBP</v>
      </c>
      <c r="C1199" s="600" t="str">
        <f t="shared" si="93"/>
        <v>GBP 3M</v>
      </c>
      <c r="D1199" s="603"/>
      <c r="E1199" s="604"/>
      <c r="F1199" s="607" t="s">
        <v>31</v>
      </c>
      <c r="G1199" s="606">
        <v>-756.83076645990695</v>
      </c>
    </row>
    <row r="1200" spans="1:7" ht="11.1" customHeight="1">
      <c r="A1200" s="600" t="str">
        <f t="shared" si="90"/>
        <v>GBP;GBP 3M;12Y</v>
      </c>
      <c r="B1200" s="600" t="str">
        <f t="shared" si="93"/>
        <v>GBP</v>
      </c>
      <c r="C1200" s="600" t="str">
        <f t="shared" si="93"/>
        <v>GBP 3M</v>
      </c>
      <c r="D1200" s="603"/>
      <c r="E1200" s="604"/>
      <c r="F1200" s="607" t="s">
        <v>18</v>
      </c>
      <c r="G1200" s="611">
        <v>3123.1625836029202</v>
      </c>
    </row>
    <row r="1201" spans="1:7" ht="11.1" customHeight="1">
      <c r="A1201" s="600" t="str">
        <f t="shared" si="90"/>
        <v>GBP;GBP 3M;13Y</v>
      </c>
      <c r="B1201" s="600" t="str">
        <f t="shared" si="93"/>
        <v>GBP</v>
      </c>
      <c r="C1201" s="600" t="str">
        <f t="shared" si="93"/>
        <v>GBP 3M</v>
      </c>
      <c r="D1201" s="603"/>
      <c r="E1201" s="604"/>
      <c r="F1201" s="607" t="s">
        <v>32</v>
      </c>
      <c r="G1201" s="606">
        <v>-88.263581291186895</v>
      </c>
    </row>
    <row r="1202" spans="1:7" ht="11.1" customHeight="1">
      <c r="A1202" s="600" t="str">
        <f t="shared" si="90"/>
        <v>GBP;GBP 3M;14Y</v>
      </c>
      <c r="B1202" s="600" t="str">
        <f t="shared" si="93"/>
        <v>GBP</v>
      </c>
      <c r="C1202" s="600" t="str">
        <f t="shared" si="93"/>
        <v>GBP 3M</v>
      </c>
      <c r="D1202" s="603"/>
      <c r="E1202" s="604"/>
      <c r="F1202" s="607" t="s">
        <v>33</v>
      </c>
      <c r="G1202" s="606">
        <v>-3545.8934481543001</v>
      </c>
    </row>
    <row r="1203" spans="1:7" ht="11.1" customHeight="1">
      <c r="A1203" s="600" t="str">
        <f t="shared" si="90"/>
        <v>GBP;GBP 3M;15Y</v>
      </c>
      <c r="B1203" s="600" t="str">
        <f t="shared" si="93"/>
        <v>GBP</v>
      </c>
      <c r="C1203" s="600" t="str">
        <f t="shared" si="93"/>
        <v>GBP 3M</v>
      </c>
      <c r="D1203" s="603"/>
      <c r="E1203" s="604"/>
      <c r="F1203" s="607" t="s">
        <v>19</v>
      </c>
      <c r="G1203" s="606">
        <v>-1859.4931554325501</v>
      </c>
    </row>
    <row r="1204" spans="1:7" ht="11.1" customHeight="1">
      <c r="A1204" s="600" t="str">
        <f t="shared" si="90"/>
        <v>GBP;GBP 3M;16Y</v>
      </c>
      <c r="B1204" s="600" t="str">
        <f t="shared" si="93"/>
        <v>GBP</v>
      </c>
      <c r="C1204" s="600" t="str">
        <f t="shared" si="93"/>
        <v>GBP 3M</v>
      </c>
      <c r="D1204" s="603"/>
      <c r="E1204" s="604"/>
      <c r="F1204" s="607" t="s">
        <v>34</v>
      </c>
      <c r="G1204" s="606">
        <v>-152.54151216521601</v>
      </c>
    </row>
    <row r="1205" spans="1:7" ht="11.1" customHeight="1">
      <c r="A1205" s="600" t="str">
        <f t="shared" si="90"/>
        <v>GBP;GBP 3M;17Y</v>
      </c>
      <c r="B1205" s="600" t="str">
        <f t="shared" ref="B1205:C1220" si="94">IF(ISBLANK(D1205),B1204,D1205)</f>
        <v>GBP</v>
      </c>
      <c r="C1205" s="600" t="str">
        <f t="shared" si="94"/>
        <v>GBP 3M</v>
      </c>
      <c r="D1205" s="603"/>
      <c r="E1205" s="604"/>
      <c r="F1205" s="607" t="s">
        <v>35</v>
      </c>
      <c r="G1205" s="611">
        <v>0.55359302145267497</v>
      </c>
    </row>
    <row r="1206" spans="1:7" ht="11.1" customHeight="1">
      <c r="A1206" s="600" t="str">
        <f t="shared" si="90"/>
        <v>GBP;GBP 3M;18Y</v>
      </c>
      <c r="B1206" s="600" t="str">
        <f t="shared" si="94"/>
        <v>GBP</v>
      </c>
      <c r="C1206" s="600" t="str">
        <f t="shared" si="94"/>
        <v>GBP 3M</v>
      </c>
      <c r="D1206" s="603"/>
      <c r="E1206" s="604"/>
      <c r="F1206" s="607" t="s">
        <v>36</v>
      </c>
      <c r="G1206" s="611">
        <v>4.1520800187308499E-4</v>
      </c>
    </row>
    <row r="1207" spans="1:7" ht="11.1" customHeight="1">
      <c r="A1207" s="600" t="str">
        <f t="shared" si="90"/>
        <v>GBP;GBP 3M;19Y</v>
      </c>
      <c r="B1207" s="600" t="str">
        <f t="shared" si="94"/>
        <v>GBP</v>
      </c>
      <c r="C1207" s="600" t="str">
        <f t="shared" si="94"/>
        <v>GBP 3M</v>
      </c>
      <c r="D1207" s="603"/>
      <c r="E1207" s="604"/>
      <c r="F1207" s="607" t="s">
        <v>37</v>
      </c>
      <c r="G1207" s="611">
        <v>1.60174258882796E-7</v>
      </c>
    </row>
    <row r="1208" spans="1:7" ht="11.1" customHeight="1">
      <c r="A1208" s="600" t="str">
        <f t="shared" si="90"/>
        <v>GBP;GBP 3M;20Y</v>
      </c>
      <c r="B1208" s="600" t="str">
        <f t="shared" si="94"/>
        <v>GBP</v>
      </c>
      <c r="C1208" s="600" t="str">
        <f t="shared" si="94"/>
        <v>GBP 3M</v>
      </c>
      <c r="D1208" s="603"/>
      <c r="E1208" s="604"/>
      <c r="F1208" s="607" t="s">
        <v>20</v>
      </c>
      <c r="G1208" s="611">
        <v>0</v>
      </c>
    </row>
    <row r="1209" spans="1:7" ht="11.1" customHeight="1">
      <c r="A1209" s="600" t="str">
        <f t="shared" si="90"/>
        <v>GBP;GBP 3M;21Y</v>
      </c>
      <c r="B1209" s="600" t="str">
        <f t="shared" si="94"/>
        <v>GBP</v>
      </c>
      <c r="C1209" s="600" t="str">
        <f t="shared" si="94"/>
        <v>GBP 3M</v>
      </c>
      <c r="D1209" s="603"/>
      <c r="E1209" s="604"/>
      <c r="F1209" s="607" t="s">
        <v>38</v>
      </c>
      <c r="G1209" s="608">
        <v>0</v>
      </c>
    </row>
    <row r="1210" spans="1:7" ht="11.1" customHeight="1">
      <c r="A1210" s="600" t="str">
        <f t="shared" si="90"/>
        <v>GBP;GBP 3M;22Y</v>
      </c>
      <c r="B1210" s="600" t="str">
        <f t="shared" si="94"/>
        <v>GBP</v>
      </c>
      <c r="C1210" s="600" t="str">
        <f t="shared" si="94"/>
        <v>GBP 3M</v>
      </c>
      <c r="D1210" s="603"/>
      <c r="E1210" s="604"/>
      <c r="F1210" s="607" t="s">
        <v>39</v>
      </c>
      <c r="G1210" s="608">
        <v>0</v>
      </c>
    </row>
    <row r="1211" spans="1:7" ht="11.1" customHeight="1">
      <c r="A1211" s="600" t="str">
        <f t="shared" si="90"/>
        <v>GBP;GBP 3M;23Y</v>
      </c>
      <c r="B1211" s="600" t="str">
        <f t="shared" si="94"/>
        <v>GBP</v>
      </c>
      <c r="C1211" s="600" t="str">
        <f t="shared" si="94"/>
        <v>GBP 3M</v>
      </c>
      <c r="D1211" s="603"/>
      <c r="E1211" s="604"/>
      <c r="F1211" s="607" t="s">
        <v>40</v>
      </c>
      <c r="G1211" s="608">
        <v>0</v>
      </c>
    </row>
    <row r="1212" spans="1:7" ht="11.1" customHeight="1">
      <c r="A1212" s="600" t="str">
        <f t="shared" si="90"/>
        <v>GBP;GBP 3M;24Y</v>
      </c>
      <c r="B1212" s="600" t="str">
        <f t="shared" si="94"/>
        <v>GBP</v>
      </c>
      <c r="C1212" s="600" t="str">
        <f t="shared" si="94"/>
        <v>GBP 3M</v>
      </c>
      <c r="D1212" s="603"/>
      <c r="E1212" s="604"/>
      <c r="F1212" s="607" t="s">
        <v>41</v>
      </c>
      <c r="G1212" s="608">
        <v>0</v>
      </c>
    </row>
    <row r="1213" spans="1:7" ht="11.1" customHeight="1">
      <c r="A1213" s="600" t="str">
        <f t="shared" si="90"/>
        <v>GBP;GBP 3M;25Y</v>
      </c>
      <c r="B1213" s="600" t="str">
        <f t="shared" si="94"/>
        <v>GBP</v>
      </c>
      <c r="C1213" s="600" t="str">
        <f t="shared" si="94"/>
        <v>GBP 3M</v>
      </c>
      <c r="D1213" s="603"/>
      <c r="E1213" s="604"/>
      <c r="F1213" s="607" t="s">
        <v>21</v>
      </c>
      <c r="G1213" s="608">
        <v>0</v>
      </c>
    </row>
    <row r="1214" spans="1:7" ht="11.1" customHeight="1">
      <c r="A1214" s="600" t="str">
        <f t="shared" si="90"/>
        <v>GBP;GBP 3M;26Y</v>
      </c>
      <c r="B1214" s="600" t="str">
        <f t="shared" si="94"/>
        <v>GBP</v>
      </c>
      <c r="C1214" s="600" t="str">
        <f t="shared" si="94"/>
        <v>GBP 3M</v>
      </c>
      <c r="D1214" s="603"/>
      <c r="E1214" s="604"/>
      <c r="F1214" s="607" t="s">
        <v>42</v>
      </c>
      <c r="G1214" s="608">
        <v>0</v>
      </c>
    </row>
    <row r="1215" spans="1:7" ht="11.1" customHeight="1">
      <c r="A1215" s="600" t="str">
        <f t="shared" si="90"/>
        <v>GBP;GBP 3M;27Y</v>
      </c>
      <c r="B1215" s="600" t="str">
        <f t="shared" si="94"/>
        <v>GBP</v>
      </c>
      <c r="C1215" s="600" t="str">
        <f t="shared" si="94"/>
        <v>GBP 3M</v>
      </c>
      <c r="D1215" s="603"/>
      <c r="E1215" s="604"/>
      <c r="F1215" s="607" t="s">
        <v>43</v>
      </c>
      <c r="G1215" s="608">
        <v>0</v>
      </c>
    </row>
    <row r="1216" spans="1:7" ht="11.1" customHeight="1">
      <c r="A1216" s="600" t="str">
        <f t="shared" si="90"/>
        <v>GBP;GBP 3M;28Y</v>
      </c>
      <c r="B1216" s="600" t="str">
        <f t="shared" si="94"/>
        <v>GBP</v>
      </c>
      <c r="C1216" s="600" t="str">
        <f t="shared" si="94"/>
        <v>GBP 3M</v>
      </c>
      <c r="D1216" s="603"/>
      <c r="E1216" s="604"/>
      <c r="F1216" s="607" t="s">
        <v>44</v>
      </c>
      <c r="G1216" s="608">
        <v>0</v>
      </c>
    </row>
    <row r="1217" spans="1:7" ht="11.1" customHeight="1">
      <c r="A1217" s="600" t="str">
        <f t="shared" si="90"/>
        <v>GBP;GBP 3M;29Y</v>
      </c>
      <c r="B1217" s="600" t="str">
        <f t="shared" si="94"/>
        <v>GBP</v>
      </c>
      <c r="C1217" s="600" t="str">
        <f t="shared" si="94"/>
        <v>GBP 3M</v>
      </c>
      <c r="D1217" s="603"/>
      <c r="E1217" s="604"/>
      <c r="F1217" s="607" t="s">
        <v>45</v>
      </c>
      <c r="G1217" s="608">
        <v>0</v>
      </c>
    </row>
    <row r="1218" spans="1:7" ht="11.1" customHeight="1">
      <c r="A1218" s="600" t="str">
        <f t="shared" si="90"/>
        <v>GBP;GBP 3M;30Y</v>
      </c>
      <c r="B1218" s="600" t="str">
        <f t="shared" si="94"/>
        <v>GBP</v>
      </c>
      <c r="C1218" s="600" t="str">
        <f t="shared" si="94"/>
        <v>GBP 3M</v>
      </c>
      <c r="D1218" s="603"/>
      <c r="E1218" s="604"/>
      <c r="F1218" s="607" t="s">
        <v>22</v>
      </c>
      <c r="G1218" s="608">
        <v>0</v>
      </c>
    </row>
    <row r="1219" spans="1:7" ht="11.1" customHeight="1">
      <c r="A1219" s="600" t="str">
        <f t="shared" si="90"/>
        <v>GBP;GBP 3M;40Y</v>
      </c>
      <c r="B1219" s="600" t="str">
        <f t="shared" si="94"/>
        <v>GBP</v>
      </c>
      <c r="C1219" s="600" t="str">
        <f t="shared" si="94"/>
        <v>GBP 3M</v>
      </c>
      <c r="D1219" s="603"/>
      <c r="E1219" s="604"/>
      <c r="F1219" s="607" t="s">
        <v>46</v>
      </c>
      <c r="G1219" s="608">
        <v>0</v>
      </c>
    </row>
    <row r="1220" spans="1:7" ht="11.1" customHeight="1">
      <c r="A1220" s="600" t="str">
        <f t="shared" si="90"/>
        <v>GBP;GBP 3M;50Y</v>
      </c>
      <c r="B1220" s="600" t="str">
        <f t="shared" si="94"/>
        <v>GBP</v>
      </c>
      <c r="C1220" s="600" t="str">
        <f t="shared" si="94"/>
        <v>GBP 3M</v>
      </c>
      <c r="D1220" s="603"/>
      <c r="E1220" s="604"/>
      <c r="F1220" s="607" t="s">
        <v>47</v>
      </c>
      <c r="G1220" s="608">
        <v>0</v>
      </c>
    </row>
    <row r="1221" spans="1:7" ht="11.1" customHeight="1">
      <c r="A1221" s="600" t="str">
        <f t="shared" ref="A1221:A1284" si="95">B1221&amp;";"&amp;C1221&amp;";"&amp;F1221</f>
        <v>GBP;GBP 3M;60Y</v>
      </c>
      <c r="B1221" s="600" t="str">
        <f t="shared" ref="B1221:C1236" si="96">IF(ISBLANK(D1221),B1220,D1221)</f>
        <v>GBP</v>
      </c>
      <c r="C1221" s="600" t="str">
        <f t="shared" si="96"/>
        <v>GBP 3M</v>
      </c>
      <c r="D1221" s="603"/>
      <c r="E1221" s="604"/>
      <c r="F1221" s="607" t="s">
        <v>48</v>
      </c>
      <c r="G1221" s="608">
        <v>0</v>
      </c>
    </row>
    <row r="1222" spans="1:7" ht="11.1" customHeight="1">
      <c r="A1222" s="600" t="str">
        <f t="shared" si="95"/>
        <v>GBP;GBP 6M;Total GBP 6M</v>
      </c>
      <c r="B1222" s="600" t="str">
        <f t="shared" si="96"/>
        <v>GBP</v>
      </c>
      <c r="C1222" s="600" t="str">
        <f t="shared" si="96"/>
        <v>GBP 6M</v>
      </c>
      <c r="D1222" s="603"/>
      <c r="E1222" s="604" t="s">
        <v>688</v>
      </c>
      <c r="F1222" s="605" t="s">
        <v>1220</v>
      </c>
      <c r="G1222" s="611">
        <v>3412.1773284627302</v>
      </c>
    </row>
    <row r="1223" spans="1:7" ht="11.1" customHeight="1">
      <c r="A1223" s="600" t="str">
        <f t="shared" si="95"/>
        <v>GBP;GBP 6M;O/N</v>
      </c>
      <c r="B1223" s="600" t="str">
        <f t="shared" si="96"/>
        <v>GBP</v>
      </c>
      <c r="C1223" s="600" t="str">
        <f t="shared" si="96"/>
        <v>GBP 6M</v>
      </c>
      <c r="D1223" s="603"/>
      <c r="E1223" s="604"/>
      <c r="F1223" s="607" t="s">
        <v>3</v>
      </c>
      <c r="G1223" s="611">
        <v>11.652209237870601</v>
      </c>
    </row>
    <row r="1224" spans="1:7" ht="11.1" customHeight="1">
      <c r="A1224" s="600" t="str">
        <f t="shared" si="95"/>
        <v>GBP;GBP 6M;T/N</v>
      </c>
      <c r="B1224" s="600" t="str">
        <f t="shared" si="96"/>
        <v>GBP</v>
      </c>
      <c r="C1224" s="600" t="str">
        <f t="shared" si="96"/>
        <v>GBP 6M</v>
      </c>
      <c r="D1224" s="603"/>
      <c r="E1224" s="604"/>
      <c r="F1224" s="607" t="s">
        <v>4</v>
      </c>
      <c r="G1224" s="611">
        <v>3.8841939451616101</v>
      </c>
    </row>
    <row r="1225" spans="1:7" ht="11.1" customHeight="1">
      <c r="A1225" s="600" t="str">
        <f t="shared" si="95"/>
        <v>GBP;GBP 6M;S/N</v>
      </c>
      <c r="B1225" s="600" t="str">
        <f t="shared" si="96"/>
        <v>GBP</v>
      </c>
      <c r="C1225" s="600" t="str">
        <f t="shared" si="96"/>
        <v>GBP 6M</v>
      </c>
      <c r="D1225" s="603"/>
      <c r="E1225" s="604"/>
      <c r="F1225" s="607" t="s">
        <v>23</v>
      </c>
      <c r="G1225" s="606">
        <v>-1.0561030592602401</v>
      </c>
    </row>
    <row r="1226" spans="1:7" ht="11.1" customHeight="1">
      <c r="A1226" s="600" t="str">
        <f t="shared" si="95"/>
        <v>GBP;GBP 6M;1W</v>
      </c>
      <c r="B1226" s="600" t="str">
        <f t="shared" si="96"/>
        <v>GBP</v>
      </c>
      <c r="C1226" s="600" t="str">
        <f t="shared" si="96"/>
        <v>GBP 6M</v>
      </c>
      <c r="D1226" s="603"/>
      <c r="E1226" s="604"/>
      <c r="F1226" s="607" t="s">
        <v>5</v>
      </c>
      <c r="G1226" s="611">
        <v>24.66337126306</v>
      </c>
    </row>
    <row r="1227" spans="1:7" ht="11.1" customHeight="1">
      <c r="A1227" s="600" t="str">
        <f t="shared" si="95"/>
        <v>GBP;GBP 6M;2W</v>
      </c>
      <c r="B1227" s="600" t="str">
        <f t="shared" si="96"/>
        <v>GBP</v>
      </c>
      <c r="C1227" s="600" t="str">
        <f t="shared" si="96"/>
        <v>GBP 6M</v>
      </c>
      <c r="D1227" s="603"/>
      <c r="E1227" s="604"/>
      <c r="F1227" s="607" t="s">
        <v>6</v>
      </c>
      <c r="G1227" s="611">
        <v>39.7716758205814</v>
      </c>
    </row>
    <row r="1228" spans="1:7" ht="11.1" customHeight="1">
      <c r="A1228" s="600" t="str">
        <f t="shared" si="95"/>
        <v>GBP;GBP 6M;3W</v>
      </c>
      <c r="B1228" s="600" t="str">
        <f t="shared" si="96"/>
        <v>GBP</v>
      </c>
      <c r="C1228" s="600" t="str">
        <f t="shared" si="96"/>
        <v>GBP 6M</v>
      </c>
      <c r="D1228" s="603"/>
      <c r="E1228" s="604"/>
      <c r="F1228" s="607" t="s">
        <v>24</v>
      </c>
      <c r="G1228" s="606">
        <v>-33.588712038937999</v>
      </c>
    </row>
    <row r="1229" spans="1:7" ht="11.1" customHeight="1">
      <c r="A1229" s="600" t="str">
        <f t="shared" si="95"/>
        <v>GBP;GBP 6M;1M</v>
      </c>
      <c r="B1229" s="600" t="str">
        <f t="shared" si="96"/>
        <v>GBP</v>
      </c>
      <c r="C1229" s="600" t="str">
        <f t="shared" si="96"/>
        <v>GBP 6M</v>
      </c>
      <c r="D1229" s="603"/>
      <c r="E1229" s="604"/>
      <c r="F1229" s="607" t="s">
        <v>7</v>
      </c>
      <c r="G1229" s="606">
        <v>-92.632708697363697</v>
      </c>
    </row>
    <row r="1230" spans="1:7" ht="11.1" customHeight="1">
      <c r="A1230" s="600" t="str">
        <f t="shared" si="95"/>
        <v>GBP;GBP 6M;2M</v>
      </c>
      <c r="B1230" s="600" t="str">
        <f t="shared" si="96"/>
        <v>GBP</v>
      </c>
      <c r="C1230" s="600" t="str">
        <f t="shared" si="96"/>
        <v>GBP 6M</v>
      </c>
      <c r="D1230" s="603"/>
      <c r="E1230" s="604"/>
      <c r="F1230" s="607" t="s">
        <v>8</v>
      </c>
      <c r="G1230" s="611">
        <v>182.17141815617501</v>
      </c>
    </row>
    <row r="1231" spans="1:7" ht="11.1" customHeight="1">
      <c r="A1231" s="600" t="str">
        <f t="shared" si="95"/>
        <v>GBP;GBP 6M;3M</v>
      </c>
      <c r="B1231" s="600" t="str">
        <f t="shared" si="96"/>
        <v>GBP</v>
      </c>
      <c r="C1231" s="600" t="str">
        <f t="shared" si="96"/>
        <v>GBP 6M</v>
      </c>
      <c r="D1231" s="603"/>
      <c r="E1231" s="604"/>
      <c r="F1231" s="607" t="s">
        <v>25</v>
      </c>
      <c r="G1231" s="606">
        <v>-934.23314205357701</v>
      </c>
    </row>
    <row r="1232" spans="1:7" ht="11.1" customHeight="1">
      <c r="A1232" s="600" t="str">
        <f t="shared" si="95"/>
        <v>GBP;GBP 6M;4M</v>
      </c>
      <c r="B1232" s="600" t="str">
        <f t="shared" si="96"/>
        <v>GBP</v>
      </c>
      <c r="C1232" s="600" t="str">
        <f t="shared" si="96"/>
        <v>GBP 6M</v>
      </c>
      <c r="D1232" s="603"/>
      <c r="E1232" s="604"/>
      <c r="F1232" s="607" t="s">
        <v>26</v>
      </c>
      <c r="G1232" s="606">
        <v>-1109.5234982130401</v>
      </c>
    </row>
    <row r="1233" spans="1:7" ht="11.1" customHeight="1">
      <c r="A1233" s="600" t="str">
        <f t="shared" si="95"/>
        <v>GBP;GBP 6M;5M</v>
      </c>
      <c r="B1233" s="600" t="str">
        <f t="shared" si="96"/>
        <v>GBP</v>
      </c>
      <c r="C1233" s="600" t="str">
        <f t="shared" si="96"/>
        <v>GBP 6M</v>
      </c>
      <c r="D1233" s="603"/>
      <c r="E1233" s="604"/>
      <c r="F1233" s="607" t="s">
        <v>27</v>
      </c>
      <c r="G1233" s="606">
        <v>-437.570660569106</v>
      </c>
    </row>
    <row r="1234" spans="1:7" ht="11.1" customHeight="1">
      <c r="A1234" s="600" t="str">
        <f t="shared" si="95"/>
        <v>GBP;GBP 6M;6M</v>
      </c>
      <c r="B1234" s="600" t="str">
        <f t="shared" si="96"/>
        <v>GBP</v>
      </c>
      <c r="C1234" s="600" t="str">
        <f t="shared" si="96"/>
        <v>GBP 6M</v>
      </c>
      <c r="D1234" s="603"/>
      <c r="E1234" s="604"/>
      <c r="F1234" s="607" t="s">
        <v>28</v>
      </c>
      <c r="G1234" s="611">
        <v>1219.62306164244</v>
      </c>
    </row>
    <row r="1235" spans="1:7" ht="11.1" customHeight="1">
      <c r="A1235" s="600" t="str">
        <f t="shared" si="95"/>
        <v>GBP;GBP 6M;1M-7M</v>
      </c>
      <c r="B1235" s="600" t="str">
        <f t="shared" si="96"/>
        <v>GBP</v>
      </c>
      <c r="C1235" s="600" t="str">
        <f t="shared" si="96"/>
        <v>GBP 6M</v>
      </c>
      <c r="D1235" s="603"/>
      <c r="E1235" s="604"/>
      <c r="F1235" s="607" t="s">
        <v>1221</v>
      </c>
      <c r="G1235" s="606">
        <v>-890.63722488604606</v>
      </c>
    </row>
    <row r="1236" spans="1:7" ht="11.1" customHeight="1">
      <c r="A1236" s="600" t="str">
        <f t="shared" si="95"/>
        <v>GBP;GBP 6M;2M-8M</v>
      </c>
      <c r="B1236" s="600" t="str">
        <f t="shared" si="96"/>
        <v>GBP</v>
      </c>
      <c r="C1236" s="600" t="str">
        <f t="shared" si="96"/>
        <v>GBP 6M</v>
      </c>
      <c r="D1236" s="603"/>
      <c r="E1236" s="604"/>
      <c r="F1236" s="607" t="s">
        <v>1222</v>
      </c>
      <c r="G1236" s="611">
        <v>137.26597360334301</v>
      </c>
    </row>
    <row r="1237" spans="1:7" ht="11.1" customHeight="1">
      <c r="A1237" s="600" t="str">
        <f t="shared" si="95"/>
        <v>GBP;GBP 6M;3M-9M</v>
      </c>
      <c r="B1237" s="600" t="str">
        <f t="shared" ref="B1237:C1252" si="97">IF(ISBLANK(D1237),B1236,D1237)</f>
        <v>GBP</v>
      </c>
      <c r="C1237" s="600" t="str">
        <f t="shared" si="97"/>
        <v>GBP 6M</v>
      </c>
      <c r="D1237" s="603"/>
      <c r="E1237" s="604"/>
      <c r="F1237" s="607" t="s">
        <v>1223</v>
      </c>
      <c r="G1237" s="606">
        <v>-38.616376584515102</v>
      </c>
    </row>
    <row r="1238" spans="1:7" ht="11.1" customHeight="1">
      <c r="A1238" s="600" t="str">
        <f t="shared" si="95"/>
        <v>GBP;GBP 6M;4M-10M</v>
      </c>
      <c r="B1238" s="600" t="str">
        <f t="shared" si="97"/>
        <v>GBP</v>
      </c>
      <c r="C1238" s="600" t="str">
        <f t="shared" si="97"/>
        <v>GBP 6M</v>
      </c>
      <c r="D1238" s="603"/>
      <c r="E1238" s="604"/>
      <c r="F1238" s="607" t="s">
        <v>1224</v>
      </c>
      <c r="G1238" s="606">
        <v>-27.15658494342</v>
      </c>
    </row>
    <row r="1239" spans="1:7" ht="11.1" customHeight="1">
      <c r="A1239" s="600" t="str">
        <f t="shared" si="95"/>
        <v>GBP;GBP 6M;5M-11M</v>
      </c>
      <c r="B1239" s="600" t="str">
        <f t="shared" si="97"/>
        <v>GBP</v>
      </c>
      <c r="C1239" s="600" t="str">
        <f t="shared" si="97"/>
        <v>GBP 6M</v>
      </c>
      <c r="D1239" s="603"/>
      <c r="E1239" s="604"/>
      <c r="F1239" s="607" t="s">
        <v>1225</v>
      </c>
      <c r="G1239" s="606">
        <v>-600.77525234162795</v>
      </c>
    </row>
    <row r="1240" spans="1:7" ht="11.1" customHeight="1">
      <c r="A1240" s="600" t="str">
        <f t="shared" si="95"/>
        <v>GBP;GBP 6M;6M-12M</v>
      </c>
      <c r="B1240" s="600" t="str">
        <f t="shared" si="97"/>
        <v>GBP</v>
      </c>
      <c r="C1240" s="600" t="str">
        <f t="shared" si="97"/>
        <v>GBP 6M</v>
      </c>
      <c r="D1240" s="603"/>
      <c r="E1240" s="604"/>
      <c r="F1240" s="607" t="s">
        <v>1194</v>
      </c>
      <c r="G1240" s="611">
        <v>883.60477152513704</v>
      </c>
    </row>
    <row r="1241" spans="1:7" ht="11.1" customHeight="1">
      <c r="A1241" s="600" t="str">
        <f t="shared" si="95"/>
        <v>GBP;GBP 6M;7M-13M</v>
      </c>
      <c r="B1241" s="600" t="str">
        <f t="shared" si="97"/>
        <v>GBP</v>
      </c>
      <c r="C1241" s="600" t="str">
        <f t="shared" si="97"/>
        <v>GBP 6M</v>
      </c>
      <c r="D1241" s="603"/>
      <c r="E1241" s="604"/>
      <c r="F1241" s="607" t="s">
        <v>1226</v>
      </c>
      <c r="G1241" s="606">
        <v>-921.82579090209299</v>
      </c>
    </row>
    <row r="1242" spans="1:7" ht="11.1" customHeight="1">
      <c r="A1242" s="600" t="str">
        <f t="shared" si="95"/>
        <v>GBP;GBP 6M;8M-14M</v>
      </c>
      <c r="B1242" s="600" t="str">
        <f t="shared" si="97"/>
        <v>GBP</v>
      </c>
      <c r="C1242" s="600" t="str">
        <f t="shared" si="97"/>
        <v>GBP 6M</v>
      </c>
      <c r="D1242" s="603"/>
      <c r="E1242" s="604"/>
      <c r="F1242" s="607" t="s">
        <v>1227</v>
      </c>
      <c r="G1242" s="611">
        <v>108.334726231815</v>
      </c>
    </row>
    <row r="1243" spans="1:7" ht="11.1" customHeight="1">
      <c r="A1243" s="600" t="str">
        <f t="shared" si="95"/>
        <v>GBP;GBP 6M;9M-15M</v>
      </c>
      <c r="B1243" s="600" t="str">
        <f t="shared" si="97"/>
        <v>GBP</v>
      </c>
      <c r="C1243" s="600" t="str">
        <f t="shared" si="97"/>
        <v>GBP 6M</v>
      </c>
      <c r="D1243" s="603"/>
      <c r="E1243" s="604"/>
      <c r="F1243" s="607" t="s">
        <v>1195</v>
      </c>
      <c r="G1243" s="606">
        <v>-240.74206045570901</v>
      </c>
    </row>
    <row r="1244" spans="1:7" ht="11.1" customHeight="1">
      <c r="A1244" s="600" t="str">
        <f t="shared" si="95"/>
        <v>GBP;GBP 6M;10M-16M</v>
      </c>
      <c r="B1244" s="600" t="str">
        <f t="shared" si="97"/>
        <v>GBP</v>
      </c>
      <c r="C1244" s="600" t="str">
        <f t="shared" si="97"/>
        <v>GBP 6M</v>
      </c>
      <c r="D1244" s="603"/>
      <c r="E1244" s="604"/>
      <c r="F1244" s="607" t="s">
        <v>1228</v>
      </c>
      <c r="G1244" s="611">
        <v>204.108154238145</v>
      </c>
    </row>
    <row r="1245" spans="1:7" ht="11.1" customHeight="1">
      <c r="A1245" s="600" t="str">
        <f t="shared" si="95"/>
        <v>GBP;GBP 6M;11M-17M</v>
      </c>
      <c r="B1245" s="600" t="str">
        <f t="shared" si="97"/>
        <v>GBP</v>
      </c>
      <c r="C1245" s="600" t="str">
        <f t="shared" si="97"/>
        <v>GBP 6M</v>
      </c>
      <c r="D1245" s="603"/>
      <c r="E1245" s="604"/>
      <c r="F1245" s="607" t="s">
        <v>1229</v>
      </c>
      <c r="G1245" s="606">
        <v>-630.96140885416503</v>
      </c>
    </row>
    <row r="1246" spans="1:7" ht="11.1" customHeight="1">
      <c r="A1246" s="600" t="str">
        <f t="shared" si="95"/>
        <v>GBP;GBP 6M;12M-18M</v>
      </c>
      <c r="B1246" s="600" t="str">
        <f t="shared" si="97"/>
        <v>GBP</v>
      </c>
      <c r="C1246" s="600" t="str">
        <f t="shared" si="97"/>
        <v>GBP 6M</v>
      </c>
      <c r="D1246" s="603"/>
      <c r="E1246" s="604"/>
      <c r="F1246" s="607" t="s">
        <v>1196</v>
      </c>
      <c r="G1246" s="611">
        <v>1695.5379308276299</v>
      </c>
    </row>
    <row r="1247" spans="1:7" ht="11.1" customHeight="1">
      <c r="A1247" s="600" t="str">
        <f t="shared" si="95"/>
        <v>GBP;GBP 6M;13M-19M</v>
      </c>
      <c r="B1247" s="600" t="str">
        <f t="shared" si="97"/>
        <v>GBP</v>
      </c>
      <c r="C1247" s="600" t="str">
        <f t="shared" si="97"/>
        <v>GBP 6M</v>
      </c>
      <c r="D1247" s="603"/>
      <c r="E1247" s="604"/>
      <c r="F1247" s="607" t="s">
        <v>1230</v>
      </c>
      <c r="G1247" s="606">
        <v>-748.28641291859606</v>
      </c>
    </row>
    <row r="1248" spans="1:7" ht="11.1" customHeight="1">
      <c r="A1248" s="600" t="str">
        <f t="shared" si="95"/>
        <v>GBP;GBP 6M;14M-20M</v>
      </c>
      <c r="B1248" s="600" t="str">
        <f t="shared" si="97"/>
        <v>GBP</v>
      </c>
      <c r="C1248" s="600" t="str">
        <f t="shared" si="97"/>
        <v>GBP 6M</v>
      </c>
      <c r="D1248" s="603"/>
      <c r="E1248" s="604"/>
      <c r="F1248" s="607" t="s">
        <v>1231</v>
      </c>
      <c r="G1248" s="611">
        <v>63.4786769495214</v>
      </c>
    </row>
    <row r="1249" spans="1:7" ht="11.1" customHeight="1">
      <c r="A1249" s="600" t="str">
        <f t="shared" si="95"/>
        <v>GBP;GBP 6M;15M-21M</v>
      </c>
      <c r="B1249" s="600" t="str">
        <f t="shared" si="97"/>
        <v>GBP</v>
      </c>
      <c r="C1249" s="600" t="str">
        <f t="shared" si="97"/>
        <v>GBP 6M</v>
      </c>
      <c r="D1249" s="603"/>
      <c r="E1249" s="604"/>
      <c r="F1249" s="607" t="s">
        <v>1232</v>
      </c>
      <c r="G1249" s="606">
        <v>-212.59656049195701</v>
      </c>
    </row>
    <row r="1250" spans="1:7" ht="11.1" customHeight="1">
      <c r="A1250" s="600" t="str">
        <f t="shared" si="95"/>
        <v>GBP;GBP 6M;16M-22M</v>
      </c>
      <c r="B1250" s="600" t="str">
        <f t="shared" si="97"/>
        <v>GBP</v>
      </c>
      <c r="C1250" s="600" t="str">
        <f t="shared" si="97"/>
        <v>GBP 6M</v>
      </c>
      <c r="D1250" s="603"/>
      <c r="E1250" s="604"/>
      <c r="F1250" s="607" t="s">
        <v>1233</v>
      </c>
      <c r="G1250" s="611">
        <v>202.24273063266901</v>
      </c>
    </row>
    <row r="1251" spans="1:7" ht="11.1" customHeight="1">
      <c r="A1251" s="600" t="str">
        <f t="shared" si="95"/>
        <v>GBP;GBP 6M;17M-23M</v>
      </c>
      <c r="B1251" s="600" t="str">
        <f t="shared" si="97"/>
        <v>GBP</v>
      </c>
      <c r="C1251" s="600" t="str">
        <f t="shared" si="97"/>
        <v>GBP 6M</v>
      </c>
      <c r="D1251" s="603"/>
      <c r="E1251" s="604"/>
      <c r="F1251" s="607" t="s">
        <v>1234</v>
      </c>
      <c r="G1251" s="606">
        <v>-746.709384806098</v>
      </c>
    </row>
    <row r="1252" spans="1:7" ht="11.1" customHeight="1">
      <c r="A1252" s="600" t="str">
        <f t="shared" si="95"/>
        <v>GBP;GBP 6M;18M-24M</v>
      </c>
      <c r="B1252" s="600" t="str">
        <f t="shared" si="97"/>
        <v>GBP</v>
      </c>
      <c r="C1252" s="600" t="str">
        <f t="shared" si="97"/>
        <v>GBP 6M</v>
      </c>
      <c r="D1252" s="603"/>
      <c r="E1252" s="604"/>
      <c r="F1252" s="607" t="s">
        <v>1235</v>
      </c>
      <c r="G1252" s="611">
        <v>1729.64402064912</v>
      </c>
    </row>
    <row r="1253" spans="1:7" ht="11.1" customHeight="1">
      <c r="A1253" s="600" t="str">
        <f t="shared" si="95"/>
        <v>GBP;GBP 6M;2Y6M</v>
      </c>
      <c r="B1253" s="600" t="str">
        <f t="shared" ref="B1253:C1268" si="98">IF(ISBLANK(D1253),B1252,D1253)</f>
        <v>GBP</v>
      </c>
      <c r="C1253" s="600" t="str">
        <f t="shared" si="98"/>
        <v>GBP 6M</v>
      </c>
      <c r="D1253" s="603"/>
      <c r="E1253" s="604"/>
      <c r="F1253" s="607" t="s">
        <v>98</v>
      </c>
      <c r="G1253" s="611">
        <v>8456.28868941365</v>
      </c>
    </row>
    <row r="1254" spans="1:7" ht="11.1" customHeight="1">
      <c r="A1254" s="600" t="str">
        <f t="shared" si="95"/>
        <v>GBP;GBP 6M;3Y</v>
      </c>
      <c r="B1254" s="600" t="str">
        <f t="shared" si="98"/>
        <v>GBP</v>
      </c>
      <c r="C1254" s="600" t="str">
        <f t="shared" si="98"/>
        <v>GBP 6M</v>
      </c>
      <c r="D1254" s="603"/>
      <c r="E1254" s="604"/>
      <c r="F1254" s="607" t="s">
        <v>10</v>
      </c>
      <c r="G1254" s="606">
        <v>-488.24144737970897</v>
      </c>
    </row>
    <row r="1255" spans="1:7" ht="11.1" customHeight="1">
      <c r="A1255" s="600" t="str">
        <f t="shared" si="95"/>
        <v>GBP;GBP 6M;4Y</v>
      </c>
      <c r="B1255" s="600" t="str">
        <f t="shared" si="98"/>
        <v>GBP</v>
      </c>
      <c r="C1255" s="600" t="str">
        <f t="shared" si="98"/>
        <v>GBP 6M</v>
      </c>
      <c r="D1255" s="603"/>
      <c r="E1255" s="604"/>
      <c r="F1255" s="607" t="s">
        <v>11</v>
      </c>
      <c r="G1255" s="606">
        <v>-6832.89014605794</v>
      </c>
    </row>
    <row r="1256" spans="1:7" ht="11.1" customHeight="1">
      <c r="A1256" s="600" t="str">
        <f t="shared" si="95"/>
        <v>GBP;GBP 6M;5Y</v>
      </c>
      <c r="B1256" s="600" t="str">
        <f t="shared" si="98"/>
        <v>GBP</v>
      </c>
      <c r="C1256" s="600" t="str">
        <f t="shared" si="98"/>
        <v>GBP 6M</v>
      </c>
      <c r="D1256" s="603"/>
      <c r="E1256" s="604"/>
      <c r="F1256" s="607" t="s">
        <v>12</v>
      </c>
      <c r="G1256" s="611">
        <v>5818.1543620258199</v>
      </c>
    </row>
    <row r="1257" spans="1:7" ht="11.1" customHeight="1">
      <c r="A1257" s="600" t="str">
        <f t="shared" si="95"/>
        <v>GBP;GBP 6M;6Y</v>
      </c>
      <c r="B1257" s="600" t="str">
        <f t="shared" si="98"/>
        <v>GBP</v>
      </c>
      <c r="C1257" s="600" t="str">
        <f t="shared" si="98"/>
        <v>GBP 6M</v>
      </c>
      <c r="D1257" s="603"/>
      <c r="E1257" s="604"/>
      <c r="F1257" s="607" t="s">
        <v>13</v>
      </c>
      <c r="G1257" s="606">
        <v>-1298.1525540067701</v>
      </c>
    </row>
    <row r="1258" spans="1:7" ht="11.1" customHeight="1">
      <c r="A1258" s="600" t="str">
        <f t="shared" si="95"/>
        <v>GBP;GBP 6M;7Y</v>
      </c>
      <c r="B1258" s="600" t="str">
        <f t="shared" si="98"/>
        <v>GBP</v>
      </c>
      <c r="C1258" s="600" t="str">
        <f t="shared" si="98"/>
        <v>GBP 6M</v>
      </c>
      <c r="D1258" s="603"/>
      <c r="E1258" s="604"/>
      <c r="F1258" s="607" t="s">
        <v>14</v>
      </c>
      <c r="G1258" s="606">
        <v>-2.5095922403484598</v>
      </c>
    </row>
    <row r="1259" spans="1:7" ht="11.1" customHeight="1">
      <c r="A1259" s="600" t="str">
        <f t="shared" si="95"/>
        <v>GBP;GBP 6M;8Y</v>
      </c>
      <c r="B1259" s="600" t="str">
        <f t="shared" si="98"/>
        <v>GBP</v>
      </c>
      <c r="C1259" s="600" t="str">
        <f t="shared" si="98"/>
        <v>GBP 6M</v>
      </c>
      <c r="D1259" s="603"/>
      <c r="E1259" s="604"/>
      <c r="F1259" s="607" t="s">
        <v>15</v>
      </c>
      <c r="G1259" s="606">
        <v>-8.5126078380227597</v>
      </c>
    </row>
    <row r="1260" spans="1:7" ht="11.1" customHeight="1">
      <c r="A1260" s="600" t="str">
        <f t="shared" si="95"/>
        <v>GBP;GBP 6M;9Y</v>
      </c>
      <c r="B1260" s="600" t="str">
        <f t="shared" si="98"/>
        <v>GBP</v>
      </c>
      <c r="C1260" s="600" t="str">
        <f t="shared" si="98"/>
        <v>GBP 6M</v>
      </c>
      <c r="D1260" s="603"/>
      <c r="E1260" s="604"/>
      <c r="F1260" s="607" t="s">
        <v>16</v>
      </c>
      <c r="G1260" s="611">
        <v>24.424727232712002</v>
      </c>
    </row>
    <row r="1261" spans="1:7" ht="11.1" customHeight="1">
      <c r="A1261" s="600" t="str">
        <f t="shared" si="95"/>
        <v>GBP;GBP 6M;10Y</v>
      </c>
      <c r="B1261" s="600" t="str">
        <f t="shared" si="98"/>
        <v>GBP</v>
      </c>
      <c r="C1261" s="600" t="str">
        <f t="shared" si="98"/>
        <v>GBP 6M</v>
      </c>
      <c r="D1261" s="603"/>
      <c r="E1261" s="604"/>
      <c r="F1261" s="607" t="s">
        <v>17</v>
      </c>
      <c r="G1261" s="606">
        <v>-74.410777359911606</v>
      </c>
    </row>
    <row r="1262" spans="1:7" ht="11.1" customHeight="1">
      <c r="A1262" s="600" t="str">
        <f t="shared" si="95"/>
        <v>GBP;GBP 6M;11Y</v>
      </c>
      <c r="B1262" s="600" t="str">
        <f t="shared" si="98"/>
        <v>GBP</v>
      </c>
      <c r="C1262" s="600" t="str">
        <f t="shared" si="98"/>
        <v>GBP 6M</v>
      </c>
      <c r="D1262" s="603"/>
      <c r="E1262" s="604"/>
      <c r="F1262" s="607" t="s">
        <v>31</v>
      </c>
      <c r="G1262" s="611">
        <v>9.8179366527425405</v>
      </c>
    </row>
    <row r="1263" spans="1:7" ht="11.1" customHeight="1">
      <c r="A1263" s="600" t="str">
        <f t="shared" si="95"/>
        <v>GBP;GBP 6M;12Y</v>
      </c>
      <c r="B1263" s="600" t="str">
        <f t="shared" si="98"/>
        <v>GBP</v>
      </c>
      <c r="C1263" s="600" t="str">
        <f t="shared" si="98"/>
        <v>GBP 6M</v>
      </c>
      <c r="D1263" s="603"/>
      <c r="E1263" s="604"/>
      <c r="F1263" s="607" t="s">
        <v>18</v>
      </c>
      <c r="G1263" s="606">
        <v>-48.634414708591898</v>
      </c>
    </row>
    <row r="1264" spans="1:7" ht="11.1" customHeight="1">
      <c r="A1264" s="600" t="str">
        <f t="shared" si="95"/>
        <v>GBP;GBP 6M;13Y</v>
      </c>
      <c r="B1264" s="600" t="str">
        <f t="shared" si="98"/>
        <v>GBP</v>
      </c>
      <c r="C1264" s="600" t="str">
        <f t="shared" si="98"/>
        <v>GBP 6M</v>
      </c>
      <c r="D1264" s="603"/>
      <c r="E1264" s="604"/>
      <c r="F1264" s="607" t="s">
        <v>32</v>
      </c>
      <c r="G1264" s="611">
        <v>262.40170141741203</v>
      </c>
    </row>
    <row r="1265" spans="1:7" ht="11.1" customHeight="1">
      <c r="A1265" s="600" t="str">
        <f t="shared" si="95"/>
        <v>GBP;GBP 6M;14Y</v>
      </c>
      <c r="B1265" s="600" t="str">
        <f t="shared" si="98"/>
        <v>GBP</v>
      </c>
      <c r="C1265" s="600" t="str">
        <f t="shared" si="98"/>
        <v>GBP 6M</v>
      </c>
      <c r="D1265" s="603"/>
      <c r="E1265" s="604"/>
      <c r="F1265" s="607" t="s">
        <v>33</v>
      </c>
      <c r="G1265" s="611">
        <v>721.18653614351695</v>
      </c>
    </row>
    <row r="1266" spans="1:7" ht="11.1" customHeight="1">
      <c r="A1266" s="600" t="str">
        <f t="shared" si="95"/>
        <v>GBP;GBP 6M;15Y</v>
      </c>
      <c r="B1266" s="600" t="str">
        <f t="shared" si="98"/>
        <v>GBP</v>
      </c>
      <c r="C1266" s="600" t="str">
        <f t="shared" si="98"/>
        <v>GBP 6M</v>
      </c>
      <c r="D1266" s="603"/>
      <c r="E1266" s="604"/>
      <c r="F1266" s="607" t="s">
        <v>19</v>
      </c>
      <c r="G1266" s="606">
        <v>-2277.0160255649298</v>
      </c>
    </row>
    <row r="1267" spans="1:7" ht="11.1" customHeight="1">
      <c r="A1267" s="600" t="str">
        <f t="shared" si="95"/>
        <v>GBP;GBP 6M;16Y</v>
      </c>
      <c r="B1267" s="600" t="str">
        <f t="shared" si="98"/>
        <v>GBP</v>
      </c>
      <c r="C1267" s="600" t="str">
        <f t="shared" si="98"/>
        <v>GBP 6M</v>
      </c>
      <c r="D1267" s="603"/>
      <c r="E1267" s="604"/>
      <c r="F1267" s="607" t="s">
        <v>34</v>
      </c>
      <c r="G1267" s="611">
        <v>311.01585180594401</v>
      </c>
    </row>
    <row r="1268" spans="1:7" ht="11.1" customHeight="1">
      <c r="A1268" s="600" t="str">
        <f t="shared" si="95"/>
        <v>GBP;GBP 6M;17Y</v>
      </c>
      <c r="B1268" s="600" t="str">
        <f t="shared" si="98"/>
        <v>GBP</v>
      </c>
      <c r="C1268" s="600" t="str">
        <f t="shared" si="98"/>
        <v>GBP 6M</v>
      </c>
      <c r="D1268" s="603"/>
      <c r="E1268" s="604"/>
      <c r="F1268" s="607" t="s">
        <v>35</v>
      </c>
      <c r="G1268" s="611">
        <v>0.18394564200106001</v>
      </c>
    </row>
    <row r="1269" spans="1:7" ht="11.1" customHeight="1">
      <c r="A1269" s="600" t="str">
        <f t="shared" si="95"/>
        <v>GBP;GBP 6M;18Y</v>
      </c>
      <c r="B1269" s="600" t="str">
        <f t="shared" ref="B1269:C1284" si="99">IF(ISBLANK(D1269),B1268,D1269)</f>
        <v>GBP</v>
      </c>
      <c r="C1269" s="600" t="str">
        <f t="shared" si="99"/>
        <v>GBP 6M</v>
      </c>
      <c r="D1269" s="603"/>
      <c r="E1269" s="604"/>
      <c r="F1269" s="607" t="s">
        <v>36</v>
      </c>
      <c r="G1269" s="611">
        <v>1.1031301386348799E-4</v>
      </c>
    </row>
    <row r="1270" spans="1:7" ht="11.1" customHeight="1">
      <c r="A1270" s="600" t="str">
        <f t="shared" si="95"/>
        <v>GBP;GBP 6M;19Y</v>
      </c>
      <c r="B1270" s="600" t="str">
        <f t="shared" si="99"/>
        <v>GBP</v>
      </c>
      <c r="C1270" s="600" t="str">
        <f t="shared" si="99"/>
        <v>GBP 6M</v>
      </c>
      <c r="D1270" s="603"/>
      <c r="E1270" s="604"/>
      <c r="F1270" s="607" t="s">
        <v>37</v>
      </c>
      <c r="G1270" s="611">
        <v>6.4914690126597302E-8</v>
      </c>
    </row>
    <row r="1271" spans="1:7" ht="11.1" customHeight="1">
      <c r="A1271" s="600" t="str">
        <f t="shared" si="95"/>
        <v>GBP;GBP 6M;20Y</v>
      </c>
      <c r="B1271" s="600" t="str">
        <f t="shared" si="99"/>
        <v>GBP</v>
      </c>
      <c r="C1271" s="600" t="str">
        <f t="shared" si="99"/>
        <v>GBP 6M</v>
      </c>
      <c r="D1271" s="603"/>
      <c r="E1271" s="604"/>
      <c r="F1271" s="607" t="s">
        <v>20</v>
      </c>
      <c r="G1271" s="611">
        <v>0</v>
      </c>
    </row>
    <row r="1272" spans="1:7" ht="11.1" customHeight="1">
      <c r="A1272" s="600" t="str">
        <f t="shared" si="95"/>
        <v>GBP;GBP 6M;21Y</v>
      </c>
      <c r="B1272" s="600" t="str">
        <f t="shared" si="99"/>
        <v>GBP</v>
      </c>
      <c r="C1272" s="600" t="str">
        <f t="shared" si="99"/>
        <v>GBP 6M</v>
      </c>
      <c r="D1272" s="603"/>
      <c r="E1272" s="604"/>
      <c r="F1272" s="607" t="s">
        <v>38</v>
      </c>
      <c r="G1272" s="611">
        <v>0</v>
      </c>
    </row>
    <row r="1273" spans="1:7" ht="11.1" customHeight="1">
      <c r="A1273" s="600" t="str">
        <f t="shared" si="95"/>
        <v>GBP;GBP 6M;22Y</v>
      </c>
      <c r="B1273" s="600" t="str">
        <f t="shared" si="99"/>
        <v>GBP</v>
      </c>
      <c r="C1273" s="600" t="str">
        <f t="shared" si="99"/>
        <v>GBP 6M</v>
      </c>
      <c r="D1273" s="603"/>
      <c r="E1273" s="604"/>
      <c r="F1273" s="607" t="s">
        <v>39</v>
      </c>
      <c r="G1273" s="611">
        <v>0</v>
      </c>
    </row>
    <row r="1274" spans="1:7" ht="11.1" customHeight="1">
      <c r="A1274" s="600" t="str">
        <f t="shared" si="95"/>
        <v>GBP;GBP 6M;23Y</v>
      </c>
      <c r="B1274" s="600" t="str">
        <f t="shared" si="99"/>
        <v>GBP</v>
      </c>
      <c r="C1274" s="600" t="str">
        <f t="shared" si="99"/>
        <v>GBP 6M</v>
      </c>
      <c r="D1274" s="603"/>
      <c r="E1274" s="604"/>
      <c r="F1274" s="607" t="s">
        <v>40</v>
      </c>
      <c r="G1274" s="608">
        <v>0</v>
      </c>
    </row>
    <row r="1275" spans="1:7" ht="11.1" customHeight="1">
      <c r="A1275" s="600" t="str">
        <f t="shared" si="95"/>
        <v>GBP;GBP 6M;24Y</v>
      </c>
      <c r="B1275" s="600" t="str">
        <f t="shared" si="99"/>
        <v>GBP</v>
      </c>
      <c r="C1275" s="600" t="str">
        <f t="shared" si="99"/>
        <v>GBP 6M</v>
      </c>
      <c r="D1275" s="603"/>
      <c r="E1275" s="604"/>
      <c r="F1275" s="607" t="s">
        <v>41</v>
      </c>
      <c r="G1275" s="608">
        <v>0</v>
      </c>
    </row>
    <row r="1276" spans="1:7" ht="11.1" customHeight="1">
      <c r="A1276" s="600" t="str">
        <f t="shared" si="95"/>
        <v>GBP;GBP 6M;25Y</v>
      </c>
      <c r="B1276" s="600" t="str">
        <f t="shared" si="99"/>
        <v>GBP</v>
      </c>
      <c r="C1276" s="600" t="str">
        <f t="shared" si="99"/>
        <v>GBP 6M</v>
      </c>
      <c r="D1276" s="603"/>
      <c r="E1276" s="604"/>
      <c r="F1276" s="607" t="s">
        <v>21</v>
      </c>
      <c r="G1276" s="608">
        <v>0</v>
      </c>
    </row>
    <row r="1277" spans="1:7" ht="11.1" customHeight="1">
      <c r="A1277" s="600" t="str">
        <f t="shared" si="95"/>
        <v>GBP;GBP 6M;26Y</v>
      </c>
      <c r="B1277" s="600" t="str">
        <f t="shared" si="99"/>
        <v>GBP</v>
      </c>
      <c r="C1277" s="600" t="str">
        <f t="shared" si="99"/>
        <v>GBP 6M</v>
      </c>
      <c r="D1277" s="603"/>
      <c r="E1277" s="604"/>
      <c r="F1277" s="607" t="s">
        <v>42</v>
      </c>
      <c r="G1277" s="608">
        <v>0</v>
      </c>
    </row>
    <row r="1278" spans="1:7" ht="11.1" customHeight="1">
      <c r="A1278" s="600" t="str">
        <f t="shared" si="95"/>
        <v>GBP;GBP 6M;27Y</v>
      </c>
      <c r="B1278" s="600" t="str">
        <f t="shared" si="99"/>
        <v>GBP</v>
      </c>
      <c r="C1278" s="600" t="str">
        <f t="shared" si="99"/>
        <v>GBP 6M</v>
      </c>
      <c r="D1278" s="603"/>
      <c r="E1278" s="604"/>
      <c r="F1278" s="607" t="s">
        <v>43</v>
      </c>
      <c r="G1278" s="608">
        <v>0</v>
      </c>
    </row>
    <row r="1279" spans="1:7" ht="11.1" customHeight="1">
      <c r="A1279" s="600" t="str">
        <f t="shared" si="95"/>
        <v>GBP;GBP 6M;28Y</v>
      </c>
      <c r="B1279" s="600" t="str">
        <f t="shared" si="99"/>
        <v>GBP</v>
      </c>
      <c r="C1279" s="600" t="str">
        <f t="shared" si="99"/>
        <v>GBP 6M</v>
      </c>
      <c r="D1279" s="603"/>
      <c r="E1279" s="604"/>
      <c r="F1279" s="607" t="s">
        <v>44</v>
      </c>
      <c r="G1279" s="608">
        <v>0</v>
      </c>
    </row>
    <row r="1280" spans="1:7" ht="11.1" customHeight="1">
      <c r="A1280" s="600" t="str">
        <f t="shared" si="95"/>
        <v>GBP;GBP 6M;29Y</v>
      </c>
      <c r="B1280" s="600" t="str">
        <f t="shared" si="99"/>
        <v>GBP</v>
      </c>
      <c r="C1280" s="600" t="str">
        <f t="shared" si="99"/>
        <v>GBP 6M</v>
      </c>
      <c r="D1280" s="603"/>
      <c r="E1280" s="604"/>
      <c r="F1280" s="607" t="s">
        <v>45</v>
      </c>
      <c r="G1280" s="608">
        <v>0</v>
      </c>
    </row>
    <row r="1281" spans="1:7" ht="11.1" customHeight="1">
      <c r="A1281" s="600" t="str">
        <f t="shared" si="95"/>
        <v>GBP;GBP 6M;30Y</v>
      </c>
      <c r="B1281" s="600" t="str">
        <f t="shared" si="99"/>
        <v>GBP</v>
      </c>
      <c r="C1281" s="600" t="str">
        <f t="shared" si="99"/>
        <v>GBP 6M</v>
      </c>
      <c r="D1281" s="603"/>
      <c r="E1281" s="604"/>
      <c r="F1281" s="607" t="s">
        <v>22</v>
      </c>
      <c r="G1281" s="608">
        <v>0</v>
      </c>
    </row>
    <row r="1282" spans="1:7" ht="11.1" customHeight="1">
      <c r="A1282" s="600" t="str">
        <f t="shared" si="95"/>
        <v>GBP;GBP 6M;40Y</v>
      </c>
      <c r="B1282" s="600" t="str">
        <f t="shared" si="99"/>
        <v>GBP</v>
      </c>
      <c r="C1282" s="600" t="str">
        <f t="shared" si="99"/>
        <v>GBP 6M</v>
      </c>
      <c r="D1282" s="603"/>
      <c r="E1282" s="604"/>
      <c r="F1282" s="607" t="s">
        <v>46</v>
      </c>
      <c r="G1282" s="608">
        <v>0</v>
      </c>
    </row>
    <row r="1283" spans="1:7" ht="11.1" customHeight="1">
      <c r="A1283" s="600" t="str">
        <f t="shared" si="95"/>
        <v>GBP;GBP 6M;50Y</v>
      </c>
      <c r="B1283" s="600" t="str">
        <f t="shared" si="99"/>
        <v>GBP</v>
      </c>
      <c r="C1283" s="600" t="str">
        <f t="shared" si="99"/>
        <v>GBP 6M</v>
      </c>
      <c r="D1283" s="603"/>
      <c r="E1283" s="604"/>
      <c r="F1283" s="607" t="s">
        <v>47</v>
      </c>
      <c r="G1283" s="608">
        <v>0</v>
      </c>
    </row>
    <row r="1284" spans="1:7" ht="11.1" customHeight="1">
      <c r="A1284" s="600" t="str">
        <f t="shared" si="95"/>
        <v>GBP;GBP 6M;60Y</v>
      </c>
      <c r="B1284" s="600" t="str">
        <f t="shared" si="99"/>
        <v>GBP</v>
      </c>
      <c r="C1284" s="600" t="str">
        <f t="shared" si="99"/>
        <v>GBP 6M</v>
      </c>
      <c r="D1284" s="603"/>
      <c r="E1284" s="604"/>
      <c r="F1284" s="607" t="s">
        <v>48</v>
      </c>
      <c r="G1284" s="608">
        <v>0</v>
      </c>
    </row>
    <row r="1285" spans="1:7" ht="11.1" customHeight="1">
      <c r="A1285" s="600" t="str">
        <f t="shared" ref="A1285:A1348" si="100">B1285&amp;";"&amp;C1285&amp;";"&amp;F1285</f>
        <v>GBP;GBP FOREX;Total GBP FOREX</v>
      </c>
      <c r="B1285" s="600" t="str">
        <f t="shared" ref="B1285:C1300" si="101">IF(ISBLANK(D1285),B1284,D1285)</f>
        <v>GBP</v>
      </c>
      <c r="C1285" s="600" t="str">
        <f t="shared" si="101"/>
        <v>GBP FOREX</v>
      </c>
      <c r="D1285" s="603"/>
      <c r="E1285" s="604" t="s">
        <v>690</v>
      </c>
      <c r="F1285" s="605" t="s">
        <v>1236</v>
      </c>
      <c r="G1285" s="606">
        <v>-83.422386047307398</v>
      </c>
    </row>
    <row r="1286" spans="1:7" ht="11.1" customHeight="1">
      <c r="A1286" s="600" t="str">
        <f t="shared" si="100"/>
        <v>GBP;GBP FOREX;O/N</v>
      </c>
      <c r="B1286" s="600" t="str">
        <f t="shared" si="101"/>
        <v>GBP</v>
      </c>
      <c r="C1286" s="600" t="str">
        <f t="shared" si="101"/>
        <v>GBP FOREX</v>
      </c>
      <c r="D1286" s="603"/>
      <c r="E1286" s="604"/>
      <c r="F1286" s="607" t="s">
        <v>3</v>
      </c>
      <c r="G1286" s="606">
        <v>-62.566596620580903</v>
      </c>
    </row>
    <row r="1287" spans="1:7" ht="11.1" customHeight="1">
      <c r="A1287" s="600" t="str">
        <f t="shared" si="100"/>
        <v>GBP;GBP FOREX;T/N</v>
      </c>
      <c r="B1287" s="600" t="str">
        <f t="shared" si="101"/>
        <v>GBP</v>
      </c>
      <c r="C1287" s="600" t="str">
        <f t="shared" si="101"/>
        <v>GBP FOREX</v>
      </c>
      <c r="D1287" s="603"/>
      <c r="E1287" s="604"/>
      <c r="F1287" s="607" t="s">
        <v>4</v>
      </c>
      <c r="G1287" s="606">
        <v>-20.8557894267263</v>
      </c>
    </row>
    <row r="1288" spans="1:7" ht="11.1" customHeight="1">
      <c r="A1288" s="600" t="str">
        <f t="shared" si="100"/>
        <v>GBP;GBP FOREX;S/N</v>
      </c>
      <c r="B1288" s="600" t="str">
        <f t="shared" si="101"/>
        <v>GBP</v>
      </c>
      <c r="C1288" s="600" t="str">
        <f t="shared" si="101"/>
        <v>GBP FOREX</v>
      </c>
      <c r="D1288" s="603"/>
      <c r="E1288" s="604"/>
      <c r="F1288" s="607" t="s">
        <v>23</v>
      </c>
      <c r="G1288" s="608">
        <v>0</v>
      </c>
    </row>
    <row r="1289" spans="1:7" ht="11.1" customHeight="1">
      <c r="A1289" s="600" t="str">
        <f t="shared" si="100"/>
        <v>GBP;GBP FOREX;1W</v>
      </c>
      <c r="B1289" s="600" t="str">
        <f t="shared" si="101"/>
        <v>GBP</v>
      </c>
      <c r="C1289" s="600" t="str">
        <f t="shared" si="101"/>
        <v>GBP FOREX</v>
      </c>
      <c r="D1289" s="603"/>
      <c r="E1289" s="604"/>
      <c r="F1289" s="607" t="s">
        <v>5</v>
      </c>
      <c r="G1289" s="608">
        <v>0</v>
      </c>
    </row>
    <row r="1290" spans="1:7" ht="11.1" customHeight="1">
      <c r="A1290" s="600" t="str">
        <f t="shared" si="100"/>
        <v>GBP;GBP FOREX;2W</v>
      </c>
      <c r="B1290" s="600" t="str">
        <f t="shared" si="101"/>
        <v>GBP</v>
      </c>
      <c r="C1290" s="600" t="str">
        <f t="shared" si="101"/>
        <v>GBP FOREX</v>
      </c>
      <c r="D1290" s="603"/>
      <c r="E1290" s="604"/>
      <c r="F1290" s="607" t="s">
        <v>6</v>
      </c>
      <c r="G1290" s="608">
        <v>0</v>
      </c>
    </row>
    <row r="1291" spans="1:7" ht="11.1" customHeight="1">
      <c r="A1291" s="600" t="str">
        <f t="shared" si="100"/>
        <v>GBP;GBP FOREX;3W</v>
      </c>
      <c r="B1291" s="600" t="str">
        <f t="shared" si="101"/>
        <v>GBP</v>
      </c>
      <c r="C1291" s="600" t="str">
        <f t="shared" si="101"/>
        <v>GBP FOREX</v>
      </c>
      <c r="D1291" s="603"/>
      <c r="E1291" s="604"/>
      <c r="F1291" s="607" t="s">
        <v>24</v>
      </c>
      <c r="G1291" s="608">
        <v>0</v>
      </c>
    </row>
    <row r="1292" spans="1:7" ht="11.1" customHeight="1">
      <c r="A1292" s="600" t="str">
        <f t="shared" si="100"/>
        <v>GBP;GBP FOREX;1M</v>
      </c>
      <c r="B1292" s="600" t="str">
        <f t="shared" si="101"/>
        <v>GBP</v>
      </c>
      <c r="C1292" s="600" t="str">
        <f t="shared" si="101"/>
        <v>GBP FOREX</v>
      </c>
      <c r="D1292" s="603"/>
      <c r="E1292" s="604"/>
      <c r="F1292" s="607" t="s">
        <v>7</v>
      </c>
      <c r="G1292" s="608">
        <v>0</v>
      </c>
    </row>
    <row r="1293" spans="1:7" ht="11.1" customHeight="1">
      <c r="A1293" s="600" t="str">
        <f t="shared" si="100"/>
        <v>GBP;GBP FOREX;2M</v>
      </c>
      <c r="B1293" s="600" t="str">
        <f t="shared" si="101"/>
        <v>GBP</v>
      </c>
      <c r="C1293" s="600" t="str">
        <f t="shared" si="101"/>
        <v>GBP FOREX</v>
      </c>
      <c r="D1293" s="603"/>
      <c r="E1293" s="604"/>
      <c r="F1293" s="607" t="s">
        <v>8</v>
      </c>
      <c r="G1293" s="608">
        <v>0</v>
      </c>
    </row>
    <row r="1294" spans="1:7" ht="11.1" customHeight="1">
      <c r="A1294" s="600" t="str">
        <f t="shared" si="100"/>
        <v>GBP;GBP FOREX;3M</v>
      </c>
      <c r="B1294" s="600" t="str">
        <f t="shared" si="101"/>
        <v>GBP</v>
      </c>
      <c r="C1294" s="600" t="str">
        <f t="shared" si="101"/>
        <v>GBP FOREX</v>
      </c>
      <c r="D1294" s="603"/>
      <c r="E1294" s="604"/>
      <c r="F1294" s="607" t="s">
        <v>25</v>
      </c>
      <c r="G1294" s="608">
        <v>0</v>
      </c>
    </row>
    <row r="1295" spans="1:7" ht="11.1" customHeight="1">
      <c r="A1295" s="600" t="str">
        <f t="shared" si="100"/>
        <v>GBP;GBP FOREX;4M</v>
      </c>
      <c r="B1295" s="600" t="str">
        <f t="shared" si="101"/>
        <v>GBP</v>
      </c>
      <c r="C1295" s="600" t="str">
        <f t="shared" si="101"/>
        <v>GBP FOREX</v>
      </c>
      <c r="D1295" s="603"/>
      <c r="E1295" s="604"/>
      <c r="F1295" s="607" t="s">
        <v>26</v>
      </c>
      <c r="G1295" s="608">
        <v>0</v>
      </c>
    </row>
    <row r="1296" spans="1:7" ht="11.1" customHeight="1">
      <c r="A1296" s="600" t="str">
        <f t="shared" si="100"/>
        <v>GBP;GBP FOREX;5M</v>
      </c>
      <c r="B1296" s="600" t="str">
        <f t="shared" si="101"/>
        <v>GBP</v>
      </c>
      <c r="C1296" s="600" t="str">
        <f t="shared" si="101"/>
        <v>GBP FOREX</v>
      </c>
      <c r="D1296" s="603"/>
      <c r="E1296" s="604"/>
      <c r="F1296" s="607" t="s">
        <v>27</v>
      </c>
      <c r="G1296" s="608">
        <v>0</v>
      </c>
    </row>
    <row r="1297" spans="1:7" ht="11.1" customHeight="1">
      <c r="A1297" s="600" t="str">
        <f t="shared" si="100"/>
        <v>GBP;GBP FOREX;6M</v>
      </c>
      <c r="B1297" s="600" t="str">
        <f t="shared" si="101"/>
        <v>GBP</v>
      </c>
      <c r="C1297" s="600" t="str">
        <f t="shared" si="101"/>
        <v>GBP FOREX</v>
      </c>
      <c r="D1297" s="603"/>
      <c r="E1297" s="604"/>
      <c r="F1297" s="607" t="s">
        <v>28</v>
      </c>
      <c r="G1297" s="608">
        <v>0</v>
      </c>
    </row>
    <row r="1298" spans="1:7" ht="11.1" customHeight="1">
      <c r="A1298" s="600" t="str">
        <f t="shared" si="100"/>
        <v>GBP;GBP FOREX;7M</v>
      </c>
      <c r="B1298" s="600" t="str">
        <f t="shared" si="101"/>
        <v>GBP</v>
      </c>
      <c r="C1298" s="600" t="str">
        <f t="shared" si="101"/>
        <v>GBP FOREX</v>
      </c>
      <c r="D1298" s="603"/>
      <c r="E1298" s="604"/>
      <c r="F1298" s="607" t="s">
        <v>29</v>
      </c>
      <c r="G1298" s="608">
        <v>0</v>
      </c>
    </row>
    <row r="1299" spans="1:7" ht="11.1" customHeight="1">
      <c r="A1299" s="600" t="str">
        <f t="shared" si="100"/>
        <v>GBP;GBP FOREX;8M</v>
      </c>
      <c r="B1299" s="600" t="str">
        <f t="shared" si="101"/>
        <v>GBP</v>
      </c>
      <c r="C1299" s="600" t="str">
        <f t="shared" si="101"/>
        <v>GBP FOREX</v>
      </c>
      <c r="D1299" s="603"/>
      <c r="E1299" s="604"/>
      <c r="F1299" s="607" t="s">
        <v>30</v>
      </c>
      <c r="G1299" s="608">
        <v>0</v>
      </c>
    </row>
    <row r="1300" spans="1:7" ht="11.1" customHeight="1">
      <c r="A1300" s="600" t="str">
        <f t="shared" si="100"/>
        <v>GBP;GBP FOREX;9M</v>
      </c>
      <c r="B1300" s="600" t="str">
        <f t="shared" si="101"/>
        <v>GBP</v>
      </c>
      <c r="C1300" s="600" t="str">
        <f t="shared" si="101"/>
        <v>GBP FOREX</v>
      </c>
      <c r="D1300" s="603"/>
      <c r="E1300" s="604"/>
      <c r="F1300" s="607" t="s">
        <v>49</v>
      </c>
      <c r="G1300" s="608">
        <v>0</v>
      </c>
    </row>
    <row r="1301" spans="1:7" ht="11.1" customHeight="1">
      <c r="A1301" s="600" t="str">
        <f t="shared" si="100"/>
        <v>GBP;GBP FOREX;10M</v>
      </c>
      <c r="B1301" s="600" t="str">
        <f t="shared" ref="B1301:C1316" si="102">IF(ISBLANK(D1301),B1300,D1301)</f>
        <v>GBP</v>
      </c>
      <c r="C1301" s="600" t="str">
        <f t="shared" si="102"/>
        <v>GBP FOREX</v>
      </c>
      <c r="D1301" s="603"/>
      <c r="E1301" s="604"/>
      <c r="F1301" s="607" t="s">
        <v>50</v>
      </c>
      <c r="G1301" s="608">
        <v>0</v>
      </c>
    </row>
    <row r="1302" spans="1:7" ht="11.1" customHeight="1">
      <c r="A1302" s="600" t="str">
        <f t="shared" si="100"/>
        <v>GBP;GBP FOREX;11M</v>
      </c>
      <c r="B1302" s="600" t="str">
        <f t="shared" si="102"/>
        <v>GBP</v>
      </c>
      <c r="C1302" s="600" t="str">
        <f t="shared" si="102"/>
        <v>GBP FOREX</v>
      </c>
      <c r="D1302" s="603"/>
      <c r="E1302" s="604"/>
      <c r="F1302" s="607" t="s">
        <v>51</v>
      </c>
      <c r="G1302" s="608">
        <v>0</v>
      </c>
    </row>
    <row r="1303" spans="1:7" ht="11.1" customHeight="1">
      <c r="A1303" s="600" t="str">
        <f t="shared" si="100"/>
        <v>GBP;GBP FOREX;12M</v>
      </c>
      <c r="B1303" s="600" t="str">
        <f t="shared" si="102"/>
        <v>GBP</v>
      </c>
      <c r="C1303" s="600" t="str">
        <f t="shared" si="102"/>
        <v>GBP FOREX</v>
      </c>
      <c r="D1303" s="603"/>
      <c r="E1303" s="604"/>
      <c r="F1303" s="607" t="s">
        <v>52</v>
      </c>
      <c r="G1303" s="608">
        <v>0</v>
      </c>
    </row>
    <row r="1304" spans="1:7" ht="11.1" customHeight="1">
      <c r="A1304" s="600" t="str">
        <f t="shared" si="100"/>
        <v>GBP;GBP FOREX;15M</v>
      </c>
      <c r="B1304" s="600" t="str">
        <f t="shared" si="102"/>
        <v>GBP</v>
      </c>
      <c r="C1304" s="600" t="str">
        <f t="shared" si="102"/>
        <v>GBP FOREX</v>
      </c>
      <c r="D1304" s="603"/>
      <c r="E1304" s="604"/>
      <c r="F1304" s="607" t="s">
        <v>53</v>
      </c>
      <c r="G1304" s="608">
        <v>0</v>
      </c>
    </row>
    <row r="1305" spans="1:7" ht="11.1" customHeight="1">
      <c r="A1305" s="600" t="str">
        <f t="shared" si="100"/>
        <v>GBP;GBP FOREX;18M</v>
      </c>
      <c r="B1305" s="600" t="str">
        <f t="shared" si="102"/>
        <v>GBP</v>
      </c>
      <c r="C1305" s="600" t="str">
        <f t="shared" si="102"/>
        <v>GBP FOREX</v>
      </c>
      <c r="D1305" s="603"/>
      <c r="E1305" s="604"/>
      <c r="F1305" s="607" t="s">
        <v>54</v>
      </c>
      <c r="G1305" s="608">
        <v>0</v>
      </c>
    </row>
    <row r="1306" spans="1:7" ht="11.1" customHeight="1">
      <c r="A1306" s="600" t="str">
        <f t="shared" si="100"/>
        <v>GBP;GBP FOREX;24M</v>
      </c>
      <c r="B1306" s="600" t="str">
        <f t="shared" si="102"/>
        <v>GBP</v>
      </c>
      <c r="C1306" s="600" t="str">
        <f t="shared" si="102"/>
        <v>GBP FOREX</v>
      </c>
      <c r="D1306" s="603"/>
      <c r="E1306" s="604"/>
      <c r="F1306" s="607" t="s">
        <v>659</v>
      </c>
      <c r="G1306" s="608">
        <v>0</v>
      </c>
    </row>
    <row r="1307" spans="1:7" ht="11.1" customHeight="1">
      <c r="A1307" s="600" t="str">
        <f t="shared" si="100"/>
        <v>GBP;GBP FOREX;3Y</v>
      </c>
      <c r="B1307" s="600" t="str">
        <f t="shared" si="102"/>
        <v>GBP</v>
      </c>
      <c r="C1307" s="600" t="str">
        <f t="shared" si="102"/>
        <v>GBP FOREX</v>
      </c>
      <c r="D1307" s="603"/>
      <c r="E1307" s="604"/>
      <c r="F1307" s="607" t="s">
        <v>10</v>
      </c>
      <c r="G1307" s="608">
        <v>0</v>
      </c>
    </row>
    <row r="1308" spans="1:7" ht="11.1" customHeight="1">
      <c r="A1308" s="600" t="str">
        <f t="shared" si="100"/>
        <v>GBP;GBP FOREX;4Y</v>
      </c>
      <c r="B1308" s="600" t="str">
        <f t="shared" si="102"/>
        <v>GBP</v>
      </c>
      <c r="C1308" s="600" t="str">
        <f t="shared" si="102"/>
        <v>GBP FOREX</v>
      </c>
      <c r="D1308" s="603"/>
      <c r="E1308" s="604"/>
      <c r="F1308" s="607" t="s">
        <v>11</v>
      </c>
      <c r="G1308" s="608">
        <v>0</v>
      </c>
    </row>
    <row r="1309" spans="1:7" ht="11.1" customHeight="1">
      <c r="A1309" s="600" t="str">
        <f t="shared" si="100"/>
        <v>GBP;GBP FOREX;5Y</v>
      </c>
      <c r="B1309" s="600" t="str">
        <f t="shared" si="102"/>
        <v>GBP</v>
      </c>
      <c r="C1309" s="600" t="str">
        <f t="shared" si="102"/>
        <v>GBP FOREX</v>
      </c>
      <c r="D1309" s="603"/>
      <c r="E1309" s="604"/>
      <c r="F1309" s="607" t="s">
        <v>12</v>
      </c>
      <c r="G1309" s="608">
        <v>0</v>
      </c>
    </row>
    <row r="1310" spans="1:7" ht="11.1" customHeight="1">
      <c r="A1310" s="600" t="str">
        <f t="shared" si="100"/>
        <v>GBP;GBP FOREX;6Y</v>
      </c>
      <c r="B1310" s="600" t="str">
        <f t="shared" si="102"/>
        <v>GBP</v>
      </c>
      <c r="C1310" s="600" t="str">
        <f t="shared" si="102"/>
        <v>GBP FOREX</v>
      </c>
      <c r="D1310" s="603"/>
      <c r="E1310" s="604"/>
      <c r="F1310" s="607" t="s">
        <v>13</v>
      </c>
      <c r="G1310" s="608">
        <v>0</v>
      </c>
    </row>
    <row r="1311" spans="1:7" ht="11.1" customHeight="1">
      <c r="A1311" s="600" t="str">
        <f t="shared" si="100"/>
        <v>GBP;GBP FOREX;7Y</v>
      </c>
      <c r="B1311" s="600" t="str">
        <f t="shared" si="102"/>
        <v>GBP</v>
      </c>
      <c r="C1311" s="600" t="str">
        <f t="shared" si="102"/>
        <v>GBP FOREX</v>
      </c>
      <c r="D1311" s="603"/>
      <c r="E1311" s="604"/>
      <c r="F1311" s="607" t="s">
        <v>14</v>
      </c>
      <c r="G1311" s="608">
        <v>0</v>
      </c>
    </row>
    <row r="1312" spans="1:7" ht="11.1" customHeight="1">
      <c r="A1312" s="600" t="str">
        <f t="shared" si="100"/>
        <v>GBP;GBP FOREX;8Y</v>
      </c>
      <c r="B1312" s="600" t="str">
        <f t="shared" si="102"/>
        <v>GBP</v>
      </c>
      <c r="C1312" s="600" t="str">
        <f t="shared" si="102"/>
        <v>GBP FOREX</v>
      </c>
      <c r="D1312" s="603"/>
      <c r="E1312" s="604"/>
      <c r="F1312" s="607" t="s">
        <v>15</v>
      </c>
      <c r="G1312" s="608">
        <v>0</v>
      </c>
    </row>
    <row r="1313" spans="1:7" ht="11.1" customHeight="1">
      <c r="A1313" s="600" t="str">
        <f t="shared" si="100"/>
        <v>GBP;GBP FOREX;9Y</v>
      </c>
      <c r="B1313" s="600" t="str">
        <f t="shared" si="102"/>
        <v>GBP</v>
      </c>
      <c r="C1313" s="600" t="str">
        <f t="shared" si="102"/>
        <v>GBP FOREX</v>
      </c>
      <c r="D1313" s="603"/>
      <c r="E1313" s="604"/>
      <c r="F1313" s="607" t="s">
        <v>16</v>
      </c>
      <c r="G1313" s="608">
        <v>0</v>
      </c>
    </row>
    <row r="1314" spans="1:7" ht="11.1" customHeight="1">
      <c r="A1314" s="600" t="str">
        <f t="shared" si="100"/>
        <v>GBP;GBP FOREX;10Y</v>
      </c>
      <c r="B1314" s="600" t="str">
        <f t="shared" si="102"/>
        <v>GBP</v>
      </c>
      <c r="C1314" s="600" t="str">
        <f t="shared" si="102"/>
        <v>GBP FOREX</v>
      </c>
      <c r="D1314" s="603"/>
      <c r="E1314" s="604"/>
      <c r="F1314" s="607" t="s">
        <v>17</v>
      </c>
      <c r="G1314" s="608">
        <v>0</v>
      </c>
    </row>
    <row r="1315" spans="1:7" ht="11.1" customHeight="1">
      <c r="A1315" s="600" t="str">
        <f t="shared" si="100"/>
        <v>GBP;GBP FOREX;11Y</v>
      </c>
      <c r="B1315" s="600" t="str">
        <f t="shared" si="102"/>
        <v>GBP</v>
      </c>
      <c r="C1315" s="600" t="str">
        <f t="shared" si="102"/>
        <v>GBP FOREX</v>
      </c>
      <c r="D1315" s="603"/>
      <c r="E1315" s="604"/>
      <c r="F1315" s="607" t="s">
        <v>31</v>
      </c>
      <c r="G1315" s="608">
        <v>0</v>
      </c>
    </row>
    <row r="1316" spans="1:7" ht="11.1" customHeight="1">
      <c r="A1316" s="600" t="str">
        <f t="shared" si="100"/>
        <v>GBP;GBP FOREX;12Y</v>
      </c>
      <c r="B1316" s="600" t="str">
        <f t="shared" si="102"/>
        <v>GBP</v>
      </c>
      <c r="C1316" s="600" t="str">
        <f t="shared" si="102"/>
        <v>GBP FOREX</v>
      </c>
      <c r="D1316" s="603"/>
      <c r="E1316" s="604"/>
      <c r="F1316" s="607" t="s">
        <v>18</v>
      </c>
      <c r="G1316" s="608">
        <v>0</v>
      </c>
    </row>
    <row r="1317" spans="1:7" ht="11.1" customHeight="1">
      <c r="A1317" s="600" t="str">
        <f t="shared" si="100"/>
        <v>GBP;GBP FOREX;13Y</v>
      </c>
      <c r="B1317" s="600" t="str">
        <f t="shared" ref="B1317:C1332" si="103">IF(ISBLANK(D1317),B1316,D1317)</f>
        <v>GBP</v>
      </c>
      <c r="C1317" s="600" t="str">
        <f t="shared" si="103"/>
        <v>GBP FOREX</v>
      </c>
      <c r="D1317" s="603"/>
      <c r="E1317" s="604"/>
      <c r="F1317" s="607" t="s">
        <v>32</v>
      </c>
      <c r="G1317" s="608">
        <v>0</v>
      </c>
    </row>
    <row r="1318" spans="1:7" ht="11.1" customHeight="1">
      <c r="A1318" s="600" t="str">
        <f t="shared" si="100"/>
        <v>GBP;GBP FOREX;14Y</v>
      </c>
      <c r="B1318" s="600" t="str">
        <f t="shared" si="103"/>
        <v>GBP</v>
      </c>
      <c r="C1318" s="600" t="str">
        <f t="shared" si="103"/>
        <v>GBP FOREX</v>
      </c>
      <c r="D1318" s="603"/>
      <c r="E1318" s="604"/>
      <c r="F1318" s="607" t="s">
        <v>33</v>
      </c>
      <c r="G1318" s="608">
        <v>0</v>
      </c>
    </row>
    <row r="1319" spans="1:7" ht="11.1" customHeight="1">
      <c r="A1319" s="600" t="str">
        <f t="shared" si="100"/>
        <v>GBP;GBP FOREX;15Y</v>
      </c>
      <c r="B1319" s="600" t="str">
        <f t="shared" si="103"/>
        <v>GBP</v>
      </c>
      <c r="C1319" s="600" t="str">
        <f t="shared" si="103"/>
        <v>GBP FOREX</v>
      </c>
      <c r="D1319" s="603"/>
      <c r="E1319" s="604"/>
      <c r="F1319" s="607" t="s">
        <v>19</v>
      </c>
      <c r="G1319" s="608">
        <v>0</v>
      </c>
    </row>
    <row r="1320" spans="1:7" ht="11.1" customHeight="1">
      <c r="A1320" s="600" t="str">
        <f t="shared" si="100"/>
        <v>GBP;GBP FOREX;16Y</v>
      </c>
      <c r="B1320" s="600" t="str">
        <f t="shared" si="103"/>
        <v>GBP</v>
      </c>
      <c r="C1320" s="600" t="str">
        <f t="shared" si="103"/>
        <v>GBP FOREX</v>
      </c>
      <c r="D1320" s="603"/>
      <c r="E1320" s="604"/>
      <c r="F1320" s="607" t="s">
        <v>34</v>
      </c>
      <c r="G1320" s="608">
        <v>0</v>
      </c>
    </row>
    <row r="1321" spans="1:7" ht="11.1" customHeight="1">
      <c r="A1321" s="600" t="str">
        <f t="shared" si="100"/>
        <v>GBP;GBP FOREX;17Y</v>
      </c>
      <c r="B1321" s="600" t="str">
        <f t="shared" si="103"/>
        <v>GBP</v>
      </c>
      <c r="C1321" s="600" t="str">
        <f t="shared" si="103"/>
        <v>GBP FOREX</v>
      </c>
      <c r="D1321" s="603"/>
      <c r="E1321" s="604"/>
      <c r="F1321" s="607" t="s">
        <v>35</v>
      </c>
      <c r="G1321" s="608">
        <v>0</v>
      </c>
    </row>
    <row r="1322" spans="1:7" ht="11.1" customHeight="1">
      <c r="A1322" s="600" t="str">
        <f t="shared" si="100"/>
        <v>GBP;GBP FOREX;18Y</v>
      </c>
      <c r="B1322" s="600" t="str">
        <f t="shared" si="103"/>
        <v>GBP</v>
      </c>
      <c r="C1322" s="600" t="str">
        <f t="shared" si="103"/>
        <v>GBP FOREX</v>
      </c>
      <c r="D1322" s="603"/>
      <c r="E1322" s="604"/>
      <c r="F1322" s="607" t="s">
        <v>36</v>
      </c>
      <c r="G1322" s="608">
        <v>0</v>
      </c>
    </row>
    <row r="1323" spans="1:7" ht="11.1" customHeight="1">
      <c r="A1323" s="600" t="str">
        <f t="shared" si="100"/>
        <v>GBP;GBP FOREX;19Y</v>
      </c>
      <c r="B1323" s="600" t="str">
        <f t="shared" si="103"/>
        <v>GBP</v>
      </c>
      <c r="C1323" s="600" t="str">
        <f t="shared" si="103"/>
        <v>GBP FOREX</v>
      </c>
      <c r="D1323" s="603"/>
      <c r="E1323" s="604"/>
      <c r="F1323" s="607" t="s">
        <v>37</v>
      </c>
      <c r="G1323" s="608">
        <v>0</v>
      </c>
    </row>
    <row r="1324" spans="1:7" ht="11.1" customHeight="1">
      <c r="A1324" s="600" t="str">
        <f t="shared" si="100"/>
        <v>GBP;GBP FOREX;20Y</v>
      </c>
      <c r="B1324" s="600" t="str">
        <f t="shared" si="103"/>
        <v>GBP</v>
      </c>
      <c r="C1324" s="600" t="str">
        <f t="shared" si="103"/>
        <v>GBP FOREX</v>
      </c>
      <c r="D1324" s="603"/>
      <c r="E1324" s="604"/>
      <c r="F1324" s="607" t="s">
        <v>20</v>
      </c>
      <c r="G1324" s="608">
        <v>0</v>
      </c>
    </row>
    <row r="1325" spans="1:7" ht="11.1" customHeight="1">
      <c r="A1325" s="600" t="str">
        <f t="shared" si="100"/>
        <v>GBP;GBP FOREX;21Y</v>
      </c>
      <c r="B1325" s="600" t="str">
        <f t="shared" si="103"/>
        <v>GBP</v>
      </c>
      <c r="C1325" s="600" t="str">
        <f t="shared" si="103"/>
        <v>GBP FOREX</v>
      </c>
      <c r="D1325" s="603"/>
      <c r="E1325" s="604"/>
      <c r="F1325" s="607" t="s">
        <v>38</v>
      </c>
      <c r="G1325" s="608">
        <v>0</v>
      </c>
    </row>
    <row r="1326" spans="1:7" ht="11.1" customHeight="1">
      <c r="A1326" s="600" t="str">
        <f t="shared" si="100"/>
        <v>GBP;GBP FOREX;22Y</v>
      </c>
      <c r="B1326" s="600" t="str">
        <f t="shared" si="103"/>
        <v>GBP</v>
      </c>
      <c r="C1326" s="600" t="str">
        <f t="shared" si="103"/>
        <v>GBP FOREX</v>
      </c>
      <c r="D1326" s="603"/>
      <c r="E1326" s="604"/>
      <c r="F1326" s="607" t="s">
        <v>39</v>
      </c>
      <c r="G1326" s="608">
        <v>0</v>
      </c>
    </row>
    <row r="1327" spans="1:7" ht="11.1" customHeight="1">
      <c r="A1327" s="600" t="str">
        <f t="shared" si="100"/>
        <v>GBP;GBP FOREX;23Y</v>
      </c>
      <c r="B1327" s="600" t="str">
        <f t="shared" si="103"/>
        <v>GBP</v>
      </c>
      <c r="C1327" s="600" t="str">
        <f t="shared" si="103"/>
        <v>GBP FOREX</v>
      </c>
      <c r="D1327" s="603"/>
      <c r="E1327" s="604"/>
      <c r="F1327" s="607" t="s">
        <v>40</v>
      </c>
      <c r="G1327" s="608">
        <v>0</v>
      </c>
    </row>
    <row r="1328" spans="1:7" ht="11.1" customHeight="1">
      <c r="A1328" s="600" t="str">
        <f t="shared" si="100"/>
        <v>GBP;GBP FOREX;24Y</v>
      </c>
      <c r="B1328" s="600" t="str">
        <f t="shared" si="103"/>
        <v>GBP</v>
      </c>
      <c r="C1328" s="600" t="str">
        <f t="shared" si="103"/>
        <v>GBP FOREX</v>
      </c>
      <c r="D1328" s="603"/>
      <c r="E1328" s="604"/>
      <c r="F1328" s="607" t="s">
        <v>41</v>
      </c>
      <c r="G1328" s="608">
        <v>0</v>
      </c>
    </row>
    <row r="1329" spans="1:7" ht="11.1" customHeight="1">
      <c r="A1329" s="600" t="str">
        <f t="shared" si="100"/>
        <v>GBP;GBP FOREX;25Y</v>
      </c>
      <c r="B1329" s="600" t="str">
        <f t="shared" si="103"/>
        <v>GBP</v>
      </c>
      <c r="C1329" s="600" t="str">
        <f t="shared" si="103"/>
        <v>GBP FOREX</v>
      </c>
      <c r="D1329" s="603"/>
      <c r="E1329" s="604"/>
      <c r="F1329" s="607" t="s">
        <v>21</v>
      </c>
      <c r="G1329" s="608">
        <v>0</v>
      </c>
    </row>
    <row r="1330" spans="1:7" ht="11.1" customHeight="1">
      <c r="A1330" s="600" t="str">
        <f t="shared" si="100"/>
        <v>GBP;GBP FOREX;26Y</v>
      </c>
      <c r="B1330" s="600" t="str">
        <f t="shared" si="103"/>
        <v>GBP</v>
      </c>
      <c r="C1330" s="600" t="str">
        <f t="shared" si="103"/>
        <v>GBP FOREX</v>
      </c>
      <c r="D1330" s="603"/>
      <c r="E1330" s="604"/>
      <c r="F1330" s="607" t="s">
        <v>42</v>
      </c>
      <c r="G1330" s="608">
        <v>0</v>
      </c>
    </row>
    <row r="1331" spans="1:7" ht="11.1" customHeight="1">
      <c r="A1331" s="600" t="str">
        <f t="shared" si="100"/>
        <v>GBP;GBP FOREX;27Y</v>
      </c>
      <c r="B1331" s="600" t="str">
        <f t="shared" si="103"/>
        <v>GBP</v>
      </c>
      <c r="C1331" s="600" t="str">
        <f t="shared" si="103"/>
        <v>GBP FOREX</v>
      </c>
      <c r="D1331" s="603"/>
      <c r="E1331" s="604"/>
      <c r="F1331" s="607" t="s">
        <v>43</v>
      </c>
      <c r="G1331" s="608">
        <v>0</v>
      </c>
    </row>
    <row r="1332" spans="1:7" ht="11.1" customHeight="1">
      <c r="A1332" s="600" t="str">
        <f t="shared" si="100"/>
        <v>GBP;GBP FOREX;28Y</v>
      </c>
      <c r="B1332" s="600" t="str">
        <f t="shared" si="103"/>
        <v>GBP</v>
      </c>
      <c r="C1332" s="600" t="str">
        <f t="shared" si="103"/>
        <v>GBP FOREX</v>
      </c>
      <c r="D1332" s="603"/>
      <c r="E1332" s="604"/>
      <c r="F1332" s="607" t="s">
        <v>44</v>
      </c>
      <c r="G1332" s="608">
        <v>0</v>
      </c>
    </row>
    <row r="1333" spans="1:7" ht="11.1" customHeight="1">
      <c r="A1333" s="600" t="str">
        <f t="shared" si="100"/>
        <v>GBP;GBP FOREX;29Y</v>
      </c>
      <c r="B1333" s="600" t="str">
        <f t="shared" ref="B1333:C1348" si="104">IF(ISBLANK(D1333),B1332,D1333)</f>
        <v>GBP</v>
      </c>
      <c r="C1333" s="600" t="str">
        <f t="shared" si="104"/>
        <v>GBP FOREX</v>
      </c>
      <c r="D1333" s="603"/>
      <c r="E1333" s="604"/>
      <c r="F1333" s="607" t="s">
        <v>45</v>
      </c>
      <c r="G1333" s="608">
        <v>0</v>
      </c>
    </row>
    <row r="1334" spans="1:7" ht="11.1" customHeight="1">
      <c r="A1334" s="600" t="str">
        <f t="shared" si="100"/>
        <v>GBP;GBP FOREX;30Y</v>
      </c>
      <c r="B1334" s="600" t="str">
        <f t="shared" si="104"/>
        <v>GBP</v>
      </c>
      <c r="C1334" s="600" t="str">
        <f t="shared" si="104"/>
        <v>GBP FOREX</v>
      </c>
      <c r="D1334" s="603"/>
      <c r="E1334" s="604"/>
      <c r="F1334" s="607" t="s">
        <v>22</v>
      </c>
      <c r="G1334" s="608">
        <v>0</v>
      </c>
    </row>
    <row r="1335" spans="1:7" ht="11.1" customHeight="1">
      <c r="A1335" s="600" t="str">
        <f t="shared" si="100"/>
        <v>GBP;GBP FOREX;40Y</v>
      </c>
      <c r="B1335" s="600" t="str">
        <f t="shared" si="104"/>
        <v>GBP</v>
      </c>
      <c r="C1335" s="600" t="str">
        <f t="shared" si="104"/>
        <v>GBP FOREX</v>
      </c>
      <c r="D1335" s="603"/>
      <c r="E1335" s="604"/>
      <c r="F1335" s="607" t="s">
        <v>46</v>
      </c>
      <c r="G1335" s="608">
        <v>0</v>
      </c>
    </row>
    <row r="1336" spans="1:7" ht="11.1" customHeight="1">
      <c r="A1336" s="600" t="str">
        <f t="shared" si="100"/>
        <v>GBP;GBP FOREX;50Y</v>
      </c>
      <c r="B1336" s="600" t="str">
        <f t="shared" si="104"/>
        <v>GBP</v>
      </c>
      <c r="C1336" s="600" t="str">
        <f t="shared" si="104"/>
        <v>GBP FOREX</v>
      </c>
      <c r="D1336" s="603"/>
      <c r="E1336" s="604"/>
      <c r="F1336" s="607" t="s">
        <v>47</v>
      </c>
      <c r="G1336" s="608">
        <v>0</v>
      </c>
    </row>
    <row r="1337" spans="1:7" ht="11.1" customHeight="1">
      <c r="A1337" s="600" t="str">
        <f t="shared" si="100"/>
        <v>GBP;GBP SONIA;Total GBP SONIA</v>
      </c>
      <c r="B1337" s="600" t="str">
        <f t="shared" si="104"/>
        <v>GBP</v>
      </c>
      <c r="C1337" s="600" t="str">
        <f t="shared" si="104"/>
        <v>GBP SONIA</v>
      </c>
      <c r="D1337" s="603"/>
      <c r="E1337" s="604" t="s">
        <v>1166</v>
      </c>
      <c r="F1337" s="605" t="s">
        <v>1237</v>
      </c>
      <c r="G1337" s="606">
        <v>-8339.2586648383894</v>
      </c>
    </row>
    <row r="1338" spans="1:7" ht="11.1" customHeight="1">
      <c r="A1338" s="600" t="str">
        <f t="shared" si="100"/>
        <v>GBP;GBP SONIA;O/N</v>
      </c>
      <c r="B1338" s="600" t="str">
        <f t="shared" si="104"/>
        <v>GBP</v>
      </c>
      <c r="C1338" s="600" t="str">
        <f t="shared" si="104"/>
        <v>GBP SONIA</v>
      </c>
      <c r="D1338" s="603"/>
      <c r="E1338" s="604"/>
      <c r="F1338" s="607" t="s">
        <v>3</v>
      </c>
      <c r="G1338" s="611">
        <v>12.690375750404099</v>
      </c>
    </row>
    <row r="1339" spans="1:7" ht="11.1" customHeight="1">
      <c r="A1339" s="600" t="str">
        <f t="shared" si="100"/>
        <v>GBP;GBP SONIA;T/N</v>
      </c>
      <c r="B1339" s="600" t="str">
        <f t="shared" si="104"/>
        <v>GBP</v>
      </c>
      <c r="C1339" s="600" t="str">
        <f t="shared" si="104"/>
        <v>GBP SONIA</v>
      </c>
      <c r="D1339" s="603"/>
      <c r="E1339" s="604"/>
      <c r="F1339" s="607" t="s">
        <v>4</v>
      </c>
      <c r="G1339" s="611">
        <v>7.9918819849557003</v>
      </c>
    </row>
    <row r="1340" spans="1:7" ht="11.1" customHeight="1">
      <c r="A1340" s="600" t="str">
        <f t="shared" si="100"/>
        <v>GBP;GBP SONIA;1W</v>
      </c>
      <c r="B1340" s="600" t="str">
        <f t="shared" si="104"/>
        <v>GBP</v>
      </c>
      <c r="C1340" s="600" t="str">
        <f t="shared" si="104"/>
        <v>GBP SONIA</v>
      </c>
      <c r="D1340" s="603"/>
      <c r="E1340" s="604"/>
      <c r="F1340" s="607" t="s">
        <v>5</v>
      </c>
      <c r="G1340" s="606">
        <v>-52.734515646639998</v>
      </c>
    </row>
    <row r="1341" spans="1:7" ht="11.1" customHeight="1">
      <c r="A1341" s="600" t="str">
        <f t="shared" si="100"/>
        <v>GBP;GBP SONIA;2W</v>
      </c>
      <c r="B1341" s="600" t="str">
        <f t="shared" si="104"/>
        <v>GBP</v>
      </c>
      <c r="C1341" s="600" t="str">
        <f t="shared" si="104"/>
        <v>GBP SONIA</v>
      </c>
      <c r="D1341" s="603"/>
      <c r="E1341" s="604"/>
      <c r="F1341" s="607" t="s">
        <v>6</v>
      </c>
      <c r="G1341" s="611">
        <v>30.464551093127699</v>
      </c>
    </row>
    <row r="1342" spans="1:7" ht="11.1" customHeight="1">
      <c r="A1342" s="600" t="str">
        <f t="shared" si="100"/>
        <v>GBP;GBP SONIA;1M</v>
      </c>
      <c r="B1342" s="600" t="str">
        <f t="shared" si="104"/>
        <v>GBP</v>
      </c>
      <c r="C1342" s="600" t="str">
        <f t="shared" si="104"/>
        <v>GBP SONIA</v>
      </c>
      <c r="D1342" s="603"/>
      <c r="E1342" s="604"/>
      <c r="F1342" s="607" t="s">
        <v>7</v>
      </c>
      <c r="G1342" s="606">
        <v>-3.0211205977533302</v>
      </c>
    </row>
    <row r="1343" spans="1:7" ht="11.1" customHeight="1">
      <c r="A1343" s="600" t="str">
        <f t="shared" si="100"/>
        <v>GBP;GBP SONIA;2M</v>
      </c>
      <c r="B1343" s="600" t="str">
        <f t="shared" si="104"/>
        <v>GBP</v>
      </c>
      <c r="C1343" s="600" t="str">
        <f t="shared" si="104"/>
        <v>GBP SONIA</v>
      </c>
      <c r="D1343" s="603"/>
      <c r="E1343" s="604"/>
      <c r="F1343" s="607" t="s">
        <v>8</v>
      </c>
      <c r="G1343" s="606">
        <v>-51.157020697403397</v>
      </c>
    </row>
    <row r="1344" spans="1:7" ht="11.1" customHeight="1">
      <c r="A1344" s="600" t="str">
        <f t="shared" si="100"/>
        <v>GBP;GBP SONIA;3M</v>
      </c>
      <c r="B1344" s="600" t="str">
        <f t="shared" si="104"/>
        <v>GBP</v>
      </c>
      <c r="C1344" s="600" t="str">
        <f t="shared" si="104"/>
        <v>GBP SONIA</v>
      </c>
      <c r="D1344" s="603"/>
      <c r="E1344" s="604"/>
      <c r="F1344" s="607" t="s">
        <v>25</v>
      </c>
      <c r="G1344" s="611">
        <v>46.187821105870903</v>
      </c>
    </row>
    <row r="1345" spans="1:7" ht="11.1" customHeight="1">
      <c r="A1345" s="600" t="str">
        <f t="shared" si="100"/>
        <v>GBP;GBP SONIA;4M</v>
      </c>
      <c r="B1345" s="600" t="str">
        <f t="shared" si="104"/>
        <v>GBP</v>
      </c>
      <c r="C1345" s="600" t="str">
        <f t="shared" si="104"/>
        <v>GBP SONIA</v>
      </c>
      <c r="D1345" s="603"/>
      <c r="E1345" s="604"/>
      <c r="F1345" s="607" t="s">
        <v>26</v>
      </c>
      <c r="G1345" s="606">
        <v>-306.469137728249</v>
      </c>
    </row>
    <row r="1346" spans="1:7" ht="11.1" customHeight="1">
      <c r="A1346" s="600" t="str">
        <f t="shared" si="100"/>
        <v>GBP;GBP SONIA;5M</v>
      </c>
      <c r="B1346" s="600" t="str">
        <f t="shared" si="104"/>
        <v>GBP</v>
      </c>
      <c r="C1346" s="600" t="str">
        <f t="shared" si="104"/>
        <v>GBP SONIA</v>
      </c>
      <c r="D1346" s="603"/>
      <c r="E1346" s="604"/>
      <c r="F1346" s="607" t="s">
        <v>27</v>
      </c>
      <c r="G1346" s="611">
        <v>2.6572034512452398</v>
      </c>
    </row>
    <row r="1347" spans="1:7" ht="11.1" customHeight="1">
      <c r="A1347" s="600" t="str">
        <f t="shared" si="100"/>
        <v>GBP;GBP SONIA;6M</v>
      </c>
      <c r="B1347" s="600" t="str">
        <f t="shared" si="104"/>
        <v>GBP</v>
      </c>
      <c r="C1347" s="600" t="str">
        <f t="shared" si="104"/>
        <v>GBP SONIA</v>
      </c>
      <c r="D1347" s="603"/>
      <c r="E1347" s="604"/>
      <c r="F1347" s="607" t="s">
        <v>28</v>
      </c>
      <c r="G1347" s="611">
        <v>225.48362545307401</v>
      </c>
    </row>
    <row r="1348" spans="1:7" ht="11.1" customHeight="1">
      <c r="A1348" s="600" t="str">
        <f t="shared" si="100"/>
        <v>GBP;GBP SONIA;7M</v>
      </c>
      <c r="B1348" s="600" t="str">
        <f t="shared" si="104"/>
        <v>GBP</v>
      </c>
      <c r="C1348" s="600" t="str">
        <f t="shared" si="104"/>
        <v>GBP SONIA</v>
      </c>
      <c r="D1348" s="603"/>
      <c r="E1348" s="604"/>
      <c r="F1348" s="607" t="s">
        <v>29</v>
      </c>
      <c r="G1348" s="611">
        <v>229.308656950455</v>
      </c>
    </row>
    <row r="1349" spans="1:7" ht="11.1" customHeight="1">
      <c r="A1349" s="600" t="str">
        <f t="shared" ref="A1349:A1412" si="105">B1349&amp;";"&amp;C1349&amp;";"&amp;F1349</f>
        <v>GBP;GBP SONIA;8M</v>
      </c>
      <c r="B1349" s="600" t="str">
        <f t="shared" ref="B1349:C1364" si="106">IF(ISBLANK(D1349),B1348,D1349)</f>
        <v>GBP</v>
      </c>
      <c r="C1349" s="600" t="str">
        <f t="shared" si="106"/>
        <v>GBP SONIA</v>
      </c>
      <c r="D1349" s="603"/>
      <c r="E1349" s="604"/>
      <c r="F1349" s="607" t="s">
        <v>30</v>
      </c>
      <c r="G1349" s="606">
        <v>-1102.0360168238701</v>
      </c>
    </row>
    <row r="1350" spans="1:7" ht="11.1" customHeight="1">
      <c r="A1350" s="600" t="str">
        <f t="shared" si="105"/>
        <v>GBP;GBP SONIA;9M</v>
      </c>
      <c r="B1350" s="600" t="str">
        <f t="shared" si="106"/>
        <v>GBP</v>
      </c>
      <c r="C1350" s="600" t="str">
        <f t="shared" si="106"/>
        <v>GBP SONIA</v>
      </c>
      <c r="D1350" s="603"/>
      <c r="E1350" s="604"/>
      <c r="F1350" s="607" t="s">
        <v>49</v>
      </c>
      <c r="G1350" s="611">
        <v>486.34563258120397</v>
      </c>
    </row>
    <row r="1351" spans="1:7" ht="11.1" customHeight="1">
      <c r="A1351" s="600" t="str">
        <f t="shared" si="105"/>
        <v>GBP;GBP SONIA;10M</v>
      </c>
      <c r="B1351" s="600" t="str">
        <f t="shared" si="106"/>
        <v>GBP</v>
      </c>
      <c r="C1351" s="600" t="str">
        <f t="shared" si="106"/>
        <v>GBP SONIA</v>
      </c>
      <c r="D1351" s="603"/>
      <c r="E1351" s="604"/>
      <c r="F1351" s="607" t="s">
        <v>50</v>
      </c>
      <c r="G1351" s="611">
        <v>140.96112332547099</v>
      </c>
    </row>
    <row r="1352" spans="1:7" ht="11.1" customHeight="1">
      <c r="A1352" s="600" t="str">
        <f t="shared" si="105"/>
        <v>GBP;GBP SONIA;11M</v>
      </c>
      <c r="B1352" s="600" t="str">
        <f t="shared" si="106"/>
        <v>GBP</v>
      </c>
      <c r="C1352" s="600" t="str">
        <f t="shared" si="106"/>
        <v>GBP SONIA</v>
      </c>
      <c r="D1352" s="603"/>
      <c r="E1352" s="604"/>
      <c r="F1352" s="607" t="s">
        <v>51</v>
      </c>
      <c r="G1352" s="611">
        <v>582.12356088951697</v>
      </c>
    </row>
    <row r="1353" spans="1:7" ht="11.1" customHeight="1">
      <c r="A1353" s="600" t="str">
        <f t="shared" si="105"/>
        <v>GBP;GBP SONIA;1Y</v>
      </c>
      <c r="B1353" s="600" t="str">
        <f t="shared" si="106"/>
        <v>GBP</v>
      </c>
      <c r="C1353" s="600" t="str">
        <f t="shared" si="106"/>
        <v>GBP SONIA</v>
      </c>
      <c r="D1353" s="603"/>
      <c r="E1353" s="604"/>
      <c r="F1353" s="607" t="s">
        <v>56</v>
      </c>
      <c r="G1353" s="606">
        <v>-4406.2503456921304</v>
      </c>
    </row>
    <row r="1354" spans="1:7" ht="11.1" customHeight="1">
      <c r="A1354" s="600" t="str">
        <f t="shared" si="105"/>
        <v>GBP;GBP SONIA;15M</v>
      </c>
      <c r="B1354" s="600" t="str">
        <f t="shared" si="106"/>
        <v>GBP</v>
      </c>
      <c r="C1354" s="600" t="str">
        <f t="shared" si="106"/>
        <v>GBP SONIA</v>
      </c>
      <c r="D1354" s="603"/>
      <c r="E1354" s="604"/>
      <c r="F1354" s="607" t="s">
        <v>53</v>
      </c>
      <c r="G1354" s="606">
        <v>-4300.5976670407799</v>
      </c>
    </row>
    <row r="1355" spans="1:7" ht="11.1" customHeight="1">
      <c r="A1355" s="600" t="str">
        <f t="shared" si="105"/>
        <v>GBP;GBP SONIA;18M</v>
      </c>
      <c r="B1355" s="600" t="str">
        <f t="shared" si="106"/>
        <v>GBP</v>
      </c>
      <c r="C1355" s="600" t="str">
        <f t="shared" si="106"/>
        <v>GBP SONIA</v>
      </c>
      <c r="D1355" s="603"/>
      <c r="E1355" s="604"/>
      <c r="F1355" s="607" t="s">
        <v>54</v>
      </c>
      <c r="G1355" s="611">
        <v>12942.0894147913</v>
      </c>
    </row>
    <row r="1356" spans="1:7" ht="11.1" customHeight="1">
      <c r="A1356" s="600" t="str">
        <f t="shared" si="105"/>
        <v>GBP;GBP SONIA;2Y</v>
      </c>
      <c r="B1356" s="600" t="str">
        <f t="shared" si="106"/>
        <v>GBP</v>
      </c>
      <c r="C1356" s="600" t="str">
        <f t="shared" si="106"/>
        <v>GBP SONIA</v>
      </c>
      <c r="D1356" s="603"/>
      <c r="E1356" s="604"/>
      <c r="F1356" s="607" t="s">
        <v>9</v>
      </c>
      <c r="G1356" s="606">
        <v>-6157.4046698051498</v>
      </c>
    </row>
    <row r="1357" spans="1:7" ht="11.1" customHeight="1">
      <c r="A1357" s="600" t="str">
        <f t="shared" si="105"/>
        <v>GBP;GBP SONIA;3Y</v>
      </c>
      <c r="B1357" s="600" t="str">
        <f t="shared" si="106"/>
        <v>GBP</v>
      </c>
      <c r="C1357" s="600" t="str">
        <f t="shared" si="106"/>
        <v>GBP SONIA</v>
      </c>
      <c r="D1357" s="603"/>
      <c r="E1357" s="604"/>
      <c r="F1357" s="607" t="s">
        <v>10</v>
      </c>
      <c r="G1357" s="606">
        <v>-1050.2021852452699</v>
      </c>
    </row>
    <row r="1358" spans="1:7" ht="11.1" customHeight="1">
      <c r="A1358" s="600" t="str">
        <f t="shared" si="105"/>
        <v>GBP;GBP SONIA;4Y</v>
      </c>
      <c r="B1358" s="600" t="str">
        <f t="shared" si="106"/>
        <v>GBP</v>
      </c>
      <c r="C1358" s="600" t="str">
        <f t="shared" si="106"/>
        <v>GBP SONIA</v>
      </c>
      <c r="D1358" s="603"/>
      <c r="E1358" s="604"/>
      <c r="F1358" s="607" t="s">
        <v>11</v>
      </c>
      <c r="G1358" s="606">
        <v>-137.112510276422</v>
      </c>
    </row>
    <row r="1359" spans="1:7" ht="11.1" customHeight="1">
      <c r="A1359" s="600" t="str">
        <f t="shared" si="105"/>
        <v>GBP;GBP SONIA;5Y</v>
      </c>
      <c r="B1359" s="600" t="str">
        <f t="shared" si="106"/>
        <v>GBP</v>
      </c>
      <c r="C1359" s="600" t="str">
        <f t="shared" si="106"/>
        <v>GBP SONIA</v>
      </c>
      <c r="D1359" s="603"/>
      <c r="E1359" s="604"/>
      <c r="F1359" s="607" t="s">
        <v>12</v>
      </c>
      <c r="G1359" s="606">
        <v>-4344.3216175043399</v>
      </c>
    </row>
    <row r="1360" spans="1:7" ht="11.1" customHeight="1">
      <c r="A1360" s="600" t="str">
        <f t="shared" si="105"/>
        <v>GBP;GBP SONIA;6Y</v>
      </c>
      <c r="B1360" s="600" t="str">
        <f t="shared" si="106"/>
        <v>GBP</v>
      </c>
      <c r="C1360" s="600" t="str">
        <f t="shared" si="106"/>
        <v>GBP SONIA</v>
      </c>
      <c r="D1360" s="603"/>
      <c r="E1360" s="604"/>
      <c r="F1360" s="607" t="s">
        <v>13</v>
      </c>
      <c r="G1360" s="611">
        <v>1074.4504268707501</v>
      </c>
    </row>
    <row r="1361" spans="1:7" ht="11.1" customHeight="1">
      <c r="A1361" s="600" t="str">
        <f t="shared" si="105"/>
        <v>GBP;GBP SONIA;7Y</v>
      </c>
      <c r="B1361" s="600" t="str">
        <f t="shared" si="106"/>
        <v>GBP</v>
      </c>
      <c r="C1361" s="600" t="str">
        <f t="shared" si="106"/>
        <v>GBP SONIA</v>
      </c>
      <c r="D1361" s="603"/>
      <c r="E1361" s="604"/>
      <c r="F1361" s="607" t="s">
        <v>14</v>
      </c>
      <c r="G1361" s="611">
        <v>282.77973184817199</v>
      </c>
    </row>
    <row r="1362" spans="1:7" ht="11.1" customHeight="1">
      <c r="A1362" s="600" t="str">
        <f t="shared" si="105"/>
        <v>GBP;GBP SONIA;8Y</v>
      </c>
      <c r="B1362" s="600" t="str">
        <f t="shared" si="106"/>
        <v>GBP</v>
      </c>
      <c r="C1362" s="600" t="str">
        <f t="shared" si="106"/>
        <v>GBP SONIA</v>
      </c>
      <c r="D1362" s="603"/>
      <c r="E1362" s="604"/>
      <c r="F1362" s="607" t="s">
        <v>15</v>
      </c>
      <c r="G1362" s="606">
        <v>-287.68964965591402</v>
      </c>
    </row>
    <row r="1363" spans="1:7" ht="11.1" customHeight="1">
      <c r="A1363" s="600" t="str">
        <f t="shared" si="105"/>
        <v>GBP;GBP SONIA;9Y</v>
      </c>
      <c r="B1363" s="600" t="str">
        <f t="shared" si="106"/>
        <v>GBP</v>
      </c>
      <c r="C1363" s="600" t="str">
        <f t="shared" si="106"/>
        <v>GBP SONIA</v>
      </c>
      <c r="D1363" s="603"/>
      <c r="E1363" s="604"/>
      <c r="F1363" s="607" t="s">
        <v>16</v>
      </c>
      <c r="G1363" s="606">
        <v>-87.327460718272206</v>
      </c>
    </row>
    <row r="1364" spans="1:7" ht="11.1" customHeight="1">
      <c r="A1364" s="600" t="str">
        <f t="shared" si="105"/>
        <v>GBP;GBP SONIA;10Y</v>
      </c>
      <c r="B1364" s="600" t="str">
        <f t="shared" si="106"/>
        <v>GBP</v>
      </c>
      <c r="C1364" s="600" t="str">
        <f t="shared" si="106"/>
        <v>GBP SONIA</v>
      </c>
      <c r="D1364" s="603"/>
      <c r="E1364" s="604"/>
      <c r="F1364" s="607" t="s">
        <v>17</v>
      </c>
      <c r="G1364" s="606">
        <v>-1351.6604426490801</v>
      </c>
    </row>
    <row r="1365" spans="1:7" ht="11.1" customHeight="1">
      <c r="A1365" s="600" t="str">
        <f t="shared" si="105"/>
        <v>GBP;GBP SONIA;12Y</v>
      </c>
      <c r="B1365" s="600" t="str">
        <f t="shared" ref="B1365:C1380" si="107">IF(ISBLANK(D1365),B1364,D1365)</f>
        <v>GBP</v>
      </c>
      <c r="C1365" s="600" t="str">
        <f t="shared" si="107"/>
        <v>GBP SONIA</v>
      </c>
      <c r="D1365" s="603"/>
      <c r="E1365" s="604"/>
      <c r="F1365" s="607" t="s">
        <v>18</v>
      </c>
      <c r="G1365" s="611">
        <v>307.841128029537</v>
      </c>
    </row>
    <row r="1366" spans="1:7" ht="11.1" customHeight="1">
      <c r="A1366" s="600" t="str">
        <f t="shared" si="105"/>
        <v>GBP;GBP SONIA;15Y</v>
      </c>
      <c r="B1366" s="600" t="str">
        <f t="shared" si="107"/>
        <v>GBP</v>
      </c>
      <c r="C1366" s="600" t="str">
        <f t="shared" si="107"/>
        <v>GBP SONIA</v>
      </c>
      <c r="D1366" s="603"/>
      <c r="E1366" s="604"/>
      <c r="F1366" s="607" t="s">
        <v>19</v>
      </c>
      <c r="G1366" s="606">
        <v>-1396.0079635787599</v>
      </c>
    </row>
    <row r="1367" spans="1:7" ht="11.1" customHeight="1">
      <c r="A1367" s="600" t="str">
        <f t="shared" si="105"/>
        <v>GBP;GBP SONIA;20Y</v>
      </c>
      <c r="B1367" s="600" t="str">
        <f t="shared" si="107"/>
        <v>GBP</v>
      </c>
      <c r="C1367" s="600" t="str">
        <f t="shared" si="107"/>
        <v>GBP SONIA</v>
      </c>
      <c r="D1367" s="603"/>
      <c r="E1367" s="604"/>
      <c r="F1367" s="607" t="s">
        <v>20</v>
      </c>
      <c r="G1367" s="611">
        <v>322.055686833305</v>
      </c>
    </row>
    <row r="1368" spans="1:7" ht="11.1" customHeight="1">
      <c r="A1368" s="600" t="str">
        <f t="shared" si="105"/>
        <v>GBP;GBP SONIA;25Y</v>
      </c>
      <c r="B1368" s="600" t="str">
        <f t="shared" si="107"/>
        <v>GBP</v>
      </c>
      <c r="C1368" s="600" t="str">
        <f t="shared" si="107"/>
        <v>GBP SONIA</v>
      </c>
      <c r="D1368" s="603"/>
      <c r="E1368" s="604"/>
      <c r="F1368" s="607" t="s">
        <v>21</v>
      </c>
      <c r="G1368" s="611">
        <v>1.29802196648681</v>
      </c>
    </row>
    <row r="1369" spans="1:7" ht="11.1" customHeight="1">
      <c r="A1369" s="600" t="str">
        <f t="shared" si="105"/>
        <v>GBP;GBP SONIA;30Y</v>
      </c>
      <c r="B1369" s="600" t="str">
        <f t="shared" si="107"/>
        <v>GBP</v>
      </c>
      <c r="C1369" s="600" t="str">
        <f t="shared" si="107"/>
        <v>GBP SONIA</v>
      </c>
      <c r="D1369" s="603"/>
      <c r="E1369" s="604"/>
      <c r="F1369" s="607" t="s">
        <v>22</v>
      </c>
      <c r="G1369" s="611">
        <v>4.8047661846564102E-3</v>
      </c>
    </row>
    <row r="1370" spans="1:7" ht="11.1" customHeight="1">
      <c r="A1370" s="600" t="str">
        <f t="shared" si="105"/>
        <v>GBP;GBP SONIA;40Y</v>
      </c>
      <c r="B1370" s="600" t="str">
        <f t="shared" si="107"/>
        <v>GBP</v>
      </c>
      <c r="C1370" s="600" t="str">
        <f t="shared" si="107"/>
        <v>GBP SONIA</v>
      </c>
      <c r="D1370" s="603"/>
      <c r="E1370" s="604"/>
      <c r="F1370" s="607" t="s">
        <v>46</v>
      </c>
      <c r="G1370" s="611">
        <v>1.1048516760847501E-5</v>
      </c>
    </row>
    <row r="1371" spans="1:7" ht="11.1" customHeight="1">
      <c r="A1371" s="600" t="str">
        <f t="shared" si="105"/>
        <v>GBP;GBP SONIA;50Y</v>
      </c>
      <c r="B1371" s="600" t="str">
        <f t="shared" si="107"/>
        <v>GBP</v>
      </c>
      <c r="C1371" s="600" t="str">
        <f t="shared" si="107"/>
        <v>GBP SONIA</v>
      </c>
      <c r="D1371" s="603"/>
      <c r="E1371" s="604"/>
      <c r="F1371" s="607" t="s">
        <v>47</v>
      </c>
      <c r="G1371" s="611">
        <v>8.1644585385083006E-8</v>
      </c>
    </row>
    <row r="1372" spans="1:7" ht="11.1" customHeight="1">
      <c r="A1372" s="600" t="str">
        <f t="shared" si="105"/>
        <v>GBP;GBP SONIA;60Y</v>
      </c>
      <c r="B1372" s="600" t="str">
        <f t="shared" si="107"/>
        <v>GBP</v>
      </c>
      <c r="C1372" s="600" t="str">
        <f t="shared" si="107"/>
        <v>GBP SONIA</v>
      </c>
      <c r="D1372" s="603"/>
      <c r="E1372" s="604"/>
      <c r="F1372" s="607" t="s">
        <v>48</v>
      </c>
      <c r="G1372" s="611">
        <v>4.3283357492395402E-10</v>
      </c>
    </row>
    <row r="1373" spans="1:7" ht="11.1" customHeight="1">
      <c r="A1373" s="600" t="str">
        <f t="shared" si="105"/>
        <v>HKD;Total HKD;</v>
      </c>
      <c r="B1373" s="600" t="str">
        <f t="shared" si="107"/>
        <v>HKD</v>
      </c>
      <c r="C1373" s="600" t="str">
        <f t="shared" si="107"/>
        <v>Total HKD</v>
      </c>
      <c r="D1373" s="603" t="s">
        <v>1238</v>
      </c>
      <c r="E1373" s="609" t="s">
        <v>1239</v>
      </c>
      <c r="F1373" s="609"/>
      <c r="G1373" s="612">
        <v>-5.0466184888097896</v>
      </c>
    </row>
    <row r="1374" spans="1:7" ht="11.1" customHeight="1">
      <c r="A1374" s="600" t="str">
        <f t="shared" si="105"/>
        <v>HKD;HKD FOREX;Total HKD FOREX</v>
      </c>
      <c r="B1374" s="600" t="str">
        <f t="shared" si="107"/>
        <v>HKD</v>
      </c>
      <c r="C1374" s="600" t="str">
        <f t="shared" si="107"/>
        <v>HKD FOREX</v>
      </c>
      <c r="D1374" s="603"/>
      <c r="E1374" s="604" t="s">
        <v>1240</v>
      </c>
      <c r="F1374" s="605" t="s">
        <v>1241</v>
      </c>
      <c r="G1374" s="611">
        <v>1.5717783016886099E-2</v>
      </c>
    </row>
    <row r="1375" spans="1:7" ht="11.1" customHeight="1">
      <c r="A1375" s="600" t="str">
        <f t="shared" si="105"/>
        <v>HKD;HKD FOREX;O/N</v>
      </c>
      <c r="B1375" s="600" t="str">
        <f t="shared" si="107"/>
        <v>HKD</v>
      </c>
      <c r="C1375" s="600" t="str">
        <f t="shared" si="107"/>
        <v>HKD FOREX</v>
      </c>
      <c r="D1375" s="603"/>
      <c r="E1375" s="604"/>
      <c r="F1375" s="607" t="s">
        <v>3</v>
      </c>
      <c r="G1375" s="611">
        <v>1.17880779019596E-2</v>
      </c>
    </row>
    <row r="1376" spans="1:7" ht="11.1" customHeight="1">
      <c r="A1376" s="600" t="str">
        <f t="shared" si="105"/>
        <v>HKD;HKD FOREX;T/N</v>
      </c>
      <c r="B1376" s="600" t="str">
        <f t="shared" si="107"/>
        <v>HKD</v>
      </c>
      <c r="C1376" s="600" t="str">
        <f t="shared" si="107"/>
        <v>HKD FOREX</v>
      </c>
      <c r="D1376" s="603"/>
      <c r="E1376" s="604"/>
      <c r="F1376" s="607" t="s">
        <v>4</v>
      </c>
      <c r="G1376" s="611">
        <v>3.9297051149271402E-3</v>
      </c>
    </row>
    <row r="1377" spans="1:7" ht="11.1" customHeight="1">
      <c r="A1377" s="600" t="str">
        <f t="shared" si="105"/>
        <v>HKD;HKD FOREX;1W</v>
      </c>
      <c r="B1377" s="600" t="str">
        <f t="shared" si="107"/>
        <v>HKD</v>
      </c>
      <c r="C1377" s="600" t="str">
        <f t="shared" si="107"/>
        <v>HKD FOREX</v>
      </c>
      <c r="D1377" s="603"/>
      <c r="E1377" s="604"/>
      <c r="F1377" s="607" t="s">
        <v>5</v>
      </c>
      <c r="G1377" s="608">
        <v>0</v>
      </c>
    </row>
    <row r="1378" spans="1:7" ht="11.1" customHeight="1">
      <c r="A1378" s="600" t="str">
        <f t="shared" si="105"/>
        <v>HKD;HKD FOREX;2W</v>
      </c>
      <c r="B1378" s="600" t="str">
        <f t="shared" si="107"/>
        <v>HKD</v>
      </c>
      <c r="C1378" s="600" t="str">
        <f t="shared" si="107"/>
        <v>HKD FOREX</v>
      </c>
      <c r="D1378" s="603"/>
      <c r="E1378" s="604"/>
      <c r="F1378" s="607" t="s">
        <v>6</v>
      </c>
      <c r="G1378" s="608">
        <v>0</v>
      </c>
    </row>
    <row r="1379" spans="1:7" ht="11.1" customHeight="1">
      <c r="A1379" s="600" t="str">
        <f t="shared" si="105"/>
        <v>HKD;HKD FOREX;3W</v>
      </c>
      <c r="B1379" s="600" t="str">
        <f t="shared" si="107"/>
        <v>HKD</v>
      </c>
      <c r="C1379" s="600" t="str">
        <f t="shared" si="107"/>
        <v>HKD FOREX</v>
      </c>
      <c r="D1379" s="603"/>
      <c r="E1379" s="604"/>
      <c r="F1379" s="607" t="s">
        <v>24</v>
      </c>
      <c r="G1379" s="608">
        <v>0</v>
      </c>
    </row>
    <row r="1380" spans="1:7" ht="11.1" customHeight="1">
      <c r="A1380" s="600" t="str">
        <f t="shared" si="105"/>
        <v>HKD;HKD FOREX;1M</v>
      </c>
      <c r="B1380" s="600" t="str">
        <f t="shared" si="107"/>
        <v>HKD</v>
      </c>
      <c r="C1380" s="600" t="str">
        <f t="shared" si="107"/>
        <v>HKD FOREX</v>
      </c>
      <c r="D1380" s="603"/>
      <c r="E1380" s="604"/>
      <c r="F1380" s="607" t="s">
        <v>7</v>
      </c>
      <c r="G1380" s="608">
        <v>0</v>
      </c>
    </row>
    <row r="1381" spans="1:7" ht="11.1" customHeight="1">
      <c r="A1381" s="600" t="str">
        <f t="shared" si="105"/>
        <v>HKD;HKD FOREX;2M</v>
      </c>
      <c r="B1381" s="600" t="str">
        <f t="shared" ref="B1381:C1396" si="108">IF(ISBLANK(D1381),B1380,D1381)</f>
        <v>HKD</v>
      </c>
      <c r="C1381" s="600" t="str">
        <f t="shared" si="108"/>
        <v>HKD FOREX</v>
      </c>
      <c r="D1381" s="603"/>
      <c r="E1381" s="604"/>
      <c r="F1381" s="607" t="s">
        <v>8</v>
      </c>
      <c r="G1381" s="608">
        <v>0</v>
      </c>
    </row>
    <row r="1382" spans="1:7" ht="11.1" customHeight="1">
      <c r="A1382" s="600" t="str">
        <f t="shared" si="105"/>
        <v>HKD;HKD FOREX;3M</v>
      </c>
      <c r="B1382" s="600" t="str">
        <f t="shared" si="108"/>
        <v>HKD</v>
      </c>
      <c r="C1382" s="600" t="str">
        <f t="shared" si="108"/>
        <v>HKD FOREX</v>
      </c>
      <c r="D1382" s="603"/>
      <c r="E1382" s="604"/>
      <c r="F1382" s="607" t="s">
        <v>25</v>
      </c>
      <c r="G1382" s="608">
        <v>0</v>
      </c>
    </row>
    <row r="1383" spans="1:7" ht="11.1" customHeight="1">
      <c r="A1383" s="600" t="str">
        <f t="shared" si="105"/>
        <v>HKD;HKD FOREX;4M</v>
      </c>
      <c r="B1383" s="600" t="str">
        <f t="shared" si="108"/>
        <v>HKD</v>
      </c>
      <c r="C1383" s="600" t="str">
        <f t="shared" si="108"/>
        <v>HKD FOREX</v>
      </c>
      <c r="D1383" s="603"/>
      <c r="E1383" s="604"/>
      <c r="F1383" s="607" t="s">
        <v>26</v>
      </c>
      <c r="G1383" s="608">
        <v>0</v>
      </c>
    </row>
    <row r="1384" spans="1:7" ht="11.1" customHeight="1">
      <c r="A1384" s="600" t="str">
        <f t="shared" si="105"/>
        <v>HKD;HKD FOREX;5M</v>
      </c>
      <c r="B1384" s="600" t="str">
        <f t="shared" si="108"/>
        <v>HKD</v>
      </c>
      <c r="C1384" s="600" t="str">
        <f t="shared" si="108"/>
        <v>HKD FOREX</v>
      </c>
      <c r="D1384" s="603"/>
      <c r="E1384" s="604"/>
      <c r="F1384" s="607" t="s">
        <v>27</v>
      </c>
      <c r="G1384" s="608">
        <v>0</v>
      </c>
    </row>
    <row r="1385" spans="1:7" ht="11.1" customHeight="1">
      <c r="A1385" s="600" t="str">
        <f t="shared" si="105"/>
        <v>HKD;HKD FOREX;6M</v>
      </c>
      <c r="B1385" s="600" t="str">
        <f t="shared" si="108"/>
        <v>HKD</v>
      </c>
      <c r="C1385" s="600" t="str">
        <f t="shared" si="108"/>
        <v>HKD FOREX</v>
      </c>
      <c r="D1385" s="603"/>
      <c r="E1385" s="604"/>
      <c r="F1385" s="607" t="s">
        <v>28</v>
      </c>
      <c r="G1385" s="608">
        <v>0</v>
      </c>
    </row>
    <row r="1386" spans="1:7" ht="11.1" customHeight="1">
      <c r="A1386" s="600" t="str">
        <f t="shared" si="105"/>
        <v>HKD;HKD FOREX;7M</v>
      </c>
      <c r="B1386" s="600" t="str">
        <f t="shared" si="108"/>
        <v>HKD</v>
      </c>
      <c r="C1386" s="600" t="str">
        <f t="shared" si="108"/>
        <v>HKD FOREX</v>
      </c>
      <c r="D1386" s="603"/>
      <c r="E1386" s="604"/>
      <c r="F1386" s="607" t="s">
        <v>29</v>
      </c>
      <c r="G1386" s="608">
        <v>0</v>
      </c>
    </row>
    <row r="1387" spans="1:7" ht="11.1" customHeight="1">
      <c r="A1387" s="600" t="str">
        <f t="shared" si="105"/>
        <v>HKD;HKD FOREX;8M</v>
      </c>
      <c r="B1387" s="600" t="str">
        <f t="shared" si="108"/>
        <v>HKD</v>
      </c>
      <c r="C1387" s="600" t="str">
        <f t="shared" si="108"/>
        <v>HKD FOREX</v>
      </c>
      <c r="D1387" s="603"/>
      <c r="E1387" s="604"/>
      <c r="F1387" s="607" t="s">
        <v>30</v>
      </c>
      <c r="G1387" s="608">
        <v>0</v>
      </c>
    </row>
    <row r="1388" spans="1:7" ht="11.1" customHeight="1">
      <c r="A1388" s="600" t="str">
        <f t="shared" si="105"/>
        <v>HKD;HKD FOREX;9M</v>
      </c>
      <c r="B1388" s="600" t="str">
        <f t="shared" si="108"/>
        <v>HKD</v>
      </c>
      <c r="C1388" s="600" t="str">
        <f t="shared" si="108"/>
        <v>HKD FOREX</v>
      </c>
      <c r="D1388" s="603"/>
      <c r="E1388" s="604"/>
      <c r="F1388" s="607" t="s">
        <v>49</v>
      </c>
      <c r="G1388" s="608">
        <v>0</v>
      </c>
    </row>
    <row r="1389" spans="1:7" ht="11.1" customHeight="1">
      <c r="A1389" s="600" t="str">
        <f t="shared" si="105"/>
        <v>HKD;HKD FOREX;10M</v>
      </c>
      <c r="B1389" s="600" t="str">
        <f t="shared" si="108"/>
        <v>HKD</v>
      </c>
      <c r="C1389" s="600" t="str">
        <f t="shared" si="108"/>
        <v>HKD FOREX</v>
      </c>
      <c r="D1389" s="603"/>
      <c r="E1389" s="604"/>
      <c r="F1389" s="607" t="s">
        <v>50</v>
      </c>
      <c r="G1389" s="608">
        <v>0</v>
      </c>
    </row>
    <row r="1390" spans="1:7" ht="11.1" customHeight="1">
      <c r="A1390" s="600" t="str">
        <f t="shared" si="105"/>
        <v>HKD;HKD FOREX;11M</v>
      </c>
      <c r="B1390" s="600" t="str">
        <f t="shared" si="108"/>
        <v>HKD</v>
      </c>
      <c r="C1390" s="600" t="str">
        <f t="shared" si="108"/>
        <v>HKD FOREX</v>
      </c>
      <c r="D1390" s="603"/>
      <c r="E1390" s="604"/>
      <c r="F1390" s="607" t="s">
        <v>51</v>
      </c>
      <c r="G1390" s="608">
        <v>0</v>
      </c>
    </row>
    <row r="1391" spans="1:7" ht="11.1" customHeight="1">
      <c r="A1391" s="600" t="str">
        <f t="shared" si="105"/>
        <v>HKD;HKD FOREX;12M</v>
      </c>
      <c r="B1391" s="600" t="str">
        <f t="shared" si="108"/>
        <v>HKD</v>
      </c>
      <c r="C1391" s="600" t="str">
        <f t="shared" si="108"/>
        <v>HKD FOREX</v>
      </c>
      <c r="D1391" s="603"/>
      <c r="E1391" s="604"/>
      <c r="F1391" s="607" t="s">
        <v>52</v>
      </c>
      <c r="G1391" s="608">
        <v>0</v>
      </c>
    </row>
    <row r="1392" spans="1:7" ht="11.1" customHeight="1">
      <c r="A1392" s="600" t="str">
        <f t="shared" si="105"/>
        <v>HKD;HKD FOREX;15M</v>
      </c>
      <c r="B1392" s="600" t="str">
        <f t="shared" si="108"/>
        <v>HKD</v>
      </c>
      <c r="C1392" s="600" t="str">
        <f t="shared" si="108"/>
        <v>HKD FOREX</v>
      </c>
      <c r="D1392" s="603"/>
      <c r="E1392" s="604"/>
      <c r="F1392" s="607" t="s">
        <v>53</v>
      </c>
      <c r="G1392" s="608">
        <v>0</v>
      </c>
    </row>
    <row r="1393" spans="1:7" ht="11.1" customHeight="1">
      <c r="A1393" s="600" t="str">
        <f t="shared" si="105"/>
        <v>HKD;HKD FOREX;18M</v>
      </c>
      <c r="B1393" s="600" t="str">
        <f t="shared" si="108"/>
        <v>HKD</v>
      </c>
      <c r="C1393" s="600" t="str">
        <f t="shared" si="108"/>
        <v>HKD FOREX</v>
      </c>
      <c r="D1393" s="603"/>
      <c r="E1393" s="604"/>
      <c r="F1393" s="607" t="s">
        <v>54</v>
      </c>
      <c r="G1393" s="608">
        <v>0</v>
      </c>
    </row>
    <row r="1394" spans="1:7" ht="11.1" customHeight="1">
      <c r="A1394" s="600" t="str">
        <f t="shared" si="105"/>
        <v>HKD;HKD FOREX;24M</v>
      </c>
      <c r="B1394" s="600" t="str">
        <f t="shared" si="108"/>
        <v>HKD</v>
      </c>
      <c r="C1394" s="600" t="str">
        <f t="shared" si="108"/>
        <v>HKD FOREX</v>
      </c>
      <c r="D1394" s="603"/>
      <c r="E1394" s="604"/>
      <c r="F1394" s="607" t="s">
        <v>659</v>
      </c>
      <c r="G1394" s="608">
        <v>0</v>
      </c>
    </row>
    <row r="1395" spans="1:7" ht="11.1" customHeight="1">
      <c r="A1395" s="600" t="str">
        <f t="shared" si="105"/>
        <v>HKD;HKD FOREX;3Y</v>
      </c>
      <c r="B1395" s="600" t="str">
        <f t="shared" si="108"/>
        <v>HKD</v>
      </c>
      <c r="C1395" s="600" t="str">
        <f t="shared" si="108"/>
        <v>HKD FOREX</v>
      </c>
      <c r="D1395" s="603"/>
      <c r="E1395" s="604"/>
      <c r="F1395" s="607" t="s">
        <v>10</v>
      </c>
      <c r="G1395" s="608">
        <v>0</v>
      </c>
    </row>
    <row r="1396" spans="1:7" ht="11.1" customHeight="1">
      <c r="A1396" s="600" t="str">
        <f t="shared" si="105"/>
        <v>HKD;HKD FOREX;4Y</v>
      </c>
      <c r="B1396" s="600" t="str">
        <f t="shared" si="108"/>
        <v>HKD</v>
      </c>
      <c r="C1396" s="600" t="str">
        <f t="shared" si="108"/>
        <v>HKD FOREX</v>
      </c>
      <c r="D1396" s="603"/>
      <c r="E1396" s="604"/>
      <c r="F1396" s="607" t="s">
        <v>11</v>
      </c>
      <c r="G1396" s="608">
        <v>0</v>
      </c>
    </row>
    <row r="1397" spans="1:7" ht="11.1" customHeight="1">
      <c r="A1397" s="600" t="str">
        <f t="shared" si="105"/>
        <v>HKD;HKD FOREX;5Y</v>
      </c>
      <c r="B1397" s="600" t="str">
        <f t="shared" ref="B1397:C1412" si="109">IF(ISBLANK(D1397),B1396,D1397)</f>
        <v>HKD</v>
      </c>
      <c r="C1397" s="600" t="str">
        <f t="shared" si="109"/>
        <v>HKD FOREX</v>
      </c>
      <c r="D1397" s="603"/>
      <c r="E1397" s="604"/>
      <c r="F1397" s="607" t="s">
        <v>12</v>
      </c>
      <c r="G1397" s="608">
        <v>0</v>
      </c>
    </row>
    <row r="1398" spans="1:7" ht="11.1" customHeight="1">
      <c r="A1398" s="600" t="str">
        <f t="shared" si="105"/>
        <v>HKD;HKD FOREX;7Y</v>
      </c>
      <c r="B1398" s="600" t="str">
        <f t="shared" si="109"/>
        <v>HKD</v>
      </c>
      <c r="C1398" s="600" t="str">
        <f t="shared" si="109"/>
        <v>HKD FOREX</v>
      </c>
      <c r="D1398" s="603"/>
      <c r="E1398" s="604"/>
      <c r="F1398" s="607" t="s">
        <v>14</v>
      </c>
      <c r="G1398" s="608">
        <v>0</v>
      </c>
    </row>
    <row r="1399" spans="1:7" ht="11.1" customHeight="1">
      <c r="A1399" s="600" t="str">
        <f t="shared" si="105"/>
        <v>HKD;HKD FOREX;10Y</v>
      </c>
      <c r="B1399" s="600" t="str">
        <f t="shared" si="109"/>
        <v>HKD</v>
      </c>
      <c r="C1399" s="600" t="str">
        <f t="shared" si="109"/>
        <v>HKD FOREX</v>
      </c>
      <c r="D1399" s="603"/>
      <c r="E1399" s="604"/>
      <c r="F1399" s="607" t="s">
        <v>17</v>
      </c>
      <c r="G1399" s="608">
        <v>0</v>
      </c>
    </row>
    <row r="1400" spans="1:7" ht="11.1" customHeight="1">
      <c r="A1400" s="600" t="str">
        <f t="shared" si="105"/>
        <v>HKD;HKD FOREX;12Y</v>
      </c>
      <c r="B1400" s="600" t="str">
        <f t="shared" si="109"/>
        <v>HKD</v>
      </c>
      <c r="C1400" s="600" t="str">
        <f t="shared" si="109"/>
        <v>HKD FOREX</v>
      </c>
      <c r="D1400" s="603"/>
      <c r="E1400" s="604"/>
      <c r="F1400" s="607" t="s">
        <v>18</v>
      </c>
      <c r="G1400" s="608">
        <v>0</v>
      </c>
    </row>
    <row r="1401" spans="1:7" ht="11.1" customHeight="1">
      <c r="A1401" s="600" t="str">
        <f t="shared" si="105"/>
        <v>HKD;HKD FOREX;15Y</v>
      </c>
      <c r="B1401" s="600" t="str">
        <f t="shared" si="109"/>
        <v>HKD</v>
      </c>
      <c r="C1401" s="600" t="str">
        <f t="shared" si="109"/>
        <v>HKD FOREX</v>
      </c>
      <c r="D1401" s="603"/>
      <c r="E1401" s="604"/>
      <c r="F1401" s="607" t="s">
        <v>19</v>
      </c>
      <c r="G1401" s="608">
        <v>0</v>
      </c>
    </row>
    <row r="1402" spans="1:7" ht="11.1" customHeight="1">
      <c r="A1402" s="600" t="str">
        <f t="shared" si="105"/>
        <v>HKD;HKD USD BAS EONIA;Total HKD USD BAS EONIA</v>
      </c>
      <c r="B1402" s="600" t="str">
        <f t="shared" si="109"/>
        <v>HKD</v>
      </c>
      <c r="C1402" s="600" t="str">
        <f t="shared" si="109"/>
        <v>HKD USD BAS EONIA</v>
      </c>
      <c r="D1402" s="603"/>
      <c r="E1402" s="604" t="s">
        <v>3892</v>
      </c>
      <c r="F1402" s="605" t="s">
        <v>3893</v>
      </c>
      <c r="G1402" s="606">
        <v>-5.0623362718266796</v>
      </c>
    </row>
    <row r="1403" spans="1:7" ht="11.1" customHeight="1">
      <c r="A1403" s="600" t="str">
        <f t="shared" si="105"/>
        <v>HKD;HKD USD BAS EONIA;1W</v>
      </c>
      <c r="B1403" s="600" t="str">
        <f t="shared" si="109"/>
        <v>HKD</v>
      </c>
      <c r="C1403" s="600" t="str">
        <f t="shared" si="109"/>
        <v>HKD USD BAS EONIA</v>
      </c>
      <c r="D1403" s="603"/>
      <c r="E1403" s="604"/>
      <c r="F1403" s="607" t="s">
        <v>5</v>
      </c>
      <c r="G1403" s="606">
        <v>-0.27594603374864302</v>
      </c>
    </row>
    <row r="1404" spans="1:7" ht="11.1" customHeight="1">
      <c r="A1404" s="600" t="str">
        <f t="shared" si="105"/>
        <v>HKD;HKD USD BAS EONIA;2W</v>
      </c>
      <c r="B1404" s="600" t="str">
        <f t="shared" si="109"/>
        <v>HKD</v>
      </c>
      <c r="C1404" s="600" t="str">
        <f t="shared" si="109"/>
        <v>HKD USD BAS EONIA</v>
      </c>
      <c r="D1404" s="603"/>
      <c r="E1404" s="604"/>
      <c r="F1404" s="607" t="s">
        <v>6</v>
      </c>
      <c r="G1404" s="606">
        <v>-4.6643301879736497E-2</v>
      </c>
    </row>
    <row r="1405" spans="1:7" ht="11.1" customHeight="1">
      <c r="A1405" s="600" t="str">
        <f t="shared" si="105"/>
        <v>HKD;HKD USD BAS EONIA;1M</v>
      </c>
      <c r="B1405" s="600" t="str">
        <f t="shared" si="109"/>
        <v>HKD</v>
      </c>
      <c r="C1405" s="600" t="str">
        <f t="shared" si="109"/>
        <v>HKD USD BAS EONIA</v>
      </c>
      <c r="D1405" s="603"/>
      <c r="E1405" s="604"/>
      <c r="F1405" s="607" t="s">
        <v>7</v>
      </c>
      <c r="G1405" s="611">
        <v>0.361811087210477</v>
      </c>
    </row>
    <row r="1406" spans="1:7" ht="11.1" customHeight="1">
      <c r="A1406" s="600" t="str">
        <f t="shared" si="105"/>
        <v>HKD;HKD USD BAS EONIA;2M</v>
      </c>
      <c r="B1406" s="600" t="str">
        <f t="shared" si="109"/>
        <v>HKD</v>
      </c>
      <c r="C1406" s="600" t="str">
        <f t="shared" si="109"/>
        <v>HKD USD BAS EONIA</v>
      </c>
      <c r="D1406" s="603"/>
      <c r="E1406" s="604"/>
      <c r="F1406" s="607" t="s">
        <v>8</v>
      </c>
      <c r="G1406" s="606">
        <v>-4.1938618574033804</v>
      </c>
    </row>
    <row r="1407" spans="1:7" ht="11.1" customHeight="1">
      <c r="A1407" s="600" t="str">
        <f t="shared" si="105"/>
        <v>HKD;HKD USD BAS EONIA;3M</v>
      </c>
      <c r="B1407" s="600" t="str">
        <f t="shared" si="109"/>
        <v>HKD</v>
      </c>
      <c r="C1407" s="600" t="str">
        <f t="shared" si="109"/>
        <v>HKD USD BAS EONIA</v>
      </c>
      <c r="D1407" s="603"/>
      <c r="E1407" s="604"/>
      <c r="F1407" s="607" t="s">
        <v>25</v>
      </c>
      <c r="G1407" s="606">
        <v>-0.95340558285169896</v>
      </c>
    </row>
    <row r="1408" spans="1:7" ht="11.1" customHeight="1">
      <c r="A1408" s="600" t="str">
        <f t="shared" si="105"/>
        <v>HKD;HKD USD BAS EONIA;4M</v>
      </c>
      <c r="B1408" s="600" t="str">
        <f t="shared" si="109"/>
        <v>HKD</v>
      </c>
      <c r="C1408" s="600" t="str">
        <f t="shared" si="109"/>
        <v>HKD USD BAS EONIA</v>
      </c>
      <c r="D1408" s="603"/>
      <c r="E1408" s="604"/>
      <c r="F1408" s="607" t="s">
        <v>26</v>
      </c>
      <c r="G1408" s="611">
        <v>4.5709416846310899E-2</v>
      </c>
    </row>
    <row r="1409" spans="1:7" ht="11.1" customHeight="1">
      <c r="A1409" s="600" t="str">
        <f t="shared" si="105"/>
        <v>HKD;HKD USD BAS EONIA;5M</v>
      </c>
      <c r="B1409" s="600" t="str">
        <f t="shared" si="109"/>
        <v>HKD</v>
      </c>
      <c r="C1409" s="600" t="str">
        <f t="shared" si="109"/>
        <v>HKD USD BAS EONIA</v>
      </c>
      <c r="D1409" s="603"/>
      <c r="E1409" s="604"/>
      <c r="F1409" s="607" t="s">
        <v>27</v>
      </c>
      <c r="G1409" s="608">
        <v>0</v>
      </c>
    </row>
    <row r="1410" spans="1:7" ht="11.1" customHeight="1">
      <c r="A1410" s="600" t="str">
        <f t="shared" si="105"/>
        <v>HKD;HKD USD BAS EONIA;6M</v>
      </c>
      <c r="B1410" s="600" t="str">
        <f t="shared" si="109"/>
        <v>HKD</v>
      </c>
      <c r="C1410" s="600" t="str">
        <f t="shared" si="109"/>
        <v>HKD USD BAS EONIA</v>
      </c>
      <c r="D1410" s="603"/>
      <c r="E1410" s="604"/>
      <c r="F1410" s="607" t="s">
        <v>28</v>
      </c>
      <c r="G1410" s="608">
        <v>0</v>
      </c>
    </row>
    <row r="1411" spans="1:7" ht="11.1" customHeight="1">
      <c r="A1411" s="600" t="str">
        <f t="shared" si="105"/>
        <v>HKD;HKD USD BAS EONIA;9M</v>
      </c>
      <c r="B1411" s="600" t="str">
        <f t="shared" si="109"/>
        <v>HKD</v>
      </c>
      <c r="C1411" s="600" t="str">
        <f t="shared" si="109"/>
        <v>HKD USD BAS EONIA</v>
      </c>
      <c r="D1411" s="603"/>
      <c r="E1411" s="604"/>
      <c r="F1411" s="607" t="s">
        <v>49</v>
      </c>
      <c r="G1411" s="608">
        <v>0</v>
      </c>
    </row>
    <row r="1412" spans="1:7" ht="11.1" customHeight="1">
      <c r="A1412" s="600" t="str">
        <f t="shared" si="105"/>
        <v>HKD;HKD USD BAS EONIA;1Y</v>
      </c>
      <c r="B1412" s="600" t="str">
        <f t="shared" si="109"/>
        <v>HKD</v>
      </c>
      <c r="C1412" s="600" t="str">
        <f t="shared" si="109"/>
        <v>HKD USD BAS EONIA</v>
      </c>
      <c r="D1412" s="603"/>
      <c r="E1412" s="604"/>
      <c r="F1412" s="607" t="s">
        <v>56</v>
      </c>
      <c r="G1412" s="608">
        <v>0</v>
      </c>
    </row>
    <row r="1413" spans="1:7" ht="11.1" customHeight="1">
      <c r="A1413" s="600" t="str">
        <f t="shared" ref="A1413:A1476" si="110">B1413&amp;";"&amp;C1413&amp;";"&amp;F1413</f>
        <v>HKD;HKD USD BAS EONIA;18M</v>
      </c>
      <c r="B1413" s="600" t="str">
        <f t="shared" ref="B1413:C1428" si="111">IF(ISBLANK(D1413),B1412,D1413)</f>
        <v>HKD</v>
      </c>
      <c r="C1413" s="600" t="str">
        <f t="shared" si="111"/>
        <v>HKD USD BAS EONIA</v>
      </c>
      <c r="D1413" s="603"/>
      <c r="E1413" s="604"/>
      <c r="F1413" s="607" t="s">
        <v>54</v>
      </c>
      <c r="G1413" s="608">
        <v>0</v>
      </c>
    </row>
    <row r="1414" spans="1:7" ht="11.1" customHeight="1">
      <c r="A1414" s="600" t="str">
        <f t="shared" si="110"/>
        <v>HKD;HKD USD BAS EONIA;2Y</v>
      </c>
      <c r="B1414" s="600" t="str">
        <f t="shared" si="111"/>
        <v>HKD</v>
      </c>
      <c r="C1414" s="600" t="str">
        <f t="shared" si="111"/>
        <v>HKD USD BAS EONIA</v>
      </c>
      <c r="D1414" s="603"/>
      <c r="E1414" s="604"/>
      <c r="F1414" s="607" t="s">
        <v>9</v>
      </c>
      <c r="G1414" s="608">
        <v>0</v>
      </c>
    </row>
    <row r="1415" spans="1:7" ht="11.1" customHeight="1">
      <c r="A1415" s="600" t="str">
        <f t="shared" si="110"/>
        <v>HKD;HKD USD BAS EONIA;3Y</v>
      </c>
      <c r="B1415" s="600" t="str">
        <f t="shared" si="111"/>
        <v>HKD</v>
      </c>
      <c r="C1415" s="600" t="str">
        <f t="shared" si="111"/>
        <v>HKD USD BAS EONIA</v>
      </c>
      <c r="D1415" s="603"/>
      <c r="E1415" s="604"/>
      <c r="F1415" s="607" t="s">
        <v>10</v>
      </c>
      <c r="G1415" s="608">
        <v>0</v>
      </c>
    </row>
    <row r="1416" spans="1:7" ht="11.1" customHeight="1">
      <c r="A1416" s="600" t="str">
        <f t="shared" si="110"/>
        <v>HKD;HKD USD BAS EONIA;4Y</v>
      </c>
      <c r="B1416" s="600" t="str">
        <f t="shared" si="111"/>
        <v>HKD</v>
      </c>
      <c r="C1416" s="600" t="str">
        <f t="shared" si="111"/>
        <v>HKD USD BAS EONIA</v>
      </c>
      <c r="D1416" s="603"/>
      <c r="E1416" s="604"/>
      <c r="F1416" s="607" t="s">
        <v>11</v>
      </c>
      <c r="G1416" s="608">
        <v>0</v>
      </c>
    </row>
    <row r="1417" spans="1:7" ht="11.1" customHeight="1">
      <c r="A1417" s="600" t="str">
        <f t="shared" si="110"/>
        <v>HKD;HKD USD BAS EONIA;5Y</v>
      </c>
      <c r="B1417" s="600" t="str">
        <f t="shared" si="111"/>
        <v>HKD</v>
      </c>
      <c r="C1417" s="600" t="str">
        <f t="shared" si="111"/>
        <v>HKD USD BAS EONIA</v>
      </c>
      <c r="D1417" s="603"/>
      <c r="E1417" s="604"/>
      <c r="F1417" s="607" t="s">
        <v>12</v>
      </c>
      <c r="G1417" s="608">
        <v>0</v>
      </c>
    </row>
    <row r="1418" spans="1:7" ht="11.1" customHeight="1">
      <c r="A1418" s="600" t="str">
        <f t="shared" si="110"/>
        <v>HKD;HKD USD BAS EONIA;6Y</v>
      </c>
      <c r="B1418" s="600" t="str">
        <f t="shared" si="111"/>
        <v>HKD</v>
      </c>
      <c r="C1418" s="600" t="str">
        <f t="shared" si="111"/>
        <v>HKD USD BAS EONIA</v>
      </c>
      <c r="D1418" s="603"/>
      <c r="E1418" s="604"/>
      <c r="F1418" s="607" t="s">
        <v>13</v>
      </c>
      <c r="G1418" s="608">
        <v>0</v>
      </c>
    </row>
    <row r="1419" spans="1:7" ht="11.1" customHeight="1">
      <c r="A1419" s="600" t="str">
        <f t="shared" si="110"/>
        <v>HKD;HKD USD BAS EONIA;7Y</v>
      </c>
      <c r="B1419" s="600" t="str">
        <f t="shared" si="111"/>
        <v>HKD</v>
      </c>
      <c r="C1419" s="600" t="str">
        <f t="shared" si="111"/>
        <v>HKD USD BAS EONIA</v>
      </c>
      <c r="D1419" s="603"/>
      <c r="E1419" s="604"/>
      <c r="F1419" s="607" t="s">
        <v>14</v>
      </c>
      <c r="G1419" s="608">
        <v>0</v>
      </c>
    </row>
    <row r="1420" spans="1:7" ht="11.1" customHeight="1">
      <c r="A1420" s="600" t="str">
        <f t="shared" si="110"/>
        <v>HKD;HKD USD BAS EONIA;8Y</v>
      </c>
      <c r="B1420" s="600" t="str">
        <f t="shared" si="111"/>
        <v>HKD</v>
      </c>
      <c r="C1420" s="600" t="str">
        <f t="shared" si="111"/>
        <v>HKD USD BAS EONIA</v>
      </c>
      <c r="D1420" s="603"/>
      <c r="E1420" s="604"/>
      <c r="F1420" s="607" t="s">
        <v>15</v>
      </c>
      <c r="G1420" s="608">
        <v>0</v>
      </c>
    </row>
    <row r="1421" spans="1:7" ht="11.1" customHeight="1">
      <c r="A1421" s="600" t="str">
        <f t="shared" si="110"/>
        <v>HKD;HKD USD BAS EONIA;9Y</v>
      </c>
      <c r="B1421" s="600" t="str">
        <f t="shared" si="111"/>
        <v>HKD</v>
      </c>
      <c r="C1421" s="600" t="str">
        <f t="shared" si="111"/>
        <v>HKD USD BAS EONIA</v>
      </c>
      <c r="D1421" s="603"/>
      <c r="E1421" s="604"/>
      <c r="F1421" s="607" t="s">
        <v>16</v>
      </c>
      <c r="G1421" s="608">
        <v>0</v>
      </c>
    </row>
    <row r="1422" spans="1:7" ht="11.1" customHeight="1">
      <c r="A1422" s="600" t="str">
        <f t="shared" si="110"/>
        <v>HKD;HKD USD BAS EONIA;10Y</v>
      </c>
      <c r="B1422" s="600" t="str">
        <f t="shared" si="111"/>
        <v>HKD</v>
      </c>
      <c r="C1422" s="600" t="str">
        <f t="shared" si="111"/>
        <v>HKD USD BAS EONIA</v>
      </c>
      <c r="D1422" s="603"/>
      <c r="E1422" s="604"/>
      <c r="F1422" s="607" t="s">
        <v>17</v>
      </c>
      <c r="G1422" s="608">
        <v>0</v>
      </c>
    </row>
    <row r="1423" spans="1:7" ht="11.1" customHeight="1">
      <c r="A1423" s="600" t="str">
        <f t="shared" si="110"/>
        <v>HKD;HKD USD BAS EONIA;12Y</v>
      </c>
      <c r="B1423" s="600" t="str">
        <f t="shared" si="111"/>
        <v>HKD</v>
      </c>
      <c r="C1423" s="600" t="str">
        <f t="shared" si="111"/>
        <v>HKD USD BAS EONIA</v>
      </c>
      <c r="D1423" s="603"/>
      <c r="E1423" s="604"/>
      <c r="F1423" s="607" t="s">
        <v>18</v>
      </c>
      <c r="G1423" s="608">
        <v>0</v>
      </c>
    </row>
    <row r="1424" spans="1:7" ht="11.1" customHeight="1">
      <c r="A1424" s="600" t="str">
        <f t="shared" si="110"/>
        <v>HKD;HKD USD BAS EONIA;15Y</v>
      </c>
      <c r="B1424" s="600" t="str">
        <f t="shared" si="111"/>
        <v>HKD</v>
      </c>
      <c r="C1424" s="600" t="str">
        <f t="shared" si="111"/>
        <v>HKD USD BAS EONIA</v>
      </c>
      <c r="D1424" s="603"/>
      <c r="E1424" s="604"/>
      <c r="F1424" s="607" t="s">
        <v>19</v>
      </c>
      <c r="G1424" s="608">
        <v>0</v>
      </c>
    </row>
    <row r="1425" spans="1:7" ht="11.1" customHeight="1">
      <c r="A1425" s="600" t="str">
        <f t="shared" si="110"/>
        <v>HUF;Total HUF;</v>
      </c>
      <c r="B1425" s="600" t="str">
        <f t="shared" si="111"/>
        <v>HUF</v>
      </c>
      <c r="C1425" s="600" t="str">
        <f t="shared" si="111"/>
        <v>Total HUF</v>
      </c>
      <c r="D1425" s="603" t="s">
        <v>1242</v>
      </c>
      <c r="E1425" s="609" t="s">
        <v>1243</v>
      </c>
      <c r="F1425" s="609"/>
      <c r="G1425" s="612">
        <v>-243219.49902806501</v>
      </c>
    </row>
    <row r="1426" spans="1:7" ht="11.1" customHeight="1">
      <c r="A1426" s="600" t="str">
        <f t="shared" si="110"/>
        <v>HUF;HUF 3M;Total HUF 3M</v>
      </c>
      <c r="B1426" s="600" t="str">
        <f t="shared" si="111"/>
        <v>HUF</v>
      </c>
      <c r="C1426" s="600" t="str">
        <f t="shared" si="111"/>
        <v>HUF 3M</v>
      </c>
      <c r="D1426" s="603"/>
      <c r="E1426" s="604" t="s">
        <v>3894</v>
      </c>
      <c r="F1426" s="605" t="s">
        <v>3895</v>
      </c>
      <c r="G1426" s="606">
        <v>-239403.744182981</v>
      </c>
    </row>
    <row r="1427" spans="1:7" ht="11.1" customHeight="1">
      <c r="A1427" s="600" t="str">
        <f t="shared" si="110"/>
        <v>HUF;HUF 3M;O/N</v>
      </c>
      <c r="B1427" s="600" t="str">
        <f t="shared" si="111"/>
        <v>HUF</v>
      </c>
      <c r="C1427" s="600" t="str">
        <f t="shared" si="111"/>
        <v>HUF 3M</v>
      </c>
      <c r="D1427" s="603"/>
      <c r="E1427" s="604"/>
      <c r="F1427" s="607" t="s">
        <v>3</v>
      </c>
      <c r="G1427" s="611">
        <v>508.38248341432802</v>
      </c>
    </row>
    <row r="1428" spans="1:7" ht="11.1" customHeight="1">
      <c r="A1428" s="600" t="str">
        <f t="shared" si="110"/>
        <v>HUF;HUF 3M;3M</v>
      </c>
      <c r="B1428" s="600" t="str">
        <f t="shared" si="111"/>
        <v>HUF</v>
      </c>
      <c r="C1428" s="600" t="str">
        <f t="shared" si="111"/>
        <v>HUF 3M</v>
      </c>
      <c r="D1428" s="603"/>
      <c r="E1428" s="604"/>
      <c r="F1428" s="607" t="s">
        <v>25</v>
      </c>
      <c r="G1428" s="606">
        <v>-41620.4515839796</v>
      </c>
    </row>
    <row r="1429" spans="1:7" ht="11.1" customHeight="1">
      <c r="A1429" s="600" t="str">
        <f t="shared" si="110"/>
        <v>HUF;HUF 3M;3M-6M</v>
      </c>
      <c r="B1429" s="600" t="str">
        <f t="shared" ref="B1429:C1444" si="112">IF(ISBLANK(D1429),B1428,D1429)</f>
        <v>HUF</v>
      </c>
      <c r="C1429" s="600" t="str">
        <f t="shared" si="112"/>
        <v>HUF 3M</v>
      </c>
      <c r="D1429" s="603"/>
      <c r="E1429" s="604"/>
      <c r="F1429" s="607" t="s">
        <v>1213</v>
      </c>
      <c r="G1429" s="606">
        <v>-40247.9693153474</v>
      </c>
    </row>
    <row r="1430" spans="1:7" ht="11.1" customHeight="1">
      <c r="A1430" s="600" t="str">
        <f t="shared" si="110"/>
        <v>HUF;HUF 3M;6M-9M</v>
      </c>
      <c r="B1430" s="600" t="str">
        <f t="shared" si="112"/>
        <v>HUF</v>
      </c>
      <c r="C1430" s="600" t="str">
        <f t="shared" si="112"/>
        <v>HUF 3M</v>
      </c>
      <c r="D1430" s="603"/>
      <c r="E1430" s="604"/>
      <c r="F1430" s="607" t="s">
        <v>1214</v>
      </c>
      <c r="G1430" s="606">
        <v>-41557.6660982502</v>
      </c>
    </row>
    <row r="1431" spans="1:7" ht="11.1" customHeight="1">
      <c r="A1431" s="600" t="str">
        <f t="shared" si="110"/>
        <v>HUF;HUF 3M;9M-12M</v>
      </c>
      <c r="B1431" s="600" t="str">
        <f t="shared" si="112"/>
        <v>HUF</v>
      </c>
      <c r="C1431" s="600" t="str">
        <f t="shared" si="112"/>
        <v>HUF 3M</v>
      </c>
      <c r="D1431" s="603"/>
      <c r="E1431" s="604"/>
      <c r="F1431" s="607" t="s">
        <v>1215</v>
      </c>
      <c r="G1431" s="606">
        <v>-41961.964090284797</v>
      </c>
    </row>
    <row r="1432" spans="1:7" ht="11.1" customHeight="1">
      <c r="A1432" s="600" t="str">
        <f t="shared" si="110"/>
        <v>HUF;HUF 3M;2Y</v>
      </c>
      <c r="B1432" s="600" t="str">
        <f t="shared" si="112"/>
        <v>HUF</v>
      </c>
      <c r="C1432" s="600" t="str">
        <f t="shared" si="112"/>
        <v>HUF 3M</v>
      </c>
      <c r="D1432" s="603"/>
      <c r="E1432" s="604"/>
      <c r="F1432" s="607" t="s">
        <v>9</v>
      </c>
      <c r="G1432" s="606">
        <v>-74438.842698785302</v>
      </c>
    </row>
    <row r="1433" spans="1:7" ht="11.1" customHeight="1">
      <c r="A1433" s="600" t="str">
        <f t="shared" si="110"/>
        <v>HUF;HUF 3M;3Y</v>
      </c>
      <c r="B1433" s="600" t="str">
        <f t="shared" si="112"/>
        <v>HUF</v>
      </c>
      <c r="C1433" s="600" t="str">
        <f t="shared" si="112"/>
        <v>HUF 3M</v>
      </c>
      <c r="D1433" s="603"/>
      <c r="E1433" s="604"/>
      <c r="F1433" s="607" t="s">
        <v>10</v>
      </c>
      <c r="G1433" s="606">
        <v>-85.4156738205306</v>
      </c>
    </row>
    <row r="1434" spans="1:7" ht="11.1" customHeight="1">
      <c r="A1434" s="600" t="str">
        <f t="shared" si="110"/>
        <v>HUF;HUF 3M;4Y</v>
      </c>
      <c r="B1434" s="600" t="str">
        <f t="shared" si="112"/>
        <v>HUF</v>
      </c>
      <c r="C1434" s="600" t="str">
        <f t="shared" si="112"/>
        <v>HUF 3M</v>
      </c>
      <c r="D1434" s="603"/>
      <c r="E1434" s="604"/>
      <c r="F1434" s="607" t="s">
        <v>11</v>
      </c>
      <c r="G1434" s="611">
        <v>0.18278716116489099</v>
      </c>
    </row>
    <row r="1435" spans="1:7" ht="11.1" customHeight="1">
      <c r="A1435" s="600" t="str">
        <f t="shared" si="110"/>
        <v>HUF;HUF 3M;5Y</v>
      </c>
      <c r="B1435" s="600" t="str">
        <f t="shared" si="112"/>
        <v>HUF</v>
      </c>
      <c r="C1435" s="600" t="str">
        <f t="shared" si="112"/>
        <v>HUF 3M</v>
      </c>
      <c r="D1435" s="603"/>
      <c r="E1435" s="604"/>
      <c r="F1435" s="607" t="s">
        <v>12</v>
      </c>
      <c r="G1435" s="611">
        <v>6.1934665891349602E-6</v>
      </c>
    </row>
    <row r="1436" spans="1:7" ht="11.1" customHeight="1">
      <c r="A1436" s="600" t="str">
        <f t="shared" si="110"/>
        <v>HUF;HUF 3M;6Y</v>
      </c>
      <c r="B1436" s="600" t="str">
        <f t="shared" si="112"/>
        <v>HUF</v>
      </c>
      <c r="C1436" s="600" t="str">
        <f t="shared" si="112"/>
        <v>HUF 3M</v>
      </c>
      <c r="D1436" s="603"/>
      <c r="E1436" s="604"/>
      <c r="F1436" s="607" t="s">
        <v>13</v>
      </c>
      <c r="G1436" s="611">
        <v>7.1688630126341596E-7</v>
      </c>
    </row>
    <row r="1437" spans="1:7" ht="11.1" customHeight="1">
      <c r="A1437" s="600" t="str">
        <f t="shared" si="110"/>
        <v>HUF;HUF 3M;7Y</v>
      </c>
      <c r="B1437" s="600" t="str">
        <f t="shared" si="112"/>
        <v>HUF</v>
      </c>
      <c r="C1437" s="600" t="str">
        <f t="shared" si="112"/>
        <v>HUF 3M</v>
      </c>
      <c r="D1437" s="603"/>
      <c r="E1437" s="604"/>
      <c r="F1437" s="607" t="s">
        <v>14</v>
      </c>
      <c r="G1437" s="611">
        <v>6.8664346281434103E-10</v>
      </c>
    </row>
    <row r="1438" spans="1:7" ht="11.1" customHeight="1">
      <c r="A1438" s="600" t="str">
        <f t="shared" si="110"/>
        <v>HUF;HUF 3M;8Y</v>
      </c>
      <c r="B1438" s="600" t="str">
        <f t="shared" si="112"/>
        <v>HUF</v>
      </c>
      <c r="C1438" s="600" t="str">
        <f t="shared" si="112"/>
        <v>HUF 3M</v>
      </c>
      <c r="D1438" s="603"/>
      <c r="E1438" s="604"/>
      <c r="F1438" s="607" t="s">
        <v>15</v>
      </c>
      <c r="G1438" s="611">
        <v>0</v>
      </c>
    </row>
    <row r="1439" spans="1:7" ht="11.1" customHeight="1">
      <c r="A1439" s="600" t="str">
        <f t="shared" si="110"/>
        <v>HUF;HUF 3M;9Y</v>
      </c>
      <c r="B1439" s="600" t="str">
        <f t="shared" si="112"/>
        <v>HUF</v>
      </c>
      <c r="C1439" s="600" t="str">
        <f t="shared" si="112"/>
        <v>HUF 3M</v>
      </c>
      <c r="D1439" s="603"/>
      <c r="E1439" s="604"/>
      <c r="F1439" s="607" t="s">
        <v>16</v>
      </c>
      <c r="G1439" s="611">
        <v>0</v>
      </c>
    </row>
    <row r="1440" spans="1:7" ht="11.1" customHeight="1">
      <c r="A1440" s="600" t="str">
        <f t="shared" si="110"/>
        <v>HUF;HUF 3M;10Y</v>
      </c>
      <c r="B1440" s="600" t="str">
        <f t="shared" si="112"/>
        <v>HUF</v>
      </c>
      <c r="C1440" s="600" t="str">
        <f t="shared" si="112"/>
        <v>HUF 3M</v>
      </c>
      <c r="D1440" s="603"/>
      <c r="E1440" s="604"/>
      <c r="F1440" s="607" t="s">
        <v>17</v>
      </c>
      <c r="G1440" s="608">
        <v>0</v>
      </c>
    </row>
    <row r="1441" spans="1:7" ht="11.1" customHeight="1">
      <c r="A1441" s="600" t="str">
        <f t="shared" si="110"/>
        <v>HUF;HUF 6M;Total HUF 6M</v>
      </c>
      <c r="B1441" s="600" t="str">
        <f t="shared" si="112"/>
        <v>HUF</v>
      </c>
      <c r="C1441" s="600" t="str">
        <f t="shared" si="112"/>
        <v>HUF 6M</v>
      </c>
      <c r="D1441" s="603"/>
      <c r="E1441" s="604" t="s">
        <v>3896</v>
      </c>
      <c r="F1441" s="605" t="s">
        <v>3897</v>
      </c>
      <c r="G1441" s="611">
        <v>50.8674187170528</v>
      </c>
    </row>
    <row r="1442" spans="1:7" ht="11.1" customHeight="1">
      <c r="A1442" s="600" t="str">
        <f t="shared" si="110"/>
        <v>HUF;HUF 6M;O/N</v>
      </c>
      <c r="B1442" s="600" t="str">
        <f t="shared" si="112"/>
        <v>HUF</v>
      </c>
      <c r="C1442" s="600" t="str">
        <f t="shared" si="112"/>
        <v>HUF 6M</v>
      </c>
      <c r="D1442" s="603"/>
      <c r="E1442" s="604"/>
      <c r="F1442" s="607" t="s">
        <v>3</v>
      </c>
      <c r="G1442" s="606">
        <v>-7.7960170212700204</v>
      </c>
    </row>
    <row r="1443" spans="1:7" ht="11.1" customHeight="1">
      <c r="A1443" s="600" t="str">
        <f t="shared" si="110"/>
        <v>HUF;HUF 6M;6M</v>
      </c>
      <c r="B1443" s="600" t="str">
        <f t="shared" si="112"/>
        <v>HUF</v>
      </c>
      <c r="C1443" s="600" t="str">
        <f t="shared" si="112"/>
        <v>HUF 6M</v>
      </c>
      <c r="D1443" s="603"/>
      <c r="E1443" s="604"/>
      <c r="F1443" s="607" t="s">
        <v>28</v>
      </c>
      <c r="G1443" s="611">
        <v>47.994880949059699</v>
      </c>
    </row>
    <row r="1444" spans="1:7" ht="11.1" customHeight="1">
      <c r="A1444" s="600" t="str">
        <f t="shared" si="110"/>
        <v>HUF;HUF 6M;6M-12M</v>
      </c>
      <c r="B1444" s="600" t="str">
        <f t="shared" si="112"/>
        <v>HUF</v>
      </c>
      <c r="C1444" s="600" t="str">
        <f t="shared" si="112"/>
        <v>HUF 6M</v>
      </c>
      <c r="D1444" s="603"/>
      <c r="E1444" s="604"/>
      <c r="F1444" s="607" t="s">
        <v>1194</v>
      </c>
      <c r="G1444" s="611">
        <v>10.951613159297301</v>
      </c>
    </row>
    <row r="1445" spans="1:7" ht="11.1" customHeight="1">
      <c r="A1445" s="600" t="str">
        <f t="shared" si="110"/>
        <v>HUF;HUF 6M;12M-18M</v>
      </c>
      <c r="B1445" s="600" t="str">
        <f t="shared" ref="B1445:C1460" si="113">IF(ISBLANK(D1445),B1444,D1445)</f>
        <v>HUF</v>
      </c>
      <c r="C1445" s="600" t="str">
        <f t="shared" si="113"/>
        <v>HUF 6M</v>
      </c>
      <c r="D1445" s="603"/>
      <c r="E1445" s="604"/>
      <c r="F1445" s="607" t="s">
        <v>1196</v>
      </c>
      <c r="G1445" s="606">
        <v>-0.283058370030631</v>
      </c>
    </row>
    <row r="1446" spans="1:7" ht="11.1" customHeight="1">
      <c r="A1446" s="600" t="str">
        <f t="shared" si="110"/>
        <v>HUF;HUF 6M;2Y</v>
      </c>
      <c r="B1446" s="600" t="str">
        <f t="shared" si="113"/>
        <v>HUF</v>
      </c>
      <c r="C1446" s="600" t="str">
        <f t="shared" si="113"/>
        <v>HUF 6M</v>
      </c>
      <c r="D1446" s="603"/>
      <c r="E1446" s="604"/>
      <c r="F1446" s="607" t="s">
        <v>9</v>
      </c>
      <c r="G1446" s="608">
        <v>0</v>
      </c>
    </row>
    <row r="1447" spans="1:7" ht="11.1" customHeight="1">
      <c r="A1447" s="600" t="str">
        <f t="shared" si="110"/>
        <v>HUF;HUF 6M;3Y</v>
      </c>
      <c r="B1447" s="600" t="str">
        <f t="shared" si="113"/>
        <v>HUF</v>
      </c>
      <c r="C1447" s="600" t="str">
        <f t="shared" si="113"/>
        <v>HUF 6M</v>
      </c>
      <c r="D1447" s="603"/>
      <c r="E1447" s="604"/>
      <c r="F1447" s="607" t="s">
        <v>10</v>
      </c>
      <c r="G1447" s="608">
        <v>0</v>
      </c>
    </row>
    <row r="1448" spans="1:7" ht="11.1" customHeight="1">
      <c r="A1448" s="600" t="str">
        <f t="shared" si="110"/>
        <v>HUF;HUF 6M;4Y</v>
      </c>
      <c r="B1448" s="600" t="str">
        <f t="shared" si="113"/>
        <v>HUF</v>
      </c>
      <c r="C1448" s="600" t="str">
        <f t="shared" si="113"/>
        <v>HUF 6M</v>
      </c>
      <c r="D1448" s="603"/>
      <c r="E1448" s="604"/>
      <c r="F1448" s="607" t="s">
        <v>11</v>
      </c>
      <c r="G1448" s="608">
        <v>0</v>
      </c>
    </row>
    <row r="1449" spans="1:7" ht="11.1" customHeight="1">
      <c r="A1449" s="600" t="str">
        <f t="shared" si="110"/>
        <v>HUF;HUF 6M;5Y</v>
      </c>
      <c r="B1449" s="600" t="str">
        <f t="shared" si="113"/>
        <v>HUF</v>
      </c>
      <c r="C1449" s="600" t="str">
        <f t="shared" si="113"/>
        <v>HUF 6M</v>
      </c>
      <c r="D1449" s="603"/>
      <c r="E1449" s="604"/>
      <c r="F1449" s="607" t="s">
        <v>12</v>
      </c>
      <c r="G1449" s="608">
        <v>0</v>
      </c>
    </row>
    <row r="1450" spans="1:7" ht="11.1" customHeight="1">
      <c r="A1450" s="600" t="str">
        <f t="shared" si="110"/>
        <v>HUF;HUF 6M;6Y</v>
      </c>
      <c r="B1450" s="600" t="str">
        <f t="shared" si="113"/>
        <v>HUF</v>
      </c>
      <c r="C1450" s="600" t="str">
        <f t="shared" si="113"/>
        <v>HUF 6M</v>
      </c>
      <c r="D1450" s="603"/>
      <c r="E1450" s="604"/>
      <c r="F1450" s="607" t="s">
        <v>13</v>
      </c>
      <c r="G1450" s="608">
        <v>0</v>
      </c>
    </row>
    <row r="1451" spans="1:7" ht="11.1" customHeight="1">
      <c r="A1451" s="600" t="str">
        <f t="shared" si="110"/>
        <v>HUF;HUF 6M;7Y</v>
      </c>
      <c r="B1451" s="600" t="str">
        <f t="shared" si="113"/>
        <v>HUF</v>
      </c>
      <c r="C1451" s="600" t="str">
        <f t="shared" si="113"/>
        <v>HUF 6M</v>
      </c>
      <c r="D1451" s="603"/>
      <c r="E1451" s="604"/>
      <c r="F1451" s="607" t="s">
        <v>14</v>
      </c>
      <c r="G1451" s="608">
        <v>0</v>
      </c>
    </row>
    <row r="1452" spans="1:7" ht="11.1" customHeight="1">
      <c r="A1452" s="600" t="str">
        <f t="shared" si="110"/>
        <v>HUF;HUF 6M;8Y</v>
      </c>
      <c r="B1452" s="600" t="str">
        <f t="shared" si="113"/>
        <v>HUF</v>
      </c>
      <c r="C1452" s="600" t="str">
        <f t="shared" si="113"/>
        <v>HUF 6M</v>
      </c>
      <c r="D1452" s="603"/>
      <c r="E1452" s="604"/>
      <c r="F1452" s="607" t="s">
        <v>15</v>
      </c>
      <c r="G1452" s="608">
        <v>0</v>
      </c>
    </row>
    <row r="1453" spans="1:7" ht="11.1" customHeight="1">
      <c r="A1453" s="600" t="str">
        <f t="shared" si="110"/>
        <v>HUF;HUF 6M;9Y</v>
      </c>
      <c r="B1453" s="600" t="str">
        <f t="shared" si="113"/>
        <v>HUF</v>
      </c>
      <c r="C1453" s="600" t="str">
        <f t="shared" si="113"/>
        <v>HUF 6M</v>
      </c>
      <c r="D1453" s="603"/>
      <c r="E1453" s="604"/>
      <c r="F1453" s="607" t="s">
        <v>16</v>
      </c>
      <c r="G1453" s="608">
        <v>0</v>
      </c>
    </row>
    <row r="1454" spans="1:7" ht="11.1" customHeight="1">
      <c r="A1454" s="600" t="str">
        <f t="shared" si="110"/>
        <v>HUF;HUF 6M;10Y</v>
      </c>
      <c r="B1454" s="600" t="str">
        <f t="shared" si="113"/>
        <v>HUF</v>
      </c>
      <c r="C1454" s="600" t="str">
        <f t="shared" si="113"/>
        <v>HUF 6M</v>
      </c>
      <c r="D1454" s="603"/>
      <c r="E1454" s="604"/>
      <c r="F1454" s="607" t="s">
        <v>17</v>
      </c>
      <c r="G1454" s="608">
        <v>0</v>
      </c>
    </row>
    <row r="1455" spans="1:7" ht="11.1" customHeight="1">
      <c r="A1455" s="600" t="str">
        <f t="shared" si="110"/>
        <v>HUF;HUF FOREX;Total HUF FOREX</v>
      </c>
      <c r="B1455" s="600" t="str">
        <f t="shared" si="113"/>
        <v>HUF</v>
      </c>
      <c r="C1455" s="600" t="str">
        <f t="shared" si="113"/>
        <v>HUF FOREX</v>
      </c>
      <c r="D1455" s="603"/>
      <c r="E1455" s="604" t="s">
        <v>1244</v>
      </c>
      <c r="F1455" s="605" t="s">
        <v>1245</v>
      </c>
      <c r="G1455" s="606">
        <v>-136.793292602279</v>
      </c>
    </row>
    <row r="1456" spans="1:7" ht="11.1" customHeight="1">
      <c r="A1456" s="600" t="str">
        <f t="shared" si="110"/>
        <v>HUF;HUF FOREX;O/N</v>
      </c>
      <c r="B1456" s="600" t="str">
        <f t="shared" si="113"/>
        <v>HUF</v>
      </c>
      <c r="C1456" s="600" t="str">
        <f t="shared" si="113"/>
        <v>HUF FOREX</v>
      </c>
      <c r="D1456" s="603"/>
      <c r="E1456" s="604"/>
      <c r="F1456" s="607" t="s">
        <v>3</v>
      </c>
      <c r="G1456" s="606">
        <v>-102.595895629667</v>
      </c>
    </row>
    <row r="1457" spans="1:7" ht="11.1" customHeight="1">
      <c r="A1457" s="600" t="str">
        <f t="shared" si="110"/>
        <v>HUF;HUF FOREX;T/N</v>
      </c>
      <c r="B1457" s="600" t="str">
        <f t="shared" si="113"/>
        <v>HUF</v>
      </c>
      <c r="C1457" s="600" t="str">
        <f t="shared" si="113"/>
        <v>HUF FOREX</v>
      </c>
      <c r="D1457" s="603"/>
      <c r="E1457" s="604"/>
      <c r="F1457" s="607" t="s">
        <v>4</v>
      </c>
      <c r="G1457" s="606">
        <v>-34.197396972611301</v>
      </c>
    </row>
    <row r="1458" spans="1:7" ht="11.1" customHeight="1">
      <c r="A1458" s="600" t="str">
        <f t="shared" si="110"/>
        <v>HUF;HUF FOREX;S/N</v>
      </c>
      <c r="B1458" s="600" t="str">
        <f t="shared" si="113"/>
        <v>HUF</v>
      </c>
      <c r="C1458" s="600" t="str">
        <f t="shared" si="113"/>
        <v>HUF FOREX</v>
      </c>
      <c r="D1458" s="603"/>
      <c r="E1458" s="604"/>
      <c r="F1458" s="607" t="s">
        <v>23</v>
      </c>
      <c r="G1458" s="608">
        <v>0</v>
      </c>
    </row>
    <row r="1459" spans="1:7" ht="11.1" customHeight="1">
      <c r="A1459" s="600" t="str">
        <f t="shared" si="110"/>
        <v>HUF;HUF FOREX;1W</v>
      </c>
      <c r="B1459" s="600" t="str">
        <f t="shared" si="113"/>
        <v>HUF</v>
      </c>
      <c r="C1459" s="600" t="str">
        <f t="shared" si="113"/>
        <v>HUF FOREX</v>
      </c>
      <c r="D1459" s="603"/>
      <c r="E1459" s="604"/>
      <c r="F1459" s="607" t="s">
        <v>5</v>
      </c>
      <c r="G1459" s="608">
        <v>0</v>
      </c>
    </row>
    <row r="1460" spans="1:7" ht="11.1" customHeight="1">
      <c r="A1460" s="600" t="str">
        <f t="shared" si="110"/>
        <v>HUF;HUF FOREX;2W</v>
      </c>
      <c r="B1460" s="600" t="str">
        <f t="shared" si="113"/>
        <v>HUF</v>
      </c>
      <c r="C1460" s="600" t="str">
        <f t="shared" si="113"/>
        <v>HUF FOREX</v>
      </c>
      <c r="D1460" s="603"/>
      <c r="E1460" s="604"/>
      <c r="F1460" s="607" t="s">
        <v>6</v>
      </c>
      <c r="G1460" s="608">
        <v>0</v>
      </c>
    </row>
    <row r="1461" spans="1:7" ht="11.1" customHeight="1">
      <c r="A1461" s="600" t="str">
        <f t="shared" si="110"/>
        <v>HUF;HUF FOREX;3W</v>
      </c>
      <c r="B1461" s="600" t="str">
        <f t="shared" ref="B1461:C1476" si="114">IF(ISBLANK(D1461),B1460,D1461)</f>
        <v>HUF</v>
      </c>
      <c r="C1461" s="600" t="str">
        <f t="shared" si="114"/>
        <v>HUF FOREX</v>
      </c>
      <c r="D1461" s="603"/>
      <c r="E1461" s="604"/>
      <c r="F1461" s="607" t="s">
        <v>24</v>
      </c>
      <c r="G1461" s="608">
        <v>0</v>
      </c>
    </row>
    <row r="1462" spans="1:7" ht="11.1" customHeight="1">
      <c r="A1462" s="600" t="str">
        <f t="shared" si="110"/>
        <v>HUF;HUF FOREX;1M</v>
      </c>
      <c r="B1462" s="600" t="str">
        <f t="shared" si="114"/>
        <v>HUF</v>
      </c>
      <c r="C1462" s="600" t="str">
        <f t="shared" si="114"/>
        <v>HUF FOREX</v>
      </c>
      <c r="D1462" s="603"/>
      <c r="E1462" s="604"/>
      <c r="F1462" s="607" t="s">
        <v>7</v>
      </c>
      <c r="G1462" s="608">
        <v>0</v>
      </c>
    </row>
    <row r="1463" spans="1:7" ht="11.1" customHeight="1">
      <c r="A1463" s="600" t="str">
        <f t="shared" si="110"/>
        <v>HUF;HUF FOREX;2M</v>
      </c>
      <c r="B1463" s="600" t="str">
        <f t="shared" si="114"/>
        <v>HUF</v>
      </c>
      <c r="C1463" s="600" t="str">
        <f t="shared" si="114"/>
        <v>HUF FOREX</v>
      </c>
      <c r="D1463" s="603"/>
      <c r="E1463" s="604"/>
      <c r="F1463" s="607" t="s">
        <v>8</v>
      </c>
      <c r="G1463" s="608">
        <v>0</v>
      </c>
    </row>
    <row r="1464" spans="1:7" ht="11.1" customHeight="1">
      <c r="A1464" s="600" t="str">
        <f t="shared" si="110"/>
        <v>HUF;HUF FOREX;3M</v>
      </c>
      <c r="B1464" s="600" t="str">
        <f t="shared" si="114"/>
        <v>HUF</v>
      </c>
      <c r="C1464" s="600" t="str">
        <f t="shared" si="114"/>
        <v>HUF FOREX</v>
      </c>
      <c r="D1464" s="603"/>
      <c r="E1464" s="604"/>
      <c r="F1464" s="607" t="s">
        <v>25</v>
      </c>
      <c r="G1464" s="608">
        <v>0</v>
      </c>
    </row>
    <row r="1465" spans="1:7" ht="11.1" customHeight="1">
      <c r="A1465" s="600" t="str">
        <f t="shared" si="110"/>
        <v>HUF;HUF FOREX;4M</v>
      </c>
      <c r="B1465" s="600" t="str">
        <f t="shared" si="114"/>
        <v>HUF</v>
      </c>
      <c r="C1465" s="600" t="str">
        <f t="shared" si="114"/>
        <v>HUF FOREX</v>
      </c>
      <c r="D1465" s="603"/>
      <c r="E1465" s="604"/>
      <c r="F1465" s="607" t="s">
        <v>26</v>
      </c>
      <c r="G1465" s="608">
        <v>0</v>
      </c>
    </row>
    <row r="1466" spans="1:7" ht="11.1" customHeight="1">
      <c r="A1466" s="600" t="str">
        <f t="shared" si="110"/>
        <v>HUF;HUF FOREX;5M</v>
      </c>
      <c r="B1466" s="600" t="str">
        <f t="shared" si="114"/>
        <v>HUF</v>
      </c>
      <c r="C1466" s="600" t="str">
        <f t="shared" si="114"/>
        <v>HUF FOREX</v>
      </c>
      <c r="D1466" s="603"/>
      <c r="E1466" s="604"/>
      <c r="F1466" s="607" t="s">
        <v>27</v>
      </c>
      <c r="G1466" s="608">
        <v>0</v>
      </c>
    </row>
    <row r="1467" spans="1:7" ht="11.1" customHeight="1">
      <c r="A1467" s="600" t="str">
        <f t="shared" si="110"/>
        <v>HUF;HUF FOREX;6M</v>
      </c>
      <c r="B1467" s="600" t="str">
        <f t="shared" si="114"/>
        <v>HUF</v>
      </c>
      <c r="C1467" s="600" t="str">
        <f t="shared" si="114"/>
        <v>HUF FOREX</v>
      </c>
      <c r="D1467" s="603"/>
      <c r="E1467" s="604"/>
      <c r="F1467" s="607" t="s">
        <v>28</v>
      </c>
      <c r="G1467" s="608">
        <v>0</v>
      </c>
    </row>
    <row r="1468" spans="1:7" ht="11.1" customHeight="1">
      <c r="A1468" s="600" t="str">
        <f t="shared" si="110"/>
        <v>HUF;HUF FOREX;7M</v>
      </c>
      <c r="B1468" s="600" t="str">
        <f t="shared" si="114"/>
        <v>HUF</v>
      </c>
      <c r="C1468" s="600" t="str">
        <f t="shared" si="114"/>
        <v>HUF FOREX</v>
      </c>
      <c r="D1468" s="603"/>
      <c r="E1468" s="604"/>
      <c r="F1468" s="607" t="s">
        <v>29</v>
      </c>
      <c r="G1468" s="608">
        <v>0</v>
      </c>
    </row>
    <row r="1469" spans="1:7" ht="11.1" customHeight="1">
      <c r="A1469" s="600" t="str">
        <f t="shared" si="110"/>
        <v>HUF;HUF FOREX;8M</v>
      </c>
      <c r="B1469" s="600" t="str">
        <f t="shared" si="114"/>
        <v>HUF</v>
      </c>
      <c r="C1469" s="600" t="str">
        <f t="shared" si="114"/>
        <v>HUF FOREX</v>
      </c>
      <c r="D1469" s="603"/>
      <c r="E1469" s="604"/>
      <c r="F1469" s="607" t="s">
        <v>30</v>
      </c>
      <c r="G1469" s="608">
        <v>0</v>
      </c>
    </row>
    <row r="1470" spans="1:7" ht="11.1" customHeight="1">
      <c r="A1470" s="600" t="str">
        <f t="shared" si="110"/>
        <v>HUF;HUF FOREX;9M</v>
      </c>
      <c r="B1470" s="600" t="str">
        <f t="shared" si="114"/>
        <v>HUF</v>
      </c>
      <c r="C1470" s="600" t="str">
        <f t="shared" si="114"/>
        <v>HUF FOREX</v>
      </c>
      <c r="D1470" s="603"/>
      <c r="E1470" s="604"/>
      <c r="F1470" s="607" t="s">
        <v>49</v>
      </c>
      <c r="G1470" s="608">
        <v>0</v>
      </c>
    </row>
    <row r="1471" spans="1:7" ht="11.1" customHeight="1">
      <c r="A1471" s="600" t="str">
        <f t="shared" si="110"/>
        <v>HUF;HUF FOREX;10M</v>
      </c>
      <c r="B1471" s="600" t="str">
        <f t="shared" si="114"/>
        <v>HUF</v>
      </c>
      <c r="C1471" s="600" t="str">
        <f t="shared" si="114"/>
        <v>HUF FOREX</v>
      </c>
      <c r="D1471" s="603"/>
      <c r="E1471" s="604"/>
      <c r="F1471" s="607" t="s">
        <v>50</v>
      </c>
      <c r="G1471" s="608">
        <v>0</v>
      </c>
    </row>
    <row r="1472" spans="1:7" ht="11.1" customHeight="1">
      <c r="A1472" s="600" t="str">
        <f t="shared" si="110"/>
        <v>HUF;HUF FOREX;11M</v>
      </c>
      <c r="B1472" s="600" t="str">
        <f t="shared" si="114"/>
        <v>HUF</v>
      </c>
      <c r="C1472" s="600" t="str">
        <f t="shared" si="114"/>
        <v>HUF FOREX</v>
      </c>
      <c r="D1472" s="603"/>
      <c r="E1472" s="604"/>
      <c r="F1472" s="607" t="s">
        <v>51</v>
      </c>
      <c r="G1472" s="608">
        <v>0</v>
      </c>
    </row>
    <row r="1473" spans="1:7" ht="11.1" customHeight="1">
      <c r="A1473" s="600" t="str">
        <f t="shared" si="110"/>
        <v>HUF;HUF FOREX;12M</v>
      </c>
      <c r="B1473" s="600" t="str">
        <f t="shared" si="114"/>
        <v>HUF</v>
      </c>
      <c r="C1473" s="600" t="str">
        <f t="shared" si="114"/>
        <v>HUF FOREX</v>
      </c>
      <c r="D1473" s="603"/>
      <c r="E1473" s="604"/>
      <c r="F1473" s="607" t="s">
        <v>52</v>
      </c>
      <c r="G1473" s="608">
        <v>0</v>
      </c>
    </row>
    <row r="1474" spans="1:7" ht="11.1" customHeight="1">
      <c r="A1474" s="600" t="str">
        <f t="shared" si="110"/>
        <v>HUF;HUF FOREX;15M</v>
      </c>
      <c r="B1474" s="600" t="str">
        <f t="shared" si="114"/>
        <v>HUF</v>
      </c>
      <c r="C1474" s="600" t="str">
        <f t="shared" si="114"/>
        <v>HUF FOREX</v>
      </c>
      <c r="D1474" s="603"/>
      <c r="E1474" s="604"/>
      <c r="F1474" s="607" t="s">
        <v>53</v>
      </c>
      <c r="G1474" s="608">
        <v>0</v>
      </c>
    </row>
    <row r="1475" spans="1:7" ht="11.1" customHeight="1">
      <c r="A1475" s="600" t="str">
        <f t="shared" si="110"/>
        <v>HUF;HUF FOREX;18M</v>
      </c>
      <c r="B1475" s="600" t="str">
        <f t="shared" si="114"/>
        <v>HUF</v>
      </c>
      <c r="C1475" s="600" t="str">
        <f t="shared" si="114"/>
        <v>HUF FOREX</v>
      </c>
      <c r="D1475" s="603"/>
      <c r="E1475" s="604"/>
      <c r="F1475" s="607" t="s">
        <v>54</v>
      </c>
      <c r="G1475" s="608">
        <v>0</v>
      </c>
    </row>
    <row r="1476" spans="1:7" ht="11.1" customHeight="1">
      <c r="A1476" s="600" t="str">
        <f t="shared" si="110"/>
        <v>HUF;HUF FOREX;24M</v>
      </c>
      <c r="B1476" s="600" t="str">
        <f t="shared" si="114"/>
        <v>HUF</v>
      </c>
      <c r="C1476" s="600" t="str">
        <f t="shared" si="114"/>
        <v>HUF FOREX</v>
      </c>
      <c r="D1476" s="603"/>
      <c r="E1476" s="604"/>
      <c r="F1476" s="607" t="s">
        <v>659</v>
      </c>
      <c r="G1476" s="608">
        <v>0</v>
      </c>
    </row>
    <row r="1477" spans="1:7" ht="11.1" customHeight="1">
      <c r="A1477" s="600" t="str">
        <f t="shared" ref="A1477:A1540" si="115">B1477&amp;";"&amp;C1477&amp;";"&amp;F1477</f>
        <v>HUF;HUF FOREX;3Y</v>
      </c>
      <c r="B1477" s="600" t="str">
        <f t="shared" ref="B1477:C1492" si="116">IF(ISBLANK(D1477),B1476,D1477)</f>
        <v>HUF</v>
      </c>
      <c r="C1477" s="600" t="str">
        <f t="shared" si="116"/>
        <v>HUF FOREX</v>
      </c>
      <c r="D1477" s="603"/>
      <c r="E1477" s="604"/>
      <c r="F1477" s="607" t="s">
        <v>10</v>
      </c>
      <c r="G1477" s="608">
        <v>0</v>
      </c>
    </row>
    <row r="1478" spans="1:7" ht="11.1" customHeight="1">
      <c r="A1478" s="600" t="str">
        <f t="shared" si="115"/>
        <v>HUF;HUF FOREX;4Y</v>
      </c>
      <c r="B1478" s="600" t="str">
        <f t="shared" si="116"/>
        <v>HUF</v>
      </c>
      <c r="C1478" s="600" t="str">
        <f t="shared" si="116"/>
        <v>HUF FOREX</v>
      </c>
      <c r="D1478" s="603"/>
      <c r="E1478" s="604"/>
      <c r="F1478" s="607" t="s">
        <v>11</v>
      </c>
      <c r="G1478" s="608">
        <v>0</v>
      </c>
    </row>
    <row r="1479" spans="1:7" ht="11.1" customHeight="1">
      <c r="A1479" s="600" t="str">
        <f t="shared" si="115"/>
        <v>HUF;HUF FOREX;5Y</v>
      </c>
      <c r="B1479" s="600" t="str">
        <f t="shared" si="116"/>
        <v>HUF</v>
      </c>
      <c r="C1479" s="600" t="str">
        <f t="shared" si="116"/>
        <v>HUF FOREX</v>
      </c>
      <c r="D1479" s="603"/>
      <c r="E1479" s="604"/>
      <c r="F1479" s="607" t="s">
        <v>12</v>
      </c>
      <c r="G1479" s="608">
        <v>0</v>
      </c>
    </row>
    <row r="1480" spans="1:7" ht="11.1" customHeight="1">
      <c r="A1480" s="600" t="str">
        <f t="shared" si="115"/>
        <v>HUF;HUF FOREX;6Y</v>
      </c>
      <c r="B1480" s="600" t="str">
        <f t="shared" si="116"/>
        <v>HUF</v>
      </c>
      <c r="C1480" s="600" t="str">
        <f t="shared" si="116"/>
        <v>HUF FOREX</v>
      </c>
      <c r="D1480" s="603"/>
      <c r="E1480" s="604"/>
      <c r="F1480" s="607" t="s">
        <v>13</v>
      </c>
      <c r="G1480" s="608">
        <v>0</v>
      </c>
    </row>
    <row r="1481" spans="1:7" ht="11.1" customHeight="1">
      <c r="A1481" s="600" t="str">
        <f t="shared" si="115"/>
        <v>HUF;HUF FOREX;7Y</v>
      </c>
      <c r="B1481" s="600" t="str">
        <f t="shared" si="116"/>
        <v>HUF</v>
      </c>
      <c r="C1481" s="600" t="str">
        <f t="shared" si="116"/>
        <v>HUF FOREX</v>
      </c>
      <c r="D1481" s="603"/>
      <c r="E1481" s="604"/>
      <c r="F1481" s="607" t="s">
        <v>14</v>
      </c>
      <c r="G1481" s="608">
        <v>0</v>
      </c>
    </row>
    <row r="1482" spans="1:7" ht="11.1" customHeight="1">
      <c r="A1482" s="600" t="str">
        <f t="shared" si="115"/>
        <v>HUF;HUF FOREX;8Y</v>
      </c>
      <c r="B1482" s="600" t="str">
        <f t="shared" si="116"/>
        <v>HUF</v>
      </c>
      <c r="C1482" s="600" t="str">
        <f t="shared" si="116"/>
        <v>HUF FOREX</v>
      </c>
      <c r="D1482" s="603"/>
      <c r="E1482" s="604"/>
      <c r="F1482" s="607" t="s">
        <v>15</v>
      </c>
      <c r="G1482" s="608">
        <v>0</v>
      </c>
    </row>
    <row r="1483" spans="1:7" ht="11.1" customHeight="1">
      <c r="A1483" s="600" t="str">
        <f t="shared" si="115"/>
        <v>HUF;HUF FOREX;9Y</v>
      </c>
      <c r="B1483" s="600" t="str">
        <f t="shared" si="116"/>
        <v>HUF</v>
      </c>
      <c r="C1483" s="600" t="str">
        <f t="shared" si="116"/>
        <v>HUF FOREX</v>
      </c>
      <c r="D1483" s="603"/>
      <c r="E1483" s="604"/>
      <c r="F1483" s="607" t="s">
        <v>16</v>
      </c>
      <c r="G1483" s="608">
        <v>0</v>
      </c>
    </row>
    <row r="1484" spans="1:7" ht="11.1" customHeight="1">
      <c r="A1484" s="600" t="str">
        <f t="shared" si="115"/>
        <v>HUF;HUF FOREX;10Y</v>
      </c>
      <c r="B1484" s="600" t="str">
        <f t="shared" si="116"/>
        <v>HUF</v>
      </c>
      <c r="C1484" s="600" t="str">
        <f t="shared" si="116"/>
        <v>HUF FOREX</v>
      </c>
      <c r="D1484" s="603"/>
      <c r="E1484" s="604"/>
      <c r="F1484" s="607" t="s">
        <v>17</v>
      </c>
      <c r="G1484" s="608">
        <v>0</v>
      </c>
    </row>
    <row r="1485" spans="1:7" ht="11.1" customHeight="1">
      <c r="A1485" s="600" t="str">
        <f t="shared" si="115"/>
        <v>HUF;HUF FOREX;11Y</v>
      </c>
      <c r="B1485" s="600" t="str">
        <f t="shared" si="116"/>
        <v>HUF</v>
      </c>
      <c r="C1485" s="600" t="str">
        <f t="shared" si="116"/>
        <v>HUF FOREX</v>
      </c>
      <c r="D1485" s="603"/>
      <c r="E1485" s="604"/>
      <c r="F1485" s="607" t="s">
        <v>31</v>
      </c>
      <c r="G1485" s="608">
        <v>0</v>
      </c>
    </row>
    <row r="1486" spans="1:7" ht="11.1" customHeight="1">
      <c r="A1486" s="600" t="str">
        <f t="shared" si="115"/>
        <v>HUF;HUF FOREX;12Y</v>
      </c>
      <c r="B1486" s="600" t="str">
        <f t="shared" si="116"/>
        <v>HUF</v>
      </c>
      <c r="C1486" s="600" t="str">
        <f t="shared" si="116"/>
        <v>HUF FOREX</v>
      </c>
      <c r="D1486" s="603"/>
      <c r="E1486" s="604"/>
      <c r="F1486" s="607" t="s">
        <v>18</v>
      </c>
      <c r="G1486" s="608">
        <v>0</v>
      </c>
    </row>
    <row r="1487" spans="1:7" ht="11.1" customHeight="1">
      <c r="A1487" s="600" t="str">
        <f t="shared" si="115"/>
        <v>HUF;HUF FOREX;13Y</v>
      </c>
      <c r="B1487" s="600" t="str">
        <f t="shared" si="116"/>
        <v>HUF</v>
      </c>
      <c r="C1487" s="600" t="str">
        <f t="shared" si="116"/>
        <v>HUF FOREX</v>
      </c>
      <c r="D1487" s="603"/>
      <c r="E1487" s="604"/>
      <c r="F1487" s="607" t="s">
        <v>32</v>
      </c>
      <c r="G1487" s="608">
        <v>0</v>
      </c>
    </row>
    <row r="1488" spans="1:7" ht="11.1" customHeight="1">
      <c r="A1488" s="600" t="str">
        <f t="shared" si="115"/>
        <v>HUF;HUF FOREX;14Y</v>
      </c>
      <c r="B1488" s="600" t="str">
        <f t="shared" si="116"/>
        <v>HUF</v>
      </c>
      <c r="C1488" s="600" t="str">
        <f t="shared" si="116"/>
        <v>HUF FOREX</v>
      </c>
      <c r="D1488" s="603"/>
      <c r="E1488" s="604"/>
      <c r="F1488" s="607" t="s">
        <v>33</v>
      </c>
      <c r="G1488" s="608">
        <v>0</v>
      </c>
    </row>
    <row r="1489" spans="1:7" ht="11.1" customHeight="1">
      <c r="A1489" s="600" t="str">
        <f t="shared" si="115"/>
        <v>HUF;HUF FOREX;15Y</v>
      </c>
      <c r="B1489" s="600" t="str">
        <f t="shared" si="116"/>
        <v>HUF</v>
      </c>
      <c r="C1489" s="600" t="str">
        <f t="shared" si="116"/>
        <v>HUF FOREX</v>
      </c>
      <c r="D1489" s="603"/>
      <c r="E1489" s="604"/>
      <c r="F1489" s="607" t="s">
        <v>19</v>
      </c>
      <c r="G1489" s="608">
        <v>0</v>
      </c>
    </row>
    <row r="1490" spans="1:7" ht="11.1" customHeight="1">
      <c r="A1490" s="600" t="str">
        <f t="shared" si="115"/>
        <v>HUF;HUF FOREX;16Y</v>
      </c>
      <c r="B1490" s="600" t="str">
        <f t="shared" si="116"/>
        <v>HUF</v>
      </c>
      <c r="C1490" s="600" t="str">
        <f t="shared" si="116"/>
        <v>HUF FOREX</v>
      </c>
      <c r="D1490" s="603"/>
      <c r="E1490" s="604"/>
      <c r="F1490" s="607" t="s">
        <v>34</v>
      </c>
      <c r="G1490" s="608">
        <v>0</v>
      </c>
    </row>
    <row r="1491" spans="1:7" ht="11.1" customHeight="1">
      <c r="A1491" s="600" t="str">
        <f t="shared" si="115"/>
        <v>HUF;HUF FOREX;17Y</v>
      </c>
      <c r="B1491" s="600" t="str">
        <f t="shared" si="116"/>
        <v>HUF</v>
      </c>
      <c r="C1491" s="600" t="str">
        <f t="shared" si="116"/>
        <v>HUF FOREX</v>
      </c>
      <c r="D1491" s="603"/>
      <c r="E1491" s="604"/>
      <c r="F1491" s="607" t="s">
        <v>35</v>
      </c>
      <c r="G1491" s="608">
        <v>0</v>
      </c>
    </row>
    <row r="1492" spans="1:7" ht="11.1" customHeight="1">
      <c r="A1492" s="600" t="str">
        <f t="shared" si="115"/>
        <v>HUF;HUF FOREX;18Y</v>
      </c>
      <c r="B1492" s="600" t="str">
        <f t="shared" si="116"/>
        <v>HUF</v>
      </c>
      <c r="C1492" s="600" t="str">
        <f t="shared" si="116"/>
        <v>HUF FOREX</v>
      </c>
      <c r="D1492" s="603"/>
      <c r="E1492" s="604"/>
      <c r="F1492" s="607" t="s">
        <v>36</v>
      </c>
      <c r="G1492" s="608">
        <v>0</v>
      </c>
    </row>
    <row r="1493" spans="1:7" ht="11.1" customHeight="1">
      <c r="A1493" s="600" t="str">
        <f t="shared" si="115"/>
        <v>HUF;HUF FOREX;19Y</v>
      </c>
      <c r="B1493" s="600" t="str">
        <f t="shared" ref="B1493:C1508" si="117">IF(ISBLANK(D1493),B1492,D1493)</f>
        <v>HUF</v>
      </c>
      <c r="C1493" s="600" t="str">
        <f t="shared" si="117"/>
        <v>HUF FOREX</v>
      </c>
      <c r="D1493" s="603"/>
      <c r="E1493" s="604"/>
      <c r="F1493" s="607" t="s">
        <v>37</v>
      </c>
      <c r="G1493" s="608">
        <v>0</v>
      </c>
    </row>
    <row r="1494" spans="1:7" ht="11.1" customHeight="1">
      <c r="A1494" s="600" t="str">
        <f t="shared" si="115"/>
        <v>HUF;HUF FOREX;20Y</v>
      </c>
      <c r="B1494" s="600" t="str">
        <f t="shared" si="117"/>
        <v>HUF</v>
      </c>
      <c r="C1494" s="600" t="str">
        <f t="shared" si="117"/>
        <v>HUF FOREX</v>
      </c>
      <c r="D1494" s="603"/>
      <c r="E1494" s="604"/>
      <c r="F1494" s="607" t="s">
        <v>20</v>
      </c>
      <c r="G1494" s="608">
        <v>0</v>
      </c>
    </row>
    <row r="1495" spans="1:7" ht="11.1" customHeight="1">
      <c r="A1495" s="600" t="str">
        <f t="shared" si="115"/>
        <v>HUF;HUF FOREX;21Y</v>
      </c>
      <c r="B1495" s="600" t="str">
        <f t="shared" si="117"/>
        <v>HUF</v>
      </c>
      <c r="C1495" s="600" t="str">
        <f t="shared" si="117"/>
        <v>HUF FOREX</v>
      </c>
      <c r="D1495" s="603"/>
      <c r="E1495" s="604"/>
      <c r="F1495" s="607" t="s">
        <v>38</v>
      </c>
      <c r="G1495" s="608">
        <v>0</v>
      </c>
    </row>
    <row r="1496" spans="1:7" ht="11.1" customHeight="1">
      <c r="A1496" s="600" t="str">
        <f t="shared" si="115"/>
        <v>HUF;HUF FOREX;22Y</v>
      </c>
      <c r="B1496" s="600" t="str">
        <f t="shared" si="117"/>
        <v>HUF</v>
      </c>
      <c r="C1496" s="600" t="str">
        <f t="shared" si="117"/>
        <v>HUF FOREX</v>
      </c>
      <c r="D1496" s="603"/>
      <c r="E1496" s="604"/>
      <c r="F1496" s="607" t="s">
        <v>39</v>
      </c>
      <c r="G1496" s="608">
        <v>0</v>
      </c>
    </row>
    <row r="1497" spans="1:7" ht="11.1" customHeight="1">
      <c r="A1497" s="600" t="str">
        <f t="shared" si="115"/>
        <v>HUF;HUF FOREX;23Y</v>
      </c>
      <c r="B1497" s="600" t="str">
        <f t="shared" si="117"/>
        <v>HUF</v>
      </c>
      <c r="C1497" s="600" t="str">
        <f t="shared" si="117"/>
        <v>HUF FOREX</v>
      </c>
      <c r="D1497" s="603"/>
      <c r="E1497" s="604"/>
      <c r="F1497" s="607" t="s">
        <v>40</v>
      </c>
      <c r="G1497" s="608">
        <v>0</v>
      </c>
    </row>
    <row r="1498" spans="1:7" ht="11.1" customHeight="1">
      <c r="A1498" s="600" t="str">
        <f t="shared" si="115"/>
        <v>HUF;HUF FOREX;24Y</v>
      </c>
      <c r="B1498" s="600" t="str">
        <f t="shared" si="117"/>
        <v>HUF</v>
      </c>
      <c r="C1498" s="600" t="str">
        <f t="shared" si="117"/>
        <v>HUF FOREX</v>
      </c>
      <c r="D1498" s="603"/>
      <c r="E1498" s="604"/>
      <c r="F1498" s="607" t="s">
        <v>41</v>
      </c>
      <c r="G1498" s="608">
        <v>0</v>
      </c>
    </row>
    <row r="1499" spans="1:7" ht="11.1" customHeight="1">
      <c r="A1499" s="600" t="str">
        <f t="shared" si="115"/>
        <v>HUF;HUF FOREX;25Y</v>
      </c>
      <c r="B1499" s="600" t="str">
        <f t="shared" si="117"/>
        <v>HUF</v>
      </c>
      <c r="C1499" s="600" t="str">
        <f t="shared" si="117"/>
        <v>HUF FOREX</v>
      </c>
      <c r="D1499" s="603"/>
      <c r="E1499" s="604"/>
      <c r="F1499" s="607" t="s">
        <v>21</v>
      </c>
      <c r="G1499" s="608">
        <v>0</v>
      </c>
    </row>
    <row r="1500" spans="1:7" ht="11.1" customHeight="1">
      <c r="A1500" s="600" t="str">
        <f t="shared" si="115"/>
        <v>HUF;HUF FOREX;26Y</v>
      </c>
      <c r="B1500" s="600" t="str">
        <f t="shared" si="117"/>
        <v>HUF</v>
      </c>
      <c r="C1500" s="600" t="str">
        <f t="shared" si="117"/>
        <v>HUF FOREX</v>
      </c>
      <c r="D1500" s="603"/>
      <c r="E1500" s="604"/>
      <c r="F1500" s="607" t="s">
        <v>42</v>
      </c>
      <c r="G1500" s="608">
        <v>0</v>
      </c>
    </row>
    <row r="1501" spans="1:7" ht="11.1" customHeight="1">
      <c r="A1501" s="600" t="str">
        <f t="shared" si="115"/>
        <v>HUF;HUF FOREX;27Y</v>
      </c>
      <c r="B1501" s="600" t="str">
        <f t="shared" si="117"/>
        <v>HUF</v>
      </c>
      <c r="C1501" s="600" t="str">
        <f t="shared" si="117"/>
        <v>HUF FOREX</v>
      </c>
      <c r="D1501" s="603"/>
      <c r="E1501" s="604"/>
      <c r="F1501" s="607" t="s">
        <v>43</v>
      </c>
      <c r="G1501" s="608">
        <v>0</v>
      </c>
    </row>
    <row r="1502" spans="1:7" ht="11.1" customHeight="1">
      <c r="A1502" s="600" t="str">
        <f t="shared" si="115"/>
        <v>HUF;HUF FOREX;28Y</v>
      </c>
      <c r="B1502" s="600" t="str">
        <f t="shared" si="117"/>
        <v>HUF</v>
      </c>
      <c r="C1502" s="600" t="str">
        <f t="shared" si="117"/>
        <v>HUF FOREX</v>
      </c>
      <c r="D1502" s="603"/>
      <c r="E1502" s="604"/>
      <c r="F1502" s="607" t="s">
        <v>44</v>
      </c>
      <c r="G1502" s="608">
        <v>0</v>
      </c>
    </row>
    <row r="1503" spans="1:7" ht="11.1" customHeight="1">
      <c r="A1503" s="600" t="str">
        <f t="shared" si="115"/>
        <v>HUF;HUF FOREX;29Y</v>
      </c>
      <c r="B1503" s="600" t="str">
        <f t="shared" si="117"/>
        <v>HUF</v>
      </c>
      <c r="C1503" s="600" t="str">
        <f t="shared" si="117"/>
        <v>HUF FOREX</v>
      </c>
      <c r="D1503" s="603"/>
      <c r="E1503" s="604"/>
      <c r="F1503" s="607" t="s">
        <v>45</v>
      </c>
      <c r="G1503" s="608">
        <v>0</v>
      </c>
    </row>
    <row r="1504" spans="1:7" ht="11.1" customHeight="1">
      <c r="A1504" s="600" t="str">
        <f t="shared" si="115"/>
        <v>HUF;HUF FOREX;30Y</v>
      </c>
      <c r="B1504" s="600" t="str">
        <f t="shared" si="117"/>
        <v>HUF</v>
      </c>
      <c r="C1504" s="600" t="str">
        <f t="shared" si="117"/>
        <v>HUF FOREX</v>
      </c>
      <c r="D1504" s="603"/>
      <c r="E1504" s="604"/>
      <c r="F1504" s="607" t="s">
        <v>22</v>
      </c>
      <c r="G1504" s="608">
        <v>0</v>
      </c>
    </row>
    <row r="1505" spans="1:7" ht="11.1" customHeight="1">
      <c r="A1505" s="600" t="str">
        <f t="shared" si="115"/>
        <v>HUF;HUF OIS;Total HUF OIS</v>
      </c>
      <c r="B1505" s="600" t="str">
        <f t="shared" si="117"/>
        <v>HUF</v>
      </c>
      <c r="C1505" s="600" t="str">
        <f t="shared" si="117"/>
        <v>HUF OIS</v>
      </c>
      <c r="D1505" s="603"/>
      <c r="E1505" s="604" t="s">
        <v>3898</v>
      </c>
      <c r="F1505" s="605" t="s">
        <v>3899</v>
      </c>
      <c r="G1505" s="606">
        <v>-3729.8289711983898</v>
      </c>
    </row>
    <row r="1506" spans="1:7" ht="11.1" customHeight="1">
      <c r="A1506" s="600" t="str">
        <f t="shared" si="115"/>
        <v>HUF;HUF OIS;1W</v>
      </c>
      <c r="B1506" s="600" t="str">
        <f t="shared" si="117"/>
        <v>HUF</v>
      </c>
      <c r="C1506" s="600" t="str">
        <f t="shared" si="117"/>
        <v>HUF OIS</v>
      </c>
      <c r="D1506" s="603"/>
      <c r="E1506" s="604"/>
      <c r="F1506" s="607" t="s">
        <v>5</v>
      </c>
      <c r="G1506" s="606">
        <v>-225.673469097636</v>
      </c>
    </row>
    <row r="1507" spans="1:7" ht="11.1" customHeight="1">
      <c r="A1507" s="600" t="str">
        <f t="shared" si="115"/>
        <v>HUF;HUF OIS;2W</v>
      </c>
      <c r="B1507" s="600" t="str">
        <f t="shared" si="117"/>
        <v>HUF</v>
      </c>
      <c r="C1507" s="600" t="str">
        <f t="shared" si="117"/>
        <v>HUF OIS</v>
      </c>
      <c r="D1507" s="603"/>
      <c r="E1507" s="604"/>
      <c r="F1507" s="607" t="s">
        <v>6</v>
      </c>
      <c r="G1507" s="611">
        <v>9.2221138734260898E-4</v>
      </c>
    </row>
    <row r="1508" spans="1:7" ht="11.1" customHeight="1">
      <c r="A1508" s="600" t="str">
        <f t="shared" si="115"/>
        <v>HUF;HUF OIS;1M</v>
      </c>
      <c r="B1508" s="600" t="str">
        <f t="shared" si="117"/>
        <v>HUF</v>
      </c>
      <c r="C1508" s="600" t="str">
        <f t="shared" si="117"/>
        <v>HUF OIS</v>
      </c>
      <c r="D1508" s="603"/>
      <c r="E1508" s="604"/>
      <c r="F1508" s="607" t="s">
        <v>7</v>
      </c>
      <c r="G1508" s="611">
        <v>44.2800000753166</v>
      </c>
    </row>
    <row r="1509" spans="1:7" ht="11.1" customHeight="1">
      <c r="A1509" s="600" t="str">
        <f t="shared" si="115"/>
        <v>HUF;HUF OIS;2M</v>
      </c>
      <c r="B1509" s="600" t="str">
        <f t="shared" ref="B1509:C1524" si="118">IF(ISBLANK(D1509),B1508,D1509)</f>
        <v>HUF</v>
      </c>
      <c r="C1509" s="600" t="str">
        <f t="shared" si="118"/>
        <v>HUF OIS</v>
      </c>
      <c r="D1509" s="603"/>
      <c r="E1509" s="604"/>
      <c r="F1509" s="607" t="s">
        <v>8</v>
      </c>
      <c r="G1509" s="606">
        <v>-6.14325502065316E-2</v>
      </c>
    </row>
    <row r="1510" spans="1:7" ht="11.1" customHeight="1">
      <c r="A1510" s="600" t="str">
        <f t="shared" si="115"/>
        <v>HUF;HUF OIS;3M</v>
      </c>
      <c r="B1510" s="600" t="str">
        <f t="shared" si="118"/>
        <v>HUF</v>
      </c>
      <c r="C1510" s="600" t="str">
        <f t="shared" si="118"/>
        <v>HUF OIS</v>
      </c>
      <c r="D1510" s="603"/>
      <c r="E1510" s="604"/>
      <c r="F1510" s="607" t="s">
        <v>25</v>
      </c>
      <c r="G1510" s="606">
        <v>-6.3035417079216201</v>
      </c>
    </row>
    <row r="1511" spans="1:7" ht="11.1" customHeight="1">
      <c r="A1511" s="600" t="str">
        <f t="shared" si="115"/>
        <v>HUF;HUF OIS;6M</v>
      </c>
      <c r="B1511" s="600" t="str">
        <f t="shared" si="118"/>
        <v>HUF</v>
      </c>
      <c r="C1511" s="600" t="str">
        <f t="shared" si="118"/>
        <v>HUF OIS</v>
      </c>
      <c r="D1511" s="603"/>
      <c r="E1511" s="604"/>
      <c r="F1511" s="607" t="s">
        <v>28</v>
      </c>
      <c r="G1511" s="606">
        <v>-2127.2465124188202</v>
      </c>
    </row>
    <row r="1512" spans="1:7" ht="11.1" customHeight="1">
      <c r="A1512" s="600" t="str">
        <f t="shared" si="115"/>
        <v>HUF;HUF OIS;9M</v>
      </c>
      <c r="B1512" s="600" t="str">
        <f t="shared" si="118"/>
        <v>HUF</v>
      </c>
      <c r="C1512" s="600" t="str">
        <f t="shared" si="118"/>
        <v>HUF OIS</v>
      </c>
      <c r="D1512" s="603"/>
      <c r="E1512" s="604"/>
      <c r="F1512" s="607" t="s">
        <v>49</v>
      </c>
      <c r="G1512" s="606">
        <v>-1811.75995689927</v>
      </c>
    </row>
    <row r="1513" spans="1:7" ht="11.1" customHeight="1">
      <c r="A1513" s="600" t="str">
        <f t="shared" si="115"/>
        <v>HUF;HUF OIS;1Y</v>
      </c>
      <c r="B1513" s="600" t="str">
        <f t="shared" si="118"/>
        <v>HUF</v>
      </c>
      <c r="C1513" s="600" t="str">
        <f t="shared" si="118"/>
        <v>HUF OIS</v>
      </c>
      <c r="D1513" s="603"/>
      <c r="E1513" s="604"/>
      <c r="F1513" s="607" t="s">
        <v>56</v>
      </c>
      <c r="G1513" s="606">
        <v>-26936.941005256998</v>
      </c>
    </row>
    <row r="1514" spans="1:7" ht="11.1" customHeight="1">
      <c r="A1514" s="600" t="str">
        <f t="shared" si="115"/>
        <v>HUF;HUF OIS;2Y</v>
      </c>
      <c r="B1514" s="600" t="str">
        <f t="shared" si="118"/>
        <v>HUF</v>
      </c>
      <c r="C1514" s="600" t="str">
        <f t="shared" si="118"/>
        <v>HUF OIS</v>
      </c>
      <c r="D1514" s="603"/>
      <c r="E1514" s="604"/>
      <c r="F1514" s="607" t="s">
        <v>9</v>
      </c>
      <c r="G1514" s="611">
        <v>20824.0576208323</v>
      </c>
    </row>
    <row r="1515" spans="1:7" ht="11.1" customHeight="1">
      <c r="A1515" s="600" t="str">
        <f t="shared" si="115"/>
        <v>HUF;HUF OIS;3Y</v>
      </c>
      <c r="B1515" s="600" t="str">
        <f t="shared" si="118"/>
        <v>HUF</v>
      </c>
      <c r="C1515" s="600" t="str">
        <f t="shared" si="118"/>
        <v>HUF OIS</v>
      </c>
      <c r="D1515" s="603"/>
      <c r="E1515" s="604"/>
      <c r="F1515" s="607" t="s">
        <v>10</v>
      </c>
      <c r="G1515" s="611">
        <v>6509.9555145043896</v>
      </c>
    </row>
    <row r="1516" spans="1:7" ht="11.1" customHeight="1">
      <c r="A1516" s="600" t="str">
        <f t="shared" si="115"/>
        <v>HUF;HUF OIS;4Y</v>
      </c>
      <c r="B1516" s="600" t="str">
        <f t="shared" si="118"/>
        <v>HUF</v>
      </c>
      <c r="C1516" s="600" t="str">
        <f t="shared" si="118"/>
        <v>HUF OIS</v>
      </c>
      <c r="D1516" s="603"/>
      <c r="E1516" s="604"/>
      <c r="F1516" s="607" t="s">
        <v>11</v>
      </c>
      <c r="G1516" s="606">
        <v>-0.13692991604804799</v>
      </c>
    </row>
    <row r="1517" spans="1:7" ht="11.1" customHeight="1">
      <c r="A1517" s="600" t="str">
        <f t="shared" si="115"/>
        <v>HUF;HUF OIS;5Y</v>
      </c>
      <c r="B1517" s="600" t="str">
        <f t="shared" si="118"/>
        <v>HUF</v>
      </c>
      <c r="C1517" s="600" t="str">
        <f t="shared" si="118"/>
        <v>HUF OIS</v>
      </c>
      <c r="D1517" s="603"/>
      <c r="E1517" s="604"/>
      <c r="F1517" s="607" t="s">
        <v>12</v>
      </c>
      <c r="G1517" s="606">
        <v>-1.8097481498038199E-4</v>
      </c>
    </row>
    <row r="1518" spans="1:7" ht="11.1" customHeight="1">
      <c r="A1518" s="600" t="str">
        <f t="shared" si="115"/>
        <v>HUF;HUF OIS;6Y</v>
      </c>
      <c r="B1518" s="600" t="str">
        <f t="shared" si="118"/>
        <v>HUF</v>
      </c>
      <c r="C1518" s="600" t="str">
        <f t="shared" si="118"/>
        <v>HUF OIS</v>
      </c>
      <c r="D1518" s="603"/>
      <c r="E1518" s="604"/>
      <c r="F1518" s="607" t="s">
        <v>13</v>
      </c>
      <c r="G1518" s="611">
        <v>0</v>
      </c>
    </row>
    <row r="1519" spans="1:7" ht="11.1" customHeight="1">
      <c r="A1519" s="600" t="str">
        <f t="shared" si="115"/>
        <v>HUF;HUF OIS;7Y</v>
      </c>
      <c r="B1519" s="600" t="str">
        <f t="shared" si="118"/>
        <v>HUF</v>
      </c>
      <c r="C1519" s="600" t="str">
        <f t="shared" si="118"/>
        <v>HUF OIS</v>
      </c>
      <c r="D1519" s="603"/>
      <c r="E1519" s="604"/>
      <c r="F1519" s="607" t="s">
        <v>14</v>
      </c>
      <c r="G1519" s="611">
        <v>0</v>
      </c>
    </row>
    <row r="1520" spans="1:7" ht="11.1" customHeight="1">
      <c r="A1520" s="600" t="str">
        <f t="shared" si="115"/>
        <v>HUF;HUF OIS;8Y</v>
      </c>
      <c r="B1520" s="600" t="str">
        <f t="shared" si="118"/>
        <v>HUF</v>
      </c>
      <c r="C1520" s="600" t="str">
        <f t="shared" si="118"/>
        <v>HUF OIS</v>
      </c>
      <c r="D1520" s="603"/>
      <c r="E1520" s="604"/>
      <c r="F1520" s="607" t="s">
        <v>15</v>
      </c>
      <c r="G1520" s="611">
        <v>0</v>
      </c>
    </row>
    <row r="1521" spans="1:7" ht="11.1" customHeight="1">
      <c r="A1521" s="600" t="str">
        <f t="shared" si="115"/>
        <v>HUF;HUF OIS;9Y</v>
      </c>
      <c r="B1521" s="600" t="str">
        <f t="shared" si="118"/>
        <v>HUF</v>
      </c>
      <c r="C1521" s="600" t="str">
        <f t="shared" si="118"/>
        <v>HUF OIS</v>
      </c>
      <c r="D1521" s="603"/>
      <c r="E1521" s="604"/>
      <c r="F1521" s="607" t="s">
        <v>16</v>
      </c>
      <c r="G1521" s="608">
        <v>0</v>
      </c>
    </row>
    <row r="1522" spans="1:7" ht="11.1" customHeight="1">
      <c r="A1522" s="600" t="str">
        <f t="shared" si="115"/>
        <v>HUF;HUF OIS;10Y</v>
      </c>
      <c r="B1522" s="600" t="str">
        <f t="shared" si="118"/>
        <v>HUF</v>
      </c>
      <c r="C1522" s="600" t="str">
        <f t="shared" si="118"/>
        <v>HUF OIS</v>
      </c>
      <c r="D1522" s="603"/>
      <c r="E1522" s="604"/>
      <c r="F1522" s="607" t="s">
        <v>17</v>
      </c>
      <c r="G1522" s="608">
        <v>0</v>
      </c>
    </row>
    <row r="1523" spans="1:7" ht="11.1" customHeight="1">
      <c r="A1523" s="600" t="str">
        <f t="shared" si="115"/>
        <v>IDR;Total IDR;</v>
      </c>
      <c r="B1523" s="600" t="str">
        <f t="shared" si="118"/>
        <v>IDR</v>
      </c>
      <c r="C1523" s="600" t="str">
        <f t="shared" si="118"/>
        <v>Total IDR</v>
      </c>
      <c r="D1523" s="603" t="s">
        <v>1246</v>
      </c>
      <c r="E1523" s="609" t="s">
        <v>1247</v>
      </c>
      <c r="F1523" s="609"/>
      <c r="G1523" s="610">
        <v>4788557.84957249</v>
      </c>
    </row>
    <row r="1524" spans="1:7" ht="11.1" customHeight="1">
      <c r="A1524" s="600" t="str">
        <f t="shared" si="115"/>
        <v>IDR;IDR :STD;Total IDR :STD</v>
      </c>
      <c r="B1524" s="600" t="str">
        <f t="shared" si="118"/>
        <v>IDR</v>
      </c>
      <c r="C1524" s="600" t="str">
        <f t="shared" si="118"/>
        <v>IDR :STD</v>
      </c>
      <c r="D1524" s="603"/>
      <c r="E1524" s="604" t="s">
        <v>5170</v>
      </c>
      <c r="F1524" s="605" t="s">
        <v>5171</v>
      </c>
      <c r="G1524" s="606">
        <v>-2.0095153838706601</v>
      </c>
    </row>
    <row r="1525" spans="1:7" ht="11.1" customHeight="1">
      <c r="A1525" s="600" t="str">
        <f t="shared" si="115"/>
        <v>IDR;IDR :STD;O/N</v>
      </c>
      <c r="B1525" s="600" t="str">
        <f t="shared" ref="B1525:C1540" si="119">IF(ISBLANK(D1525),B1524,D1525)</f>
        <v>IDR</v>
      </c>
      <c r="C1525" s="600" t="str">
        <f t="shared" si="119"/>
        <v>IDR :STD</v>
      </c>
      <c r="D1525" s="603"/>
      <c r="E1525" s="604"/>
      <c r="F1525" s="607" t="s">
        <v>3</v>
      </c>
      <c r="G1525" s="611">
        <v>8.4827048775505904</v>
      </c>
    </row>
    <row r="1526" spans="1:7" ht="11.1" customHeight="1">
      <c r="A1526" s="600" t="str">
        <f t="shared" si="115"/>
        <v>IDR;IDR :STD;1W</v>
      </c>
      <c r="B1526" s="600" t="str">
        <f t="shared" si="119"/>
        <v>IDR</v>
      </c>
      <c r="C1526" s="600" t="str">
        <f t="shared" si="119"/>
        <v>IDR :STD</v>
      </c>
      <c r="D1526" s="603"/>
      <c r="E1526" s="604"/>
      <c r="F1526" s="607" t="s">
        <v>5</v>
      </c>
      <c r="G1526" s="611">
        <v>0.77069347524546195</v>
      </c>
    </row>
    <row r="1527" spans="1:7" ht="11.1" customHeight="1">
      <c r="A1527" s="600" t="str">
        <f t="shared" si="115"/>
        <v>IDR;IDR :STD;1M</v>
      </c>
      <c r="B1527" s="600" t="str">
        <f t="shared" si="119"/>
        <v>IDR</v>
      </c>
      <c r="C1527" s="600" t="str">
        <f t="shared" si="119"/>
        <v>IDR :STD</v>
      </c>
      <c r="D1527" s="603"/>
      <c r="E1527" s="604"/>
      <c r="F1527" s="607" t="s">
        <v>7</v>
      </c>
      <c r="G1527" s="608">
        <v>0</v>
      </c>
    </row>
    <row r="1528" spans="1:7" ht="11.1" customHeight="1">
      <c r="A1528" s="600" t="str">
        <f t="shared" si="115"/>
        <v>IDR;IDR :STD;3M</v>
      </c>
      <c r="B1528" s="600" t="str">
        <f t="shared" si="119"/>
        <v>IDR</v>
      </c>
      <c r="C1528" s="600" t="str">
        <f t="shared" si="119"/>
        <v>IDR :STD</v>
      </c>
      <c r="D1528" s="603"/>
      <c r="E1528" s="604"/>
      <c r="F1528" s="607" t="s">
        <v>25</v>
      </c>
      <c r="G1528" s="606">
        <v>-12.126059520214801</v>
      </c>
    </row>
    <row r="1529" spans="1:7" ht="11.1" customHeight="1">
      <c r="A1529" s="600" t="str">
        <f t="shared" si="115"/>
        <v>IDR;IDR :STD;1Y</v>
      </c>
      <c r="B1529" s="600" t="str">
        <f t="shared" si="119"/>
        <v>IDR</v>
      </c>
      <c r="C1529" s="600" t="str">
        <f t="shared" si="119"/>
        <v>IDR :STD</v>
      </c>
      <c r="D1529" s="603"/>
      <c r="E1529" s="604"/>
      <c r="F1529" s="607" t="s">
        <v>56</v>
      </c>
      <c r="G1529" s="611">
        <v>2689.5612563975201</v>
      </c>
    </row>
    <row r="1530" spans="1:7" ht="11.1" customHeight="1">
      <c r="A1530" s="600" t="str">
        <f t="shared" si="115"/>
        <v>IDR;IDR :STD;2Y</v>
      </c>
      <c r="B1530" s="600" t="str">
        <f t="shared" si="119"/>
        <v>IDR</v>
      </c>
      <c r="C1530" s="600" t="str">
        <f t="shared" si="119"/>
        <v>IDR :STD</v>
      </c>
      <c r="D1530" s="603"/>
      <c r="E1530" s="604"/>
      <c r="F1530" s="607" t="s">
        <v>9</v>
      </c>
      <c r="G1530" s="606">
        <v>-5446.5930931924804</v>
      </c>
    </row>
    <row r="1531" spans="1:7" ht="11.1" customHeight="1">
      <c r="A1531" s="600" t="str">
        <f t="shared" si="115"/>
        <v>IDR;IDR :STD;3Y</v>
      </c>
      <c r="B1531" s="600" t="str">
        <f t="shared" si="119"/>
        <v>IDR</v>
      </c>
      <c r="C1531" s="600" t="str">
        <f t="shared" si="119"/>
        <v>IDR :STD</v>
      </c>
      <c r="D1531" s="603"/>
      <c r="E1531" s="604"/>
      <c r="F1531" s="607" t="s">
        <v>10</v>
      </c>
      <c r="G1531" s="611">
        <v>2757.8949825684799</v>
      </c>
    </row>
    <row r="1532" spans="1:7" ht="11.1" customHeight="1">
      <c r="A1532" s="600" t="str">
        <f t="shared" si="115"/>
        <v>IDR;IDR :STD;4Y</v>
      </c>
      <c r="B1532" s="600" t="str">
        <f t="shared" si="119"/>
        <v>IDR</v>
      </c>
      <c r="C1532" s="600" t="str">
        <f t="shared" si="119"/>
        <v>IDR :STD</v>
      </c>
      <c r="D1532" s="603"/>
      <c r="E1532" s="604"/>
      <c r="F1532" s="607" t="s">
        <v>11</v>
      </c>
      <c r="G1532" s="608">
        <v>0</v>
      </c>
    </row>
    <row r="1533" spans="1:7" ht="11.1" customHeight="1">
      <c r="A1533" s="600" t="str">
        <f t="shared" si="115"/>
        <v>IDR;IDR :STD;5Y</v>
      </c>
      <c r="B1533" s="600" t="str">
        <f t="shared" si="119"/>
        <v>IDR</v>
      </c>
      <c r="C1533" s="600" t="str">
        <f t="shared" si="119"/>
        <v>IDR :STD</v>
      </c>
      <c r="D1533" s="603"/>
      <c r="E1533" s="604"/>
      <c r="F1533" s="607" t="s">
        <v>12</v>
      </c>
      <c r="G1533" s="608">
        <v>0</v>
      </c>
    </row>
    <row r="1534" spans="1:7" ht="11.1" customHeight="1">
      <c r="A1534" s="600" t="str">
        <f t="shared" si="115"/>
        <v>IDR;IDR :STD;6Y</v>
      </c>
      <c r="B1534" s="600" t="str">
        <f t="shared" si="119"/>
        <v>IDR</v>
      </c>
      <c r="C1534" s="600" t="str">
        <f t="shared" si="119"/>
        <v>IDR :STD</v>
      </c>
      <c r="D1534" s="603"/>
      <c r="E1534" s="604"/>
      <c r="F1534" s="607" t="s">
        <v>13</v>
      </c>
      <c r="G1534" s="608">
        <v>0</v>
      </c>
    </row>
    <row r="1535" spans="1:7" ht="11.1" customHeight="1">
      <c r="A1535" s="600" t="str">
        <f t="shared" si="115"/>
        <v>IDR;IDR :STD;7Y</v>
      </c>
      <c r="B1535" s="600" t="str">
        <f t="shared" si="119"/>
        <v>IDR</v>
      </c>
      <c r="C1535" s="600" t="str">
        <f t="shared" si="119"/>
        <v>IDR :STD</v>
      </c>
      <c r="D1535" s="603"/>
      <c r="E1535" s="604"/>
      <c r="F1535" s="607" t="s">
        <v>14</v>
      </c>
      <c r="G1535" s="608">
        <v>0</v>
      </c>
    </row>
    <row r="1536" spans="1:7" ht="11.1" customHeight="1">
      <c r="A1536" s="600" t="str">
        <f t="shared" si="115"/>
        <v>IDR;IDR :STD;8Y</v>
      </c>
      <c r="B1536" s="600" t="str">
        <f t="shared" si="119"/>
        <v>IDR</v>
      </c>
      <c r="C1536" s="600" t="str">
        <f t="shared" si="119"/>
        <v>IDR :STD</v>
      </c>
      <c r="D1536" s="603"/>
      <c r="E1536" s="604"/>
      <c r="F1536" s="607" t="s">
        <v>15</v>
      </c>
      <c r="G1536" s="608">
        <v>0</v>
      </c>
    </row>
    <row r="1537" spans="1:7" ht="11.1" customHeight="1">
      <c r="A1537" s="600" t="str">
        <f t="shared" si="115"/>
        <v>IDR;IDR :STD;9Y</v>
      </c>
      <c r="B1537" s="600" t="str">
        <f t="shared" si="119"/>
        <v>IDR</v>
      </c>
      <c r="C1537" s="600" t="str">
        <f t="shared" si="119"/>
        <v>IDR :STD</v>
      </c>
      <c r="D1537" s="603"/>
      <c r="E1537" s="604"/>
      <c r="F1537" s="607" t="s">
        <v>16</v>
      </c>
      <c r="G1537" s="608">
        <v>0</v>
      </c>
    </row>
    <row r="1538" spans="1:7" ht="11.1" customHeight="1">
      <c r="A1538" s="600" t="str">
        <f t="shared" si="115"/>
        <v>IDR;IDR :STD;10Y</v>
      </c>
      <c r="B1538" s="600" t="str">
        <f t="shared" si="119"/>
        <v>IDR</v>
      </c>
      <c r="C1538" s="600" t="str">
        <f t="shared" si="119"/>
        <v>IDR :STD</v>
      </c>
      <c r="D1538" s="603"/>
      <c r="E1538" s="604"/>
      <c r="F1538" s="607" t="s">
        <v>17</v>
      </c>
      <c r="G1538" s="608">
        <v>0</v>
      </c>
    </row>
    <row r="1539" spans="1:7" ht="11.1" customHeight="1">
      <c r="A1539" s="600" t="str">
        <f t="shared" si="115"/>
        <v>IDR;IDR FOREX;Total IDR FOREX</v>
      </c>
      <c r="B1539" s="600" t="str">
        <f t="shared" si="119"/>
        <v>IDR</v>
      </c>
      <c r="C1539" s="600" t="str">
        <f t="shared" si="119"/>
        <v>IDR FOREX</v>
      </c>
      <c r="D1539" s="603"/>
      <c r="E1539" s="604" t="s">
        <v>1248</v>
      </c>
      <c r="F1539" s="605" t="s">
        <v>1249</v>
      </c>
      <c r="G1539" s="611">
        <v>4788559.8590878798</v>
      </c>
    </row>
    <row r="1540" spans="1:7" ht="11.1" customHeight="1">
      <c r="A1540" s="600" t="str">
        <f t="shared" si="115"/>
        <v>IDR;IDR FOREX;O/N</v>
      </c>
      <c r="B1540" s="600" t="str">
        <f t="shared" si="119"/>
        <v>IDR</v>
      </c>
      <c r="C1540" s="600" t="str">
        <f t="shared" si="119"/>
        <v>IDR FOREX</v>
      </c>
      <c r="D1540" s="603"/>
      <c r="E1540" s="604"/>
      <c r="F1540" s="607" t="s">
        <v>3</v>
      </c>
      <c r="G1540" s="611">
        <v>363.00217097542497</v>
      </c>
    </row>
    <row r="1541" spans="1:7" ht="11.1" customHeight="1">
      <c r="A1541" s="600" t="str">
        <f t="shared" ref="A1541:A1604" si="120">B1541&amp;";"&amp;C1541&amp;";"&amp;F1541</f>
        <v>IDR;IDR FOREX;T/N</v>
      </c>
      <c r="B1541" s="600" t="str">
        <f t="shared" ref="B1541:C1556" si="121">IF(ISBLANK(D1541),B1540,D1541)</f>
        <v>IDR</v>
      </c>
      <c r="C1541" s="600" t="str">
        <f t="shared" si="121"/>
        <v>IDR FOREX</v>
      </c>
      <c r="D1541" s="603"/>
      <c r="E1541" s="604"/>
      <c r="F1541" s="607" t="s">
        <v>4</v>
      </c>
      <c r="G1541" s="611">
        <v>121.023407702524</v>
      </c>
    </row>
    <row r="1542" spans="1:7" ht="11.1" customHeight="1">
      <c r="A1542" s="600" t="str">
        <f t="shared" si="120"/>
        <v>IDR;IDR FOREX;S/N</v>
      </c>
      <c r="B1542" s="600" t="str">
        <f t="shared" si="121"/>
        <v>IDR</v>
      </c>
      <c r="C1542" s="600" t="str">
        <f t="shared" si="121"/>
        <v>IDR FOREX</v>
      </c>
      <c r="D1542" s="603"/>
      <c r="E1542" s="604"/>
      <c r="F1542" s="607" t="s">
        <v>23</v>
      </c>
      <c r="G1542" s="608">
        <v>0</v>
      </c>
    </row>
    <row r="1543" spans="1:7" ht="11.1" customHeight="1">
      <c r="A1543" s="600" t="str">
        <f t="shared" si="120"/>
        <v>IDR;IDR FOREX;1W</v>
      </c>
      <c r="B1543" s="600" t="str">
        <f t="shared" si="121"/>
        <v>IDR</v>
      </c>
      <c r="C1543" s="600" t="str">
        <f t="shared" si="121"/>
        <v>IDR FOREX</v>
      </c>
      <c r="D1543" s="603"/>
      <c r="E1543" s="604"/>
      <c r="F1543" s="607" t="s">
        <v>5</v>
      </c>
      <c r="G1543" s="608">
        <v>0</v>
      </c>
    </row>
    <row r="1544" spans="1:7" ht="11.1" customHeight="1">
      <c r="A1544" s="600" t="str">
        <f t="shared" si="120"/>
        <v>IDR;IDR FOREX;2W</v>
      </c>
      <c r="B1544" s="600" t="str">
        <f t="shared" si="121"/>
        <v>IDR</v>
      </c>
      <c r="C1544" s="600" t="str">
        <f t="shared" si="121"/>
        <v>IDR FOREX</v>
      </c>
      <c r="D1544" s="603"/>
      <c r="E1544" s="604"/>
      <c r="F1544" s="607" t="s">
        <v>6</v>
      </c>
      <c r="G1544" s="608">
        <v>0</v>
      </c>
    </row>
    <row r="1545" spans="1:7" ht="11.1" customHeight="1">
      <c r="A1545" s="600" t="str">
        <f t="shared" si="120"/>
        <v>IDR;IDR FOREX;3W</v>
      </c>
      <c r="B1545" s="600" t="str">
        <f t="shared" si="121"/>
        <v>IDR</v>
      </c>
      <c r="C1545" s="600" t="str">
        <f t="shared" si="121"/>
        <v>IDR FOREX</v>
      </c>
      <c r="D1545" s="603"/>
      <c r="E1545" s="604"/>
      <c r="F1545" s="607" t="s">
        <v>24</v>
      </c>
      <c r="G1545" s="608">
        <v>0</v>
      </c>
    </row>
    <row r="1546" spans="1:7" ht="11.1" customHeight="1">
      <c r="A1546" s="600" t="str">
        <f t="shared" si="120"/>
        <v>IDR;IDR FOREX;1M</v>
      </c>
      <c r="B1546" s="600" t="str">
        <f t="shared" si="121"/>
        <v>IDR</v>
      </c>
      <c r="C1546" s="600" t="str">
        <f t="shared" si="121"/>
        <v>IDR FOREX</v>
      </c>
      <c r="D1546" s="603"/>
      <c r="E1546" s="604"/>
      <c r="F1546" s="607" t="s">
        <v>7</v>
      </c>
      <c r="G1546" s="608">
        <v>0</v>
      </c>
    </row>
    <row r="1547" spans="1:7" ht="11.1" customHeight="1">
      <c r="A1547" s="600" t="str">
        <f t="shared" si="120"/>
        <v>IDR;IDR FOREX;2M</v>
      </c>
      <c r="B1547" s="600" t="str">
        <f t="shared" si="121"/>
        <v>IDR</v>
      </c>
      <c r="C1547" s="600" t="str">
        <f t="shared" si="121"/>
        <v>IDR FOREX</v>
      </c>
      <c r="D1547" s="603"/>
      <c r="E1547" s="604"/>
      <c r="F1547" s="607" t="s">
        <v>8</v>
      </c>
      <c r="G1547" s="608">
        <v>0</v>
      </c>
    </row>
    <row r="1548" spans="1:7" ht="11.1" customHeight="1">
      <c r="A1548" s="600" t="str">
        <f t="shared" si="120"/>
        <v>IDR;IDR FOREX;3M</v>
      </c>
      <c r="B1548" s="600" t="str">
        <f t="shared" si="121"/>
        <v>IDR</v>
      </c>
      <c r="C1548" s="600" t="str">
        <f t="shared" si="121"/>
        <v>IDR FOREX</v>
      </c>
      <c r="D1548" s="603"/>
      <c r="E1548" s="604"/>
      <c r="F1548" s="607" t="s">
        <v>25</v>
      </c>
      <c r="G1548" s="608">
        <v>0</v>
      </c>
    </row>
    <row r="1549" spans="1:7" ht="11.1" customHeight="1">
      <c r="A1549" s="600" t="str">
        <f t="shared" si="120"/>
        <v>IDR;IDR FOREX;4M</v>
      </c>
      <c r="B1549" s="600" t="str">
        <f t="shared" si="121"/>
        <v>IDR</v>
      </c>
      <c r="C1549" s="600" t="str">
        <f t="shared" si="121"/>
        <v>IDR FOREX</v>
      </c>
      <c r="D1549" s="603"/>
      <c r="E1549" s="604"/>
      <c r="F1549" s="607" t="s">
        <v>26</v>
      </c>
      <c r="G1549" s="608">
        <v>0</v>
      </c>
    </row>
    <row r="1550" spans="1:7" ht="11.1" customHeight="1">
      <c r="A1550" s="600" t="str">
        <f t="shared" si="120"/>
        <v>IDR;IDR FOREX;5M</v>
      </c>
      <c r="B1550" s="600" t="str">
        <f t="shared" si="121"/>
        <v>IDR</v>
      </c>
      <c r="C1550" s="600" t="str">
        <f t="shared" si="121"/>
        <v>IDR FOREX</v>
      </c>
      <c r="D1550" s="603"/>
      <c r="E1550" s="604"/>
      <c r="F1550" s="607" t="s">
        <v>27</v>
      </c>
      <c r="G1550" s="611">
        <v>552813.06640950695</v>
      </c>
    </row>
    <row r="1551" spans="1:7" ht="11.1" customHeight="1">
      <c r="A1551" s="600" t="str">
        <f t="shared" si="120"/>
        <v>IDR;IDR FOREX;6M</v>
      </c>
      <c r="B1551" s="600" t="str">
        <f t="shared" si="121"/>
        <v>IDR</v>
      </c>
      <c r="C1551" s="600" t="str">
        <f t="shared" si="121"/>
        <v>IDR FOREX</v>
      </c>
      <c r="D1551" s="603"/>
      <c r="E1551" s="604"/>
      <c r="F1551" s="607" t="s">
        <v>28</v>
      </c>
      <c r="G1551" s="611">
        <v>2733092.4820374302</v>
      </c>
    </row>
    <row r="1552" spans="1:7" ht="11.1" customHeight="1">
      <c r="A1552" s="600" t="str">
        <f t="shared" si="120"/>
        <v>IDR;IDR FOREX;7M</v>
      </c>
      <c r="B1552" s="600" t="str">
        <f t="shared" si="121"/>
        <v>IDR</v>
      </c>
      <c r="C1552" s="600" t="str">
        <f t="shared" si="121"/>
        <v>IDR FOREX</v>
      </c>
      <c r="D1552" s="603"/>
      <c r="E1552" s="604"/>
      <c r="F1552" s="607" t="s">
        <v>29</v>
      </c>
      <c r="G1552" s="608">
        <v>0</v>
      </c>
    </row>
    <row r="1553" spans="1:7" ht="11.1" customHeight="1">
      <c r="A1553" s="600" t="str">
        <f t="shared" si="120"/>
        <v>IDR;IDR FOREX;8M</v>
      </c>
      <c r="B1553" s="600" t="str">
        <f t="shared" si="121"/>
        <v>IDR</v>
      </c>
      <c r="C1553" s="600" t="str">
        <f t="shared" si="121"/>
        <v>IDR FOREX</v>
      </c>
      <c r="D1553" s="603"/>
      <c r="E1553" s="604"/>
      <c r="F1553" s="607" t="s">
        <v>30</v>
      </c>
      <c r="G1553" s="608">
        <v>0</v>
      </c>
    </row>
    <row r="1554" spans="1:7" ht="11.1" customHeight="1">
      <c r="A1554" s="600" t="str">
        <f t="shared" si="120"/>
        <v>IDR;IDR FOREX;9M</v>
      </c>
      <c r="B1554" s="600" t="str">
        <f t="shared" si="121"/>
        <v>IDR</v>
      </c>
      <c r="C1554" s="600" t="str">
        <f t="shared" si="121"/>
        <v>IDR FOREX</v>
      </c>
      <c r="D1554" s="603"/>
      <c r="E1554" s="604"/>
      <c r="F1554" s="607" t="s">
        <v>49</v>
      </c>
      <c r="G1554" s="608">
        <v>0</v>
      </c>
    </row>
    <row r="1555" spans="1:7" ht="11.1" customHeight="1">
      <c r="A1555" s="600" t="str">
        <f t="shared" si="120"/>
        <v>IDR;IDR FOREX;10M</v>
      </c>
      <c r="B1555" s="600" t="str">
        <f t="shared" si="121"/>
        <v>IDR</v>
      </c>
      <c r="C1555" s="600" t="str">
        <f t="shared" si="121"/>
        <v>IDR FOREX</v>
      </c>
      <c r="D1555" s="603"/>
      <c r="E1555" s="604"/>
      <c r="F1555" s="607" t="s">
        <v>50</v>
      </c>
      <c r="G1555" s="608">
        <v>0</v>
      </c>
    </row>
    <row r="1556" spans="1:7" ht="11.1" customHeight="1">
      <c r="A1556" s="600" t="str">
        <f t="shared" si="120"/>
        <v>IDR;IDR FOREX;11M</v>
      </c>
      <c r="B1556" s="600" t="str">
        <f t="shared" si="121"/>
        <v>IDR</v>
      </c>
      <c r="C1556" s="600" t="str">
        <f t="shared" si="121"/>
        <v>IDR FOREX</v>
      </c>
      <c r="D1556" s="603"/>
      <c r="E1556" s="604"/>
      <c r="F1556" s="607" t="s">
        <v>51</v>
      </c>
      <c r="G1556" s="608">
        <v>0</v>
      </c>
    </row>
    <row r="1557" spans="1:7" ht="11.1" customHeight="1">
      <c r="A1557" s="600" t="str">
        <f t="shared" si="120"/>
        <v>IDR;IDR FOREX;12M</v>
      </c>
      <c r="B1557" s="600" t="str">
        <f t="shared" ref="B1557:C1572" si="122">IF(ISBLANK(D1557),B1556,D1557)</f>
        <v>IDR</v>
      </c>
      <c r="C1557" s="600" t="str">
        <f t="shared" si="122"/>
        <v>IDR FOREX</v>
      </c>
      <c r="D1557" s="603"/>
      <c r="E1557" s="604"/>
      <c r="F1557" s="607" t="s">
        <v>52</v>
      </c>
      <c r="G1557" s="606">
        <v>-5680.3205985821896</v>
      </c>
    </row>
    <row r="1558" spans="1:7" ht="11.1" customHeight="1">
      <c r="A1558" s="600" t="str">
        <f t="shared" si="120"/>
        <v>IDR;IDR FOREX;15M</v>
      </c>
      <c r="B1558" s="600" t="str">
        <f t="shared" si="122"/>
        <v>IDR</v>
      </c>
      <c r="C1558" s="600" t="str">
        <f t="shared" si="122"/>
        <v>IDR FOREX</v>
      </c>
      <c r="D1558" s="603"/>
      <c r="E1558" s="604"/>
      <c r="F1558" s="607" t="s">
        <v>53</v>
      </c>
      <c r="G1558" s="608">
        <v>0</v>
      </c>
    </row>
    <row r="1559" spans="1:7" ht="11.1" customHeight="1">
      <c r="A1559" s="600" t="str">
        <f t="shared" si="120"/>
        <v>IDR;IDR FOREX;18M</v>
      </c>
      <c r="B1559" s="600" t="str">
        <f t="shared" si="122"/>
        <v>IDR</v>
      </c>
      <c r="C1559" s="600" t="str">
        <f t="shared" si="122"/>
        <v>IDR FOREX</v>
      </c>
      <c r="D1559" s="603"/>
      <c r="E1559" s="604"/>
      <c r="F1559" s="607" t="s">
        <v>54</v>
      </c>
      <c r="G1559" s="611">
        <v>1391079.49939598</v>
      </c>
    </row>
    <row r="1560" spans="1:7" ht="11.1" customHeight="1">
      <c r="A1560" s="600" t="str">
        <f t="shared" si="120"/>
        <v>IDR;IDR FOREX;24M</v>
      </c>
      <c r="B1560" s="600" t="str">
        <f t="shared" si="122"/>
        <v>IDR</v>
      </c>
      <c r="C1560" s="600" t="str">
        <f t="shared" si="122"/>
        <v>IDR FOREX</v>
      </c>
      <c r="D1560" s="603"/>
      <c r="E1560" s="604"/>
      <c r="F1560" s="607" t="s">
        <v>659</v>
      </c>
      <c r="G1560" s="611">
        <v>116771.10626487499</v>
      </c>
    </row>
    <row r="1561" spans="1:7" ht="11.1" customHeight="1">
      <c r="A1561" s="600" t="str">
        <f t="shared" si="120"/>
        <v>IDR;IDR FOREX;3Y</v>
      </c>
      <c r="B1561" s="600" t="str">
        <f t="shared" si="122"/>
        <v>IDR</v>
      </c>
      <c r="C1561" s="600" t="str">
        <f t="shared" si="122"/>
        <v>IDR FOREX</v>
      </c>
      <c r="D1561" s="603"/>
      <c r="E1561" s="604"/>
      <c r="F1561" s="607" t="s">
        <v>10</v>
      </c>
      <c r="G1561" s="608">
        <v>0</v>
      </c>
    </row>
    <row r="1562" spans="1:7" ht="11.1" customHeight="1">
      <c r="A1562" s="600" t="str">
        <f t="shared" si="120"/>
        <v>IDR;IDR FOREX;4Y</v>
      </c>
      <c r="B1562" s="600" t="str">
        <f t="shared" si="122"/>
        <v>IDR</v>
      </c>
      <c r="C1562" s="600" t="str">
        <f t="shared" si="122"/>
        <v>IDR FOREX</v>
      </c>
      <c r="D1562" s="603"/>
      <c r="E1562" s="604"/>
      <c r="F1562" s="607" t="s">
        <v>11</v>
      </c>
      <c r="G1562" s="608">
        <v>0</v>
      </c>
    </row>
    <row r="1563" spans="1:7" ht="11.1" customHeight="1">
      <c r="A1563" s="600" t="str">
        <f t="shared" si="120"/>
        <v>IDR;IDR FOREX;5Y</v>
      </c>
      <c r="B1563" s="600" t="str">
        <f t="shared" si="122"/>
        <v>IDR</v>
      </c>
      <c r="C1563" s="600" t="str">
        <f t="shared" si="122"/>
        <v>IDR FOREX</v>
      </c>
      <c r="D1563" s="603"/>
      <c r="E1563" s="604"/>
      <c r="F1563" s="607" t="s">
        <v>12</v>
      </c>
      <c r="G1563" s="608">
        <v>0</v>
      </c>
    </row>
    <row r="1564" spans="1:7" ht="11.1" customHeight="1">
      <c r="A1564" s="600" t="str">
        <f t="shared" si="120"/>
        <v>IDR;IDR FOREX;6Y</v>
      </c>
      <c r="B1564" s="600" t="str">
        <f t="shared" si="122"/>
        <v>IDR</v>
      </c>
      <c r="C1564" s="600" t="str">
        <f t="shared" si="122"/>
        <v>IDR FOREX</v>
      </c>
      <c r="D1564" s="603"/>
      <c r="E1564" s="604"/>
      <c r="F1564" s="607" t="s">
        <v>13</v>
      </c>
      <c r="G1564" s="608">
        <v>0</v>
      </c>
    </row>
    <row r="1565" spans="1:7" ht="11.1" customHeight="1">
      <c r="A1565" s="600" t="str">
        <f t="shared" si="120"/>
        <v>IDR;IDR FOREX;7Y</v>
      </c>
      <c r="B1565" s="600" t="str">
        <f t="shared" si="122"/>
        <v>IDR</v>
      </c>
      <c r="C1565" s="600" t="str">
        <f t="shared" si="122"/>
        <v>IDR FOREX</v>
      </c>
      <c r="D1565" s="603"/>
      <c r="E1565" s="604"/>
      <c r="F1565" s="607" t="s">
        <v>14</v>
      </c>
      <c r="G1565" s="608">
        <v>0</v>
      </c>
    </row>
    <row r="1566" spans="1:7" ht="11.1" customHeight="1">
      <c r="A1566" s="600" t="str">
        <f t="shared" si="120"/>
        <v>IDR;IDR FOREX;8Y</v>
      </c>
      <c r="B1566" s="600" t="str">
        <f t="shared" si="122"/>
        <v>IDR</v>
      </c>
      <c r="C1566" s="600" t="str">
        <f t="shared" si="122"/>
        <v>IDR FOREX</v>
      </c>
      <c r="D1566" s="603"/>
      <c r="E1566" s="604"/>
      <c r="F1566" s="607" t="s">
        <v>15</v>
      </c>
      <c r="G1566" s="608">
        <v>0</v>
      </c>
    </row>
    <row r="1567" spans="1:7" ht="11.1" customHeight="1">
      <c r="A1567" s="600" t="str">
        <f t="shared" si="120"/>
        <v>IDR;IDR FOREX;9Y</v>
      </c>
      <c r="B1567" s="600" t="str">
        <f t="shared" si="122"/>
        <v>IDR</v>
      </c>
      <c r="C1567" s="600" t="str">
        <f t="shared" si="122"/>
        <v>IDR FOREX</v>
      </c>
      <c r="D1567" s="603"/>
      <c r="E1567" s="604"/>
      <c r="F1567" s="607" t="s">
        <v>16</v>
      </c>
      <c r="G1567" s="608">
        <v>0</v>
      </c>
    </row>
    <row r="1568" spans="1:7" ht="11.1" customHeight="1">
      <c r="A1568" s="600" t="str">
        <f t="shared" si="120"/>
        <v>IDR;IDR FOREX;10Y</v>
      </c>
      <c r="B1568" s="600" t="str">
        <f t="shared" si="122"/>
        <v>IDR</v>
      </c>
      <c r="C1568" s="600" t="str">
        <f t="shared" si="122"/>
        <v>IDR FOREX</v>
      </c>
      <c r="D1568" s="603"/>
      <c r="E1568" s="604"/>
      <c r="F1568" s="607" t="s">
        <v>17</v>
      </c>
      <c r="G1568" s="608">
        <v>0</v>
      </c>
    </row>
    <row r="1569" spans="1:7" ht="11.1" customHeight="1">
      <c r="A1569" s="600" t="str">
        <f t="shared" si="120"/>
        <v>ILS;Total ILS;</v>
      </c>
      <c r="B1569" s="600" t="str">
        <f t="shared" si="122"/>
        <v>ILS</v>
      </c>
      <c r="C1569" s="600" t="str">
        <f t="shared" si="122"/>
        <v>Total ILS</v>
      </c>
      <c r="D1569" s="603" t="s">
        <v>1250</v>
      </c>
      <c r="E1569" s="609" t="s">
        <v>1251</v>
      </c>
      <c r="F1569" s="609"/>
      <c r="G1569" s="610">
        <v>2.1798565967534301E-13</v>
      </c>
    </row>
    <row r="1570" spans="1:7" ht="11.1" customHeight="1">
      <c r="A1570" s="600" t="str">
        <f t="shared" si="120"/>
        <v>ILS;ILS :STD;Total ILS :STD</v>
      </c>
      <c r="B1570" s="600" t="str">
        <f t="shared" si="122"/>
        <v>ILS</v>
      </c>
      <c r="C1570" s="600" t="str">
        <f t="shared" si="122"/>
        <v>ILS :STD</v>
      </c>
      <c r="D1570" s="603"/>
      <c r="E1570" s="604" t="s">
        <v>1252</v>
      </c>
      <c r="F1570" s="605" t="s">
        <v>1253</v>
      </c>
      <c r="G1570" s="611">
        <v>2.1798565967534301E-13</v>
      </c>
    </row>
    <row r="1571" spans="1:7" ht="11.1" customHeight="1">
      <c r="A1571" s="600" t="str">
        <f t="shared" si="120"/>
        <v>ILS;ILS :STD;O/N</v>
      </c>
      <c r="B1571" s="600" t="str">
        <f t="shared" si="122"/>
        <v>ILS</v>
      </c>
      <c r="C1571" s="600" t="str">
        <f t="shared" si="122"/>
        <v>ILS :STD</v>
      </c>
      <c r="D1571" s="603"/>
      <c r="E1571" s="604"/>
      <c r="F1571" s="607" t="s">
        <v>3</v>
      </c>
      <c r="G1571" s="611">
        <v>0</v>
      </c>
    </row>
    <row r="1572" spans="1:7" ht="11.1" customHeight="1">
      <c r="A1572" s="600" t="str">
        <f t="shared" si="120"/>
        <v>ILS;ILS :STD;1M</v>
      </c>
      <c r="B1572" s="600" t="str">
        <f t="shared" si="122"/>
        <v>ILS</v>
      </c>
      <c r="C1572" s="600" t="str">
        <f t="shared" si="122"/>
        <v>ILS :STD</v>
      </c>
      <c r="D1572" s="603"/>
      <c r="E1572" s="604"/>
      <c r="F1572" s="607" t="s">
        <v>7</v>
      </c>
      <c r="G1572" s="606">
        <v>-3.5527136788005001E-15</v>
      </c>
    </row>
    <row r="1573" spans="1:7" ht="11.1" customHeight="1">
      <c r="A1573" s="600" t="str">
        <f t="shared" si="120"/>
        <v>ILS;ILS :STD;3M</v>
      </c>
      <c r="B1573" s="600" t="str">
        <f t="shared" ref="B1573:C1588" si="123">IF(ISBLANK(D1573),B1572,D1573)</f>
        <v>ILS</v>
      </c>
      <c r="C1573" s="600" t="str">
        <f t="shared" si="123"/>
        <v>ILS :STD</v>
      </c>
      <c r="D1573" s="603"/>
      <c r="E1573" s="604"/>
      <c r="F1573" s="607" t="s">
        <v>25</v>
      </c>
      <c r="G1573" s="606">
        <v>-1.13242748511766E-14</v>
      </c>
    </row>
    <row r="1574" spans="1:7" ht="11.1" customHeight="1">
      <c r="A1574" s="600" t="str">
        <f t="shared" si="120"/>
        <v>ILS;ILS :STD;6M</v>
      </c>
      <c r="B1574" s="600" t="str">
        <f t="shared" si="123"/>
        <v>ILS</v>
      </c>
      <c r="C1574" s="600" t="str">
        <f t="shared" si="123"/>
        <v>ILS :STD</v>
      </c>
      <c r="D1574" s="603"/>
      <c r="E1574" s="604"/>
      <c r="F1574" s="607" t="s">
        <v>28</v>
      </c>
      <c r="G1574" s="606">
        <v>-4.3465231414074897E-14</v>
      </c>
    </row>
    <row r="1575" spans="1:7" ht="11.1" customHeight="1">
      <c r="A1575" s="600" t="str">
        <f t="shared" si="120"/>
        <v>ILS;ILS :STD;9M</v>
      </c>
      <c r="B1575" s="600" t="str">
        <f t="shared" si="123"/>
        <v>ILS</v>
      </c>
      <c r="C1575" s="600" t="str">
        <f t="shared" si="123"/>
        <v>ILS :STD</v>
      </c>
      <c r="D1575" s="603"/>
      <c r="E1575" s="604"/>
      <c r="F1575" s="607" t="s">
        <v>49</v>
      </c>
      <c r="G1575" s="606">
        <v>-6.9499961341534799E-14</v>
      </c>
    </row>
    <row r="1576" spans="1:7" ht="11.1" customHeight="1">
      <c r="A1576" s="600" t="str">
        <f t="shared" si="120"/>
        <v>ILS;ILS :STD;12M</v>
      </c>
      <c r="B1576" s="600" t="str">
        <f t="shared" si="123"/>
        <v>ILS</v>
      </c>
      <c r="C1576" s="600" t="str">
        <f t="shared" si="123"/>
        <v>ILS :STD</v>
      </c>
      <c r="D1576" s="603"/>
      <c r="E1576" s="604"/>
      <c r="F1576" s="607" t="s">
        <v>52</v>
      </c>
      <c r="G1576" s="606">
        <v>-5.8397731095283196E-14</v>
      </c>
    </row>
    <row r="1577" spans="1:7" ht="11.1" customHeight="1">
      <c r="A1577" s="600" t="str">
        <f t="shared" si="120"/>
        <v>ILS;ILS :STD;2Y</v>
      </c>
      <c r="B1577" s="600" t="str">
        <f t="shared" si="123"/>
        <v>ILS</v>
      </c>
      <c r="C1577" s="600" t="str">
        <f t="shared" si="123"/>
        <v>ILS :STD</v>
      </c>
      <c r="D1577" s="603"/>
      <c r="E1577" s="604"/>
      <c r="F1577" s="607" t="s">
        <v>9</v>
      </c>
      <c r="G1577" s="606">
        <v>-4.4408920985006301E-16</v>
      </c>
    </row>
    <row r="1578" spans="1:7" ht="11.1" customHeight="1">
      <c r="A1578" s="600" t="str">
        <f t="shared" si="120"/>
        <v>ILS;ILS :STD;3Y</v>
      </c>
      <c r="B1578" s="600" t="str">
        <f t="shared" si="123"/>
        <v>ILS</v>
      </c>
      <c r="C1578" s="600" t="str">
        <f t="shared" si="123"/>
        <v>ILS :STD</v>
      </c>
      <c r="D1578" s="603"/>
      <c r="E1578" s="604"/>
      <c r="F1578" s="607" t="s">
        <v>10</v>
      </c>
      <c r="G1578" s="606">
        <v>-1.0408340855860799E-16</v>
      </c>
    </row>
    <row r="1579" spans="1:7" ht="11.1" customHeight="1">
      <c r="A1579" s="600" t="str">
        <f t="shared" si="120"/>
        <v>ILS;ILS :STD;4Y</v>
      </c>
      <c r="B1579" s="600" t="str">
        <f t="shared" si="123"/>
        <v>ILS</v>
      </c>
      <c r="C1579" s="600" t="str">
        <f t="shared" si="123"/>
        <v>ILS :STD</v>
      </c>
      <c r="D1579" s="603"/>
      <c r="E1579" s="604"/>
      <c r="F1579" s="607" t="s">
        <v>11</v>
      </c>
      <c r="G1579" s="611">
        <v>1.14349447879331E-20</v>
      </c>
    </row>
    <row r="1580" spans="1:7" ht="11.1" customHeight="1">
      <c r="A1580" s="600" t="str">
        <f t="shared" si="120"/>
        <v>ILS;ILS :STD;5Y</v>
      </c>
      <c r="B1580" s="600" t="str">
        <f t="shared" si="123"/>
        <v>ILS</v>
      </c>
      <c r="C1580" s="600" t="str">
        <f t="shared" si="123"/>
        <v>ILS :STD</v>
      </c>
      <c r="D1580" s="603"/>
      <c r="E1580" s="604"/>
      <c r="F1580" s="607" t="s">
        <v>12</v>
      </c>
      <c r="G1580" s="611">
        <v>0</v>
      </c>
    </row>
    <row r="1581" spans="1:7" ht="11.1" customHeight="1">
      <c r="A1581" s="600" t="str">
        <f t="shared" si="120"/>
        <v>ILS;ILS :STD;6Y</v>
      </c>
      <c r="B1581" s="600" t="str">
        <f t="shared" si="123"/>
        <v>ILS</v>
      </c>
      <c r="C1581" s="600" t="str">
        <f t="shared" si="123"/>
        <v>ILS :STD</v>
      </c>
      <c r="D1581" s="603"/>
      <c r="E1581" s="604"/>
      <c r="F1581" s="607" t="s">
        <v>13</v>
      </c>
      <c r="G1581" s="611">
        <v>0</v>
      </c>
    </row>
    <row r="1582" spans="1:7" ht="11.1" customHeight="1">
      <c r="A1582" s="600" t="str">
        <f t="shared" si="120"/>
        <v>ILS;ILS :STD;7Y</v>
      </c>
      <c r="B1582" s="600" t="str">
        <f t="shared" si="123"/>
        <v>ILS</v>
      </c>
      <c r="C1582" s="600" t="str">
        <f t="shared" si="123"/>
        <v>ILS :STD</v>
      </c>
      <c r="D1582" s="603"/>
      <c r="E1582" s="604"/>
      <c r="F1582" s="607" t="s">
        <v>14</v>
      </c>
      <c r="G1582" s="608">
        <v>0</v>
      </c>
    </row>
    <row r="1583" spans="1:7" ht="11.1" customHeight="1">
      <c r="A1583" s="600" t="str">
        <f t="shared" si="120"/>
        <v>ILS;ILS :STD;8Y</v>
      </c>
      <c r="B1583" s="600" t="str">
        <f t="shared" si="123"/>
        <v>ILS</v>
      </c>
      <c r="C1583" s="600" t="str">
        <f t="shared" si="123"/>
        <v>ILS :STD</v>
      </c>
      <c r="D1583" s="603"/>
      <c r="E1583" s="604"/>
      <c r="F1583" s="607" t="s">
        <v>15</v>
      </c>
      <c r="G1583" s="608">
        <v>0</v>
      </c>
    </row>
    <row r="1584" spans="1:7" ht="11.1" customHeight="1">
      <c r="A1584" s="600" t="str">
        <f t="shared" si="120"/>
        <v>ILS;ILS :STD;9Y</v>
      </c>
      <c r="B1584" s="600" t="str">
        <f t="shared" si="123"/>
        <v>ILS</v>
      </c>
      <c r="C1584" s="600" t="str">
        <f t="shared" si="123"/>
        <v>ILS :STD</v>
      </c>
      <c r="D1584" s="603"/>
      <c r="E1584" s="604"/>
      <c r="F1584" s="607" t="s">
        <v>16</v>
      </c>
      <c r="G1584" s="608">
        <v>0</v>
      </c>
    </row>
    <row r="1585" spans="1:7" ht="11.1" customHeight="1">
      <c r="A1585" s="600" t="str">
        <f t="shared" si="120"/>
        <v>ILS;ILS :STD;10Y</v>
      </c>
      <c r="B1585" s="600" t="str">
        <f t="shared" si="123"/>
        <v>ILS</v>
      </c>
      <c r="C1585" s="600" t="str">
        <f t="shared" si="123"/>
        <v>ILS :STD</v>
      </c>
      <c r="D1585" s="603"/>
      <c r="E1585" s="604"/>
      <c r="F1585" s="607" t="s">
        <v>17</v>
      </c>
      <c r="G1585" s="608">
        <v>0</v>
      </c>
    </row>
    <row r="1586" spans="1:7" ht="11.1" customHeight="1">
      <c r="A1586" s="600" t="str">
        <f t="shared" si="120"/>
        <v>ILS;ILS :STD;12Y</v>
      </c>
      <c r="B1586" s="600" t="str">
        <f t="shared" si="123"/>
        <v>ILS</v>
      </c>
      <c r="C1586" s="600" t="str">
        <f t="shared" si="123"/>
        <v>ILS :STD</v>
      </c>
      <c r="D1586" s="603"/>
      <c r="E1586" s="604"/>
      <c r="F1586" s="607" t="s">
        <v>18</v>
      </c>
      <c r="G1586" s="608">
        <v>0</v>
      </c>
    </row>
    <row r="1587" spans="1:7" ht="11.1" customHeight="1">
      <c r="A1587" s="600" t="str">
        <f t="shared" si="120"/>
        <v>ILS;ILS :STD;15Y</v>
      </c>
      <c r="B1587" s="600" t="str">
        <f t="shared" si="123"/>
        <v>ILS</v>
      </c>
      <c r="C1587" s="600" t="str">
        <f t="shared" si="123"/>
        <v>ILS :STD</v>
      </c>
      <c r="D1587" s="603"/>
      <c r="E1587" s="604"/>
      <c r="F1587" s="607" t="s">
        <v>19</v>
      </c>
      <c r="G1587" s="608">
        <v>0</v>
      </c>
    </row>
    <row r="1588" spans="1:7" ht="11.1" customHeight="1">
      <c r="A1588" s="600" t="str">
        <f t="shared" si="120"/>
        <v>ILS;ILS :STD;20Y</v>
      </c>
      <c r="B1588" s="600" t="str">
        <f t="shared" si="123"/>
        <v>ILS</v>
      </c>
      <c r="C1588" s="600" t="str">
        <f t="shared" si="123"/>
        <v>ILS :STD</v>
      </c>
      <c r="D1588" s="603"/>
      <c r="E1588" s="604"/>
      <c r="F1588" s="607" t="s">
        <v>20</v>
      </c>
      <c r="G1588" s="608">
        <v>0</v>
      </c>
    </row>
    <row r="1589" spans="1:7" ht="11.1" customHeight="1">
      <c r="A1589" s="600" t="str">
        <f t="shared" si="120"/>
        <v>ILS;ILS FOREX;Total ILS FOREX</v>
      </c>
      <c r="B1589" s="600" t="str">
        <f t="shared" ref="B1589:C1604" si="124">IF(ISBLANK(D1589),B1588,D1589)</f>
        <v>ILS</v>
      </c>
      <c r="C1589" s="600" t="str">
        <f t="shared" si="124"/>
        <v>ILS FOREX</v>
      </c>
      <c r="D1589" s="603"/>
      <c r="E1589" s="604" t="s">
        <v>1254</v>
      </c>
      <c r="F1589" s="605" t="s">
        <v>1255</v>
      </c>
      <c r="G1589" s="611">
        <v>7.3101247277662698E-15</v>
      </c>
    </row>
    <row r="1590" spans="1:7" ht="11.1" customHeight="1">
      <c r="A1590" s="600" t="str">
        <f t="shared" si="120"/>
        <v>ILS;ILS FOREX;O/N</v>
      </c>
      <c r="B1590" s="600" t="str">
        <f t="shared" si="124"/>
        <v>ILS</v>
      </c>
      <c r="C1590" s="600" t="str">
        <f t="shared" si="124"/>
        <v>ILS FOREX</v>
      </c>
      <c r="D1590" s="603"/>
      <c r="E1590" s="604"/>
      <c r="F1590" s="607" t="s">
        <v>3</v>
      </c>
      <c r="G1590" s="611">
        <v>5.4470317145671703E-15</v>
      </c>
    </row>
    <row r="1591" spans="1:7" ht="11.1" customHeight="1">
      <c r="A1591" s="600" t="str">
        <f t="shared" si="120"/>
        <v>ILS;ILS FOREX;T/N</v>
      </c>
      <c r="B1591" s="600" t="str">
        <f t="shared" si="124"/>
        <v>ILS</v>
      </c>
      <c r="C1591" s="600" t="str">
        <f t="shared" si="124"/>
        <v>ILS FOREX</v>
      </c>
      <c r="D1591" s="603"/>
      <c r="E1591" s="604"/>
      <c r="F1591" s="607" t="s">
        <v>4</v>
      </c>
      <c r="G1591" s="611">
        <v>9.7491459349896598E-16</v>
      </c>
    </row>
    <row r="1592" spans="1:7" ht="11.1" customHeight="1">
      <c r="A1592" s="600" t="str">
        <f t="shared" si="120"/>
        <v>ILS;ILS FOREX;S/N</v>
      </c>
      <c r="B1592" s="600" t="str">
        <f t="shared" si="124"/>
        <v>ILS</v>
      </c>
      <c r="C1592" s="600" t="str">
        <f t="shared" si="124"/>
        <v>ILS FOREX</v>
      </c>
      <c r="D1592" s="603"/>
      <c r="E1592" s="604"/>
      <c r="F1592" s="607" t="s">
        <v>23</v>
      </c>
      <c r="G1592" s="608">
        <v>0</v>
      </c>
    </row>
    <row r="1593" spans="1:7" ht="11.1" customHeight="1">
      <c r="A1593" s="600" t="str">
        <f t="shared" si="120"/>
        <v>ILS;ILS FOREX;1W</v>
      </c>
      <c r="B1593" s="600" t="str">
        <f t="shared" si="124"/>
        <v>ILS</v>
      </c>
      <c r="C1593" s="600" t="str">
        <f t="shared" si="124"/>
        <v>ILS FOREX</v>
      </c>
      <c r="D1593" s="603"/>
      <c r="E1593" s="604"/>
      <c r="F1593" s="607" t="s">
        <v>5</v>
      </c>
      <c r="G1593" s="608">
        <v>0</v>
      </c>
    </row>
    <row r="1594" spans="1:7" ht="11.1" customHeight="1">
      <c r="A1594" s="600" t="str">
        <f t="shared" si="120"/>
        <v>ILS;ILS FOREX;2W</v>
      </c>
      <c r="B1594" s="600" t="str">
        <f t="shared" si="124"/>
        <v>ILS</v>
      </c>
      <c r="C1594" s="600" t="str">
        <f t="shared" si="124"/>
        <v>ILS FOREX</v>
      </c>
      <c r="D1594" s="603"/>
      <c r="E1594" s="604"/>
      <c r="F1594" s="607" t="s">
        <v>6</v>
      </c>
      <c r="G1594" s="608">
        <v>0</v>
      </c>
    </row>
    <row r="1595" spans="1:7" ht="11.1" customHeight="1">
      <c r="A1595" s="600" t="str">
        <f t="shared" si="120"/>
        <v>ILS;ILS FOREX;3W</v>
      </c>
      <c r="B1595" s="600" t="str">
        <f t="shared" si="124"/>
        <v>ILS</v>
      </c>
      <c r="C1595" s="600" t="str">
        <f t="shared" si="124"/>
        <v>ILS FOREX</v>
      </c>
      <c r="D1595" s="603"/>
      <c r="E1595" s="604"/>
      <c r="F1595" s="607" t="s">
        <v>24</v>
      </c>
      <c r="G1595" s="608">
        <v>0</v>
      </c>
    </row>
    <row r="1596" spans="1:7" ht="11.1" customHeight="1">
      <c r="A1596" s="600" t="str">
        <f t="shared" si="120"/>
        <v>ILS;ILS FOREX;1M</v>
      </c>
      <c r="B1596" s="600" t="str">
        <f t="shared" si="124"/>
        <v>ILS</v>
      </c>
      <c r="C1596" s="600" t="str">
        <f t="shared" si="124"/>
        <v>ILS FOREX</v>
      </c>
      <c r="D1596" s="603"/>
      <c r="E1596" s="604"/>
      <c r="F1596" s="607" t="s">
        <v>7</v>
      </c>
      <c r="G1596" s="608">
        <v>0</v>
      </c>
    </row>
    <row r="1597" spans="1:7" ht="11.1" customHeight="1">
      <c r="A1597" s="600" t="str">
        <f t="shared" si="120"/>
        <v>ILS;ILS FOREX;2M</v>
      </c>
      <c r="B1597" s="600" t="str">
        <f t="shared" si="124"/>
        <v>ILS</v>
      </c>
      <c r="C1597" s="600" t="str">
        <f t="shared" si="124"/>
        <v>ILS FOREX</v>
      </c>
      <c r="D1597" s="603"/>
      <c r="E1597" s="604"/>
      <c r="F1597" s="607" t="s">
        <v>8</v>
      </c>
      <c r="G1597" s="608">
        <v>0</v>
      </c>
    </row>
    <row r="1598" spans="1:7" ht="11.1" customHeight="1">
      <c r="A1598" s="600" t="str">
        <f t="shared" si="120"/>
        <v>ILS;ILS FOREX;3M</v>
      </c>
      <c r="B1598" s="600" t="str">
        <f t="shared" si="124"/>
        <v>ILS</v>
      </c>
      <c r="C1598" s="600" t="str">
        <f t="shared" si="124"/>
        <v>ILS FOREX</v>
      </c>
      <c r="D1598" s="603"/>
      <c r="E1598" s="604"/>
      <c r="F1598" s="607" t="s">
        <v>25</v>
      </c>
      <c r="G1598" s="608">
        <v>0</v>
      </c>
    </row>
    <row r="1599" spans="1:7" ht="11.1" customHeight="1">
      <c r="A1599" s="600" t="str">
        <f t="shared" si="120"/>
        <v>ILS;ILS FOREX;4M</v>
      </c>
      <c r="B1599" s="600" t="str">
        <f t="shared" si="124"/>
        <v>ILS</v>
      </c>
      <c r="C1599" s="600" t="str">
        <f t="shared" si="124"/>
        <v>ILS FOREX</v>
      </c>
      <c r="D1599" s="603"/>
      <c r="E1599" s="604"/>
      <c r="F1599" s="607" t="s">
        <v>26</v>
      </c>
      <c r="G1599" s="608">
        <v>0</v>
      </c>
    </row>
    <row r="1600" spans="1:7" ht="11.1" customHeight="1">
      <c r="A1600" s="600" t="str">
        <f t="shared" si="120"/>
        <v>ILS;ILS FOREX;5M</v>
      </c>
      <c r="B1600" s="600" t="str">
        <f t="shared" si="124"/>
        <v>ILS</v>
      </c>
      <c r="C1600" s="600" t="str">
        <f t="shared" si="124"/>
        <v>ILS FOREX</v>
      </c>
      <c r="D1600" s="603"/>
      <c r="E1600" s="604"/>
      <c r="F1600" s="607" t="s">
        <v>27</v>
      </c>
      <c r="G1600" s="608">
        <v>0</v>
      </c>
    </row>
    <row r="1601" spans="1:7" ht="11.1" customHeight="1">
      <c r="A1601" s="600" t="str">
        <f t="shared" si="120"/>
        <v>ILS;ILS FOREX;6M</v>
      </c>
      <c r="B1601" s="600" t="str">
        <f t="shared" si="124"/>
        <v>ILS</v>
      </c>
      <c r="C1601" s="600" t="str">
        <f t="shared" si="124"/>
        <v>ILS FOREX</v>
      </c>
      <c r="D1601" s="603"/>
      <c r="E1601" s="604"/>
      <c r="F1601" s="607" t="s">
        <v>28</v>
      </c>
      <c r="G1601" s="608">
        <v>0</v>
      </c>
    </row>
    <row r="1602" spans="1:7" ht="11.1" customHeight="1">
      <c r="A1602" s="600" t="str">
        <f t="shared" si="120"/>
        <v>ILS;ILS FOREX;7M</v>
      </c>
      <c r="B1602" s="600" t="str">
        <f t="shared" si="124"/>
        <v>ILS</v>
      </c>
      <c r="C1602" s="600" t="str">
        <f t="shared" si="124"/>
        <v>ILS FOREX</v>
      </c>
      <c r="D1602" s="603"/>
      <c r="E1602" s="604"/>
      <c r="F1602" s="607" t="s">
        <v>29</v>
      </c>
      <c r="G1602" s="608">
        <v>0</v>
      </c>
    </row>
    <row r="1603" spans="1:7" ht="11.1" customHeight="1">
      <c r="A1603" s="600" t="str">
        <f t="shared" si="120"/>
        <v>ILS;ILS FOREX;8M</v>
      </c>
      <c r="B1603" s="600" t="str">
        <f t="shared" si="124"/>
        <v>ILS</v>
      </c>
      <c r="C1603" s="600" t="str">
        <f t="shared" si="124"/>
        <v>ILS FOREX</v>
      </c>
      <c r="D1603" s="603"/>
      <c r="E1603" s="604"/>
      <c r="F1603" s="607" t="s">
        <v>30</v>
      </c>
      <c r="G1603" s="608">
        <v>0</v>
      </c>
    </row>
    <row r="1604" spans="1:7" ht="11.1" customHeight="1">
      <c r="A1604" s="600" t="str">
        <f t="shared" si="120"/>
        <v>ILS;ILS FOREX;9M</v>
      </c>
      <c r="B1604" s="600" t="str">
        <f t="shared" si="124"/>
        <v>ILS</v>
      </c>
      <c r="C1604" s="600" t="str">
        <f t="shared" si="124"/>
        <v>ILS FOREX</v>
      </c>
      <c r="D1604" s="603"/>
      <c r="E1604" s="604"/>
      <c r="F1604" s="607" t="s">
        <v>49</v>
      </c>
      <c r="G1604" s="608">
        <v>0</v>
      </c>
    </row>
    <row r="1605" spans="1:7" ht="11.1" customHeight="1">
      <c r="A1605" s="600" t="str">
        <f t="shared" ref="A1605:A1668" si="125">B1605&amp;";"&amp;C1605&amp;";"&amp;F1605</f>
        <v>ILS;ILS FOREX;10M</v>
      </c>
      <c r="B1605" s="600" t="str">
        <f t="shared" ref="B1605:C1620" si="126">IF(ISBLANK(D1605),B1604,D1605)</f>
        <v>ILS</v>
      </c>
      <c r="C1605" s="600" t="str">
        <f t="shared" si="126"/>
        <v>ILS FOREX</v>
      </c>
      <c r="D1605" s="603"/>
      <c r="E1605" s="604"/>
      <c r="F1605" s="607" t="s">
        <v>50</v>
      </c>
      <c r="G1605" s="608">
        <v>0</v>
      </c>
    </row>
    <row r="1606" spans="1:7" ht="11.1" customHeight="1">
      <c r="A1606" s="600" t="str">
        <f t="shared" si="125"/>
        <v>ILS;ILS FOREX;11M</v>
      </c>
      <c r="B1606" s="600" t="str">
        <f t="shared" si="126"/>
        <v>ILS</v>
      </c>
      <c r="C1606" s="600" t="str">
        <f t="shared" si="126"/>
        <v>ILS FOREX</v>
      </c>
      <c r="D1606" s="603"/>
      <c r="E1606" s="604"/>
      <c r="F1606" s="607" t="s">
        <v>51</v>
      </c>
      <c r="G1606" s="608">
        <v>0</v>
      </c>
    </row>
    <row r="1607" spans="1:7" ht="11.1" customHeight="1">
      <c r="A1607" s="600" t="str">
        <f t="shared" si="125"/>
        <v>ILS;ILS FOREX;12M</v>
      </c>
      <c r="B1607" s="600" t="str">
        <f t="shared" si="126"/>
        <v>ILS</v>
      </c>
      <c r="C1607" s="600" t="str">
        <f t="shared" si="126"/>
        <v>ILS FOREX</v>
      </c>
      <c r="D1607" s="603"/>
      <c r="E1607" s="604"/>
      <c r="F1607" s="607" t="s">
        <v>52</v>
      </c>
      <c r="G1607" s="608">
        <v>0</v>
      </c>
    </row>
    <row r="1608" spans="1:7" ht="11.1" customHeight="1">
      <c r="A1608" s="600" t="str">
        <f t="shared" si="125"/>
        <v>ILS;ILS FOREX;15M</v>
      </c>
      <c r="B1608" s="600" t="str">
        <f t="shared" si="126"/>
        <v>ILS</v>
      </c>
      <c r="C1608" s="600" t="str">
        <f t="shared" si="126"/>
        <v>ILS FOREX</v>
      </c>
      <c r="D1608" s="603"/>
      <c r="E1608" s="604"/>
      <c r="F1608" s="607" t="s">
        <v>53</v>
      </c>
      <c r="G1608" s="608">
        <v>0</v>
      </c>
    </row>
    <row r="1609" spans="1:7" ht="11.1" customHeight="1">
      <c r="A1609" s="600" t="str">
        <f t="shared" si="125"/>
        <v>ILS;ILS FOREX;18M</v>
      </c>
      <c r="B1609" s="600" t="str">
        <f t="shared" si="126"/>
        <v>ILS</v>
      </c>
      <c r="C1609" s="600" t="str">
        <f t="shared" si="126"/>
        <v>ILS FOREX</v>
      </c>
      <c r="D1609" s="603"/>
      <c r="E1609" s="604"/>
      <c r="F1609" s="607" t="s">
        <v>54</v>
      </c>
      <c r="G1609" s="608">
        <v>0</v>
      </c>
    </row>
    <row r="1610" spans="1:7" ht="11.1" customHeight="1">
      <c r="A1610" s="600" t="str">
        <f t="shared" si="125"/>
        <v>ILS;ILS FOREX;24M</v>
      </c>
      <c r="B1610" s="600" t="str">
        <f t="shared" si="126"/>
        <v>ILS</v>
      </c>
      <c r="C1610" s="600" t="str">
        <f t="shared" si="126"/>
        <v>ILS FOREX</v>
      </c>
      <c r="D1610" s="603"/>
      <c r="E1610" s="604"/>
      <c r="F1610" s="607" t="s">
        <v>659</v>
      </c>
      <c r="G1610" s="608">
        <v>0</v>
      </c>
    </row>
    <row r="1611" spans="1:7" ht="11.1" customHeight="1">
      <c r="A1611" s="600" t="str">
        <f t="shared" si="125"/>
        <v>ILS;ILS FOREX;3Y</v>
      </c>
      <c r="B1611" s="600" t="str">
        <f t="shared" si="126"/>
        <v>ILS</v>
      </c>
      <c r="C1611" s="600" t="str">
        <f t="shared" si="126"/>
        <v>ILS FOREX</v>
      </c>
      <c r="D1611" s="603"/>
      <c r="E1611" s="604"/>
      <c r="F1611" s="607" t="s">
        <v>10</v>
      </c>
      <c r="G1611" s="608">
        <v>0</v>
      </c>
    </row>
    <row r="1612" spans="1:7" ht="11.1" customHeight="1">
      <c r="A1612" s="600" t="str">
        <f t="shared" si="125"/>
        <v>ILS;ILS FOREX;4Y</v>
      </c>
      <c r="B1612" s="600" t="str">
        <f t="shared" si="126"/>
        <v>ILS</v>
      </c>
      <c r="C1612" s="600" t="str">
        <f t="shared" si="126"/>
        <v>ILS FOREX</v>
      </c>
      <c r="D1612" s="603"/>
      <c r="E1612" s="604"/>
      <c r="F1612" s="607" t="s">
        <v>11</v>
      </c>
      <c r="G1612" s="608">
        <v>0</v>
      </c>
    </row>
    <row r="1613" spans="1:7" ht="11.1" customHeight="1">
      <c r="A1613" s="600" t="str">
        <f t="shared" si="125"/>
        <v>ILS;ILS FOREX;5Y</v>
      </c>
      <c r="B1613" s="600" t="str">
        <f t="shared" si="126"/>
        <v>ILS</v>
      </c>
      <c r="C1613" s="600" t="str">
        <f t="shared" si="126"/>
        <v>ILS FOREX</v>
      </c>
      <c r="D1613" s="603"/>
      <c r="E1613" s="604"/>
      <c r="F1613" s="607" t="s">
        <v>12</v>
      </c>
      <c r="G1613" s="608">
        <v>0</v>
      </c>
    </row>
    <row r="1614" spans="1:7" ht="11.1" customHeight="1">
      <c r="A1614" s="600" t="str">
        <f t="shared" si="125"/>
        <v>ILS;ILS FOREX;6Y</v>
      </c>
      <c r="B1614" s="600" t="str">
        <f t="shared" si="126"/>
        <v>ILS</v>
      </c>
      <c r="C1614" s="600" t="str">
        <f t="shared" si="126"/>
        <v>ILS FOREX</v>
      </c>
      <c r="D1614" s="603"/>
      <c r="E1614" s="604"/>
      <c r="F1614" s="607" t="s">
        <v>13</v>
      </c>
      <c r="G1614" s="608">
        <v>0</v>
      </c>
    </row>
    <row r="1615" spans="1:7" ht="11.1" customHeight="1">
      <c r="A1615" s="600" t="str">
        <f t="shared" si="125"/>
        <v>ILS;ILS FOREX;7Y</v>
      </c>
      <c r="B1615" s="600" t="str">
        <f t="shared" si="126"/>
        <v>ILS</v>
      </c>
      <c r="C1615" s="600" t="str">
        <f t="shared" si="126"/>
        <v>ILS FOREX</v>
      </c>
      <c r="D1615" s="603"/>
      <c r="E1615" s="604"/>
      <c r="F1615" s="607" t="s">
        <v>14</v>
      </c>
      <c r="G1615" s="608">
        <v>0</v>
      </c>
    </row>
    <row r="1616" spans="1:7" ht="11.1" customHeight="1">
      <c r="A1616" s="600" t="str">
        <f t="shared" si="125"/>
        <v>ILS;ILS FOREX;8Y</v>
      </c>
      <c r="B1616" s="600" t="str">
        <f t="shared" si="126"/>
        <v>ILS</v>
      </c>
      <c r="C1616" s="600" t="str">
        <f t="shared" si="126"/>
        <v>ILS FOREX</v>
      </c>
      <c r="D1616" s="603"/>
      <c r="E1616" s="604"/>
      <c r="F1616" s="607" t="s">
        <v>15</v>
      </c>
      <c r="G1616" s="608">
        <v>0</v>
      </c>
    </row>
    <row r="1617" spans="1:7" ht="11.1" customHeight="1">
      <c r="A1617" s="600" t="str">
        <f t="shared" si="125"/>
        <v>ILS;ILS FOREX;9Y</v>
      </c>
      <c r="B1617" s="600" t="str">
        <f t="shared" si="126"/>
        <v>ILS</v>
      </c>
      <c r="C1617" s="600" t="str">
        <f t="shared" si="126"/>
        <v>ILS FOREX</v>
      </c>
      <c r="D1617" s="603"/>
      <c r="E1617" s="604"/>
      <c r="F1617" s="607" t="s">
        <v>16</v>
      </c>
      <c r="G1617" s="608">
        <v>0</v>
      </c>
    </row>
    <row r="1618" spans="1:7" ht="11.1" customHeight="1">
      <c r="A1618" s="600" t="str">
        <f t="shared" si="125"/>
        <v>ILS;ILS FOREX;10Y</v>
      </c>
      <c r="B1618" s="600" t="str">
        <f t="shared" si="126"/>
        <v>ILS</v>
      </c>
      <c r="C1618" s="600" t="str">
        <f t="shared" si="126"/>
        <v>ILS FOREX</v>
      </c>
      <c r="D1618" s="603"/>
      <c r="E1618" s="604"/>
      <c r="F1618" s="607" t="s">
        <v>17</v>
      </c>
      <c r="G1618" s="608">
        <v>0</v>
      </c>
    </row>
    <row r="1619" spans="1:7" ht="11.1" customHeight="1">
      <c r="A1619" s="600" t="str">
        <f t="shared" si="125"/>
        <v>INR;Total INR;</v>
      </c>
      <c r="B1619" s="600" t="str">
        <f t="shared" si="126"/>
        <v>INR</v>
      </c>
      <c r="C1619" s="600" t="str">
        <f t="shared" si="126"/>
        <v>Total INR</v>
      </c>
      <c r="D1619" s="603" t="s">
        <v>1256</v>
      </c>
      <c r="E1619" s="609" t="s">
        <v>1257</v>
      </c>
      <c r="F1619" s="609"/>
      <c r="G1619" s="610">
        <v>28006.929036024299</v>
      </c>
    </row>
    <row r="1620" spans="1:7" ht="11.1" customHeight="1">
      <c r="A1620" s="600" t="str">
        <f t="shared" si="125"/>
        <v>INR;INR FOREX;Total INR FOREX</v>
      </c>
      <c r="B1620" s="600" t="str">
        <f t="shared" si="126"/>
        <v>INR</v>
      </c>
      <c r="C1620" s="600" t="str">
        <f t="shared" si="126"/>
        <v>INR FOREX</v>
      </c>
      <c r="D1620" s="603"/>
      <c r="E1620" s="604" t="s">
        <v>1258</v>
      </c>
      <c r="F1620" s="605" t="s">
        <v>1259</v>
      </c>
      <c r="G1620" s="611">
        <v>28006.919775389899</v>
      </c>
    </row>
    <row r="1621" spans="1:7" ht="11.1" customHeight="1">
      <c r="A1621" s="600" t="str">
        <f t="shared" si="125"/>
        <v>INR;INR FOREX;O/N</v>
      </c>
      <c r="B1621" s="600" t="str">
        <f t="shared" ref="B1621:C1636" si="127">IF(ISBLANK(D1621),B1620,D1621)</f>
        <v>INR</v>
      </c>
      <c r="C1621" s="600" t="str">
        <f t="shared" si="127"/>
        <v>INR FOREX</v>
      </c>
      <c r="D1621" s="603"/>
      <c r="E1621" s="604"/>
      <c r="F1621" s="607" t="s">
        <v>3</v>
      </c>
      <c r="G1621" s="611">
        <v>1.7708941533057201</v>
      </c>
    </row>
    <row r="1622" spans="1:7" ht="11.1" customHeight="1">
      <c r="A1622" s="600" t="str">
        <f t="shared" si="125"/>
        <v>INR;INR FOREX;T/N</v>
      </c>
      <c r="B1622" s="600" t="str">
        <f t="shared" si="127"/>
        <v>INR</v>
      </c>
      <c r="C1622" s="600" t="str">
        <f t="shared" si="127"/>
        <v>INR FOREX</v>
      </c>
      <c r="D1622" s="603"/>
      <c r="E1622" s="604"/>
      <c r="F1622" s="607" t="s">
        <v>4</v>
      </c>
      <c r="G1622" s="611">
        <v>0.59053653095762704</v>
      </c>
    </row>
    <row r="1623" spans="1:7" ht="11.1" customHeight="1">
      <c r="A1623" s="600" t="str">
        <f t="shared" si="125"/>
        <v>INR;INR FOREX;S/N</v>
      </c>
      <c r="B1623" s="600" t="str">
        <f t="shared" si="127"/>
        <v>INR</v>
      </c>
      <c r="C1623" s="600" t="str">
        <f t="shared" si="127"/>
        <v>INR FOREX</v>
      </c>
      <c r="D1623" s="603"/>
      <c r="E1623" s="604"/>
      <c r="F1623" s="607" t="s">
        <v>23</v>
      </c>
      <c r="G1623" s="608">
        <v>0</v>
      </c>
    </row>
    <row r="1624" spans="1:7" ht="11.1" customHeight="1">
      <c r="A1624" s="600" t="str">
        <f t="shared" si="125"/>
        <v>INR;INR FOREX;1W</v>
      </c>
      <c r="B1624" s="600" t="str">
        <f t="shared" si="127"/>
        <v>INR</v>
      </c>
      <c r="C1624" s="600" t="str">
        <f t="shared" si="127"/>
        <v>INR FOREX</v>
      </c>
      <c r="D1624" s="603"/>
      <c r="E1624" s="604"/>
      <c r="F1624" s="607" t="s">
        <v>5</v>
      </c>
      <c r="G1624" s="608">
        <v>0</v>
      </c>
    </row>
    <row r="1625" spans="1:7" ht="11.1" customHeight="1">
      <c r="A1625" s="600" t="str">
        <f t="shared" si="125"/>
        <v>INR;INR FOREX;2W</v>
      </c>
      <c r="B1625" s="600" t="str">
        <f t="shared" si="127"/>
        <v>INR</v>
      </c>
      <c r="C1625" s="600" t="str">
        <f t="shared" si="127"/>
        <v>INR FOREX</v>
      </c>
      <c r="D1625" s="603"/>
      <c r="E1625" s="604"/>
      <c r="F1625" s="607" t="s">
        <v>6</v>
      </c>
      <c r="G1625" s="608">
        <v>0</v>
      </c>
    </row>
    <row r="1626" spans="1:7" ht="11.1" customHeight="1">
      <c r="A1626" s="600" t="str">
        <f t="shared" si="125"/>
        <v>INR;INR FOREX;3W</v>
      </c>
      <c r="B1626" s="600" t="str">
        <f t="shared" si="127"/>
        <v>INR</v>
      </c>
      <c r="C1626" s="600" t="str">
        <f t="shared" si="127"/>
        <v>INR FOREX</v>
      </c>
      <c r="D1626" s="603"/>
      <c r="E1626" s="604"/>
      <c r="F1626" s="607" t="s">
        <v>24</v>
      </c>
      <c r="G1626" s="608">
        <v>0</v>
      </c>
    </row>
    <row r="1627" spans="1:7" ht="11.1" customHeight="1">
      <c r="A1627" s="600" t="str">
        <f t="shared" si="125"/>
        <v>INR;INR FOREX;1M</v>
      </c>
      <c r="B1627" s="600" t="str">
        <f t="shared" si="127"/>
        <v>INR</v>
      </c>
      <c r="C1627" s="600" t="str">
        <f t="shared" si="127"/>
        <v>INR FOREX</v>
      </c>
      <c r="D1627" s="603"/>
      <c r="E1627" s="604"/>
      <c r="F1627" s="607" t="s">
        <v>7</v>
      </c>
      <c r="G1627" s="608">
        <v>0</v>
      </c>
    </row>
    <row r="1628" spans="1:7" ht="11.1" customHeight="1">
      <c r="A1628" s="600" t="str">
        <f t="shared" si="125"/>
        <v>INR;INR FOREX;2M</v>
      </c>
      <c r="B1628" s="600" t="str">
        <f t="shared" si="127"/>
        <v>INR</v>
      </c>
      <c r="C1628" s="600" t="str">
        <f t="shared" si="127"/>
        <v>INR FOREX</v>
      </c>
      <c r="D1628" s="603"/>
      <c r="E1628" s="604"/>
      <c r="F1628" s="607" t="s">
        <v>8</v>
      </c>
      <c r="G1628" s="608">
        <v>0</v>
      </c>
    </row>
    <row r="1629" spans="1:7" ht="11.1" customHeight="1">
      <c r="A1629" s="600" t="str">
        <f t="shared" si="125"/>
        <v>INR;INR FOREX;3M</v>
      </c>
      <c r="B1629" s="600" t="str">
        <f t="shared" si="127"/>
        <v>INR</v>
      </c>
      <c r="C1629" s="600" t="str">
        <f t="shared" si="127"/>
        <v>INR FOREX</v>
      </c>
      <c r="D1629" s="603"/>
      <c r="E1629" s="604"/>
      <c r="F1629" s="607" t="s">
        <v>25</v>
      </c>
      <c r="G1629" s="608">
        <v>0</v>
      </c>
    </row>
    <row r="1630" spans="1:7" ht="11.1" customHeight="1">
      <c r="A1630" s="600" t="str">
        <f t="shared" si="125"/>
        <v>INR;INR FOREX;4M</v>
      </c>
      <c r="B1630" s="600" t="str">
        <f t="shared" si="127"/>
        <v>INR</v>
      </c>
      <c r="C1630" s="600" t="str">
        <f t="shared" si="127"/>
        <v>INR FOREX</v>
      </c>
      <c r="D1630" s="603"/>
      <c r="E1630" s="604"/>
      <c r="F1630" s="607" t="s">
        <v>26</v>
      </c>
      <c r="G1630" s="608">
        <v>0</v>
      </c>
    </row>
    <row r="1631" spans="1:7" ht="11.1" customHeight="1">
      <c r="A1631" s="600" t="str">
        <f t="shared" si="125"/>
        <v>INR;INR FOREX;5M</v>
      </c>
      <c r="B1631" s="600" t="str">
        <f t="shared" si="127"/>
        <v>INR</v>
      </c>
      <c r="C1631" s="600" t="str">
        <f t="shared" si="127"/>
        <v>INR FOREX</v>
      </c>
      <c r="D1631" s="603"/>
      <c r="E1631" s="604"/>
      <c r="F1631" s="607" t="s">
        <v>27</v>
      </c>
      <c r="G1631" s="608">
        <v>0</v>
      </c>
    </row>
    <row r="1632" spans="1:7" ht="11.1" customHeight="1">
      <c r="A1632" s="600" t="str">
        <f t="shared" si="125"/>
        <v>INR;INR FOREX;6M</v>
      </c>
      <c r="B1632" s="600" t="str">
        <f t="shared" si="127"/>
        <v>INR</v>
      </c>
      <c r="C1632" s="600" t="str">
        <f t="shared" si="127"/>
        <v>INR FOREX</v>
      </c>
      <c r="D1632" s="603"/>
      <c r="E1632" s="604"/>
      <c r="F1632" s="607" t="s">
        <v>28</v>
      </c>
      <c r="G1632" s="608">
        <v>0</v>
      </c>
    </row>
    <row r="1633" spans="1:7" ht="11.1" customHeight="1">
      <c r="A1633" s="600" t="str">
        <f t="shared" si="125"/>
        <v>INR;INR FOREX;7M</v>
      </c>
      <c r="B1633" s="600" t="str">
        <f t="shared" si="127"/>
        <v>INR</v>
      </c>
      <c r="C1633" s="600" t="str">
        <f t="shared" si="127"/>
        <v>INR FOREX</v>
      </c>
      <c r="D1633" s="603"/>
      <c r="E1633" s="604"/>
      <c r="F1633" s="607" t="s">
        <v>29</v>
      </c>
      <c r="G1633" s="608">
        <v>0</v>
      </c>
    </row>
    <row r="1634" spans="1:7" ht="11.1" customHeight="1">
      <c r="A1634" s="600" t="str">
        <f t="shared" si="125"/>
        <v>INR;INR FOREX;8M</v>
      </c>
      <c r="B1634" s="600" t="str">
        <f t="shared" si="127"/>
        <v>INR</v>
      </c>
      <c r="C1634" s="600" t="str">
        <f t="shared" si="127"/>
        <v>INR FOREX</v>
      </c>
      <c r="D1634" s="603"/>
      <c r="E1634" s="604"/>
      <c r="F1634" s="607" t="s">
        <v>30</v>
      </c>
      <c r="G1634" s="608">
        <v>0</v>
      </c>
    </row>
    <row r="1635" spans="1:7" ht="11.1" customHeight="1">
      <c r="A1635" s="600" t="str">
        <f t="shared" si="125"/>
        <v>INR;INR FOREX;9M</v>
      </c>
      <c r="B1635" s="600" t="str">
        <f t="shared" si="127"/>
        <v>INR</v>
      </c>
      <c r="C1635" s="600" t="str">
        <f t="shared" si="127"/>
        <v>INR FOREX</v>
      </c>
      <c r="D1635" s="603"/>
      <c r="E1635" s="604"/>
      <c r="F1635" s="607" t="s">
        <v>49</v>
      </c>
      <c r="G1635" s="608">
        <v>0</v>
      </c>
    </row>
    <row r="1636" spans="1:7" ht="11.1" customHeight="1">
      <c r="A1636" s="600" t="str">
        <f t="shared" si="125"/>
        <v>INR;INR FOREX;10M</v>
      </c>
      <c r="B1636" s="600" t="str">
        <f t="shared" si="127"/>
        <v>INR</v>
      </c>
      <c r="C1636" s="600" t="str">
        <f t="shared" si="127"/>
        <v>INR FOREX</v>
      </c>
      <c r="D1636" s="603"/>
      <c r="E1636" s="604"/>
      <c r="F1636" s="607" t="s">
        <v>50</v>
      </c>
      <c r="G1636" s="608">
        <v>0</v>
      </c>
    </row>
    <row r="1637" spans="1:7" ht="11.1" customHeight="1">
      <c r="A1637" s="600" t="str">
        <f t="shared" si="125"/>
        <v>INR;INR FOREX;11M</v>
      </c>
      <c r="B1637" s="600" t="str">
        <f t="shared" ref="B1637:C1652" si="128">IF(ISBLANK(D1637),B1636,D1637)</f>
        <v>INR</v>
      </c>
      <c r="C1637" s="600" t="str">
        <f t="shared" si="128"/>
        <v>INR FOREX</v>
      </c>
      <c r="D1637" s="603"/>
      <c r="E1637" s="604"/>
      <c r="F1637" s="607" t="s">
        <v>51</v>
      </c>
      <c r="G1637" s="608">
        <v>0</v>
      </c>
    </row>
    <row r="1638" spans="1:7" ht="11.1" customHeight="1">
      <c r="A1638" s="600" t="str">
        <f t="shared" si="125"/>
        <v>INR;INR FOREX;12M</v>
      </c>
      <c r="B1638" s="600" t="str">
        <f t="shared" si="128"/>
        <v>INR</v>
      </c>
      <c r="C1638" s="600" t="str">
        <f t="shared" si="128"/>
        <v>INR FOREX</v>
      </c>
      <c r="D1638" s="603"/>
      <c r="E1638" s="604"/>
      <c r="F1638" s="607" t="s">
        <v>52</v>
      </c>
      <c r="G1638" s="611">
        <v>3428.2937259260998</v>
      </c>
    </row>
    <row r="1639" spans="1:7" ht="11.1" customHeight="1">
      <c r="A1639" s="600" t="str">
        <f t="shared" si="125"/>
        <v>INR;INR FOREX;15M</v>
      </c>
      <c r="B1639" s="600" t="str">
        <f t="shared" si="128"/>
        <v>INR</v>
      </c>
      <c r="C1639" s="600" t="str">
        <f t="shared" si="128"/>
        <v>INR FOREX</v>
      </c>
      <c r="D1639" s="603"/>
      <c r="E1639" s="604"/>
      <c r="F1639" s="607" t="s">
        <v>53</v>
      </c>
      <c r="G1639" s="611">
        <v>16064.5505359504</v>
      </c>
    </row>
    <row r="1640" spans="1:7" ht="11.1" customHeight="1">
      <c r="A1640" s="600" t="str">
        <f t="shared" si="125"/>
        <v>INR;INR FOREX;18M</v>
      </c>
      <c r="B1640" s="600" t="str">
        <f t="shared" si="128"/>
        <v>INR</v>
      </c>
      <c r="C1640" s="600" t="str">
        <f t="shared" si="128"/>
        <v>INR FOREX</v>
      </c>
      <c r="D1640" s="603"/>
      <c r="E1640" s="604"/>
      <c r="F1640" s="607" t="s">
        <v>54</v>
      </c>
      <c r="G1640" s="611">
        <v>7881.9217503212403</v>
      </c>
    </row>
    <row r="1641" spans="1:7" ht="11.1" customHeight="1">
      <c r="A1641" s="600" t="str">
        <f t="shared" si="125"/>
        <v>INR;INR FOREX;24M</v>
      </c>
      <c r="B1641" s="600" t="str">
        <f t="shared" si="128"/>
        <v>INR</v>
      </c>
      <c r="C1641" s="600" t="str">
        <f t="shared" si="128"/>
        <v>INR FOREX</v>
      </c>
      <c r="D1641" s="603"/>
      <c r="E1641" s="604"/>
      <c r="F1641" s="607" t="s">
        <v>659</v>
      </c>
      <c r="G1641" s="611">
        <v>629.79233250784398</v>
      </c>
    </row>
    <row r="1642" spans="1:7" ht="11.1" customHeight="1">
      <c r="A1642" s="600" t="str">
        <f t="shared" si="125"/>
        <v>INR;INR FOREX;3Y</v>
      </c>
      <c r="B1642" s="600" t="str">
        <f t="shared" si="128"/>
        <v>INR</v>
      </c>
      <c r="C1642" s="600" t="str">
        <f t="shared" si="128"/>
        <v>INR FOREX</v>
      </c>
      <c r="D1642" s="603"/>
      <c r="E1642" s="604"/>
      <c r="F1642" s="607" t="s">
        <v>10</v>
      </c>
      <c r="G1642" s="608">
        <v>0</v>
      </c>
    </row>
    <row r="1643" spans="1:7" ht="11.1" customHeight="1">
      <c r="A1643" s="600" t="str">
        <f t="shared" si="125"/>
        <v>INR;INR FOREX;4Y</v>
      </c>
      <c r="B1643" s="600" t="str">
        <f t="shared" si="128"/>
        <v>INR</v>
      </c>
      <c r="C1643" s="600" t="str">
        <f t="shared" si="128"/>
        <v>INR FOREX</v>
      </c>
      <c r="D1643" s="603"/>
      <c r="E1643" s="604"/>
      <c r="F1643" s="607" t="s">
        <v>11</v>
      </c>
      <c r="G1643" s="608">
        <v>0</v>
      </c>
    </row>
    <row r="1644" spans="1:7" ht="11.1" customHeight="1">
      <c r="A1644" s="600" t="str">
        <f t="shared" si="125"/>
        <v>INR;INR FOREX;5Y</v>
      </c>
      <c r="B1644" s="600" t="str">
        <f t="shared" si="128"/>
        <v>INR</v>
      </c>
      <c r="C1644" s="600" t="str">
        <f t="shared" si="128"/>
        <v>INR FOREX</v>
      </c>
      <c r="D1644" s="603"/>
      <c r="E1644" s="604"/>
      <c r="F1644" s="607" t="s">
        <v>12</v>
      </c>
      <c r="G1644" s="608">
        <v>0</v>
      </c>
    </row>
    <row r="1645" spans="1:7" ht="11.1" customHeight="1">
      <c r="A1645" s="600" t="str">
        <f t="shared" si="125"/>
        <v>INR;INR FOREX;6Y</v>
      </c>
      <c r="B1645" s="600" t="str">
        <f t="shared" si="128"/>
        <v>INR</v>
      </c>
      <c r="C1645" s="600" t="str">
        <f t="shared" si="128"/>
        <v>INR FOREX</v>
      </c>
      <c r="D1645" s="603"/>
      <c r="E1645" s="604"/>
      <c r="F1645" s="607" t="s">
        <v>13</v>
      </c>
      <c r="G1645" s="608">
        <v>0</v>
      </c>
    </row>
    <row r="1646" spans="1:7" ht="11.1" customHeight="1">
      <c r="A1646" s="600" t="str">
        <f t="shared" si="125"/>
        <v>INR;INR FOREX;7Y</v>
      </c>
      <c r="B1646" s="600" t="str">
        <f t="shared" si="128"/>
        <v>INR</v>
      </c>
      <c r="C1646" s="600" t="str">
        <f t="shared" si="128"/>
        <v>INR FOREX</v>
      </c>
      <c r="D1646" s="603"/>
      <c r="E1646" s="604"/>
      <c r="F1646" s="607" t="s">
        <v>14</v>
      </c>
      <c r="G1646" s="608">
        <v>0</v>
      </c>
    </row>
    <row r="1647" spans="1:7" ht="11.1" customHeight="1">
      <c r="A1647" s="600" t="str">
        <f t="shared" si="125"/>
        <v>INR;INR FOREX;8Y</v>
      </c>
      <c r="B1647" s="600" t="str">
        <f t="shared" si="128"/>
        <v>INR</v>
      </c>
      <c r="C1647" s="600" t="str">
        <f t="shared" si="128"/>
        <v>INR FOREX</v>
      </c>
      <c r="D1647" s="603"/>
      <c r="E1647" s="604"/>
      <c r="F1647" s="607" t="s">
        <v>15</v>
      </c>
      <c r="G1647" s="608">
        <v>0</v>
      </c>
    </row>
    <row r="1648" spans="1:7" ht="11.1" customHeight="1">
      <c r="A1648" s="600" t="str">
        <f t="shared" si="125"/>
        <v>INR;INR FOREX;9Y</v>
      </c>
      <c r="B1648" s="600" t="str">
        <f t="shared" si="128"/>
        <v>INR</v>
      </c>
      <c r="C1648" s="600" t="str">
        <f t="shared" si="128"/>
        <v>INR FOREX</v>
      </c>
      <c r="D1648" s="603"/>
      <c r="E1648" s="604"/>
      <c r="F1648" s="607" t="s">
        <v>16</v>
      </c>
      <c r="G1648" s="608">
        <v>0</v>
      </c>
    </row>
    <row r="1649" spans="1:7" ht="11.1" customHeight="1">
      <c r="A1649" s="600" t="str">
        <f t="shared" si="125"/>
        <v>INR;INR FOREX;10Y</v>
      </c>
      <c r="B1649" s="600" t="str">
        <f t="shared" si="128"/>
        <v>INR</v>
      </c>
      <c r="C1649" s="600" t="str">
        <f t="shared" si="128"/>
        <v>INR FOREX</v>
      </c>
      <c r="D1649" s="603"/>
      <c r="E1649" s="604"/>
      <c r="F1649" s="607" t="s">
        <v>17</v>
      </c>
      <c r="G1649" s="608">
        <v>0</v>
      </c>
    </row>
    <row r="1650" spans="1:7" ht="11.1" customHeight="1">
      <c r="A1650" s="600" t="str">
        <f t="shared" si="125"/>
        <v>INR;INR OIS;Total INR OIS</v>
      </c>
      <c r="B1650" s="600" t="str">
        <f t="shared" si="128"/>
        <v>INR</v>
      </c>
      <c r="C1650" s="600" t="str">
        <f t="shared" si="128"/>
        <v>INR OIS</v>
      </c>
      <c r="D1650" s="603"/>
      <c r="E1650" s="604" t="s">
        <v>5172</v>
      </c>
      <c r="F1650" s="605" t="s">
        <v>5173</v>
      </c>
      <c r="G1650" s="611">
        <v>9.2606344301024799E-3</v>
      </c>
    </row>
    <row r="1651" spans="1:7" ht="11.1" customHeight="1">
      <c r="A1651" s="600" t="str">
        <f t="shared" si="125"/>
        <v>INR;INR OIS;O/N</v>
      </c>
      <c r="B1651" s="600" t="str">
        <f t="shared" si="128"/>
        <v>INR</v>
      </c>
      <c r="C1651" s="600" t="str">
        <f t="shared" si="128"/>
        <v>INR OIS</v>
      </c>
      <c r="D1651" s="603"/>
      <c r="E1651" s="604"/>
      <c r="F1651" s="607" t="s">
        <v>3</v>
      </c>
      <c r="G1651" s="611">
        <v>0.14073508325160899</v>
      </c>
    </row>
    <row r="1652" spans="1:7" ht="11.1" customHeight="1">
      <c r="A1652" s="600" t="str">
        <f t="shared" si="125"/>
        <v>INR;INR OIS;1W</v>
      </c>
      <c r="B1652" s="600" t="str">
        <f t="shared" si="128"/>
        <v>INR</v>
      </c>
      <c r="C1652" s="600" t="str">
        <f t="shared" si="128"/>
        <v>INR OIS</v>
      </c>
      <c r="D1652" s="603"/>
      <c r="E1652" s="604"/>
      <c r="F1652" s="607" t="s">
        <v>5</v>
      </c>
      <c r="G1652" s="606">
        <v>-6.3950778789845204E-5</v>
      </c>
    </row>
    <row r="1653" spans="1:7" ht="11.1" customHeight="1">
      <c r="A1653" s="600" t="str">
        <f t="shared" si="125"/>
        <v>INR;INR OIS;2W</v>
      </c>
      <c r="B1653" s="600" t="str">
        <f t="shared" ref="B1653:C1668" si="129">IF(ISBLANK(D1653),B1652,D1653)</f>
        <v>INR</v>
      </c>
      <c r="C1653" s="600" t="str">
        <f t="shared" si="129"/>
        <v>INR OIS</v>
      </c>
      <c r="D1653" s="603"/>
      <c r="E1653" s="604"/>
      <c r="F1653" s="607" t="s">
        <v>6</v>
      </c>
      <c r="G1653" s="608">
        <v>0</v>
      </c>
    </row>
    <row r="1654" spans="1:7" ht="11.1" customHeight="1">
      <c r="A1654" s="600" t="str">
        <f t="shared" si="125"/>
        <v>INR;INR OIS;1M</v>
      </c>
      <c r="B1654" s="600" t="str">
        <f t="shared" si="129"/>
        <v>INR</v>
      </c>
      <c r="C1654" s="600" t="str">
        <f t="shared" si="129"/>
        <v>INR OIS</v>
      </c>
      <c r="D1654" s="603"/>
      <c r="E1654" s="604"/>
      <c r="F1654" s="607" t="s">
        <v>7</v>
      </c>
      <c r="G1654" s="608">
        <v>0</v>
      </c>
    </row>
    <row r="1655" spans="1:7" ht="11.1" customHeight="1">
      <c r="A1655" s="600" t="str">
        <f t="shared" si="125"/>
        <v>INR;INR OIS;3M</v>
      </c>
      <c r="B1655" s="600" t="str">
        <f t="shared" si="129"/>
        <v>INR</v>
      </c>
      <c r="C1655" s="600" t="str">
        <f t="shared" si="129"/>
        <v>INR OIS</v>
      </c>
      <c r="D1655" s="603"/>
      <c r="E1655" s="604"/>
      <c r="F1655" s="607" t="s">
        <v>25</v>
      </c>
      <c r="G1655" s="611">
        <v>0</v>
      </c>
    </row>
    <row r="1656" spans="1:7" ht="11.1" customHeight="1">
      <c r="A1656" s="600" t="str">
        <f t="shared" si="125"/>
        <v>INR;INR OIS;6M</v>
      </c>
      <c r="B1656" s="600" t="str">
        <f t="shared" si="129"/>
        <v>INR</v>
      </c>
      <c r="C1656" s="600" t="str">
        <f t="shared" si="129"/>
        <v>INR OIS</v>
      </c>
      <c r="D1656" s="603"/>
      <c r="E1656" s="604"/>
      <c r="F1656" s="607" t="s">
        <v>28</v>
      </c>
      <c r="G1656" s="606">
        <v>-3.3919130653033598E-2</v>
      </c>
    </row>
    <row r="1657" spans="1:7" ht="11.1" customHeight="1">
      <c r="A1657" s="600" t="str">
        <f t="shared" si="125"/>
        <v>INR;INR OIS;1Y</v>
      </c>
      <c r="B1657" s="600" t="str">
        <f t="shared" si="129"/>
        <v>INR</v>
      </c>
      <c r="C1657" s="600" t="str">
        <f t="shared" si="129"/>
        <v>INR OIS</v>
      </c>
      <c r="D1657" s="603"/>
      <c r="E1657" s="604"/>
      <c r="F1657" s="607" t="s">
        <v>56</v>
      </c>
      <c r="G1657" s="611">
        <v>51.742526472160499</v>
      </c>
    </row>
    <row r="1658" spans="1:7" ht="11.1" customHeight="1">
      <c r="A1658" s="600" t="str">
        <f t="shared" si="125"/>
        <v>INR;INR OIS;2Y</v>
      </c>
      <c r="B1658" s="600" t="str">
        <f t="shared" si="129"/>
        <v>INR</v>
      </c>
      <c r="C1658" s="600" t="str">
        <f t="shared" si="129"/>
        <v>INR OIS</v>
      </c>
      <c r="D1658" s="603"/>
      <c r="E1658" s="604"/>
      <c r="F1658" s="607" t="s">
        <v>9</v>
      </c>
      <c r="G1658" s="606">
        <v>-103.96938257454801</v>
      </c>
    </row>
    <row r="1659" spans="1:7" ht="11.1" customHeight="1">
      <c r="A1659" s="600" t="str">
        <f t="shared" si="125"/>
        <v>INR;INR OIS;3Y</v>
      </c>
      <c r="B1659" s="600" t="str">
        <f t="shared" si="129"/>
        <v>INR</v>
      </c>
      <c r="C1659" s="600" t="str">
        <f t="shared" si="129"/>
        <v>INR OIS</v>
      </c>
      <c r="D1659" s="603"/>
      <c r="E1659" s="604"/>
      <c r="F1659" s="607" t="s">
        <v>10</v>
      </c>
      <c r="G1659" s="611">
        <v>52.129364734972697</v>
      </c>
    </row>
    <row r="1660" spans="1:7" ht="11.1" customHeight="1">
      <c r="A1660" s="600" t="str">
        <f t="shared" si="125"/>
        <v>INR;INR OIS;5Y</v>
      </c>
      <c r="B1660" s="600" t="str">
        <f t="shared" si="129"/>
        <v>INR</v>
      </c>
      <c r="C1660" s="600" t="str">
        <f t="shared" si="129"/>
        <v>INR OIS</v>
      </c>
      <c r="D1660" s="603"/>
      <c r="E1660" s="604"/>
      <c r="F1660" s="607" t="s">
        <v>12</v>
      </c>
      <c r="G1660" s="608">
        <v>0</v>
      </c>
    </row>
    <row r="1661" spans="1:7" ht="11.1" customHeight="1">
      <c r="A1661" s="600" t="str">
        <f t="shared" si="125"/>
        <v>INR;INR OIS;7Y</v>
      </c>
      <c r="B1661" s="600" t="str">
        <f t="shared" si="129"/>
        <v>INR</v>
      </c>
      <c r="C1661" s="600" t="str">
        <f t="shared" si="129"/>
        <v>INR OIS</v>
      </c>
      <c r="D1661" s="603"/>
      <c r="E1661" s="604"/>
      <c r="F1661" s="607" t="s">
        <v>14</v>
      </c>
      <c r="G1661" s="608">
        <v>0</v>
      </c>
    </row>
    <row r="1662" spans="1:7" ht="11.1" customHeight="1">
      <c r="A1662" s="600" t="str">
        <f t="shared" si="125"/>
        <v>INR;INR OIS;10Y</v>
      </c>
      <c r="B1662" s="600" t="str">
        <f t="shared" si="129"/>
        <v>INR</v>
      </c>
      <c r="C1662" s="600" t="str">
        <f t="shared" si="129"/>
        <v>INR OIS</v>
      </c>
      <c r="D1662" s="603"/>
      <c r="E1662" s="604"/>
      <c r="F1662" s="607" t="s">
        <v>17</v>
      </c>
      <c r="G1662" s="608">
        <v>0</v>
      </c>
    </row>
    <row r="1663" spans="1:7" ht="11.1" customHeight="1">
      <c r="A1663" s="600" t="str">
        <f t="shared" si="125"/>
        <v>INR;INR USD BASIS;Total INR USD BASIS</v>
      </c>
      <c r="B1663" s="600" t="str">
        <f t="shared" si="129"/>
        <v>INR</v>
      </c>
      <c r="C1663" s="600" t="str">
        <f t="shared" si="129"/>
        <v>INR USD BASIS</v>
      </c>
      <c r="D1663" s="603"/>
      <c r="E1663" s="604" t="s">
        <v>1260</v>
      </c>
      <c r="F1663" s="605" t="s">
        <v>1261</v>
      </c>
      <c r="G1663" s="611">
        <v>0</v>
      </c>
    </row>
    <row r="1664" spans="1:7" ht="11.1" customHeight="1">
      <c r="A1664" s="600" t="str">
        <f t="shared" si="125"/>
        <v>INR;INR USD BASIS;O/N</v>
      </c>
      <c r="B1664" s="600" t="str">
        <f t="shared" si="129"/>
        <v>INR</v>
      </c>
      <c r="C1664" s="600" t="str">
        <f t="shared" si="129"/>
        <v>INR USD BASIS</v>
      </c>
      <c r="D1664" s="603"/>
      <c r="E1664" s="604"/>
      <c r="F1664" s="607" t="s">
        <v>3</v>
      </c>
      <c r="G1664" s="611">
        <v>0</v>
      </c>
    </row>
    <row r="1665" spans="1:7" ht="11.1" customHeight="1">
      <c r="A1665" s="600" t="str">
        <f t="shared" si="125"/>
        <v>INR;INR USD BASIS;T/N</v>
      </c>
      <c r="B1665" s="600" t="str">
        <f t="shared" si="129"/>
        <v>INR</v>
      </c>
      <c r="C1665" s="600" t="str">
        <f t="shared" si="129"/>
        <v>INR USD BASIS</v>
      </c>
      <c r="D1665" s="603"/>
      <c r="E1665" s="604"/>
      <c r="F1665" s="607" t="s">
        <v>4</v>
      </c>
      <c r="G1665" s="611">
        <v>0</v>
      </c>
    </row>
    <row r="1666" spans="1:7" ht="11.1" customHeight="1">
      <c r="A1666" s="600" t="str">
        <f t="shared" si="125"/>
        <v>INR;INR USD BASIS;1W</v>
      </c>
      <c r="B1666" s="600" t="str">
        <f t="shared" si="129"/>
        <v>INR</v>
      </c>
      <c r="C1666" s="600" t="str">
        <f t="shared" si="129"/>
        <v>INR USD BASIS</v>
      </c>
      <c r="D1666" s="603"/>
      <c r="E1666" s="604"/>
      <c r="F1666" s="607" t="s">
        <v>5</v>
      </c>
      <c r="G1666" s="611">
        <v>0</v>
      </c>
    </row>
    <row r="1667" spans="1:7" ht="11.1" customHeight="1">
      <c r="A1667" s="600" t="str">
        <f t="shared" si="125"/>
        <v>INR;INR USD BASIS;2W</v>
      </c>
      <c r="B1667" s="600" t="str">
        <f t="shared" si="129"/>
        <v>INR</v>
      </c>
      <c r="C1667" s="600" t="str">
        <f t="shared" si="129"/>
        <v>INR USD BASIS</v>
      </c>
      <c r="D1667" s="603"/>
      <c r="E1667" s="604"/>
      <c r="F1667" s="607" t="s">
        <v>6</v>
      </c>
      <c r="G1667" s="608">
        <v>0</v>
      </c>
    </row>
    <row r="1668" spans="1:7" ht="11.1" customHeight="1">
      <c r="A1668" s="600" t="str">
        <f t="shared" si="125"/>
        <v>INR;INR USD BASIS;1M</v>
      </c>
      <c r="B1668" s="600" t="str">
        <f t="shared" si="129"/>
        <v>INR</v>
      </c>
      <c r="C1668" s="600" t="str">
        <f t="shared" si="129"/>
        <v>INR USD BASIS</v>
      </c>
      <c r="D1668" s="603"/>
      <c r="E1668" s="604"/>
      <c r="F1668" s="607" t="s">
        <v>7</v>
      </c>
      <c r="G1668" s="608">
        <v>0</v>
      </c>
    </row>
    <row r="1669" spans="1:7" ht="11.1" customHeight="1">
      <c r="A1669" s="600" t="str">
        <f t="shared" ref="A1669:A1732" si="130">B1669&amp;";"&amp;C1669&amp;";"&amp;F1669</f>
        <v>INR;INR USD BASIS;2M</v>
      </c>
      <c r="B1669" s="600" t="str">
        <f t="shared" ref="B1669:C1684" si="131">IF(ISBLANK(D1669),B1668,D1669)</f>
        <v>INR</v>
      </c>
      <c r="C1669" s="600" t="str">
        <f t="shared" si="131"/>
        <v>INR USD BASIS</v>
      </c>
      <c r="D1669" s="603"/>
      <c r="E1669" s="604"/>
      <c r="F1669" s="607" t="s">
        <v>8</v>
      </c>
      <c r="G1669" s="608">
        <v>0</v>
      </c>
    </row>
    <row r="1670" spans="1:7" ht="11.1" customHeight="1">
      <c r="A1670" s="600" t="str">
        <f t="shared" si="130"/>
        <v>INR;INR USD BASIS;3M</v>
      </c>
      <c r="B1670" s="600" t="str">
        <f t="shared" si="131"/>
        <v>INR</v>
      </c>
      <c r="C1670" s="600" t="str">
        <f t="shared" si="131"/>
        <v>INR USD BASIS</v>
      </c>
      <c r="D1670" s="603"/>
      <c r="E1670" s="604"/>
      <c r="F1670" s="607" t="s">
        <v>25</v>
      </c>
      <c r="G1670" s="608">
        <v>0</v>
      </c>
    </row>
    <row r="1671" spans="1:7" ht="11.1" customHeight="1">
      <c r="A1671" s="600" t="str">
        <f t="shared" si="130"/>
        <v>INR;INR USD BASIS;6M</v>
      </c>
      <c r="B1671" s="600" t="str">
        <f t="shared" si="131"/>
        <v>INR</v>
      </c>
      <c r="C1671" s="600" t="str">
        <f t="shared" si="131"/>
        <v>INR USD BASIS</v>
      </c>
      <c r="D1671" s="603"/>
      <c r="E1671" s="604"/>
      <c r="F1671" s="607" t="s">
        <v>28</v>
      </c>
      <c r="G1671" s="611">
        <v>0</v>
      </c>
    </row>
    <row r="1672" spans="1:7" ht="11.1" customHeight="1">
      <c r="A1672" s="600" t="str">
        <f t="shared" si="130"/>
        <v>INR;INR USD BASIS;9M</v>
      </c>
      <c r="B1672" s="600" t="str">
        <f t="shared" si="131"/>
        <v>INR</v>
      </c>
      <c r="C1672" s="600" t="str">
        <f t="shared" si="131"/>
        <v>INR USD BASIS</v>
      </c>
      <c r="D1672" s="603"/>
      <c r="E1672" s="604"/>
      <c r="F1672" s="607" t="s">
        <v>49</v>
      </c>
      <c r="G1672" s="611">
        <v>0</v>
      </c>
    </row>
    <row r="1673" spans="1:7" ht="11.1" customHeight="1">
      <c r="A1673" s="600" t="str">
        <f t="shared" si="130"/>
        <v>INR;INR USD BASIS;1Y</v>
      </c>
      <c r="B1673" s="600" t="str">
        <f t="shared" si="131"/>
        <v>INR</v>
      </c>
      <c r="C1673" s="600" t="str">
        <f t="shared" si="131"/>
        <v>INR USD BASIS</v>
      </c>
      <c r="D1673" s="603"/>
      <c r="E1673" s="604"/>
      <c r="F1673" s="607" t="s">
        <v>56</v>
      </c>
      <c r="G1673" s="611">
        <v>0</v>
      </c>
    </row>
    <row r="1674" spans="1:7" ht="11.1" customHeight="1">
      <c r="A1674" s="600" t="str">
        <f t="shared" si="130"/>
        <v>INR;INR USD BASIS;2Y</v>
      </c>
      <c r="B1674" s="600" t="str">
        <f t="shared" si="131"/>
        <v>INR</v>
      </c>
      <c r="C1674" s="600" t="str">
        <f t="shared" si="131"/>
        <v>INR USD BASIS</v>
      </c>
      <c r="D1674" s="603"/>
      <c r="E1674" s="604"/>
      <c r="F1674" s="607" t="s">
        <v>9</v>
      </c>
      <c r="G1674" s="611">
        <v>0</v>
      </c>
    </row>
    <row r="1675" spans="1:7" ht="11.1" customHeight="1">
      <c r="A1675" s="600" t="str">
        <f t="shared" si="130"/>
        <v>INR;INR USD BASIS;3Y</v>
      </c>
      <c r="B1675" s="600" t="str">
        <f t="shared" si="131"/>
        <v>INR</v>
      </c>
      <c r="C1675" s="600" t="str">
        <f t="shared" si="131"/>
        <v>INR USD BASIS</v>
      </c>
      <c r="D1675" s="603"/>
      <c r="E1675" s="604"/>
      <c r="F1675" s="607" t="s">
        <v>10</v>
      </c>
      <c r="G1675" s="608">
        <v>0</v>
      </c>
    </row>
    <row r="1676" spans="1:7" ht="11.1" customHeight="1">
      <c r="A1676" s="600" t="str">
        <f t="shared" si="130"/>
        <v>INR;INR USD BASIS;4Y</v>
      </c>
      <c r="B1676" s="600" t="str">
        <f t="shared" si="131"/>
        <v>INR</v>
      </c>
      <c r="C1676" s="600" t="str">
        <f t="shared" si="131"/>
        <v>INR USD BASIS</v>
      </c>
      <c r="D1676" s="603"/>
      <c r="E1676" s="604"/>
      <c r="F1676" s="607" t="s">
        <v>11</v>
      </c>
      <c r="G1676" s="608">
        <v>0</v>
      </c>
    </row>
    <row r="1677" spans="1:7" ht="11.1" customHeight="1">
      <c r="A1677" s="600" t="str">
        <f t="shared" si="130"/>
        <v>INR;INR USD BASIS;5Y</v>
      </c>
      <c r="B1677" s="600" t="str">
        <f t="shared" si="131"/>
        <v>INR</v>
      </c>
      <c r="C1677" s="600" t="str">
        <f t="shared" si="131"/>
        <v>INR USD BASIS</v>
      </c>
      <c r="D1677" s="603"/>
      <c r="E1677" s="604"/>
      <c r="F1677" s="607" t="s">
        <v>12</v>
      </c>
      <c r="G1677" s="608">
        <v>0</v>
      </c>
    </row>
    <row r="1678" spans="1:7" ht="11.1" customHeight="1">
      <c r="A1678" s="600" t="str">
        <f t="shared" si="130"/>
        <v>INR;INR USD BASIS;7Y</v>
      </c>
      <c r="B1678" s="600" t="str">
        <f t="shared" si="131"/>
        <v>INR</v>
      </c>
      <c r="C1678" s="600" t="str">
        <f t="shared" si="131"/>
        <v>INR USD BASIS</v>
      </c>
      <c r="D1678" s="603"/>
      <c r="E1678" s="604"/>
      <c r="F1678" s="607" t="s">
        <v>14</v>
      </c>
      <c r="G1678" s="608">
        <v>0</v>
      </c>
    </row>
    <row r="1679" spans="1:7" ht="11.1" customHeight="1">
      <c r="A1679" s="600" t="str">
        <f t="shared" si="130"/>
        <v>INR;INR USD BASIS;10Y</v>
      </c>
      <c r="B1679" s="600" t="str">
        <f t="shared" si="131"/>
        <v>INR</v>
      </c>
      <c r="C1679" s="600" t="str">
        <f t="shared" si="131"/>
        <v>INR USD BASIS</v>
      </c>
      <c r="D1679" s="603"/>
      <c r="E1679" s="604"/>
      <c r="F1679" s="607" t="s">
        <v>17</v>
      </c>
      <c r="G1679" s="608">
        <v>0</v>
      </c>
    </row>
    <row r="1680" spans="1:7" ht="11.1" customHeight="1">
      <c r="A1680" s="600" t="str">
        <f t="shared" si="130"/>
        <v>ITL;ITL :Std;Total ITL :Std</v>
      </c>
      <c r="B1680" s="600" t="str">
        <f t="shared" si="131"/>
        <v>ITL</v>
      </c>
      <c r="C1680" s="600" t="str">
        <f t="shared" si="131"/>
        <v>ITL :Std</v>
      </c>
      <c r="D1680" s="603" t="s">
        <v>1262</v>
      </c>
      <c r="E1680" s="604" t="s">
        <v>1263</v>
      </c>
      <c r="F1680" s="605" t="s">
        <v>1264</v>
      </c>
      <c r="G1680" s="606">
        <v>-1.29373520394438E-5</v>
      </c>
    </row>
    <row r="1681" spans="1:7" ht="11.1" customHeight="1">
      <c r="A1681" s="600" t="str">
        <f t="shared" si="130"/>
        <v>ITL;ITL :Std;O/N</v>
      </c>
      <c r="B1681" s="600" t="str">
        <f t="shared" si="131"/>
        <v>ITL</v>
      </c>
      <c r="C1681" s="600" t="str">
        <f t="shared" si="131"/>
        <v>ITL :Std</v>
      </c>
      <c r="D1681" s="603"/>
      <c r="E1681" s="604"/>
      <c r="F1681" s="607" t="s">
        <v>3</v>
      </c>
      <c r="G1681" s="606">
        <v>-9.7030624601757205E-6</v>
      </c>
    </row>
    <row r="1682" spans="1:7" ht="11.1" customHeight="1">
      <c r="A1682" s="600" t="str">
        <f t="shared" si="130"/>
        <v>ITL;ITL :Std;T/N</v>
      </c>
      <c r="B1682" s="600" t="str">
        <f t="shared" si="131"/>
        <v>ITL</v>
      </c>
      <c r="C1682" s="600" t="str">
        <f t="shared" si="131"/>
        <v>ITL :Std</v>
      </c>
      <c r="D1682" s="603"/>
      <c r="E1682" s="604"/>
      <c r="F1682" s="607" t="s">
        <v>4</v>
      </c>
      <c r="G1682" s="606">
        <v>-3.2342877602786799E-6</v>
      </c>
    </row>
    <row r="1683" spans="1:7" ht="11.1" customHeight="1">
      <c r="A1683" s="600" t="str">
        <f t="shared" si="130"/>
        <v>ITL;ITL :Std;S/N</v>
      </c>
      <c r="B1683" s="600" t="str">
        <f t="shared" si="131"/>
        <v>ITL</v>
      </c>
      <c r="C1683" s="600" t="str">
        <f t="shared" si="131"/>
        <v>ITL :Std</v>
      </c>
      <c r="D1683" s="603"/>
      <c r="E1683" s="604"/>
      <c r="F1683" s="607" t="s">
        <v>23</v>
      </c>
      <c r="G1683" s="608">
        <v>0</v>
      </c>
    </row>
    <row r="1684" spans="1:7" ht="11.1" customHeight="1">
      <c r="A1684" s="600" t="str">
        <f t="shared" si="130"/>
        <v>ITL;ITL :Std;1W</v>
      </c>
      <c r="B1684" s="600" t="str">
        <f t="shared" si="131"/>
        <v>ITL</v>
      </c>
      <c r="C1684" s="600" t="str">
        <f t="shared" si="131"/>
        <v>ITL :Std</v>
      </c>
      <c r="D1684" s="603"/>
      <c r="E1684" s="604"/>
      <c r="F1684" s="607" t="s">
        <v>5</v>
      </c>
      <c r="G1684" s="608">
        <v>0</v>
      </c>
    </row>
    <row r="1685" spans="1:7" ht="11.1" customHeight="1">
      <c r="A1685" s="600" t="str">
        <f t="shared" si="130"/>
        <v>ITL;ITL :Std;2W</v>
      </c>
      <c r="B1685" s="600" t="str">
        <f t="shared" ref="B1685:C1700" si="132">IF(ISBLANK(D1685),B1684,D1685)</f>
        <v>ITL</v>
      </c>
      <c r="C1685" s="600" t="str">
        <f t="shared" si="132"/>
        <v>ITL :Std</v>
      </c>
      <c r="D1685" s="603"/>
      <c r="E1685" s="604"/>
      <c r="F1685" s="607" t="s">
        <v>6</v>
      </c>
      <c r="G1685" s="608">
        <v>0</v>
      </c>
    </row>
    <row r="1686" spans="1:7" ht="11.1" customHeight="1">
      <c r="A1686" s="600" t="str">
        <f t="shared" si="130"/>
        <v>ITL;ITL :Std;3W</v>
      </c>
      <c r="B1686" s="600" t="str">
        <f t="shared" si="132"/>
        <v>ITL</v>
      </c>
      <c r="C1686" s="600" t="str">
        <f t="shared" si="132"/>
        <v>ITL :Std</v>
      </c>
      <c r="D1686" s="603"/>
      <c r="E1686" s="604"/>
      <c r="F1686" s="607" t="s">
        <v>24</v>
      </c>
      <c r="G1686" s="608">
        <v>0</v>
      </c>
    </row>
    <row r="1687" spans="1:7" ht="11.1" customHeight="1">
      <c r="A1687" s="600" t="str">
        <f t="shared" si="130"/>
        <v>ITL;ITL :Std;1M</v>
      </c>
      <c r="B1687" s="600" t="str">
        <f t="shared" si="132"/>
        <v>ITL</v>
      </c>
      <c r="C1687" s="600" t="str">
        <f t="shared" si="132"/>
        <v>ITL :Std</v>
      </c>
      <c r="D1687" s="603"/>
      <c r="E1687" s="604"/>
      <c r="F1687" s="607" t="s">
        <v>7</v>
      </c>
      <c r="G1687" s="608">
        <v>0</v>
      </c>
    </row>
    <row r="1688" spans="1:7" ht="11.1" customHeight="1">
      <c r="A1688" s="600" t="str">
        <f t="shared" si="130"/>
        <v>ITL;ITL :Std;2M</v>
      </c>
      <c r="B1688" s="600" t="str">
        <f t="shared" si="132"/>
        <v>ITL</v>
      </c>
      <c r="C1688" s="600" t="str">
        <f t="shared" si="132"/>
        <v>ITL :Std</v>
      </c>
      <c r="D1688" s="603"/>
      <c r="E1688" s="604"/>
      <c r="F1688" s="607" t="s">
        <v>8</v>
      </c>
      <c r="G1688" s="608">
        <v>0</v>
      </c>
    </row>
    <row r="1689" spans="1:7" ht="11.1" customHeight="1">
      <c r="A1689" s="600" t="str">
        <f t="shared" si="130"/>
        <v>ITL;ITL :Std;3M</v>
      </c>
      <c r="B1689" s="600" t="str">
        <f t="shared" si="132"/>
        <v>ITL</v>
      </c>
      <c r="C1689" s="600" t="str">
        <f t="shared" si="132"/>
        <v>ITL :Std</v>
      </c>
      <c r="D1689" s="603"/>
      <c r="E1689" s="604"/>
      <c r="F1689" s="607" t="s">
        <v>25</v>
      </c>
      <c r="G1689" s="608">
        <v>0</v>
      </c>
    </row>
    <row r="1690" spans="1:7" ht="11.1" customHeight="1">
      <c r="A1690" s="600" t="str">
        <f t="shared" si="130"/>
        <v>ITL;ITL :Std;4M</v>
      </c>
      <c r="B1690" s="600" t="str">
        <f t="shared" si="132"/>
        <v>ITL</v>
      </c>
      <c r="C1690" s="600" t="str">
        <f t="shared" si="132"/>
        <v>ITL :Std</v>
      </c>
      <c r="D1690" s="603"/>
      <c r="E1690" s="604"/>
      <c r="F1690" s="607" t="s">
        <v>26</v>
      </c>
      <c r="G1690" s="608">
        <v>0</v>
      </c>
    </row>
    <row r="1691" spans="1:7" ht="11.1" customHeight="1">
      <c r="A1691" s="600" t="str">
        <f t="shared" si="130"/>
        <v>ITL;ITL :Std;5M</v>
      </c>
      <c r="B1691" s="600" t="str">
        <f t="shared" si="132"/>
        <v>ITL</v>
      </c>
      <c r="C1691" s="600" t="str">
        <f t="shared" si="132"/>
        <v>ITL :Std</v>
      </c>
      <c r="D1691" s="603"/>
      <c r="E1691" s="604"/>
      <c r="F1691" s="607" t="s">
        <v>27</v>
      </c>
      <c r="G1691" s="608">
        <v>0</v>
      </c>
    </row>
    <row r="1692" spans="1:7" ht="11.1" customHeight="1">
      <c r="A1692" s="600" t="str">
        <f t="shared" si="130"/>
        <v>ITL;ITL :Std;6M</v>
      </c>
      <c r="B1692" s="600" t="str">
        <f t="shared" si="132"/>
        <v>ITL</v>
      </c>
      <c r="C1692" s="600" t="str">
        <f t="shared" si="132"/>
        <v>ITL :Std</v>
      </c>
      <c r="D1692" s="603"/>
      <c r="E1692" s="604"/>
      <c r="F1692" s="607" t="s">
        <v>28</v>
      </c>
      <c r="G1692" s="608">
        <v>0</v>
      </c>
    </row>
    <row r="1693" spans="1:7" ht="11.1" customHeight="1">
      <c r="A1693" s="600" t="str">
        <f t="shared" si="130"/>
        <v>ITL;ITL :Std;21/06/17</v>
      </c>
      <c r="B1693" s="600" t="str">
        <f t="shared" si="132"/>
        <v>ITL</v>
      </c>
      <c r="C1693" s="600" t="str">
        <f t="shared" si="132"/>
        <v>ITL :Std</v>
      </c>
      <c r="D1693" s="603"/>
      <c r="E1693" s="604"/>
      <c r="F1693" s="607" t="s">
        <v>5101</v>
      </c>
      <c r="G1693" s="608">
        <v>0</v>
      </c>
    </row>
    <row r="1694" spans="1:7" ht="11.1" customHeight="1">
      <c r="A1694" s="600" t="str">
        <f t="shared" si="130"/>
        <v>ITL;ITL :Std;JUN 17</v>
      </c>
      <c r="B1694" s="600" t="str">
        <f t="shared" si="132"/>
        <v>ITL</v>
      </c>
      <c r="C1694" s="600" t="str">
        <f t="shared" si="132"/>
        <v>ITL :Std</v>
      </c>
      <c r="D1694" s="603"/>
      <c r="E1694" s="604"/>
      <c r="F1694" s="607" t="s">
        <v>1066</v>
      </c>
      <c r="G1694" s="608">
        <v>0</v>
      </c>
    </row>
    <row r="1695" spans="1:7" ht="11.1" customHeight="1">
      <c r="A1695" s="600" t="str">
        <f t="shared" si="130"/>
        <v>ITL;ITL :Std;SEP 17</v>
      </c>
      <c r="B1695" s="600" t="str">
        <f t="shared" si="132"/>
        <v>ITL</v>
      </c>
      <c r="C1695" s="600" t="str">
        <f t="shared" si="132"/>
        <v>ITL :Std</v>
      </c>
      <c r="D1695" s="603"/>
      <c r="E1695" s="604"/>
      <c r="F1695" s="607" t="s">
        <v>1069</v>
      </c>
      <c r="G1695" s="608">
        <v>0</v>
      </c>
    </row>
    <row r="1696" spans="1:7" ht="11.1" customHeight="1">
      <c r="A1696" s="600" t="str">
        <f t="shared" si="130"/>
        <v>ITL;ITL :Std;DEC 17</v>
      </c>
      <c r="B1696" s="600" t="str">
        <f t="shared" si="132"/>
        <v>ITL</v>
      </c>
      <c r="C1696" s="600" t="str">
        <f t="shared" si="132"/>
        <v>ITL :Std</v>
      </c>
      <c r="D1696" s="603"/>
      <c r="E1696" s="604"/>
      <c r="F1696" s="607" t="s">
        <v>3865</v>
      </c>
      <c r="G1696" s="608">
        <v>0</v>
      </c>
    </row>
    <row r="1697" spans="1:7" ht="11.1" customHeight="1">
      <c r="A1697" s="600" t="str">
        <f t="shared" si="130"/>
        <v>ITL;ITL :Std;MAR 18</v>
      </c>
      <c r="B1697" s="600" t="str">
        <f t="shared" si="132"/>
        <v>ITL</v>
      </c>
      <c r="C1697" s="600" t="str">
        <f t="shared" si="132"/>
        <v>ITL :Std</v>
      </c>
      <c r="D1697" s="603"/>
      <c r="E1697" s="604"/>
      <c r="F1697" s="607" t="s">
        <v>3866</v>
      </c>
      <c r="G1697" s="608">
        <v>0</v>
      </c>
    </row>
    <row r="1698" spans="1:7" ht="11.1" customHeight="1">
      <c r="A1698" s="600" t="str">
        <f t="shared" si="130"/>
        <v>ITL;ITL :Std;JUN 18</v>
      </c>
      <c r="B1698" s="600" t="str">
        <f t="shared" si="132"/>
        <v>ITL</v>
      </c>
      <c r="C1698" s="600" t="str">
        <f t="shared" si="132"/>
        <v>ITL :Std</v>
      </c>
      <c r="D1698" s="603"/>
      <c r="E1698" s="604"/>
      <c r="F1698" s="607" t="s">
        <v>3889</v>
      </c>
      <c r="G1698" s="608">
        <v>0</v>
      </c>
    </row>
    <row r="1699" spans="1:7" ht="11.1" customHeight="1">
      <c r="A1699" s="600" t="str">
        <f t="shared" si="130"/>
        <v>ITL;ITL :Std;SEP 18</v>
      </c>
      <c r="B1699" s="600" t="str">
        <f t="shared" si="132"/>
        <v>ITL</v>
      </c>
      <c r="C1699" s="600" t="str">
        <f t="shared" si="132"/>
        <v>ITL :Std</v>
      </c>
      <c r="D1699" s="603"/>
      <c r="E1699" s="604"/>
      <c r="F1699" s="607" t="s">
        <v>3890</v>
      </c>
      <c r="G1699" s="608">
        <v>0</v>
      </c>
    </row>
    <row r="1700" spans="1:7" ht="11.1" customHeight="1">
      <c r="A1700" s="600" t="str">
        <f t="shared" si="130"/>
        <v>ITL;ITL :Std;3Y</v>
      </c>
      <c r="B1700" s="600" t="str">
        <f t="shared" si="132"/>
        <v>ITL</v>
      </c>
      <c r="C1700" s="600" t="str">
        <f t="shared" si="132"/>
        <v>ITL :Std</v>
      </c>
      <c r="D1700" s="603"/>
      <c r="E1700" s="604"/>
      <c r="F1700" s="607" t="s">
        <v>10</v>
      </c>
      <c r="G1700" s="608">
        <v>0</v>
      </c>
    </row>
    <row r="1701" spans="1:7" ht="11.1" customHeight="1">
      <c r="A1701" s="600" t="str">
        <f t="shared" si="130"/>
        <v>ITL;ITL :Std;4Y</v>
      </c>
      <c r="B1701" s="600" t="str">
        <f t="shared" ref="B1701:C1716" si="133">IF(ISBLANK(D1701),B1700,D1701)</f>
        <v>ITL</v>
      </c>
      <c r="C1701" s="600" t="str">
        <f t="shared" si="133"/>
        <v>ITL :Std</v>
      </c>
      <c r="D1701" s="603"/>
      <c r="E1701" s="604"/>
      <c r="F1701" s="607" t="s">
        <v>11</v>
      </c>
      <c r="G1701" s="608">
        <v>0</v>
      </c>
    </row>
    <row r="1702" spans="1:7" ht="11.1" customHeight="1">
      <c r="A1702" s="600" t="str">
        <f t="shared" si="130"/>
        <v>ITL;ITL :Std;5Y</v>
      </c>
      <c r="B1702" s="600" t="str">
        <f t="shared" si="133"/>
        <v>ITL</v>
      </c>
      <c r="C1702" s="600" t="str">
        <f t="shared" si="133"/>
        <v>ITL :Std</v>
      </c>
      <c r="D1702" s="603"/>
      <c r="E1702" s="604"/>
      <c r="F1702" s="607" t="s">
        <v>12</v>
      </c>
      <c r="G1702" s="608">
        <v>0</v>
      </c>
    </row>
    <row r="1703" spans="1:7" ht="11.1" customHeight="1">
      <c r="A1703" s="600" t="str">
        <f t="shared" si="130"/>
        <v>ITL;ITL :Std;6Y</v>
      </c>
      <c r="B1703" s="600" t="str">
        <f t="shared" si="133"/>
        <v>ITL</v>
      </c>
      <c r="C1703" s="600" t="str">
        <f t="shared" si="133"/>
        <v>ITL :Std</v>
      </c>
      <c r="D1703" s="603"/>
      <c r="E1703" s="604"/>
      <c r="F1703" s="607" t="s">
        <v>13</v>
      </c>
      <c r="G1703" s="608">
        <v>0</v>
      </c>
    </row>
    <row r="1704" spans="1:7" ht="11.1" customHeight="1">
      <c r="A1704" s="600" t="str">
        <f t="shared" si="130"/>
        <v>ITL;ITL :Std;7Y</v>
      </c>
      <c r="B1704" s="600" t="str">
        <f t="shared" si="133"/>
        <v>ITL</v>
      </c>
      <c r="C1704" s="600" t="str">
        <f t="shared" si="133"/>
        <v>ITL :Std</v>
      </c>
      <c r="D1704" s="603"/>
      <c r="E1704" s="604"/>
      <c r="F1704" s="607" t="s">
        <v>14</v>
      </c>
      <c r="G1704" s="608">
        <v>0</v>
      </c>
    </row>
    <row r="1705" spans="1:7" ht="11.1" customHeight="1">
      <c r="A1705" s="600" t="str">
        <f t="shared" si="130"/>
        <v>ITL;ITL :Std;8Y</v>
      </c>
      <c r="B1705" s="600" t="str">
        <f t="shared" si="133"/>
        <v>ITL</v>
      </c>
      <c r="C1705" s="600" t="str">
        <f t="shared" si="133"/>
        <v>ITL :Std</v>
      </c>
      <c r="D1705" s="603"/>
      <c r="E1705" s="604"/>
      <c r="F1705" s="607" t="s">
        <v>15</v>
      </c>
      <c r="G1705" s="608">
        <v>0</v>
      </c>
    </row>
    <row r="1706" spans="1:7" ht="11.1" customHeight="1">
      <c r="A1706" s="600" t="str">
        <f t="shared" si="130"/>
        <v>ITL;ITL :Std;9Y</v>
      </c>
      <c r="B1706" s="600" t="str">
        <f t="shared" si="133"/>
        <v>ITL</v>
      </c>
      <c r="C1706" s="600" t="str">
        <f t="shared" si="133"/>
        <v>ITL :Std</v>
      </c>
      <c r="D1706" s="603"/>
      <c r="E1706" s="604"/>
      <c r="F1706" s="607" t="s">
        <v>16</v>
      </c>
      <c r="G1706" s="608">
        <v>0</v>
      </c>
    </row>
    <row r="1707" spans="1:7" ht="11.1" customHeight="1">
      <c r="A1707" s="600" t="str">
        <f t="shared" si="130"/>
        <v>ITL;ITL :Std;10Y</v>
      </c>
      <c r="B1707" s="600" t="str">
        <f t="shared" si="133"/>
        <v>ITL</v>
      </c>
      <c r="C1707" s="600" t="str">
        <f t="shared" si="133"/>
        <v>ITL :Std</v>
      </c>
      <c r="D1707" s="603"/>
      <c r="E1707" s="604"/>
      <c r="F1707" s="607" t="s">
        <v>17</v>
      </c>
      <c r="G1707" s="608">
        <v>0</v>
      </c>
    </row>
    <row r="1708" spans="1:7" ht="11.1" customHeight="1">
      <c r="A1708" s="600" t="str">
        <f t="shared" si="130"/>
        <v>ITL;ITL :Std;11Y</v>
      </c>
      <c r="B1708" s="600" t="str">
        <f t="shared" si="133"/>
        <v>ITL</v>
      </c>
      <c r="C1708" s="600" t="str">
        <f t="shared" si="133"/>
        <v>ITL :Std</v>
      </c>
      <c r="D1708" s="603"/>
      <c r="E1708" s="604"/>
      <c r="F1708" s="607" t="s">
        <v>31</v>
      </c>
      <c r="G1708" s="608">
        <v>0</v>
      </c>
    </row>
    <row r="1709" spans="1:7" ht="11.1" customHeight="1">
      <c r="A1709" s="600" t="str">
        <f t="shared" si="130"/>
        <v>ITL;ITL :Std;12Y</v>
      </c>
      <c r="B1709" s="600" t="str">
        <f t="shared" si="133"/>
        <v>ITL</v>
      </c>
      <c r="C1709" s="600" t="str">
        <f t="shared" si="133"/>
        <v>ITL :Std</v>
      </c>
      <c r="D1709" s="603"/>
      <c r="E1709" s="604"/>
      <c r="F1709" s="607" t="s">
        <v>18</v>
      </c>
      <c r="G1709" s="608">
        <v>0</v>
      </c>
    </row>
    <row r="1710" spans="1:7" ht="11.1" customHeight="1">
      <c r="A1710" s="600" t="str">
        <f t="shared" si="130"/>
        <v>ITL;ITL :Std;13Y</v>
      </c>
      <c r="B1710" s="600" t="str">
        <f t="shared" si="133"/>
        <v>ITL</v>
      </c>
      <c r="C1710" s="600" t="str">
        <f t="shared" si="133"/>
        <v>ITL :Std</v>
      </c>
      <c r="D1710" s="603"/>
      <c r="E1710" s="604"/>
      <c r="F1710" s="607" t="s">
        <v>32</v>
      </c>
      <c r="G1710" s="608">
        <v>0</v>
      </c>
    </row>
    <row r="1711" spans="1:7" ht="11.1" customHeight="1">
      <c r="A1711" s="600" t="str">
        <f t="shared" si="130"/>
        <v>ITL;ITL :Std;14Y</v>
      </c>
      <c r="B1711" s="600" t="str">
        <f t="shared" si="133"/>
        <v>ITL</v>
      </c>
      <c r="C1711" s="600" t="str">
        <f t="shared" si="133"/>
        <v>ITL :Std</v>
      </c>
      <c r="D1711" s="603"/>
      <c r="E1711" s="604"/>
      <c r="F1711" s="607" t="s">
        <v>33</v>
      </c>
      <c r="G1711" s="608">
        <v>0</v>
      </c>
    </row>
    <row r="1712" spans="1:7" ht="11.1" customHeight="1">
      <c r="A1712" s="600" t="str">
        <f t="shared" si="130"/>
        <v>ITL;ITL :Std;15Y</v>
      </c>
      <c r="B1712" s="600" t="str">
        <f t="shared" si="133"/>
        <v>ITL</v>
      </c>
      <c r="C1712" s="600" t="str">
        <f t="shared" si="133"/>
        <v>ITL :Std</v>
      </c>
      <c r="D1712" s="603"/>
      <c r="E1712" s="604"/>
      <c r="F1712" s="607" t="s">
        <v>19</v>
      </c>
      <c r="G1712" s="608">
        <v>0</v>
      </c>
    </row>
    <row r="1713" spans="1:7" ht="11.1" customHeight="1">
      <c r="A1713" s="600" t="str">
        <f t="shared" si="130"/>
        <v>ITL;ITL :Std;16Y</v>
      </c>
      <c r="B1713" s="600" t="str">
        <f t="shared" si="133"/>
        <v>ITL</v>
      </c>
      <c r="C1713" s="600" t="str">
        <f t="shared" si="133"/>
        <v>ITL :Std</v>
      </c>
      <c r="D1713" s="603"/>
      <c r="E1713" s="604"/>
      <c r="F1713" s="607" t="s">
        <v>34</v>
      </c>
      <c r="G1713" s="608">
        <v>0</v>
      </c>
    </row>
    <row r="1714" spans="1:7" ht="11.1" customHeight="1">
      <c r="A1714" s="600" t="str">
        <f t="shared" si="130"/>
        <v>ITL;ITL :Std;17Y</v>
      </c>
      <c r="B1714" s="600" t="str">
        <f t="shared" si="133"/>
        <v>ITL</v>
      </c>
      <c r="C1714" s="600" t="str">
        <f t="shared" si="133"/>
        <v>ITL :Std</v>
      </c>
      <c r="D1714" s="603"/>
      <c r="E1714" s="604"/>
      <c r="F1714" s="607" t="s">
        <v>35</v>
      </c>
      <c r="G1714" s="608">
        <v>0</v>
      </c>
    </row>
    <row r="1715" spans="1:7" ht="11.1" customHeight="1">
      <c r="A1715" s="600" t="str">
        <f t="shared" si="130"/>
        <v>ITL;ITL :Std;18Y</v>
      </c>
      <c r="B1715" s="600" t="str">
        <f t="shared" si="133"/>
        <v>ITL</v>
      </c>
      <c r="C1715" s="600" t="str">
        <f t="shared" si="133"/>
        <v>ITL :Std</v>
      </c>
      <c r="D1715" s="603"/>
      <c r="E1715" s="604"/>
      <c r="F1715" s="607" t="s">
        <v>36</v>
      </c>
      <c r="G1715" s="608">
        <v>0</v>
      </c>
    </row>
    <row r="1716" spans="1:7" ht="11.1" customHeight="1">
      <c r="A1716" s="600" t="str">
        <f t="shared" si="130"/>
        <v>ITL;ITL :Std;19Y</v>
      </c>
      <c r="B1716" s="600" t="str">
        <f t="shared" si="133"/>
        <v>ITL</v>
      </c>
      <c r="C1716" s="600" t="str">
        <f t="shared" si="133"/>
        <v>ITL :Std</v>
      </c>
      <c r="D1716" s="603"/>
      <c r="E1716" s="604"/>
      <c r="F1716" s="607" t="s">
        <v>37</v>
      </c>
      <c r="G1716" s="608">
        <v>0</v>
      </c>
    </row>
    <row r="1717" spans="1:7" ht="11.1" customHeight="1">
      <c r="A1717" s="600" t="str">
        <f t="shared" si="130"/>
        <v>ITL;ITL :Std;20Y</v>
      </c>
      <c r="B1717" s="600" t="str">
        <f t="shared" ref="B1717:C1732" si="134">IF(ISBLANK(D1717),B1716,D1717)</f>
        <v>ITL</v>
      </c>
      <c r="C1717" s="600" t="str">
        <f t="shared" si="134"/>
        <v>ITL :Std</v>
      </c>
      <c r="D1717" s="603"/>
      <c r="E1717" s="604"/>
      <c r="F1717" s="607" t="s">
        <v>20</v>
      </c>
      <c r="G1717" s="608">
        <v>0</v>
      </c>
    </row>
    <row r="1718" spans="1:7" ht="11.1" customHeight="1">
      <c r="A1718" s="600" t="str">
        <f t="shared" si="130"/>
        <v>ITL;ITL :Std;21Y</v>
      </c>
      <c r="B1718" s="600" t="str">
        <f t="shared" si="134"/>
        <v>ITL</v>
      </c>
      <c r="C1718" s="600" t="str">
        <f t="shared" si="134"/>
        <v>ITL :Std</v>
      </c>
      <c r="D1718" s="603"/>
      <c r="E1718" s="604"/>
      <c r="F1718" s="607" t="s">
        <v>38</v>
      </c>
      <c r="G1718" s="608">
        <v>0</v>
      </c>
    </row>
    <row r="1719" spans="1:7" ht="11.1" customHeight="1">
      <c r="A1719" s="600" t="str">
        <f t="shared" si="130"/>
        <v>ITL;ITL :Std;22Y</v>
      </c>
      <c r="B1719" s="600" t="str">
        <f t="shared" si="134"/>
        <v>ITL</v>
      </c>
      <c r="C1719" s="600" t="str">
        <f t="shared" si="134"/>
        <v>ITL :Std</v>
      </c>
      <c r="D1719" s="603"/>
      <c r="E1719" s="604"/>
      <c r="F1719" s="607" t="s">
        <v>39</v>
      </c>
      <c r="G1719" s="608">
        <v>0</v>
      </c>
    </row>
    <row r="1720" spans="1:7" ht="11.1" customHeight="1">
      <c r="A1720" s="600" t="str">
        <f t="shared" si="130"/>
        <v>ITL;ITL :Std;23Y</v>
      </c>
      <c r="B1720" s="600" t="str">
        <f t="shared" si="134"/>
        <v>ITL</v>
      </c>
      <c r="C1720" s="600" t="str">
        <f t="shared" si="134"/>
        <v>ITL :Std</v>
      </c>
      <c r="D1720" s="603"/>
      <c r="E1720" s="604"/>
      <c r="F1720" s="607" t="s">
        <v>40</v>
      </c>
      <c r="G1720" s="608">
        <v>0</v>
      </c>
    </row>
    <row r="1721" spans="1:7" ht="11.1" customHeight="1">
      <c r="A1721" s="600" t="str">
        <f t="shared" si="130"/>
        <v>ITL;ITL :Std;24Y</v>
      </c>
      <c r="B1721" s="600" t="str">
        <f t="shared" si="134"/>
        <v>ITL</v>
      </c>
      <c r="C1721" s="600" t="str">
        <f t="shared" si="134"/>
        <v>ITL :Std</v>
      </c>
      <c r="D1721" s="603"/>
      <c r="E1721" s="604"/>
      <c r="F1721" s="607" t="s">
        <v>41</v>
      </c>
      <c r="G1721" s="608">
        <v>0</v>
      </c>
    </row>
    <row r="1722" spans="1:7" ht="11.1" customHeight="1">
      <c r="A1722" s="600" t="str">
        <f t="shared" si="130"/>
        <v>ITL;ITL :Std;25Y</v>
      </c>
      <c r="B1722" s="600" t="str">
        <f t="shared" si="134"/>
        <v>ITL</v>
      </c>
      <c r="C1722" s="600" t="str">
        <f t="shared" si="134"/>
        <v>ITL :Std</v>
      </c>
      <c r="D1722" s="603"/>
      <c r="E1722" s="604"/>
      <c r="F1722" s="607" t="s">
        <v>21</v>
      </c>
      <c r="G1722" s="608">
        <v>0</v>
      </c>
    </row>
    <row r="1723" spans="1:7" ht="11.1" customHeight="1">
      <c r="A1723" s="600" t="str">
        <f t="shared" si="130"/>
        <v>ITL;ITL :Std;26Y</v>
      </c>
      <c r="B1723" s="600" t="str">
        <f t="shared" si="134"/>
        <v>ITL</v>
      </c>
      <c r="C1723" s="600" t="str">
        <f t="shared" si="134"/>
        <v>ITL :Std</v>
      </c>
      <c r="D1723" s="603"/>
      <c r="E1723" s="604"/>
      <c r="F1723" s="607" t="s">
        <v>42</v>
      </c>
      <c r="G1723" s="608">
        <v>0</v>
      </c>
    </row>
    <row r="1724" spans="1:7" ht="11.1" customHeight="1">
      <c r="A1724" s="600" t="str">
        <f t="shared" si="130"/>
        <v>ITL;ITL :Std;27Y</v>
      </c>
      <c r="B1724" s="600" t="str">
        <f t="shared" si="134"/>
        <v>ITL</v>
      </c>
      <c r="C1724" s="600" t="str">
        <f t="shared" si="134"/>
        <v>ITL :Std</v>
      </c>
      <c r="D1724" s="603"/>
      <c r="E1724" s="604"/>
      <c r="F1724" s="607" t="s">
        <v>43</v>
      </c>
      <c r="G1724" s="608">
        <v>0</v>
      </c>
    </row>
    <row r="1725" spans="1:7" ht="11.1" customHeight="1">
      <c r="A1725" s="600" t="str">
        <f t="shared" si="130"/>
        <v>ITL;ITL :Std;28Y</v>
      </c>
      <c r="B1725" s="600" t="str">
        <f t="shared" si="134"/>
        <v>ITL</v>
      </c>
      <c r="C1725" s="600" t="str">
        <f t="shared" si="134"/>
        <v>ITL :Std</v>
      </c>
      <c r="D1725" s="603"/>
      <c r="E1725" s="604"/>
      <c r="F1725" s="607" t="s">
        <v>44</v>
      </c>
      <c r="G1725" s="608">
        <v>0</v>
      </c>
    </row>
    <row r="1726" spans="1:7" ht="11.1" customHeight="1">
      <c r="A1726" s="600" t="str">
        <f t="shared" si="130"/>
        <v>ITL;ITL :Std;29Y</v>
      </c>
      <c r="B1726" s="600" t="str">
        <f t="shared" si="134"/>
        <v>ITL</v>
      </c>
      <c r="C1726" s="600" t="str">
        <f t="shared" si="134"/>
        <v>ITL :Std</v>
      </c>
      <c r="D1726" s="603"/>
      <c r="E1726" s="604"/>
      <c r="F1726" s="607" t="s">
        <v>45</v>
      </c>
      <c r="G1726" s="608">
        <v>0</v>
      </c>
    </row>
    <row r="1727" spans="1:7" ht="11.1" customHeight="1">
      <c r="A1727" s="600" t="str">
        <f t="shared" si="130"/>
        <v>ITL;ITL :Std;30Y</v>
      </c>
      <c r="B1727" s="600" t="str">
        <f t="shared" si="134"/>
        <v>ITL</v>
      </c>
      <c r="C1727" s="600" t="str">
        <f t="shared" si="134"/>
        <v>ITL :Std</v>
      </c>
      <c r="D1727" s="603"/>
      <c r="E1727" s="604"/>
      <c r="F1727" s="607" t="s">
        <v>22</v>
      </c>
      <c r="G1727" s="608">
        <v>0</v>
      </c>
    </row>
    <row r="1728" spans="1:7" ht="11.1" customHeight="1">
      <c r="A1728" s="600" t="str">
        <f t="shared" si="130"/>
        <v>ITL;ITL :Std;31Y</v>
      </c>
      <c r="B1728" s="600" t="str">
        <f t="shared" si="134"/>
        <v>ITL</v>
      </c>
      <c r="C1728" s="600" t="str">
        <f t="shared" si="134"/>
        <v>ITL :Std</v>
      </c>
      <c r="D1728" s="603"/>
      <c r="E1728" s="604"/>
      <c r="F1728" s="607" t="s">
        <v>163</v>
      </c>
      <c r="G1728" s="608">
        <v>0</v>
      </c>
    </row>
    <row r="1729" spans="1:7" ht="11.1" customHeight="1">
      <c r="A1729" s="600" t="str">
        <f t="shared" si="130"/>
        <v>ITL;ITL :Std;32Y</v>
      </c>
      <c r="B1729" s="600" t="str">
        <f t="shared" si="134"/>
        <v>ITL</v>
      </c>
      <c r="C1729" s="600" t="str">
        <f t="shared" si="134"/>
        <v>ITL :Std</v>
      </c>
      <c r="D1729" s="603"/>
      <c r="E1729" s="604"/>
      <c r="F1729" s="607" t="s">
        <v>164</v>
      </c>
      <c r="G1729" s="608">
        <v>0</v>
      </c>
    </row>
    <row r="1730" spans="1:7" ht="11.1" customHeight="1">
      <c r="A1730" s="600" t="str">
        <f t="shared" si="130"/>
        <v>ITL;ITL :Std;33Y</v>
      </c>
      <c r="B1730" s="600" t="str">
        <f t="shared" si="134"/>
        <v>ITL</v>
      </c>
      <c r="C1730" s="600" t="str">
        <f t="shared" si="134"/>
        <v>ITL :Std</v>
      </c>
      <c r="D1730" s="603"/>
      <c r="E1730" s="604"/>
      <c r="F1730" s="607" t="s">
        <v>165</v>
      </c>
      <c r="G1730" s="608">
        <v>0</v>
      </c>
    </row>
    <row r="1731" spans="1:7" ht="11.1" customHeight="1">
      <c r="A1731" s="600" t="str">
        <f t="shared" si="130"/>
        <v>ITL;ITL :Std;34Y</v>
      </c>
      <c r="B1731" s="600" t="str">
        <f t="shared" si="134"/>
        <v>ITL</v>
      </c>
      <c r="C1731" s="600" t="str">
        <f t="shared" si="134"/>
        <v>ITL :Std</v>
      </c>
      <c r="D1731" s="603"/>
      <c r="E1731" s="604"/>
      <c r="F1731" s="607" t="s">
        <v>166</v>
      </c>
      <c r="G1731" s="608">
        <v>0</v>
      </c>
    </row>
    <row r="1732" spans="1:7" ht="11.1" customHeight="1">
      <c r="A1732" s="600" t="str">
        <f t="shared" si="130"/>
        <v>ITL;ITL :Std;35Y</v>
      </c>
      <c r="B1732" s="600" t="str">
        <f t="shared" si="134"/>
        <v>ITL</v>
      </c>
      <c r="C1732" s="600" t="str">
        <f t="shared" si="134"/>
        <v>ITL :Std</v>
      </c>
      <c r="D1732" s="603"/>
      <c r="E1732" s="604"/>
      <c r="F1732" s="607" t="s">
        <v>167</v>
      </c>
      <c r="G1732" s="608">
        <v>0</v>
      </c>
    </row>
    <row r="1733" spans="1:7" ht="11.1" customHeight="1">
      <c r="A1733" s="600" t="str">
        <f t="shared" ref="A1733:A1796" si="135">B1733&amp;";"&amp;C1733&amp;";"&amp;F1733</f>
        <v>ITL;ITL :Std;36Y</v>
      </c>
      <c r="B1733" s="600" t="str">
        <f t="shared" ref="B1733:C1748" si="136">IF(ISBLANK(D1733),B1732,D1733)</f>
        <v>ITL</v>
      </c>
      <c r="C1733" s="600" t="str">
        <f t="shared" si="136"/>
        <v>ITL :Std</v>
      </c>
      <c r="D1733" s="603"/>
      <c r="E1733" s="604"/>
      <c r="F1733" s="607" t="s">
        <v>168</v>
      </c>
      <c r="G1733" s="608">
        <v>0</v>
      </c>
    </row>
    <row r="1734" spans="1:7" ht="11.1" customHeight="1">
      <c r="A1734" s="600" t="str">
        <f t="shared" si="135"/>
        <v>ITL;ITL :Std;37Y</v>
      </c>
      <c r="B1734" s="600" t="str">
        <f t="shared" si="136"/>
        <v>ITL</v>
      </c>
      <c r="C1734" s="600" t="str">
        <f t="shared" si="136"/>
        <v>ITL :Std</v>
      </c>
      <c r="D1734" s="603"/>
      <c r="E1734" s="604"/>
      <c r="F1734" s="607" t="s">
        <v>169</v>
      </c>
      <c r="G1734" s="608">
        <v>0</v>
      </c>
    </row>
    <row r="1735" spans="1:7" ht="11.1" customHeight="1">
      <c r="A1735" s="600" t="str">
        <f t="shared" si="135"/>
        <v>ITL;ITL :Std;38Y</v>
      </c>
      <c r="B1735" s="600" t="str">
        <f t="shared" si="136"/>
        <v>ITL</v>
      </c>
      <c r="C1735" s="600" t="str">
        <f t="shared" si="136"/>
        <v>ITL :Std</v>
      </c>
      <c r="D1735" s="603"/>
      <c r="E1735" s="604"/>
      <c r="F1735" s="607" t="s">
        <v>170</v>
      </c>
      <c r="G1735" s="608">
        <v>0</v>
      </c>
    </row>
    <row r="1736" spans="1:7" ht="11.1" customHeight="1">
      <c r="A1736" s="600" t="str">
        <f t="shared" si="135"/>
        <v>ITL;ITL :Std;39Y</v>
      </c>
      <c r="B1736" s="600" t="str">
        <f t="shared" si="136"/>
        <v>ITL</v>
      </c>
      <c r="C1736" s="600" t="str">
        <f t="shared" si="136"/>
        <v>ITL :Std</v>
      </c>
      <c r="D1736" s="603"/>
      <c r="E1736" s="604"/>
      <c r="F1736" s="607" t="s">
        <v>171</v>
      </c>
      <c r="G1736" s="608">
        <v>0</v>
      </c>
    </row>
    <row r="1737" spans="1:7" ht="11.1" customHeight="1">
      <c r="A1737" s="600" t="str">
        <f t="shared" si="135"/>
        <v>ITL;ITL :Std;40Y</v>
      </c>
      <c r="B1737" s="600" t="str">
        <f t="shared" si="136"/>
        <v>ITL</v>
      </c>
      <c r="C1737" s="600" t="str">
        <f t="shared" si="136"/>
        <v>ITL :Std</v>
      </c>
      <c r="D1737" s="603"/>
      <c r="E1737" s="604"/>
      <c r="F1737" s="607" t="s">
        <v>46</v>
      </c>
      <c r="G1737" s="608">
        <v>0</v>
      </c>
    </row>
    <row r="1738" spans="1:7" ht="11.1" customHeight="1">
      <c r="A1738" s="600" t="str">
        <f t="shared" si="135"/>
        <v>ITL;ITL :Std;50Y</v>
      </c>
      <c r="B1738" s="600" t="str">
        <f t="shared" si="136"/>
        <v>ITL</v>
      </c>
      <c r="C1738" s="600" t="str">
        <f t="shared" si="136"/>
        <v>ITL :Std</v>
      </c>
      <c r="D1738" s="603"/>
      <c r="E1738" s="604"/>
      <c r="F1738" s="607" t="s">
        <v>47</v>
      </c>
      <c r="G1738" s="608">
        <v>0</v>
      </c>
    </row>
    <row r="1739" spans="1:7" ht="11.1" customHeight="1">
      <c r="A1739" s="600" t="str">
        <f t="shared" si="135"/>
        <v>ITL;ITL :Std;60Y</v>
      </c>
      <c r="B1739" s="600" t="str">
        <f t="shared" si="136"/>
        <v>ITL</v>
      </c>
      <c r="C1739" s="600" t="str">
        <f t="shared" si="136"/>
        <v>ITL :Std</v>
      </c>
      <c r="D1739" s="603"/>
      <c r="E1739" s="604"/>
      <c r="F1739" s="607" t="s">
        <v>48</v>
      </c>
      <c r="G1739" s="608">
        <v>0</v>
      </c>
    </row>
    <row r="1740" spans="1:7" ht="11.1" customHeight="1">
      <c r="A1740" s="600" t="str">
        <f t="shared" si="135"/>
        <v>JPY;Total JPY;</v>
      </c>
      <c r="B1740" s="600" t="str">
        <f t="shared" si="136"/>
        <v>JPY</v>
      </c>
      <c r="C1740" s="600" t="str">
        <f t="shared" si="136"/>
        <v>Total JPY</v>
      </c>
      <c r="D1740" s="603" t="s">
        <v>1265</v>
      </c>
      <c r="E1740" s="609" t="s">
        <v>1266</v>
      </c>
      <c r="F1740" s="609"/>
      <c r="G1740" s="610">
        <v>105514.303326111</v>
      </c>
    </row>
    <row r="1741" spans="1:7" ht="11.1" customHeight="1">
      <c r="A1741" s="600" t="str">
        <f t="shared" si="135"/>
        <v>JPY;JPY 3M;Total JPY 3M</v>
      </c>
      <c r="B1741" s="600" t="str">
        <f t="shared" si="136"/>
        <v>JPY</v>
      </c>
      <c r="C1741" s="600" t="str">
        <f t="shared" si="136"/>
        <v>JPY 3M</v>
      </c>
      <c r="D1741" s="603"/>
      <c r="E1741" s="604" t="s">
        <v>3765</v>
      </c>
      <c r="F1741" s="605" t="s">
        <v>3766</v>
      </c>
      <c r="G1741" s="611">
        <v>7922.5186254233104</v>
      </c>
    </row>
    <row r="1742" spans="1:7" ht="11.1" customHeight="1">
      <c r="A1742" s="600" t="str">
        <f t="shared" si="135"/>
        <v>JPY;JPY 3M;O/N</v>
      </c>
      <c r="B1742" s="600" t="str">
        <f t="shared" si="136"/>
        <v>JPY</v>
      </c>
      <c r="C1742" s="600" t="str">
        <f t="shared" si="136"/>
        <v>JPY 3M</v>
      </c>
      <c r="D1742" s="603"/>
      <c r="E1742" s="604"/>
      <c r="F1742" s="607" t="s">
        <v>3</v>
      </c>
      <c r="G1742" s="611">
        <v>0</v>
      </c>
    </row>
    <row r="1743" spans="1:7" ht="11.1" customHeight="1">
      <c r="A1743" s="600" t="str">
        <f t="shared" si="135"/>
        <v>JPY;JPY 3M;T/N</v>
      </c>
      <c r="B1743" s="600" t="str">
        <f t="shared" si="136"/>
        <v>JPY</v>
      </c>
      <c r="C1743" s="600" t="str">
        <f t="shared" si="136"/>
        <v>JPY 3M</v>
      </c>
      <c r="D1743" s="603"/>
      <c r="E1743" s="604"/>
      <c r="F1743" s="607" t="s">
        <v>4</v>
      </c>
      <c r="G1743" s="611">
        <v>0</v>
      </c>
    </row>
    <row r="1744" spans="1:7" ht="11.1" customHeight="1">
      <c r="A1744" s="600" t="str">
        <f t="shared" si="135"/>
        <v>JPY;JPY 3M;S/N</v>
      </c>
      <c r="B1744" s="600" t="str">
        <f t="shared" si="136"/>
        <v>JPY</v>
      </c>
      <c r="C1744" s="600" t="str">
        <f t="shared" si="136"/>
        <v>JPY 3M</v>
      </c>
      <c r="D1744" s="603"/>
      <c r="E1744" s="604"/>
      <c r="F1744" s="607" t="s">
        <v>23</v>
      </c>
      <c r="G1744" s="606">
        <v>-5.69462361058629</v>
      </c>
    </row>
    <row r="1745" spans="1:7" ht="11.1" customHeight="1">
      <c r="A1745" s="600" t="str">
        <f t="shared" si="135"/>
        <v>JPY;JPY 3M;1W</v>
      </c>
      <c r="B1745" s="600" t="str">
        <f t="shared" si="136"/>
        <v>JPY</v>
      </c>
      <c r="C1745" s="600" t="str">
        <f t="shared" si="136"/>
        <v>JPY 3M</v>
      </c>
      <c r="D1745" s="603"/>
      <c r="E1745" s="604"/>
      <c r="F1745" s="607" t="s">
        <v>5</v>
      </c>
      <c r="G1745" s="606">
        <v>-3.2494826975122701</v>
      </c>
    </row>
    <row r="1746" spans="1:7" ht="11.1" customHeight="1">
      <c r="A1746" s="600" t="str">
        <f t="shared" si="135"/>
        <v>JPY;JPY 3M;2W</v>
      </c>
      <c r="B1746" s="600" t="str">
        <f t="shared" si="136"/>
        <v>JPY</v>
      </c>
      <c r="C1746" s="600" t="str">
        <f t="shared" si="136"/>
        <v>JPY 3M</v>
      </c>
      <c r="D1746" s="603"/>
      <c r="E1746" s="604"/>
      <c r="F1746" s="607" t="s">
        <v>6</v>
      </c>
      <c r="G1746" s="611">
        <v>0.46031667826233402</v>
      </c>
    </row>
    <row r="1747" spans="1:7" ht="11.1" customHeight="1">
      <c r="A1747" s="600" t="str">
        <f t="shared" si="135"/>
        <v>JPY;JPY 3M;3W</v>
      </c>
      <c r="B1747" s="600" t="str">
        <f t="shared" si="136"/>
        <v>JPY</v>
      </c>
      <c r="C1747" s="600" t="str">
        <f t="shared" si="136"/>
        <v>JPY 3M</v>
      </c>
      <c r="D1747" s="603"/>
      <c r="E1747" s="604"/>
      <c r="F1747" s="607" t="s">
        <v>24</v>
      </c>
      <c r="G1747" s="608">
        <v>0</v>
      </c>
    </row>
    <row r="1748" spans="1:7" ht="11.1" customHeight="1">
      <c r="A1748" s="600" t="str">
        <f t="shared" si="135"/>
        <v>JPY;JPY 3M;1M</v>
      </c>
      <c r="B1748" s="600" t="str">
        <f t="shared" si="136"/>
        <v>JPY</v>
      </c>
      <c r="C1748" s="600" t="str">
        <f t="shared" si="136"/>
        <v>JPY 3M</v>
      </c>
      <c r="D1748" s="603"/>
      <c r="E1748" s="604"/>
      <c r="F1748" s="607" t="s">
        <v>7</v>
      </c>
      <c r="G1748" s="611">
        <v>13.8828685734471</v>
      </c>
    </row>
    <row r="1749" spans="1:7" ht="11.1" customHeight="1">
      <c r="A1749" s="600" t="str">
        <f t="shared" si="135"/>
        <v>JPY;JPY 3M;2M</v>
      </c>
      <c r="B1749" s="600" t="str">
        <f t="shared" ref="B1749:C1764" si="137">IF(ISBLANK(D1749),B1748,D1749)</f>
        <v>JPY</v>
      </c>
      <c r="C1749" s="600" t="str">
        <f t="shared" si="137"/>
        <v>JPY 3M</v>
      </c>
      <c r="D1749" s="603"/>
      <c r="E1749" s="604"/>
      <c r="F1749" s="607" t="s">
        <v>8</v>
      </c>
      <c r="G1749" s="606">
        <v>-10.475972993651</v>
      </c>
    </row>
    <row r="1750" spans="1:7" ht="11.1" customHeight="1">
      <c r="A1750" s="600" t="str">
        <f t="shared" si="135"/>
        <v>JPY;JPY 3M;3M</v>
      </c>
      <c r="B1750" s="600" t="str">
        <f t="shared" si="137"/>
        <v>JPY</v>
      </c>
      <c r="C1750" s="600" t="str">
        <f t="shared" si="137"/>
        <v>JPY 3M</v>
      </c>
      <c r="D1750" s="603"/>
      <c r="E1750" s="604"/>
      <c r="F1750" s="607" t="s">
        <v>25</v>
      </c>
      <c r="G1750" s="606">
        <v>-339.28186622000999</v>
      </c>
    </row>
    <row r="1751" spans="1:7" ht="11.1" customHeight="1">
      <c r="A1751" s="600" t="str">
        <f t="shared" si="135"/>
        <v>JPY;JPY 3M;1M-4M</v>
      </c>
      <c r="B1751" s="600" t="str">
        <f t="shared" si="137"/>
        <v>JPY</v>
      </c>
      <c r="C1751" s="600" t="str">
        <f t="shared" si="137"/>
        <v>JPY 3M</v>
      </c>
      <c r="D1751" s="603"/>
      <c r="E1751" s="604"/>
      <c r="F1751" s="607" t="s">
        <v>1350</v>
      </c>
      <c r="G1751" s="611">
        <v>41.651004255688001</v>
      </c>
    </row>
    <row r="1752" spans="1:7" ht="11.1" customHeight="1">
      <c r="A1752" s="600" t="str">
        <f t="shared" si="135"/>
        <v>JPY;JPY 3M;2M-5M</v>
      </c>
      <c r="B1752" s="600" t="str">
        <f t="shared" si="137"/>
        <v>JPY</v>
      </c>
      <c r="C1752" s="600" t="str">
        <f t="shared" si="137"/>
        <v>JPY 3M</v>
      </c>
      <c r="D1752" s="603"/>
      <c r="E1752" s="604"/>
      <c r="F1752" s="607" t="s">
        <v>1351</v>
      </c>
      <c r="G1752" s="606">
        <v>-14.8154956667722</v>
      </c>
    </row>
    <row r="1753" spans="1:7" ht="11.1" customHeight="1">
      <c r="A1753" s="600" t="str">
        <f t="shared" si="135"/>
        <v>JPY;JPY 3M;3M-6M</v>
      </c>
      <c r="B1753" s="600" t="str">
        <f t="shared" si="137"/>
        <v>JPY</v>
      </c>
      <c r="C1753" s="600" t="str">
        <f t="shared" si="137"/>
        <v>JPY 3M</v>
      </c>
      <c r="D1753" s="603"/>
      <c r="E1753" s="604"/>
      <c r="F1753" s="607" t="s">
        <v>1213</v>
      </c>
      <c r="G1753" s="606">
        <v>-338.17957053249199</v>
      </c>
    </row>
    <row r="1754" spans="1:7" ht="11.1" customHeight="1">
      <c r="A1754" s="600" t="str">
        <f t="shared" si="135"/>
        <v>JPY;JPY 3M;4M-7M</v>
      </c>
      <c r="B1754" s="600" t="str">
        <f t="shared" si="137"/>
        <v>JPY</v>
      </c>
      <c r="C1754" s="600" t="str">
        <f t="shared" si="137"/>
        <v>JPY 3M</v>
      </c>
      <c r="D1754" s="603"/>
      <c r="E1754" s="604"/>
      <c r="F1754" s="607" t="s">
        <v>1352</v>
      </c>
      <c r="G1754" s="611">
        <v>40.8800625123258</v>
      </c>
    </row>
    <row r="1755" spans="1:7" ht="11.1" customHeight="1">
      <c r="A1755" s="600" t="str">
        <f t="shared" si="135"/>
        <v>JPY;JPY 3M;5M-8M</v>
      </c>
      <c r="B1755" s="600" t="str">
        <f t="shared" si="137"/>
        <v>JPY</v>
      </c>
      <c r="C1755" s="600" t="str">
        <f t="shared" si="137"/>
        <v>JPY 3M</v>
      </c>
      <c r="D1755" s="603"/>
      <c r="E1755" s="604"/>
      <c r="F1755" s="607" t="s">
        <v>1353</v>
      </c>
      <c r="G1755" s="606">
        <v>-8.5407506710036198</v>
      </c>
    </row>
    <row r="1756" spans="1:7" ht="11.1" customHeight="1">
      <c r="A1756" s="600" t="str">
        <f t="shared" si="135"/>
        <v>JPY;JPY 3M;6M-9M</v>
      </c>
      <c r="B1756" s="600" t="str">
        <f t="shared" si="137"/>
        <v>JPY</v>
      </c>
      <c r="C1756" s="600" t="str">
        <f t="shared" si="137"/>
        <v>JPY 3M</v>
      </c>
      <c r="D1756" s="603"/>
      <c r="E1756" s="604"/>
      <c r="F1756" s="607" t="s">
        <v>1214</v>
      </c>
      <c r="G1756" s="606">
        <v>-311.93698192251799</v>
      </c>
    </row>
    <row r="1757" spans="1:7" ht="11.1" customHeight="1">
      <c r="A1757" s="600" t="str">
        <f t="shared" si="135"/>
        <v>JPY;JPY 3M;9M-12M</v>
      </c>
      <c r="B1757" s="600" t="str">
        <f t="shared" si="137"/>
        <v>JPY</v>
      </c>
      <c r="C1757" s="600" t="str">
        <f t="shared" si="137"/>
        <v>JPY 3M</v>
      </c>
      <c r="D1757" s="603"/>
      <c r="E1757" s="604"/>
      <c r="F1757" s="607" t="s">
        <v>1215</v>
      </c>
      <c r="G1757" s="606">
        <v>-319.35351563321598</v>
      </c>
    </row>
    <row r="1758" spans="1:7" ht="11.1" customHeight="1">
      <c r="A1758" s="600" t="str">
        <f t="shared" si="135"/>
        <v>JPY;JPY 3M;12M-15M</v>
      </c>
      <c r="B1758" s="600" t="str">
        <f t="shared" si="137"/>
        <v>JPY</v>
      </c>
      <c r="C1758" s="600" t="str">
        <f t="shared" si="137"/>
        <v>JPY 3M</v>
      </c>
      <c r="D1758" s="603"/>
      <c r="E1758" s="604"/>
      <c r="F1758" s="607" t="s">
        <v>2179</v>
      </c>
      <c r="G1758" s="606">
        <v>-6.1257433638038199</v>
      </c>
    </row>
    <row r="1759" spans="1:7" ht="11.1" customHeight="1">
      <c r="A1759" s="600" t="str">
        <f t="shared" si="135"/>
        <v>JPY;JPY 3M;18M</v>
      </c>
      <c r="B1759" s="600" t="str">
        <f t="shared" si="137"/>
        <v>JPY</v>
      </c>
      <c r="C1759" s="600" t="str">
        <f t="shared" si="137"/>
        <v>JPY 3M</v>
      </c>
      <c r="D1759" s="603"/>
      <c r="E1759" s="604"/>
      <c r="F1759" s="607" t="s">
        <v>54</v>
      </c>
      <c r="G1759" s="606">
        <v>-30.326081069783701</v>
      </c>
    </row>
    <row r="1760" spans="1:7" ht="11.1" customHeight="1">
      <c r="A1760" s="600" t="str">
        <f t="shared" si="135"/>
        <v>JPY;JPY 3M;2Y</v>
      </c>
      <c r="B1760" s="600" t="str">
        <f t="shared" si="137"/>
        <v>JPY</v>
      </c>
      <c r="C1760" s="600" t="str">
        <f t="shared" si="137"/>
        <v>JPY 3M</v>
      </c>
      <c r="D1760" s="603"/>
      <c r="E1760" s="604"/>
      <c r="F1760" s="607" t="s">
        <v>9</v>
      </c>
      <c r="G1760" s="606">
        <v>-486.99529045340398</v>
      </c>
    </row>
    <row r="1761" spans="1:7" ht="11.1" customHeight="1">
      <c r="A1761" s="600" t="str">
        <f t="shared" si="135"/>
        <v>JPY;JPY 3M;3Y</v>
      </c>
      <c r="B1761" s="600" t="str">
        <f t="shared" si="137"/>
        <v>JPY</v>
      </c>
      <c r="C1761" s="600" t="str">
        <f t="shared" si="137"/>
        <v>JPY 3M</v>
      </c>
      <c r="D1761" s="603"/>
      <c r="E1761" s="604"/>
      <c r="F1761" s="607" t="s">
        <v>10</v>
      </c>
      <c r="G1761" s="611">
        <v>2298.0686864013301</v>
      </c>
    </row>
    <row r="1762" spans="1:7" ht="11.1" customHeight="1">
      <c r="A1762" s="600" t="str">
        <f t="shared" si="135"/>
        <v>JPY;JPY 3M;4Y</v>
      </c>
      <c r="B1762" s="600" t="str">
        <f t="shared" si="137"/>
        <v>JPY</v>
      </c>
      <c r="C1762" s="600" t="str">
        <f t="shared" si="137"/>
        <v>JPY 3M</v>
      </c>
      <c r="D1762" s="603"/>
      <c r="E1762" s="604"/>
      <c r="F1762" s="607" t="s">
        <v>11</v>
      </c>
      <c r="G1762" s="611">
        <v>5273.5565428371901</v>
      </c>
    </row>
    <row r="1763" spans="1:7" ht="11.1" customHeight="1">
      <c r="A1763" s="600" t="str">
        <f t="shared" si="135"/>
        <v>JPY;JPY 3M;5Y</v>
      </c>
      <c r="B1763" s="600" t="str">
        <f t="shared" si="137"/>
        <v>JPY</v>
      </c>
      <c r="C1763" s="600" t="str">
        <f t="shared" si="137"/>
        <v>JPY 3M</v>
      </c>
      <c r="D1763" s="603"/>
      <c r="E1763" s="604"/>
      <c r="F1763" s="607" t="s">
        <v>12</v>
      </c>
      <c r="G1763" s="611">
        <v>2122.37802068868</v>
      </c>
    </row>
    <row r="1764" spans="1:7" ht="11.1" customHeight="1">
      <c r="A1764" s="600" t="str">
        <f t="shared" si="135"/>
        <v>JPY;JPY 3M;6Y</v>
      </c>
      <c r="B1764" s="600" t="str">
        <f t="shared" si="137"/>
        <v>JPY</v>
      </c>
      <c r="C1764" s="600" t="str">
        <f t="shared" si="137"/>
        <v>JPY 3M</v>
      </c>
      <c r="D1764" s="603"/>
      <c r="E1764" s="604"/>
      <c r="F1764" s="607" t="s">
        <v>13</v>
      </c>
      <c r="G1764" s="611">
        <v>6.6680921235636097</v>
      </c>
    </row>
    <row r="1765" spans="1:7" ht="11.1" customHeight="1">
      <c r="A1765" s="600" t="str">
        <f t="shared" si="135"/>
        <v>JPY;JPY 3M;7Y</v>
      </c>
      <c r="B1765" s="600" t="str">
        <f t="shared" ref="B1765:C1780" si="138">IF(ISBLANK(D1765),B1764,D1765)</f>
        <v>JPY</v>
      </c>
      <c r="C1765" s="600" t="str">
        <f t="shared" si="138"/>
        <v>JPY 3M</v>
      </c>
      <c r="D1765" s="603"/>
      <c r="E1765" s="604"/>
      <c r="F1765" s="607" t="s">
        <v>14</v>
      </c>
      <c r="G1765" s="606">
        <v>-5.1593666065457497E-2</v>
      </c>
    </row>
    <row r="1766" spans="1:7" ht="11.1" customHeight="1">
      <c r="A1766" s="600" t="str">
        <f t="shared" si="135"/>
        <v>JPY;JPY 3M;8Y</v>
      </c>
      <c r="B1766" s="600" t="str">
        <f t="shared" si="138"/>
        <v>JPY</v>
      </c>
      <c r="C1766" s="600" t="str">
        <f t="shared" si="138"/>
        <v>JPY 3M</v>
      </c>
      <c r="D1766" s="603"/>
      <c r="E1766" s="604"/>
      <c r="F1766" s="607" t="s">
        <v>15</v>
      </c>
      <c r="G1766" s="606">
        <v>-1.4186426255946601E-7</v>
      </c>
    </row>
    <row r="1767" spans="1:7" ht="11.1" customHeight="1">
      <c r="A1767" s="600" t="str">
        <f t="shared" si="135"/>
        <v>JPY;JPY 3M;9Y</v>
      </c>
      <c r="B1767" s="600" t="str">
        <f t="shared" si="138"/>
        <v>JPY</v>
      </c>
      <c r="C1767" s="600" t="str">
        <f t="shared" si="138"/>
        <v>JPY 3M</v>
      </c>
      <c r="D1767" s="603"/>
      <c r="E1767" s="604"/>
      <c r="F1767" s="607" t="s">
        <v>16</v>
      </c>
      <c r="G1767" s="611">
        <v>0</v>
      </c>
    </row>
    <row r="1768" spans="1:7" ht="11.1" customHeight="1">
      <c r="A1768" s="600" t="str">
        <f t="shared" si="135"/>
        <v>JPY;JPY 3M;10Y</v>
      </c>
      <c r="B1768" s="600" t="str">
        <f t="shared" si="138"/>
        <v>JPY</v>
      </c>
      <c r="C1768" s="600" t="str">
        <f t="shared" si="138"/>
        <v>JPY 3M</v>
      </c>
      <c r="D1768" s="603"/>
      <c r="E1768" s="604"/>
      <c r="F1768" s="607" t="s">
        <v>17</v>
      </c>
      <c r="G1768" s="611">
        <v>0</v>
      </c>
    </row>
    <row r="1769" spans="1:7" ht="11.1" customHeight="1">
      <c r="A1769" s="600" t="str">
        <f t="shared" si="135"/>
        <v>JPY;JPY 3M;12Y</v>
      </c>
      <c r="B1769" s="600" t="str">
        <f t="shared" si="138"/>
        <v>JPY</v>
      </c>
      <c r="C1769" s="600" t="str">
        <f t="shared" si="138"/>
        <v>JPY 3M</v>
      </c>
      <c r="D1769" s="603"/>
      <c r="E1769" s="604"/>
      <c r="F1769" s="607" t="s">
        <v>18</v>
      </c>
      <c r="G1769" s="611">
        <v>0</v>
      </c>
    </row>
    <row r="1770" spans="1:7" ht="11.1" customHeight="1">
      <c r="A1770" s="600" t="str">
        <f t="shared" si="135"/>
        <v>JPY;JPY 3M;15Y</v>
      </c>
      <c r="B1770" s="600" t="str">
        <f t="shared" si="138"/>
        <v>JPY</v>
      </c>
      <c r="C1770" s="600" t="str">
        <f t="shared" si="138"/>
        <v>JPY 3M</v>
      </c>
      <c r="D1770" s="603"/>
      <c r="E1770" s="604"/>
      <c r="F1770" s="607" t="s">
        <v>19</v>
      </c>
      <c r="G1770" s="611">
        <v>0</v>
      </c>
    </row>
    <row r="1771" spans="1:7" ht="11.1" customHeight="1">
      <c r="A1771" s="600" t="str">
        <f t="shared" si="135"/>
        <v>JPY;JPY 3M;20Y</v>
      </c>
      <c r="B1771" s="600" t="str">
        <f t="shared" si="138"/>
        <v>JPY</v>
      </c>
      <c r="C1771" s="600" t="str">
        <f t="shared" si="138"/>
        <v>JPY 3M</v>
      </c>
      <c r="D1771" s="603"/>
      <c r="E1771" s="604"/>
      <c r="F1771" s="607" t="s">
        <v>20</v>
      </c>
      <c r="G1771" s="611">
        <v>0</v>
      </c>
    </row>
    <row r="1772" spans="1:7" ht="11.1" customHeight="1">
      <c r="A1772" s="600" t="str">
        <f t="shared" si="135"/>
        <v>JPY;JPY 3M;25Y</v>
      </c>
      <c r="B1772" s="600" t="str">
        <f t="shared" si="138"/>
        <v>JPY</v>
      </c>
      <c r="C1772" s="600" t="str">
        <f t="shared" si="138"/>
        <v>JPY 3M</v>
      </c>
      <c r="D1772" s="603"/>
      <c r="E1772" s="604"/>
      <c r="F1772" s="607" t="s">
        <v>21</v>
      </c>
      <c r="G1772" s="611">
        <v>0</v>
      </c>
    </row>
    <row r="1773" spans="1:7" ht="11.1" customHeight="1">
      <c r="A1773" s="600" t="str">
        <f t="shared" si="135"/>
        <v>JPY;JPY 3M;30Y</v>
      </c>
      <c r="B1773" s="600" t="str">
        <f t="shared" si="138"/>
        <v>JPY</v>
      </c>
      <c r="C1773" s="600" t="str">
        <f t="shared" si="138"/>
        <v>JPY 3M</v>
      </c>
      <c r="D1773" s="603"/>
      <c r="E1773" s="604"/>
      <c r="F1773" s="607" t="s">
        <v>22</v>
      </c>
      <c r="G1773" s="611">
        <v>0</v>
      </c>
    </row>
    <row r="1774" spans="1:7" ht="11.1" customHeight="1">
      <c r="A1774" s="600" t="str">
        <f t="shared" si="135"/>
        <v>JPY;JPY 6M;Total JPY 6M</v>
      </c>
      <c r="B1774" s="600" t="str">
        <f t="shared" si="138"/>
        <v>JPY</v>
      </c>
      <c r="C1774" s="600" t="str">
        <f t="shared" si="138"/>
        <v>JPY 6M</v>
      </c>
      <c r="D1774" s="603"/>
      <c r="E1774" s="604" t="s">
        <v>3767</v>
      </c>
      <c r="F1774" s="605" t="s">
        <v>3768</v>
      </c>
      <c r="G1774" s="611">
        <v>95950.678120811601</v>
      </c>
    </row>
    <row r="1775" spans="1:7" ht="11.1" customHeight="1">
      <c r="A1775" s="600" t="str">
        <f t="shared" si="135"/>
        <v>JPY;JPY 6M;O/N</v>
      </c>
      <c r="B1775" s="600" t="str">
        <f t="shared" si="138"/>
        <v>JPY</v>
      </c>
      <c r="C1775" s="600" t="str">
        <f t="shared" si="138"/>
        <v>JPY 6M</v>
      </c>
      <c r="D1775" s="603"/>
      <c r="E1775" s="604"/>
      <c r="F1775" s="607" t="s">
        <v>3</v>
      </c>
      <c r="G1775" s="606">
        <v>-2.31239027925767E-10</v>
      </c>
    </row>
    <row r="1776" spans="1:7" ht="11.1" customHeight="1">
      <c r="A1776" s="600" t="str">
        <f t="shared" si="135"/>
        <v>JPY;JPY 6M;T/N</v>
      </c>
      <c r="B1776" s="600" t="str">
        <f t="shared" si="138"/>
        <v>JPY</v>
      </c>
      <c r="C1776" s="600" t="str">
        <f t="shared" si="138"/>
        <v>JPY 6M</v>
      </c>
      <c r="D1776" s="603"/>
      <c r="E1776" s="604"/>
      <c r="F1776" s="607" t="s">
        <v>4</v>
      </c>
      <c r="G1776" s="608">
        <v>0</v>
      </c>
    </row>
    <row r="1777" spans="1:7" ht="11.1" customHeight="1">
      <c r="A1777" s="600" t="str">
        <f t="shared" si="135"/>
        <v>JPY;JPY 6M;S/N</v>
      </c>
      <c r="B1777" s="600" t="str">
        <f t="shared" si="138"/>
        <v>JPY</v>
      </c>
      <c r="C1777" s="600" t="str">
        <f t="shared" si="138"/>
        <v>JPY 6M</v>
      </c>
      <c r="D1777" s="603"/>
      <c r="E1777" s="604"/>
      <c r="F1777" s="607" t="s">
        <v>23</v>
      </c>
      <c r="G1777" s="608">
        <v>0</v>
      </c>
    </row>
    <row r="1778" spans="1:7" ht="11.1" customHeight="1">
      <c r="A1778" s="600" t="str">
        <f t="shared" si="135"/>
        <v>JPY;JPY 6M;1W</v>
      </c>
      <c r="B1778" s="600" t="str">
        <f t="shared" si="138"/>
        <v>JPY</v>
      </c>
      <c r="C1778" s="600" t="str">
        <f t="shared" si="138"/>
        <v>JPY 6M</v>
      </c>
      <c r="D1778" s="603"/>
      <c r="E1778" s="604"/>
      <c r="F1778" s="607" t="s">
        <v>5</v>
      </c>
      <c r="G1778" s="608">
        <v>0</v>
      </c>
    </row>
    <row r="1779" spans="1:7" ht="11.1" customHeight="1">
      <c r="A1779" s="600" t="str">
        <f t="shared" si="135"/>
        <v>JPY;JPY 6M;2W</v>
      </c>
      <c r="B1779" s="600" t="str">
        <f t="shared" si="138"/>
        <v>JPY</v>
      </c>
      <c r="C1779" s="600" t="str">
        <f t="shared" si="138"/>
        <v>JPY 6M</v>
      </c>
      <c r="D1779" s="603"/>
      <c r="E1779" s="604"/>
      <c r="F1779" s="607" t="s">
        <v>6</v>
      </c>
      <c r="G1779" s="611">
        <v>193.49578390780999</v>
      </c>
    </row>
    <row r="1780" spans="1:7" ht="11.1" customHeight="1">
      <c r="A1780" s="600" t="str">
        <f t="shared" si="135"/>
        <v>JPY;JPY 6M;3W</v>
      </c>
      <c r="B1780" s="600" t="str">
        <f t="shared" si="138"/>
        <v>JPY</v>
      </c>
      <c r="C1780" s="600" t="str">
        <f t="shared" si="138"/>
        <v>JPY 6M</v>
      </c>
      <c r="D1780" s="603"/>
      <c r="E1780" s="604"/>
      <c r="F1780" s="607" t="s">
        <v>24</v>
      </c>
      <c r="G1780" s="606">
        <v>-2350.2646554284502</v>
      </c>
    </row>
    <row r="1781" spans="1:7" ht="11.1" customHeight="1">
      <c r="A1781" s="600" t="str">
        <f t="shared" si="135"/>
        <v>JPY;JPY 6M;1M</v>
      </c>
      <c r="B1781" s="600" t="str">
        <f t="shared" ref="B1781:C1796" si="139">IF(ISBLANK(D1781),B1780,D1781)</f>
        <v>JPY</v>
      </c>
      <c r="C1781" s="600" t="str">
        <f t="shared" si="139"/>
        <v>JPY 6M</v>
      </c>
      <c r="D1781" s="603"/>
      <c r="E1781" s="604"/>
      <c r="F1781" s="607" t="s">
        <v>7</v>
      </c>
      <c r="G1781" s="611">
        <v>2263.0111959617402</v>
      </c>
    </row>
    <row r="1782" spans="1:7" ht="11.1" customHeight="1">
      <c r="A1782" s="600" t="str">
        <f t="shared" si="135"/>
        <v>JPY;JPY 6M;2M</v>
      </c>
      <c r="B1782" s="600" t="str">
        <f t="shared" si="139"/>
        <v>JPY</v>
      </c>
      <c r="C1782" s="600" t="str">
        <f t="shared" si="139"/>
        <v>JPY 6M</v>
      </c>
      <c r="D1782" s="603"/>
      <c r="E1782" s="604"/>
      <c r="F1782" s="607" t="s">
        <v>8</v>
      </c>
      <c r="G1782" s="606">
        <v>-1289.9184441172099</v>
      </c>
    </row>
    <row r="1783" spans="1:7" ht="11.1" customHeight="1">
      <c r="A1783" s="600" t="str">
        <f t="shared" si="135"/>
        <v>JPY;JPY 6M;3M</v>
      </c>
      <c r="B1783" s="600" t="str">
        <f t="shared" si="139"/>
        <v>JPY</v>
      </c>
      <c r="C1783" s="600" t="str">
        <f t="shared" si="139"/>
        <v>JPY 6M</v>
      </c>
      <c r="D1783" s="603"/>
      <c r="E1783" s="604"/>
      <c r="F1783" s="607" t="s">
        <v>25</v>
      </c>
      <c r="G1783" s="606">
        <v>-18910.4476252188</v>
      </c>
    </row>
    <row r="1784" spans="1:7" ht="11.1" customHeight="1">
      <c r="A1784" s="600" t="str">
        <f t="shared" si="135"/>
        <v>JPY;JPY 6M;4M</v>
      </c>
      <c r="B1784" s="600" t="str">
        <f t="shared" si="139"/>
        <v>JPY</v>
      </c>
      <c r="C1784" s="600" t="str">
        <f t="shared" si="139"/>
        <v>JPY 6M</v>
      </c>
      <c r="D1784" s="603"/>
      <c r="E1784" s="604"/>
      <c r="F1784" s="607" t="s">
        <v>26</v>
      </c>
      <c r="G1784" s="611">
        <v>28945.588822858299</v>
      </c>
    </row>
    <row r="1785" spans="1:7" ht="11.1" customHeight="1">
      <c r="A1785" s="600" t="str">
        <f t="shared" si="135"/>
        <v>JPY;JPY 6M;5M</v>
      </c>
      <c r="B1785" s="600" t="str">
        <f t="shared" si="139"/>
        <v>JPY</v>
      </c>
      <c r="C1785" s="600" t="str">
        <f t="shared" si="139"/>
        <v>JPY 6M</v>
      </c>
      <c r="D1785" s="603"/>
      <c r="E1785" s="604"/>
      <c r="F1785" s="607" t="s">
        <v>27</v>
      </c>
      <c r="G1785" s="611">
        <v>19131.708857613299</v>
      </c>
    </row>
    <row r="1786" spans="1:7" ht="11.1" customHeight="1">
      <c r="A1786" s="600" t="str">
        <f t="shared" si="135"/>
        <v>JPY;JPY 6M;6M</v>
      </c>
      <c r="B1786" s="600" t="str">
        <f t="shared" si="139"/>
        <v>JPY</v>
      </c>
      <c r="C1786" s="600" t="str">
        <f t="shared" si="139"/>
        <v>JPY 6M</v>
      </c>
      <c r="D1786" s="603"/>
      <c r="E1786" s="604"/>
      <c r="F1786" s="607" t="s">
        <v>28</v>
      </c>
      <c r="G1786" s="606">
        <v>-21745.219761567801</v>
      </c>
    </row>
    <row r="1787" spans="1:7" ht="11.1" customHeight="1">
      <c r="A1787" s="600" t="str">
        <f t="shared" si="135"/>
        <v>JPY;JPY 6M;1M-7M</v>
      </c>
      <c r="B1787" s="600" t="str">
        <f t="shared" si="139"/>
        <v>JPY</v>
      </c>
      <c r="C1787" s="600" t="str">
        <f t="shared" si="139"/>
        <v>JPY 6M</v>
      </c>
      <c r="D1787" s="603"/>
      <c r="E1787" s="604"/>
      <c r="F1787" s="607" t="s">
        <v>1221</v>
      </c>
      <c r="G1787" s="611">
        <v>21287.015875601301</v>
      </c>
    </row>
    <row r="1788" spans="1:7" ht="11.1" customHeight="1">
      <c r="A1788" s="600" t="str">
        <f t="shared" si="135"/>
        <v>JPY;JPY 6M;2M-8M</v>
      </c>
      <c r="B1788" s="600" t="str">
        <f t="shared" si="139"/>
        <v>JPY</v>
      </c>
      <c r="C1788" s="600" t="str">
        <f t="shared" si="139"/>
        <v>JPY 6M</v>
      </c>
      <c r="D1788" s="603"/>
      <c r="E1788" s="604"/>
      <c r="F1788" s="607" t="s">
        <v>1222</v>
      </c>
      <c r="G1788" s="606">
        <v>-837.10408566595004</v>
      </c>
    </row>
    <row r="1789" spans="1:7" ht="11.1" customHeight="1">
      <c r="A1789" s="600" t="str">
        <f t="shared" si="135"/>
        <v>JPY;JPY 6M;3M-9M</v>
      </c>
      <c r="B1789" s="600" t="str">
        <f t="shared" si="139"/>
        <v>JPY</v>
      </c>
      <c r="C1789" s="600" t="str">
        <f t="shared" si="139"/>
        <v>JPY 6M</v>
      </c>
      <c r="D1789" s="603"/>
      <c r="E1789" s="604"/>
      <c r="F1789" s="607" t="s">
        <v>1223</v>
      </c>
      <c r="G1789" s="611">
        <v>88.013538908900401</v>
      </c>
    </row>
    <row r="1790" spans="1:7" ht="11.1" customHeight="1">
      <c r="A1790" s="600" t="str">
        <f t="shared" si="135"/>
        <v>JPY;JPY 6M;4M-10M</v>
      </c>
      <c r="B1790" s="600" t="str">
        <f t="shared" si="139"/>
        <v>JPY</v>
      </c>
      <c r="C1790" s="600" t="str">
        <f t="shared" si="139"/>
        <v>JPY 6M</v>
      </c>
      <c r="D1790" s="603"/>
      <c r="E1790" s="604"/>
      <c r="F1790" s="607" t="s">
        <v>1224</v>
      </c>
      <c r="G1790" s="606">
        <v>-8265.9933894698897</v>
      </c>
    </row>
    <row r="1791" spans="1:7" ht="11.1" customHeight="1">
      <c r="A1791" s="600" t="str">
        <f t="shared" si="135"/>
        <v>JPY;JPY 6M;5M-11M</v>
      </c>
      <c r="B1791" s="600" t="str">
        <f t="shared" si="139"/>
        <v>JPY</v>
      </c>
      <c r="C1791" s="600" t="str">
        <f t="shared" si="139"/>
        <v>JPY 6M</v>
      </c>
      <c r="D1791" s="603"/>
      <c r="E1791" s="604"/>
      <c r="F1791" s="607" t="s">
        <v>1225</v>
      </c>
      <c r="G1791" s="611">
        <v>13586.436742674299</v>
      </c>
    </row>
    <row r="1792" spans="1:7" ht="11.1" customHeight="1">
      <c r="A1792" s="600" t="str">
        <f t="shared" si="135"/>
        <v>JPY;JPY 6M;6M-12M</v>
      </c>
      <c r="B1792" s="600" t="str">
        <f t="shared" si="139"/>
        <v>JPY</v>
      </c>
      <c r="C1792" s="600" t="str">
        <f t="shared" si="139"/>
        <v>JPY 6M</v>
      </c>
      <c r="D1792" s="603"/>
      <c r="E1792" s="604"/>
      <c r="F1792" s="607" t="s">
        <v>1194</v>
      </c>
      <c r="G1792" s="606">
        <v>-26605.5275513202</v>
      </c>
    </row>
    <row r="1793" spans="1:7" ht="11.1" customHeight="1">
      <c r="A1793" s="600" t="str">
        <f t="shared" si="135"/>
        <v>JPY;JPY 6M;18M</v>
      </c>
      <c r="B1793" s="600" t="str">
        <f t="shared" si="139"/>
        <v>JPY</v>
      </c>
      <c r="C1793" s="600" t="str">
        <f t="shared" si="139"/>
        <v>JPY 6M</v>
      </c>
      <c r="D1793" s="603"/>
      <c r="E1793" s="604"/>
      <c r="F1793" s="607" t="s">
        <v>54</v>
      </c>
      <c r="G1793" s="606">
        <v>-25221.727942133701</v>
      </c>
    </row>
    <row r="1794" spans="1:7" ht="11.1" customHeight="1">
      <c r="A1794" s="600" t="str">
        <f t="shared" si="135"/>
        <v>JPY;JPY 6M;2Y</v>
      </c>
      <c r="B1794" s="600" t="str">
        <f t="shared" si="139"/>
        <v>JPY</v>
      </c>
      <c r="C1794" s="600" t="str">
        <f t="shared" si="139"/>
        <v>JPY 6M</v>
      </c>
      <c r="D1794" s="603"/>
      <c r="E1794" s="604"/>
      <c r="F1794" s="607" t="s">
        <v>9</v>
      </c>
      <c r="G1794" s="611">
        <v>28996.476836742801</v>
      </c>
    </row>
    <row r="1795" spans="1:7" ht="11.1" customHeight="1">
      <c r="A1795" s="600" t="str">
        <f t="shared" si="135"/>
        <v>JPY;JPY 6M;3Y</v>
      </c>
      <c r="B1795" s="600" t="str">
        <f t="shared" si="139"/>
        <v>JPY</v>
      </c>
      <c r="C1795" s="600" t="str">
        <f t="shared" si="139"/>
        <v>JPY 6M</v>
      </c>
      <c r="D1795" s="603"/>
      <c r="E1795" s="604"/>
      <c r="F1795" s="607" t="s">
        <v>10</v>
      </c>
      <c r="G1795" s="606">
        <v>-155802.06832770701</v>
      </c>
    </row>
    <row r="1796" spans="1:7" ht="11.1" customHeight="1">
      <c r="A1796" s="600" t="str">
        <f t="shared" si="135"/>
        <v>JPY;JPY 6M;4Y</v>
      </c>
      <c r="B1796" s="600" t="str">
        <f t="shared" si="139"/>
        <v>JPY</v>
      </c>
      <c r="C1796" s="600" t="str">
        <f t="shared" si="139"/>
        <v>JPY 6M</v>
      </c>
      <c r="D1796" s="603"/>
      <c r="E1796" s="604"/>
      <c r="F1796" s="607" t="s">
        <v>11</v>
      </c>
      <c r="G1796" s="611">
        <v>130805.11315321601</v>
      </c>
    </row>
    <row r="1797" spans="1:7" ht="11.1" customHeight="1">
      <c r="A1797" s="600" t="str">
        <f t="shared" ref="A1797:A1860" si="140">B1797&amp;";"&amp;C1797&amp;";"&amp;F1797</f>
        <v>JPY;JPY 6M;5Y</v>
      </c>
      <c r="B1797" s="600" t="str">
        <f t="shared" ref="B1797:C1812" si="141">IF(ISBLANK(D1797),B1796,D1797)</f>
        <v>JPY</v>
      </c>
      <c r="C1797" s="600" t="str">
        <f t="shared" si="141"/>
        <v>JPY 6M</v>
      </c>
      <c r="D1797" s="603"/>
      <c r="E1797" s="604"/>
      <c r="F1797" s="607" t="s">
        <v>12</v>
      </c>
      <c r="G1797" s="611">
        <v>124078.537058815</v>
      </c>
    </row>
    <row r="1798" spans="1:7" ht="11.1" customHeight="1">
      <c r="A1798" s="600" t="str">
        <f t="shared" si="140"/>
        <v>JPY;JPY 6M;6Y</v>
      </c>
      <c r="B1798" s="600" t="str">
        <f t="shared" si="141"/>
        <v>JPY</v>
      </c>
      <c r="C1798" s="600" t="str">
        <f t="shared" si="141"/>
        <v>JPY 6M</v>
      </c>
      <c r="D1798" s="603"/>
      <c r="E1798" s="604"/>
      <c r="F1798" s="607" t="s">
        <v>13</v>
      </c>
      <c r="G1798" s="606">
        <v>-12423.2316145816</v>
      </c>
    </row>
    <row r="1799" spans="1:7" ht="11.1" customHeight="1">
      <c r="A1799" s="600" t="str">
        <f t="shared" si="140"/>
        <v>JPY;JPY 6M;7Y</v>
      </c>
      <c r="B1799" s="600" t="str">
        <f t="shared" si="141"/>
        <v>JPY</v>
      </c>
      <c r="C1799" s="600" t="str">
        <f t="shared" si="141"/>
        <v>JPY 6M</v>
      </c>
      <c r="D1799" s="603"/>
      <c r="E1799" s="604"/>
      <c r="F1799" s="607" t="s">
        <v>14</v>
      </c>
      <c r="G1799" s="611">
        <v>26.976107903704001</v>
      </c>
    </row>
    <row r="1800" spans="1:7" ht="11.1" customHeight="1">
      <c r="A1800" s="600" t="str">
        <f t="shared" si="140"/>
        <v>JPY;JPY 6M;8Y</v>
      </c>
      <c r="B1800" s="600" t="str">
        <f t="shared" si="141"/>
        <v>JPY</v>
      </c>
      <c r="C1800" s="600" t="str">
        <f t="shared" si="141"/>
        <v>JPY 6M</v>
      </c>
      <c r="D1800" s="603"/>
      <c r="E1800" s="604"/>
      <c r="F1800" s="607" t="s">
        <v>15</v>
      </c>
      <c r="G1800" s="606">
        <v>-0.19245464322841699</v>
      </c>
    </row>
    <row r="1801" spans="1:7" ht="11.1" customHeight="1">
      <c r="A1801" s="600" t="str">
        <f t="shared" si="140"/>
        <v>JPY;JPY 6M;9Y</v>
      </c>
      <c r="B1801" s="600" t="str">
        <f t="shared" si="141"/>
        <v>JPY</v>
      </c>
      <c r="C1801" s="600" t="str">
        <f t="shared" si="141"/>
        <v>JPY 6M</v>
      </c>
      <c r="D1801" s="603"/>
      <c r="E1801" s="604"/>
      <c r="F1801" s="607" t="s">
        <v>16</v>
      </c>
      <c r="G1801" s="606">
        <v>-1.5383587913211799E-6</v>
      </c>
    </row>
    <row r="1802" spans="1:7" ht="11.1" customHeight="1">
      <c r="A1802" s="600" t="str">
        <f t="shared" si="140"/>
        <v>JPY;JPY 6M;10Y</v>
      </c>
      <c r="B1802" s="600" t="str">
        <f t="shared" si="141"/>
        <v>JPY</v>
      </c>
      <c r="C1802" s="600" t="str">
        <f t="shared" si="141"/>
        <v>JPY 6M</v>
      </c>
      <c r="D1802" s="603"/>
      <c r="E1802" s="604"/>
      <c r="F1802" s="607" t="s">
        <v>17</v>
      </c>
      <c r="G1802" s="611">
        <v>0</v>
      </c>
    </row>
    <row r="1803" spans="1:7" ht="11.1" customHeight="1">
      <c r="A1803" s="600" t="str">
        <f t="shared" si="140"/>
        <v>JPY;JPY 6M;12Y</v>
      </c>
      <c r="B1803" s="600" t="str">
        <f t="shared" si="141"/>
        <v>JPY</v>
      </c>
      <c r="C1803" s="600" t="str">
        <f t="shared" si="141"/>
        <v>JPY 6M</v>
      </c>
      <c r="D1803" s="603"/>
      <c r="E1803" s="604"/>
      <c r="F1803" s="607" t="s">
        <v>18</v>
      </c>
      <c r="G1803" s="608">
        <v>0</v>
      </c>
    </row>
    <row r="1804" spans="1:7" ht="11.1" customHeight="1">
      <c r="A1804" s="600" t="str">
        <f t="shared" si="140"/>
        <v>JPY;JPY 6M;15Y</v>
      </c>
      <c r="B1804" s="600" t="str">
        <f t="shared" si="141"/>
        <v>JPY</v>
      </c>
      <c r="C1804" s="600" t="str">
        <f t="shared" si="141"/>
        <v>JPY 6M</v>
      </c>
      <c r="D1804" s="603"/>
      <c r="E1804" s="604"/>
      <c r="F1804" s="607" t="s">
        <v>19</v>
      </c>
      <c r="G1804" s="608">
        <v>0</v>
      </c>
    </row>
    <row r="1805" spans="1:7" ht="11.1" customHeight="1">
      <c r="A1805" s="600" t="str">
        <f t="shared" si="140"/>
        <v>JPY;JPY 6M;20Y</v>
      </c>
      <c r="B1805" s="600" t="str">
        <f t="shared" si="141"/>
        <v>JPY</v>
      </c>
      <c r="C1805" s="600" t="str">
        <f t="shared" si="141"/>
        <v>JPY 6M</v>
      </c>
      <c r="D1805" s="603"/>
      <c r="E1805" s="604"/>
      <c r="F1805" s="607" t="s">
        <v>20</v>
      </c>
      <c r="G1805" s="608">
        <v>0</v>
      </c>
    </row>
    <row r="1806" spans="1:7" ht="11.1" customHeight="1">
      <c r="A1806" s="600" t="str">
        <f t="shared" si="140"/>
        <v>JPY;JPY 6M;25Y</v>
      </c>
      <c r="B1806" s="600" t="str">
        <f t="shared" si="141"/>
        <v>JPY</v>
      </c>
      <c r="C1806" s="600" t="str">
        <f t="shared" si="141"/>
        <v>JPY 6M</v>
      </c>
      <c r="D1806" s="603"/>
      <c r="E1806" s="604"/>
      <c r="F1806" s="607" t="s">
        <v>21</v>
      </c>
      <c r="G1806" s="608">
        <v>0</v>
      </c>
    </row>
    <row r="1807" spans="1:7" ht="11.1" customHeight="1">
      <c r="A1807" s="600" t="str">
        <f t="shared" si="140"/>
        <v>JPY;JPY 6M;30Y</v>
      </c>
      <c r="B1807" s="600" t="str">
        <f t="shared" si="141"/>
        <v>JPY</v>
      </c>
      <c r="C1807" s="600" t="str">
        <f t="shared" si="141"/>
        <v>JPY 6M</v>
      </c>
      <c r="D1807" s="603"/>
      <c r="E1807" s="604"/>
      <c r="F1807" s="607" t="s">
        <v>22</v>
      </c>
      <c r="G1807" s="608">
        <v>0</v>
      </c>
    </row>
    <row r="1808" spans="1:7" ht="11.1" customHeight="1">
      <c r="A1808" s="600" t="str">
        <f t="shared" si="140"/>
        <v>JPY;JPY FOREX;Total JPY FOREX</v>
      </c>
      <c r="B1808" s="600" t="str">
        <f t="shared" si="141"/>
        <v>JPY</v>
      </c>
      <c r="C1808" s="600" t="str">
        <f t="shared" si="141"/>
        <v>JPY FOREX</v>
      </c>
      <c r="D1808" s="603"/>
      <c r="E1808" s="604" t="s">
        <v>1267</v>
      </c>
      <c r="F1808" s="605" t="s">
        <v>1268</v>
      </c>
      <c r="G1808" s="606">
        <v>-622.325595377946</v>
      </c>
    </row>
    <row r="1809" spans="1:7" ht="11.1" customHeight="1">
      <c r="A1809" s="600" t="str">
        <f t="shared" si="140"/>
        <v>JPY;JPY FOREX;O/N</v>
      </c>
      <c r="B1809" s="600" t="str">
        <f t="shared" si="141"/>
        <v>JPY</v>
      </c>
      <c r="C1809" s="600" t="str">
        <f t="shared" si="141"/>
        <v>JPY FOREX</v>
      </c>
      <c r="D1809" s="603"/>
      <c r="E1809" s="604"/>
      <c r="F1809" s="607" t="s">
        <v>3</v>
      </c>
      <c r="G1809" s="606">
        <v>-466.73600183398599</v>
      </c>
    </row>
    <row r="1810" spans="1:7" ht="11.1" customHeight="1">
      <c r="A1810" s="600" t="str">
        <f t="shared" si="140"/>
        <v>JPY;JPY FOREX;T/N</v>
      </c>
      <c r="B1810" s="600" t="str">
        <f t="shared" si="141"/>
        <v>JPY</v>
      </c>
      <c r="C1810" s="600" t="str">
        <f t="shared" si="141"/>
        <v>JPY FOREX</v>
      </c>
      <c r="D1810" s="603"/>
      <c r="E1810" s="604"/>
      <c r="F1810" s="607" t="s">
        <v>4</v>
      </c>
      <c r="G1810" s="606">
        <v>-155.58959354395901</v>
      </c>
    </row>
    <row r="1811" spans="1:7" ht="11.1" customHeight="1">
      <c r="A1811" s="600" t="str">
        <f t="shared" si="140"/>
        <v>JPY;JPY FOREX;1W</v>
      </c>
      <c r="B1811" s="600" t="str">
        <f t="shared" si="141"/>
        <v>JPY</v>
      </c>
      <c r="C1811" s="600" t="str">
        <f t="shared" si="141"/>
        <v>JPY FOREX</v>
      </c>
      <c r="D1811" s="603"/>
      <c r="E1811" s="604"/>
      <c r="F1811" s="607" t="s">
        <v>5</v>
      </c>
      <c r="G1811" s="608">
        <v>0</v>
      </c>
    </row>
    <row r="1812" spans="1:7" ht="11.1" customHeight="1">
      <c r="A1812" s="600" t="str">
        <f t="shared" si="140"/>
        <v>JPY;JPY FOREX;2W</v>
      </c>
      <c r="B1812" s="600" t="str">
        <f t="shared" si="141"/>
        <v>JPY</v>
      </c>
      <c r="C1812" s="600" t="str">
        <f t="shared" si="141"/>
        <v>JPY FOREX</v>
      </c>
      <c r="D1812" s="603"/>
      <c r="E1812" s="604"/>
      <c r="F1812" s="607" t="s">
        <v>6</v>
      </c>
      <c r="G1812" s="608">
        <v>0</v>
      </c>
    </row>
    <row r="1813" spans="1:7" ht="11.1" customHeight="1">
      <c r="A1813" s="600" t="str">
        <f t="shared" si="140"/>
        <v>JPY;JPY FOREX;3W</v>
      </c>
      <c r="B1813" s="600" t="str">
        <f t="shared" ref="B1813:C1828" si="142">IF(ISBLANK(D1813),B1812,D1813)</f>
        <v>JPY</v>
      </c>
      <c r="C1813" s="600" t="str">
        <f t="shared" si="142"/>
        <v>JPY FOREX</v>
      </c>
      <c r="D1813" s="603"/>
      <c r="E1813" s="604"/>
      <c r="F1813" s="607" t="s">
        <v>24</v>
      </c>
      <c r="G1813" s="608">
        <v>0</v>
      </c>
    </row>
    <row r="1814" spans="1:7" ht="11.1" customHeight="1">
      <c r="A1814" s="600" t="str">
        <f t="shared" si="140"/>
        <v>JPY;JPY FOREX;1M</v>
      </c>
      <c r="B1814" s="600" t="str">
        <f t="shared" si="142"/>
        <v>JPY</v>
      </c>
      <c r="C1814" s="600" t="str">
        <f t="shared" si="142"/>
        <v>JPY FOREX</v>
      </c>
      <c r="D1814" s="603"/>
      <c r="E1814" s="604"/>
      <c r="F1814" s="607" t="s">
        <v>7</v>
      </c>
      <c r="G1814" s="608">
        <v>0</v>
      </c>
    </row>
    <row r="1815" spans="1:7" ht="11.1" customHeight="1">
      <c r="A1815" s="600" t="str">
        <f t="shared" si="140"/>
        <v>JPY;JPY FOREX;2M</v>
      </c>
      <c r="B1815" s="600" t="str">
        <f t="shared" si="142"/>
        <v>JPY</v>
      </c>
      <c r="C1815" s="600" t="str">
        <f t="shared" si="142"/>
        <v>JPY FOREX</v>
      </c>
      <c r="D1815" s="603"/>
      <c r="E1815" s="604"/>
      <c r="F1815" s="607" t="s">
        <v>8</v>
      </c>
      <c r="G1815" s="608">
        <v>0</v>
      </c>
    </row>
    <row r="1816" spans="1:7" ht="11.1" customHeight="1">
      <c r="A1816" s="600" t="str">
        <f t="shared" si="140"/>
        <v>JPY;JPY FOREX;3M</v>
      </c>
      <c r="B1816" s="600" t="str">
        <f t="shared" si="142"/>
        <v>JPY</v>
      </c>
      <c r="C1816" s="600" t="str">
        <f t="shared" si="142"/>
        <v>JPY FOREX</v>
      </c>
      <c r="D1816" s="603"/>
      <c r="E1816" s="604"/>
      <c r="F1816" s="607" t="s">
        <v>25</v>
      </c>
      <c r="G1816" s="608">
        <v>0</v>
      </c>
    </row>
    <row r="1817" spans="1:7" ht="11.1" customHeight="1">
      <c r="A1817" s="600" t="str">
        <f t="shared" si="140"/>
        <v>JPY;JPY FOREX;4M</v>
      </c>
      <c r="B1817" s="600" t="str">
        <f t="shared" si="142"/>
        <v>JPY</v>
      </c>
      <c r="C1817" s="600" t="str">
        <f t="shared" si="142"/>
        <v>JPY FOREX</v>
      </c>
      <c r="D1817" s="603"/>
      <c r="E1817" s="604"/>
      <c r="F1817" s="607" t="s">
        <v>26</v>
      </c>
      <c r="G1817" s="608">
        <v>0</v>
      </c>
    </row>
    <row r="1818" spans="1:7" ht="11.1" customHeight="1">
      <c r="A1818" s="600" t="str">
        <f t="shared" si="140"/>
        <v>JPY;JPY FOREX;5M</v>
      </c>
      <c r="B1818" s="600" t="str">
        <f t="shared" si="142"/>
        <v>JPY</v>
      </c>
      <c r="C1818" s="600" t="str">
        <f t="shared" si="142"/>
        <v>JPY FOREX</v>
      </c>
      <c r="D1818" s="603"/>
      <c r="E1818" s="604"/>
      <c r="F1818" s="607" t="s">
        <v>27</v>
      </c>
      <c r="G1818" s="608">
        <v>0</v>
      </c>
    </row>
    <row r="1819" spans="1:7" ht="11.1" customHeight="1">
      <c r="A1819" s="600" t="str">
        <f t="shared" si="140"/>
        <v>JPY;JPY FOREX;6M</v>
      </c>
      <c r="B1819" s="600" t="str">
        <f t="shared" si="142"/>
        <v>JPY</v>
      </c>
      <c r="C1819" s="600" t="str">
        <f t="shared" si="142"/>
        <v>JPY FOREX</v>
      </c>
      <c r="D1819" s="603"/>
      <c r="E1819" s="604"/>
      <c r="F1819" s="607" t="s">
        <v>28</v>
      </c>
      <c r="G1819" s="608">
        <v>0</v>
      </c>
    </row>
    <row r="1820" spans="1:7" ht="11.1" customHeight="1">
      <c r="A1820" s="600" t="str">
        <f t="shared" si="140"/>
        <v>JPY;JPY FOREX;7M</v>
      </c>
      <c r="B1820" s="600" t="str">
        <f t="shared" si="142"/>
        <v>JPY</v>
      </c>
      <c r="C1820" s="600" t="str">
        <f t="shared" si="142"/>
        <v>JPY FOREX</v>
      </c>
      <c r="D1820" s="603"/>
      <c r="E1820" s="604"/>
      <c r="F1820" s="607" t="s">
        <v>29</v>
      </c>
      <c r="G1820" s="608">
        <v>0</v>
      </c>
    </row>
    <row r="1821" spans="1:7" ht="11.1" customHeight="1">
      <c r="A1821" s="600" t="str">
        <f t="shared" si="140"/>
        <v>JPY;JPY FOREX;8M</v>
      </c>
      <c r="B1821" s="600" t="str">
        <f t="shared" si="142"/>
        <v>JPY</v>
      </c>
      <c r="C1821" s="600" t="str">
        <f t="shared" si="142"/>
        <v>JPY FOREX</v>
      </c>
      <c r="D1821" s="603"/>
      <c r="E1821" s="604"/>
      <c r="F1821" s="607" t="s">
        <v>30</v>
      </c>
      <c r="G1821" s="608">
        <v>0</v>
      </c>
    </row>
    <row r="1822" spans="1:7" ht="11.1" customHeight="1">
      <c r="A1822" s="600" t="str">
        <f t="shared" si="140"/>
        <v>JPY;JPY FOREX;9M</v>
      </c>
      <c r="B1822" s="600" t="str">
        <f t="shared" si="142"/>
        <v>JPY</v>
      </c>
      <c r="C1822" s="600" t="str">
        <f t="shared" si="142"/>
        <v>JPY FOREX</v>
      </c>
      <c r="D1822" s="603"/>
      <c r="E1822" s="604"/>
      <c r="F1822" s="607" t="s">
        <v>49</v>
      </c>
      <c r="G1822" s="608">
        <v>0</v>
      </c>
    </row>
    <row r="1823" spans="1:7" ht="11.1" customHeight="1">
      <c r="A1823" s="600" t="str">
        <f t="shared" si="140"/>
        <v>JPY;JPY FOREX;10M</v>
      </c>
      <c r="B1823" s="600" t="str">
        <f t="shared" si="142"/>
        <v>JPY</v>
      </c>
      <c r="C1823" s="600" t="str">
        <f t="shared" si="142"/>
        <v>JPY FOREX</v>
      </c>
      <c r="D1823" s="603"/>
      <c r="E1823" s="604"/>
      <c r="F1823" s="607" t="s">
        <v>50</v>
      </c>
      <c r="G1823" s="608">
        <v>0</v>
      </c>
    </row>
    <row r="1824" spans="1:7" ht="11.1" customHeight="1">
      <c r="A1824" s="600" t="str">
        <f t="shared" si="140"/>
        <v>JPY;JPY FOREX;11M</v>
      </c>
      <c r="B1824" s="600" t="str">
        <f t="shared" si="142"/>
        <v>JPY</v>
      </c>
      <c r="C1824" s="600" t="str">
        <f t="shared" si="142"/>
        <v>JPY FOREX</v>
      </c>
      <c r="D1824" s="603"/>
      <c r="E1824" s="604"/>
      <c r="F1824" s="607" t="s">
        <v>51</v>
      </c>
      <c r="G1824" s="608">
        <v>0</v>
      </c>
    </row>
    <row r="1825" spans="1:7" ht="11.1" customHeight="1">
      <c r="A1825" s="600" t="str">
        <f t="shared" si="140"/>
        <v>JPY;JPY FOREX;12M</v>
      </c>
      <c r="B1825" s="600" t="str">
        <f t="shared" si="142"/>
        <v>JPY</v>
      </c>
      <c r="C1825" s="600" t="str">
        <f t="shared" si="142"/>
        <v>JPY FOREX</v>
      </c>
      <c r="D1825" s="603"/>
      <c r="E1825" s="604"/>
      <c r="F1825" s="607" t="s">
        <v>52</v>
      </c>
      <c r="G1825" s="608">
        <v>0</v>
      </c>
    </row>
    <row r="1826" spans="1:7" ht="11.1" customHeight="1">
      <c r="A1826" s="600" t="str">
        <f t="shared" si="140"/>
        <v>JPY;JPY FOREX;15M</v>
      </c>
      <c r="B1826" s="600" t="str">
        <f t="shared" si="142"/>
        <v>JPY</v>
      </c>
      <c r="C1826" s="600" t="str">
        <f t="shared" si="142"/>
        <v>JPY FOREX</v>
      </c>
      <c r="D1826" s="603"/>
      <c r="E1826" s="604"/>
      <c r="F1826" s="607" t="s">
        <v>53</v>
      </c>
      <c r="G1826" s="608">
        <v>0</v>
      </c>
    </row>
    <row r="1827" spans="1:7" ht="11.1" customHeight="1">
      <c r="A1827" s="600" t="str">
        <f t="shared" si="140"/>
        <v>JPY;JPY FOREX;18M</v>
      </c>
      <c r="B1827" s="600" t="str">
        <f t="shared" si="142"/>
        <v>JPY</v>
      </c>
      <c r="C1827" s="600" t="str">
        <f t="shared" si="142"/>
        <v>JPY FOREX</v>
      </c>
      <c r="D1827" s="603"/>
      <c r="E1827" s="604"/>
      <c r="F1827" s="607" t="s">
        <v>54</v>
      </c>
      <c r="G1827" s="608">
        <v>0</v>
      </c>
    </row>
    <row r="1828" spans="1:7" ht="11.1" customHeight="1">
      <c r="A1828" s="600" t="str">
        <f t="shared" si="140"/>
        <v>JPY;JPY FOREX;24M</v>
      </c>
      <c r="B1828" s="600" t="str">
        <f t="shared" si="142"/>
        <v>JPY</v>
      </c>
      <c r="C1828" s="600" t="str">
        <f t="shared" si="142"/>
        <v>JPY FOREX</v>
      </c>
      <c r="D1828" s="603"/>
      <c r="E1828" s="604"/>
      <c r="F1828" s="607" t="s">
        <v>659</v>
      </c>
      <c r="G1828" s="608">
        <v>0</v>
      </c>
    </row>
    <row r="1829" spans="1:7" ht="11.1" customHeight="1">
      <c r="A1829" s="600" t="str">
        <f t="shared" si="140"/>
        <v>JPY;JPY FOREX;3Y</v>
      </c>
      <c r="B1829" s="600" t="str">
        <f t="shared" ref="B1829:C1844" si="143">IF(ISBLANK(D1829),B1828,D1829)</f>
        <v>JPY</v>
      </c>
      <c r="C1829" s="600" t="str">
        <f t="shared" si="143"/>
        <v>JPY FOREX</v>
      </c>
      <c r="D1829" s="603"/>
      <c r="E1829" s="604"/>
      <c r="F1829" s="607" t="s">
        <v>10</v>
      </c>
      <c r="G1829" s="608">
        <v>0</v>
      </c>
    </row>
    <row r="1830" spans="1:7" ht="11.1" customHeight="1">
      <c r="A1830" s="600" t="str">
        <f t="shared" si="140"/>
        <v>JPY;JPY FOREX;4Y</v>
      </c>
      <c r="B1830" s="600" t="str">
        <f t="shared" si="143"/>
        <v>JPY</v>
      </c>
      <c r="C1830" s="600" t="str">
        <f t="shared" si="143"/>
        <v>JPY FOREX</v>
      </c>
      <c r="D1830" s="603"/>
      <c r="E1830" s="604"/>
      <c r="F1830" s="607" t="s">
        <v>11</v>
      </c>
      <c r="G1830" s="608">
        <v>0</v>
      </c>
    </row>
    <row r="1831" spans="1:7" ht="11.1" customHeight="1">
      <c r="A1831" s="600" t="str">
        <f t="shared" si="140"/>
        <v>JPY;JPY FOREX;5Y</v>
      </c>
      <c r="B1831" s="600" t="str">
        <f t="shared" si="143"/>
        <v>JPY</v>
      </c>
      <c r="C1831" s="600" t="str">
        <f t="shared" si="143"/>
        <v>JPY FOREX</v>
      </c>
      <c r="D1831" s="603"/>
      <c r="E1831" s="604"/>
      <c r="F1831" s="607" t="s">
        <v>12</v>
      </c>
      <c r="G1831" s="608">
        <v>0</v>
      </c>
    </row>
    <row r="1832" spans="1:7" ht="11.1" customHeight="1">
      <c r="A1832" s="600" t="str">
        <f t="shared" si="140"/>
        <v>JPY;JPY FOREX;6Y</v>
      </c>
      <c r="B1832" s="600" t="str">
        <f t="shared" si="143"/>
        <v>JPY</v>
      </c>
      <c r="C1832" s="600" t="str">
        <f t="shared" si="143"/>
        <v>JPY FOREX</v>
      </c>
      <c r="D1832" s="603"/>
      <c r="E1832" s="604"/>
      <c r="F1832" s="607" t="s">
        <v>13</v>
      </c>
      <c r="G1832" s="608">
        <v>0</v>
      </c>
    </row>
    <row r="1833" spans="1:7" ht="11.1" customHeight="1">
      <c r="A1833" s="600" t="str">
        <f t="shared" si="140"/>
        <v>JPY;JPY FOREX;7Y</v>
      </c>
      <c r="B1833" s="600" t="str">
        <f t="shared" si="143"/>
        <v>JPY</v>
      </c>
      <c r="C1833" s="600" t="str">
        <f t="shared" si="143"/>
        <v>JPY FOREX</v>
      </c>
      <c r="D1833" s="603"/>
      <c r="E1833" s="604"/>
      <c r="F1833" s="607" t="s">
        <v>14</v>
      </c>
      <c r="G1833" s="608">
        <v>0</v>
      </c>
    </row>
    <row r="1834" spans="1:7" ht="11.1" customHeight="1">
      <c r="A1834" s="600" t="str">
        <f t="shared" si="140"/>
        <v>JPY;JPY FOREX;8Y</v>
      </c>
      <c r="B1834" s="600" t="str">
        <f t="shared" si="143"/>
        <v>JPY</v>
      </c>
      <c r="C1834" s="600" t="str">
        <f t="shared" si="143"/>
        <v>JPY FOREX</v>
      </c>
      <c r="D1834" s="603"/>
      <c r="E1834" s="604"/>
      <c r="F1834" s="607" t="s">
        <v>15</v>
      </c>
      <c r="G1834" s="608">
        <v>0</v>
      </c>
    </row>
    <row r="1835" spans="1:7" ht="11.1" customHeight="1">
      <c r="A1835" s="600" t="str">
        <f t="shared" si="140"/>
        <v>JPY;JPY FOREX;9Y</v>
      </c>
      <c r="B1835" s="600" t="str">
        <f t="shared" si="143"/>
        <v>JPY</v>
      </c>
      <c r="C1835" s="600" t="str">
        <f t="shared" si="143"/>
        <v>JPY FOREX</v>
      </c>
      <c r="D1835" s="603"/>
      <c r="E1835" s="604"/>
      <c r="F1835" s="607" t="s">
        <v>16</v>
      </c>
      <c r="G1835" s="608">
        <v>0</v>
      </c>
    </row>
    <row r="1836" spans="1:7" ht="11.1" customHeight="1">
      <c r="A1836" s="600" t="str">
        <f t="shared" si="140"/>
        <v>JPY;JPY FOREX;10Y</v>
      </c>
      <c r="B1836" s="600" t="str">
        <f t="shared" si="143"/>
        <v>JPY</v>
      </c>
      <c r="C1836" s="600" t="str">
        <f t="shared" si="143"/>
        <v>JPY FOREX</v>
      </c>
      <c r="D1836" s="603"/>
      <c r="E1836" s="604"/>
      <c r="F1836" s="607" t="s">
        <v>17</v>
      </c>
      <c r="G1836" s="608">
        <v>0</v>
      </c>
    </row>
    <row r="1837" spans="1:7" ht="11.1" customHeight="1">
      <c r="A1837" s="600" t="str">
        <f t="shared" si="140"/>
        <v>JPY;JPY FOREX;11Y</v>
      </c>
      <c r="B1837" s="600" t="str">
        <f t="shared" si="143"/>
        <v>JPY</v>
      </c>
      <c r="C1837" s="600" t="str">
        <f t="shared" si="143"/>
        <v>JPY FOREX</v>
      </c>
      <c r="D1837" s="603"/>
      <c r="E1837" s="604"/>
      <c r="F1837" s="607" t="s">
        <v>31</v>
      </c>
      <c r="G1837" s="608">
        <v>0</v>
      </c>
    </row>
    <row r="1838" spans="1:7" ht="11.1" customHeight="1">
      <c r="A1838" s="600" t="str">
        <f t="shared" si="140"/>
        <v>JPY;JPY FOREX;12Y</v>
      </c>
      <c r="B1838" s="600" t="str">
        <f t="shared" si="143"/>
        <v>JPY</v>
      </c>
      <c r="C1838" s="600" t="str">
        <f t="shared" si="143"/>
        <v>JPY FOREX</v>
      </c>
      <c r="D1838" s="603"/>
      <c r="E1838" s="604"/>
      <c r="F1838" s="607" t="s">
        <v>18</v>
      </c>
      <c r="G1838" s="608">
        <v>0</v>
      </c>
    </row>
    <row r="1839" spans="1:7" ht="11.1" customHeight="1">
      <c r="A1839" s="600" t="str">
        <f t="shared" si="140"/>
        <v>JPY;JPY FOREX;13Y</v>
      </c>
      <c r="B1839" s="600" t="str">
        <f t="shared" si="143"/>
        <v>JPY</v>
      </c>
      <c r="C1839" s="600" t="str">
        <f t="shared" si="143"/>
        <v>JPY FOREX</v>
      </c>
      <c r="D1839" s="603"/>
      <c r="E1839" s="604"/>
      <c r="F1839" s="607" t="s">
        <v>32</v>
      </c>
      <c r="G1839" s="608">
        <v>0</v>
      </c>
    </row>
    <row r="1840" spans="1:7" ht="11.1" customHeight="1">
      <c r="A1840" s="600" t="str">
        <f t="shared" si="140"/>
        <v>JPY;JPY FOREX;14Y</v>
      </c>
      <c r="B1840" s="600" t="str">
        <f t="shared" si="143"/>
        <v>JPY</v>
      </c>
      <c r="C1840" s="600" t="str">
        <f t="shared" si="143"/>
        <v>JPY FOREX</v>
      </c>
      <c r="D1840" s="603"/>
      <c r="E1840" s="604"/>
      <c r="F1840" s="607" t="s">
        <v>33</v>
      </c>
      <c r="G1840" s="608">
        <v>0</v>
      </c>
    </row>
    <row r="1841" spans="1:7" ht="11.1" customHeight="1">
      <c r="A1841" s="600" t="str">
        <f t="shared" si="140"/>
        <v>JPY;JPY FOREX;15Y</v>
      </c>
      <c r="B1841" s="600" t="str">
        <f t="shared" si="143"/>
        <v>JPY</v>
      </c>
      <c r="C1841" s="600" t="str">
        <f t="shared" si="143"/>
        <v>JPY FOREX</v>
      </c>
      <c r="D1841" s="603"/>
      <c r="E1841" s="604"/>
      <c r="F1841" s="607" t="s">
        <v>19</v>
      </c>
      <c r="G1841" s="608">
        <v>0</v>
      </c>
    </row>
    <row r="1842" spans="1:7" ht="11.1" customHeight="1">
      <c r="A1842" s="600" t="str">
        <f t="shared" si="140"/>
        <v>JPY;JPY FOREX;16Y</v>
      </c>
      <c r="B1842" s="600" t="str">
        <f t="shared" si="143"/>
        <v>JPY</v>
      </c>
      <c r="C1842" s="600" t="str">
        <f t="shared" si="143"/>
        <v>JPY FOREX</v>
      </c>
      <c r="D1842" s="603"/>
      <c r="E1842" s="604"/>
      <c r="F1842" s="607" t="s">
        <v>34</v>
      </c>
      <c r="G1842" s="608">
        <v>0</v>
      </c>
    </row>
    <row r="1843" spans="1:7" ht="11.1" customHeight="1">
      <c r="A1843" s="600" t="str">
        <f t="shared" si="140"/>
        <v>JPY;JPY FOREX;17Y</v>
      </c>
      <c r="B1843" s="600" t="str">
        <f t="shared" si="143"/>
        <v>JPY</v>
      </c>
      <c r="C1843" s="600" t="str">
        <f t="shared" si="143"/>
        <v>JPY FOREX</v>
      </c>
      <c r="D1843" s="603"/>
      <c r="E1843" s="604"/>
      <c r="F1843" s="607" t="s">
        <v>35</v>
      </c>
      <c r="G1843" s="608">
        <v>0</v>
      </c>
    </row>
    <row r="1844" spans="1:7" ht="11.1" customHeight="1">
      <c r="A1844" s="600" t="str">
        <f t="shared" si="140"/>
        <v>JPY;JPY FOREX;18Y</v>
      </c>
      <c r="B1844" s="600" t="str">
        <f t="shared" si="143"/>
        <v>JPY</v>
      </c>
      <c r="C1844" s="600" t="str">
        <f t="shared" si="143"/>
        <v>JPY FOREX</v>
      </c>
      <c r="D1844" s="603"/>
      <c r="E1844" s="604"/>
      <c r="F1844" s="607" t="s">
        <v>36</v>
      </c>
      <c r="G1844" s="608">
        <v>0</v>
      </c>
    </row>
    <row r="1845" spans="1:7" ht="11.1" customHeight="1">
      <c r="A1845" s="600" t="str">
        <f t="shared" si="140"/>
        <v>JPY;JPY FOREX;19Y</v>
      </c>
      <c r="B1845" s="600" t="str">
        <f t="shared" ref="B1845:C1860" si="144">IF(ISBLANK(D1845),B1844,D1845)</f>
        <v>JPY</v>
      </c>
      <c r="C1845" s="600" t="str">
        <f t="shared" si="144"/>
        <v>JPY FOREX</v>
      </c>
      <c r="D1845" s="603"/>
      <c r="E1845" s="604"/>
      <c r="F1845" s="607" t="s">
        <v>37</v>
      </c>
      <c r="G1845" s="608">
        <v>0</v>
      </c>
    </row>
    <row r="1846" spans="1:7" ht="11.1" customHeight="1">
      <c r="A1846" s="600" t="str">
        <f t="shared" si="140"/>
        <v>JPY;JPY FOREX;20Y</v>
      </c>
      <c r="B1846" s="600" t="str">
        <f t="shared" si="144"/>
        <v>JPY</v>
      </c>
      <c r="C1846" s="600" t="str">
        <f t="shared" si="144"/>
        <v>JPY FOREX</v>
      </c>
      <c r="D1846" s="603"/>
      <c r="E1846" s="604"/>
      <c r="F1846" s="607" t="s">
        <v>20</v>
      </c>
      <c r="G1846" s="608">
        <v>0</v>
      </c>
    </row>
    <row r="1847" spans="1:7" ht="11.1" customHeight="1">
      <c r="A1847" s="600" t="str">
        <f t="shared" si="140"/>
        <v>JPY;JPY FOREX;21Y</v>
      </c>
      <c r="B1847" s="600" t="str">
        <f t="shared" si="144"/>
        <v>JPY</v>
      </c>
      <c r="C1847" s="600" t="str">
        <f t="shared" si="144"/>
        <v>JPY FOREX</v>
      </c>
      <c r="D1847" s="603"/>
      <c r="E1847" s="604"/>
      <c r="F1847" s="607" t="s">
        <v>38</v>
      </c>
      <c r="G1847" s="608">
        <v>0</v>
      </c>
    </row>
    <row r="1848" spans="1:7" ht="11.1" customHeight="1">
      <c r="A1848" s="600" t="str">
        <f t="shared" si="140"/>
        <v>JPY;JPY FOREX;22Y</v>
      </c>
      <c r="B1848" s="600" t="str">
        <f t="shared" si="144"/>
        <v>JPY</v>
      </c>
      <c r="C1848" s="600" t="str">
        <f t="shared" si="144"/>
        <v>JPY FOREX</v>
      </c>
      <c r="D1848" s="603"/>
      <c r="E1848" s="604"/>
      <c r="F1848" s="607" t="s">
        <v>39</v>
      </c>
      <c r="G1848" s="608">
        <v>0</v>
      </c>
    </row>
    <row r="1849" spans="1:7" ht="11.1" customHeight="1">
      <c r="A1849" s="600" t="str">
        <f t="shared" si="140"/>
        <v>JPY;JPY FOREX;23Y</v>
      </c>
      <c r="B1849" s="600" t="str">
        <f t="shared" si="144"/>
        <v>JPY</v>
      </c>
      <c r="C1849" s="600" t="str">
        <f t="shared" si="144"/>
        <v>JPY FOREX</v>
      </c>
      <c r="D1849" s="603"/>
      <c r="E1849" s="604"/>
      <c r="F1849" s="607" t="s">
        <v>40</v>
      </c>
      <c r="G1849" s="608">
        <v>0</v>
      </c>
    </row>
    <row r="1850" spans="1:7" ht="11.1" customHeight="1">
      <c r="A1850" s="600" t="str">
        <f t="shared" si="140"/>
        <v>JPY;JPY FOREX;24Y</v>
      </c>
      <c r="B1850" s="600" t="str">
        <f t="shared" si="144"/>
        <v>JPY</v>
      </c>
      <c r="C1850" s="600" t="str">
        <f t="shared" si="144"/>
        <v>JPY FOREX</v>
      </c>
      <c r="D1850" s="603"/>
      <c r="E1850" s="604"/>
      <c r="F1850" s="607" t="s">
        <v>41</v>
      </c>
      <c r="G1850" s="608">
        <v>0</v>
      </c>
    </row>
    <row r="1851" spans="1:7" ht="11.1" customHeight="1">
      <c r="A1851" s="600" t="str">
        <f t="shared" si="140"/>
        <v>JPY;JPY FOREX;25Y</v>
      </c>
      <c r="B1851" s="600" t="str">
        <f t="shared" si="144"/>
        <v>JPY</v>
      </c>
      <c r="C1851" s="600" t="str">
        <f t="shared" si="144"/>
        <v>JPY FOREX</v>
      </c>
      <c r="D1851" s="603"/>
      <c r="E1851" s="604"/>
      <c r="F1851" s="607" t="s">
        <v>21</v>
      </c>
      <c r="G1851" s="608">
        <v>0</v>
      </c>
    </row>
    <row r="1852" spans="1:7" ht="11.1" customHeight="1">
      <c r="A1852" s="600" t="str">
        <f t="shared" si="140"/>
        <v>JPY;JPY FOREX;26Y</v>
      </c>
      <c r="B1852" s="600" t="str">
        <f t="shared" si="144"/>
        <v>JPY</v>
      </c>
      <c r="C1852" s="600" t="str">
        <f t="shared" si="144"/>
        <v>JPY FOREX</v>
      </c>
      <c r="D1852" s="603"/>
      <c r="E1852" s="604"/>
      <c r="F1852" s="607" t="s">
        <v>42</v>
      </c>
      <c r="G1852" s="608">
        <v>0</v>
      </c>
    </row>
    <row r="1853" spans="1:7" ht="11.1" customHeight="1">
      <c r="A1853" s="600" t="str">
        <f t="shared" si="140"/>
        <v>JPY;JPY FOREX;27Y</v>
      </c>
      <c r="B1853" s="600" t="str">
        <f t="shared" si="144"/>
        <v>JPY</v>
      </c>
      <c r="C1853" s="600" t="str">
        <f t="shared" si="144"/>
        <v>JPY FOREX</v>
      </c>
      <c r="D1853" s="603"/>
      <c r="E1853" s="604"/>
      <c r="F1853" s="607" t="s">
        <v>43</v>
      </c>
      <c r="G1853" s="608">
        <v>0</v>
      </c>
    </row>
    <row r="1854" spans="1:7" ht="11.1" customHeight="1">
      <c r="A1854" s="600" t="str">
        <f t="shared" si="140"/>
        <v>JPY;JPY FOREX;28Y</v>
      </c>
      <c r="B1854" s="600" t="str">
        <f t="shared" si="144"/>
        <v>JPY</v>
      </c>
      <c r="C1854" s="600" t="str">
        <f t="shared" si="144"/>
        <v>JPY FOREX</v>
      </c>
      <c r="D1854" s="603"/>
      <c r="E1854" s="604"/>
      <c r="F1854" s="607" t="s">
        <v>44</v>
      </c>
      <c r="G1854" s="608">
        <v>0</v>
      </c>
    </row>
    <row r="1855" spans="1:7" ht="11.1" customHeight="1">
      <c r="A1855" s="600" t="str">
        <f t="shared" si="140"/>
        <v>JPY;JPY FOREX;29Y</v>
      </c>
      <c r="B1855" s="600" t="str">
        <f t="shared" si="144"/>
        <v>JPY</v>
      </c>
      <c r="C1855" s="600" t="str">
        <f t="shared" si="144"/>
        <v>JPY FOREX</v>
      </c>
      <c r="D1855" s="603"/>
      <c r="E1855" s="604"/>
      <c r="F1855" s="607" t="s">
        <v>45</v>
      </c>
      <c r="G1855" s="608">
        <v>0</v>
      </c>
    </row>
    <row r="1856" spans="1:7" ht="11.1" customHeight="1">
      <c r="A1856" s="600" t="str">
        <f t="shared" si="140"/>
        <v>JPY;JPY FOREX;30Y</v>
      </c>
      <c r="B1856" s="600" t="str">
        <f t="shared" si="144"/>
        <v>JPY</v>
      </c>
      <c r="C1856" s="600" t="str">
        <f t="shared" si="144"/>
        <v>JPY FOREX</v>
      </c>
      <c r="D1856" s="603"/>
      <c r="E1856" s="604"/>
      <c r="F1856" s="607" t="s">
        <v>22</v>
      </c>
      <c r="G1856" s="608">
        <v>0</v>
      </c>
    </row>
    <row r="1857" spans="1:7" ht="11.1" customHeight="1">
      <c r="A1857" s="600" t="str">
        <f t="shared" si="140"/>
        <v>JPY;JPY OIS;Total JPY OIS</v>
      </c>
      <c r="B1857" s="600" t="str">
        <f t="shared" si="144"/>
        <v>JPY</v>
      </c>
      <c r="C1857" s="600" t="str">
        <f t="shared" si="144"/>
        <v>JPY OIS</v>
      </c>
      <c r="D1857" s="603"/>
      <c r="E1857" s="604" t="s">
        <v>3769</v>
      </c>
      <c r="F1857" s="605" t="s">
        <v>3770</v>
      </c>
      <c r="G1857" s="611">
        <v>2263.4321752495498</v>
      </c>
    </row>
    <row r="1858" spans="1:7" ht="11.1" customHeight="1">
      <c r="A1858" s="600" t="str">
        <f t="shared" si="140"/>
        <v>JPY;JPY OIS;O/N</v>
      </c>
      <c r="B1858" s="600" t="str">
        <f t="shared" si="144"/>
        <v>JPY</v>
      </c>
      <c r="C1858" s="600" t="str">
        <f t="shared" si="144"/>
        <v>JPY OIS</v>
      </c>
      <c r="D1858" s="603"/>
      <c r="E1858" s="604"/>
      <c r="F1858" s="607" t="s">
        <v>3</v>
      </c>
      <c r="G1858" s="611">
        <v>1.2066809586374601</v>
      </c>
    </row>
    <row r="1859" spans="1:7" ht="11.1" customHeight="1">
      <c r="A1859" s="600" t="str">
        <f t="shared" si="140"/>
        <v>JPY;JPY OIS;T/N</v>
      </c>
      <c r="B1859" s="600" t="str">
        <f t="shared" si="144"/>
        <v>JPY</v>
      </c>
      <c r="C1859" s="600" t="str">
        <f t="shared" si="144"/>
        <v>JPY OIS</v>
      </c>
      <c r="D1859" s="603"/>
      <c r="E1859" s="604"/>
      <c r="F1859" s="607" t="s">
        <v>4</v>
      </c>
      <c r="G1859" s="611">
        <v>0.40222596809241301</v>
      </c>
    </row>
    <row r="1860" spans="1:7" ht="11.1" customHeight="1">
      <c r="A1860" s="600" t="str">
        <f t="shared" si="140"/>
        <v>JPY;JPY OIS;S/N</v>
      </c>
      <c r="B1860" s="600" t="str">
        <f t="shared" si="144"/>
        <v>JPY</v>
      </c>
      <c r="C1860" s="600" t="str">
        <f t="shared" si="144"/>
        <v>JPY OIS</v>
      </c>
      <c r="D1860" s="603"/>
      <c r="E1860" s="604"/>
      <c r="F1860" s="607" t="s">
        <v>23</v>
      </c>
      <c r="G1860" s="611">
        <v>5.6709714303845304</v>
      </c>
    </row>
    <row r="1861" spans="1:7" ht="11.1" customHeight="1">
      <c r="A1861" s="600" t="str">
        <f t="shared" ref="A1861:A1924" si="145">B1861&amp;";"&amp;C1861&amp;";"&amp;F1861</f>
        <v>JPY;JPY OIS;1W</v>
      </c>
      <c r="B1861" s="600" t="str">
        <f t="shared" ref="B1861:C1876" si="146">IF(ISBLANK(D1861),B1860,D1861)</f>
        <v>JPY</v>
      </c>
      <c r="C1861" s="600" t="str">
        <f t="shared" si="146"/>
        <v>JPY OIS</v>
      </c>
      <c r="D1861" s="603"/>
      <c r="E1861" s="604"/>
      <c r="F1861" s="607" t="s">
        <v>5</v>
      </c>
      <c r="G1861" s="611">
        <v>21.074874926545</v>
      </c>
    </row>
    <row r="1862" spans="1:7" ht="11.1" customHeight="1">
      <c r="A1862" s="600" t="str">
        <f t="shared" si="145"/>
        <v>JPY;JPY OIS;2W</v>
      </c>
      <c r="B1862" s="600" t="str">
        <f t="shared" si="146"/>
        <v>JPY</v>
      </c>
      <c r="C1862" s="600" t="str">
        <f t="shared" si="146"/>
        <v>JPY OIS</v>
      </c>
      <c r="D1862" s="603"/>
      <c r="E1862" s="604"/>
      <c r="F1862" s="607" t="s">
        <v>6</v>
      </c>
      <c r="G1862" s="606">
        <v>-1.2947934295833701</v>
      </c>
    </row>
    <row r="1863" spans="1:7" ht="11.1" customHeight="1">
      <c r="A1863" s="600" t="str">
        <f t="shared" si="145"/>
        <v>JPY;JPY OIS;3W</v>
      </c>
      <c r="B1863" s="600" t="str">
        <f t="shared" si="146"/>
        <v>JPY</v>
      </c>
      <c r="C1863" s="600" t="str">
        <f t="shared" si="146"/>
        <v>JPY OIS</v>
      </c>
      <c r="D1863" s="603"/>
      <c r="E1863" s="604"/>
      <c r="F1863" s="607" t="s">
        <v>24</v>
      </c>
      <c r="G1863" s="611">
        <v>71.546167771309996</v>
      </c>
    </row>
    <row r="1864" spans="1:7" ht="11.1" customHeight="1">
      <c r="A1864" s="600" t="str">
        <f t="shared" si="145"/>
        <v>JPY;JPY OIS;1M</v>
      </c>
      <c r="B1864" s="600" t="str">
        <f t="shared" si="146"/>
        <v>JPY</v>
      </c>
      <c r="C1864" s="600" t="str">
        <f t="shared" si="146"/>
        <v>JPY OIS</v>
      </c>
      <c r="D1864" s="603"/>
      <c r="E1864" s="604"/>
      <c r="F1864" s="607" t="s">
        <v>7</v>
      </c>
      <c r="G1864" s="606">
        <v>-38.5064668554542</v>
      </c>
    </row>
    <row r="1865" spans="1:7" ht="11.1" customHeight="1">
      <c r="A1865" s="600" t="str">
        <f t="shared" si="145"/>
        <v>JPY;JPY OIS;2M</v>
      </c>
      <c r="B1865" s="600" t="str">
        <f t="shared" si="146"/>
        <v>JPY</v>
      </c>
      <c r="C1865" s="600" t="str">
        <f t="shared" si="146"/>
        <v>JPY OIS</v>
      </c>
      <c r="D1865" s="603"/>
      <c r="E1865" s="604"/>
      <c r="F1865" s="607" t="s">
        <v>8</v>
      </c>
      <c r="G1865" s="606">
        <v>-34.946386027032901</v>
      </c>
    </row>
    <row r="1866" spans="1:7" ht="11.1" customHeight="1">
      <c r="A1866" s="600" t="str">
        <f t="shared" si="145"/>
        <v>JPY;JPY OIS;3M</v>
      </c>
      <c r="B1866" s="600" t="str">
        <f t="shared" si="146"/>
        <v>JPY</v>
      </c>
      <c r="C1866" s="600" t="str">
        <f t="shared" si="146"/>
        <v>JPY OIS</v>
      </c>
      <c r="D1866" s="603"/>
      <c r="E1866" s="604"/>
      <c r="F1866" s="607" t="s">
        <v>25</v>
      </c>
      <c r="G1866" s="611">
        <v>36.7207303371897</v>
      </c>
    </row>
    <row r="1867" spans="1:7" ht="11.1" customHeight="1">
      <c r="A1867" s="600" t="str">
        <f t="shared" si="145"/>
        <v>JPY;JPY OIS;4M</v>
      </c>
      <c r="B1867" s="600" t="str">
        <f t="shared" si="146"/>
        <v>JPY</v>
      </c>
      <c r="C1867" s="600" t="str">
        <f t="shared" si="146"/>
        <v>JPY OIS</v>
      </c>
      <c r="D1867" s="603"/>
      <c r="E1867" s="604"/>
      <c r="F1867" s="607" t="s">
        <v>26</v>
      </c>
      <c r="G1867" s="611">
        <v>81.628743606022795</v>
      </c>
    </row>
    <row r="1868" spans="1:7" ht="11.1" customHeight="1">
      <c r="A1868" s="600" t="str">
        <f t="shared" si="145"/>
        <v>JPY;JPY OIS;5M</v>
      </c>
      <c r="B1868" s="600" t="str">
        <f t="shared" si="146"/>
        <v>JPY</v>
      </c>
      <c r="C1868" s="600" t="str">
        <f t="shared" si="146"/>
        <v>JPY OIS</v>
      </c>
      <c r="D1868" s="603"/>
      <c r="E1868" s="604"/>
      <c r="F1868" s="607" t="s">
        <v>27</v>
      </c>
      <c r="G1868" s="611">
        <v>382.88109893676602</v>
      </c>
    </row>
    <row r="1869" spans="1:7" ht="11.1" customHeight="1">
      <c r="A1869" s="600" t="str">
        <f t="shared" si="145"/>
        <v>JPY;JPY OIS;6M</v>
      </c>
      <c r="B1869" s="600" t="str">
        <f t="shared" si="146"/>
        <v>JPY</v>
      </c>
      <c r="C1869" s="600" t="str">
        <f t="shared" si="146"/>
        <v>JPY OIS</v>
      </c>
      <c r="D1869" s="603"/>
      <c r="E1869" s="604"/>
      <c r="F1869" s="607" t="s">
        <v>28</v>
      </c>
      <c r="G1869" s="606">
        <v>-290.229778980606</v>
      </c>
    </row>
    <row r="1870" spans="1:7" ht="11.1" customHeight="1">
      <c r="A1870" s="600" t="str">
        <f t="shared" si="145"/>
        <v>JPY;JPY OIS;9M</v>
      </c>
      <c r="B1870" s="600" t="str">
        <f t="shared" si="146"/>
        <v>JPY</v>
      </c>
      <c r="C1870" s="600" t="str">
        <f t="shared" si="146"/>
        <v>JPY OIS</v>
      </c>
      <c r="D1870" s="603"/>
      <c r="E1870" s="604"/>
      <c r="F1870" s="607" t="s">
        <v>49</v>
      </c>
      <c r="G1870" s="611">
        <v>120.063642248582</v>
      </c>
    </row>
    <row r="1871" spans="1:7" ht="11.1" customHeight="1">
      <c r="A1871" s="600" t="str">
        <f t="shared" si="145"/>
        <v>JPY;JPY OIS;1Y</v>
      </c>
      <c r="B1871" s="600" t="str">
        <f t="shared" si="146"/>
        <v>JPY</v>
      </c>
      <c r="C1871" s="600" t="str">
        <f t="shared" si="146"/>
        <v>JPY OIS</v>
      </c>
      <c r="D1871" s="603"/>
      <c r="E1871" s="604"/>
      <c r="F1871" s="607" t="s">
        <v>56</v>
      </c>
      <c r="G1871" s="611">
        <v>396.49176021192199</v>
      </c>
    </row>
    <row r="1872" spans="1:7" ht="11.1" customHeight="1">
      <c r="A1872" s="600" t="str">
        <f t="shared" si="145"/>
        <v>JPY;JPY OIS;18M</v>
      </c>
      <c r="B1872" s="600" t="str">
        <f t="shared" si="146"/>
        <v>JPY</v>
      </c>
      <c r="C1872" s="600" t="str">
        <f t="shared" si="146"/>
        <v>JPY OIS</v>
      </c>
      <c r="D1872" s="603"/>
      <c r="E1872" s="604"/>
      <c r="F1872" s="607" t="s">
        <v>54</v>
      </c>
      <c r="G1872" s="606">
        <v>-84.493905411762299</v>
      </c>
    </row>
    <row r="1873" spans="1:7" ht="11.1" customHeight="1">
      <c r="A1873" s="600" t="str">
        <f t="shared" si="145"/>
        <v>JPY;JPY OIS;2Y</v>
      </c>
      <c r="B1873" s="600" t="str">
        <f t="shared" si="146"/>
        <v>JPY</v>
      </c>
      <c r="C1873" s="600" t="str">
        <f t="shared" si="146"/>
        <v>JPY OIS</v>
      </c>
      <c r="D1873" s="603"/>
      <c r="E1873" s="604"/>
      <c r="F1873" s="607" t="s">
        <v>9</v>
      </c>
      <c r="G1873" s="611">
        <v>1345.48932037502</v>
      </c>
    </row>
    <row r="1874" spans="1:7" ht="11.1" customHeight="1">
      <c r="A1874" s="600" t="str">
        <f t="shared" si="145"/>
        <v>JPY;JPY OIS;3Y</v>
      </c>
      <c r="B1874" s="600" t="str">
        <f t="shared" si="146"/>
        <v>JPY</v>
      </c>
      <c r="C1874" s="600" t="str">
        <f t="shared" si="146"/>
        <v>JPY OIS</v>
      </c>
      <c r="D1874" s="603"/>
      <c r="E1874" s="604"/>
      <c r="F1874" s="607" t="s">
        <v>10</v>
      </c>
      <c r="G1874" s="606">
        <v>-115.592335081836</v>
      </c>
    </row>
    <row r="1875" spans="1:7" ht="11.1" customHeight="1">
      <c r="A1875" s="600" t="str">
        <f t="shared" si="145"/>
        <v>JPY;JPY OIS;4Y</v>
      </c>
      <c r="B1875" s="600" t="str">
        <f t="shared" si="146"/>
        <v>JPY</v>
      </c>
      <c r="C1875" s="600" t="str">
        <f t="shared" si="146"/>
        <v>JPY OIS</v>
      </c>
      <c r="D1875" s="603"/>
      <c r="E1875" s="604"/>
      <c r="F1875" s="607" t="s">
        <v>11</v>
      </c>
      <c r="G1875" s="611">
        <v>439.736466702786</v>
      </c>
    </row>
    <row r="1876" spans="1:7" ht="11.1" customHeight="1">
      <c r="A1876" s="600" t="str">
        <f t="shared" si="145"/>
        <v>JPY;JPY OIS;5Y</v>
      </c>
      <c r="B1876" s="600" t="str">
        <f t="shared" si="146"/>
        <v>JPY</v>
      </c>
      <c r="C1876" s="600" t="str">
        <f t="shared" si="146"/>
        <v>JPY OIS</v>
      </c>
      <c r="D1876" s="603"/>
      <c r="E1876" s="604"/>
      <c r="F1876" s="607" t="s">
        <v>12</v>
      </c>
      <c r="G1876" s="611">
        <v>1377.0766029738099</v>
      </c>
    </row>
    <row r="1877" spans="1:7" ht="11.1" customHeight="1">
      <c r="A1877" s="600" t="str">
        <f t="shared" si="145"/>
        <v>JPY;JPY OIS;6Y</v>
      </c>
      <c r="B1877" s="600" t="str">
        <f t="shared" ref="B1877:C1892" si="147">IF(ISBLANK(D1877),B1876,D1877)</f>
        <v>JPY</v>
      </c>
      <c r="C1877" s="600" t="str">
        <f t="shared" si="147"/>
        <v>JPY OIS</v>
      </c>
      <c r="D1877" s="603"/>
      <c r="E1877" s="604"/>
      <c r="F1877" s="607" t="s">
        <v>13</v>
      </c>
      <c r="G1877" s="606">
        <v>-1451.5189848618199</v>
      </c>
    </row>
    <row r="1878" spans="1:7" ht="11.1" customHeight="1">
      <c r="A1878" s="600" t="str">
        <f t="shared" si="145"/>
        <v>JPY;JPY OIS;7Y</v>
      </c>
      <c r="B1878" s="600" t="str">
        <f t="shared" si="147"/>
        <v>JPY</v>
      </c>
      <c r="C1878" s="600" t="str">
        <f t="shared" si="147"/>
        <v>JPY OIS</v>
      </c>
      <c r="D1878" s="603"/>
      <c r="E1878" s="604"/>
      <c r="F1878" s="607" t="s">
        <v>14</v>
      </c>
      <c r="G1878" s="611">
        <v>2.5987737370172698E-2</v>
      </c>
    </row>
    <row r="1879" spans="1:7" ht="11.1" customHeight="1">
      <c r="A1879" s="600" t="str">
        <f t="shared" si="145"/>
        <v>JPY;JPY OIS;8Y</v>
      </c>
      <c r="B1879" s="600" t="str">
        <f t="shared" si="147"/>
        <v>JPY</v>
      </c>
      <c r="C1879" s="600" t="str">
        <f t="shared" si="147"/>
        <v>JPY OIS</v>
      </c>
      <c r="D1879" s="603"/>
      <c r="E1879" s="604"/>
      <c r="F1879" s="607" t="s">
        <v>15</v>
      </c>
      <c r="G1879" s="606">
        <v>-4.4828528322682397E-4</v>
      </c>
    </row>
    <row r="1880" spans="1:7" ht="11.1" customHeight="1">
      <c r="A1880" s="600" t="str">
        <f t="shared" si="145"/>
        <v>JPY;JPY OIS;9Y</v>
      </c>
      <c r="B1880" s="600" t="str">
        <f t="shared" si="147"/>
        <v>JPY</v>
      </c>
      <c r="C1880" s="600" t="str">
        <f t="shared" si="147"/>
        <v>JPY OIS</v>
      </c>
      <c r="D1880" s="603"/>
      <c r="E1880" s="604"/>
      <c r="F1880" s="607" t="s">
        <v>16</v>
      </c>
      <c r="G1880" s="611">
        <v>0</v>
      </c>
    </row>
    <row r="1881" spans="1:7" ht="11.1" customHeight="1">
      <c r="A1881" s="600" t="str">
        <f t="shared" si="145"/>
        <v>JPY;JPY OIS;10Y</v>
      </c>
      <c r="B1881" s="600" t="str">
        <f t="shared" si="147"/>
        <v>JPY</v>
      </c>
      <c r="C1881" s="600" t="str">
        <f t="shared" si="147"/>
        <v>JPY OIS</v>
      </c>
      <c r="D1881" s="603"/>
      <c r="E1881" s="604"/>
      <c r="F1881" s="607" t="s">
        <v>17</v>
      </c>
      <c r="G1881" s="606">
        <v>-2.3283064365386999E-10</v>
      </c>
    </row>
    <row r="1882" spans="1:7" ht="11.1" customHeight="1">
      <c r="A1882" s="600" t="str">
        <f t="shared" si="145"/>
        <v>JPY;JPY OIS;12Y</v>
      </c>
      <c r="B1882" s="600" t="str">
        <f t="shared" si="147"/>
        <v>JPY</v>
      </c>
      <c r="C1882" s="600" t="str">
        <f t="shared" si="147"/>
        <v>JPY OIS</v>
      </c>
      <c r="D1882" s="603"/>
      <c r="E1882" s="604"/>
      <c r="F1882" s="607" t="s">
        <v>18</v>
      </c>
      <c r="G1882" s="611">
        <v>0</v>
      </c>
    </row>
    <row r="1883" spans="1:7" ht="11.1" customHeight="1">
      <c r="A1883" s="600" t="str">
        <f t="shared" si="145"/>
        <v>JPY;JPY OIS;15Y</v>
      </c>
      <c r="B1883" s="600" t="str">
        <f t="shared" si="147"/>
        <v>JPY</v>
      </c>
      <c r="C1883" s="600" t="str">
        <f t="shared" si="147"/>
        <v>JPY OIS</v>
      </c>
      <c r="D1883" s="603"/>
      <c r="E1883" s="604"/>
      <c r="F1883" s="607" t="s">
        <v>19</v>
      </c>
      <c r="G1883" s="611">
        <v>0</v>
      </c>
    </row>
    <row r="1884" spans="1:7" ht="11.1" customHeight="1">
      <c r="A1884" s="600" t="str">
        <f t="shared" si="145"/>
        <v>JPY;JPY OIS;20Y</v>
      </c>
      <c r="B1884" s="600" t="str">
        <f t="shared" si="147"/>
        <v>JPY</v>
      </c>
      <c r="C1884" s="600" t="str">
        <f t="shared" si="147"/>
        <v>JPY OIS</v>
      </c>
      <c r="D1884" s="603"/>
      <c r="E1884" s="604"/>
      <c r="F1884" s="607" t="s">
        <v>20</v>
      </c>
      <c r="G1884" s="611">
        <v>0</v>
      </c>
    </row>
    <row r="1885" spans="1:7" ht="11.1" customHeight="1">
      <c r="A1885" s="600" t="str">
        <f t="shared" si="145"/>
        <v>JPY;JPY OIS;25Y</v>
      </c>
      <c r="B1885" s="600" t="str">
        <f t="shared" si="147"/>
        <v>JPY</v>
      </c>
      <c r="C1885" s="600" t="str">
        <f t="shared" si="147"/>
        <v>JPY OIS</v>
      </c>
      <c r="D1885" s="603"/>
      <c r="E1885" s="604"/>
      <c r="F1885" s="607" t="s">
        <v>21</v>
      </c>
      <c r="G1885" s="611">
        <v>0</v>
      </c>
    </row>
    <row r="1886" spans="1:7" ht="11.1" customHeight="1">
      <c r="A1886" s="600" t="str">
        <f t="shared" si="145"/>
        <v>JPY;JPY OIS;30Y</v>
      </c>
      <c r="B1886" s="600" t="str">
        <f t="shared" si="147"/>
        <v>JPY</v>
      </c>
      <c r="C1886" s="600" t="str">
        <f t="shared" si="147"/>
        <v>JPY OIS</v>
      </c>
      <c r="D1886" s="603"/>
      <c r="E1886" s="604"/>
      <c r="F1886" s="607" t="s">
        <v>22</v>
      </c>
      <c r="G1886" s="611">
        <v>0</v>
      </c>
    </row>
    <row r="1887" spans="1:7" ht="11.1" customHeight="1">
      <c r="A1887" s="600" t="str">
        <f t="shared" si="145"/>
        <v>KRW;KRW FOREX;Total KRW FOREX</v>
      </c>
      <c r="B1887" s="600" t="str">
        <f t="shared" si="147"/>
        <v>KRW</v>
      </c>
      <c r="C1887" s="600" t="str">
        <f t="shared" si="147"/>
        <v>KRW FOREX</v>
      </c>
      <c r="D1887" s="603" t="s">
        <v>1269</v>
      </c>
      <c r="E1887" s="604" t="s">
        <v>1270</v>
      </c>
      <c r="F1887" s="605" t="s">
        <v>1271</v>
      </c>
      <c r="G1887" s="611">
        <v>2.3926869034203699</v>
      </c>
    </row>
    <row r="1888" spans="1:7" ht="11.1" customHeight="1">
      <c r="A1888" s="600" t="str">
        <f t="shared" si="145"/>
        <v>KRW;KRW FOREX;O/N</v>
      </c>
      <c r="B1888" s="600" t="str">
        <f t="shared" si="147"/>
        <v>KRW</v>
      </c>
      <c r="C1888" s="600" t="str">
        <f t="shared" si="147"/>
        <v>KRW FOREX</v>
      </c>
      <c r="D1888" s="603"/>
      <c r="E1888" s="604"/>
      <c r="F1888" s="607" t="s">
        <v>3</v>
      </c>
      <c r="G1888" s="611">
        <v>1.79439058441263</v>
      </c>
    </row>
    <row r="1889" spans="1:7" ht="11.1" customHeight="1">
      <c r="A1889" s="600" t="str">
        <f t="shared" si="145"/>
        <v>KRW;KRW FOREX;T/N</v>
      </c>
      <c r="B1889" s="600" t="str">
        <f t="shared" si="147"/>
        <v>KRW</v>
      </c>
      <c r="C1889" s="600" t="str">
        <f t="shared" si="147"/>
        <v>KRW FOREX</v>
      </c>
      <c r="D1889" s="603"/>
      <c r="E1889" s="604"/>
      <c r="F1889" s="607" t="s">
        <v>4</v>
      </c>
      <c r="G1889" s="611">
        <v>0.59829631900773905</v>
      </c>
    </row>
    <row r="1890" spans="1:7" ht="11.1" customHeight="1">
      <c r="A1890" s="600" t="str">
        <f t="shared" si="145"/>
        <v>KRW;KRW FOREX;S/N</v>
      </c>
      <c r="B1890" s="600" t="str">
        <f t="shared" si="147"/>
        <v>KRW</v>
      </c>
      <c r="C1890" s="600" t="str">
        <f t="shared" si="147"/>
        <v>KRW FOREX</v>
      </c>
      <c r="D1890" s="603"/>
      <c r="E1890" s="604"/>
      <c r="F1890" s="607" t="s">
        <v>23</v>
      </c>
      <c r="G1890" s="608">
        <v>0</v>
      </c>
    </row>
    <row r="1891" spans="1:7" ht="11.1" customHeight="1">
      <c r="A1891" s="600" t="str">
        <f t="shared" si="145"/>
        <v>KRW;KRW FOREX;1W</v>
      </c>
      <c r="B1891" s="600" t="str">
        <f t="shared" si="147"/>
        <v>KRW</v>
      </c>
      <c r="C1891" s="600" t="str">
        <f t="shared" si="147"/>
        <v>KRW FOREX</v>
      </c>
      <c r="D1891" s="603"/>
      <c r="E1891" s="604"/>
      <c r="F1891" s="607" t="s">
        <v>5</v>
      </c>
      <c r="G1891" s="608">
        <v>0</v>
      </c>
    </row>
    <row r="1892" spans="1:7" ht="11.1" customHeight="1">
      <c r="A1892" s="600" t="str">
        <f t="shared" si="145"/>
        <v>KRW;KRW FOREX;2W</v>
      </c>
      <c r="B1892" s="600" t="str">
        <f t="shared" si="147"/>
        <v>KRW</v>
      </c>
      <c r="C1892" s="600" t="str">
        <f t="shared" si="147"/>
        <v>KRW FOREX</v>
      </c>
      <c r="D1892" s="603"/>
      <c r="E1892" s="604"/>
      <c r="F1892" s="607" t="s">
        <v>6</v>
      </c>
      <c r="G1892" s="608">
        <v>0</v>
      </c>
    </row>
    <row r="1893" spans="1:7" ht="11.1" customHeight="1">
      <c r="A1893" s="600" t="str">
        <f t="shared" si="145"/>
        <v>KRW;KRW FOREX;3W</v>
      </c>
      <c r="B1893" s="600" t="str">
        <f t="shared" ref="B1893:C1908" si="148">IF(ISBLANK(D1893),B1892,D1893)</f>
        <v>KRW</v>
      </c>
      <c r="C1893" s="600" t="str">
        <f t="shared" si="148"/>
        <v>KRW FOREX</v>
      </c>
      <c r="D1893" s="603"/>
      <c r="E1893" s="604"/>
      <c r="F1893" s="607" t="s">
        <v>24</v>
      </c>
      <c r="G1893" s="608">
        <v>0</v>
      </c>
    </row>
    <row r="1894" spans="1:7" ht="11.1" customHeight="1">
      <c r="A1894" s="600" t="str">
        <f t="shared" si="145"/>
        <v>KRW;KRW FOREX;1M</v>
      </c>
      <c r="B1894" s="600" t="str">
        <f t="shared" si="148"/>
        <v>KRW</v>
      </c>
      <c r="C1894" s="600" t="str">
        <f t="shared" si="148"/>
        <v>KRW FOREX</v>
      </c>
      <c r="D1894" s="603"/>
      <c r="E1894" s="604"/>
      <c r="F1894" s="607" t="s">
        <v>7</v>
      </c>
      <c r="G1894" s="608">
        <v>0</v>
      </c>
    </row>
    <row r="1895" spans="1:7" ht="11.1" customHeight="1">
      <c r="A1895" s="600" t="str">
        <f t="shared" si="145"/>
        <v>KRW;KRW FOREX;2M</v>
      </c>
      <c r="B1895" s="600" t="str">
        <f t="shared" si="148"/>
        <v>KRW</v>
      </c>
      <c r="C1895" s="600" t="str">
        <f t="shared" si="148"/>
        <v>KRW FOREX</v>
      </c>
      <c r="D1895" s="603"/>
      <c r="E1895" s="604"/>
      <c r="F1895" s="607" t="s">
        <v>8</v>
      </c>
      <c r="G1895" s="608">
        <v>0</v>
      </c>
    </row>
    <row r="1896" spans="1:7" ht="11.1" customHeight="1">
      <c r="A1896" s="600" t="str">
        <f t="shared" si="145"/>
        <v>KRW;KRW FOREX;3M</v>
      </c>
      <c r="B1896" s="600" t="str">
        <f t="shared" si="148"/>
        <v>KRW</v>
      </c>
      <c r="C1896" s="600" t="str">
        <f t="shared" si="148"/>
        <v>KRW FOREX</v>
      </c>
      <c r="D1896" s="603"/>
      <c r="E1896" s="604"/>
      <c r="F1896" s="607" t="s">
        <v>25</v>
      </c>
      <c r="G1896" s="608">
        <v>0</v>
      </c>
    </row>
    <row r="1897" spans="1:7" ht="11.1" customHeight="1">
      <c r="A1897" s="600" t="str">
        <f t="shared" si="145"/>
        <v>KRW;KRW FOREX;4M</v>
      </c>
      <c r="B1897" s="600" t="str">
        <f t="shared" si="148"/>
        <v>KRW</v>
      </c>
      <c r="C1897" s="600" t="str">
        <f t="shared" si="148"/>
        <v>KRW FOREX</v>
      </c>
      <c r="D1897" s="603"/>
      <c r="E1897" s="604"/>
      <c r="F1897" s="607" t="s">
        <v>26</v>
      </c>
      <c r="G1897" s="608">
        <v>0</v>
      </c>
    </row>
    <row r="1898" spans="1:7" ht="11.1" customHeight="1">
      <c r="A1898" s="600" t="str">
        <f t="shared" si="145"/>
        <v>KRW;KRW FOREX;5M</v>
      </c>
      <c r="B1898" s="600" t="str">
        <f t="shared" si="148"/>
        <v>KRW</v>
      </c>
      <c r="C1898" s="600" t="str">
        <f t="shared" si="148"/>
        <v>KRW FOREX</v>
      </c>
      <c r="D1898" s="603"/>
      <c r="E1898" s="604"/>
      <c r="F1898" s="607" t="s">
        <v>27</v>
      </c>
      <c r="G1898" s="608">
        <v>0</v>
      </c>
    </row>
    <row r="1899" spans="1:7" ht="11.1" customHeight="1">
      <c r="A1899" s="600" t="str">
        <f t="shared" si="145"/>
        <v>KRW;KRW FOREX;6M</v>
      </c>
      <c r="B1899" s="600" t="str">
        <f t="shared" si="148"/>
        <v>KRW</v>
      </c>
      <c r="C1899" s="600" t="str">
        <f t="shared" si="148"/>
        <v>KRW FOREX</v>
      </c>
      <c r="D1899" s="603"/>
      <c r="E1899" s="604"/>
      <c r="F1899" s="607" t="s">
        <v>28</v>
      </c>
      <c r="G1899" s="608">
        <v>0</v>
      </c>
    </row>
    <row r="1900" spans="1:7" ht="11.1" customHeight="1">
      <c r="A1900" s="600" t="str">
        <f t="shared" si="145"/>
        <v>KRW;KRW FOREX;7M</v>
      </c>
      <c r="B1900" s="600" t="str">
        <f t="shared" si="148"/>
        <v>KRW</v>
      </c>
      <c r="C1900" s="600" t="str">
        <f t="shared" si="148"/>
        <v>KRW FOREX</v>
      </c>
      <c r="D1900" s="603"/>
      <c r="E1900" s="604"/>
      <c r="F1900" s="607" t="s">
        <v>29</v>
      </c>
      <c r="G1900" s="608">
        <v>0</v>
      </c>
    </row>
    <row r="1901" spans="1:7" ht="11.1" customHeight="1">
      <c r="A1901" s="600" t="str">
        <f t="shared" si="145"/>
        <v>KRW;KRW FOREX;8M</v>
      </c>
      <c r="B1901" s="600" t="str">
        <f t="shared" si="148"/>
        <v>KRW</v>
      </c>
      <c r="C1901" s="600" t="str">
        <f t="shared" si="148"/>
        <v>KRW FOREX</v>
      </c>
      <c r="D1901" s="603"/>
      <c r="E1901" s="604"/>
      <c r="F1901" s="607" t="s">
        <v>30</v>
      </c>
      <c r="G1901" s="608">
        <v>0</v>
      </c>
    </row>
    <row r="1902" spans="1:7" ht="11.1" customHeight="1">
      <c r="A1902" s="600" t="str">
        <f t="shared" si="145"/>
        <v>KRW;KRW FOREX;9M</v>
      </c>
      <c r="B1902" s="600" t="str">
        <f t="shared" si="148"/>
        <v>KRW</v>
      </c>
      <c r="C1902" s="600" t="str">
        <f t="shared" si="148"/>
        <v>KRW FOREX</v>
      </c>
      <c r="D1902" s="603"/>
      <c r="E1902" s="604"/>
      <c r="F1902" s="607" t="s">
        <v>49</v>
      </c>
      <c r="G1902" s="608">
        <v>0</v>
      </c>
    </row>
    <row r="1903" spans="1:7" ht="11.1" customHeight="1">
      <c r="A1903" s="600" t="str">
        <f t="shared" si="145"/>
        <v>KRW;KRW FOREX;10M</v>
      </c>
      <c r="B1903" s="600" t="str">
        <f t="shared" si="148"/>
        <v>KRW</v>
      </c>
      <c r="C1903" s="600" t="str">
        <f t="shared" si="148"/>
        <v>KRW FOREX</v>
      </c>
      <c r="D1903" s="603"/>
      <c r="E1903" s="604"/>
      <c r="F1903" s="607" t="s">
        <v>50</v>
      </c>
      <c r="G1903" s="608">
        <v>0</v>
      </c>
    </row>
    <row r="1904" spans="1:7" ht="11.1" customHeight="1">
      <c r="A1904" s="600" t="str">
        <f t="shared" si="145"/>
        <v>KRW;KRW FOREX;11M</v>
      </c>
      <c r="B1904" s="600" t="str">
        <f t="shared" si="148"/>
        <v>KRW</v>
      </c>
      <c r="C1904" s="600" t="str">
        <f t="shared" si="148"/>
        <v>KRW FOREX</v>
      </c>
      <c r="D1904" s="603"/>
      <c r="E1904" s="604"/>
      <c r="F1904" s="607" t="s">
        <v>51</v>
      </c>
      <c r="G1904" s="608">
        <v>0</v>
      </c>
    </row>
    <row r="1905" spans="1:7" ht="11.1" customHeight="1">
      <c r="A1905" s="600" t="str">
        <f t="shared" si="145"/>
        <v>KRW;KRW FOREX;12M</v>
      </c>
      <c r="B1905" s="600" t="str">
        <f t="shared" si="148"/>
        <v>KRW</v>
      </c>
      <c r="C1905" s="600" t="str">
        <f t="shared" si="148"/>
        <v>KRW FOREX</v>
      </c>
      <c r="D1905" s="603"/>
      <c r="E1905" s="604"/>
      <c r="F1905" s="607" t="s">
        <v>52</v>
      </c>
      <c r="G1905" s="608">
        <v>0</v>
      </c>
    </row>
    <row r="1906" spans="1:7" ht="11.1" customHeight="1">
      <c r="A1906" s="600" t="str">
        <f t="shared" si="145"/>
        <v>KRW;KRW FOREX;15M</v>
      </c>
      <c r="B1906" s="600" t="str">
        <f t="shared" si="148"/>
        <v>KRW</v>
      </c>
      <c r="C1906" s="600" t="str">
        <f t="shared" si="148"/>
        <v>KRW FOREX</v>
      </c>
      <c r="D1906" s="603"/>
      <c r="E1906" s="604"/>
      <c r="F1906" s="607" t="s">
        <v>53</v>
      </c>
      <c r="G1906" s="608">
        <v>0</v>
      </c>
    </row>
    <row r="1907" spans="1:7" ht="11.1" customHeight="1">
      <c r="A1907" s="600" t="str">
        <f t="shared" si="145"/>
        <v>KRW;KRW FOREX;18M</v>
      </c>
      <c r="B1907" s="600" t="str">
        <f t="shared" si="148"/>
        <v>KRW</v>
      </c>
      <c r="C1907" s="600" t="str">
        <f t="shared" si="148"/>
        <v>KRW FOREX</v>
      </c>
      <c r="D1907" s="603"/>
      <c r="E1907" s="604"/>
      <c r="F1907" s="607" t="s">
        <v>54</v>
      </c>
      <c r="G1907" s="608">
        <v>0</v>
      </c>
    </row>
    <row r="1908" spans="1:7" ht="11.1" customHeight="1">
      <c r="A1908" s="600" t="str">
        <f t="shared" si="145"/>
        <v>KRW;KRW FOREX;24M</v>
      </c>
      <c r="B1908" s="600" t="str">
        <f t="shared" si="148"/>
        <v>KRW</v>
      </c>
      <c r="C1908" s="600" t="str">
        <f t="shared" si="148"/>
        <v>KRW FOREX</v>
      </c>
      <c r="D1908" s="603"/>
      <c r="E1908" s="604"/>
      <c r="F1908" s="607" t="s">
        <v>659</v>
      </c>
      <c r="G1908" s="608">
        <v>0</v>
      </c>
    </row>
    <row r="1909" spans="1:7" ht="11.1" customHeight="1">
      <c r="A1909" s="600" t="str">
        <f t="shared" si="145"/>
        <v>KRW;KRW FOREX;3Y</v>
      </c>
      <c r="B1909" s="600" t="str">
        <f t="shared" ref="B1909:C1924" si="149">IF(ISBLANK(D1909),B1908,D1909)</f>
        <v>KRW</v>
      </c>
      <c r="C1909" s="600" t="str">
        <f t="shared" si="149"/>
        <v>KRW FOREX</v>
      </c>
      <c r="D1909" s="603"/>
      <c r="E1909" s="604"/>
      <c r="F1909" s="607" t="s">
        <v>10</v>
      </c>
      <c r="G1909" s="608">
        <v>0</v>
      </c>
    </row>
    <row r="1910" spans="1:7" ht="11.1" customHeight="1">
      <c r="A1910" s="600" t="str">
        <f t="shared" si="145"/>
        <v>KRW;KRW FOREX;4Y</v>
      </c>
      <c r="B1910" s="600" t="str">
        <f t="shared" si="149"/>
        <v>KRW</v>
      </c>
      <c r="C1910" s="600" t="str">
        <f t="shared" si="149"/>
        <v>KRW FOREX</v>
      </c>
      <c r="D1910" s="603"/>
      <c r="E1910" s="604"/>
      <c r="F1910" s="607" t="s">
        <v>11</v>
      </c>
      <c r="G1910" s="608">
        <v>0</v>
      </c>
    </row>
    <row r="1911" spans="1:7" ht="11.1" customHeight="1">
      <c r="A1911" s="600" t="str">
        <f t="shared" si="145"/>
        <v>KRW;KRW FOREX;5Y</v>
      </c>
      <c r="B1911" s="600" t="str">
        <f t="shared" si="149"/>
        <v>KRW</v>
      </c>
      <c r="C1911" s="600" t="str">
        <f t="shared" si="149"/>
        <v>KRW FOREX</v>
      </c>
      <c r="D1911" s="603"/>
      <c r="E1911" s="604"/>
      <c r="F1911" s="607" t="s">
        <v>12</v>
      </c>
      <c r="G1911" s="608">
        <v>0</v>
      </c>
    </row>
    <row r="1912" spans="1:7" ht="11.1" customHeight="1">
      <c r="A1912" s="600" t="str">
        <f t="shared" si="145"/>
        <v>KRW;KRW FOREX;6Y</v>
      </c>
      <c r="B1912" s="600" t="str">
        <f t="shared" si="149"/>
        <v>KRW</v>
      </c>
      <c r="C1912" s="600" t="str">
        <f t="shared" si="149"/>
        <v>KRW FOREX</v>
      </c>
      <c r="D1912" s="603"/>
      <c r="E1912" s="604"/>
      <c r="F1912" s="607" t="s">
        <v>13</v>
      </c>
      <c r="G1912" s="608">
        <v>0</v>
      </c>
    </row>
    <row r="1913" spans="1:7" ht="11.1" customHeight="1">
      <c r="A1913" s="600" t="str">
        <f t="shared" si="145"/>
        <v>KRW;KRW FOREX;7Y</v>
      </c>
      <c r="B1913" s="600" t="str">
        <f t="shared" si="149"/>
        <v>KRW</v>
      </c>
      <c r="C1913" s="600" t="str">
        <f t="shared" si="149"/>
        <v>KRW FOREX</v>
      </c>
      <c r="D1913" s="603"/>
      <c r="E1913" s="604"/>
      <c r="F1913" s="607" t="s">
        <v>14</v>
      </c>
      <c r="G1913" s="608">
        <v>0</v>
      </c>
    </row>
    <row r="1914" spans="1:7" ht="11.1" customHeight="1">
      <c r="A1914" s="600" t="str">
        <f t="shared" si="145"/>
        <v>KRW;KRW FOREX;8Y</v>
      </c>
      <c r="B1914" s="600" t="str">
        <f t="shared" si="149"/>
        <v>KRW</v>
      </c>
      <c r="C1914" s="600" t="str">
        <f t="shared" si="149"/>
        <v>KRW FOREX</v>
      </c>
      <c r="D1914" s="603"/>
      <c r="E1914" s="604"/>
      <c r="F1914" s="607" t="s">
        <v>15</v>
      </c>
      <c r="G1914" s="608">
        <v>0</v>
      </c>
    </row>
    <row r="1915" spans="1:7" ht="11.1" customHeight="1">
      <c r="A1915" s="600" t="str">
        <f t="shared" si="145"/>
        <v>KRW;KRW FOREX;9Y</v>
      </c>
      <c r="B1915" s="600" t="str">
        <f t="shared" si="149"/>
        <v>KRW</v>
      </c>
      <c r="C1915" s="600" t="str">
        <f t="shared" si="149"/>
        <v>KRW FOREX</v>
      </c>
      <c r="D1915" s="603"/>
      <c r="E1915" s="604"/>
      <c r="F1915" s="607" t="s">
        <v>16</v>
      </c>
      <c r="G1915" s="608">
        <v>0</v>
      </c>
    </row>
    <row r="1916" spans="1:7" ht="11.1" customHeight="1">
      <c r="A1916" s="600" t="str">
        <f t="shared" si="145"/>
        <v>KRW;KRW FOREX;10Y</v>
      </c>
      <c r="B1916" s="600" t="str">
        <f t="shared" si="149"/>
        <v>KRW</v>
      </c>
      <c r="C1916" s="600" t="str">
        <f t="shared" si="149"/>
        <v>KRW FOREX</v>
      </c>
      <c r="D1916" s="603"/>
      <c r="E1916" s="604"/>
      <c r="F1916" s="607" t="s">
        <v>17</v>
      </c>
      <c r="G1916" s="608">
        <v>0</v>
      </c>
    </row>
    <row r="1917" spans="1:7" ht="11.1" customHeight="1">
      <c r="A1917" s="600" t="str">
        <f t="shared" si="145"/>
        <v>MXN;Total MXN;</v>
      </c>
      <c r="B1917" s="600" t="str">
        <f t="shared" si="149"/>
        <v>MXN</v>
      </c>
      <c r="C1917" s="600" t="str">
        <f t="shared" si="149"/>
        <v>Total MXN</v>
      </c>
      <c r="D1917" s="603" t="s">
        <v>1272</v>
      </c>
      <c r="E1917" s="609" t="s">
        <v>1273</v>
      </c>
      <c r="F1917" s="609"/>
      <c r="G1917" s="612">
        <v>-924.08265591037298</v>
      </c>
    </row>
    <row r="1918" spans="1:7" ht="11.1" customHeight="1">
      <c r="A1918" s="600" t="str">
        <f t="shared" si="145"/>
        <v>MXN;MXN :STD;Total MXN :STD</v>
      </c>
      <c r="B1918" s="600" t="str">
        <f t="shared" si="149"/>
        <v>MXN</v>
      </c>
      <c r="C1918" s="600" t="str">
        <f t="shared" si="149"/>
        <v>MXN :STD</v>
      </c>
      <c r="D1918" s="603"/>
      <c r="E1918" s="604" t="s">
        <v>1274</v>
      </c>
      <c r="F1918" s="605" t="s">
        <v>1275</v>
      </c>
      <c r="G1918" s="606">
        <v>-925.236106646081</v>
      </c>
    </row>
    <row r="1919" spans="1:7" ht="11.1" customHeight="1">
      <c r="A1919" s="600" t="str">
        <f t="shared" si="145"/>
        <v>MXN;MXN :STD;1M</v>
      </c>
      <c r="B1919" s="600" t="str">
        <f t="shared" si="149"/>
        <v>MXN</v>
      </c>
      <c r="C1919" s="600" t="str">
        <f t="shared" si="149"/>
        <v>MXN :STD</v>
      </c>
      <c r="D1919" s="603"/>
      <c r="E1919" s="604"/>
      <c r="F1919" s="607" t="s">
        <v>7</v>
      </c>
      <c r="G1919" s="611">
        <v>0.80181883244016905</v>
      </c>
    </row>
    <row r="1920" spans="1:7" ht="11.1" customHeight="1">
      <c r="A1920" s="600" t="str">
        <f t="shared" si="145"/>
        <v>MXN;MXN :STD;3M</v>
      </c>
      <c r="B1920" s="600" t="str">
        <f t="shared" si="149"/>
        <v>MXN</v>
      </c>
      <c r="C1920" s="600" t="str">
        <f t="shared" si="149"/>
        <v>MXN :STD</v>
      </c>
      <c r="D1920" s="603"/>
      <c r="E1920" s="604"/>
      <c r="F1920" s="607" t="s">
        <v>25</v>
      </c>
      <c r="G1920" s="611">
        <v>0.153380897915532</v>
      </c>
    </row>
    <row r="1921" spans="1:7" ht="11.1" customHeight="1">
      <c r="A1921" s="600" t="str">
        <f t="shared" si="145"/>
        <v>MXN;MXN :STD;6M</v>
      </c>
      <c r="B1921" s="600" t="str">
        <f t="shared" si="149"/>
        <v>MXN</v>
      </c>
      <c r="C1921" s="600" t="str">
        <f t="shared" si="149"/>
        <v>MXN :STD</v>
      </c>
      <c r="D1921" s="603"/>
      <c r="E1921" s="604"/>
      <c r="F1921" s="607" t="s">
        <v>28</v>
      </c>
      <c r="G1921" s="611">
        <v>0.37906387446169298</v>
      </c>
    </row>
    <row r="1922" spans="1:7" ht="11.1" customHeight="1">
      <c r="A1922" s="600" t="str">
        <f t="shared" si="145"/>
        <v>MXN;MXN :STD;364D</v>
      </c>
      <c r="B1922" s="600" t="str">
        <f t="shared" si="149"/>
        <v>MXN</v>
      </c>
      <c r="C1922" s="600" t="str">
        <f t="shared" si="149"/>
        <v>MXN :STD</v>
      </c>
      <c r="D1922" s="603"/>
      <c r="E1922" s="604"/>
      <c r="F1922" s="607" t="s">
        <v>1276</v>
      </c>
      <c r="G1922" s="606">
        <v>-29.1563487280069</v>
      </c>
    </row>
    <row r="1923" spans="1:7" ht="11.1" customHeight="1">
      <c r="A1923" s="600" t="str">
        <f t="shared" si="145"/>
        <v>MXN;MXN :STD;728D</v>
      </c>
      <c r="B1923" s="600" t="str">
        <f t="shared" si="149"/>
        <v>MXN</v>
      </c>
      <c r="C1923" s="600" t="str">
        <f t="shared" si="149"/>
        <v>MXN :STD</v>
      </c>
      <c r="D1923" s="603"/>
      <c r="E1923" s="604"/>
      <c r="F1923" s="607" t="s">
        <v>1277</v>
      </c>
      <c r="G1923" s="606">
        <v>-75.094569103364094</v>
      </c>
    </row>
    <row r="1924" spans="1:7" ht="11.1" customHeight="1">
      <c r="A1924" s="600" t="str">
        <f t="shared" si="145"/>
        <v>MXN;MXN :STD;1092D</v>
      </c>
      <c r="B1924" s="600" t="str">
        <f t="shared" si="149"/>
        <v>MXN</v>
      </c>
      <c r="C1924" s="600" t="str">
        <f t="shared" si="149"/>
        <v>MXN :STD</v>
      </c>
      <c r="D1924" s="603"/>
      <c r="E1924" s="604"/>
      <c r="F1924" s="607" t="s">
        <v>1278</v>
      </c>
      <c r="G1924" s="606">
        <v>-116.82849963667</v>
      </c>
    </row>
    <row r="1925" spans="1:7" ht="11.1" customHeight="1">
      <c r="A1925" s="600" t="str">
        <f t="shared" ref="A1925:A1988" si="150">B1925&amp;";"&amp;C1925&amp;";"&amp;F1925</f>
        <v>MXN;MXN :STD;1456D</v>
      </c>
      <c r="B1925" s="600" t="str">
        <f t="shared" ref="B1925:C1940" si="151">IF(ISBLANK(D1925),B1924,D1925)</f>
        <v>MXN</v>
      </c>
      <c r="C1925" s="600" t="str">
        <f t="shared" si="151"/>
        <v>MXN :STD</v>
      </c>
      <c r="D1925" s="603"/>
      <c r="E1925" s="604"/>
      <c r="F1925" s="607" t="s">
        <v>1279</v>
      </c>
      <c r="G1925" s="606">
        <v>-164.11001734092201</v>
      </c>
    </row>
    <row r="1926" spans="1:7" ht="11.1" customHeight="1">
      <c r="A1926" s="600" t="str">
        <f t="shared" si="150"/>
        <v>MXN;MXN :STD;1820D</v>
      </c>
      <c r="B1926" s="600" t="str">
        <f t="shared" si="151"/>
        <v>MXN</v>
      </c>
      <c r="C1926" s="600" t="str">
        <f t="shared" si="151"/>
        <v>MXN :STD</v>
      </c>
      <c r="D1926" s="603"/>
      <c r="E1926" s="604"/>
      <c r="F1926" s="607" t="s">
        <v>1280</v>
      </c>
      <c r="G1926" s="606">
        <v>-343.51783107765601</v>
      </c>
    </row>
    <row r="1927" spans="1:7" ht="11.1" customHeight="1">
      <c r="A1927" s="600" t="str">
        <f t="shared" si="150"/>
        <v>MXN;MXN :STD;2548D</v>
      </c>
      <c r="B1927" s="600" t="str">
        <f t="shared" si="151"/>
        <v>MXN</v>
      </c>
      <c r="C1927" s="600" t="str">
        <f t="shared" si="151"/>
        <v>MXN :STD</v>
      </c>
      <c r="D1927" s="603"/>
      <c r="E1927" s="604"/>
      <c r="F1927" s="607" t="s">
        <v>1281</v>
      </c>
      <c r="G1927" s="606">
        <v>-197.86310436426101</v>
      </c>
    </row>
    <row r="1928" spans="1:7" ht="11.1" customHeight="1">
      <c r="A1928" s="600" t="str">
        <f t="shared" si="150"/>
        <v>MXN;MXN :STD;3640D</v>
      </c>
      <c r="B1928" s="600" t="str">
        <f t="shared" si="151"/>
        <v>MXN</v>
      </c>
      <c r="C1928" s="600" t="str">
        <f t="shared" si="151"/>
        <v>MXN :STD</v>
      </c>
      <c r="D1928" s="603"/>
      <c r="E1928" s="604"/>
      <c r="F1928" s="607" t="s">
        <v>1282</v>
      </c>
      <c r="G1928" s="608">
        <v>0</v>
      </c>
    </row>
    <row r="1929" spans="1:7" ht="11.1" customHeight="1">
      <c r="A1929" s="600" t="str">
        <f t="shared" si="150"/>
        <v>MXN;MXN :STD;5460D</v>
      </c>
      <c r="B1929" s="600" t="str">
        <f t="shared" si="151"/>
        <v>MXN</v>
      </c>
      <c r="C1929" s="600" t="str">
        <f t="shared" si="151"/>
        <v>MXN :STD</v>
      </c>
      <c r="D1929" s="603"/>
      <c r="E1929" s="604"/>
      <c r="F1929" s="607" t="s">
        <v>1283</v>
      </c>
      <c r="G1929" s="608">
        <v>0</v>
      </c>
    </row>
    <row r="1930" spans="1:7" ht="11.1" customHeight="1">
      <c r="A1930" s="600" t="str">
        <f t="shared" si="150"/>
        <v>MXN;MXN :STD;7280D</v>
      </c>
      <c r="B1930" s="600" t="str">
        <f t="shared" si="151"/>
        <v>MXN</v>
      </c>
      <c r="C1930" s="600" t="str">
        <f t="shared" si="151"/>
        <v>MXN :STD</v>
      </c>
      <c r="D1930" s="603"/>
      <c r="E1930" s="604"/>
      <c r="F1930" s="607" t="s">
        <v>1284</v>
      </c>
      <c r="G1930" s="608">
        <v>0</v>
      </c>
    </row>
    <row r="1931" spans="1:7" ht="11.1" customHeight="1">
      <c r="A1931" s="600" t="str">
        <f t="shared" si="150"/>
        <v>MXN;MXN FOREX;Total MXN FOREX</v>
      </c>
      <c r="B1931" s="600" t="str">
        <f t="shared" si="151"/>
        <v>MXN</v>
      </c>
      <c r="C1931" s="600" t="str">
        <f t="shared" si="151"/>
        <v>MXN FOREX</v>
      </c>
      <c r="D1931" s="603"/>
      <c r="E1931" s="604" t="s">
        <v>1285</v>
      </c>
      <c r="F1931" s="605" t="s">
        <v>1286</v>
      </c>
      <c r="G1931" s="611">
        <v>1.1534507356811501</v>
      </c>
    </row>
    <row r="1932" spans="1:7" ht="11.1" customHeight="1">
      <c r="A1932" s="600" t="str">
        <f t="shared" si="150"/>
        <v>MXN;MXN FOREX;O/N</v>
      </c>
      <c r="B1932" s="600" t="str">
        <f t="shared" si="151"/>
        <v>MXN</v>
      </c>
      <c r="C1932" s="600" t="str">
        <f t="shared" si="151"/>
        <v>MXN FOREX</v>
      </c>
      <c r="D1932" s="603"/>
      <c r="E1932" s="604"/>
      <c r="F1932" s="607" t="s">
        <v>3</v>
      </c>
      <c r="G1932" s="611">
        <v>0.86501351978950103</v>
      </c>
    </row>
    <row r="1933" spans="1:7" ht="11.1" customHeight="1">
      <c r="A1933" s="600" t="str">
        <f t="shared" si="150"/>
        <v>MXN;MXN FOREX;T/N</v>
      </c>
      <c r="B1933" s="600" t="str">
        <f t="shared" si="151"/>
        <v>MXN</v>
      </c>
      <c r="C1933" s="600" t="str">
        <f t="shared" si="151"/>
        <v>MXN FOREX</v>
      </c>
      <c r="D1933" s="603"/>
      <c r="E1933" s="604"/>
      <c r="F1933" s="607" t="s">
        <v>4</v>
      </c>
      <c r="G1933" s="611">
        <v>0.288437215891789</v>
      </c>
    </row>
    <row r="1934" spans="1:7" ht="11.1" customHeight="1">
      <c r="A1934" s="600" t="str">
        <f t="shared" si="150"/>
        <v>MXN;MXN FOREX;S/N</v>
      </c>
      <c r="B1934" s="600" t="str">
        <f t="shared" si="151"/>
        <v>MXN</v>
      </c>
      <c r="C1934" s="600" t="str">
        <f t="shared" si="151"/>
        <v>MXN FOREX</v>
      </c>
      <c r="D1934" s="603"/>
      <c r="E1934" s="604"/>
      <c r="F1934" s="607" t="s">
        <v>23</v>
      </c>
      <c r="G1934" s="608">
        <v>0</v>
      </c>
    </row>
    <row r="1935" spans="1:7" ht="11.1" customHeight="1">
      <c r="A1935" s="600" t="str">
        <f t="shared" si="150"/>
        <v>MXN;MXN FOREX;1W</v>
      </c>
      <c r="B1935" s="600" t="str">
        <f t="shared" si="151"/>
        <v>MXN</v>
      </c>
      <c r="C1935" s="600" t="str">
        <f t="shared" si="151"/>
        <v>MXN FOREX</v>
      </c>
      <c r="D1935" s="603"/>
      <c r="E1935" s="604"/>
      <c r="F1935" s="607" t="s">
        <v>5</v>
      </c>
      <c r="G1935" s="608">
        <v>0</v>
      </c>
    </row>
    <row r="1936" spans="1:7" ht="11.1" customHeight="1">
      <c r="A1936" s="600" t="str">
        <f t="shared" si="150"/>
        <v>MXN;MXN FOREX;2W</v>
      </c>
      <c r="B1936" s="600" t="str">
        <f t="shared" si="151"/>
        <v>MXN</v>
      </c>
      <c r="C1936" s="600" t="str">
        <f t="shared" si="151"/>
        <v>MXN FOREX</v>
      </c>
      <c r="D1936" s="603"/>
      <c r="E1936" s="604"/>
      <c r="F1936" s="607" t="s">
        <v>6</v>
      </c>
      <c r="G1936" s="608">
        <v>0</v>
      </c>
    </row>
    <row r="1937" spans="1:7" ht="11.1" customHeight="1">
      <c r="A1937" s="600" t="str">
        <f t="shared" si="150"/>
        <v>MXN;MXN FOREX;3W</v>
      </c>
      <c r="B1937" s="600" t="str">
        <f t="shared" si="151"/>
        <v>MXN</v>
      </c>
      <c r="C1937" s="600" t="str">
        <f t="shared" si="151"/>
        <v>MXN FOREX</v>
      </c>
      <c r="D1937" s="603"/>
      <c r="E1937" s="604"/>
      <c r="F1937" s="607" t="s">
        <v>24</v>
      </c>
      <c r="G1937" s="608">
        <v>0</v>
      </c>
    </row>
    <row r="1938" spans="1:7" ht="11.1" customHeight="1">
      <c r="A1938" s="600" t="str">
        <f t="shared" si="150"/>
        <v>MXN;MXN FOREX;1M</v>
      </c>
      <c r="B1938" s="600" t="str">
        <f t="shared" si="151"/>
        <v>MXN</v>
      </c>
      <c r="C1938" s="600" t="str">
        <f t="shared" si="151"/>
        <v>MXN FOREX</v>
      </c>
      <c r="D1938" s="603"/>
      <c r="E1938" s="604"/>
      <c r="F1938" s="607" t="s">
        <v>7</v>
      </c>
      <c r="G1938" s="608">
        <v>0</v>
      </c>
    </row>
    <row r="1939" spans="1:7" ht="11.1" customHeight="1">
      <c r="A1939" s="600" t="str">
        <f t="shared" si="150"/>
        <v>MXN;MXN FOREX;2M</v>
      </c>
      <c r="B1939" s="600" t="str">
        <f t="shared" si="151"/>
        <v>MXN</v>
      </c>
      <c r="C1939" s="600" t="str">
        <f t="shared" si="151"/>
        <v>MXN FOREX</v>
      </c>
      <c r="D1939" s="603"/>
      <c r="E1939" s="604"/>
      <c r="F1939" s="607" t="s">
        <v>8</v>
      </c>
      <c r="G1939" s="608">
        <v>0</v>
      </c>
    </row>
    <row r="1940" spans="1:7" ht="11.1" customHeight="1">
      <c r="A1940" s="600" t="str">
        <f t="shared" si="150"/>
        <v>MXN;MXN FOREX;3M</v>
      </c>
      <c r="B1940" s="600" t="str">
        <f t="shared" si="151"/>
        <v>MXN</v>
      </c>
      <c r="C1940" s="600" t="str">
        <f t="shared" si="151"/>
        <v>MXN FOREX</v>
      </c>
      <c r="D1940" s="603"/>
      <c r="E1940" s="604"/>
      <c r="F1940" s="607" t="s">
        <v>25</v>
      </c>
      <c r="G1940" s="608">
        <v>0</v>
      </c>
    </row>
    <row r="1941" spans="1:7" ht="11.1" customHeight="1">
      <c r="A1941" s="600" t="str">
        <f t="shared" si="150"/>
        <v>MXN;MXN FOREX;4M</v>
      </c>
      <c r="B1941" s="600" t="str">
        <f t="shared" ref="B1941:C1956" si="152">IF(ISBLANK(D1941),B1940,D1941)</f>
        <v>MXN</v>
      </c>
      <c r="C1941" s="600" t="str">
        <f t="shared" si="152"/>
        <v>MXN FOREX</v>
      </c>
      <c r="D1941" s="603"/>
      <c r="E1941" s="604"/>
      <c r="F1941" s="607" t="s">
        <v>26</v>
      </c>
      <c r="G1941" s="608">
        <v>0</v>
      </c>
    </row>
    <row r="1942" spans="1:7" ht="11.1" customHeight="1">
      <c r="A1942" s="600" t="str">
        <f t="shared" si="150"/>
        <v>MXN;MXN FOREX;5M</v>
      </c>
      <c r="B1942" s="600" t="str">
        <f t="shared" si="152"/>
        <v>MXN</v>
      </c>
      <c r="C1942" s="600" t="str">
        <f t="shared" si="152"/>
        <v>MXN FOREX</v>
      </c>
      <c r="D1942" s="603"/>
      <c r="E1942" s="604"/>
      <c r="F1942" s="607" t="s">
        <v>27</v>
      </c>
      <c r="G1942" s="608">
        <v>0</v>
      </c>
    </row>
    <row r="1943" spans="1:7" ht="11.1" customHeight="1">
      <c r="A1943" s="600" t="str">
        <f t="shared" si="150"/>
        <v>MXN;MXN FOREX;6M</v>
      </c>
      <c r="B1943" s="600" t="str">
        <f t="shared" si="152"/>
        <v>MXN</v>
      </c>
      <c r="C1943" s="600" t="str">
        <f t="shared" si="152"/>
        <v>MXN FOREX</v>
      </c>
      <c r="D1943" s="603"/>
      <c r="E1943" s="604"/>
      <c r="F1943" s="607" t="s">
        <v>28</v>
      </c>
      <c r="G1943" s="608">
        <v>0</v>
      </c>
    </row>
    <row r="1944" spans="1:7" ht="11.1" customHeight="1">
      <c r="A1944" s="600" t="str">
        <f t="shared" si="150"/>
        <v>MXN;MXN FOREX;7M</v>
      </c>
      <c r="B1944" s="600" t="str">
        <f t="shared" si="152"/>
        <v>MXN</v>
      </c>
      <c r="C1944" s="600" t="str">
        <f t="shared" si="152"/>
        <v>MXN FOREX</v>
      </c>
      <c r="D1944" s="603"/>
      <c r="E1944" s="604"/>
      <c r="F1944" s="607" t="s">
        <v>29</v>
      </c>
      <c r="G1944" s="608">
        <v>0</v>
      </c>
    </row>
    <row r="1945" spans="1:7" ht="11.1" customHeight="1">
      <c r="A1945" s="600" t="str">
        <f t="shared" si="150"/>
        <v>MXN;MXN FOREX;8M</v>
      </c>
      <c r="B1945" s="600" t="str">
        <f t="shared" si="152"/>
        <v>MXN</v>
      </c>
      <c r="C1945" s="600" t="str">
        <f t="shared" si="152"/>
        <v>MXN FOREX</v>
      </c>
      <c r="D1945" s="603"/>
      <c r="E1945" s="604"/>
      <c r="F1945" s="607" t="s">
        <v>30</v>
      </c>
      <c r="G1945" s="608">
        <v>0</v>
      </c>
    </row>
    <row r="1946" spans="1:7" ht="11.1" customHeight="1">
      <c r="A1946" s="600" t="str">
        <f t="shared" si="150"/>
        <v>MXN;MXN FOREX;9M</v>
      </c>
      <c r="B1946" s="600" t="str">
        <f t="shared" si="152"/>
        <v>MXN</v>
      </c>
      <c r="C1946" s="600" t="str">
        <f t="shared" si="152"/>
        <v>MXN FOREX</v>
      </c>
      <c r="D1946" s="603"/>
      <c r="E1946" s="604"/>
      <c r="F1946" s="607" t="s">
        <v>49</v>
      </c>
      <c r="G1946" s="608">
        <v>0</v>
      </c>
    </row>
    <row r="1947" spans="1:7" ht="11.1" customHeight="1">
      <c r="A1947" s="600" t="str">
        <f t="shared" si="150"/>
        <v>MXN;MXN FOREX;10M</v>
      </c>
      <c r="B1947" s="600" t="str">
        <f t="shared" si="152"/>
        <v>MXN</v>
      </c>
      <c r="C1947" s="600" t="str">
        <f t="shared" si="152"/>
        <v>MXN FOREX</v>
      </c>
      <c r="D1947" s="603"/>
      <c r="E1947" s="604"/>
      <c r="F1947" s="607" t="s">
        <v>50</v>
      </c>
      <c r="G1947" s="608">
        <v>0</v>
      </c>
    </row>
    <row r="1948" spans="1:7" ht="11.1" customHeight="1">
      <c r="A1948" s="600" t="str">
        <f t="shared" si="150"/>
        <v>MXN;MXN FOREX;11M</v>
      </c>
      <c r="B1948" s="600" t="str">
        <f t="shared" si="152"/>
        <v>MXN</v>
      </c>
      <c r="C1948" s="600" t="str">
        <f t="shared" si="152"/>
        <v>MXN FOREX</v>
      </c>
      <c r="D1948" s="603"/>
      <c r="E1948" s="604"/>
      <c r="F1948" s="607" t="s">
        <v>51</v>
      </c>
      <c r="G1948" s="608">
        <v>0</v>
      </c>
    </row>
    <row r="1949" spans="1:7" ht="11.1" customHeight="1">
      <c r="A1949" s="600" t="str">
        <f t="shared" si="150"/>
        <v>MXN;MXN FOREX;12M</v>
      </c>
      <c r="B1949" s="600" t="str">
        <f t="shared" si="152"/>
        <v>MXN</v>
      </c>
      <c r="C1949" s="600" t="str">
        <f t="shared" si="152"/>
        <v>MXN FOREX</v>
      </c>
      <c r="D1949" s="603"/>
      <c r="E1949" s="604"/>
      <c r="F1949" s="607" t="s">
        <v>52</v>
      </c>
      <c r="G1949" s="608">
        <v>0</v>
      </c>
    </row>
    <row r="1950" spans="1:7" ht="11.1" customHeight="1">
      <c r="A1950" s="600" t="str">
        <f t="shared" si="150"/>
        <v>MXN;MXN FOREX;15M</v>
      </c>
      <c r="B1950" s="600" t="str">
        <f t="shared" si="152"/>
        <v>MXN</v>
      </c>
      <c r="C1950" s="600" t="str">
        <f t="shared" si="152"/>
        <v>MXN FOREX</v>
      </c>
      <c r="D1950" s="603"/>
      <c r="E1950" s="604"/>
      <c r="F1950" s="607" t="s">
        <v>53</v>
      </c>
      <c r="G1950" s="608">
        <v>0</v>
      </c>
    </row>
    <row r="1951" spans="1:7" ht="11.1" customHeight="1">
      <c r="A1951" s="600" t="str">
        <f t="shared" si="150"/>
        <v>MXN;MXN FOREX;18M</v>
      </c>
      <c r="B1951" s="600" t="str">
        <f t="shared" si="152"/>
        <v>MXN</v>
      </c>
      <c r="C1951" s="600" t="str">
        <f t="shared" si="152"/>
        <v>MXN FOREX</v>
      </c>
      <c r="D1951" s="603"/>
      <c r="E1951" s="604"/>
      <c r="F1951" s="607" t="s">
        <v>54</v>
      </c>
      <c r="G1951" s="608">
        <v>0</v>
      </c>
    </row>
    <row r="1952" spans="1:7" ht="11.1" customHeight="1">
      <c r="A1952" s="600" t="str">
        <f t="shared" si="150"/>
        <v>MXN;MXN FOREX;24M</v>
      </c>
      <c r="B1952" s="600" t="str">
        <f t="shared" si="152"/>
        <v>MXN</v>
      </c>
      <c r="C1952" s="600" t="str">
        <f t="shared" si="152"/>
        <v>MXN FOREX</v>
      </c>
      <c r="D1952" s="603"/>
      <c r="E1952" s="604"/>
      <c r="F1952" s="607" t="s">
        <v>659</v>
      </c>
      <c r="G1952" s="608">
        <v>0</v>
      </c>
    </row>
    <row r="1953" spans="1:7" ht="11.1" customHeight="1">
      <c r="A1953" s="600" t="str">
        <f t="shared" si="150"/>
        <v>MXN;MXN FOREX;1008D</v>
      </c>
      <c r="B1953" s="600" t="str">
        <f t="shared" si="152"/>
        <v>MXN</v>
      </c>
      <c r="C1953" s="600" t="str">
        <f t="shared" si="152"/>
        <v>MXN FOREX</v>
      </c>
      <c r="D1953" s="603"/>
      <c r="E1953" s="604"/>
      <c r="F1953" s="607" t="s">
        <v>1287</v>
      </c>
      <c r="G1953" s="608">
        <v>0</v>
      </c>
    </row>
    <row r="1954" spans="1:7" ht="11.1" customHeight="1">
      <c r="A1954" s="600" t="str">
        <f t="shared" si="150"/>
        <v>MXN;MXN FOREX;1344D</v>
      </c>
      <c r="B1954" s="600" t="str">
        <f t="shared" si="152"/>
        <v>MXN</v>
      </c>
      <c r="C1954" s="600" t="str">
        <f t="shared" si="152"/>
        <v>MXN FOREX</v>
      </c>
      <c r="D1954" s="603"/>
      <c r="E1954" s="604"/>
      <c r="F1954" s="607" t="s">
        <v>1288</v>
      </c>
      <c r="G1954" s="608">
        <v>0</v>
      </c>
    </row>
    <row r="1955" spans="1:7" ht="11.1" customHeight="1">
      <c r="A1955" s="600" t="str">
        <f t="shared" si="150"/>
        <v>MXN;MXN FOREX;1680D</v>
      </c>
      <c r="B1955" s="600" t="str">
        <f t="shared" si="152"/>
        <v>MXN</v>
      </c>
      <c r="C1955" s="600" t="str">
        <f t="shared" si="152"/>
        <v>MXN FOREX</v>
      </c>
      <c r="D1955" s="603"/>
      <c r="E1955" s="604"/>
      <c r="F1955" s="607" t="s">
        <v>1289</v>
      </c>
      <c r="G1955" s="608">
        <v>0</v>
      </c>
    </row>
    <row r="1956" spans="1:7" ht="11.1" customHeight="1">
      <c r="A1956" s="600" t="str">
        <f t="shared" si="150"/>
        <v>MXN;MXN FOREX;2016D</v>
      </c>
      <c r="B1956" s="600" t="str">
        <f t="shared" si="152"/>
        <v>MXN</v>
      </c>
      <c r="C1956" s="600" t="str">
        <f t="shared" si="152"/>
        <v>MXN FOREX</v>
      </c>
      <c r="D1956" s="603"/>
      <c r="E1956" s="604"/>
      <c r="F1956" s="607" t="s">
        <v>1290</v>
      </c>
      <c r="G1956" s="608">
        <v>0</v>
      </c>
    </row>
    <row r="1957" spans="1:7" ht="11.1" customHeight="1">
      <c r="A1957" s="600" t="str">
        <f t="shared" si="150"/>
        <v>MXN;MXN FOREX;2352D</v>
      </c>
      <c r="B1957" s="600" t="str">
        <f t="shared" ref="B1957:C1972" si="153">IF(ISBLANK(D1957),B1956,D1957)</f>
        <v>MXN</v>
      </c>
      <c r="C1957" s="600" t="str">
        <f t="shared" si="153"/>
        <v>MXN FOREX</v>
      </c>
      <c r="D1957" s="603"/>
      <c r="E1957" s="604"/>
      <c r="F1957" s="607" t="s">
        <v>1291</v>
      </c>
      <c r="G1957" s="608">
        <v>0</v>
      </c>
    </row>
    <row r="1958" spans="1:7" ht="11.1" customHeight="1">
      <c r="A1958" s="600" t="str">
        <f t="shared" si="150"/>
        <v>MXN;MXN FOREX;2688D</v>
      </c>
      <c r="B1958" s="600" t="str">
        <f t="shared" si="153"/>
        <v>MXN</v>
      </c>
      <c r="C1958" s="600" t="str">
        <f t="shared" si="153"/>
        <v>MXN FOREX</v>
      </c>
      <c r="D1958" s="603"/>
      <c r="E1958" s="604"/>
      <c r="F1958" s="607" t="s">
        <v>1292</v>
      </c>
      <c r="G1958" s="608">
        <v>0</v>
      </c>
    </row>
    <row r="1959" spans="1:7" ht="11.1" customHeight="1">
      <c r="A1959" s="600" t="str">
        <f t="shared" si="150"/>
        <v>MXN;MXN FOREX;3024D</v>
      </c>
      <c r="B1959" s="600" t="str">
        <f t="shared" si="153"/>
        <v>MXN</v>
      </c>
      <c r="C1959" s="600" t="str">
        <f t="shared" si="153"/>
        <v>MXN FOREX</v>
      </c>
      <c r="D1959" s="603"/>
      <c r="E1959" s="604"/>
      <c r="F1959" s="607" t="s">
        <v>1293</v>
      </c>
      <c r="G1959" s="608">
        <v>0</v>
      </c>
    </row>
    <row r="1960" spans="1:7" ht="11.1" customHeight="1">
      <c r="A1960" s="600" t="str">
        <f t="shared" si="150"/>
        <v>MXN;MXN FOREX;3360D</v>
      </c>
      <c r="B1960" s="600" t="str">
        <f t="shared" si="153"/>
        <v>MXN</v>
      </c>
      <c r="C1960" s="600" t="str">
        <f t="shared" si="153"/>
        <v>MXN FOREX</v>
      </c>
      <c r="D1960" s="603"/>
      <c r="E1960" s="604"/>
      <c r="F1960" s="607" t="s">
        <v>1294</v>
      </c>
      <c r="G1960" s="608">
        <v>0</v>
      </c>
    </row>
    <row r="1961" spans="1:7" ht="11.1" customHeight="1">
      <c r="A1961" s="600" t="str">
        <f t="shared" si="150"/>
        <v>MYR;Total MYR;</v>
      </c>
      <c r="B1961" s="600" t="str">
        <f t="shared" si="153"/>
        <v>MYR</v>
      </c>
      <c r="C1961" s="600" t="str">
        <f t="shared" si="153"/>
        <v>Total MYR</v>
      </c>
      <c r="D1961" s="603" t="s">
        <v>1295</v>
      </c>
      <c r="E1961" s="609" t="s">
        <v>1296</v>
      </c>
      <c r="F1961" s="609"/>
      <c r="G1961" s="612">
        <v>-6.7166528527361997</v>
      </c>
    </row>
    <row r="1962" spans="1:7" ht="11.1" customHeight="1">
      <c r="A1962" s="600" t="str">
        <f t="shared" si="150"/>
        <v>MYR;MYR FOREX;Total MYR FOREX</v>
      </c>
      <c r="B1962" s="600" t="str">
        <f t="shared" si="153"/>
        <v>MYR</v>
      </c>
      <c r="C1962" s="600" t="str">
        <f t="shared" si="153"/>
        <v>MYR FOREX</v>
      </c>
      <c r="D1962" s="603"/>
      <c r="E1962" s="604" t="s">
        <v>1297</v>
      </c>
      <c r="F1962" s="605" t="s">
        <v>1298</v>
      </c>
      <c r="G1962" s="611">
        <v>155.34580465408601</v>
      </c>
    </row>
    <row r="1963" spans="1:7" ht="11.1" customHeight="1">
      <c r="A1963" s="600" t="str">
        <f t="shared" si="150"/>
        <v>MYR;MYR FOREX;O/N</v>
      </c>
      <c r="B1963" s="600" t="str">
        <f t="shared" si="153"/>
        <v>MYR</v>
      </c>
      <c r="C1963" s="600" t="str">
        <f t="shared" si="153"/>
        <v>MYR FOREX</v>
      </c>
      <c r="D1963" s="603"/>
      <c r="E1963" s="604"/>
      <c r="F1963" s="607" t="s">
        <v>3</v>
      </c>
      <c r="G1963" s="611">
        <v>1.9440195401214701E-3</v>
      </c>
    </row>
    <row r="1964" spans="1:7" ht="11.1" customHeight="1">
      <c r="A1964" s="600" t="str">
        <f t="shared" si="150"/>
        <v>MYR;MYR FOREX;T/N</v>
      </c>
      <c r="B1964" s="600" t="str">
        <f t="shared" si="153"/>
        <v>MYR</v>
      </c>
      <c r="C1964" s="600" t="str">
        <f t="shared" si="153"/>
        <v>MYR FOREX</v>
      </c>
      <c r="D1964" s="603"/>
      <c r="E1964" s="604"/>
      <c r="F1964" s="607" t="s">
        <v>4</v>
      </c>
      <c r="G1964" s="611">
        <v>6.48112848687406E-4</v>
      </c>
    </row>
    <row r="1965" spans="1:7" ht="11.1" customHeight="1">
      <c r="A1965" s="600" t="str">
        <f t="shared" si="150"/>
        <v>MYR;MYR FOREX;1W</v>
      </c>
      <c r="B1965" s="600" t="str">
        <f t="shared" si="153"/>
        <v>MYR</v>
      </c>
      <c r="C1965" s="600" t="str">
        <f t="shared" si="153"/>
        <v>MYR FOREX</v>
      </c>
      <c r="D1965" s="603"/>
      <c r="E1965" s="604"/>
      <c r="F1965" s="607" t="s">
        <v>5</v>
      </c>
      <c r="G1965" s="608">
        <v>0</v>
      </c>
    </row>
    <row r="1966" spans="1:7" ht="11.1" customHeight="1">
      <c r="A1966" s="600" t="str">
        <f t="shared" si="150"/>
        <v>MYR;MYR FOREX;2W</v>
      </c>
      <c r="B1966" s="600" t="str">
        <f t="shared" si="153"/>
        <v>MYR</v>
      </c>
      <c r="C1966" s="600" t="str">
        <f t="shared" si="153"/>
        <v>MYR FOREX</v>
      </c>
      <c r="D1966" s="603"/>
      <c r="E1966" s="604"/>
      <c r="F1966" s="607" t="s">
        <v>6</v>
      </c>
      <c r="G1966" s="608">
        <v>0</v>
      </c>
    </row>
    <row r="1967" spans="1:7" ht="11.1" customHeight="1">
      <c r="A1967" s="600" t="str">
        <f t="shared" si="150"/>
        <v>MYR;MYR FOREX;3W</v>
      </c>
      <c r="B1967" s="600" t="str">
        <f t="shared" si="153"/>
        <v>MYR</v>
      </c>
      <c r="C1967" s="600" t="str">
        <f t="shared" si="153"/>
        <v>MYR FOREX</v>
      </c>
      <c r="D1967" s="603"/>
      <c r="E1967" s="604"/>
      <c r="F1967" s="607" t="s">
        <v>24</v>
      </c>
      <c r="G1967" s="608">
        <v>0</v>
      </c>
    </row>
    <row r="1968" spans="1:7" ht="11.1" customHeight="1">
      <c r="A1968" s="600" t="str">
        <f t="shared" si="150"/>
        <v>MYR;MYR FOREX;1M</v>
      </c>
      <c r="B1968" s="600" t="str">
        <f t="shared" si="153"/>
        <v>MYR</v>
      </c>
      <c r="C1968" s="600" t="str">
        <f t="shared" si="153"/>
        <v>MYR FOREX</v>
      </c>
      <c r="D1968" s="603"/>
      <c r="E1968" s="604"/>
      <c r="F1968" s="607" t="s">
        <v>7</v>
      </c>
      <c r="G1968" s="608">
        <v>0</v>
      </c>
    </row>
    <row r="1969" spans="1:7" ht="11.1" customHeight="1">
      <c r="A1969" s="600" t="str">
        <f t="shared" si="150"/>
        <v>MYR;MYR FOREX;2M</v>
      </c>
      <c r="B1969" s="600" t="str">
        <f t="shared" si="153"/>
        <v>MYR</v>
      </c>
      <c r="C1969" s="600" t="str">
        <f t="shared" si="153"/>
        <v>MYR FOREX</v>
      </c>
      <c r="D1969" s="603"/>
      <c r="E1969" s="604"/>
      <c r="F1969" s="607" t="s">
        <v>8</v>
      </c>
      <c r="G1969" s="608">
        <v>0</v>
      </c>
    </row>
    <row r="1970" spans="1:7" ht="11.1" customHeight="1">
      <c r="A1970" s="600" t="str">
        <f t="shared" si="150"/>
        <v>MYR;MYR FOREX;3M</v>
      </c>
      <c r="B1970" s="600" t="str">
        <f t="shared" si="153"/>
        <v>MYR</v>
      </c>
      <c r="C1970" s="600" t="str">
        <f t="shared" si="153"/>
        <v>MYR FOREX</v>
      </c>
      <c r="D1970" s="603"/>
      <c r="E1970" s="604"/>
      <c r="F1970" s="607" t="s">
        <v>25</v>
      </c>
      <c r="G1970" s="611">
        <v>155.34321252169701</v>
      </c>
    </row>
    <row r="1971" spans="1:7" ht="11.1" customHeight="1">
      <c r="A1971" s="600" t="str">
        <f t="shared" si="150"/>
        <v>MYR;MYR FOREX;4M</v>
      </c>
      <c r="B1971" s="600" t="str">
        <f t="shared" si="153"/>
        <v>MYR</v>
      </c>
      <c r="C1971" s="600" t="str">
        <f t="shared" si="153"/>
        <v>MYR FOREX</v>
      </c>
      <c r="D1971" s="603"/>
      <c r="E1971" s="604"/>
      <c r="F1971" s="607" t="s">
        <v>26</v>
      </c>
      <c r="G1971" s="608">
        <v>0</v>
      </c>
    </row>
    <row r="1972" spans="1:7" ht="11.1" customHeight="1">
      <c r="A1972" s="600" t="str">
        <f t="shared" si="150"/>
        <v>MYR;MYR FOREX;5M</v>
      </c>
      <c r="B1972" s="600" t="str">
        <f t="shared" si="153"/>
        <v>MYR</v>
      </c>
      <c r="C1972" s="600" t="str">
        <f t="shared" si="153"/>
        <v>MYR FOREX</v>
      </c>
      <c r="D1972" s="603"/>
      <c r="E1972" s="604"/>
      <c r="F1972" s="607" t="s">
        <v>27</v>
      </c>
      <c r="G1972" s="608">
        <v>0</v>
      </c>
    </row>
    <row r="1973" spans="1:7" ht="11.1" customHeight="1">
      <c r="A1973" s="600" t="str">
        <f t="shared" si="150"/>
        <v>MYR;MYR FOREX;6M</v>
      </c>
      <c r="B1973" s="600" t="str">
        <f t="shared" ref="B1973:C1988" si="154">IF(ISBLANK(D1973),B1972,D1973)</f>
        <v>MYR</v>
      </c>
      <c r="C1973" s="600" t="str">
        <f t="shared" si="154"/>
        <v>MYR FOREX</v>
      </c>
      <c r="D1973" s="603"/>
      <c r="E1973" s="604"/>
      <c r="F1973" s="607" t="s">
        <v>28</v>
      </c>
      <c r="G1973" s="608">
        <v>0</v>
      </c>
    </row>
    <row r="1974" spans="1:7" ht="11.1" customHeight="1">
      <c r="A1974" s="600" t="str">
        <f t="shared" si="150"/>
        <v>MYR;MYR FOREX;7M</v>
      </c>
      <c r="B1974" s="600" t="str">
        <f t="shared" si="154"/>
        <v>MYR</v>
      </c>
      <c r="C1974" s="600" t="str">
        <f t="shared" si="154"/>
        <v>MYR FOREX</v>
      </c>
      <c r="D1974" s="603"/>
      <c r="E1974" s="604"/>
      <c r="F1974" s="607" t="s">
        <v>29</v>
      </c>
      <c r="G1974" s="608">
        <v>0</v>
      </c>
    </row>
    <row r="1975" spans="1:7" ht="11.1" customHeight="1">
      <c r="A1975" s="600" t="str">
        <f t="shared" si="150"/>
        <v>MYR;MYR FOREX;8M</v>
      </c>
      <c r="B1975" s="600" t="str">
        <f t="shared" si="154"/>
        <v>MYR</v>
      </c>
      <c r="C1975" s="600" t="str">
        <f t="shared" si="154"/>
        <v>MYR FOREX</v>
      </c>
      <c r="D1975" s="603"/>
      <c r="E1975" s="604"/>
      <c r="F1975" s="607" t="s">
        <v>30</v>
      </c>
      <c r="G1975" s="608">
        <v>0</v>
      </c>
    </row>
    <row r="1976" spans="1:7" ht="11.1" customHeight="1">
      <c r="A1976" s="600" t="str">
        <f t="shared" si="150"/>
        <v>MYR;MYR FOREX;9M</v>
      </c>
      <c r="B1976" s="600" t="str">
        <f t="shared" si="154"/>
        <v>MYR</v>
      </c>
      <c r="C1976" s="600" t="str">
        <f t="shared" si="154"/>
        <v>MYR FOREX</v>
      </c>
      <c r="D1976" s="603"/>
      <c r="E1976" s="604"/>
      <c r="F1976" s="607" t="s">
        <v>49</v>
      </c>
      <c r="G1976" s="608">
        <v>0</v>
      </c>
    </row>
    <row r="1977" spans="1:7" ht="11.1" customHeight="1">
      <c r="A1977" s="600" t="str">
        <f t="shared" si="150"/>
        <v>MYR;MYR FOREX;10M</v>
      </c>
      <c r="B1977" s="600" t="str">
        <f t="shared" si="154"/>
        <v>MYR</v>
      </c>
      <c r="C1977" s="600" t="str">
        <f t="shared" si="154"/>
        <v>MYR FOREX</v>
      </c>
      <c r="D1977" s="603"/>
      <c r="E1977" s="604"/>
      <c r="F1977" s="607" t="s">
        <v>50</v>
      </c>
      <c r="G1977" s="608">
        <v>0</v>
      </c>
    </row>
    <row r="1978" spans="1:7" ht="11.1" customHeight="1">
      <c r="A1978" s="600" t="str">
        <f t="shared" si="150"/>
        <v>MYR;MYR FOREX;11M</v>
      </c>
      <c r="B1978" s="600" t="str">
        <f t="shared" si="154"/>
        <v>MYR</v>
      </c>
      <c r="C1978" s="600" t="str">
        <f t="shared" si="154"/>
        <v>MYR FOREX</v>
      </c>
      <c r="D1978" s="603"/>
      <c r="E1978" s="604"/>
      <c r="F1978" s="607" t="s">
        <v>51</v>
      </c>
      <c r="G1978" s="608">
        <v>0</v>
      </c>
    </row>
    <row r="1979" spans="1:7" ht="11.1" customHeight="1">
      <c r="A1979" s="600" t="str">
        <f t="shared" si="150"/>
        <v>MYR;MYR FOREX;12M</v>
      </c>
      <c r="B1979" s="600" t="str">
        <f t="shared" si="154"/>
        <v>MYR</v>
      </c>
      <c r="C1979" s="600" t="str">
        <f t="shared" si="154"/>
        <v>MYR FOREX</v>
      </c>
      <c r="D1979" s="603"/>
      <c r="E1979" s="604"/>
      <c r="F1979" s="607" t="s">
        <v>52</v>
      </c>
      <c r="G1979" s="608">
        <v>0</v>
      </c>
    </row>
    <row r="1980" spans="1:7" ht="11.1" customHeight="1">
      <c r="A1980" s="600" t="str">
        <f t="shared" si="150"/>
        <v>MYR;MYR FOREX;15M</v>
      </c>
      <c r="B1980" s="600" t="str">
        <f t="shared" si="154"/>
        <v>MYR</v>
      </c>
      <c r="C1980" s="600" t="str">
        <f t="shared" si="154"/>
        <v>MYR FOREX</v>
      </c>
      <c r="D1980" s="603"/>
      <c r="E1980" s="604"/>
      <c r="F1980" s="607" t="s">
        <v>53</v>
      </c>
      <c r="G1980" s="608">
        <v>0</v>
      </c>
    </row>
    <row r="1981" spans="1:7" ht="11.1" customHeight="1">
      <c r="A1981" s="600" t="str">
        <f t="shared" si="150"/>
        <v>MYR;MYR FOREX;18M</v>
      </c>
      <c r="B1981" s="600" t="str">
        <f t="shared" si="154"/>
        <v>MYR</v>
      </c>
      <c r="C1981" s="600" t="str">
        <f t="shared" si="154"/>
        <v>MYR FOREX</v>
      </c>
      <c r="D1981" s="603"/>
      <c r="E1981" s="604"/>
      <c r="F1981" s="607" t="s">
        <v>54</v>
      </c>
      <c r="G1981" s="608">
        <v>0</v>
      </c>
    </row>
    <row r="1982" spans="1:7" ht="11.1" customHeight="1">
      <c r="A1982" s="600" t="str">
        <f t="shared" si="150"/>
        <v>MYR;MYR FOREX;24M</v>
      </c>
      <c r="B1982" s="600" t="str">
        <f t="shared" si="154"/>
        <v>MYR</v>
      </c>
      <c r="C1982" s="600" t="str">
        <f t="shared" si="154"/>
        <v>MYR FOREX</v>
      </c>
      <c r="D1982" s="603"/>
      <c r="E1982" s="604"/>
      <c r="F1982" s="607" t="s">
        <v>659</v>
      </c>
      <c r="G1982" s="608">
        <v>0</v>
      </c>
    </row>
    <row r="1983" spans="1:7" ht="11.1" customHeight="1">
      <c r="A1983" s="600" t="str">
        <f t="shared" si="150"/>
        <v>MYR;MYR FOREX;3Y</v>
      </c>
      <c r="B1983" s="600" t="str">
        <f t="shared" si="154"/>
        <v>MYR</v>
      </c>
      <c r="C1983" s="600" t="str">
        <f t="shared" si="154"/>
        <v>MYR FOREX</v>
      </c>
      <c r="D1983" s="603"/>
      <c r="E1983" s="604"/>
      <c r="F1983" s="607" t="s">
        <v>10</v>
      </c>
      <c r="G1983" s="608">
        <v>0</v>
      </c>
    </row>
    <row r="1984" spans="1:7" ht="11.1" customHeight="1">
      <c r="A1984" s="600" t="str">
        <f t="shared" si="150"/>
        <v>MYR;MYR FOREX;4Y</v>
      </c>
      <c r="B1984" s="600" t="str">
        <f t="shared" si="154"/>
        <v>MYR</v>
      </c>
      <c r="C1984" s="600" t="str">
        <f t="shared" si="154"/>
        <v>MYR FOREX</v>
      </c>
      <c r="D1984" s="603"/>
      <c r="E1984" s="604"/>
      <c r="F1984" s="607" t="s">
        <v>11</v>
      </c>
      <c r="G1984" s="608">
        <v>0</v>
      </c>
    </row>
    <row r="1985" spans="1:7" ht="11.1" customHeight="1">
      <c r="A1985" s="600" t="str">
        <f t="shared" si="150"/>
        <v>MYR;MYR FOREX;5Y</v>
      </c>
      <c r="B1985" s="600" t="str">
        <f t="shared" si="154"/>
        <v>MYR</v>
      </c>
      <c r="C1985" s="600" t="str">
        <f t="shared" si="154"/>
        <v>MYR FOREX</v>
      </c>
      <c r="D1985" s="603"/>
      <c r="E1985" s="604"/>
      <c r="F1985" s="607" t="s">
        <v>12</v>
      </c>
      <c r="G1985" s="608">
        <v>0</v>
      </c>
    </row>
    <row r="1986" spans="1:7" ht="11.1" customHeight="1">
      <c r="A1986" s="600" t="str">
        <f t="shared" si="150"/>
        <v>MYR;MYR FOREX;6Y</v>
      </c>
      <c r="B1986" s="600" t="str">
        <f t="shared" si="154"/>
        <v>MYR</v>
      </c>
      <c r="C1986" s="600" t="str">
        <f t="shared" si="154"/>
        <v>MYR FOREX</v>
      </c>
      <c r="D1986" s="603"/>
      <c r="E1986" s="604"/>
      <c r="F1986" s="607" t="s">
        <v>13</v>
      </c>
      <c r="G1986" s="608">
        <v>0</v>
      </c>
    </row>
    <row r="1987" spans="1:7" ht="11.1" customHeight="1">
      <c r="A1987" s="600" t="str">
        <f t="shared" si="150"/>
        <v>MYR;MYR FOREX;7Y</v>
      </c>
      <c r="B1987" s="600" t="str">
        <f t="shared" si="154"/>
        <v>MYR</v>
      </c>
      <c r="C1987" s="600" t="str">
        <f t="shared" si="154"/>
        <v>MYR FOREX</v>
      </c>
      <c r="D1987" s="603"/>
      <c r="E1987" s="604"/>
      <c r="F1987" s="607" t="s">
        <v>14</v>
      </c>
      <c r="G1987" s="608">
        <v>0</v>
      </c>
    </row>
    <row r="1988" spans="1:7" ht="11.1" customHeight="1">
      <c r="A1988" s="600" t="str">
        <f t="shared" si="150"/>
        <v>MYR;MYR FOREX;8Y</v>
      </c>
      <c r="B1988" s="600" t="str">
        <f t="shared" si="154"/>
        <v>MYR</v>
      </c>
      <c r="C1988" s="600" t="str">
        <f t="shared" si="154"/>
        <v>MYR FOREX</v>
      </c>
      <c r="D1988" s="603"/>
      <c r="E1988" s="604"/>
      <c r="F1988" s="607" t="s">
        <v>15</v>
      </c>
      <c r="G1988" s="608">
        <v>0</v>
      </c>
    </row>
    <row r="1989" spans="1:7" ht="11.1" customHeight="1">
      <c r="A1989" s="600" t="str">
        <f t="shared" ref="A1989:A2052" si="155">B1989&amp;";"&amp;C1989&amp;";"&amp;F1989</f>
        <v>MYR;MYR FOREX;9Y</v>
      </c>
      <c r="B1989" s="600" t="str">
        <f t="shared" ref="B1989:C2004" si="156">IF(ISBLANK(D1989),B1988,D1989)</f>
        <v>MYR</v>
      </c>
      <c r="C1989" s="600" t="str">
        <f t="shared" si="156"/>
        <v>MYR FOREX</v>
      </c>
      <c r="D1989" s="603"/>
      <c r="E1989" s="604"/>
      <c r="F1989" s="607" t="s">
        <v>16</v>
      </c>
      <c r="G1989" s="608">
        <v>0</v>
      </c>
    </row>
    <row r="1990" spans="1:7" ht="11.1" customHeight="1">
      <c r="A1990" s="600" t="str">
        <f t="shared" si="155"/>
        <v>MYR;MYR FOREX;10Y</v>
      </c>
      <c r="B1990" s="600" t="str">
        <f t="shared" si="156"/>
        <v>MYR</v>
      </c>
      <c r="C1990" s="600" t="str">
        <f t="shared" si="156"/>
        <v>MYR FOREX</v>
      </c>
      <c r="D1990" s="603"/>
      <c r="E1990" s="604"/>
      <c r="F1990" s="607" t="s">
        <v>17</v>
      </c>
      <c r="G1990" s="608">
        <v>0</v>
      </c>
    </row>
    <row r="1991" spans="1:7" ht="11.1" customHeight="1">
      <c r="A1991" s="600" t="str">
        <f t="shared" si="155"/>
        <v>MYR;MYR USD BAS EONIA;Total MYR USD BAS EONIA</v>
      </c>
      <c r="B1991" s="600" t="str">
        <f t="shared" si="156"/>
        <v>MYR</v>
      </c>
      <c r="C1991" s="600" t="str">
        <f t="shared" si="156"/>
        <v>MYR USD BAS EONIA</v>
      </c>
      <c r="D1991" s="603"/>
      <c r="E1991" s="604" t="s">
        <v>5174</v>
      </c>
      <c r="F1991" s="605" t="s">
        <v>5175</v>
      </c>
      <c r="G1991" s="606">
        <v>-162.062457506822</v>
      </c>
    </row>
    <row r="1992" spans="1:7" ht="11.1" customHeight="1">
      <c r="A1992" s="600" t="str">
        <f t="shared" si="155"/>
        <v>MYR;MYR USD BAS EONIA;1W</v>
      </c>
      <c r="B1992" s="600" t="str">
        <f t="shared" si="156"/>
        <v>MYR</v>
      </c>
      <c r="C1992" s="600" t="str">
        <f t="shared" si="156"/>
        <v>MYR USD BAS EONIA</v>
      </c>
      <c r="D1992" s="603"/>
      <c r="E1992" s="604"/>
      <c r="F1992" s="607" t="s">
        <v>5</v>
      </c>
      <c r="G1992" s="611">
        <v>2.3663482323037499E-3</v>
      </c>
    </row>
    <row r="1993" spans="1:7" ht="11.1" customHeight="1">
      <c r="A1993" s="600" t="str">
        <f t="shared" si="155"/>
        <v>MYR;MYR USD BAS EONIA;1M</v>
      </c>
      <c r="B1993" s="600" t="str">
        <f t="shared" si="156"/>
        <v>MYR</v>
      </c>
      <c r="C1993" s="600" t="str">
        <f t="shared" si="156"/>
        <v>MYR USD BAS EONIA</v>
      </c>
      <c r="D1993" s="603"/>
      <c r="E1993" s="604"/>
      <c r="F1993" s="607" t="s">
        <v>7</v>
      </c>
      <c r="G1993" s="608">
        <v>0</v>
      </c>
    </row>
    <row r="1994" spans="1:7" ht="11.1" customHeight="1">
      <c r="A1994" s="600" t="str">
        <f t="shared" si="155"/>
        <v>MYR;MYR USD BAS EONIA;2M</v>
      </c>
      <c r="B1994" s="600" t="str">
        <f t="shared" si="156"/>
        <v>MYR</v>
      </c>
      <c r="C1994" s="600" t="str">
        <f t="shared" si="156"/>
        <v>MYR USD BAS EONIA</v>
      </c>
      <c r="D1994" s="603"/>
      <c r="E1994" s="604"/>
      <c r="F1994" s="607" t="s">
        <v>8</v>
      </c>
      <c r="G1994" s="608">
        <v>0</v>
      </c>
    </row>
    <row r="1995" spans="1:7" ht="11.1" customHeight="1">
      <c r="A1995" s="600" t="str">
        <f t="shared" si="155"/>
        <v>MYR;MYR USD BAS EONIA;3M</v>
      </c>
      <c r="B1995" s="600" t="str">
        <f t="shared" si="156"/>
        <v>MYR</v>
      </c>
      <c r="C1995" s="600" t="str">
        <f t="shared" si="156"/>
        <v>MYR USD BAS EONIA</v>
      </c>
      <c r="D1995" s="603"/>
      <c r="E1995" s="604"/>
      <c r="F1995" s="607" t="s">
        <v>25</v>
      </c>
      <c r="G1995" s="606">
        <v>-162.06482385505501</v>
      </c>
    </row>
    <row r="1996" spans="1:7" ht="11.1" customHeight="1">
      <c r="A1996" s="600" t="str">
        <f t="shared" si="155"/>
        <v>MYR;MYR USD BAS EONIA;6M</v>
      </c>
      <c r="B1996" s="600" t="str">
        <f t="shared" si="156"/>
        <v>MYR</v>
      </c>
      <c r="C1996" s="600" t="str">
        <f t="shared" si="156"/>
        <v>MYR USD BAS EONIA</v>
      </c>
      <c r="D1996" s="603"/>
      <c r="E1996" s="604"/>
      <c r="F1996" s="607" t="s">
        <v>28</v>
      </c>
      <c r="G1996" s="608">
        <v>0</v>
      </c>
    </row>
    <row r="1997" spans="1:7" ht="11.1" customHeight="1">
      <c r="A1997" s="600" t="str">
        <f t="shared" si="155"/>
        <v>MYR;MYR USD BAS EONIA;9M</v>
      </c>
      <c r="B1997" s="600" t="str">
        <f t="shared" si="156"/>
        <v>MYR</v>
      </c>
      <c r="C1997" s="600" t="str">
        <f t="shared" si="156"/>
        <v>MYR USD BAS EONIA</v>
      </c>
      <c r="D1997" s="603"/>
      <c r="E1997" s="604"/>
      <c r="F1997" s="607" t="s">
        <v>49</v>
      </c>
      <c r="G1997" s="608">
        <v>0</v>
      </c>
    </row>
    <row r="1998" spans="1:7" ht="11.1" customHeight="1">
      <c r="A1998" s="600" t="str">
        <f t="shared" si="155"/>
        <v>MYR;MYR USD BAS EONIA;1Y</v>
      </c>
      <c r="B1998" s="600" t="str">
        <f t="shared" si="156"/>
        <v>MYR</v>
      </c>
      <c r="C1998" s="600" t="str">
        <f t="shared" si="156"/>
        <v>MYR USD BAS EONIA</v>
      </c>
      <c r="D1998" s="603"/>
      <c r="E1998" s="604"/>
      <c r="F1998" s="607" t="s">
        <v>56</v>
      </c>
      <c r="G1998" s="608">
        <v>0</v>
      </c>
    </row>
    <row r="1999" spans="1:7" ht="11.1" customHeight="1">
      <c r="A1999" s="600" t="str">
        <f t="shared" si="155"/>
        <v>MYR;MYR USD BAS EONIA;2Y</v>
      </c>
      <c r="B1999" s="600" t="str">
        <f t="shared" si="156"/>
        <v>MYR</v>
      </c>
      <c r="C1999" s="600" t="str">
        <f t="shared" si="156"/>
        <v>MYR USD BAS EONIA</v>
      </c>
      <c r="D1999" s="603"/>
      <c r="E1999" s="604"/>
      <c r="F1999" s="607" t="s">
        <v>9</v>
      </c>
      <c r="G1999" s="608">
        <v>0</v>
      </c>
    </row>
    <row r="2000" spans="1:7" ht="11.1" customHeight="1">
      <c r="A2000" s="600" t="str">
        <f t="shared" si="155"/>
        <v>MYR;MYR USD BAS EONIA;3Y</v>
      </c>
      <c r="B2000" s="600" t="str">
        <f t="shared" si="156"/>
        <v>MYR</v>
      </c>
      <c r="C2000" s="600" t="str">
        <f t="shared" si="156"/>
        <v>MYR USD BAS EONIA</v>
      </c>
      <c r="D2000" s="603"/>
      <c r="E2000" s="604"/>
      <c r="F2000" s="607" t="s">
        <v>10</v>
      </c>
      <c r="G2000" s="608">
        <v>0</v>
      </c>
    </row>
    <row r="2001" spans="1:7" ht="11.1" customHeight="1">
      <c r="A2001" s="600" t="str">
        <f t="shared" si="155"/>
        <v>MYR;MYR USD BAS EONIA;4Y</v>
      </c>
      <c r="B2001" s="600" t="str">
        <f t="shared" si="156"/>
        <v>MYR</v>
      </c>
      <c r="C2001" s="600" t="str">
        <f t="shared" si="156"/>
        <v>MYR USD BAS EONIA</v>
      </c>
      <c r="D2001" s="603"/>
      <c r="E2001" s="604"/>
      <c r="F2001" s="607" t="s">
        <v>11</v>
      </c>
      <c r="G2001" s="608">
        <v>0</v>
      </c>
    </row>
    <row r="2002" spans="1:7" ht="11.1" customHeight="1">
      <c r="A2002" s="600" t="str">
        <f t="shared" si="155"/>
        <v>MYR;MYR USD BAS EONIA;5Y</v>
      </c>
      <c r="B2002" s="600" t="str">
        <f t="shared" si="156"/>
        <v>MYR</v>
      </c>
      <c r="C2002" s="600" t="str">
        <f t="shared" si="156"/>
        <v>MYR USD BAS EONIA</v>
      </c>
      <c r="D2002" s="603"/>
      <c r="E2002" s="604"/>
      <c r="F2002" s="607" t="s">
        <v>12</v>
      </c>
      <c r="G2002" s="608">
        <v>0</v>
      </c>
    </row>
    <row r="2003" spans="1:7" ht="11.1" customHeight="1">
      <c r="A2003" s="600" t="str">
        <f t="shared" si="155"/>
        <v>MYR;MYR USD BAS EONIA;6Y</v>
      </c>
      <c r="B2003" s="600" t="str">
        <f t="shared" si="156"/>
        <v>MYR</v>
      </c>
      <c r="C2003" s="600" t="str">
        <f t="shared" si="156"/>
        <v>MYR USD BAS EONIA</v>
      </c>
      <c r="D2003" s="603"/>
      <c r="E2003" s="604"/>
      <c r="F2003" s="607" t="s">
        <v>13</v>
      </c>
      <c r="G2003" s="608">
        <v>0</v>
      </c>
    </row>
    <row r="2004" spans="1:7" ht="11.1" customHeight="1">
      <c r="A2004" s="600" t="str">
        <f t="shared" si="155"/>
        <v>MYR;MYR USD BAS EONIA;7Y</v>
      </c>
      <c r="B2004" s="600" t="str">
        <f t="shared" si="156"/>
        <v>MYR</v>
      </c>
      <c r="C2004" s="600" t="str">
        <f t="shared" si="156"/>
        <v>MYR USD BAS EONIA</v>
      </c>
      <c r="D2004" s="603"/>
      <c r="E2004" s="604"/>
      <c r="F2004" s="607" t="s">
        <v>14</v>
      </c>
      <c r="G2004" s="608">
        <v>0</v>
      </c>
    </row>
    <row r="2005" spans="1:7" ht="11.1" customHeight="1">
      <c r="A2005" s="600" t="str">
        <f t="shared" si="155"/>
        <v>MYR;MYR USD BAS EONIA;8Y</v>
      </c>
      <c r="B2005" s="600" t="str">
        <f t="shared" ref="B2005:C2020" si="157">IF(ISBLANK(D2005),B2004,D2005)</f>
        <v>MYR</v>
      </c>
      <c r="C2005" s="600" t="str">
        <f t="shared" si="157"/>
        <v>MYR USD BAS EONIA</v>
      </c>
      <c r="D2005" s="603"/>
      <c r="E2005" s="604"/>
      <c r="F2005" s="607" t="s">
        <v>15</v>
      </c>
      <c r="G2005" s="608">
        <v>0</v>
      </c>
    </row>
    <row r="2006" spans="1:7" ht="11.1" customHeight="1">
      <c r="A2006" s="600" t="str">
        <f t="shared" si="155"/>
        <v>MYR;MYR USD BAS EONIA;9Y</v>
      </c>
      <c r="B2006" s="600" t="str">
        <f t="shared" si="157"/>
        <v>MYR</v>
      </c>
      <c r="C2006" s="600" t="str">
        <f t="shared" si="157"/>
        <v>MYR USD BAS EONIA</v>
      </c>
      <c r="D2006" s="603"/>
      <c r="E2006" s="604"/>
      <c r="F2006" s="607" t="s">
        <v>16</v>
      </c>
      <c r="G2006" s="608">
        <v>0</v>
      </c>
    </row>
    <row r="2007" spans="1:7" ht="11.1" customHeight="1">
      <c r="A2007" s="600" t="str">
        <f t="shared" si="155"/>
        <v>MYR;MYR USD BAS EONIA;10Y</v>
      </c>
      <c r="B2007" s="600" t="str">
        <f t="shared" si="157"/>
        <v>MYR</v>
      </c>
      <c r="C2007" s="600" t="str">
        <f t="shared" si="157"/>
        <v>MYR USD BAS EONIA</v>
      </c>
      <c r="D2007" s="603"/>
      <c r="E2007" s="604"/>
      <c r="F2007" s="607" t="s">
        <v>17</v>
      </c>
      <c r="G2007" s="608">
        <v>0</v>
      </c>
    </row>
    <row r="2008" spans="1:7" ht="11.1" customHeight="1">
      <c r="A2008" s="600" t="str">
        <f t="shared" si="155"/>
        <v>NOK;Total NOK;</v>
      </c>
      <c r="B2008" s="600" t="str">
        <f t="shared" si="157"/>
        <v>NOK</v>
      </c>
      <c r="C2008" s="600" t="str">
        <f t="shared" si="157"/>
        <v>Total NOK</v>
      </c>
      <c r="D2008" s="603" t="s">
        <v>1299</v>
      </c>
      <c r="E2008" s="609" t="s">
        <v>1300</v>
      </c>
      <c r="F2008" s="609"/>
      <c r="G2008" s="612">
        <v>-9008.7850867469297</v>
      </c>
    </row>
    <row r="2009" spans="1:7" ht="11.1" customHeight="1">
      <c r="A2009" s="600" t="str">
        <f t="shared" si="155"/>
        <v>NOK;NOK 3M;Total NOK 3M</v>
      </c>
      <c r="B2009" s="600" t="str">
        <f t="shared" si="157"/>
        <v>NOK</v>
      </c>
      <c r="C2009" s="600" t="str">
        <f t="shared" si="157"/>
        <v>NOK 3M</v>
      </c>
      <c r="D2009" s="603"/>
      <c r="E2009" s="604" t="s">
        <v>1301</v>
      </c>
      <c r="F2009" s="605" t="s">
        <v>1302</v>
      </c>
      <c r="G2009" s="606">
        <v>-8974.8275841232007</v>
      </c>
    </row>
    <row r="2010" spans="1:7" ht="11.1" customHeight="1">
      <c r="A2010" s="600" t="str">
        <f t="shared" si="155"/>
        <v>NOK;NOK 3M;1W</v>
      </c>
      <c r="B2010" s="600" t="str">
        <f t="shared" si="157"/>
        <v>NOK</v>
      </c>
      <c r="C2010" s="600" t="str">
        <f t="shared" si="157"/>
        <v>NOK 3M</v>
      </c>
      <c r="D2010" s="603"/>
      <c r="E2010" s="604"/>
      <c r="F2010" s="607" t="s">
        <v>5</v>
      </c>
      <c r="G2010" s="611">
        <v>19.686431343717398</v>
      </c>
    </row>
    <row r="2011" spans="1:7" ht="11.1" customHeight="1">
      <c r="A2011" s="600" t="str">
        <f t="shared" si="155"/>
        <v>NOK;NOK 3M;2W</v>
      </c>
      <c r="B2011" s="600" t="str">
        <f t="shared" si="157"/>
        <v>NOK</v>
      </c>
      <c r="C2011" s="600" t="str">
        <f t="shared" si="157"/>
        <v>NOK 3M</v>
      </c>
      <c r="D2011" s="603"/>
      <c r="E2011" s="604"/>
      <c r="F2011" s="607" t="s">
        <v>6</v>
      </c>
      <c r="G2011" s="606">
        <v>-33.533126304994802</v>
      </c>
    </row>
    <row r="2012" spans="1:7" ht="11.1" customHeight="1">
      <c r="A2012" s="600" t="str">
        <f t="shared" si="155"/>
        <v>NOK;NOK 3M;1M</v>
      </c>
      <c r="B2012" s="600" t="str">
        <f t="shared" si="157"/>
        <v>NOK</v>
      </c>
      <c r="C2012" s="600" t="str">
        <f t="shared" si="157"/>
        <v>NOK 3M</v>
      </c>
      <c r="D2012" s="603"/>
      <c r="E2012" s="604"/>
      <c r="F2012" s="607" t="s">
        <v>7</v>
      </c>
      <c r="G2012" s="606">
        <v>-570.37198936807704</v>
      </c>
    </row>
    <row r="2013" spans="1:7" ht="11.1" customHeight="1">
      <c r="A2013" s="600" t="str">
        <f t="shared" si="155"/>
        <v>NOK;NOK 3M;2M</v>
      </c>
      <c r="B2013" s="600" t="str">
        <f t="shared" si="157"/>
        <v>NOK</v>
      </c>
      <c r="C2013" s="600" t="str">
        <f t="shared" si="157"/>
        <v>NOK 3M</v>
      </c>
      <c r="D2013" s="603"/>
      <c r="E2013" s="604"/>
      <c r="F2013" s="607" t="s">
        <v>8</v>
      </c>
      <c r="G2013" s="606">
        <v>-23.898946986476101</v>
      </c>
    </row>
    <row r="2014" spans="1:7" ht="11.1" customHeight="1">
      <c r="A2014" s="600" t="str">
        <f t="shared" si="155"/>
        <v>NOK;NOK 3M;3M</v>
      </c>
      <c r="B2014" s="600" t="str">
        <f t="shared" si="157"/>
        <v>NOK</v>
      </c>
      <c r="C2014" s="600" t="str">
        <f t="shared" si="157"/>
        <v>NOK 3M</v>
      </c>
      <c r="D2014" s="603"/>
      <c r="E2014" s="604"/>
      <c r="F2014" s="607" t="s">
        <v>25</v>
      </c>
      <c r="G2014" s="611">
        <v>32.2413537307187</v>
      </c>
    </row>
    <row r="2015" spans="1:7" ht="11.1" customHeight="1">
      <c r="A2015" s="600" t="str">
        <f t="shared" si="155"/>
        <v>NOK;NOK 3M;DEC 16</v>
      </c>
      <c r="B2015" s="600" t="str">
        <f t="shared" si="157"/>
        <v>NOK</v>
      </c>
      <c r="C2015" s="600" t="str">
        <f t="shared" si="157"/>
        <v>NOK 3M</v>
      </c>
      <c r="D2015" s="603"/>
      <c r="E2015" s="604"/>
      <c r="F2015" s="607" t="s">
        <v>1060</v>
      </c>
      <c r="G2015" s="606">
        <v>-1752.12412711922</v>
      </c>
    </row>
    <row r="2016" spans="1:7" ht="11.1" customHeight="1">
      <c r="A2016" s="600" t="str">
        <f t="shared" si="155"/>
        <v>NOK;NOK 3M;MAR 17</v>
      </c>
      <c r="B2016" s="600" t="str">
        <f t="shared" si="157"/>
        <v>NOK</v>
      </c>
      <c r="C2016" s="600" t="str">
        <f t="shared" si="157"/>
        <v>NOK 3M</v>
      </c>
      <c r="D2016" s="603"/>
      <c r="E2016" s="604"/>
      <c r="F2016" s="607" t="s">
        <v>1063</v>
      </c>
      <c r="G2016" s="606">
        <v>-2040.6304109743101</v>
      </c>
    </row>
    <row r="2017" spans="1:7" ht="11.1" customHeight="1">
      <c r="A2017" s="600" t="str">
        <f t="shared" si="155"/>
        <v>NOK;NOK 3M;JUN 17</v>
      </c>
      <c r="B2017" s="600" t="str">
        <f t="shared" si="157"/>
        <v>NOK</v>
      </c>
      <c r="C2017" s="600" t="str">
        <f t="shared" si="157"/>
        <v>NOK 3M</v>
      </c>
      <c r="D2017" s="603"/>
      <c r="E2017" s="604"/>
      <c r="F2017" s="607" t="s">
        <v>1066</v>
      </c>
      <c r="G2017" s="606">
        <v>-1899.9112511124599</v>
      </c>
    </row>
    <row r="2018" spans="1:7" ht="11.1" customHeight="1">
      <c r="A2018" s="600" t="str">
        <f t="shared" si="155"/>
        <v>NOK;NOK 3M;SEP 17</v>
      </c>
      <c r="B2018" s="600" t="str">
        <f t="shared" si="157"/>
        <v>NOK</v>
      </c>
      <c r="C2018" s="600" t="str">
        <f t="shared" si="157"/>
        <v>NOK 3M</v>
      </c>
      <c r="D2018" s="603"/>
      <c r="E2018" s="604"/>
      <c r="F2018" s="607" t="s">
        <v>1069</v>
      </c>
      <c r="G2018" s="606">
        <v>-1210.4500737626699</v>
      </c>
    </row>
    <row r="2019" spans="1:7" ht="11.1" customHeight="1">
      <c r="A2019" s="600" t="str">
        <f t="shared" si="155"/>
        <v>NOK;NOK 3M;2Y</v>
      </c>
      <c r="B2019" s="600" t="str">
        <f t="shared" si="157"/>
        <v>NOK</v>
      </c>
      <c r="C2019" s="600" t="str">
        <f t="shared" si="157"/>
        <v>NOK 3M</v>
      </c>
      <c r="D2019" s="603"/>
      <c r="E2019" s="604"/>
      <c r="F2019" s="607" t="s">
        <v>9</v>
      </c>
      <c r="G2019" s="606">
        <v>-1482.58598694846</v>
      </c>
    </row>
    <row r="2020" spans="1:7" ht="11.1" customHeight="1">
      <c r="A2020" s="600" t="str">
        <f t="shared" si="155"/>
        <v>NOK;NOK 3M;3Y</v>
      </c>
      <c r="B2020" s="600" t="str">
        <f t="shared" si="157"/>
        <v>NOK</v>
      </c>
      <c r="C2020" s="600" t="str">
        <f t="shared" si="157"/>
        <v>NOK 3M</v>
      </c>
      <c r="D2020" s="603"/>
      <c r="E2020" s="604"/>
      <c r="F2020" s="607" t="s">
        <v>10</v>
      </c>
      <c r="G2020" s="611">
        <v>3.3344003218438498</v>
      </c>
    </row>
    <row r="2021" spans="1:7" ht="11.1" customHeight="1">
      <c r="A2021" s="600" t="str">
        <f t="shared" si="155"/>
        <v>NOK;NOK 3M;4Y</v>
      </c>
      <c r="B2021" s="600" t="str">
        <f t="shared" ref="B2021:C2036" si="158">IF(ISBLANK(D2021),B2020,D2021)</f>
        <v>NOK</v>
      </c>
      <c r="C2021" s="600" t="str">
        <f t="shared" si="158"/>
        <v>NOK 3M</v>
      </c>
      <c r="D2021" s="603"/>
      <c r="E2021" s="604"/>
      <c r="F2021" s="607" t="s">
        <v>11</v>
      </c>
      <c r="G2021" s="606">
        <v>-16.538325418665</v>
      </c>
    </row>
    <row r="2022" spans="1:7" ht="11.1" customHeight="1">
      <c r="A2022" s="600" t="str">
        <f t="shared" si="155"/>
        <v>NOK;NOK 3M;5Y</v>
      </c>
      <c r="B2022" s="600" t="str">
        <f t="shared" si="158"/>
        <v>NOK</v>
      </c>
      <c r="C2022" s="600" t="str">
        <f t="shared" si="158"/>
        <v>NOK 3M</v>
      </c>
      <c r="D2022" s="603"/>
      <c r="E2022" s="604"/>
      <c r="F2022" s="607" t="s">
        <v>12</v>
      </c>
      <c r="G2022" s="606">
        <v>-4.55315241429105E-2</v>
      </c>
    </row>
    <row r="2023" spans="1:7" ht="11.1" customHeight="1">
      <c r="A2023" s="600" t="str">
        <f t="shared" si="155"/>
        <v>NOK;NOK 3M;6Y</v>
      </c>
      <c r="B2023" s="600" t="str">
        <f t="shared" si="158"/>
        <v>NOK</v>
      </c>
      <c r="C2023" s="600" t="str">
        <f t="shared" si="158"/>
        <v>NOK 3M</v>
      </c>
      <c r="D2023" s="603"/>
      <c r="E2023" s="604"/>
      <c r="F2023" s="607" t="s">
        <v>13</v>
      </c>
      <c r="G2023" s="608">
        <v>0</v>
      </c>
    </row>
    <row r="2024" spans="1:7" ht="11.1" customHeight="1">
      <c r="A2024" s="600" t="str">
        <f t="shared" si="155"/>
        <v>NOK;NOK 3M;7Y</v>
      </c>
      <c r="B2024" s="600" t="str">
        <f t="shared" si="158"/>
        <v>NOK</v>
      </c>
      <c r="C2024" s="600" t="str">
        <f t="shared" si="158"/>
        <v>NOK 3M</v>
      </c>
      <c r="D2024" s="603"/>
      <c r="E2024" s="604"/>
      <c r="F2024" s="607" t="s">
        <v>14</v>
      </c>
      <c r="G2024" s="608">
        <v>0</v>
      </c>
    </row>
    <row r="2025" spans="1:7" ht="11.1" customHeight="1">
      <c r="A2025" s="600" t="str">
        <f t="shared" si="155"/>
        <v>NOK;NOK 3M;8Y</v>
      </c>
      <c r="B2025" s="600" t="str">
        <f t="shared" si="158"/>
        <v>NOK</v>
      </c>
      <c r="C2025" s="600" t="str">
        <f t="shared" si="158"/>
        <v>NOK 3M</v>
      </c>
      <c r="D2025" s="603"/>
      <c r="E2025" s="604"/>
      <c r="F2025" s="607" t="s">
        <v>15</v>
      </c>
      <c r="G2025" s="608">
        <v>0</v>
      </c>
    </row>
    <row r="2026" spans="1:7" ht="11.1" customHeight="1">
      <c r="A2026" s="600" t="str">
        <f t="shared" si="155"/>
        <v>NOK;NOK 3M;9Y</v>
      </c>
      <c r="B2026" s="600" t="str">
        <f t="shared" si="158"/>
        <v>NOK</v>
      </c>
      <c r="C2026" s="600" t="str">
        <f t="shared" si="158"/>
        <v>NOK 3M</v>
      </c>
      <c r="D2026" s="603"/>
      <c r="E2026" s="604"/>
      <c r="F2026" s="607" t="s">
        <v>16</v>
      </c>
      <c r="G2026" s="608">
        <v>0</v>
      </c>
    </row>
    <row r="2027" spans="1:7" ht="11.1" customHeight="1">
      <c r="A2027" s="600" t="str">
        <f t="shared" si="155"/>
        <v>NOK;NOK 3M;10Y</v>
      </c>
      <c r="B2027" s="600" t="str">
        <f t="shared" si="158"/>
        <v>NOK</v>
      </c>
      <c r="C2027" s="600" t="str">
        <f t="shared" si="158"/>
        <v>NOK 3M</v>
      </c>
      <c r="D2027" s="603"/>
      <c r="E2027" s="604"/>
      <c r="F2027" s="607" t="s">
        <v>17</v>
      </c>
      <c r="G2027" s="608">
        <v>0</v>
      </c>
    </row>
    <row r="2028" spans="1:7" ht="11.1" customHeight="1">
      <c r="A2028" s="600" t="str">
        <f t="shared" si="155"/>
        <v>NOK;NOK 3M;12Y</v>
      </c>
      <c r="B2028" s="600" t="str">
        <f t="shared" si="158"/>
        <v>NOK</v>
      </c>
      <c r="C2028" s="600" t="str">
        <f t="shared" si="158"/>
        <v>NOK 3M</v>
      </c>
      <c r="D2028" s="603"/>
      <c r="E2028" s="604"/>
      <c r="F2028" s="607" t="s">
        <v>18</v>
      </c>
      <c r="G2028" s="608">
        <v>0</v>
      </c>
    </row>
    <row r="2029" spans="1:7" ht="11.1" customHeight="1">
      <c r="A2029" s="600" t="str">
        <f t="shared" si="155"/>
        <v>NOK;NOK 3M;15Y</v>
      </c>
      <c r="B2029" s="600" t="str">
        <f t="shared" si="158"/>
        <v>NOK</v>
      </c>
      <c r="C2029" s="600" t="str">
        <f t="shared" si="158"/>
        <v>NOK 3M</v>
      </c>
      <c r="D2029" s="603"/>
      <c r="E2029" s="604"/>
      <c r="F2029" s="607" t="s">
        <v>19</v>
      </c>
      <c r="G2029" s="608">
        <v>0</v>
      </c>
    </row>
    <row r="2030" spans="1:7" ht="11.1" customHeight="1">
      <c r="A2030" s="600" t="str">
        <f t="shared" si="155"/>
        <v>NOK;NOK 3M;20Y</v>
      </c>
      <c r="B2030" s="600" t="str">
        <f t="shared" si="158"/>
        <v>NOK</v>
      </c>
      <c r="C2030" s="600" t="str">
        <f t="shared" si="158"/>
        <v>NOK 3M</v>
      </c>
      <c r="D2030" s="603"/>
      <c r="E2030" s="604"/>
      <c r="F2030" s="607" t="s">
        <v>20</v>
      </c>
      <c r="G2030" s="608">
        <v>0</v>
      </c>
    </row>
    <row r="2031" spans="1:7" ht="11.1" customHeight="1">
      <c r="A2031" s="600" t="str">
        <f t="shared" si="155"/>
        <v>NOK;NOK 3M;25Y</v>
      </c>
      <c r="B2031" s="600" t="str">
        <f t="shared" si="158"/>
        <v>NOK</v>
      </c>
      <c r="C2031" s="600" t="str">
        <f t="shared" si="158"/>
        <v>NOK 3M</v>
      </c>
      <c r="D2031" s="603"/>
      <c r="E2031" s="604"/>
      <c r="F2031" s="607" t="s">
        <v>21</v>
      </c>
      <c r="G2031" s="608">
        <v>0</v>
      </c>
    </row>
    <row r="2032" spans="1:7" ht="11.1" customHeight="1">
      <c r="A2032" s="600" t="str">
        <f t="shared" si="155"/>
        <v>NOK;NOK 3M;30Y</v>
      </c>
      <c r="B2032" s="600" t="str">
        <f t="shared" si="158"/>
        <v>NOK</v>
      </c>
      <c r="C2032" s="600" t="str">
        <f t="shared" si="158"/>
        <v>NOK 3M</v>
      </c>
      <c r="D2032" s="603"/>
      <c r="E2032" s="604"/>
      <c r="F2032" s="607" t="s">
        <v>22</v>
      </c>
      <c r="G2032" s="608">
        <v>0</v>
      </c>
    </row>
    <row r="2033" spans="1:7" ht="11.1" customHeight="1">
      <c r="A2033" s="600" t="str">
        <f t="shared" si="155"/>
        <v>NOK;NOK :STD;Total NOK :STD</v>
      </c>
      <c r="B2033" s="600" t="str">
        <f t="shared" si="158"/>
        <v>NOK</v>
      </c>
      <c r="C2033" s="600" t="str">
        <f t="shared" si="158"/>
        <v>NOK :STD</v>
      </c>
      <c r="D2033" s="603"/>
      <c r="E2033" s="604" t="s">
        <v>1303</v>
      </c>
      <c r="F2033" s="605" t="s">
        <v>1304</v>
      </c>
      <c r="G2033" s="606">
        <v>-33.774961940597002</v>
      </c>
    </row>
    <row r="2034" spans="1:7" ht="11.1" customHeight="1">
      <c r="A2034" s="600" t="str">
        <f t="shared" si="155"/>
        <v>NOK;NOK :STD;1W</v>
      </c>
      <c r="B2034" s="600" t="str">
        <f t="shared" si="158"/>
        <v>NOK</v>
      </c>
      <c r="C2034" s="600" t="str">
        <f t="shared" si="158"/>
        <v>NOK :STD</v>
      </c>
      <c r="D2034" s="603"/>
      <c r="E2034" s="604"/>
      <c r="F2034" s="607" t="s">
        <v>5</v>
      </c>
      <c r="G2034" s="611">
        <v>4.1140195675366096</v>
      </c>
    </row>
    <row r="2035" spans="1:7" ht="11.1" customHeight="1">
      <c r="A2035" s="600" t="str">
        <f t="shared" si="155"/>
        <v>NOK;NOK :STD;2W</v>
      </c>
      <c r="B2035" s="600" t="str">
        <f t="shared" si="158"/>
        <v>NOK</v>
      </c>
      <c r="C2035" s="600" t="str">
        <f t="shared" si="158"/>
        <v>NOK :STD</v>
      </c>
      <c r="D2035" s="603"/>
      <c r="E2035" s="604"/>
      <c r="F2035" s="607" t="s">
        <v>6</v>
      </c>
      <c r="G2035" s="606">
        <v>-10.5366319833863</v>
      </c>
    </row>
    <row r="2036" spans="1:7" ht="11.1" customHeight="1">
      <c r="A2036" s="600" t="str">
        <f t="shared" si="155"/>
        <v>NOK;NOK :STD;1M</v>
      </c>
      <c r="B2036" s="600" t="str">
        <f t="shared" si="158"/>
        <v>NOK</v>
      </c>
      <c r="C2036" s="600" t="str">
        <f t="shared" si="158"/>
        <v>NOK :STD</v>
      </c>
      <c r="D2036" s="603"/>
      <c r="E2036" s="604"/>
      <c r="F2036" s="607" t="s">
        <v>7</v>
      </c>
      <c r="G2036" s="606">
        <v>-179.219786754811</v>
      </c>
    </row>
    <row r="2037" spans="1:7" ht="11.1" customHeight="1">
      <c r="A2037" s="600" t="str">
        <f t="shared" si="155"/>
        <v>NOK;NOK :STD;2M</v>
      </c>
      <c r="B2037" s="600" t="str">
        <f t="shared" ref="B2037:C2052" si="159">IF(ISBLANK(D2037),B2036,D2037)</f>
        <v>NOK</v>
      </c>
      <c r="C2037" s="600" t="str">
        <f t="shared" si="159"/>
        <v>NOK :STD</v>
      </c>
      <c r="D2037" s="603"/>
      <c r="E2037" s="604"/>
      <c r="F2037" s="607" t="s">
        <v>8</v>
      </c>
      <c r="G2037" s="611">
        <v>0</v>
      </c>
    </row>
    <row r="2038" spans="1:7" ht="11.1" customHeight="1">
      <c r="A2038" s="600" t="str">
        <f t="shared" si="155"/>
        <v>NOK;NOK :STD;3M</v>
      </c>
      <c r="B2038" s="600" t="str">
        <f t="shared" si="159"/>
        <v>NOK</v>
      </c>
      <c r="C2038" s="600" t="str">
        <f t="shared" si="159"/>
        <v>NOK :STD</v>
      </c>
      <c r="D2038" s="603"/>
      <c r="E2038" s="604"/>
      <c r="F2038" s="607" t="s">
        <v>25</v>
      </c>
      <c r="G2038" s="611">
        <v>181.93455186905899</v>
      </c>
    </row>
    <row r="2039" spans="1:7" ht="11.1" customHeight="1">
      <c r="A2039" s="600" t="str">
        <f t="shared" si="155"/>
        <v>NOK;NOK :STD;4M</v>
      </c>
      <c r="B2039" s="600" t="str">
        <f t="shared" si="159"/>
        <v>NOK</v>
      </c>
      <c r="C2039" s="600" t="str">
        <f t="shared" si="159"/>
        <v>NOK :STD</v>
      </c>
      <c r="D2039" s="603"/>
      <c r="E2039" s="604"/>
      <c r="F2039" s="607" t="s">
        <v>26</v>
      </c>
      <c r="G2039" s="611">
        <v>550.57879526204601</v>
      </c>
    </row>
    <row r="2040" spans="1:7" ht="11.1" customHeight="1">
      <c r="A2040" s="600" t="str">
        <f t="shared" si="155"/>
        <v>NOK;NOK :STD;5M</v>
      </c>
      <c r="B2040" s="600" t="str">
        <f t="shared" si="159"/>
        <v>NOK</v>
      </c>
      <c r="C2040" s="600" t="str">
        <f t="shared" si="159"/>
        <v>NOK :STD</v>
      </c>
      <c r="D2040" s="603"/>
      <c r="E2040" s="604"/>
      <c r="F2040" s="607" t="s">
        <v>27</v>
      </c>
      <c r="G2040" s="611">
        <v>5.6843418860808002E-14</v>
      </c>
    </row>
    <row r="2041" spans="1:7" ht="11.1" customHeight="1">
      <c r="A2041" s="600" t="str">
        <f t="shared" si="155"/>
        <v>NOK;NOK :STD;6M</v>
      </c>
      <c r="B2041" s="600" t="str">
        <f t="shared" si="159"/>
        <v>NOK</v>
      </c>
      <c r="C2041" s="600" t="str">
        <f t="shared" si="159"/>
        <v>NOK :STD</v>
      </c>
      <c r="D2041" s="603"/>
      <c r="E2041" s="604"/>
      <c r="F2041" s="607" t="s">
        <v>28</v>
      </c>
      <c r="G2041" s="606">
        <v>-223.533939311621</v>
      </c>
    </row>
    <row r="2042" spans="1:7" ht="11.1" customHeight="1">
      <c r="A2042" s="600" t="str">
        <f t="shared" si="155"/>
        <v>NOK;NOK :STD;DEC 16</v>
      </c>
      <c r="B2042" s="600" t="str">
        <f t="shared" si="159"/>
        <v>NOK</v>
      </c>
      <c r="C2042" s="600" t="str">
        <f t="shared" si="159"/>
        <v>NOK :STD</v>
      </c>
      <c r="D2042" s="603"/>
      <c r="E2042" s="604"/>
      <c r="F2042" s="607" t="s">
        <v>1060</v>
      </c>
      <c r="G2042" s="606">
        <v>-1188.33165650874</v>
      </c>
    </row>
    <row r="2043" spans="1:7" ht="11.1" customHeight="1">
      <c r="A2043" s="600" t="str">
        <f t="shared" si="155"/>
        <v>NOK;NOK :STD;MAR 17</v>
      </c>
      <c r="B2043" s="600" t="str">
        <f t="shared" si="159"/>
        <v>NOK</v>
      </c>
      <c r="C2043" s="600" t="str">
        <f t="shared" si="159"/>
        <v>NOK :STD</v>
      </c>
      <c r="D2043" s="603"/>
      <c r="E2043" s="604"/>
      <c r="F2043" s="607" t="s">
        <v>1063</v>
      </c>
      <c r="G2043" s="611">
        <v>1222.3716574206301</v>
      </c>
    </row>
    <row r="2044" spans="1:7" ht="11.1" customHeight="1">
      <c r="A2044" s="600" t="str">
        <f t="shared" si="155"/>
        <v>NOK;NOK :STD;JUN 17</v>
      </c>
      <c r="B2044" s="600" t="str">
        <f t="shared" si="159"/>
        <v>NOK</v>
      </c>
      <c r="C2044" s="600" t="str">
        <f t="shared" si="159"/>
        <v>NOK :STD</v>
      </c>
      <c r="D2044" s="603"/>
      <c r="E2044" s="604"/>
      <c r="F2044" s="607" t="s">
        <v>1066</v>
      </c>
      <c r="G2044" s="606">
        <v>-666.36294069795395</v>
      </c>
    </row>
    <row r="2045" spans="1:7" ht="11.1" customHeight="1">
      <c r="A2045" s="600" t="str">
        <f t="shared" si="155"/>
        <v>NOK;NOK :STD;SEP 17</v>
      </c>
      <c r="B2045" s="600" t="str">
        <f t="shared" si="159"/>
        <v>NOK</v>
      </c>
      <c r="C2045" s="600" t="str">
        <f t="shared" si="159"/>
        <v>NOK :STD</v>
      </c>
      <c r="D2045" s="603"/>
      <c r="E2045" s="604"/>
      <c r="F2045" s="607" t="s">
        <v>1069</v>
      </c>
      <c r="G2045" s="606">
        <v>-1432.4631567977599</v>
      </c>
    </row>
    <row r="2046" spans="1:7" ht="11.1" customHeight="1">
      <c r="A2046" s="600" t="str">
        <f t="shared" si="155"/>
        <v>NOK;NOK :STD;2Y</v>
      </c>
      <c r="B2046" s="600" t="str">
        <f t="shared" si="159"/>
        <v>NOK</v>
      </c>
      <c r="C2046" s="600" t="str">
        <f t="shared" si="159"/>
        <v>NOK :STD</v>
      </c>
      <c r="D2046" s="603"/>
      <c r="E2046" s="604"/>
      <c r="F2046" s="607" t="s">
        <v>9</v>
      </c>
      <c r="G2046" s="611">
        <v>1702.7176336021701</v>
      </c>
    </row>
    <row r="2047" spans="1:7" ht="11.1" customHeight="1">
      <c r="A2047" s="600" t="str">
        <f t="shared" si="155"/>
        <v>NOK;NOK :STD;3Y</v>
      </c>
      <c r="B2047" s="600" t="str">
        <f t="shared" si="159"/>
        <v>NOK</v>
      </c>
      <c r="C2047" s="600" t="str">
        <f t="shared" si="159"/>
        <v>NOK :STD</v>
      </c>
      <c r="D2047" s="603"/>
      <c r="E2047" s="604"/>
      <c r="F2047" s="607" t="s">
        <v>10</v>
      </c>
      <c r="G2047" s="611">
        <v>5.1517233489650298</v>
      </c>
    </row>
    <row r="2048" spans="1:7" ht="11.1" customHeight="1">
      <c r="A2048" s="600" t="str">
        <f t="shared" si="155"/>
        <v>NOK;NOK :STD;4Y</v>
      </c>
      <c r="B2048" s="600" t="str">
        <f t="shared" si="159"/>
        <v>NOK</v>
      </c>
      <c r="C2048" s="600" t="str">
        <f t="shared" si="159"/>
        <v>NOK :STD</v>
      </c>
      <c r="D2048" s="603"/>
      <c r="E2048" s="604"/>
      <c r="F2048" s="607" t="s">
        <v>11</v>
      </c>
      <c r="G2048" s="606">
        <v>-0.19523095672792701</v>
      </c>
    </row>
    <row r="2049" spans="1:7" ht="11.1" customHeight="1">
      <c r="A2049" s="600" t="str">
        <f t="shared" si="155"/>
        <v>NOK;NOK :STD;5Y</v>
      </c>
      <c r="B2049" s="600" t="str">
        <f t="shared" si="159"/>
        <v>NOK</v>
      </c>
      <c r="C2049" s="600" t="str">
        <f t="shared" si="159"/>
        <v>NOK :STD</v>
      </c>
      <c r="D2049" s="603"/>
      <c r="E2049" s="604"/>
      <c r="F2049" s="607" t="s">
        <v>12</v>
      </c>
      <c r="G2049" s="608">
        <v>0</v>
      </c>
    </row>
    <row r="2050" spans="1:7" ht="11.1" customHeight="1">
      <c r="A2050" s="600" t="str">
        <f t="shared" si="155"/>
        <v>NOK;NOK :STD;6Y</v>
      </c>
      <c r="B2050" s="600" t="str">
        <f t="shared" si="159"/>
        <v>NOK</v>
      </c>
      <c r="C2050" s="600" t="str">
        <f t="shared" si="159"/>
        <v>NOK :STD</v>
      </c>
      <c r="D2050" s="603"/>
      <c r="E2050" s="604"/>
      <c r="F2050" s="607" t="s">
        <v>13</v>
      </c>
      <c r="G2050" s="608">
        <v>0</v>
      </c>
    </row>
    <row r="2051" spans="1:7" ht="11.1" customHeight="1">
      <c r="A2051" s="600" t="str">
        <f t="shared" si="155"/>
        <v>NOK;NOK :STD;7Y</v>
      </c>
      <c r="B2051" s="600" t="str">
        <f t="shared" si="159"/>
        <v>NOK</v>
      </c>
      <c r="C2051" s="600" t="str">
        <f t="shared" si="159"/>
        <v>NOK :STD</v>
      </c>
      <c r="D2051" s="603"/>
      <c r="E2051" s="604"/>
      <c r="F2051" s="607" t="s">
        <v>14</v>
      </c>
      <c r="G2051" s="608">
        <v>0</v>
      </c>
    </row>
    <row r="2052" spans="1:7" ht="11.1" customHeight="1">
      <c r="A2052" s="600" t="str">
        <f t="shared" si="155"/>
        <v>NOK;NOK :STD;8Y</v>
      </c>
      <c r="B2052" s="600" t="str">
        <f t="shared" si="159"/>
        <v>NOK</v>
      </c>
      <c r="C2052" s="600" t="str">
        <f t="shared" si="159"/>
        <v>NOK :STD</v>
      </c>
      <c r="D2052" s="603"/>
      <c r="E2052" s="604"/>
      <c r="F2052" s="607" t="s">
        <v>15</v>
      </c>
      <c r="G2052" s="608">
        <v>0</v>
      </c>
    </row>
    <row r="2053" spans="1:7" ht="11.1" customHeight="1">
      <c r="A2053" s="600" t="str">
        <f t="shared" ref="A2053:A2116" si="160">B2053&amp;";"&amp;C2053&amp;";"&amp;F2053</f>
        <v>NOK;NOK :STD;9Y</v>
      </c>
      <c r="B2053" s="600" t="str">
        <f t="shared" ref="B2053:C2068" si="161">IF(ISBLANK(D2053),B2052,D2053)</f>
        <v>NOK</v>
      </c>
      <c r="C2053" s="600" t="str">
        <f t="shared" si="161"/>
        <v>NOK :STD</v>
      </c>
      <c r="D2053" s="603"/>
      <c r="E2053" s="604"/>
      <c r="F2053" s="607" t="s">
        <v>16</v>
      </c>
      <c r="G2053" s="608">
        <v>0</v>
      </c>
    </row>
    <row r="2054" spans="1:7" ht="11.1" customHeight="1">
      <c r="A2054" s="600" t="str">
        <f t="shared" si="160"/>
        <v>NOK;NOK :STD;10Y</v>
      </c>
      <c r="B2054" s="600" t="str">
        <f t="shared" si="161"/>
        <v>NOK</v>
      </c>
      <c r="C2054" s="600" t="str">
        <f t="shared" si="161"/>
        <v>NOK :STD</v>
      </c>
      <c r="D2054" s="603"/>
      <c r="E2054" s="604"/>
      <c r="F2054" s="607" t="s">
        <v>17</v>
      </c>
      <c r="G2054" s="608">
        <v>0</v>
      </c>
    </row>
    <row r="2055" spans="1:7" ht="11.1" customHeight="1">
      <c r="A2055" s="600" t="str">
        <f t="shared" si="160"/>
        <v>NOK;NOK :STD;12Y</v>
      </c>
      <c r="B2055" s="600" t="str">
        <f t="shared" si="161"/>
        <v>NOK</v>
      </c>
      <c r="C2055" s="600" t="str">
        <f t="shared" si="161"/>
        <v>NOK :STD</v>
      </c>
      <c r="D2055" s="603"/>
      <c r="E2055" s="604"/>
      <c r="F2055" s="607" t="s">
        <v>18</v>
      </c>
      <c r="G2055" s="608">
        <v>0</v>
      </c>
    </row>
    <row r="2056" spans="1:7" ht="11.1" customHeight="1">
      <c r="A2056" s="600" t="str">
        <f t="shared" si="160"/>
        <v>NOK;NOK :STD;15Y</v>
      </c>
      <c r="B2056" s="600" t="str">
        <f t="shared" si="161"/>
        <v>NOK</v>
      </c>
      <c r="C2056" s="600" t="str">
        <f t="shared" si="161"/>
        <v>NOK :STD</v>
      </c>
      <c r="D2056" s="603"/>
      <c r="E2056" s="604"/>
      <c r="F2056" s="607" t="s">
        <v>19</v>
      </c>
      <c r="G2056" s="608">
        <v>0</v>
      </c>
    </row>
    <row r="2057" spans="1:7" ht="11.1" customHeight="1">
      <c r="A2057" s="600" t="str">
        <f t="shared" si="160"/>
        <v>NOK;NOK :STD;20Y</v>
      </c>
      <c r="B2057" s="600" t="str">
        <f t="shared" si="161"/>
        <v>NOK</v>
      </c>
      <c r="C2057" s="600" t="str">
        <f t="shared" si="161"/>
        <v>NOK :STD</v>
      </c>
      <c r="D2057" s="603"/>
      <c r="E2057" s="604"/>
      <c r="F2057" s="607" t="s">
        <v>20</v>
      </c>
      <c r="G2057" s="608">
        <v>0</v>
      </c>
    </row>
    <row r="2058" spans="1:7" ht="11.1" customHeight="1">
      <c r="A2058" s="600" t="str">
        <f t="shared" si="160"/>
        <v>NOK;NOK :STD;25Y</v>
      </c>
      <c r="B2058" s="600" t="str">
        <f t="shared" si="161"/>
        <v>NOK</v>
      </c>
      <c r="C2058" s="600" t="str">
        <f t="shared" si="161"/>
        <v>NOK :STD</v>
      </c>
      <c r="D2058" s="603"/>
      <c r="E2058" s="604"/>
      <c r="F2058" s="607" t="s">
        <v>21</v>
      </c>
      <c r="G2058" s="608">
        <v>0</v>
      </c>
    </row>
    <row r="2059" spans="1:7" ht="11.1" customHeight="1">
      <c r="A2059" s="600" t="str">
        <f t="shared" si="160"/>
        <v>NOK;NOK :STD;30Y</v>
      </c>
      <c r="B2059" s="600" t="str">
        <f t="shared" si="161"/>
        <v>NOK</v>
      </c>
      <c r="C2059" s="600" t="str">
        <f t="shared" si="161"/>
        <v>NOK :STD</v>
      </c>
      <c r="D2059" s="603"/>
      <c r="E2059" s="604"/>
      <c r="F2059" s="607" t="s">
        <v>22</v>
      </c>
      <c r="G2059" s="608">
        <v>0</v>
      </c>
    </row>
    <row r="2060" spans="1:7" ht="11.1" customHeight="1">
      <c r="A2060" s="600" t="str">
        <f t="shared" si="160"/>
        <v>NOK;NOK FOREX;Total NOK FOREX</v>
      </c>
      <c r="B2060" s="600" t="str">
        <f t="shared" si="161"/>
        <v>NOK</v>
      </c>
      <c r="C2060" s="600" t="str">
        <f t="shared" si="161"/>
        <v>NOK FOREX</v>
      </c>
      <c r="D2060" s="603"/>
      <c r="E2060" s="604" t="s">
        <v>1305</v>
      </c>
      <c r="F2060" s="605" t="s">
        <v>1306</v>
      </c>
      <c r="G2060" s="606">
        <v>-0.18254068305315099</v>
      </c>
    </row>
    <row r="2061" spans="1:7" ht="11.1" customHeight="1">
      <c r="A2061" s="600" t="str">
        <f t="shared" si="160"/>
        <v>NOK;NOK FOREX;O/N</v>
      </c>
      <c r="B2061" s="600" t="str">
        <f t="shared" si="161"/>
        <v>NOK</v>
      </c>
      <c r="C2061" s="600" t="str">
        <f t="shared" si="161"/>
        <v>NOK FOREX</v>
      </c>
      <c r="D2061" s="603"/>
      <c r="E2061" s="604"/>
      <c r="F2061" s="607" t="s">
        <v>3</v>
      </c>
      <c r="G2061" s="606">
        <v>-0.13690432390739801</v>
      </c>
    </row>
    <row r="2062" spans="1:7" ht="11.1" customHeight="1">
      <c r="A2062" s="600" t="str">
        <f t="shared" si="160"/>
        <v>NOK;NOK FOREX;T/N</v>
      </c>
      <c r="B2062" s="600" t="str">
        <f t="shared" si="161"/>
        <v>NOK</v>
      </c>
      <c r="C2062" s="600" t="str">
        <f t="shared" si="161"/>
        <v>NOK FOREX</v>
      </c>
      <c r="D2062" s="603"/>
      <c r="E2062" s="604"/>
      <c r="F2062" s="607" t="s">
        <v>4</v>
      </c>
      <c r="G2062" s="606">
        <v>-4.5636359145779397E-2</v>
      </c>
    </row>
    <row r="2063" spans="1:7" ht="11.1" customHeight="1">
      <c r="A2063" s="600" t="str">
        <f t="shared" si="160"/>
        <v>NOK;NOK FOREX;1W</v>
      </c>
      <c r="B2063" s="600" t="str">
        <f t="shared" si="161"/>
        <v>NOK</v>
      </c>
      <c r="C2063" s="600" t="str">
        <f t="shared" si="161"/>
        <v>NOK FOREX</v>
      </c>
      <c r="D2063" s="603"/>
      <c r="E2063" s="604"/>
      <c r="F2063" s="607" t="s">
        <v>5</v>
      </c>
      <c r="G2063" s="608">
        <v>0</v>
      </c>
    </row>
    <row r="2064" spans="1:7" ht="11.1" customHeight="1">
      <c r="A2064" s="600" t="str">
        <f t="shared" si="160"/>
        <v>NOK;NOK FOREX;2W</v>
      </c>
      <c r="B2064" s="600" t="str">
        <f t="shared" si="161"/>
        <v>NOK</v>
      </c>
      <c r="C2064" s="600" t="str">
        <f t="shared" si="161"/>
        <v>NOK FOREX</v>
      </c>
      <c r="D2064" s="603"/>
      <c r="E2064" s="604"/>
      <c r="F2064" s="607" t="s">
        <v>6</v>
      </c>
      <c r="G2064" s="608">
        <v>0</v>
      </c>
    </row>
    <row r="2065" spans="1:7" ht="11.1" customHeight="1">
      <c r="A2065" s="600" t="str">
        <f t="shared" si="160"/>
        <v>NOK;NOK FOREX;3W</v>
      </c>
      <c r="B2065" s="600" t="str">
        <f t="shared" si="161"/>
        <v>NOK</v>
      </c>
      <c r="C2065" s="600" t="str">
        <f t="shared" si="161"/>
        <v>NOK FOREX</v>
      </c>
      <c r="D2065" s="603"/>
      <c r="E2065" s="604"/>
      <c r="F2065" s="607" t="s">
        <v>24</v>
      </c>
      <c r="G2065" s="608">
        <v>0</v>
      </c>
    </row>
    <row r="2066" spans="1:7" ht="11.1" customHeight="1">
      <c r="A2066" s="600" t="str">
        <f t="shared" si="160"/>
        <v>NOK;NOK FOREX;1M</v>
      </c>
      <c r="B2066" s="600" t="str">
        <f t="shared" si="161"/>
        <v>NOK</v>
      </c>
      <c r="C2066" s="600" t="str">
        <f t="shared" si="161"/>
        <v>NOK FOREX</v>
      </c>
      <c r="D2066" s="603"/>
      <c r="E2066" s="604"/>
      <c r="F2066" s="607" t="s">
        <v>7</v>
      </c>
      <c r="G2066" s="608">
        <v>0</v>
      </c>
    </row>
    <row r="2067" spans="1:7" ht="11.1" customHeight="1">
      <c r="A2067" s="600" t="str">
        <f t="shared" si="160"/>
        <v>NOK;NOK FOREX;2M</v>
      </c>
      <c r="B2067" s="600" t="str">
        <f t="shared" si="161"/>
        <v>NOK</v>
      </c>
      <c r="C2067" s="600" t="str">
        <f t="shared" si="161"/>
        <v>NOK FOREX</v>
      </c>
      <c r="D2067" s="603"/>
      <c r="E2067" s="604"/>
      <c r="F2067" s="607" t="s">
        <v>8</v>
      </c>
      <c r="G2067" s="608">
        <v>0</v>
      </c>
    </row>
    <row r="2068" spans="1:7" ht="11.1" customHeight="1">
      <c r="A2068" s="600" t="str">
        <f t="shared" si="160"/>
        <v>NOK;NOK FOREX;3M</v>
      </c>
      <c r="B2068" s="600" t="str">
        <f t="shared" si="161"/>
        <v>NOK</v>
      </c>
      <c r="C2068" s="600" t="str">
        <f t="shared" si="161"/>
        <v>NOK FOREX</v>
      </c>
      <c r="D2068" s="603"/>
      <c r="E2068" s="604"/>
      <c r="F2068" s="607" t="s">
        <v>25</v>
      </c>
      <c r="G2068" s="608">
        <v>0</v>
      </c>
    </row>
    <row r="2069" spans="1:7" ht="11.1" customHeight="1">
      <c r="A2069" s="600" t="str">
        <f t="shared" si="160"/>
        <v>NOK;NOK FOREX;4M</v>
      </c>
      <c r="B2069" s="600" t="str">
        <f t="shared" ref="B2069:C2084" si="162">IF(ISBLANK(D2069),B2068,D2069)</f>
        <v>NOK</v>
      </c>
      <c r="C2069" s="600" t="str">
        <f t="shared" si="162"/>
        <v>NOK FOREX</v>
      </c>
      <c r="D2069" s="603"/>
      <c r="E2069" s="604"/>
      <c r="F2069" s="607" t="s">
        <v>26</v>
      </c>
      <c r="G2069" s="608">
        <v>0</v>
      </c>
    </row>
    <row r="2070" spans="1:7" ht="11.1" customHeight="1">
      <c r="A2070" s="600" t="str">
        <f t="shared" si="160"/>
        <v>NOK;NOK FOREX;5M</v>
      </c>
      <c r="B2070" s="600" t="str">
        <f t="shared" si="162"/>
        <v>NOK</v>
      </c>
      <c r="C2070" s="600" t="str">
        <f t="shared" si="162"/>
        <v>NOK FOREX</v>
      </c>
      <c r="D2070" s="603"/>
      <c r="E2070" s="604"/>
      <c r="F2070" s="607" t="s">
        <v>27</v>
      </c>
      <c r="G2070" s="608">
        <v>0</v>
      </c>
    </row>
    <row r="2071" spans="1:7" ht="11.1" customHeight="1">
      <c r="A2071" s="600" t="str">
        <f t="shared" si="160"/>
        <v>NOK;NOK FOREX;6M</v>
      </c>
      <c r="B2071" s="600" t="str">
        <f t="shared" si="162"/>
        <v>NOK</v>
      </c>
      <c r="C2071" s="600" t="str">
        <f t="shared" si="162"/>
        <v>NOK FOREX</v>
      </c>
      <c r="D2071" s="603"/>
      <c r="E2071" s="604"/>
      <c r="F2071" s="607" t="s">
        <v>28</v>
      </c>
      <c r="G2071" s="608">
        <v>0</v>
      </c>
    </row>
    <row r="2072" spans="1:7" ht="11.1" customHeight="1">
      <c r="A2072" s="600" t="str">
        <f t="shared" si="160"/>
        <v>NOK;NOK FOREX;7M</v>
      </c>
      <c r="B2072" s="600" t="str">
        <f t="shared" si="162"/>
        <v>NOK</v>
      </c>
      <c r="C2072" s="600" t="str">
        <f t="shared" si="162"/>
        <v>NOK FOREX</v>
      </c>
      <c r="D2072" s="603"/>
      <c r="E2072" s="604"/>
      <c r="F2072" s="607" t="s">
        <v>29</v>
      </c>
      <c r="G2072" s="608">
        <v>0</v>
      </c>
    </row>
    <row r="2073" spans="1:7" ht="11.1" customHeight="1">
      <c r="A2073" s="600" t="str">
        <f t="shared" si="160"/>
        <v>NOK;NOK FOREX;8M</v>
      </c>
      <c r="B2073" s="600" t="str">
        <f t="shared" si="162"/>
        <v>NOK</v>
      </c>
      <c r="C2073" s="600" t="str">
        <f t="shared" si="162"/>
        <v>NOK FOREX</v>
      </c>
      <c r="D2073" s="603"/>
      <c r="E2073" s="604"/>
      <c r="F2073" s="607" t="s">
        <v>30</v>
      </c>
      <c r="G2073" s="608">
        <v>0</v>
      </c>
    </row>
    <row r="2074" spans="1:7" ht="11.1" customHeight="1">
      <c r="A2074" s="600" t="str">
        <f t="shared" si="160"/>
        <v>NOK;NOK FOREX;9M</v>
      </c>
      <c r="B2074" s="600" t="str">
        <f t="shared" si="162"/>
        <v>NOK</v>
      </c>
      <c r="C2074" s="600" t="str">
        <f t="shared" si="162"/>
        <v>NOK FOREX</v>
      </c>
      <c r="D2074" s="603"/>
      <c r="E2074" s="604"/>
      <c r="F2074" s="607" t="s">
        <v>49</v>
      </c>
      <c r="G2074" s="608">
        <v>0</v>
      </c>
    </row>
    <row r="2075" spans="1:7" ht="11.1" customHeight="1">
      <c r="A2075" s="600" t="str">
        <f t="shared" si="160"/>
        <v>NOK;NOK FOREX;10M</v>
      </c>
      <c r="B2075" s="600" t="str">
        <f t="shared" si="162"/>
        <v>NOK</v>
      </c>
      <c r="C2075" s="600" t="str">
        <f t="shared" si="162"/>
        <v>NOK FOREX</v>
      </c>
      <c r="D2075" s="603"/>
      <c r="E2075" s="604"/>
      <c r="F2075" s="607" t="s">
        <v>50</v>
      </c>
      <c r="G2075" s="608">
        <v>0</v>
      </c>
    </row>
    <row r="2076" spans="1:7" ht="11.1" customHeight="1">
      <c r="A2076" s="600" t="str">
        <f t="shared" si="160"/>
        <v>NOK;NOK FOREX;11M</v>
      </c>
      <c r="B2076" s="600" t="str">
        <f t="shared" si="162"/>
        <v>NOK</v>
      </c>
      <c r="C2076" s="600" t="str">
        <f t="shared" si="162"/>
        <v>NOK FOREX</v>
      </c>
      <c r="D2076" s="603"/>
      <c r="E2076" s="604"/>
      <c r="F2076" s="607" t="s">
        <v>51</v>
      </c>
      <c r="G2076" s="608">
        <v>0</v>
      </c>
    </row>
    <row r="2077" spans="1:7" ht="11.1" customHeight="1">
      <c r="A2077" s="600" t="str">
        <f t="shared" si="160"/>
        <v>NOK;NOK FOREX;12M</v>
      </c>
      <c r="B2077" s="600" t="str">
        <f t="shared" si="162"/>
        <v>NOK</v>
      </c>
      <c r="C2077" s="600" t="str">
        <f t="shared" si="162"/>
        <v>NOK FOREX</v>
      </c>
      <c r="D2077" s="603"/>
      <c r="E2077" s="604"/>
      <c r="F2077" s="607" t="s">
        <v>52</v>
      </c>
      <c r="G2077" s="608">
        <v>0</v>
      </c>
    </row>
    <row r="2078" spans="1:7" ht="11.1" customHeight="1">
      <c r="A2078" s="600" t="str">
        <f t="shared" si="160"/>
        <v>NOK;NOK FOREX;15M</v>
      </c>
      <c r="B2078" s="600" t="str">
        <f t="shared" si="162"/>
        <v>NOK</v>
      </c>
      <c r="C2078" s="600" t="str">
        <f t="shared" si="162"/>
        <v>NOK FOREX</v>
      </c>
      <c r="D2078" s="603"/>
      <c r="E2078" s="604"/>
      <c r="F2078" s="607" t="s">
        <v>53</v>
      </c>
      <c r="G2078" s="608">
        <v>0</v>
      </c>
    </row>
    <row r="2079" spans="1:7" ht="11.1" customHeight="1">
      <c r="A2079" s="600" t="str">
        <f t="shared" si="160"/>
        <v>NOK;NOK FOREX;18M</v>
      </c>
      <c r="B2079" s="600" t="str">
        <f t="shared" si="162"/>
        <v>NOK</v>
      </c>
      <c r="C2079" s="600" t="str">
        <f t="shared" si="162"/>
        <v>NOK FOREX</v>
      </c>
      <c r="D2079" s="603"/>
      <c r="E2079" s="604"/>
      <c r="F2079" s="607" t="s">
        <v>54</v>
      </c>
      <c r="G2079" s="608">
        <v>0</v>
      </c>
    </row>
    <row r="2080" spans="1:7" ht="11.1" customHeight="1">
      <c r="A2080" s="600" t="str">
        <f t="shared" si="160"/>
        <v>NOK;NOK FOREX;24M</v>
      </c>
      <c r="B2080" s="600" t="str">
        <f t="shared" si="162"/>
        <v>NOK</v>
      </c>
      <c r="C2080" s="600" t="str">
        <f t="shared" si="162"/>
        <v>NOK FOREX</v>
      </c>
      <c r="D2080" s="603"/>
      <c r="E2080" s="604"/>
      <c r="F2080" s="607" t="s">
        <v>659</v>
      </c>
      <c r="G2080" s="608">
        <v>0</v>
      </c>
    </row>
    <row r="2081" spans="1:7" ht="11.1" customHeight="1">
      <c r="A2081" s="600" t="str">
        <f t="shared" si="160"/>
        <v>NOK;NOK FOREX;3Y</v>
      </c>
      <c r="B2081" s="600" t="str">
        <f t="shared" si="162"/>
        <v>NOK</v>
      </c>
      <c r="C2081" s="600" t="str">
        <f t="shared" si="162"/>
        <v>NOK FOREX</v>
      </c>
      <c r="D2081" s="603"/>
      <c r="E2081" s="604"/>
      <c r="F2081" s="607" t="s">
        <v>10</v>
      </c>
      <c r="G2081" s="608">
        <v>0</v>
      </c>
    </row>
    <row r="2082" spans="1:7" ht="11.1" customHeight="1">
      <c r="A2082" s="600" t="str">
        <f t="shared" si="160"/>
        <v>NOK;NOK FOREX;4Y</v>
      </c>
      <c r="B2082" s="600" t="str">
        <f t="shared" si="162"/>
        <v>NOK</v>
      </c>
      <c r="C2082" s="600" t="str">
        <f t="shared" si="162"/>
        <v>NOK FOREX</v>
      </c>
      <c r="D2082" s="603"/>
      <c r="E2082" s="604"/>
      <c r="F2082" s="607" t="s">
        <v>11</v>
      </c>
      <c r="G2082" s="608">
        <v>0</v>
      </c>
    </row>
    <row r="2083" spans="1:7" ht="11.1" customHeight="1">
      <c r="A2083" s="600" t="str">
        <f t="shared" si="160"/>
        <v>NOK;NOK FOREX;5Y</v>
      </c>
      <c r="B2083" s="600" t="str">
        <f t="shared" si="162"/>
        <v>NOK</v>
      </c>
      <c r="C2083" s="600" t="str">
        <f t="shared" si="162"/>
        <v>NOK FOREX</v>
      </c>
      <c r="D2083" s="603"/>
      <c r="E2083" s="604"/>
      <c r="F2083" s="607" t="s">
        <v>12</v>
      </c>
      <c r="G2083" s="608">
        <v>0</v>
      </c>
    </row>
    <row r="2084" spans="1:7" ht="11.1" customHeight="1">
      <c r="A2084" s="600" t="str">
        <f t="shared" si="160"/>
        <v>NOK;NOK FOREX;6Y</v>
      </c>
      <c r="B2084" s="600" t="str">
        <f t="shared" si="162"/>
        <v>NOK</v>
      </c>
      <c r="C2084" s="600" t="str">
        <f t="shared" si="162"/>
        <v>NOK FOREX</v>
      </c>
      <c r="D2084" s="603"/>
      <c r="E2084" s="604"/>
      <c r="F2084" s="607" t="s">
        <v>13</v>
      </c>
      <c r="G2084" s="608">
        <v>0</v>
      </c>
    </row>
    <row r="2085" spans="1:7" ht="11.1" customHeight="1">
      <c r="A2085" s="600" t="str">
        <f t="shared" si="160"/>
        <v>NOK;NOK FOREX;7Y</v>
      </c>
      <c r="B2085" s="600" t="str">
        <f t="shared" ref="B2085:C2100" si="163">IF(ISBLANK(D2085),B2084,D2085)</f>
        <v>NOK</v>
      </c>
      <c r="C2085" s="600" t="str">
        <f t="shared" si="163"/>
        <v>NOK FOREX</v>
      </c>
      <c r="D2085" s="603"/>
      <c r="E2085" s="604"/>
      <c r="F2085" s="607" t="s">
        <v>14</v>
      </c>
      <c r="G2085" s="608">
        <v>0</v>
      </c>
    </row>
    <row r="2086" spans="1:7" ht="11.1" customHeight="1">
      <c r="A2086" s="600" t="str">
        <f t="shared" si="160"/>
        <v>NOK;NOK FOREX;8Y</v>
      </c>
      <c r="B2086" s="600" t="str">
        <f t="shared" si="163"/>
        <v>NOK</v>
      </c>
      <c r="C2086" s="600" t="str">
        <f t="shared" si="163"/>
        <v>NOK FOREX</v>
      </c>
      <c r="D2086" s="603"/>
      <c r="E2086" s="604"/>
      <c r="F2086" s="607" t="s">
        <v>15</v>
      </c>
      <c r="G2086" s="608">
        <v>0</v>
      </c>
    </row>
    <row r="2087" spans="1:7" ht="11.1" customHeight="1">
      <c r="A2087" s="600" t="str">
        <f t="shared" si="160"/>
        <v>NOK;NOK FOREX;9Y</v>
      </c>
      <c r="B2087" s="600" t="str">
        <f t="shared" si="163"/>
        <v>NOK</v>
      </c>
      <c r="C2087" s="600" t="str">
        <f t="shared" si="163"/>
        <v>NOK FOREX</v>
      </c>
      <c r="D2087" s="603"/>
      <c r="E2087" s="604"/>
      <c r="F2087" s="607" t="s">
        <v>16</v>
      </c>
      <c r="G2087" s="608">
        <v>0</v>
      </c>
    </row>
    <row r="2088" spans="1:7" ht="11.1" customHeight="1">
      <c r="A2088" s="600" t="str">
        <f t="shared" si="160"/>
        <v>NOK;NOK FOREX;10Y</v>
      </c>
      <c r="B2088" s="600" t="str">
        <f t="shared" si="163"/>
        <v>NOK</v>
      </c>
      <c r="C2088" s="600" t="str">
        <f t="shared" si="163"/>
        <v>NOK FOREX</v>
      </c>
      <c r="D2088" s="603"/>
      <c r="E2088" s="604"/>
      <c r="F2088" s="607" t="s">
        <v>17</v>
      </c>
      <c r="G2088" s="608">
        <v>0</v>
      </c>
    </row>
    <row r="2089" spans="1:7" ht="11.1" customHeight="1">
      <c r="A2089" s="600" t="str">
        <f t="shared" si="160"/>
        <v>NOK;NOK FOREX;11Y</v>
      </c>
      <c r="B2089" s="600" t="str">
        <f t="shared" si="163"/>
        <v>NOK</v>
      </c>
      <c r="C2089" s="600" t="str">
        <f t="shared" si="163"/>
        <v>NOK FOREX</v>
      </c>
      <c r="D2089" s="603"/>
      <c r="E2089" s="604"/>
      <c r="F2089" s="607" t="s">
        <v>31</v>
      </c>
      <c r="G2089" s="608">
        <v>0</v>
      </c>
    </row>
    <row r="2090" spans="1:7" ht="11.1" customHeight="1">
      <c r="A2090" s="600" t="str">
        <f t="shared" si="160"/>
        <v>NOK;NOK FOREX;12Y</v>
      </c>
      <c r="B2090" s="600" t="str">
        <f t="shared" si="163"/>
        <v>NOK</v>
      </c>
      <c r="C2090" s="600" t="str">
        <f t="shared" si="163"/>
        <v>NOK FOREX</v>
      </c>
      <c r="D2090" s="603"/>
      <c r="E2090" s="604"/>
      <c r="F2090" s="607" t="s">
        <v>18</v>
      </c>
      <c r="G2090" s="608">
        <v>0</v>
      </c>
    </row>
    <row r="2091" spans="1:7" ht="11.1" customHeight="1">
      <c r="A2091" s="600" t="str">
        <f t="shared" si="160"/>
        <v>NOK;NOK FOREX;13Y</v>
      </c>
      <c r="B2091" s="600" t="str">
        <f t="shared" si="163"/>
        <v>NOK</v>
      </c>
      <c r="C2091" s="600" t="str">
        <f t="shared" si="163"/>
        <v>NOK FOREX</v>
      </c>
      <c r="D2091" s="603"/>
      <c r="E2091" s="604"/>
      <c r="F2091" s="607" t="s">
        <v>32</v>
      </c>
      <c r="G2091" s="608">
        <v>0</v>
      </c>
    </row>
    <row r="2092" spans="1:7" ht="11.1" customHeight="1">
      <c r="A2092" s="600" t="str">
        <f t="shared" si="160"/>
        <v>NOK;NOK FOREX;14Y</v>
      </c>
      <c r="B2092" s="600" t="str">
        <f t="shared" si="163"/>
        <v>NOK</v>
      </c>
      <c r="C2092" s="600" t="str">
        <f t="shared" si="163"/>
        <v>NOK FOREX</v>
      </c>
      <c r="D2092" s="603"/>
      <c r="E2092" s="604"/>
      <c r="F2092" s="607" t="s">
        <v>33</v>
      </c>
      <c r="G2092" s="608">
        <v>0</v>
      </c>
    </row>
    <row r="2093" spans="1:7" ht="11.1" customHeight="1">
      <c r="A2093" s="600" t="str">
        <f t="shared" si="160"/>
        <v>NOK;NOK FOREX;15Y</v>
      </c>
      <c r="B2093" s="600" t="str">
        <f t="shared" si="163"/>
        <v>NOK</v>
      </c>
      <c r="C2093" s="600" t="str">
        <f t="shared" si="163"/>
        <v>NOK FOREX</v>
      </c>
      <c r="D2093" s="603"/>
      <c r="E2093" s="604"/>
      <c r="F2093" s="607" t="s">
        <v>19</v>
      </c>
      <c r="G2093" s="608">
        <v>0</v>
      </c>
    </row>
    <row r="2094" spans="1:7" ht="11.1" customHeight="1">
      <c r="A2094" s="600" t="str">
        <f t="shared" si="160"/>
        <v>NOK;NOK FOREX;16Y</v>
      </c>
      <c r="B2094" s="600" t="str">
        <f t="shared" si="163"/>
        <v>NOK</v>
      </c>
      <c r="C2094" s="600" t="str">
        <f t="shared" si="163"/>
        <v>NOK FOREX</v>
      </c>
      <c r="D2094" s="603"/>
      <c r="E2094" s="604"/>
      <c r="F2094" s="607" t="s">
        <v>34</v>
      </c>
      <c r="G2094" s="608">
        <v>0</v>
      </c>
    </row>
    <row r="2095" spans="1:7" ht="11.1" customHeight="1">
      <c r="A2095" s="600" t="str">
        <f t="shared" si="160"/>
        <v>NOK;NOK FOREX;17Y</v>
      </c>
      <c r="B2095" s="600" t="str">
        <f t="shared" si="163"/>
        <v>NOK</v>
      </c>
      <c r="C2095" s="600" t="str">
        <f t="shared" si="163"/>
        <v>NOK FOREX</v>
      </c>
      <c r="D2095" s="603"/>
      <c r="E2095" s="604"/>
      <c r="F2095" s="607" t="s">
        <v>35</v>
      </c>
      <c r="G2095" s="608">
        <v>0</v>
      </c>
    </row>
    <row r="2096" spans="1:7" ht="11.1" customHeight="1">
      <c r="A2096" s="600" t="str">
        <f t="shared" si="160"/>
        <v>NOK;NOK FOREX;18Y</v>
      </c>
      <c r="B2096" s="600" t="str">
        <f t="shared" si="163"/>
        <v>NOK</v>
      </c>
      <c r="C2096" s="600" t="str">
        <f t="shared" si="163"/>
        <v>NOK FOREX</v>
      </c>
      <c r="D2096" s="603"/>
      <c r="E2096" s="604"/>
      <c r="F2096" s="607" t="s">
        <v>36</v>
      </c>
      <c r="G2096" s="608">
        <v>0</v>
      </c>
    </row>
    <row r="2097" spans="1:7" ht="11.1" customHeight="1">
      <c r="A2097" s="600" t="str">
        <f t="shared" si="160"/>
        <v>NOK;NOK FOREX;19Y</v>
      </c>
      <c r="B2097" s="600" t="str">
        <f t="shared" si="163"/>
        <v>NOK</v>
      </c>
      <c r="C2097" s="600" t="str">
        <f t="shared" si="163"/>
        <v>NOK FOREX</v>
      </c>
      <c r="D2097" s="603"/>
      <c r="E2097" s="604"/>
      <c r="F2097" s="607" t="s">
        <v>37</v>
      </c>
      <c r="G2097" s="608">
        <v>0</v>
      </c>
    </row>
    <row r="2098" spans="1:7" ht="11.1" customHeight="1">
      <c r="A2098" s="600" t="str">
        <f t="shared" si="160"/>
        <v>NOK;NOK FOREX;20Y</v>
      </c>
      <c r="B2098" s="600" t="str">
        <f t="shared" si="163"/>
        <v>NOK</v>
      </c>
      <c r="C2098" s="600" t="str">
        <f t="shared" si="163"/>
        <v>NOK FOREX</v>
      </c>
      <c r="D2098" s="603"/>
      <c r="E2098" s="604"/>
      <c r="F2098" s="607" t="s">
        <v>20</v>
      </c>
      <c r="G2098" s="608">
        <v>0</v>
      </c>
    </row>
    <row r="2099" spans="1:7" ht="11.1" customHeight="1">
      <c r="A2099" s="600" t="str">
        <f t="shared" si="160"/>
        <v>NOK;NOK FOREX;21Y</v>
      </c>
      <c r="B2099" s="600" t="str">
        <f t="shared" si="163"/>
        <v>NOK</v>
      </c>
      <c r="C2099" s="600" t="str">
        <f t="shared" si="163"/>
        <v>NOK FOREX</v>
      </c>
      <c r="D2099" s="603"/>
      <c r="E2099" s="604"/>
      <c r="F2099" s="607" t="s">
        <v>38</v>
      </c>
      <c r="G2099" s="608">
        <v>0</v>
      </c>
    </row>
    <row r="2100" spans="1:7" ht="11.1" customHeight="1">
      <c r="A2100" s="600" t="str">
        <f t="shared" si="160"/>
        <v>NOK;NOK FOREX;22Y</v>
      </c>
      <c r="B2100" s="600" t="str">
        <f t="shared" si="163"/>
        <v>NOK</v>
      </c>
      <c r="C2100" s="600" t="str">
        <f t="shared" si="163"/>
        <v>NOK FOREX</v>
      </c>
      <c r="D2100" s="603"/>
      <c r="E2100" s="604"/>
      <c r="F2100" s="607" t="s">
        <v>39</v>
      </c>
      <c r="G2100" s="608">
        <v>0</v>
      </c>
    </row>
    <row r="2101" spans="1:7" ht="11.1" customHeight="1">
      <c r="A2101" s="600" t="str">
        <f t="shared" si="160"/>
        <v>NOK;NOK FOREX;23Y</v>
      </c>
      <c r="B2101" s="600" t="str">
        <f t="shared" ref="B2101:C2116" si="164">IF(ISBLANK(D2101),B2100,D2101)</f>
        <v>NOK</v>
      </c>
      <c r="C2101" s="600" t="str">
        <f t="shared" si="164"/>
        <v>NOK FOREX</v>
      </c>
      <c r="D2101" s="603"/>
      <c r="E2101" s="604"/>
      <c r="F2101" s="607" t="s">
        <v>40</v>
      </c>
      <c r="G2101" s="608">
        <v>0</v>
      </c>
    </row>
    <row r="2102" spans="1:7" ht="11.1" customHeight="1">
      <c r="A2102" s="600" t="str">
        <f t="shared" si="160"/>
        <v>NOK;NOK FOREX;24Y</v>
      </c>
      <c r="B2102" s="600" t="str">
        <f t="shared" si="164"/>
        <v>NOK</v>
      </c>
      <c r="C2102" s="600" t="str">
        <f t="shared" si="164"/>
        <v>NOK FOREX</v>
      </c>
      <c r="D2102" s="603"/>
      <c r="E2102" s="604"/>
      <c r="F2102" s="607" t="s">
        <v>41</v>
      </c>
      <c r="G2102" s="608">
        <v>0</v>
      </c>
    </row>
    <row r="2103" spans="1:7" ht="11.1" customHeight="1">
      <c r="A2103" s="600" t="str">
        <f t="shared" si="160"/>
        <v>NOK;NOK FOREX;25Y</v>
      </c>
      <c r="B2103" s="600" t="str">
        <f t="shared" si="164"/>
        <v>NOK</v>
      </c>
      <c r="C2103" s="600" t="str">
        <f t="shared" si="164"/>
        <v>NOK FOREX</v>
      </c>
      <c r="D2103" s="603"/>
      <c r="E2103" s="604"/>
      <c r="F2103" s="607" t="s">
        <v>21</v>
      </c>
      <c r="G2103" s="608">
        <v>0</v>
      </c>
    </row>
    <row r="2104" spans="1:7" ht="11.1" customHeight="1">
      <c r="A2104" s="600" t="str">
        <f t="shared" si="160"/>
        <v>NOK;NOK FOREX;26Y</v>
      </c>
      <c r="B2104" s="600" t="str">
        <f t="shared" si="164"/>
        <v>NOK</v>
      </c>
      <c r="C2104" s="600" t="str">
        <f t="shared" si="164"/>
        <v>NOK FOREX</v>
      </c>
      <c r="D2104" s="603"/>
      <c r="E2104" s="604"/>
      <c r="F2104" s="607" t="s">
        <v>42</v>
      </c>
      <c r="G2104" s="608">
        <v>0</v>
      </c>
    </row>
    <row r="2105" spans="1:7" ht="11.1" customHeight="1">
      <c r="A2105" s="600" t="str">
        <f t="shared" si="160"/>
        <v>NOK;NOK FOREX;27Y</v>
      </c>
      <c r="B2105" s="600" t="str">
        <f t="shared" si="164"/>
        <v>NOK</v>
      </c>
      <c r="C2105" s="600" t="str">
        <f t="shared" si="164"/>
        <v>NOK FOREX</v>
      </c>
      <c r="D2105" s="603"/>
      <c r="E2105" s="604"/>
      <c r="F2105" s="607" t="s">
        <v>43</v>
      </c>
      <c r="G2105" s="608">
        <v>0</v>
      </c>
    </row>
    <row r="2106" spans="1:7" ht="11.1" customHeight="1">
      <c r="A2106" s="600" t="str">
        <f t="shared" si="160"/>
        <v>NOK;NOK FOREX;28Y</v>
      </c>
      <c r="B2106" s="600" t="str">
        <f t="shared" si="164"/>
        <v>NOK</v>
      </c>
      <c r="C2106" s="600" t="str">
        <f t="shared" si="164"/>
        <v>NOK FOREX</v>
      </c>
      <c r="D2106" s="603"/>
      <c r="E2106" s="604"/>
      <c r="F2106" s="607" t="s">
        <v>44</v>
      </c>
      <c r="G2106" s="608">
        <v>0</v>
      </c>
    </row>
    <row r="2107" spans="1:7" ht="11.1" customHeight="1">
      <c r="A2107" s="600" t="str">
        <f t="shared" si="160"/>
        <v>NOK;NOK FOREX;29Y</v>
      </c>
      <c r="B2107" s="600" t="str">
        <f t="shared" si="164"/>
        <v>NOK</v>
      </c>
      <c r="C2107" s="600" t="str">
        <f t="shared" si="164"/>
        <v>NOK FOREX</v>
      </c>
      <c r="D2107" s="603"/>
      <c r="E2107" s="604"/>
      <c r="F2107" s="607" t="s">
        <v>45</v>
      </c>
      <c r="G2107" s="608">
        <v>0</v>
      </c>
    </row>
    <row r="2108" spans="1:7" ht="11.1" customHeight="1">
      <c r="A2108" s="600" t="str">
        <f t="shared" si="160"/>
        <v>NOK;NOK FOREX;30Y</v>
      </c>
      <c r="B2108" s="600" t="str">
        <f t="shared" si="164"/>
        <v>NOK</v>
      </c>
      <c r="C2108" s="600" t="str">
        <f t="shared" si="164"/>
        <v>NOK FOREX</v>
      </c>
      <c r="D2108" s="603"/>
      <c r="E2108" s="604"/>
      <c r="F2108" s="607" t="s">
        <v>22</v>
      </c>
      <c r="G2108" s="608">
        <v>0</v>
      </c>
    </row>
    <row r="2109" spans="1:7" ht="11.1" customHeight="1">
      <c r="A2109" s="600" t="str">
        <f t="shared" si="160"/>
        <v>NZD;Total NZD;</v>
      </c>
      <c r="B2109" s="600" t="str">
        <f t="shared" si="164"/>
        <v>NZD</v>
      </c>
      <c r="C2109" s="600" t="str">
        <f t="shared" si="164"/>
        <v>Total NZD</v>
      </c>
      <c r="D2109" s="603" t="s">
        <v>1307</v>
      </c>
      <c r="E2109" s="609" t="s">
        <v>1308</v>
      </c>
      <c r="F2109" s="609"/>
      <c r="G2109" s="612">
        <v>-1022.41912823827</v>
      </c>
    </row>
    <row r="2110" spans="1:7" ht="11.1" customHeight="1">
      <c r="A2110" s="600" t="str">
        <f t="shared" si="160"/>
        <v>NZD;NZD :STD;Total NZD :STD</v>
      </c>
      <c r="B2110" s="600" t="str">
        <f t="shared" si="164"/>
        <v>NZD</v>
      </c>
      <c r="C2110" s="600" t="str">
        <f t="shared" si="164"/>
        <v>NZD :STD</v>
      </c>
      <c r="D2110" s="603"/>
      <c r="E2110" s="604" t="s">
        <v>1309</v>
      </c>
      <c r="F2110" s="605" t="s">
        <v>1310</v>
      </c>
      <c r="G2110" s="606">
        <v>-1021.63229968697</v>
      </c>
    </row>
    <row r="2111" spans="1:7" ht="11.1" customHeight="1">
      <c r="A2111" s="600" t="str">
        <f t="shared" si="160"/>
        <v>NZD;NZD :STD;1M</v>
      </c>
      <c r="B2111" s="600" t="str">
        <f t="shared" si="164"/>
        <v>NZD</v>
      </c>
      <c r="C2111" s="600" t="str">
        <f t="shared" si="164"/>
        <v>NZD :STD</v>
      </c>
      <c r="D2111" s="603"/>
      <c r="E2111" s="604"/>
      <c r="F2111" s="607" t="s">
        <v>7</v>
      </c>
      <c r="G2111" s="606">
        <v>-412.76360956083499</v>
      </c>
    </row>
    <row r="2112" spans="1:7" ht="11.1" customHeight="1">
      <c r="A2112" s="600" t="str">
        <f t="shared" si="160"/>
        <v>NZD;NZD :STD;2M</v>
      </c>
      <c r="B2112" s="600" t="str">
        <f t="shared" si="164"/>
        <v>NZD</v>
      </c>
      <c r="C2112" s="600" t="str">
        <f t="shared" si="164"/>
        <v>NZD :STD</v>
      </c>
      <c r="D2112" s="603"/>
      <c r="E2112" s="604"/>
      <c r="F2112" s="607" t="s">
        <v>8</v>
      </c>
      <c r="G2112" s="611">
        <v>12.219704830222801</v>
      </c>
    </row>
    <row r="2113" spans="1:7" ht="11.1" customHeight="1">
      <c r="A2113" s="600" t="str">
        <f t="shared" si="160"/>
        <v>NZD;NZD :STD;3M</v>
      </c>
      <c r="B2113" s="600" t="str">
        <f t="shared" si="164"/>
        <v>NZD</v>
      </c>
      <c r="C2113" s="600" t="str">
        <f t="shared" si="164"/>
        <v>NZD :STD</v>
      </c>
      <c r="D2113" s="603"/>
      <c r="E2113" s="604"/>
      <c r="F2113" s="607" t="s">
        <v>25</v>
      </c>
      <c r="G2113" s="611">
        <v>1885.8133347563301</v>
      </c>
    </row>
    <row r="2114" spans="1:7" ht="11.1" customHeight="1">
      <c r="A2114" s="600" t="str">
        <f t="shared" si="160"/>
        <v>NZD;NZD :STD;4M</v>
      </c>
      <c r="B2114" s="600" t="str">
        <f t="shared" si="164"/>
        <v>NZD</v>
      </c>
      <c r="C2114" s="600" t="str">
        <f t="shared" si="164"/>
        <v>NZD :STD</v>
      </c>
      <c r="D2114" s="603"/>
      <c r="E2114" s="604"/>
      <c r="F2114" s="607" t="s">
        <v>26</v>
      </c>
      <c r="G2114" s="611">
        <v>4249.0291317452002</v>
      </c>
    </row>
    <row r="2115" spans="1:7" ht="11.1" customHeight="1">
      <c r="A2115" s="600" t="str">
        <f t="shared" si="160"/>
        <v>NZD;NZD :STD;5M</v>
      </c>
      <c r="B2115" s="600" t="str">
        <f t="shared" si="164"/>
        <v>NZD</v>
      </c>
      <c r="C2115" s="600" t="str">
        <f t="shared" si="164"/>
        <v>NZD :STD</v>
      </c>
      <c r="D2115" s="603"/>
      <c r="E2115" s="604"/>
      <c r="F2115" s="607" t="s">
        <v>27</v>
      </c>
      <c r="G2115" s="606">
        <v>-38.509858206893099</v>
      </c>
    </row>
    <row r="2116" spans="1:7" ht="11.1" customHeight="1">
      <c r="A2116" s="600" t="str">
        <f t="shared" si="160"/>
        <v>NZD;NZD :STD;6M</v>
      </c>
      <c r="B2116" s="600" t="str">
        <f t="shared" si="164"/>
        <v>NZD</v>
      </c>
      <c r="C2116" s="600" t="str">
        <f t="shared" si="164"/>
        <v>NZD :STD</v>
      </c>
      <c r="D2116" s="603"/>
      <c r="E2116" s="604"/>
      <c r="F2116" s="607" t="s">
        <v>28</v>
      </c>
      <c r="G2116" s="606">
        <v>-9713.3213842038003</v>
      </c>
    </row>
    <row r="2117" spans="1:7" ht="11.1" customHeight="1">
      <c r="A2117" s="600" t="str">
        <f t="shared" ref="A2117:A2180" si="165">B2117&amp;";"&amp;C2117&amp;";"&amp;F2117</f>
        <v>NZD;NZD :STD;1Y</v>
      </c>
      <c r="B2117" s="600" t="str">
        <f t="shared" ref="B2117:C2132" si="166">IF(ISBLANK(D2117),B2116,D2117)</f>
        <v>NZD</v>
      </c>
      <c r="C2117" s="600" t="str">
        <f t="shared" si="166"/>
        <v>NZD :STD</v>
      </c>
      <c r="D2117" s="603"/>
      <c r="E2117" s="604"/>
      <c r="F2117" s="607" t="s">
        <v>56</v>
      </c>
      <c r="G2117" s="611">
        <v>2563.4628320444199</v>
      </c>
    </row>
    <row r="2118" spans="1:7" ht="11.1" customHeight="1">
      <c r="A2118" s="600" t="str">
        <f t="shared" si="165"/>
        <v>NZD;NZD :STD;2Y</v>
      </c>
      <c r="B2118" s="600" t="str">
        <f t="shared" si="166"/>
        <v>NZD</v>
      </c>
      <c r="C2118" s="600" t="str">
        <f t="shared" si="166"/>
        <v>NZD :STD</v>
      </c>
      <c r="D2118" s="603"/>
      <c r="E2118" s="604"/>
      <c r="F2118" s="607" t="s">
        <v>9</v>
      </c>
      <c r="G2118" s="606">
        <v>-2430.8281046012398</v>
      </c>
    </row>
    <row r="2119" spans="1:7" ht="11.1" customHeight="1">
      <c r="A2119" s="600" t="str">
        <f t="shared" si="165"/>
        <v>NZD;NZD :STD;3Y</v>
      </c>
      <c r="B2119" s="600" t="str">
        <f t="shared" si="166"/>
        <v>NZD</v>
      </c>
      <c r="C2119" s="600" t="str">
        <f t="shared" si="166"/>
        <v>NZD :STD</v>
      </c>
      <c r="D2119" s="603"/>
      <c r="E2119" s="604"/>
      <c r="F2119" s="607" t="s">
        <v>10</v>
      </c>
      <c r="G2119" s="611">
        <v>2974.30566071869</v>
      </c>
    </row>
    <row r="2120" spans="1:7" ht="11.1" customHeight="1">
      <c r="A2120" s="600" t="str">
        <f t="shared" si="165"/>
        <v>NZD;NZD :STD;4Y</v>
      </c>
      <c r="B2120" s="600" t="str">
        <f t="shared" si="166"/>
        <v>NZD</v>
      </c>
      <c r="C2120" s="600" t="str">
        <f t="shared" si="166"/>
        <v>NZD :STD</v>
      </c>
      <c r="D2120" s="603"/>
      <c r="E2120" s="604"/>
      <c r="F2120" s="607" t="s">
        <v>11</v>
      </c>
      <c r="G2120" s="606">
        <v>-110.748180095355</v>
      </c>
    </row>
    <row r="2121" spans="1:7" ht="11.1" customHeight="1">
      <c r="A2121" s="600" t="str">
        <f t="shared" si="165"/>
        <v>NZD;NZD :STD;5Y</v>
      </c>
      <c r="B2121" s="600" t="str">
        <f t="shared" si="166"/>
        <v>NZD</v>
      </c>
      <c r="C2121" s="600" t="str">
        <f t="shared" si="166"/>
        <v>NZD :STD</v>
      </c>
      <c r="D2121" s="603"/>
      <c r="E2121" s="604"/>
      <c r="F2121" s="607" t="s">
        <v>12</v>
      </c>
      <c r="G2121" s="606">
        <v>-0.29182711369359099</v>
      </c>
    </row>
    <row r="2122" spans="1:7" ht="11.1" customHeight="1">
      <c r="A2122" s="600" t="str">
        <f t="shared" si="165"/>
        <v>NZD;NZD :STD;6Y</v>
      </c>
      <c r="B2122" s="600" t="str">
        <f t="shared" si="166"/>
        <v>NZD</v>
      </c>
      <c r="C2122" s="600" t="str">
        <f t="shared" si="166"/>
        <v>NZD :STD</v>
      </c>
      <c r="D2122" s="603"/>
      <c r="E2122" s="604"/>
      <c r="F2122" s="607" t="s">
        <v>13</v>
      </c>
      <c r="G2122" s="608">
        <v>0</v>
      </c>
    </row>
    <row r="2123" spans="1:7" ht="11.1" customHeight="1">
      <c r="A2123" s="600" t="str">
        <f t="shared" si="165"/>
        <v>NZD;NZD :STD;7Y</v>
      </c>
      <c r="B2123" s="600" t="str">
        <f t="shared" si="166"/>
        <v>NZD</v>
      </c>
      <c r="C2123" s="600" t="str">
        <f t="shared" si="166"/>
        <v>NZD :STD</v>
      </c>
      <c r="D2123" s="603"/>
      <c r="E2123" s="604"/>
      <c r="F2123" s="607" t="s">
        <v>14</v>
      </c>
      <c r="G2123" s="608">
        <v>0</v>
      </c>
    </row>
    <row r="2124" spans="1:7" ht="11.1" customHeight="1">
      <c r="A2124" s="600" t="str">
        <f t="shared" si="165"/>
        <v>NZD;NZD :STD;8Y</v>
      </c>
      <c r="B2124" s="600" t="str">
        <f t="shared" si="166"/>
        <v>NZD</v>
      </c>
      <c r="C2124" s="600" t="str">
        <f t="shared" si="166"/>
        <v>NZD :STD</v>
      </c>
      <c r="D2124" s="603"/>
      <c r="E2124" s="604"/>
      <c r="F2124" s="607" t="s">
        <v>15</v>
      </c>
      <c r="G2124" s="608">
        <v>0</v>
      </c>
    </row>
    <row r="2125" spans="1:7" ht="11.1" customHeight="1">
      <c r="A2125" s="600" t="str">
        <f t="shared" si="165"/>
        <v>NZD;NZD :STD;9Y</v>
      </c>
      <c r="B2125" s="600" t="str">
        <f t="shared" si="166"/>
        <v>NZD</v>
      </c>
      <c r="C2125" s="600" t="str">
        <f t="shared" si="166"/>
        <v>NZD :STD</v>
      </c>
      <c r="D2125" s="603"/>
      <c r="E2125" s="604"/>
      <c r="F2125" s="607" t="s">
        <v>16</v>
      </c>
      <c r="G2125" s="608">
        <v>0</v>
      </c>
    </row>
    <row r="2126" spans="1:7" ht="11.1" customHeight="1">
      <c r="A2126" s="600" t="str">
        <f t="shared" si="165"/>
        <v>NZD;NZD :STD;10Y</v>
      </c>
      <c r="B2126" s="600" t="str">
        <f t="shared" si="166"/>
        <v>NZD</v>
      </c>
      <c r="C2126" s="600" t="str">
        <f t="shared" si="166"/>
        <v>NZD :STD</v>
      </c>
      <c r="D2126" s="603"/>
      <c r="E2126" s="604"/>
      <c r="F2126" s="607" t="s">
        <v>17</v>
      </c>
      <c r="G2126" s="608">
        <v>0</v>
      </c>
    </row>
    <row r="2127" spans="1:7" ht="11.1" customHeight="1">
      <c r="A2127" s="600" t="str">
        <f t="shared" si="165"/>
        <v>NZD;NZD :STD;12Y</v>
      </c>
      <c r="B2127" s="600" t="str">
        <f t="shared" si="166"/>
        <v>NZD</v>
      </c>
      <c r="C2127" s="600" t="str">
        <f t="shared" si="166"/>
        <v>NZD :STD</v>
      </c>
      <c r="D2127" s="603"/>
      <c r="E2127" s="604"/>
      <c r="F2127" s="607" t="s">
        <v>18</v>
      </c>
      <c r="G2127" s="608">
        <v>0</v>
      </c>
    </row>
    <row r="2128" spans="1:7" ht="11.1" customHeight="1">
      <c r="A2128" s="600" t="str">
        <f t="shared" si="165"/>
        <v>NZD;NZD :STD;15Y</v>
      </c>
      <c r="B2128" s="600" t="str">
        <f t="shared" si="166"/>
        <v>NZD</v>
      </c>
      <c r="C2128" s="600" t="str">
        <f t="shared" si="166"/>
        <v>NZD :STD</v>
      </c>
      <c r="D2128" s="603"/>
      <c r="E2128" s="604"/>
      <c r="F2128" s="607" t="s">
        <v>19</v>
      </c>
      <c r="G2128" s="608">
        <v>0</v>
      </c>
    </row>
    <row r="2129" spans="1:7" ht="11.1" customHeight="1">
      <c r="A2129" s="600" t="str">
        <f t="shared" si="165"/>
        <v>NZD;NZD FOREX;Total NZD FOREX</v>
      </c>
      <c r="B2129" s="600" t="str">
        <f t="shared" si="166"/>
        <v>NZD</v>
      </c>
      <c r="C2129" s="600" t="str">
        <f t="shared" si="166"/>
        <v>NZD FOREX</v>
      </c>
      <c r="D2129" s="603"/>
      <c r="E2129" s="604" t="s">
        <v>1311</v>
      </c>
      <c r="F2129" s="605" t="s">
        <v>1312</v>
      </c>
      <c r="G2129" s="606">
        <v>-0.78682855130065699</v>
      </c>
    </row>
    <row r="2130" spans="1:7" ht="11.1" customHeight="1">
      <c r="A2130" s="600" t="str">
        <f t="shared" si="165"/>
        <v>NZD;NZD FOREX;O/N</v>
      </c>
      <c r="B2130" s="600" t="str">
        <f t="shared" si="166"/>
        <v>NZD</v>
      </c>
      <c r="C2130" s="600" t="str">
        <f t="shared" si="166"/>
        <v>NZD FOREX</v>
      </c>
      <c r="D2130" s="603"/>
      <c r="E2130" s="604"/>
      <c r="F2130" s="607" t="s">
        <v>3</v>
      </c>
      <c r="G2130" s="606">
        <v>-0.59011272434017803</v>
      </c>
    </row>
    <row r="2131" spans="1:7" ht="11.1" customHeight="1">
      <c r="A2131" s="600" t="str">
        <f t="shared" si="165"/>
        <v>NZD;NZD FOREX;T/N</v>
      </c>
      <c r="B2131" s="600" t="str">
        <f t="shared" si="166"/>
        <v>NZD</v>
      </c>
      <c r="C2131" s="600" t="str">
        <f t="shared" si="166"/>
        <v>NZD FOREX</v>
      </c>
      <c r="D2131" s="603"/>
      <c r="E2131" s="604"/>
      <c r="F2131" s="607" t="s">
        <v>4</v>
      </c>
      <c r="G2131" s="606">
        <v>-0.19671582696045001</v>
      </c>
    </row>
    <row r="2132" spans="1:7" ht="11.1" customHeight="1">
      <c r="A2132" s="600" t="str">
        <f t="shared" si="165"/>
        <v>NZD;NZD FOREX;1W</v>
      </c>
      <c r="B2132" s="600" t="str">
        <f t="shared" si="166"/>
        <v>NZD</v>
      </c>
      <c r="C2132" s="600" t="str">
        <f t="shared" si="166"/>
        <v>NZD FOREX</v>
      </c>
      <c r="D2132" s="603"/>
      <c r="E2132" s="604"/>
      <c r="F2132" s="607" t="s">
        <v>5</v>
      </c>
      <c r="G2132" s="608">
        <v>0</v>
      </c>
    </row>
    <row r="2133" spans="1:7" ht="11.1" customHeight="1">
      <c r="A2133" s="600" t="str">
        <f t="shared" si="165"/>
        <v>NZD;NZD FOREX;2W</v>
      </c>
      <c r="B2133" s="600" t="str">
        <f t="shared" ref="B2133:C2148" si="167">IF(ISBLANK(D2133),B2132,D2133)</f>
        <v>NZD</v>
      </c>
      <c r="C2133" s="600" t="str">
        <f t="shared" si="167"/>
        <v>NZD FOREX</v>
      </c>
      <c r="D2133" s="603"/>
      <c r="E2133" s="604"/>
      <c r="F2133" s="607" t="s">
        <v>6</v>
      </c>
      <c r="G2133" s="608">
        <v>0</v>
      </c>
    </row>
    <row r="2134" spans="1:7" ht="11.1" customHeight="1">
      <c r="A2134" s="600" t="str">
        <f t="shared" si="165"/>
        <v>NZD;NZD FOREX;3W</v>
      </c>
      <c r="B2134" s="600" t="str">
        <f t="shared" si="167"/>
        <v>NZD</v>
      </c>
      <c r="C2134" s="600" t="str">
        <f t="shared" si="167"/>
        <v>NZD FOREX</v>
      </c>
      <c r="D2134" s="603"/>
      <c r="E2134" s="604"/>
      <c r="F2134" s="607" t="s">
        <v>24</v>
      </c>
      <c r="G2134" s="608">
        <v>0</v>
      </c>
    </row>
    <row r="2135" spans="1:7" ht="11.1" customHeight="1">
      <c r="A2135" s="600" t="str">
        <f t="shared" si="165"/>
        <v>NZD;NZD FOREX;1M</v>
      </c>
      <c r="B2135" s="600" t="str">
        <f t="shared" si="167"/>
        <v>NZD</v>
      </c>
      <c r="C2135" s="600" t="str">
        <f t="shared" si="167"/>
        <v>NZD FOREX</v>
      </c>
      <c r="D2135" s="603"/>
      <c r="E2135" s="604"/>
      <c r="F2135" s="607" t="s">
        <v>7</v>
      </c>
      <c r="G2135" s="608">
        <v>0</v>
      </c>
    </row>
    <row r="2136" spans="1:7" ht="11.1" customHeight="1">
      <c r="A2136" s="600" t="str">
        <f t="shared" si="165"/>
        <v>NZD;NZD FOREX;2M</v>
      </c>
      <c r="B2136" s="600" t="str">
        <f t="shared" si="167"/>
        <v>NZD</v>
      </c>
      <c r="C2136" s="600" t="str">
        <f t="shared" si="167"/>
        <v>NZD FOREX</v>
      </c>
      <c r="D2136" s="603"/>
      <c r="E2136" s="604"/>
      <c r="F2136" s="607" t="s">
        <v>8</v>
      </c>
      <c r="G2136" s="608">
        <v>0</v>
      </c>
    </row>
    <row r="2137" spans="1:7" ht="11.1" customHeight="1">
      <c r="A2137" s="600" t="str">
        <f t="shared" si="165"/>
        <v>NZD;NZD FOREX;3M</v>
      </c>
      <c r="B2137" s="600" t="str">
        <f t="shared" si="167"/>
        <v>NZD</v>
      </c>
      <c r="C2137" s="600" t="str">
        <f t="shared" si="167"/>
        <v>NZD FOREX</v>
      </c>
      <c r="D2137" s="603"/>
      <c r="E2137" s="604"/>
      <c r="F2137" s="607" t="s">
        <v>25</v>
      </c>
      <c r="G2137" s="608">
        <v>0</v>
      </c>
    </row>
    <row r="2138" spans="1:7" ht="11.1" customHeight="1">
      <c r="A2138" s="600" t="str">
        <f t="shared" si="165"/>
        <v>NZD;NZD FOREX;4M</v>
      </c>
      <c r="B2138" s="600" t="str">
        <f t="shared" si="167"/>
        <v>NZD</v>
      </c>
      <c r="C2138" s="600" t="str">
        <f t="shared" si="167"/>
        <v>NZD FOREX</v>
      </c>
      <c r="D2138" s="603"/>
      <c r="E2138" s="604"/>
      <c r="F2138" s="607" t="s">
        <v>26</v>
      </c>
      <c r="G2138" s="608">
        <v>0</v>
      </c>
    </row>
    <row r="2139" spans="1:7" ht="11.1" customHeight="1">
      <c r="A2139" s="600" t="str">
        <f t="shared" si="165"/>
        <v>NZD;NZD FOREX;5M</v>
      </c>
      <c r="B2139" s="600" t="str">
        <f t="shared" si="167"/>
        <v>NZD</v>
      </c>
      <c r="C2139" s="600" t="str">
        <f t="shared" si="167"/>
        <v>NZD FOREX</v>
      </c>
      <c r="D2139" s="603"/>
      <c r="E2139" s="604"/>
      <c r="F2139" s="607" t="s">
        <v>27</v>
      </c>
      <c r="G2139" s="608">
        <v>0</v>
      </c>
    </row>
    <row r="2140" spans="1:7" ht="11.1" customHeight="1">
      <c r="A2140" s="600" t="str">
        <f t="shared" si="165"/>
        <v>NZD;NZD FOREX;6M</v>
      </c>
      <c r="B2140" s="600" t="str">
        <f t="shared" si="167"/>
        <v>NZD</v>
      </c>
      <c r="C2140" s="600" t="str">
        <f t="shared" si="167"/>
        <v>NZD FOREX</v>
      </c>
      <c r="D2140" s="603"/>
      <c r="E2140" s="604"/>
      <c r="F2140" s="607" t="s">
        <v>28</v>
      </c>
      <c r="G2140" s="608">
        <v>0</v>
      </c>
    </row>
    <row r="2141" spans="1:7" ht="11.1" customHeight="1">
      <c r="A2141" s="600" t="str">
        <f t="shared" si="165"/>
        <v>NZD;NZD FOREX;7M</v>
      </c>
      <c r="B2141" s="600" t="str">
        <f t="shared" si="167"/>
        <v>NZD</v>
      </c>
      <c r="C2141" s="600" t="str">
        <f t="shared" si="167"/>
        <v>NZD FOREX</v>
      </c>
      <c r="D2141" s="603"/>
      <c r="E2141" s="604"/>
      <c r="F2141" s="607" t="s">
        <v>29</v>
      </c>
      <c r="G2141" s="608">
        <v>0</v>
      </c>
    </row>
    <row r="2142" spans="1:7" ht="11.1" customHeight="1">
      <c r="A2142" s="600" t="str">
        <f t="shared" si="165"/>
        <v>NZD;NZD FOREX;8M</v>
      </c>
      <c r="B2142" s="600" t="str">
        <f t="shared" si="167"/>
        <v>NZD</v>
      </c>
      <c r="C2142" s="600" t="str">
        <f t="shared" si="167"/>
        <v>NZD FOREX</v>
      </c>
      <c r="D2142" s="603"/>
      <c r="E2142" s="604"/>
      <c r="F2142" s="607" t="s">
        <v>30</v>
      </c>
      <c r="G2142" s="608">
        <v>0</v>
      </c>
    </row>
    <row r="2143" spans="1:7" ht="11.1" customHeight="1">
      <c r="A2143" s="600" t="str">
        <f t="shared" si="165"/>
        <v>NZD;NZD FOREX;9M</v>
      </c>
      <c r="B2143" s="600" t="str">
        <f t="shared" si="167"/>
        <v>NZD</v>
      </c>
      <c r="C2143" s="600" t="str">
        <f t="shared" si="167"/>
        <v>NZD FOREX</v>
      </c>
      <c r="D2143" s="603"/>
      <c r="E2143" s="604"/>
      <c r="F2143" s="607" t="s">
        <v>49</v>
      </c>
      <c r="G2143" s="608">
        <v>0</v>
      </c>
    </row>
    <row r="2144" spans="1:7" ht="11.1" customHeight="1">
      <c r="A2144" s="600" t="str">
        <f t="shared" si="165"/>
        <v>NZD;NZD FOREX;10M</v>
      </c>
      <c r="B2144" s="600" t="str">
        <f t="shared" si="167"/>
        <v>NZD</v>
      </c>
      <c r="C2144" s="600" t="str">
        <f t="shared" si="167"/>
        <v>NZD FOREX</v>
      </c>
      <c r="D2144" s="603"/>
      <c r="E2144" s="604"/>
      <c r="F2144" s="607" t="s">
        <v>50</v>
      </c>
      <c r="G2144" s="608">
        <v>0</v>
      </c>
    </row>
    <row r="2145" spans="1:7" ht="11.1" customHeight="1">
      <c r="A2145" s="600" t="str">
        <f t="shared" si="165"/>
        <v>NZD;NZD FOREX;11M</v>
      </c>
      <c r="B2145" s="600" t="str">
        <f t="shared" si="167"/>
        <v>NZD</v>
      </c>
      <c r="C2145" s="600" t="str">
        <f t="shared" si="167"/>
        <v>NZD FOREX</v>
      </c>
      <c r="D2145" s="603"/>
      <c r="E2145" s="604"/>
      <c r="F2145" s="607" t="s">
        <v>51</v>
      </c>
      <c r="G2145" s="608">
        <v>0</v>
      </c>
    </row>
    <row r="2146" spans="1:7" ht="11.1" customHeight="1">
      <c r="A2146" s="600" t="str">
        <f t="shared" si="165"/>
        <v>NZD;NZD FOREX;12M</v>
      </c>
      <c r="B2146" s="600" t="str">
        <f t="shared" si="167"/>
        <v>NZD</v>
      </c>
      <c r="C2146" s="600" t="str">
        <f t="shared" si="167"/>
        <v>NZD FOREX</v>
      </c>
      <c r="D2146" s="603"/>
      <c r="E2146" s="604"/>
      <c r="F2146" s="607" t="s">
        <v>52</v>
      </c>
      <c r="G2146" s="608">
        <v>0</v>
      </c>
    </row>
    <row r="2147" spans="1:7" ht="11.1" customHeight="1">
      <c r="A2147" s="600" t="str">
        <f t="shared" si="165"/>
        <v>NZD;NZD FOREX;15M</v>
      </c>
      <c r="B2147" s="600" t="str">
        <f t="shared" si="167"/>
        <v>NZD</v>
      </c>
      <c r="C2147" s="600" t="str">
        <f t="shared" si="167"/>
        <v>NZD FOREX</v>
      </c>
      <c r="D2147" s="603"/>
      <c r="E2147" s="604"/>
      <c r="F2147" s="607" t="s">
        <v>53</v>
      </c>
      <c r="G2147" s="608">
        <v>0</v>
      </c>
    </row>
    <row r="2148" spans="1:7" ht="11.1" customHeight="1">
      <c r="A2148" s="600" t="str">
        <f t="shared" si="165"/>
        <v>NZD;NZD FOREX;18M</v>
      </c>
      <c r="B2148" s="600" t="str">
        <f t="shared" si="167"/>
        <v>NZD</v>
      </c>
      <c r="C2148" s="600" t="str">
        <f t="shared" si="167"/>
        <v>NZD FOREX</v>
      </c>
      <c r="D2148" s="603"/>
      <c r="E2148" s="604"/>
      <c r="F2148" s="607" t="s">
        <v>54</v>
      </c>
      <c r="G2148" s="608">
        <v>0</v>
      </c>
    </row>
    <row r="2149" spans="1:7" ht="11.1" customHeight="1">
      <c r="A2149" s="600" t="str">
        <f t="shared" si="165"/>
        <v>NZD;NZD FOREX;24M</v>
      </c>
      <c r="B2149" s="600" t="str">
        <f t="shared" ref="B2149:C2164" si="168">IF(ISBLANK(D2149),B2148,D2149)</f>
        <v>NZD</v>
      </c>
      <c r="C2149" s="600" t="str">
        <f t="shared" si="168"/>
        <v>NZD FOREX</v>
      </c>
      <c r="D2149" s="603"/>
      <c r="E2149" s="604"/>
      <c r="F2149" s="607" t="s">
        <v>659</v>
      </c>
      <c r="G2149" s="608">
        <v>0</v>
      </c>
    </row>
    <row r="2150" spans="1:7" ht="11.1" customHeight="1">
      <c r="A2150" s="600" t="str">
        <f t="shared" si="165"/>
        <v>NZD;NZD FOREX;3Y</v>
      </c>
      <c r="B2150" s="600" t="str">
        <f t="shared" si="168"/>
        <v>NZD</v>
      </c>
      <c r="C2150" s="600" t="str">
        <f t="shared" si="168"/>
        <v>NZD FOREX</v>
      </c>
      <c r="D2150" s="603"/>
      <c r="E2150" s="604"/>
      <c r="F2150" s="607" t="s">
        <v>10</v>
      </c>
      <c r="G2150" s="608">
        <v>0</v>
      </c>
    </row>
    <row r="2151" spans="1:7" ht="11.1" customHeight="1">
      <c r="A2151" s="600" t="str">
        <f t="shared" si="165"/>
        <v>NZD;NZD FOREX;4Y</v>
      </c>
      <c r="B2151" s="600" t="str">
        <f t="shared" si="168"/>
        <v>NZD</v>
      </c>
      <c r="C2151" s="600" t="str">
        <f t="shared" si="168"/>
        <v>NZD FOREX</v>
      </c>
      <c r="D2151" s="603"/>
      <c r="E2151" s="604"/>
      <c r="F2151" s="607" t="s">
        <v>11</v>
      </c>
      <c r="G2151" s="608">
        <v>0</v>
      </c>
    </row>
    <row r="2152" spans="1:7" ht="11.1" customHeight="1">
      <c r="A2152" s="600" t="str">
        <f t="shared" si="165"/>
        <v>NZD;NZD FOREX;5Y</v>
      </c>
      <c r="B2152" s="600" t="str">
        <f t="shared" si="168"/>
        <v>NZD</v>
      </c>
      <c r="C2152" s="600" t="str">
        <f t="shared" si="168"/>
        <v>NZD FOREX</v>
      </c>
      <c r="D2152" s="603"/>
      <c r="E2152" s="604"/>
      <c r="F2152" s="607" t="s">
        <v>12</v>
      </c>
      <c r="G2152" s="608">
        <v>0</v>
      </c>
    </row>
    <row r="2153" spans="1:7" ht="11.1" customHeight="1">
      <c r="A2153" s="600" t="str">
        <f t="shared" si="165"/>
        <v>NZD;NZD FOREX;6Y</v>
      </c>
      <c r="B2153" s="600" t="str">
        <f t="shared" si="168"/>
        <v>NZD</v>
      </c>
      <c r="C2153" s="600" t="str">
        <f t="shared" si="168"/>
        <v>NZD FOREX</v>
      </c>
      <c r="D2153" s="603"/>
      <c r="E2153" s="604"/>
      <c r="F2153" s="607" t="s">
        <v>13</v>
      </c>
      <c r="G2153" s="608">
        <v>0</v>
      </c>
    </row>
    <row r="2154" spans="1:7" ht="11.1" customHeight="1">
      <c r="A2154" s="600" t="str">
        <f t="shared" si="165"/>
        <v>NZD;NZD FOREX;7Y</v>
      </c>
      <c r="B2154" s="600" t="str">
        <f t="shared" si="168"/>
        <v>NZD</v>
      </c>
      <c r="C2154" s="600" t="str">
        <f t="shared" si="168"/>
        <v>NZD FOREX</v>
      </c>
      <c r="D2154" s="603"/>
      <c r="E2154" s="604"/>
      <c r="F2154" s="607" t="s">
        <v>14</v>
      </c>
      <c r="G2154" s="608">
        <v>0</v>
      </c>
    </row>
    <row r="2155" spans="1:7" ht="11.1" customHeight="1">
      <c r="A2155" s="600" t="str">
        <f t="shared" si="165"/>
        <v>NZD;NZD FOREX;8Y</v>
      </c>
      <c r="B2155" s="600" t="str">
        <f t="shared" si="168"/>
        <v>NZD</v>
      </c>
      <c r="C2155" s="600" t="str">
        <f t="shared" si="168"/>
        <v>NZD FOREX</v>
      </c>
      <c r="D2155" s="603"/>
      <c r="E2155" s="604"/>
      <c r="F2155" s="607" t="s">
        <v>15</v>
      </c>
      <c r="G2155" s="608">
        <v>0</v>
      </c>
    </row>
    <row r="2156" spans="1:7" ht="11.1" customHeight="1">
      <c r="A2156" s="600" t="str">
        <f t="shared" si="165"/>
        <v>NZD;NZD FOREX;9Y</v>
      </c>
      <c r="B2156" s="600" t="str">
        <f t="shared" si="168"/>
        <v>NZD</v>
      </c>
      <c r="C2156" s="600" t="str">
        <f t="shared" si="168"/>
        <v>NZD FOREX</v>
      </c>
      <c r="D2156" s="603"/>
      <c r="E2156" s="604"/>
      <c r="F2156" s="607" t="s">
        <v>16</v>
      </c>
      <c r="G2156" s="608">
        <v>0</v>
      </c>
    </row>
    <row r="2157" spans="1:7" ht="11.1" customHeight="1">
      <c r="A2157" s="600" t="str">
        <f t="shared" si="165"/>
        <v>NZD;NZD FOREX;10Y</v>
      </c>
      <c r="B2157" s="600" t="str">
        <f t="shared" si="168"/>
        <v>NZD</v>
      </c>
      <c r="C2157" s="600" t="str">
        <f t="shared" si="168"/>
        <v>NZD FOREX</v>
      </c>
      <c r="D2157" s="603"/>
      <c r="E2157" s="604"/>
      <c r="F2157" s="607" t="s">
        <v>17</v>
      </c>
      <c r="G2157" s="608">
        <v>0</v>
      </c>
    </row>
    <row r="2158" spans="1:7" ht="11.1" customHeight="1">
      <c r="A2158" s="600" t="str">
        <f t="shared" si="165"/>
        <v>NZD;NZD FOREX;11Y</v>
      </c>
      <c r="B2158" s="600" t="str">
        <f t="shared" si="168"/>
        <v>NZD</v>
      </c>
      <c r="C2158" s="600" t="str">
        <f t="shared" si="168"/>
        <v>NZD FOREX</v>
      </c>
      <c r="D2158" s="603"/>
      <c r="E2158" s="604"/>
      <c r="F2158" s="607" t="s">
        <v>31</v>
      </c>
      <c r="G2158" s="608">
        <v>0</v>
      </c>
    </row>
    <row r="2159" spans="1:7" ht="11.1" customHeight="1">
      <c r="A2159" s="600" t="str">
        <f t="shared" si="165"/>
        <v>NZD;NZD FOREX;12Y</v>
      </c>
      <c r="B2159" s="600" t="str">
        <f t="shared" si="168"/>
        <v>NZD</v>
      </c>
      <c r="C2159" s="600" t="str">
        <f t="shared" si="168"/>
        <v>NZD FOREX</v>
      </c>
      <c r="D2159" s="603"/>
      <c r="E2159" s="604"/>
      <c r="F2159" s="607" t="s">
        <v>18</v>
      </c>
      <c r="G2159" s="608">
        <v>0</v>
      </c>
    </row>
    <row r="2160" spans="1:7" ht="11.1" customHeight="1">
      <c r="A2160" s="600" t="str">
        <f t="shared" si="165"/>
        <v>NZD;NZD FOREX;13Y</v>
      </c>
      <c r="B2160" s="600" t="str">
        <f t="shared" si="168"/>
        <v>NZD</v>
      </c>
      <c r="C2160" s="600" t="str">
        <f t="shared" si="168"/>
        <v>NZD FOREX</v>
      </c>
      <c r="D2160" s="603"/>
      <c r="E2160" s="604"/>
      <c r="F2160" s="607" t="s">
        <v>32</v>
      </c>
      <c r="G2160" s="608">
        <v>0</v>
      </c>
    </row>
    <row r="2161" spans="1:7" ht="11.1" customHeight="1">
      <c r="A2161" s="600" t="str">
        <f t="shared" si="165"/>
        <v>NZD;NZD FOREX;14Y</v>
      </c>
      <c r="B2161" s="600" t="str">
        <f t="shared" si="168"/>
        <v>NZD</v>
      </c>
      <c r="C2161" s="600" t="str">
        <f t="shared" si="168"/>
        <v>NZD FOREX</v>
      </c>
      <c r="D2161" s="603"/>
      <c r="E2161" s="604"/>
      <c r="F2161" s="607" t="s">
        <v>33</v>
      </c>
      <c r="G2161" s="608">
        <v>0</v>
      </c>
    </row>
    <row r="2162" spans="1:7" ht="11.1" customHeight="1">
      <c r="A2162" s="600" t="str">
        <f t="shared" si="165"/>
        <v>NZD;NZD FOREX;15Y</v>
      </c>
      <c r="B2162" s="600" t="str">
        <f t="shared" si="168"/>
        <v>NZD</v>
      </c>
      <c r="C2162" s="600" t="str">
        <f t="shared" si="168"/>
        <v>NZD FOREX</v>
      </c>
      <c r="D2162" s="603"/>
      <c r="E2162" s="604"/>
      <c r="F2162" s="607" t="s">
        <v>19</v>
      </c>
      <c r="G2162" s="608">
        <v>0</v>
      </c>
    </row>
    <row r="2163" spans="1:7" ht="11.1" customHeight="1">
      <c r="A2163" s="600" t="str">
        <f t="shared" si="165"/>
        <v>PEN;Total PEN;</v>
      </c>
      <c r="B2163" s="600" t="str">
        <f t="shared" si="168"/>
        <v>PEN</v>
      </c>
      <c r="C2163" s="600" t="str">
        <f t="shared" si="168"/>
        <v>Total PEN</v>
      </c>
      <c r="D2163" s="603" t="s">
        <v>1313</v>
      </c>
      <c r="E2163" s="609" t="s">
        <v>1314</v>
      </c>
      <c r="F2163" s="609"/>
      <c r="G2163" s="612">
        <v>-7.4606510205854596E-13</v>
      </c>
    </row>
    <row r="2164" spans="1:7" ht="11.1" customHeight="1">
      <c r="A2164" s="600" t="str">
        <f t="shared" si="165"/>
        <v>PEN;PEN :Std;Total PEN :Std</v>
      </c>
      <c r="B2164" s="600" t="str">
        <f t="shared" si="168"/>
        <v>PEN</v>
      </c>
      <c r="C2164" s="600" t="str">
        <f t="shared" si="168"/>
        <v>PEN :Std</v>
      </c>
      <c r="D2164" s="603"/>
      <c r="E2164" s="604" t="s">
        <v>1315</v>
      </c>
      <c r="F2164" s="605" t="s">
        <v>1316</v>
      </c>
      <c r="G2164" s="606">
        <v>-7.4829031859735601E-13</v>
      </c>
    </row>
    <row r="2165" spans="1:7" ht="11.1" customHeight="1">
      <c r="A2165" s="600" t="str">
        <f t="shared" si="165"/>
        <v>PEN;PEN :Std;O/N</v>
      </c>
      <c r="B2165" s="600" t="str">
        <f t="shared" ref="B2165:C2180" si="169">IF(ISBLANK(D2165),B2164,D2165)</f>
        <v>PEN</v>
      </c>
      <c r="C2165" s="600" t="str">
        <f t="shared" si="169"/>
        <v>PEN :Std</v>
      </c>
      <c r="D2165" s="603"/>
      <c r="E2165" s="604"/>
      <c r="F2165" s="607" t="s">
        <v>3</v>
      </c>
      <c r="G2165" s="606">
        <v>-3.5527136788005001E-15</v>
      </c>
    </row>
    <row r="2166" spans="1:7" ht="11.1" customHeight="1">
      <c r="A2166" s="600" t="str">
        <f t="shared" si="165"/>
        <v>PEN;PEN :Std;T/N</v>
      </c>
      <c r="B2166" s="600" t="str">
        <f t="shared" si="169"/>
        <v>PEN</v>
      </c>
      <c r="C2166" s="600" t="str">
        <f t="shared" si="169"/>
        <v>PEN :Std</v>
      </c>
      <c r="D2166" s="603"/>
      <c r="E2166" s="604"/>
      <c r="F2166" s="607" t="s">
        <v>4</v>
      </c>
      <c r="G2166" s="606">
        <v>-2.2204460492503099E-15</v>
      </c>
    </row>
    <row r="2167" spans="1:7" ht="11.1" customHeight="1">
      <c r="A2167" s="600" t="str">
        <f t="shared" si="165"/>
        <v>PEN;PEN :Std;S/N</v>
      </c>
      <c r="B2167" s="600" t="str">
        <f t="shared" si="169"/>
        <v>PEN</v>
      </c>
      <c r="C2167" s="600" t="str">
        <f t="shared" si="169"/>
        <v>PEN :Std</v>
      </c>
      <c r="D2167" s="603"/>
      <c r="E2167" s="604"/>
      <c r="F2167" s="607" t="s">
        <v>23</v>
      </c>
      <c r="G2167" s="608">
        <v>0</v>
      </c>
    </row>
    <row r="2168" spans="1:7" ht="11.1" customHeight="1">
      <c r="A2168" s="600" t="str">
        <f t="shared" si="165"/>
        <v>PEN;PEN :Std;1W</v>
      </c>
      <c r="B2168" s="600" t="str">
        <f t="shared" si="169"/>
        <v>PEN</v>
      </c>
      <c r="C2168" s="600" t="str">
        <f t="shared" si="169"/>
        <v>PEN :Std</v>
      </c>
      <c r="D2168" s="603"/>
      <c r="E2168" s="604"/>
      <c r="F2168" s="607" t="s">
        <v>5</v>
      </c>
      <c r="G2168" s="608">
        <v>0</v>
      </c>
    </row>
    <row r="2169" spans="1:7" ht="11.1" customHeight="1">
      <c r="A2169" s="600" t="str">
        <f t="shared" si="165"/>
        <v>PEN;PEN :Std;2W</v>
      </c>
      <c r="B2169" s="600" t="str">
        <f t="shared" si="169"/>
        <v>PEN</v>
      </c>
      <c r="C2169" s="600" t="str">
        <f t="shared" si="169"/>
        <v>PEN :Std</v>
      </c>
      <c r="D2169" s="603"/>
      <c r="E2169" s="604"/>
      <c r="F2169" s="607" t="s">
        <v>6</v>
      </c>
      <c r="G2169" s="608">
        <v>0</v>
      </c>
    </row>
    <row r="2170" spans="1:7" ht="11.1" customHeight="1">
      <c r="A2170" s="600" t="str">
        <f t="shared" si="165"/>
        <v>PEN;PEN :Std;3W</v>
      </c>
      <c r="B2170" s="600" t="str">
        <f t="shared" si="169"/>
        <v>PEN</v>
      </c>
      <c r="C2170" s="600" t="str">
        <f t="shared" si="169"/>
        <v>PEN :Std</v>
      </c>
      <c r="D2170" s="603"/>
      <c r="E2170" s="604"/>
      <c r="F2170" s="607" t="s">
        <v>24</v>
      </c>
      <c r="G2170" s="608">
        <v>0</v>
      </c>
    </row>
    <row r="2171" spans="1:7" ht="11.1" customHeight="1">
      <c r="A2171" s="600" t="str">
        <f t="shared" si="165"/>
        <v>PEN;PEN :Std;1M</v>
      </c>
      <c r="B2171" s="600" t="str">
        <f t="shared" si="169"/>
        <v>PEN</v>
      </c>
      <c r="C2171" s="600" t="str">
        <f t="shared" si="169"/>
        <v>PEN :Std</v>
      </c>
      <c r="D2171" s="603"/>
      <c r="E2171" s="604"/>
      <c r="F2171" s="607" t="s">
        <v>7</v>
      </c>
      <c r="G2171" s="608">
        <v>0</v>
      </c>
    </row>
    <row r="2172" spans="1:7" ht="11.1" customHeight="1">
      <c r="A2172" s="600" t="str">
        <f t="shared" si="165"/>
        <v>PEN;PEN :Std;2M</v>
      </c>
      <c r="B2172" s="600" t="str">
        <f t="shared" si="169"/>
        <v>PEN</v>
      </c>
      <c r="C2172" s="600" t="str">
        <f t="shared" si="169"/>
        <v>PEN :Std</v>
      </c>
      <c r="D2172" s="603"/>
      <c r="E2172" s="604"/>
      <c r="F2172" s="607" t="s">
        <v>8</v>
      </c>
      <c r="G2172" s="608">
        <v>0</v>
      </c>
    </row>
    <row r="2173" spans="1:7" ht="11.1" customHeight="1">
      <c r="A2173" s="600" t="str">
        <f t="shared" si="165"/>
        <v>PEN;PEN :Std;3M</v>
      </c>
      <c r="B2173" s="600" t="str">
        <f t="shared" si="169"/>
        <v>PEN</v>
      </c>
      <c r="C2173" s="600" t="str">
        <f t="shared" si="169"/>
        <v>PEN :Std</v>
      </c>
      <c r="D2173" s="603"/>
      <c r="E2173" s="604"/>
      <c r="F2173" s="607" t="s">
        <v>25</v>
      </c>
      <c r="G2173" s="608">
        <v>0</v>
      </c>
    </row>
    <row r="2174" spans="1:7" ht="11.1" customHeight="1">
      <c r="A2174" s="600" t="str">
        <f t="shared" si="165"/>
        <v>PEN;PEN :Std;6M</v>
      </c>
      <c r="B2174" s="600" t="str">
        <f t="shared" si="169"/>
        <v>PEN</v>
      </c>
      <c r="C2174" s="600" t="str">
        <f t="shared" si="169"/>
        <v>PEN :Std</v>
      </c>
      <c r="D2174" s="603"/>
      <c r="E2174" s="604"/>
      <c r="F2174" s="607" t="s">
        <v>28</v>
      </c>
      <c r="G2174" s="611">
        <v>3.5527136788005001E-15</v>
      </c>
    </row>
    <row r="2175" spans="1:7" ht="11.1" customHeight="1">
      <c r="A2175" s="600" t="str">
        <f t="shared" si="165"/>
        <v>PEN;PEN :Std;9M</v>
      </c>
      <c r="B2175" s="600" t="str">
        <f t="shared" si="169"/>
        <v>PEN</v>
      </c>
      <c r="C2175" s="600" t="str">
        <f t="shared" si="169"/>
        <v>PEN :Std</v>
      </c>
      <c r="D2175" s="603"/>
      <c r="E2175" s="604"/>
      <c r="F2175" s="607" t="s">
        <v>49</v>
      </c>
      <c r="G2175" s="606">
        <v>-1.7763568394002501E-15</v>
      </c>
    </row>
    <row r="2176" spans="1:7" ht="11.1" customHeight="1">
      <c r="A2176" s="600" t="str">
        <f t="shared" si="165"/>
        <v>PEN;PEN :Std;1Y</v>
      </c>
      <c r="B2176" s="600" t="str">
        <f t="shared" si="169"/>
        <v>PEN</v>
      </c>
      <c r="C2176" s="600" t="str">
        <f t="shared" si="169"/>
        <v>PEN :Std</v>
      </c>
      <c r="D2176" s="603"/>
      <c r="E2176" s="604"/>
      <c r="F2176" s="607" t="s">
        <v>56</v>
      </c>
      <c r="G2176" s="606">
        <v>-2.2737367544323201E-13</v>
      </c>
    </row>
    <row r="2177" spans="1:7" ht="11.1" customHeight="1">
      <c r="A2177" s="600" t="str">
        <f t="shared" si="165"/>
        <v>PEN;PEN :Std;2Y</v>
      </c>
      <c r="B2177" s="600" t="str">
        <f t="shared" si="169"/>
        <v>PEN</v>
      </c>
      <c r="C2177" s="600" t="str">
        <f t="shared" si="169"/>
        <v>PEN :Std</v>
      </c>
      <c r="D2177" s="603"/>
      <c r="E2177" s="604"/>
      <c r="F2177" s="607" t="s">
        <v>9</v>
      </c>
      <c r="G2177" s="606">
        <v>-5.6843418860808002E-14</v>
      </c>
    </row>
    <row r="2178" spans="1:7" ht="11.1" customHeight="1">
      <c r="A2178" s="600" t="str">
        <f t="shared" si="165"/>
        <v>PEN;PEN :Std;3Y</v>
      </c>
      <c r="B2178" s="600" t="str">
        <f t="shared" si="169"/>
        <v>PEN</v>
      </c>
      <c r="C2178" s="600" t="str">
        <f t="shared" si="169"/>
        <v>PEN :Std</v>
      </c>
      <c r="D2178" s="603"/>
      <c r="E2178" s="604"/>
      <c r="F2178" s="607" t="s">
        <v>10</v>
      </c>
      <c r="G2178" s="611">
        <v>0</v>
      </c>
    </row>
    <row r="2179" spans="1:7" ht="11.1" customHeight="1">
      <c r="A2179" s="600" t="str">
        <f t="shared" si="165"/>
        <v>PEN;PEN :Std;4Y</v>
      </c>
      <c r="B2179" s="600" t="str">
        <f t="shared" si="169"/>
        <v>PEN</v>
      </c>
      <c r="C2179" s="600" t="str">
        <f t="shared" si="169"/>
        <v>PEN :Std</v>
      </c>
      <c r="D2179" s="603"/>
      <c r="E2179" s="604"/>
      <c r="F2179" s="607" t="s">
        <v>11</v>
      </c>
      <c r="G2179" s="611">
        <v>0</v>
      </c>
    </row>
    <row r="2180" spans="1:7" ht="11.1" customHeight="1">
      <c r="A2180" s="600" t="str">
        <f t="shared" si="165"/>
        <v>PEN;PEN :Std;5Y</v>
      </c>
      <c r="B2180" s="600" t="str">
        <f t="shared" si="169"/>
        <v>PEN</v>
      </c>
      <c r="C2180" s="600" t="str">
        <f t="shared" si="169"/>
        <v>PEN :Std</v>
      </c>
      <c r="D2180" s="603"/>
      <c r="E2180" s="604"/>
      <c r="F2180" s="607" t="s">
        <v>12</v>
      </c>
      <c r="G2180" s="608">
        <v>0</v>
      </c>
    </row>
    <row r="2181" spans="1:7" ht="11.1" customHeight="1">
      <c r="A2181" s="600" t="str">
        <f t="shared" ref="A2181:A2244" si="170">B2181&amp;";"&amp;C2181&amp;";"&amp;F2181</f>
        <v>PEN;PEN :Std;6Y</v>
      </c>
      <c r="B2181" s="600" t="str">
        <f t="shared" ref="B2181:C2196" si="171">IF(ISBLANK(D2181),B2180,D2181)</f>
        <v>PEN</v>
      </c>
      <c r="C2181" s="600" t="str">
        <f t="shared" si="171"/>
        <v>PEN :Std</v>
      </c>
      <c r="D2181" s="603"/>
      <c r="E2181" s="604"/>
      <c r="F2181" s="607" t="s">
        <v>13</v>
      </c>
      <c r="G2181" s="608">
        <v>0</v>
      </c>
    </row>
    <row r="2182" spans="1:7" ht="11.1" customHeight="1">
      <c r="A2182" s="600" t="str">
        <f t="shared" si="170"/>
        <v>PEN;PEN :Std;7Y</v>
      </c>
      <c r="B2182" s="600" t="str">
        <f t="shared" si="171"/>
        <v>PEN</v>
      </c>
      <c r="C2182" s="600" t="str">
        <f t="shared" si="171"/>
        <v>PEN :Std</v>
      </c>
      <c r="D2182" s="603"/>
      <c r="E2182" s="604"/>
      <c r="F2182" s="607" t="s">
        <v>14</v>
      </c>
      <c r="G2182" s="608">
        <v>0</v>
      </c>
    </row>
    <row r="2183" spans="1:7" ht="11.1" customHeight="1">
      <c r="A2183" s="600" t="str">
        <f t="shared" si="170"/>
        <v>PEN;PEN :Std;8Y</v>
      </c>
      <c r="B2183" s="600" t="str">
        <f t="shared" si="171"/>
        <v>PEN</v>
      </c>
      <c r="C2183" s="600" t="str">
        <f t="shared" si="171"/>
        <v>PEN :Std</v>
      </c>
      <c r="D2183" s="603"/>
      <c r="E2183" s="604"/>
      <c r="F2183" s="607" t="s">
        <v>15</v>
      </c>
      <c r="G2183" s="608">
        <v>0</v>
      </c>
    </row>
    <row r="2184" spans="1:7" ht="11.1" customHeight="1">
      <c r="A2184" s="600" t="str">
        <f t="shared" si="170"/>
        <v>PEN;PEN :Std;9Y</v>
      </c>
      <c r="B2184" s="600" t="str">
        <f t="shared" si="171"/>
        <v>PEN</v>
      </c>
      <c r="C2184" s="600" t="str">
        <f t="shared" si="171"/>
        <v>PEN :Std</v>
      </c>
      <c r="D2184" s="603"/>
      <c r="E2184" s="604"/>
      <c r="F2184" s="607" t="s">
        <v>16</v>
      </c>
      <c r="G2184" s="608">
        <v>0</v>
      </c>
    </row>
    <row r="2185" spans="1:7" ht="11.1" customHeight="1">
      <c r="A2185" s="600" t="str">
        <f t="shared" si="170"/>
        <v>PEN;PEN :Std;10Y</v>
      </c>
      <c r="B2185" s="600" t="str">
        <f t="shared" si="171"/>
        <v>PEN</v>
      </c>
      <c r="C2185" s="600" t="str">
        <f t="shared" si="171"/>
        <v>PEN :Std</v>
      </c>
      <c r="D2185" s="603"/>
      <c r="E2185" s="604"/>
      <c r="F2185" s="607" t="s">
        <v>17</v>
      </c>
      <c r="G2185" s="608">
        <v>0</v>
      </c>
    </row>
    <row r="2186" spans="1:7" ht="11.1" customHeight="1">
      <c r="A2186" s="600" t="str">
        <f t="shared" si="170"/>
        <v>PEN;PEN FOREX;Total PEN FOREX</v>
      </c>
      <c r="B2186" s="600" t="str">
        <f t="shared" si="171"/>
        <v>PEN</v>
      </c>
      <c r="C2186" s="600" t="str">
        <f t="shared" si="171"/>
        <v>PEN FOREX</v>
      </c>
      <c r="D2186" s="603"/>
      <c r="E2186" s="604" t="s">
        <v>1317</v>
      </c>
      <c r="F2186" s="605" t="s">
        <v>1318</v>
      </c>
      <c r="G2186" s="611">
        <v>5.05801997507938E-15</v>
      </c>
    </row>
    <row r="2187" spans="1:7" ht="11.1" customHeight="1">
      <c r="A2187" s="600" t="str">
        <f t="shared" si="170"/>
        <v>PEN;PEN FOREX;O/N</v>
      </c>
      <c r="B2187" s="600" t="str">
        <f t="shared" si="171"/>
        <v>PEN</v>
      </c>
      <c r="C2187" s="600" t="str">
        <f t="shared" si="171"/>
        <v>PEN FOREX</v>
      </c>
      <c r="D2187" s="603"/>
      <c r="E2187" s="604"/>
      <c r="F2187" s="607" t="s">
        <v>3</v>
      </c>
      <c r="G2187" s="611">
        <v>3.3029134982598399E-15</v>
      </c>
    </row>
    <row r="2188" spans="1:7" ht="11.1" customHeight="1">
      <c r="A2188" s="600" t="str">
        <f t="shared" si="170"/>
        <v>PEN;PEN FOREX;T/N</v>
      </c>
      <c r="B2188" s="600" t="str">
        <f t="shared" si="171"/>
        <v>PEN</v>
      </c>
      <c r="C2188" s="600" t="str">
        <f t="shared" si="171"/>
        <v>PEN FOREX</v>
      </c>
      <c r="D2188" s="603"/>
      <c r="E2188" s="604"/>
      <c r="F2188" s="607" t="s">
        <v>4</v>
      </c>
      <c r="G2188" s="611">
        <v>4.2283884726934698E-16</v>
      </c>
    </row>
    <row r="2189" spans="1:7" ht="11.1" customHeight="1">
      <c r="A2189" s="600" t="str">
        <f t="shared" si="170"/>
        <v>PEN;PEN FOREX;S/N</v>
      </c>
      <c r="B2189" s="600" t="str">
        <f t="shared" si="171"/>
        <v>PEN</v>
      </c>
      <c r="C2189" s="600" t="str">
        <f t="shared" si="171"/>
        <v>PEN FOREX</v>
      </c>
      <c r="D2189" s="603"/>
      <c r="E2189" s="604"/>
      <c r="F2189" s="607" t="s">
        <v>23</v>
      </c>
      <c r="G2189" s="608">
        <v>0</v>
      </c>
    </row>
    <row r="2190" spans="1:7" ht="11.1" customHeight="1">
      <c r="A2190" s="600" t="str">
        <f t="shared" si="170"/>
        <v>PEN;PEN FOREX;1W</v>
      </c>
      <c r="B2190" s="600" t="str">
        <f t="shared" si="171"/>
        <v>PEN</v>
      </c>
      <c r="C2190" s="600" t="str">
        <f t="shared" si="171"/>
        <v>PEN FOREX</v>
      </c>
      <c r="D2190" s="603"/>
      <c r="E2190" s="604"/>
      <c r="F2190" s="607" t="s">
        <v>5</v>
      </c>
      <c r="G2190" s="608">
        <v>0</v>
      </c>
    </row>
    <row r="2191" spans="1:7" ht="11.1" customHeight="1">
      <c r="A2191" s="600" t="str">
        <f t="shared" si="170"/>
        <v>PEN;PEN FOREX;2W</v>
      </c>
      <c r="B2191" s="600" t="str">
        <f t="shared" si="171"/>
        <v>PEN</v>
      </c>
      <c r="C2191" s="600" t="str">
        <f t="shared" si="171"/>
        <v>PEN FOREX</v>
      </c>
      <c r="D2191" s="603"/>
      <c r="E2191" s="604"/>
      <c r="F2191" s="607" t="s">
        <v>6</v>
      </c>
      <c r="G2191" s="608">
        <v>0</v>
      </c>
    </row>
    <row r="2192" spans="1:7" ht="11.1" customHeight="1">
      <c r="A2192" s="600" t="str">
        <f t="shared" si="170"/>
        <v>PEN;PEN FOREX;3W</v>
      </c>
      <c r="B2192" s="600" t="str">
        <f t="shared" si="171"/>
        <v>PEN</v>
      </c>
      <c r="C2192" s="600" t="str">
        <f t="shared" si="171"/>
        <v>PEN FOREX</v>
      </c>
      <c r="D2192" s="603"/>
      <c r="E2192" s="604"/>
      <c r="F2192" s="607" t="s">
        <v>24</v>
      </c>
      <c r="G2192" s="608">
        <v>0</v>
      </c>
    </row>
    <row r="2193" spans="1:7" ht="11.1" customHeight="1">
      <c r="A2193" s="600" t="str">
        <f t="shared" si="170"/>
        <v>PEN;PEN FOREX;1M</v>
      </c>
      <c r="B2193" s="600" t="str">
        <f t="shared" si="171"/>
        <v>PEN</v>
      </c>
      <c r="C2193" s="600" t="str">
        <f t="shared" si="171"/>
        <v>PEN FOREX</v>
      </c>
      <c r="D2193" s="603"/>
      <c r="E2193" s="604"/>
      <c r="F2193" s="607" t="s">
        <v>7</v>
      </c>
      <c r="G2193" s="608">
        <v>0</v>
      </c>
    </row>
    <row r="2194" spans="1:7" ht="11.1" customHeight="1">
      <c r="A2194" s="600" t="str">
        <f t="shared" si="170"/>
        <v>PEN;PEN FOREX;2M</v>
      </c>
      <c r="B2194" s="600" t="str">
        <f t="shared" si="171"/>
        <v>PEN</v>
      </c>
      <c r="C2194" s="600" t="str">
        <f t="shared" si="171"/>
        <v>PEN FOREX</v>
      </c>
      <c r="D2194" s="603"/>
      <c r="E2194" s="604"/>
      <c r="F2194" s="607" t="s">
        <v>8</v>
      </c>
      <c r="G2194" s="608">
        <v>0</v>
      </c>
    </row>
    <row r="2195" spans="1:7" ht="11.1" customHeight="1">
      <c r="A2195" s="600" t="str">
        <f t="shared" si="170"/>
        <v>PEN;PEN FOREX;3M</v>
      </c>
      <c r="B2195" s="600" t="str">
        <f t="shared" si="171"/>
        <v>PEN</v>
      </c>
      <c r="C2195" s="600" t="str">
        <f t="shared" si="171"/>
        <v>PEN FOREX</v>
      </c>
      <c r="D2195" s="603"/>
      <c r="E2195" s="604"/>
      <c r="F2195" s="607" t="s">
        <v>25</v>
      </c>
      <c r="G2195" s="608">
        <v>0</v>
      </c>
    </row>
    <row r="2196" spans="1:7" ht="11.1" customHeight="1">
      <c r="A2196" s="600" t="str">
        <f t="shared" si="170"/>
        <v>PEN;PEN FOREX;4M</v>
      </c>
      <c r="B2196" s="600" t="str">
        <f t="shared" si="171"/>
        <v>PEN</v>
      </c>
      <c r="C2196" s="600" t="str">
        <f t="shared" si="171"/>
        <v>PEN FOREX</v>
      </c>
      <c r="D2196" s="603"/>
      <c r="E2196" s="604"/>
      <c r="F2196" s="607" t="s">
        <v>26</v>
      </c>
      <c r="G2196" s="608">
        <v>0</v>
      </c>
    </row>
    <row r="2197" spans="1:7" ht="11.1" customHeight="1">
      <c r="A2197" s="600" t="str">
        <f t="shared" si="170"/>
        <v>PEN;PEN FOREX;5M</v>
      </c>
      <c r="B2197" s="600" t="str">
        <f t="shared" ref="B2197:C2212" si="172">IF(ISBLANK(D2197),B2196,D2197)</f>
        <v>PEN</v>
      </c>
      <c r="C2197" s="600" t="str">
        <f t="shared" si="172"/>
        <v>PEN FOREX</v>
      </c>
      <c r="D2197" s="603"/>
      <c r="E2197" s="604"/>
      <c r="F2197" s="607" t="s">
        <v>27</v>
      </c>
      <c r="G2197" s="608">
        <v>0</v>
      </c>
    </row>
    <row r="2198" spans="1:7" ht="11.1" customHeight="1">
      <c r="A2198" s="600" t="str">
        <f t="shared" si="170"/>
        <v>PEN;PEN FOREX;6M</v>
      </c>
      <c r="B2198" s="600" t="str">
        <f t="shared" si="172"/>
        <v>PEN</v>
      </c>
      <c r="C2198" s="600" t="str">
        <f t="shared" si="172"/>
        <v>PEN FOREX</v>
      </c>
      <c r="D2198" s="603"/>
      <c r="E2198" s="604"/>
      <c r="F2198" s="607" t="s">
        <v>28</v>
      </c>
      <c r="G2198" s="608">
        <v>0</v>
      </c>
    </row>
    <row r="2199" spans="1:7" ht="11.1" customHeight="1">
      <c r="A2199" s="600" t="str">
        <f t="shared" si="170"/>
        <v>PEN;PEN FOREX;7M</v>
      </c>
      <c r="B2199" s="600" t="str">
        <f t="shared" si="172"/>
        <v>PEN</v>
      </c>
      <c r="C2199" s="600" t="str">
        <f t="shared" si="172"/>
        <v>PEN FOREX</v>
      </c>
      <c r="D2199" s="603"/>
      <c r="E2199" s="604"/>
      <c r="F2199" s="607" t="s">
        <v>29</v>
      </c>
      <c r="G2199" s="608">
        <v>0</v>
      </c>
    </row>
    <row r="2200" spans="1:7" ht="11.1" customHeight="1">
      <c r="A2200" s="600" t="str">
        <f t="shared" si="170"/>
        <v>PEN;PEN FOREX;8M</v>
      </c>
      <c r="B2200" s="600" t="str">
        <f t="shared" si="172"/>
        <v>PEN</v>
      </c>
      <c r="C2200" s="600" t="str">
        <f t="shared" si="172"/>
        <v>PEN FOREX</v>
      </c>
      <c r="D2200" s="603"/>
      <c r="E2200" s="604"/>
      <c r="F2200" s="607" t="s">
        <v>30</v>
      </c>
      <c r="G2200" s="608">
        <v>0</v>
      </c>
    </row>
    <row r="2201" spans="1:7" ht="11.1" customHeight="1">
      <c r="A2201" s="600" t="str">
        <f t="shared" si="170"/>
        <v>PEN;PEN FOREX;9M</v>
      </c>
      <c r="B2201" s="600" t="str">
        <f t="shared" si="172"/>
        <v>PEN</v>
      </c>
      <c r="C2201" s="600" t="str">
        <f t="shared" si="172"/>
        <v>PEN FOREX</v>
      </c>
      <c r="D2201" s="603"/>
      <c r="E2201" s="604"/>
      <c r="F2201" s="607" t="s">
        <v>49</v>
      </c>
      <c r="G2201" s="608">
        <v>0</v>
      </c>
    </row>
    <row r="2202" spans="1:7" ht="11.1" customHeight="1">
      <c r="A2202" s="600" t="str">
        <f t="shared" si="170"/>
        <v>PEN;PEN FOREX;10M</v>
      </c>
      <c r="B2202" s="600" t="str">
        <f t="shared" si="172"/>
        <v>PEN</v>
      </c>
      <c r="C2202" s="600" t="str">
        <f t="shared" si="172"/>
        <v>PEN FOREX</v>
      </c>
      <c r="D2202" s="603"/>
      <c r="E2202" s="604"/>
      <c r="F2202" s="607" t="s">
        <v>50</v>
      </c>
      <c r="G2202" s="608">
        <v>0</v>
      </c>
    </row>
    <row r="2203" spans="1:7" ht="11.1" customHeight="1">
      <c r="A2203" s="600" t="str">
        <f t="shared" si="170"/>
        <v>PEN;PEN FOREX;11M</v>
      </c>
      <c r="B2203" s="600" t="str">
        <f t="shared" si="172"/>
        <v>PEN</v>
      </c>
      <c r="C2203" s="600" t="str">
        <f t="shared" si="172"/>
        <v>PEN FOREX</v>
      </c>
      <c r="D2203" s="603"/>
      <c r="E2203" s="604"/>
      <c r="F2203" s="607" t="s">
        <v>51</v>
      </c>
      <c r="G2203" s="608">
        <v>0</v>
      </c>
    </row>
    <row r="2204" spans="1:7" ht="11.1" customHeight="1">
      <c r="A2204" s="600" t="str">
        <f t="shared" si="170"/>
        <v>PEN;PEN FOREX;12M</v>
      </c>
      <c r="B2204" s="600" t="str">
        <f t="shared" si="172"/>
        <v>PEN</v>
      </c>
      <c r="C2204" s="600" t="str">
        <f t="shared" si="172"/>
        <v>PEN FOREX</v>
      </c>
      <c r="D2204" s="603"/>
      <c r="E2204" s="604"/>
      <c r="F2204" s="607" t="s">
        <v>52</v>
      </c>
      <c r="G2204" s="608">
        <v>0</v>
      </c>
    </row>
    <row r="2205" spans="1:7" ht="11.1" customHeight="1">
      <c r="A2205" s="600" t="str">
        <f t="shared" si="170"/>
        <v>PEN;PEN FOREX;15M</v>
      </c>
      <c r="B2205" s="600" t="str">
        <f t="shared" si="172"/>
        <v>PEN</v>
      </c>
      <c r="C2205" s="600" t="str">
        <f t="shared" si="172"/>
        <v>PEN FOREX</v>
      </c>
      <c r="D2205" s="603"/>
      <c r="E2205" s="604"/>
      <c r="F2205" s="607" t="s">
        <v>53</v>
      </c>
      <c r="G2205" s="608">
        <v>0</v>
      </c>
    </row>
    <row r="2206" spans="1:7" ht="11.1" customHeight="1">
      <c r="A2206" s="600" t="str">
        <f t="shared" si="170"/>
        <v>PEN;PEN FOREX;18M</v>
      </c>
      <c r="B2206" s="600" t="str">
        <f t="shared" si="172"/>
        <v>PEN</v>
      </c>
      <c r="C2206" s="600" t="str">
        <f t="shared" si="172"/>
        <v>PEN FOREX</v>
      </c>
      <c r="D2206" s="603"/>
      <c r="E2206" s="604"/>
      <c r="F2206" s="607" t="s">
        <v>54</v>
      </c>
      <c r="G2206" s="608">
        <v>0</v>
      </c>
    </row>
    <row r="2207" spans="1:7" ht="11.1" customHeight="1">
      <c r="A2207" s="600" t="str">
        <f t="shared" si="170"/>
        <v>PEN;PEN FOREX;24M</v>
      </c>
      <c r="B2207" s="600" t="str">
        <f t="shared" si="172"/>
        <v>PEN</v>
      </c>
      <c r="C2207" s="600" t="str">
        <f t="shared" si="172"/>
        <v>PEN FOREX</v>
      </c>
      <c r="D2207" s="603"/>
      <c r="E2207" s="604"/>
      <c r="F2207" s="607" t="s">
        <v>659</v>
      </c>
      <c r="G2207" s="608">
        <v>0</v>
      </c>
    </row>
    <row r="2208" spans="1:7" ht="11.1" customHeight="1">
      <c r="A2208" s="600" t="str">
        <f t="shared" si="170"/>
        <v>PEN;PEN FOREX;3Y</v>
      </c>
      <c r="B2208" s="600" t="str">
        <f t="shared" si="172"/>
        <v>PEN</v>
      </c>
      <c r="C2208" s="600" t="str">
        <f t="shared" si="172"/>
        <v>PEN FOREX</v>
      </c>
      <c r="D2208" s="603"/>
      <c r="E2208" s="604"/>
      <c r="F2208" s="607" t="s">
        <v>10</v>
      </c>
      <c r="G2208" s="608">
        <v>0</v>
      </c>
    </row>
    <row r="2209" spans="1:7" ht="11.1" customHeight="1">
      <c r="A2209" s="600" t="str">
        <f t="shared" si="170"/>
        <v>PEN;PEN FOREX;4Y</v>
      </c>
      <c r="B2209" s="600" t="str">
        <f t="shared" si="172"/>
        <v>PEN</v>
      </c>
      <c r="C2209" s="600" t="str">
        <f t="shared" si="172"/>
        <v>PEN FOREX</v>
      </c>
      <c r="D2209" s="603"/>
      <c r="E2209" s="604"/>
      <c r="F2209" s="607" t="s">
        <v>11</v>
      </c>
      <c r="G2209" s="608">
        <v>0</v>
      </c>
    </row>
    <row r="2210" spans="1:7" ht="11.1" customHeight="1">
      <c r="A2210" s="600" t="str">
        <f t="shared" si="170"/>
        <v>PEN;PEN FOREX;5Y</v>
      </c>
      <c r="B2210" s="600" t="str">
        <f t="shared" si="172"/>
        <v>PEN</v>
      </c>
      <c r="C2210" s="600" t="str">
        <f t="shared" si="172"/>
        <v>PEN FOREX</v>
      </c>
      <c r="D2210" s="603"/>
      <c r="E2210" s="604"/>
      <c r="F2210" s="607" t="s">
        <v>12</v>
      </c>
      <c r="G2210" s="608">
        <v>0</v>
      </c>
    </row>
    <row r="2211" spans="1:7" ht="11.1" customHeight="1">
      <c r="A2211" s="600" t="str">
        <f t="shared" si="170"/>
        <v>PEN;PEN FOREX;6Y</v>
      </c>
      <c r="B2211" s="600" t="str">
        <f t="shared" si="172"/>
        <v>PEN</v>
      </c>
      <c r="C2211" s="600" t="str">
        <f t="shared" si="172"/>
        <v>PEN FOREX</v>
      </c>
      <c r="D2211" s="603"/>
      <c r="E2211" s="604"/>
      <c r="F2211" s="607" t="s">
        <v>13</v>
      </c>
      <c r="G2211" s="608">
        <v>0</v>
      </c>
    </row>
    <row r="2212" spans="1:7" ht="11.1" customHeight="1">
      <c r="A2212" s="600" t="str">
        <f t="shared" si="170"/>
        <v>PEN;PEN FOREX;7Y</v>
      </c>
      <c r="B2212" s="600" t="str">
        <f t="shared" si="172"/>
        <v>PEN</v>
      </c>
      <c r="C2212" s="600" t="str">
        <f t="shared" si="172"/>
        <v>PEN FOREX</v>
      </c>
      <c r="D2212" s="603"/>
      <c r="E2212" s="604"/>
      <c r="F2212" s="607" t="s">
        <v>14</v>
      </c>
      <c r="G2212" s="608">
        <v>0</v>
      </c>
    </row>
    <row r="2213" spans="1:7" ht="11.1" customHeight="1">
      <c r="A2213" s="600" t="str">
        <f t="shared" si="170"/>
        <v>PEN;PEN FOREX;8Y</v>
      </c>
      <c r="B2213" s="600" t="str">
        <f t="shared" ref="B2213:C2228" si="173">IF(ISBLANK(D2213),B2212,D2213)</f>
        <v>PEN</v>
      </c>
      <c r="C2213" s="600" t="str">
        <f t="shared" si="173"/>
        <v>PEN FOREX</v>
      </c>
      <c r="D2213" s="603"/>
      <c r="E2213" s="604"/>
      <c r="F2213" s="607" t="s">
        <v>15</v>
      </c>
      <c r="G2213" s="608">
        <v>0</v>
      </c>
    </row>
    <row r="2214" spans="1:7" ht="11.1" customHeight="1">
      <c r="A2214" s="600" t="str">
        <f t="shared" si="170"/>
        <v>PEN;PEN FOREX;9Y</v>
      </c>
      <c r="B2214" s="600" t="str">
        <f t="shared" si="173"/>
        <v>PEN</v>
      </c>
      <c r="C2214" s="600" t="str">
        <f t="shared" si="173"/>
        <v>PEN FOREX</v>
      </c>
      <c r="D2214" s="603"/>
      <c r="E2214" s="604"/>
      <c r="F2214" s="607" t="s">
        <v>16</v>
      </c>
      <c r="G2214" s="608">
        <v>0</v>
      </c>
    </row>
    <row r="2215" spans="1:7" ht="11.1" customHeight="1">
      <c r="A2215" s="600" t="str">
        <f t="shared" si="170"/>
        <v>PEN;PEN FOREX;10Y</v>
      </c>
      <c r="B2215" s="600" t="str">
        <f t="shared" si="173"/>
        <v>PEN</v>
      </c>
      <c r="C2215" s="600" t="str">
        <f t="shared" si="173"/>
        <v>PEN FOREX</v>
      </c>
      <c r="D2215" s="603"/>
      <c r="E2215" s="604"/>
      <c r="F2215" s="607" t="s">
        <v>17</v>
      </c>
      <c r="G2215" s="608">
        <v>0</v>
      </c>
    </row>
    <row r="2216" spans="1:7" ht="11.1" customHeight="1">
      <c r="A2216" s="600" t="str">
        <f t="shared" si="170"/>
        <v>PHP;PHP :STD;Total PHP :STD</v>
      </c>
      <c r="B2216" s="600" t="str">
        <f t="shared" si="173"/>
        <v>PHP</v>
      </c>
      <c r="C2216" s="600" t="str">
        <f t="shared" si="173"/>
        <v>PHP :STD</v>
      </c>
      <c r="D2216" s="603" t="s">
        <v>1319</v>
      </c>
      <c r="E2216" s="604" t="s">
        <v>1320</v>
      </c>
      <c r="F2216" s="605" t="s">
        <v>1321</v>
      </c>
      <c r="G2216" s="606">
        <v>-4.1211478674085801E-13</v>
      </c>
    </row>
    <row r="2217" spans="1:7" ht="11.1" customHeight="1">
      <c r="A2217" s="600" t="str">
        <f t="shared" si="170"/>
        <v>PHP;PHP :STD;O/N</v>
      </c>
      <c r="B2217" s="600" t="str">
        <f t="shared" si="173"/>
        <v>PHP</v>
      </c>
      <c r="C2217" s="600" t="str">
        <f t="shared" si="173"/>
        <v>PHP :STD</v>
      </c>
      <c r="D2217" s="603"/>
      <c r="E2217" s="604"/>
      <c r="F2217" s="607" t="s">
        <v>3</v>
      </c>
      <c r="G2217" s="611">
        <v>0</v>
      </c>
    </row>
    <row r="2218" spans="1:7" ht="11.1" customHeight="1">
      <c r="A2218" s="600" t="str">
        <f t="shared" si="170"/>
        <v>PHP;PHP :STD;T/N</v>
      </c>
      <c r="B2218" s="600" t="str">
        <f t="shared" si="173"/>
        <v>PHP</v>
      </c>
      <c r="C2218" s="600" t="str">
        <f t="shared" si="173"/>
        <v>PHP :STD</v>
      </c>
      <c r="D2218" s="603"/>
      <c r="E2218" s="604"/>
      <c r="F2218" s="607" t="s">
        <v>4</v>
      </c>
      <c r="G2218" s="611">
        <v>0</v>
      </c>
    </row>
    <row r="2219" spans="1:7" ht="11.1" customHeight="1">
      <c r="A2219" s="600" t="str">
        <f t="shared" si="170"/>
        <v>PHP;PHP :STD;1W</v>
      </c>
      <c r="B2219" s="600" t="str">
        <f t="shared" si="173"/>
        <v>PHP</v>
      </c>
      <c r="C2219" s="600" t="str">
        <f t="shared" si="173"/>
        <v>PHP :STD</v>
      </c>
      <c r="D2219" s="603"/>
      <c r="E2219" s="604"/>
      <c r="F2219" s="607" t="s">
        <v>5</v>
      </c>
      <c r="G2219" s="608">
        <v>0</v>
      </c>
    </row>
    <row r="2220" spans="1:7" ht="11.1" customHeight="1">
      <c r="A2220" s="600" t="str">
        <f t="shared" si="170"/>
        <v>PHP;PHP :STD;2W</v>
      </c>
      <c r="B2220" s="600" t="str">
        <f t="shared" si="173"/>
        <v>PHP</v>
      </c>
      <c r="C2220" s="600" t="str">
        <f t="shared" si="173"/>
        <v>PHP :STD</v>
      </c>
      <c r="D2220" s="603"/>
      <c r="E2220" s="604"/>
      <c r="F2220" s="607" t="s">
        <v>6</v>
      </c>
      <c r="G2220" s="608">
        <v>0</v>
      </c>
    </row>
    <row r="2221" spans="1:7" ht="11.1" customHeight="1">
      <c r="A2221" s="600" t="str">
        <f t="shared" si="170"/>
        <v>PHP;PHP :STD;1M</v>
      </c>
      <c r="B2221" s="600" t="str">
        <f t="shared" si="173"/>
        <v>PHP</v>
      </c>
      <c r="C2221" s="600" t="str">
        <f t="shared" si="173"/>
        <v>PHP :STD</v>
      </c>
      <c r="D2221" s="603"/>
      <c r="E2221" s="604"/>
      <c r="F2221" s="607" t="s">
        <v>7</v>
      </c>
      <c r="G2221" s="608">
        <v>0</v>
      </c>
    </row>
    <row r="2222" spans="1:7" ht="11.1" customHeight="1">
      <c r="A2222" s="600" t="str">
        <f t="shared" si="170"/>
        <v>PHP;PHP :STD;2M</v>
      </c>
      <c r="B2222" s="600" t="str">
        <f t="shared" si="173"/>
        <v>PHP</v>
      </c>
      <c r="C2222" s="600" t="str">
        <f t="shared" si="173"/>
        <v>PHP :STD</v>
      </c>
      <c r="D2222" s="603"/>
      <c r="E2222" s="604"/>
      <c r="F2222" s="607" t="s">
        <v>8</v>
      </c>
      <c r="G2222" s="608">
        <v>0</v>
      </c>
    </row>
    <row r="2223" spans="1:7" ht="11.1" customHeight="1">
      <c r="A2223" s="600" t="str">
        <f t="shared" si="170"/>
        <v>PHP;PHP :STD;3M</v>
      </c>
      <c r="B2223" s="600" t="str">
        <f t="shared" si="173"/>
        <v>PHP</v>
      </c>
      <c r="C2223" s="600" t="str">
        <f t="shared" si="173"/>
        <v>PHP :STD</v>
      </c>
      <c r="D2223" s="603"/>
      <c r="E2223" s="604"/>
      <c r="F2223" s="607" t="s">
        <v>25</v>
      </c>
      <c r="G2223" s="611">
        <v>0</v>
      </c>
    </row>
    <row r="2224" spans="1:7" ht="11.1" customHeight="1">
      <c r="A2224" s="600" t="str">
        <f t="shared" si="170"/>
        <v>PHP;PHP :STD;6M</v>
      </c>
      <c r="B2224" s="600" t="str">
        <f t="shared" si="173"/>
        <v>PHP</v>
      </c>
      <c r="C2224" s="600" t="str">
        <f t="shared" si="173"/>
        <v>PHP :STD</v>
      </c>
      <c r="D2224" s="603"/>
      <c r="E2224" s="604"/>
      <c r="F2224" s="607" t="s">
        <v>28</v>
      </c>
      <c r="G2224" s="611">
        <v>0</v>
      </c>
    </row>
    <row r="2225" spans="1:7" ht="11.1" customHeight="1">
      <c r="A2225" s="600" t="str">
        <f t="shared" si="170"/>
        <v>PHP;PHP :STD;9M</v>
      </c>
      <c r="B2225" s="600" t="str">
        <f t="shared" si="173"/>
        <v>PHP</v>
      </c>
      <c r="C2225" s="600" t="str">
        <f t="shared" si="173"/>
        <v>PHP :STD</v>
      </c>
      <c r="D2225" s="603"/>
      <c r="E2225" s="604"/>
      <c r="F2225" s="607" t="s">
        <v>49</v>
      </c>
      <c r="G2225" s="608">
        <v>0</v>
      </c>
    </row>
    <row r="2226" spans="1:7" ht="11.1" customHeight="1">
      <c r="A2226" s="600" t="str">
        <f t="shared" si="170"/>
        <v>PHP;PHP :STD;1Y</v>
      </c>
      <c r="B2226" s="600" t="str">
        <f t="shared" si="173"/>
        <v>PHP</v>
      </c>
      <c r="C2226" s="600" t="str">
        <f t="shared" si="173"/>
        <v>PHP :STD</v>
      </c>
      <c r="D2226" s="603"/>
      <c r="E2226" s="604"/>
      <c r="F2226" s="607" t="s">
        <v>56</v>
      </c>
      <c r="G2226" s="608">
        <v>0</v>
      </c>
    </row>
    <row r="2227" spans="1:7" ht="11.1" customHeight="1">
      <c r="A2227" s="600" t="str">
        <f t="shared" si="170"/>
        <v>PHP;PHP :STD;2Y</v>
      </c>
      <c r="B2227" s="600" t="str">
        <f t="shared" si="173"/>
        <v>PHP</v>
      </c>
      <c r="C2227" s="600" t="str">
        <f t="shared" si="173"/>
        <v>PHP :STD</v>
      </c>
      <c r="D2227" s="603"/>
      <c r="E2227" s="604"/>
      <c r="F2227" s="607" t="s">
        <v>9</v>
      </c>
      <c r="G2227" s="608">
        <v>0</v>
      </c>
    </row>
    <row r="2228" spans="1:7" ht="11.1" customHeight="1">
      <c r="A2228" s="600" t="str">
        <f t="shared" si="170"/>
        <v>PHP;PHP :STD;3Y</v>
      </c>
      <c r="B2228" s="600" t="str">
        <f t="shared" si="173"/>
        <v>PHP</v>
      </c>
      <c r="C2228" s="600" t="str">
        <f t="shared" si="173"/>
        <v>PHP :STD</v>
      </c>
      <c r="D2228" s="603"/>
      <c r="E2228" s="604"/>
      <c r="F2228" s="607" t="s">
        <v>10</v>
      </c>
      <c r="G2228" s="608">
        <v>0</v>
      </c>
    </row>
    <row r="2229" spans="1:7" ht="11.1" customHeight="1">
      <c r="A2229" s="600" t="str">
        <f t="shared" si="170"/>
        <v>PHP;PHP :STD;4Y</v>
      </c>
      <c r="B2229" s="600" t="str">
        <f t="shared" ref="B2229:C2244" si="174">IF(ISBLANK(D2229),B2228,D2229)</f>
        <v>PHP</v>
      </c>
      <c r="C2229" s="600" t="str">
        <f t="shared" si="174"/>
        <v>PHP :STD</v>
      </c>
      <c r="D2229" s="603"/>
      <c r="E2229" s="604"/>
      <c r="F2229" s="607" t="s">
        <v>11</v>
      </c>
      <c r="G2229" s="608">
        <v>0</v>
      </c>
    </row>
    <row r="2230" spans="1:7" ht="11.1" customHeight="1">
      <c r="A2230" s="600" t="str">
        <f t="shared" si="170"/>
        <v>PHP;PHP :STD;5Y</v>
      </c>
      <c r="B2230" s="600" t="str">
        <f t="shared" si="174"/>
        <v>PHP</v>
      </c>
      <c r="C2230" s="600" t="str">
        <f t="shared" si="174"/>
        <v>PHP :STD</v>
      </c>
      <c r="D2230" s="603"/>
      <c r="E2230" s="604"/>
      <c r="F2230" s="607" t="s">
        <v>12</v>
      </c>
      <c r="G2230" s="608">
        <v>0</v>
      </c>
    </row>
    <row r="2231" spans="1:7" ht="11.1" customHeight="1">
      <c r="A2231" s="600" t="str">
        <f t="shared" si="170"/>
        <v>PHP;PHP :STD;7Y</v>
      </c>
      <c r="B2231" s="600" t="str">
        <f t="shared" si="174"/>
        <v>PHP</v>
      </c>
      <c r="C2231" s="600" t="str">
        <f t="shared" si="174"/>
        <v>PHP :STD</v>
      </c>
      <c r="D2231" s="603"/>
      <c r="E2231" s="604"/>
      <c r="F2231" s="607" t="s">
        <v>14</v>
      </c>
      <c r="G2231" s="608">
        <v>0</v>
      </c>
    </row>
    <row r="2232" spans="1:7" ht="11.1" customHeight="1">
      <c r="A2232" s="600" t="str">
        <f t="shared" si="170"/>
        <v>PHP;PHP :STD;10Y</v>
      </c>
      <c r="B2232" s="600" t="str">
        <f t="shared" si="174"/>
        <v>PHP</v>
      </c>
      <c r="C2232" s="600" t="str">
        <f t="shared" si="174"/>
        <v>PHP :STD</v>
      </c>
      <c r="D2232" s="603"/>
      <c r="E2232" s="604"/>
      <c r="F2232" s="607" t="s">
        <v>17</v>
      </c>
      <c r="G2232" s="608">
        <v>0</v>
      </c>
    </row>
    <row r="2233" spans="1:7" ht="11.1" customHeight="1">
      <c r="A2233" s="600" t="str">
        <f t="shared" si="170"/>
        <v>PLN;Total PLN;</v>
      </c>
      <c r="B2233" s="600" t="str">
        <f t="shared" si="174"/>
        <v>PLN</v>
      </c>
      <c r="C2233" s="600" t="str">
        <f t="shared" si="174"/>
        <v>Total PLN</v>
      </c>
      <c r="D2233" s="603" t="s">
        <v>1322</v>
      </c>
      <c r="E2233" s="609" t="s">
        <v>1323</v>
      </c>
      <c r="F2233" s="609"/>
      <c r="G2233" s="612">
        <v>-2667.9235827839402</v>
      </c>
    </row>
    <row r="2234" spans="1:7" ht="11.1" customHeight="1">
      <c r="A2234" s="600" t="str">
        <f t="shared" si="170"/>
        <v>PLN;PLN 3M;Total PLN 3M</v>
      </c>
      <c r="B2234" s="600" t="str">
        <f t="shared" si="174"/>
        <v>PLN</v>
      </c>
      <c r="C2234" s="600" t="str">
        <f t="shared" si="174"/>
        <v>PLN 3M</v>
      </c>
      <c r="D2234" s="603"/>
      <c r="E2234" s="604" t="s">
        <v>3900</v>
      </c>
      <c r="F2234" s="605" t="s">
        <v>3901</v>
      </c>
      <c r="G2234" s="606">
        <v>-2694.6217976223402</v>
      </c>
    </row>
    <row r="2235" spans="1:7" ht="11.1" customHeight="1">
      <c r="A2235" s="600" t="str">
        <f t="shared" si="170"/>
        <v>PLN;PLN 3M;O/N</v>
      </c>
      <c r="B2235" s="600" t="str">
        <f t="shared" si="174"/>
        <v>PLN</v>
      </c>
      <c r="C2235" s="600" t="str">
        <f t="shared" si="174"/>
        <v>PLN 3M</v>
      </c>
      <c r="D2235" s="603"/>
      <c r="E2235" s="604"/>
      <c r="F2235" s="607" t="s">
        <v>3</v>
      </c>
      <c r="G2235" s="611">
        <v>21.783367264729598</v>
      </c>
    </row>
    <row r="2236" spans="1:7" ht="11.1" customHeight="1">
      <c r="A2236" s="600" t="str">
        <f t="shared" si="170"/>
        <v>PLN;PLN 3M;3M</v>
      </c>
      <c r="B2236" s="600" t="str">
        <f t="shared" si="174"/>
        <v>PLN</v>
      </c>
      <c r="C2236" s="600" t="str">
        <f t="shared" si="174"/>
        <v>PLN 3M</v>
      </c>
      <c r="D2236" s="603"/>
      <c r="E2236" s="604"/>
      <c r="F2236" s="607" t="s">
        <v>25</v>
      </c>
      <c r="G2236" s="611">
        <v>142.175099847654</v>
      </c>
    </row>
    <row r="2237" spans="1:7" ht="11.1" customHeight="1">
      <c r="A2237" s="600" t="str">
        <f t="shared" si="170"/>
        <v>PLN;PLN 3M;3M-6M</v>
      </c>
      <c r="B2237" s="600" t="str">
        <f t="shared" si="174"/>
        <v>PLN</v>
      </c>
      <c r="C2237" s="600" t="str">
        <f t="shared" si="174"/>
        <v>PLN 3M</v>
      </c>
      <c r="D2237" s="603"/>
      <c r="E2237" s="604"/>
      <c r="F2237" s="607" t="s">
        <v>1213</v>
      </c>
      <c r="G2237" s="606">
        <v>-634.57696691234003</v>
      </c>
    </row>
    <row r="2238" spans="1:7" ht="11.1" customHeight="1">
      <c r="A2238" s="600" t="str">
        <f t="shared" si="170"/>
        <v>PLN;PLN 3M;6M-9M</v>
      </c>
      <c r="B2238" s="600" t="str">
        <f t="shared" si="174"/>
        <v>PLN</v>
      </c>
      <c r="C2238" s="600" t="str">
        <f t="shared" si="174"/>
        <v>PLN 3M</v>
      </c>
      <c r="D2238" s="603"/>
      <c r="E2238" s="604"/>
      <c r="F2238" s="607" t="s">
        <v>1214</v>
      </c>
      <c r="G2238" s="606">
        <v>-492.22137049215098</v>
      </c>
    </row>
    <row r="2239" spans="1:7" ht="11.1" customHeight="1">
      <c r="A2239" s="600" t="str">
        <f t="shared" si="170"/>
        <v>PLN;PLN 3M;9M-12M</v>
      </c>
      <c r="B2239" s="600" t="str">
        <f t="shared" si="174"/>
        <v>PLN</v>
      </c>
      <c r="C2239" s="600" t="str">
        <f t="shared" si="174"/>
        <v>PLN 3M</v>
      </c>
      <c r="D2239" s="603"/>
      <c r="E2239" s="604"/>
      <c r="F2239" s="607" t="s">
        <v>1215</v>
      </c>
      <c r="G2239" s="606">
        <v>-748.29966448826497</v>
      </c>
    </row>
    <row r="2240" spans="1:7" ht="11.1" customHeight="1">
      <c r="A2240" s="600" t="str">
        <f t="shared" si="170"/>
        <v>PLN;PLN 3M;2Y</v>
      </c>
      <c r="B2240" s="600" t="str">
        <f t="shared" si="174"/>
        <v>PLN</v>
      </c>
      <c r="C2240" s="600" t="str">
        <f t="shared" si="174"/>
        <v>PLN 3M</v>
      </c>
      <c r="D2240" s="603"/>
      <c r="E2240" s="604"/>
      <c r="F2240" s="607" t="s">
        <v>9</v>
      </c>
      <c r="G2240" s="606">
        <v>-1046.5999342878599</v>
      </c>
    </row>
    <row r="2241" spans="1:7" ht="11.1" customHeight="1">
      <c r="A2241" s="600" t="str">
        <f t="shared" si="170"/>
        <v>PLN;PLN 3M;3Y</v>
      </c>
      <c r="B2241" s="600" t="str">
        <f t="shared" si="174"/>
        <v>PLN</v>
      </c>
      <c r="C2241" s="600" t="str">
        <f t="shared" si="174"/>
        <v>PLN 3M</v>
      </c>
      <c r="D2241" s="603"/>
      <c r="E2241" s="604"/>
      <c r="F2241" s="607" t="s">
        <v>10</v>
      </c>
      <c r="G2241" s="606">
        <v>-28.403856699919402</v>
      </c>
    </row>
    <row r="2242" spans="1:7" ht="11.1" customHeight="1">
      <c r="A2242" s="600" t="str">
        <f t="shared" si="170"/>
        <v>PLN;PLN 3M;4Y</v>
      </c>
      <c r="B2242" s="600" t="str">
        <f t="shared" si="174"/>
        <v>PLN</v>
      </c>
      <c r="C2242" s="600" t="str">
        <f t="shared" si="174"/>
        <v>PLN 3M</v>
      </c>
      <c r="D2242" s="603"/>
      <c r="E2242" s="604"/>
      <c r="F2242" s="607" t="s">
        <v>11</v>
      </c>
      <c r="G2242" s="611">
        <v>91.719615894316206</v>
      </c>
    </row>
    <row r="2243" spans="1:7" ht="11.1" customHeight="1">
      <c r="A2243" s="600" t="str">
        <f t="shared" si="170"/>
        <v>PLN;PLN 3M;5Y</v>
      </c>
      <c r="B2243" s="600" t="str">
        <f t="shared" si="174"/>
        <v>PLN</v>
      </c>
      <c r="C2243" s="600" t="str">
        <f t="shared" si="174"/>
        <v>PLN 3M</v>
      </c>
      <c r="D2243" s="603"/>
      <c r="E2243" s="604"/>
      <c r="F2243" s="607" t="s">
        <v>12</v>
      </c>
      <c r="G2243" s="606">
        <v>-0.19843030604727599</v>
      </c>
    </row>
    <row r="2244" spans="1:7" ht="11.1" customHeight="1">
      <c r="A2244" s="600" t="str">
        <f t="shared" si="170"/>
        <v>PLN;PLN 3M;6Y</v>
      </c>
      <c r="B2244" s="600" t="str">
        <f t="shared" si="174"/>
        <v>PLN</v>
      </c>
      <c r="C2244" s="600" t="str">
        <f t="shared" si="174"/>
        <v>PLN 3M</v>
      </c>
      <c r="D2244" s="603"/>
      <c r="E2244" s="604"/>
      <c r="F2244" s="607" t="s">
        <v>13</v>
      </c>
      <c r="G2244" s="611">
        <v>3.4308627347255199E-4</v>
      </c>
    </row>
    <row r="2245" spans="1:7" ht="11.1" customHeight="1">
      <c r="A2245" s="600" t="str">
        <f t="shared" ref="A2245:A2308" si="175">B2245&amp;";"&amp;C2245&amp;";"&amp;F2245</f>
        <v>PLN;PLN 3M;7Y</v>
      </c>
      <c r="B2245" s="600" t="str">
        <f t="shared" ref="B2245:C2260" si="176">IF(ISBLANK(D2245),B2244,D2245)</f>
        <v>PLN</v>
      </c>
      <c r="C2245" s="600" t="str">
        <f t="shared" si="176"/>
        <v>PLN 3M</v>
      </c>
      <c r="D2245" s="603"/>
      <c r="E2245" s="604"/>
      <c r="F2245" s="607" t="s">
        <v>14</v>
      </c>
      <c r="G2245" s="606">
        <v>-5.2789865535444004E-7</v>
      </c>
    </row>
    <row r="2246" spans="1:7" ht="11.1" customHeight="1">
      <c r="A2246" s="600" t="str">
        <f t="shared" si="175"/>
        <v>PLN;PLN 3M;8Y</v>
      </c>
      <c r="B2246" s="600" t="str">
        <f t="shared" si="176"/>
        <v>PLN</v>
      </c>
      <c r="C2246" s="600" t="str">
        <f t="shared" si="176"/>
        <v>PLN 3M</v>
      </c>
      <c r="D2246" s="603"/>
      <c r="E2246" s="604"/>
      <c r="F2246" s="607" t="s">
        <v>15</v>
      </c>
      <c r="G2246" s="606">
        <v>-8.2474373624010202E-10</v>
      </c>
    </row>
    <row r="2247" spans="1:7" ht="11.1" customHeight="1">
      <c r="A2247" s="600" t="str">
        <f t="shared" si="175"/>
        <v>PLN;PLN 3M;9Y</v>
      </c>
      <c r="B2247" s="600" t="str">
        <f t="shared" si="176"/>
        <v>PLN</v>
      </c>
      <c r="C2247" s="600" t="str">
        <f t="shared" si="176"/>
        <v>PLN 3M</v>
      </c>
      <c r="D2247" s="603"/>
      <c r="E2247" s="604"/>
      <c r="F2247" s="607" t="s">
        <v>16</v>
      </c>
      <c r="G2247" s="608">
        <v>0</v>
      </c>
    </row>
    <row r="2248" spans="1:7" ht="11.1" customHeight="1">
      <c r="A2248" s="600" t="str">
        <f t="shared" si="175"/>
        <v>PLN;PLN 3M;10Y</v>
      </c>
      <c r="B2248" s="600" t="str">
        <f t="shared" si="176"/>
        <v>PLN</v>
      </c>
      <c r="C2248" s="600" t="str">
        <f t="shared" si="176"/>
        <v>PLN 3M</v>
      </c>
      <c r="D2248" s="603"/>
      <c r="E2248" s="604"/>
      <c r="F2248" s="607" t="s">
        <v>17</v>
      </c>
      <c r="G2248" s="608">
        <v>0</v>
      </c>
    </row>
    <row r="2249" spans="1:7" ht="11.1" customHeight="1">
      <c r="A2249" s="600" t="str">
        <f t="shared" si="175"/>
        <v>PLN;PLN FOREX;Total PLN FOREX</v>
      </c>
      <c r="B2249" s="600" t="str">
        <f t="shared" si="176"/>
        <v>PLN</v>
      </c>
      <c r="C2249" s="600" t="str">
        <f t="shared" si="176"/>
        <v>PLN FOREX</v>
      </c>
      <c r="D2249" s="603"/>
      <c r="E2249" s="604" t="s">
        <v>1324</v>
      </c>
      <c r="F2249" s="605" t="s">
        <v>1325</v>
      </c>
      <c r="G2249" s="611">
        <v>18.043316867149901</v>
      </c>
    </row>
    <row r="2250" spans="1:7" ht="11.1" customHeight="1">
      <c r="A2250" s="600" t="str">
        <f t="shared" si="175"/>
        <v>PLN;PLN FOREX;O/N</v>
      </c>
      <c r="B2250" s="600" t="str">
        <f t="shared" si="176"/>
        <v>PLN</v>
      </c>
      <c r="C2250" s="600" t="str">
        <f t="shared" si="176"/>
        <v>PLN FOREX</v>
      </c>
      <c r="D2250" s="603"/>
      <c r="E2250" s="604"/>
      <c r="F2250" s="607" t="s">
        <v>3</v>
      </c>
      <c r="G2250" s="611">
        <v>3.4107530992028998E-2</v>
      </c>
    </row>
    <row r="2251" spans="1:7" ht="11.1" customHeight="1">
      <c r="A2251" s="600" t="str">
        <f t="shared" si="175"/>
        <v>PLN;PLN FOREX;T/N</v>
      </c>
      <c r="B2251" s="600" t="str">
        <f t="shared" si="176"/>
        <v>PLN</v>
      </c>
      <c r="C2251" s="600" t="str">
        <f t="shared" si="176"/>
        <v>PLN FOREX</v>
      </c>
      <c r="D2251" s="603"/>
      <c r="E2251" s="604"/>
      <c r="F2251" s="607" t="s">
        <v>4</v>
      </c>
      <c r="G2251" s="611">
        <v>1.1369731418618899E-2</v>
      </c>
    </row>
    <row r="2252" spans="1:7" ht="11.1" customHeight="1">
      <c r="A2252" s="600" t="str">
        <f t="shared" si="175"/>
        <v>PLN;PLN FOREX;S/N</v>
      </c>
      <c r="B2252" s="600" t="str">
        <f t="shared" si="176"/>
        <v>PLN</v>
      </c>
      <c r="C2252" s="600" t="str">
        <f t="shared" si="176"/>
        <v>PLN FOREX</v>
      </c>
      <c r="D2252" s="603"/>
      <c r="E2252" s="604"/>
      <c r="F2252" s="607" t="s">
        <v>23</v>
      </c>
      <c r="G2252" s="608">
        <v>0</v>
      </c>
    </row>
    <row r="2253" spans="1:7" ht="11.1" customHeight="1">
      <c r="A2253" s="600" t="str">
        <f t="shared" si="175"/>
        <v>PLN;PLN FOREX;1W</v>
      </c>
      <c r="B2253" s="600" t="str">
        <f t="shared" si="176"/>
        <v>PLN</v>
      </c>
      <c r="C2253" s="600" t="str">
        <f t="shared" si="176"/>
        <v>PLN FOREX</v>
      </c>
      <c r="D2253" s="603"/>
      <c r="E2253" s="604"/>
      <c r="F2253" s="607" t="s">
        <v>5</v>
      </c>
      <c r="G2253" s="611">
        <v>1.3958927681248101E-2</v>
      </c>
    </row>
    <row r="2254" spans="1:7" ht="11.1" customHeight="1">
      <c r="A2254" s="600" t="str">
        <f t="shared" si="175"/>
        <v>PLN;PLN FOREX;2W</v>
      </c>
      <c r="B2254" s="600" t="str">
        <f t="shared" si="176"/>
        <v>PLN</v>
      </c>
      <c r="C2254" s="600" t="str">
        <f t="shared" si="176"/>
        <v>PLN FOREX</v>
      </c>
      <c r="D2254" s="603"/>
      <c r="E2254" s="604"/>
      <c r="F2254" s="607" t="s">
        <v>6</v>
      </c>
      <c r="G2254" s="611">
        <v>1.76600638573246E-2</v>
      </c>
    </row>
    <row r="2255" spans="1:7" ht="11.1" customHeight="1">
      <c r="A2255" s="600" t="str">
        <f t="shared" si="175"/>
        <v>PLN;PLN FOREX;3W</v>
      </c>
      <c r="B2255" s="600" t="str">
        <f t="shared" si="176"/>
        <v>PLN</v>
      </c>
      <c r="C2255" s="600" t="str">
        <f t="shared" si="176"/>
        <v>PLN FOREX</v>
      </c>
      <c r="D2255" s="603"/>
      <c r="E2255" s="604"/>
      <c r="F2255" s="607" t="s">
        <v>24</v>
      </c>
      <c r="G2255" s="611">
        <v>5.0236312401064501E-3</v>
      </c>
    </row>
    <row r="2256" spans="1:7" ht="11.1" customHeight="1">
      <c r="A2256" s="600" t="str">
        <f t="shared" si="175"/>
        <v>PLN;PLN FOREX;1M</v>
      </c>
      <c r="B2256" s="600" t="str">
        <f t="shared" si="176"/>
        <v>PLN</v>
      </c>
      <c r="C2256" s="600" t="str">
        <f t="shared" si="176"/>
        <v>PLN FOREX</v>
      </c>
      <c r="D2256" s="603"/>
      <c r="E2256" s="604"/>
      <c r="F2256" s="607" t="s">
        <v>7</v>
      </c>
      <c r="G2256" s="608">
        <v>0</v>
      </c>
    </row>
    <row r="2257" spans="1:7" ht="11.1" customHeight="1">
      <c r="A2257" s="600" t="str">
        <f t="shared" si="175"/>
        <v>PLN;PLN FOREX;2M</v>
      </c>
      <c r="B2257" s="600" t="str">
        <f t="shared" si="176"/>
        <v>PLN</v>
      </c>
      <c r="C2257" s="600" t="str">
        <f t="shared" si="176"/>
        <v>PLN FOREX</v>
      </c>
      <c r="D2257" s="603"/>
      <c r="E2257" s="604"/>
      <c r="F2257" s="607" t="s">
        <v>8</v>
      </c>
      <c r="G2257" s="608">
        <v>0</v>
      </c>
    </row>
    <row r="2258" spans="1:7" ht="11.1" customHeight="1">
      <c r="A2258" s="600" t="str">
        <f t="shared" si="175"/>
        <v>PLN;PLN FOREX;3M</v>
      </c>
      <c r="B2258" s="600" t="str">
        <f t="shared" si="176"/>
        <v>PLN</v>
      </c>
      <c r="C2258" s="600" t="str">
        <f t="shared" si="176"/>
        <v>PLN FOREX</v>
      </c>
      <c r="D2258" s="603"/>
      <c r="E2258" s="604"/>
      <c r="F2258" s="607" t="s">
        <v>25</v>
      </c>
      <c r="G2258" s="611">
        <v>0.382538554265626</v>
      </c>
    </row>
    <row r="2259" spans="1:7" ht="11.1" customHeight="1">
      <c r="A2259" s="600" t="str">
        <f t="shared" si="175"/>
        <v>PLN;PLN FOREX;4M</v>
      </c>
      <c r="B2259" s="600" t="str">
        <f t="shared" si="176"/>
        <v>PLN</v>
      </c>
      <c r="C2259" s="600" t="str">
        <f t="shared" si="176"/>
        <v>PLN FOREX</v>
      </c>
      <c r="D2259" s="603"/>
      <c r="E2259" s="604"/>
      <c r="F2259" s="607" t="s">
        <v>26</v>
      </c>
      <c r="G2259" s="611">
        <v>0.193428677061011</v>
      </c>
    </row>
    <row r="2260" spans="1:7" ht="11.1" customHeight="1">
      <c r="A2260" s="600" t="str">
        <f t="shared" si="175"/>
        <v>PLN;PLN FOREX;5M</v>
      </c>
      <c r="B2260" s="600" t="str">
        <f t="shared" si="176"/>
        <v>PLN</v>
      </c>
      <c r="C2260" s="600" t="str">
        <f t="shared" si="176"/>
        <v>PLN FOREX</v>
      </c>
      <c r="D2260" s="603"/>
      <c r="E2260" s="604"/>
      <c r="F2260" s="607" t="s">
        <v>27</v>
      </c>
      <c r="G2260" s="608">
        <v>0</v>
      </c>
    </row>
    <row r="2261" spans="1:7" ht="11.1" customHeight="1">
      <c r="A2261" s="600" t="str">
        <f t="shared" si="175"/>
        <v>PLN;PLN FOREX;6M</v>
      </c>
      <c r="B2261" s="600" t="str">
        <f t="shared" ref="B2261:C2276" si="177">IF(ISBLANK(D2261),B2260,D2261)</f>
        <v>PLN</v>
      </c>
      <c r="C2261" s="600" t="str">
        <f t="shared" si="177"/>
        <v>PLN FOREX</v>
      </c>
      <c r="D2261" s="603"/>
      <c r="E2261" s="604"/>
      <c r="F2261" s="607" t="s">
        <v>28</v>
      </c>
      <c r="G2261" s="611">
        <v>0.81422316729619804</v>
      </c>
    </row>
    <row r="2262" spans="1:7" ht="11.1" customHeight="1">
      <c r="A2262" s="600" t="str">
        <f t="shared" si="175"/>
        <v>PLN;PLN FOREX;7M</v>
      </c>
      <c r="B2262" s="600" t="str">
        <f t="shared" si="177"/>
        <v>PLN</v>
      </c>
      <c r="C2262" s="600" t="str">
        <f t="shared" si="177"/>
        <v>PLN FOREX</v>
      </c>
      <c r="D2262" s="603"/>
      <c r="E2262" s="604"/>
      <c r="F2262" s="607" t="s">
        <v>29</v>
      </c>
      <c r="G2262" s="611">
        <v>0.54373065857025804</v>
      </c>
    </row>
    <row r="2263" spans="1:7" ht="11.1" customHeight="1">
      <c r="A2263" s="600" t="str">
        <f t="shared" si="175"/>
        <v>PLN;PLN FOREX;8M</v>
      </c>
      <c r="B2263" s="600" t="str">
        <f t="shared" si="177"/>
        <v>PLN</v>
      </c>
      <c r="C2263" s="600" t="str">
        <f t="shared" si="177"/>
        <v>PLN FOREX</v>
      </c>
      <c r="D2263" s="603"/>
      <c r="E2263" s="604"/>
      <c r="F2263" s="607" t="s">
        <v>30</v>
      </c>
      <c r="G2263" s="608">
        <v>0</v>
      </c>
    </row>
    <row r="2264" spans="1:7" ht="11.1" customHeight="1">
      <c r="A2264" s="600" t="str">
        <f t="shared" si="175"/>
        <v>PLN;PLN FOREX;9M</v>
      </c>
      <c r="B2264" s="600" t="str">
        <f t="shared" si="177"/>
        <v>PLN</v>
      </c>
      <c r="C2264" s="600" t="str">
        <f t="shared" si="177"/>
        <v>PLN FOREX</v>
      </c>
      <c r="D2264" s="603"/>
      <c r="E2264" s="604"/>
      <c r="F2264" s="607" t="s">
        <v>49</v>
      </c>
      <c r="G2264" s="611">
        <v>1.2334415130988601</v>
      </c>
    </row>
    <row r="2265" spans="1:7" ht="11.1" customHeight="1">
      <c r="A2265" s="600" t="str">
        <f t="shared" si="175"/>
        <v>PLN;PLN FOREX;10M</v>
      </c>
      <c r="B2265" s="600" t="str">
        <f t="shared" si="177"/>
        <v>PLN</v>
      </c>
      <c r="C2265" s="600" t="str">
        <f t="shared" si="177"/>
        <v>PLN FOREX</v>
      </c>
      <c r="D2265" s="603"/>
      <c r="E2265" s="604"/>
      <c r="F2265" s="607" t="s">
        <v>50</v>
      </c>
      <c r="G2265" s="611">
        <v>1.09156929146657</v>
      </c>
    </row>
    <row r="2266" spans="1:7" ht="11.1" customHeight="1">
      <c r="A2266" s="600" t="str">
        <f t="shared" si="175"/>
        <v>PLN;PLN FOREX;11M</v>
      </c>
      <c r="B2266" s="600" t="str">
        <f t="shared" si="177"/>
        <v>PLN</v>
      </c>
      <c r="C2266" s="600" t="str">
        <f t="shared" si="177"/>
        <v>PLN FOREX</v>
      </c>
      <c r="D2266" s="603"/>
      <c r="E2266" s="604"/>
      <c r="F2266" s="607" t="s">
        <v>51</v>
      </c>
      <c r="G2266" s="608">
        <v>0</v>
      </c>
    </row>
    <row r="2267" spans="1:7" ht="11.1" customHeight="1">
      <c r="A2267" s="600" t="str">
        <f t="shared" si="175"/>
        <v>PLN;PLN FOREX;12M</v>
      </c>
      <c r="B2267" s="600" t="str">
        <f t="shared" si="177"/>
        <v>PLN</v>
      </c>
      <c r="C2267" s="600" t="str">
        <f t="shared" si="177"/>
        <v>PLN FOREX</v>
      </c>
      <c r="D2267" s="603"/>
      <c r="E2267" s="604"/>
      <c r="F2267" s="607" t="s">
        <v>52</v>
      </c>
      <c r="G2267" s="611">
        <v>2.8559982917565798</v>
      </c>
    </row>
    <row r="2268" spans="1:7" ht="11.1" customHeight="1">
      <c r="A2268" s="600" t="str">
        <f t="shared" si="175"/>
        <v>PLN;PLN FOREX;15M</v>
      </c>
      <c r="B2268" s="600" t="str">
        <f t="shared" si="177"/>
        <v>PLN</v>
      </c>
      <c r="C2268" s="600" t="str">
        <f t="shared" si="177"/>
        <v>PLN FOREX</v>
      </c>
      <c r="D2268" s="603"/>
      <c r="E2268" s="604"/>
      <c r="F2268" s="607" t="s">
        <v>53</v>
      </c>
      <c r="G2268" s="611">
        <v>3.9184132560856599</v>
      </c>
    </row>
    <row r="2269" spans="1:7" ht="11.1" customHeight="1">
      <c r="A2269" s="600" t="str">
        <f t="shared" si="175"/>
        <v>PLN;PLN FOREX;18M</v>
      </c>
      <c r="B2269" s="600" t="str">
        <f t="shared" si="177"/>
        <v>PLN</v>
      </c>
      <c r="C2269" s="600" t="str">
        <f t="shared" si="177"/>
        <v>PLN FOREX</v>
      </c>
      <c r="D2269" s="603"/>
      <c r="E2269" s="604"/>
      <c r="F2269" s="607" t="s">
        <v>54</v>
      </c>
      <c r="G2269" s="611">
        <v>5.7016537309009099</v>
      </c>
    </row>
    <row r="2270" spans="1:7" ht="11.1" customHeight="1">
      <c r="A2270" s="600" t="str">
        <f t="shared" si="175"/>
        <v>PLN;PLN FOREX;24M</v>
      </c>
      <c r="B2270" s="600" t="str">
        <f t="shared" si="177"/>
        <v>PLN</v>
      </c>
      <c r="C2270" s="600" t="str">
        <f t="shared" si="177"/>
        <v>PLN FOREX</v>
      </c>
      <c r="D2270" s="603"/>
      <c r="E2270" s="604"/>
      <c r="F2270" s="607" t="s">
        <v>659</v>
      </c>
      <c r="G2270" s="611">
        <v>1.22619984145878</v>
      </c>
    </row>
    <row r="2271" spans="1:7" ht="11.1" customHeight="1">
      <c r="A2271" s="600" t="str">
        <f t="shared" si="175"/>
        <v>PLN;PLN FOREX;3Y</v>
      </c>
      <c r="B2271" s="600" t="str">
        <f t="shared" si="177"/>
        <v>PLN</v>
      </c>
      <c r="C2271" s="600" t="str">
        <f t="shared" si="177"/>
        <v>PLN FOREX</v>
      </c>
      <c r="D2271" s="603"/>
      <c r="E2271" s="604"/>
      <c r="F2271" s="607" t="s">
        <v>10</v>
      </c>
      <c r="G2271" s="608">
        <v>0</v>
      </c>
    </row>
    <row r="2272" spans="1:7" ht="11.1" customHeight="1">
      <c r="A2272" s="600" t="str">
        <f t="shared" si="175"/>
        <v>PLN;PLN FOREX;4Y</v>
      </c>
      <c r="B2272" s="600" t="str">
        <f t="shared" si="177"/>
        <v>PLN</v>
      </c>
      <c r="C2272" s="600" t="str">
        <f t="shared" si="177"/>
        <v>PLN FOREX</v>
      </c>
      <c r="D2272" s="603"/>
      <c r="E2272" s="604"/>
      <c r="F2272" s="607" t="s">
        <v>11</v>
      </c>
      <c r="G2272" s="608">
        <v>0</v>
      </c>
    </row>
    <row r="2273" spans="1:7" ht="11.1" customHeight="1">
      <c r="A2273" s="600" t="str">
        <f t="shared" si="175"/>
        <v>PLN;PLN FOREX;5Y</v>
      </c>
      <c r="B2273" s="600" t="str">
        <f t="shared" si="177"/>
        <v>PLN</v>
      </c>
      <c r="C2273" s="600" t="str">
        <f t="shared" si="177"/>
        <v>PLN FOREX</v>
      </c>
      <c r="D2273" s="603"/>
      <c r="E2273" s="604"/>
      <c r="F2273" s="607" t="s">
        <v>12</v>
      </c>
      <c r="G2273" s="608">
        <v>0</v>
      </c>
    </row>
    <row r="2274" spans="1:7" ht="11.1" customHeight="1">
      <c r="A2274" s="600" t="str">
        <f t="shared" si="175"/>
        <v>PLN;PLN FOREX;6Y</v>
      </c>
      <c r="B2274" s="600" t="str">
        <f t="shared" si="177"/>
        <v>PLN</v>
      </c>
      <c r="C2274" s="600" t="str">
        <f t="shared" si="177"/>
        <v>PLN FOREX</v>
      </c>
      <c r="D2274" s="603"/>
      <c r="E2274" s="604"/>
      <c r="F2274" s="607" t="s">
        <v>13</v>
      </c>
      <c r="G2274" s="608">
        <v>0</v>
      </c>
    </row>
    <row r="2275" spans="1:7" ht="11.1" customHeight="1">
      <c r="A2275" s="600" t="str">
        <f t="shared" si="175"/>
        <v>PLN;PLN FOREX;7Y</v>
      </c>
      <c r="B2275" s="600" t="str">
        <f t="shared" si="177"/>
        <v>PLN</v>
      </c>
      <c r="C2275" s="600" t="str">
        <f t="shared" si="177"/>
        <v>PLN FOREX</v>
      </c>
      <c r="D2275" s="603"/>
      <c r="E2275" s="604"/>
      <c r="F2275" s="607" t="s">
        <v>14</v>
      </c>
      <c r="G2275" s="608">
        <v>0</v>
      </c>
    </row>
    <row r="2276" spans="1:7" ht="11.1" customHeight="1">
      <c r="A2276" s="600" t="str">
        <f t="shared" si="175"/>
        <v>PLN;PLN FOREX;8Y</v>
      </c>
      <c r="B2276" s="600" t="str">
        <f t="shared" si="177"/>
        <v>PLN</v>
      </c>
      <c r="C2276" s="600" t="str">
        <f t="shared" si="177"/>
        <v>PLN FOREX</v>
      </c>
      <c r="D2276" s="603"/>
      <c r="E2276" s="604"/>
      <c r="F2276" s="607" t="s">
        <v>15</v>
      </c>
      <c r="G2276" s="608">
        <v>0</v>
      </c>
    </row>
    <row r="2277" spans="1:7" ht="11.1" customHeight="1">
      <c r="A2277" s="600" t="str">
        <f t="shared" si="175"/>
        <v>PLN;PLN FOREX;9Y</v>
      </c>
      <c r="B2277" s="600" t="str">
        <f t="shared" ref="B2277:C2292" si="178">IF(ISBLANK(D2277),B2276,D2277)</f>
        <v>PLN</v>
      </c>
      <c r="C2277" s="600" t="str">
        <f t="shared" si="178"/>
        <v>PLN FOREX</v>
      </c>
      <c r="D2277" s="603"/>
      <c r="E2277" s="604"/>
      <c r="F2277" s="607" t="s">
        <v>16</v>
      </c>
      <c r="G2277" s="608">
        <v>0</v>
      </c>
    </row>
    <row r="2278" spans="1:7" ht="11.1" customHeight="1">
      <c r="A2278" s="600" t="str">
        <f t="shared" si="175"/>
        <v>PLN;PLN FOREX;10Y</v>
      </c>
      <c r="B2278" s="600" t="str">
        <f t="shared" si="178"/>
        <v>PLN</v>
      </c>
      <c r="C2278" s="600" t="str">
        <f t="shared" si="178"/>
        <v>PLN FOREX</v>
      </c>
      <c r="D2278" s="603"/>
      <c r="E2278" s="604"/>
      <c r="F2278" s="607" t="s">
        <v>17</v>
      </c>
      <c r="G2278" s="608">
        <v>0</v>
      </c>
    </row>
    <row r="2279" spans="1:7" ht="11.1" customHeight="1">
      <c r="A2279" s="600" t="str">
        <f t="shared" si="175"/>
        <v>PLN;PLN FOREX;11Y</v>
      </c>
      <c r="B2279" s="600" t="str">
        <f t="shared" si="178"/>
        <v>PLN</v>
      </c>
      <c r="C2279" s="600" t="str">
        <f t="shared" si="178"/>
        <v>PLN FOREX</v>
      </c>
      <c r="D2279" s="603"/>
      <c r="E2279" s="604"/>
      <c r="F2279" s="607" t="s">
        <v>31</v>
      </c>
      <c r="G2279" s="608">
        <v>0</v>
      </c>
    </row>
    <row r="2280" spans="1:7" ht="11.1" customHeight="1">
      <c r="A2280" s="600" t="str">
        <f t="shared" si="175"/>
        <v>PLN;PLN FOREX;12Y</v>
      </c>
      <c r="B2280" s="600" t="str">
        <f t="shared" si="178"/>
        <v>PLN</v>
      </c>
      <c r="C2280" s="600" t="str">
        <f t="shared" si="178"/>
        <v>PLN FOREX</v>
      </c>
      <c r="D2280" s="603"/>
      <c r="E2280" s="604"/>
      <c r="F2280" s="607" t="s">
        <v>18</v>
      </c>
      <c r="G2280" s="608">
        <v>0</v>
      </c>
    </row>
    <row r="2281" spans="1:7" ht="11.1" customHeight="1">
      <c r="A2281" s="600" t="str">
        <f t="shared" si="175"/>
        <v>PLN;PLN FOREX;13Y</v>
      </c>
      <c r="B2281" s="600" t="str">
        <f t="shared" si="178"/>
        <v>PLN</v>
      </c>
      <c r="C2281" s="600" t="str">
        <f t="shared" si="178"/>
        <v>PLN FOREX</v>
      </c>
      <c r="D2281" s="603"/>
      <c r="E2281" s="604"/>
      <c r="F2281" s="607" t="s">
        <v>32</v>
      </c>
      <c r="G2281" s="608">
        <v>0</v>
      </c>
    </row>
    <row r="2282" spans="1:7" ht="11.1" customHeight="1">
      <c r="A2282" s="600" t="str">
        <f t="shared" si="175"/>
        <v>PLN;PLN FOREX;14Y</v>
      </c>
      <c r="B2282" s="600" t="str">
        <f t="shared" si="178"/>
        <v>PLN</v>
      </c>
      <c r="C2282" s="600" t="str">
        <f t="shared" si="178"/>
        <v>PLN FOREX</v>
      </c>
      <c r="D2282" s="603"/>
      <c r="E2282" s="604"/>
      <c r="F2282" s="607" t="s">
        <v>33</v>
      </c>
      <c r="G2282" s="608">
        <v>0</v>
      </c>
    </row>
    <row r="2283" spans="1:7" ht="11.1" customHeight="1">
      <c r="A2283" s="600" t="str">
        <f t="shared" si="175"/>
        <v>PLN;PLN FOREX;15Y</v>
      </c>
      <c r="B2283" s="600" t="str">
        <f t="shared" si="178"/>
        <v>PLN</v>
      </c>
      <c r="C2283" s="600" t="str">
        <f t="shared" si="178"/>
        <v>PLN FOREX</v>
      </c>
      <c r="D2283" s="603"/>
      <c r="E2283" s="604"/>
      <c r="F2283" s="607" t="s">
        <v>19</v>
      </c>
      <c r="G2283" s="608">
        <v>0</v>
      </c>
    </row>
    <row r="2284" spans="1:7" ht="11.1" customHeight="1">
      <c r="A2284" s="600" t="str">
        <f t="shared" si="175"/>
        <v>PLN;PLN FOREX;16Y</v>
      </c>
      <c r="B2284" s="600" t="str">
        <f t="shared" si="178"/>
        <v>PLN</v>
      </c>
      <c r="C2284" s="600" t="str">
        <f t="shared" si="178"/>
        <v>PLN FOREX</v>
      </c>
      <c r="D2284" s="603"/>
      <c r="E2284" s="604"/>
      <c r="F2284" s="607" t="s">
        <v>34</v>
      </c>
      <c r="G2284" s="608">
        <v>0</v>
      </c>
    </row>
    <row r="2285" spans="1:7" ht="11.1" customHeight="1">
      <c r="A2285" s="600" t="str">
        <f t="shared" si="175"/>
        <v>PLN;PLN FOREX;17Y</v>
      </c>
      <c r="B2285" s="600" t="str">
        <f t="shared" si="178"/>
        <v>PLN</v>
      </c>
      <c r="C2285" s="600" t="str">
        <f t="shared" si="178"/>
        <v>PLN FOREX</v>
      </c>
      <c r="D2285" s="603"/>
      <c r="E2285" s="604"/>
      <c r="F2285" s="607" t="s">
        <v>35</v>
      </c>
      <c r="G2285" s="608">
        <v>0</v>
      </c>
    </row>
    <row r="2286" spans="1:7" ht="11.1" customHeight="1">
      <c r="A2286" s="600" t="str">
        <f t="shared" si="175"/>
        <v>PLN;PLN FOREX;18Y</v>
      </c>
      <c r="B2286" s="600" t="str">
        <f t="shared" si="178"/>
        <v>PLN</v>
      </c>
      <c r="C2286" s="600" t="str">
        <f t="shared" si="178"/>
        <v>PLN FOREX</v>
      </c>
      <c r="D2286" s="603"/>
      <c r="E2286" s="604"/>
      <c r="F2286" s="607" t="s">
        <v>36</v>
      </c>
      <c r="G2286" s="608">
        <v>0</v>
      </c>
    </row>
    <row r="2287" spans="1:7" ht="11.1" customHeight="1">
      <c r="A2287" s="600" t="str">
        <f t="shared" si="175"/>
        <v>PLN;PLN FOREX;19Y</v>
      </c>
      <c r="B2287" s="600" t="str">
        <f t="shared" si="178"/>
        <v>PLN</v>
      </c>
      <c r="C2287" s="600" t="str">
        <f t="shared" si="178"/>
        <v>PLN FOREX</v>
      </c>
      <c r="D2287" s="603"/>
      <c r="E2287" s="604"/>
      <c r="F2287" s="607" t="s">
        <v>37</v>
      </c>
      <c r="G2287" s="608">
        <v>0</v>
      </c>
    </row>
    <row r="2288" spans="1:7" ht="11.1" customHeight="1">
      <c r="A2288" s="600" t="str">
        <f t="shared" si="175"/>
        <v>PLN;PLN FOREX;20Y</v>
      </c>
      <c r="B2288" s="600" t="str">
        <f t="shared" si="178"/>
        <v>PLN</v>
      </c>
      <c r="C2288" s="600" t="str">
        <f t="shared" si="178"/>
        <v>PLN FOREX</v>
      </c>
      <c r="D2288" s="603"/>
      <c r="E2288" s="604"/>
      <c r="F2288" s="607" t="s">
        <v>20</v>
      </c>
      <c r="G2288" s="608">
        <v>0</v>
      </c>
    </row>
    <row r="2289" spans="1:7" ht="11.1" customHeight="1">
      <c r="A2289" s="600" t="str">
        <f t="shared" si="175"/>
        <v>PLN;PLN FOREX;21Y</v>
      </c>
      <c r="B2289" s="600" t="str">
        <f t="shared" si="178"/>
        <v>PLN</v>
      </c>
      <c r="C2289" s="600" t="str">
        <f t="shared" si="178"/>
        <v>PLN FOREX</v>
      </c>
      <c r="D2289" s="603"/>
      <c r="E2289" s="604"/>
      <c r="F2289" s="607" t="s">
        <v>38</v>
      </c>
      <c r="G2289" s="608">
        <v>0</v>
      </c>
    </row>
    <row r="2290" spans="1:7" ht="11.1" customHeight="1">
      <c r="A2290" s="600" t="str">
        <f t="shared" si="175"/>
        <v>PLN;PLN FOREX;22Y</v>
      </c>
      <c r="B2290" s="600" t="str">
        <f t="shared" si="178"/>
        <v>PLN</v>
      </c>
      <c r="C2290" s="600" t="str">
        <f t="shared" si="178"/>
        <v>PLN FOREX</v>
      </c>
      <c r="D2290" s="603"/>
      <c r="E2290" s="604"/>
      <c r="F2290" s="607" t="s">
        <v>39</v>
      </c>
      <c r="G2290" s="608">
        <v>0</v>
      </c>
    </row>
    <row r="2291" spans="1:7" ht="11.1" customHeight="1">
      <c r="A2291" s="600" t="str">
        <f t="shared" si="175"/>
        <v>PLN;PLN FOREX;23Y</v>
      </c>
      <c r="B2291" s="600" t="str">
        <f t="shared" si="178"/>
        <v>PLN</v>
      </c>
      <c r="C2291" s="600" t="str">
        <f t="shared" si="178"/>
        <v>PLN FOREX</v>
      </c>
      <c r="D2291" s="603"/>
      <c r="E2291" s="604"/>
      <c r="F2291" s="607" t="s">
        <v>40</v>
      </c>
      <c r="G2291" s="608">
        <v>0</v>
      </c>
    </row>
    <row r="2292" spans="1:7" ht="11.1" customHeight="1">
      <c r="A2292" s="600" t="str">
        <f t="shared" si="175"/>
        <v>PLN;PLN FOREX;24Y</v>
      </c>
      <c r="B2292" s="600" t="str">
        <f t="shared" si="178"/>
        <v>PLN</v>
      </c>
      <c r="C2292" s="600" t="str">
        <f t="shared" si="178"/>
        <v>PLN FOREX</v>
      </c>
      <c r="D2292" s="603"/>
      <c r="E2292" s="604"/>
      <c r="F2292" s="607" t="s">
        <v>41</v>
      </c>
      <c r="G2292" s="608">
        <v>0</v>
      </c>
    </row>
    <row r="2293" spans="1:7" ht="11.1" customHeight="1">
      <c r="A2293" s="600" t="str">
        <f t="shared" si="175"/>
        <v>PLN;PLN FOREX;25Y</v>
      </c>
      <c r="B2293" s="600" t="str">
        <f t="shared" ref="B2293:C2308" si="179">IF(ISBLANK(D2293),B2292,D2293)</f>
        <v>PLN</v>
      </c>
      <c r="C2293" s="600" t="str">
        <f t="shared" si="179"/>
        <v>PLN FOREX</v>
      </c>
      <c r="D2293" s="603"/>
      <c r="E2293" s="604"/>
      <c r="F2293" s="607" t="s">
        <v>21</v>
      </c>
      <c r="G2293" s="608">
        <v>0</v>
      </c>
    </row>
    <row r="2294" spans="1:7" ht="11.1" customHeight="1">
      <c r="A2294" s="600" t="str">
        <f t="shared" si="175"/>
        <v>PLN;PLN FOREX;26Y</v>
      </c>
      <c r="B2294" s="600" t="str">
        <f t="shared" si="179"/>
        <v>PLN</v>
      </c>
      <c r="C2294" s="600" t="str">
        <f t="shared" si="179"/>
        <v>PLN FOREX</v>
      </c>
      <c r="D2294" s="603"/>
      <c r="E2294" s="604"/>
      <c r="F2294" s="607" t="s">
        <v>42</v>
      </c>
      <c r="G2294" s="608">
        <v>0</v>
      </c>
    </row>
    <row r="2295" spans="1:7" ht="11.1" customHeight="1">
      <c r="A2295" s="600" t="str">
        <f t="shared" si="175"/>
        <v>PLN;PLN FOREX;27Y</v>
      </c>
      <c r="B2295" s="600" t="str">
        <f t="shared" si="179"/>
        <v>PLN</v>
      </c>
      <c r="C2295" s="600" t="str">
        <f t="shared" si="179"/>
        <v>PLN FOREX</v>
      </c>
      <c r="D2295" s="603"/>
      <c r="E2295" s="604"/>
      <c r="F2295" s="607" t="s">
        <v>43</v>
      </c>
      <c r="G2295" s="608">
        <v>0</v>
      </c>
    </row>
    <row r="2296" spans="1:7" ht="11.1" customHeight="1">
      <c r="A2296" s="600" t="str">
        <f t="shared" si="175"/>
        <v>PLN;PLN FOREX;28Y</v>
      </c>
      <c r="B2296" s="600" t="str">
        <f t="shared" si="179"/>
        <v>PLN</v>
      </c>
      <c r="C2296" s="600" t="str">
        <f t="shared" si="179"/>
        <v>PLN FOREX</v>
      </c>
      <c r="D2296" s="603"/>
      <c r="E2296" s="604"/>
      <c r="F2296" s="607" t="s">
        <v>44</v>
      </c>
      <c r="G2296" s="608">
        <v>0</v>
      </c>
    </row>
    <row r="2297" spans="1:7" ht="11.1" customHeight="1">
      <c r="A2297" s="600" t="str">
        <f t="shared" si="175"/>
        <v>PLN;PLN FOREX;29Y</v>
      </c>
      <c r="B2297" s="600" t="str">
        <f t="shared" si="179"/>
        <v>PLN</v>
      </c>
      <c r="C2297" s="600" t="str">
        <f t="shared" si="179"/>
        <v>PLN FOREX</v>
      </c>
      <c r="D2297" s="603"/>
      <c r="E2297" s="604"/>
      <c r="F2297" s="607" t="s">
        <v>45</v>
      </c>
      <c r="G2297" s="608">
        <v>0</v>
      </c>
    </row>
    <row r="2298" spans="1:7" ht="11.1" customHeight="1">
      <c r="A2298" s="600" t="str">
        <f t="shared" si="175"/>
        <v>PLN;PLN FOREX;30Y</v>
      </c>
      <c r="B2298" s="600" t="str">
        <f t="shared" si="179"/>
        <v>PLN</v>
      </c>
      <c r="C2298" s="600" t="str">
        <f t="shared" si="179"/>
        <v>PLN FOREX</v>
      </c>
      <c r="D2298" s="603"/>
      <c r="E2298" s="604"/>
      <c r="F2298" s="607" t="s">
        <v>22</v>
      </c>
      <c r="G2298" s="608">
        <v>0</v>
      </c>
    </row>
    <row r="2299" spans="1:7" ht="11.1" customHeight="1">
      <c r="A2299" s="600" t="str">
        <f t="shared" si="175"/>
        <v>PLN;PLN OIS;Total PLN OIS</v>
      </c>
      <c r="B2299" s="600" t="str">
        <f t="shared" si="179"/>
        <v>PLN</v>
      </c>
      <c r="C2299" s="600" t="str">
        <f t="shared" si="179"/>
        <v>PLN OIS</v>
      </c>
      <c r="D2299" s="603"/>
      <c r="E2299" s="604" t="s">
        <v>3902</v>
      </c>
      <c r="F2299" s="605" t="s">
        <v>3903</v>
      </c>
      <c r="G2299" s="611">
        <v>8.6548979712460703</v>
      </c>
    </row>
    <row r="2300" spans="1:7" ht="11.1" customHeight="1">
      <c r="A2300" s="600" t="str">
        <f t="shared" si="175"/>
        <v>PLN;PLN OIS;1W</v>
      </c>
      <c r="B2300" s="600" t="str">
        <f t="shared" si="179"/>
        <v>PLN</v>
      </c>
      <c r="C2300" s="600" t="str">
        <f t="shared" si="179"/>
        <v>PLN OIS</v>
      </c>
      <c r="D2300" s="603"/>
      <c r="E2300" s="604"/>
      <c r="F2300" s="607" t="s">
        <v>5</v>
      </c>
      <c r="G2300" s="606">
        <v>-17.423874814124201</v>
      </c>
    </row>
    <row r="2301" spans="1:7" ht="11.1" customHeight="1">
      <c r="A2301" s="600" t="str">
        <f t="shared" si="175"/>
        <v>PLN;PLN OIS;2W</v>
      </c>
      <c r="B2301" s="600" t="str">
        <f t="shared" si="179"/>
        <v>PLN</v>
      </c>
      <c r="C2301" s="600" t="str">
        <f t="shared" si="179"/>
        <v>PLN OIS</v>
      </c>
      <c r="D2301" s="603"/>
      <c r="E2301" s="604"/>
      <c r="F2301" s="607" t="s">
        <v>6</v>
      </c>
      <c r="G2301" s="611">
        <v>0.153852199195947</v>
      </c>
    </row>
    <row r="2302" spans="1:7" ht="11.1" customHeight="1">
      <c r="A2302" s="600" t="str">
        <f t="shared" si="175"/>
        <v>PLN;PLN OIS;3W</v>
      </c>
      <c r="B2302" s="600" t="str">
        <f t="shared" si="179"/>
        <v>PLN</v>
      </c>
      <c r="C2302" s="600" t="str">
        <f t="shared" si="179"/>
        <v>PLN OIS</v>
      </c>
      <c r="D2302" s="603"/>
      <c r="E2302" s="604"/>
      <c r="F2302" s="607" t="s">
        <v>24</v>
      </c>
      <c r="G2302" s="606">
        <v>-0.298821049258988</v>
      </c>
    </row>
    <row r="2303" spans="1:7" ht="11.1" customHeight="1">
      <c r="A2303" s="600" t="str">
        <f t="shared" si="175"/>
        <v>PLN;PLN OIS;1M</v>
      </c>
      <c r="B2303" s="600" t="str">
        <f t="shared" si="179"/>
        <v>PLN</v>
      </c>
      <c r="C2303" s="600" t="str">
        <f t="shared" si="179"/>
        <v>PLN OIS</v>
      </c>
      <c r="D2303" s="603"/>
      <c r="E2303" s="604"/>
      <c r="F2303" s="607" t="s">
        <v>7</v>
      </c>
      <c r="G2303" s="606">
        <v>-354.50205788745001</v>
      </c>
    </row>
    <row r="2304" spans="1:7" ht="11.1" customHeight="1">
      <c r="A2304" s="600" t="str">
        <f t="shared" si="175"/>
        <v>PLN;PLN OIS;2M</v>
      </c>
      <c r="B2304" s="600" t="str">
        <f t="shared" si="179"/>
        <v>PLN</v>
      </c>
      <c r="C2304" s="600" t="str">
        <f t="shared" si="179"/>
        <v>PLN OIS</v>
      </c>
      <c r="D2304" s="603"/>
      <c r="E2304" s="604"/>
      <c r="F2304" s="607" t="s">
        <v>8</v>
      </c>
      <c r="G2304" s="611">
        <v>545.23008326453305</v>
      </c>
    </row>
    <row r="2305" spans="1:7" ht="11.1" customHeight="1">
      <c r="A2305" s="600" t="str">
        <f t="shared" si="175"/>
        <v>PLN;PLN OIS;3M</v>
      </c>
      <c r="B2305" s="600" t="str">
        <f t="shared" si="179"/>
        <v>PLN</v>
      </c>
      <c r="C2305" s="600" t="str">
        <f t="shared" si="179"/>
        <v>PLN OIS</v>
      </c>
      <c r="D2305" s="603"/>
      <c r="E2305" s="604"/>
      <c r="F2305" s="607" t="s">
        <v>25</v>
      </c>
      <c r="G2305" s="606">
        <v>-111.44304754149501</v>
      </c>
    </row>
    <row r="2306" spans="1:7" ht="11.1" customHeight="1">
      <c r="A2306" s="600" t="str">
        <f t="shared" si="175"/>
        <v>PLN;PLN OIS;6M</v>
      </c>
      <c r="B2306" s="600" t="str">
        <f t="shared" si="179"/>
        <v>PLN</v>
      </c>
      <c r="C2306" s="600" t="str">
        <f t="shared" si="179"/>
        <v>PLN OIS</v>
      </c>
      <c r="D2306" s="603"/>
      <c r="E2306" s="604"/>
      <c r="F2306" s="607" t="s">
        <v>28</v>
      </c>
      <c r="G2306" s="606">
        <v>-61.428545724522998</v>
      </c>
    </row>
    <row r="2307" spans="1:7" ht="11.1" customHeight="1">
      <c r="A2307" s="600" t="str">
        <f t="shared" si="175"/>
        <v>PLN;PLN OIS;9M</v>
      </c>
      <c r="B2307" s="600" t="str">
        <f t="shared" si="179"/>
        <v>PLN</v>
      </c>
      <c r="C2307" s="600" t="str">
        <f t="shared" si="179"/>
        <v>PLN OIS</v>
      </c>
      <c r="D2307" s="603"/>
      <c r="E2307" s="604"/>
      <c r="F2307" s="607" t="s">
        <v>49</v>
      </c>
      <c r="G2307" s="611">
        <v>628.64539162319397</v>
      </c>
    </row>
    <row r="2308" spans="1:7" ht="11.1" customHeight="1">
      <c r="A2308" s="600" t="str">
        <f t="shared" si="175"/>
        <v>PLN;PLN OIS;1Y</v>
      </c>
      <c r="B2308" s="600" t="str">
        <f t="shared" si="179"/>
        <v>PLN</v>
      </c>
      <c r="C2308" s="600" t="str">
        <f t="shared" si="179"/>
        <v>PLN OIS</v>
      </c>
      <c r="D2308" s="603"/>
      <c r="E2308" s="604"/>
      <c r="F2308" s="607" t="s">
        <v>56</v>
      </c>
      <c r="G2308" s="606">
        <v>-904.28614229249899</v>
      </c>
    </row>
    <row r="2309" spans="1:7" ht="11.1" customHeight="1">
      <c r="A2309" s="600" t="str">
        <f t="shared" ref="A2309:A2372" si="180">B2309&amp;";"&amp;C2309&amp;";"&amp;F2309</f>
        <v>PLN;PLN OIS;2Y</v>
      </c>
      <c r="B2309" s="600" t="str">
        <f t="shared" ref="B2309:C2324" si="181">IF(ISBLANK(D2309),B2308,D2309)</f>
        <v>PLN</v>
      </c>
      <c r="C2309" s="600" t="str">
        <f t="shared" si="181"/>
        <v>PLN OIS</v>
      </c>
      <c r="D2309" s="603"/>
      <c r="E2309" s="604"/>
      <c r="F2309" s="607" t="s">
        <v>9</v>
      </c>
      <c r="G2309" s="611">
        <v>261.82721734258098</v>
      </c>
    </row>
    <row r="2310" spans="1:7" ht="11.1" customHeight="1">
      <c r="A2310" s="600" t="str">
        <f t="shared" si="180"/>
        <v>PLN;PLN OIS;3Y</v>
      </c>
      <c r="B2310" s="600" t="str">
        <f t="shared" si="181"/>
        <v>PLN</v>
      </c>
      <c r="C2310" s="600" t="str">
        <f t="shared" si="181"/>
        <v>PLN OIS</v>
      </c>
      <c r="D2310" s="603"/>
      <c r="E2310" s="604"/>
      <c r="F2310" s="607" t="s">
        <v>10</v>
      </c>
      <c r="G2310" s="611">
        <v>186.727818363713</v>
      </c>
    </row>
    <row r="2311" spans="1:7" ht="11.1" customHeight="1">
      <c r="A2311" s="600" t="str">
        <f t="shared" si="180"/>
        <v>PLN;PLN OIS;4Y</v>
      </c>
      <c r="B2311" s="600" t="str">
        <f t="shared" si="181"/>
        <v>PLN</v>
      </c>
      <c r="C2311" s="600" t="str">
        <f t="shared" si="181"/>
        <v>PLN OIS</v>
      </c>
      <c r="D2311" s="603"/>
      <c r="E2311" s="604"/>
      <c r="F2311" s="607" t="s">
        <v>11</v>
      </c>
      <c r="G2311" s="606">
        <v>-164.64627044472499</v>
      </c>
    </row>
    <row r="2312" spans="1:7" ht="11.1" customHeight="1">
      <c r="A2312" s="600" t="str">
        <f t="shared" si="180"/>
        <v>PLN;PLN OIS;5Y</v>
      </c>
      <c r="B2312" s="600" t="str">
        <f t="shared" si="181"/>
        <v>PLN</v>
      </c>
      <c r="C2312" s="600" t="str">
        <f t="shared" si="181"/>
        <v>PLN OIS</v>
      </c>
      <c r="D2312" s="603"/>
      <c r="E2312" s="604"/>
      <c r="F2312" s="607" t="s">
        <v>12</v>
      </c>
      <c r="G2312" s="611">
        <v>9.90012220983955E-2</v>
      </c>
    </row>
    <row r="2313" spans="1:7" ht="11.1" customHeight="1">
      <c r="A2313" s="600" t="str">
        <f t="shared" si="180"/>
        <v>PLN;PLN OIS;6Y</v>
      </c>
      <c r="B2313" s="600" t="str">
        <f t="shared" si="181"/>
        <v>PLN</v>
      </c>
      <c r="C2313" s="600" t="str">
        <f t="shared" si="181"/>
        <v>PLN OIS</v>
      </c>
      <c r="D2313" s="603"/>
      <c r="E2313" s="604"/>
      <c r="F2313" s="607" t="s">
        <v>13</v>
      </c>
      <c r="G2313" s="611">
        <v>2.9417712113872602E-4</v>
      </c>
    </row>
    <row r="2314" spans="1:7" ht="11.1" customHeight="1">
      <c r="A2314" s="600" t="str">
        <f t="shared" si="180"/>
        <v>PLN;PLN OIS;7Y</v>
      </c>
      <c r="B2314" s="600" t="str">
        <f t="shared" si="181"/>
        <v>PLN</v>
      </c>
      <c r="C2314" s="600" t="str">
        <f t="shared" si="181"/>
        <v>PLN OIS</v>
      </c>
      <c r="D2314" s="603"/>
      <c r="E2314" s="604"/>
      <c r="F2314" s="607" t="s">
        <v>14</v>
      </c>
      <c r="G2314" s="606">
        <v>-4.6710335749836702E-7</v>
      </c>
    </row>
    <row r="2315" spans="1:7" ht="11.1" customHeight="1">
      <c r="A2315" s="600" t="str">
        <f t="shared" si="180"/>
        <v>PLN;PLN OIS;8Y</v>
      </c>
      <c r="B2315" s="600" t="str">
        <f t="shared" si="181"/>
        <v>PLN</v>
      </c>
      <c r="C2315" s="600" t="str">
        <f t="shared" si="181"/>
        <v>PLN OIS</v>
      </c>
      <c r="D2315" s="603"/>
      <c r="E2315" s="604"/>
      <c r="F2315" s="607" t="s">
        <v>15</v>
      </c>
      <c r="G2315" s="608">
        <v>0</v>
      </c>
    </row>
    <row r="2316" spans="1:7" ht="11.1" customHeight="1">
      <c r="A2316" s="600" t="str">
        <f t="shared" si="180"/>
        <v>PLN;PLN OIS;9Y</v>
      </c>
      <c r="B2316" s="600" t="str">
        <f t="shared" si="181"/>
        <v>PLN</v>
      </c>
      <c r="C2316" s="600" t="str">
        <f t="shared" si="181"/>
        <v>PLN OIS</v>
      </c>
      <c r="D2316" s="603"/>
      <c r="E2316" s="604"/>
      <c r="F2316" s="607" t="s">
        <v>16</v>
      </c>
      <c r="G2316" s="608">
        <v>0</v>
      </c>
    </row>
    <row r="2317" spans="1:7" ht="11.1" customHeight="1">
      <c r="A2317" s="600" t="str">
        <f t="shared" si="180"/>
        <v>PLN;PLN OIS;10Y</v>
      </c>
      <c r="B2317" s="600" t="str">
        <f t="shared" si="181"/>
        <v>PLN</v>
      </c>
      <c r="C2317" s="600" t="str">
        <f t="shared" si="181"/>
        <v>PLN OIS</v>
      </c>
      <c r="D2317" s="603"/>
      <c r="E2317" s="604"/>
      <c r="F2317" s="607" t="s">
        <v>17</v>
      </c>
      <c r="G2317" s="608">
        <v>0</v>
      </c>
    </row>
    <row r="2318" spans="1:7" ht="11.1" customHeight="1">
      <c r="A2318" s="600" t="str">
        <f t="shared" si="180"/>
        <v>RON;Total RON;</v>
      </c>
      <c r="B2318" s="600" t="str">
        <f t="shared" si="181"/>
        <v>RON</v>
      </c>
      <c r="C2318" s="600" t="str">
        <f t="shared" si="181"/>
        <v>Total RON</v>
      </c>
      <c r="D2318" s="603" t="s">
        <v>1326</v>
      </c>
      <c r="E2318" s="609" t="s">
        <v>1327</v>
      </c>
      <c r="F2318" s="609"/>
      <c r="G2318" s="612">
        <v>-1.7792987219826999</v>
      </c>
    </row>
    <row r="2319" spans="1:7" ht="11.1" customHeight="1">
      <c r="A2319" s="600" t="str">
        <f t="shared" si="180"/>
        <v>RON;RON :Std;Total RON :Std</v>
      </c>
      <c r="B2319" s="600" t="str">
        <f t="shared" si="181"/>
        <v>RON</v>
      </c>
      <c r="C2319" s="600" t="str">
        <f t="shared" si="181"/>
        <v>RON :Std</v>
      </c>
      <c r="D2319" s="603"/>
      <c r="E2319" s="604" t="s">
        <v>3904</v>
      </c>
      <c r="F2319" s="605" t="s">
        <v>3905</v>
      </c>
      <c r="G2319" s="606">
        <v>-2.4546475962949899E-12</v>
      </c>
    </row>
    <row r="2320" spans="1:7" ht="11.1" customHeight="1">
      <c r="A2320" s="600" t="str">
        <f t="shared" si="180"/>
        <v>RON;RON :Std;O/N</v>
      </c>
      <c r="B2320" s="600" t="str">
        <f t="shared" si="181"/>
        <v>RON</v>
      </c>
      <c r="C2320" s="600" t="str">
        <f t="shared" si="181"/>
        <v>RON :Std</v>
      </c>
      <c r="D2320" s="603"/>
      <c r="E2320" s="604"/>
      <c r="F2320" s="607" t="s">
        <v>3</v>
      </c>
      <c r="G2320" s="606">
        <v>-1.75137682134618E-14</v>
      </c>
    </row>
    <row r="2321" spans="1:7" ht="11.1" customHeight="1">
      <c r="A2321" s="600" t="str">
        <f t="shared" si="180"/>
        <v>RON;RON :Std;T/N</v>
      </c>
      <c r="B2321" s="600" t="str">
        <f t="shared" si="181"/>
        <v>RON</v>
      </c>
      <c r="C2321" s="600" t="str">
        <f t="shared" si="181"/>
        <v>RON :Std</v>
      </c>
      <c r="D2321" s="603"/>
      <c r="E2321" s="604"/>
      <c r="F2321" s="607" t="s">
        <v>4</v>
      </c>
      <c r="G2321" s="611">
        <v>2.4147350785597198E-15</v>
      </c>
    </row>
    <row r="2322" spans="1:7" ht="11.1" customHeight="1">
      <c r="A2322" s="600" t="str">
        <f t="shared" si="180"/>
        <v>RON;RON :Std;1W</v>
      </c>
      <c r="B2322" s="600" t="str">
        <f t="shared" si="181"/>
        <v>RON</v>
      </c>
      <c r="C2322" s="600" t="str">
        <f t="shared" si="181"/>
        <v>RON :Std</v>
      </c>
      <c r="D2322" s="603"/>
      <c r="E2322" s="604"/>
      <c r="F2322" s="607" t="s">
        <v>5</v>
      </c>
      <c r="G2322" s="606">
        <v>-4.4408920985006301E-15</v>
      </c>
    </row>
    <row r="2323" spans="1:7" ht="11.1" customHeight="1">
      <c r="A2323" s="600" t="str">
        <f t="shared" si="180"/>
        <v>RON;RON :Std;1M</v>
      </c>
      <c r="B2323" s="600" t="str">
        <f t="shared" si="181"/>
        <v>RON</v>
      </c>
      <c r="C2323" s="600" t="str">
        <f t="shared" si="181"/>
        <v>RON :Std</v>
      </c>
      <c r="D2323" s="603"/>
      <c r="E2323" s="604"/>
      <c r="F2323" s="607" t="s">
        <v>7</v>
      </c>
      <c r="G2323" s="608">
        <v>0</v>
      </c>
    </row>
    <row r="2324" spans="1:7" ht="11.1" customHeight="1">
      <c r="A2324" s="600" t="str">
        <f t="shared" si="180"/>
        <v>RON;RON :Std;3M</v>
      </c>
      <c r="B2324" s="600" t="str">
        <f t="shared" si="181"/>
        <v>RON</v>
      </c>
      <c r="C2324" s="600" t="str">
        <f t="shared" si="181"/>
        <v>RON :Std</v>
      </c>
      <c r="D2324" s="603"/>
      <c r="E2324" s="604"/>
      <c r="F2324" s="607" t="s">
        <v>25</v>
      </c>
      <c r="G2324" s="611">
        <v>1.4210854715202001E-14</v>
      </c>
    </row>
    <row r="2325" spans="1:7" ht="11.1" customHeight="1">
      <c r="A2325" s="600" t="str">
        <f t="shared" si="180"/>
        <v>RON;RON :Std;6M</v>
      </c>
      <c r="B2325" s="600" t="str">
        <f t="shared" ref="B2325:C2340" si="182">IF(ISBLANK(D2325),B2324,D2325)</f>
        <v>RON</v>
      </c>
      <c r="C2325" s="600" t="str">
        <f t="shared" si="182"/>
        <v>RON :Std</v>
      </c>
      <c r="D2325" s="603"/>
      <c r="E2325" s="604"/>
      <c r="F2325" s="607" t="s">
        <v>28</v>
      </c>
      <c r="G2325" s="611">
        <v>0</v>
      </c>
    </row>
    <row r="2326" spans="1:7" ht="11.1" customHeight="1">
      <c r="A2326" s="600" t="str">
        <f t="shared" si="180"/>
        <v>RON;RON :Std;9M</v>
      </c>
      <c r="B2326" s="600" t="str">
        <f t="shared" si="182"/>
        <v>RON</v>
      </c>
      <c r="C2326" s="600" t="str">
        <f t="shared" si="182"/>
        <v>RON :Std</v>
      </c>
      <c r="D2326" s="603"/>
      <c r="E2326" s="604"/>
      <c r="F2326" s="607" t="s">
        <v>49</v>
      </c>
      <c r="G2326" s="606">
        <v>-2.2737367544323201E-13</v>
      </c>
    </row>
    <row r="2327" spans="1:7" ht="11.1" customHeight="1">
      <c r="A2327" s="600" t="str">
        <f t="shared" si="180"/>
        <v>RON;RON :Std;1Y</v>
      </c>
      <c r="B2327" s="600" t="str">
        <f t="shared" si="182"/>
        <v>RON</v>
      </c>
      <c r="C2327" s="600" t="str">
        <f t="shared" si="182"/>
        <v>RON :Std</v>
      </c>
      <c r="D2327" s="603"/>
      <c r="E2327" s="604"/>
      <c r="F2327" s="607" t="s">
        <v>56</v>
      </c>
      <c r="G2327" s="606">
        <v>-1.8474111129762601E-12</v>
      </c>
    </row>
    <row r="2328" spans="1:7" ht="11.1" customHeight="1">
      <c r="A2328" s="600" t="str">
        <f t="shared" si="180"/>
        <v>RON;RON :Std;2Y</v>
      </c>
      <c r="B2328" s="600" t="str">
        <f t="shared" si="182"/>
        <v>RON</v>
      </c>
      <c r="C2328" s="600" t="str">
        <f t="shared" si="182"/>
        <v>RON :Std</v>
      </c>
      <c r="D2328" s="603"/>
      <c r="E2328" s="604"/>
      <c r="F2328" s="607" t="s">
        <v>9</v>
      </c>
      <c r="G2328" s="606">
        <v>-6.2549965207381299E-13</v>
      </c>
    </row>
    <row r="2329" spans="1:7" ht="11.1" customHeight="1">
      <c r="A2329" s="600" t="str">
        <f t="shared" si="180"/>
        <v>RON;RON :Std;3Y</v>
      </c>
      <c r="B2329" s="600" t="str">
        <f t="shared" si="182"/>
        <v>RON</v>
      </c>
      <c r="C2329" s="600" t="str">
        <f t="shared" si="182"/>
        <v>RON :Std</v>
      </c>
      <c r="D2329" s="603"/>
      <c r="E2329" s="604"/>
      <c r="F2329" s="607" t="s">
        <v>10</v>
      </c>
      <c r="G2329" s="606">
        <v>-2.9864999362416698E-14</v>
      </c>
    </row>
    <row r="2330" spans="1:7" ht="11.1" customHeight="1">
      <c r="A2330" s="600" t="str">
        <f t="shared" si="180"/>
        <v>RON;RON :Std;4Y</v>
      </c>
      <c r="B2330" s="600" t="str">
        <f t="shared" si="182"/>
        <v>RON</v>
      </c>
      <c r="C2330" s="600" t="str">
        <f t="shared" si="182"/>
        <v>RON :Std</v>
      </c>
      <c r="D2330" s="603"/>
      <c r="E2330" s="604"/>
      <c r="F2330" s="607" t="s">
        <v>11</v>
      </c>
      <c r="G2330" s="611">
        <v>0</v>
      </c>
    </row>
    <row r="2331" spans="1:7" ht="11.1" customHeight="1">
      <c r="A2331" s="600" t="str">
        <f t="shared" si="180"/>
        <v>RON;RON :Std;5Y</v>
      </c>
      <c r="B2331" s="600" t="str">
        <f t="shared" si="182"/>
        <v>RON</v>
      </c>
      <c r="C2331" s="600" t="str">
        <f t="shared" si="182"/>
        <v>RON :Std</v>
      </c>
      <c r="D2331" s="603"/>
      <c r="E2331" s="604"/>
      <c r="F2331" s="607" t="s">
        <v>12</v>
      </c>
      <c r="G2331" s="611">
        <v>0</v>
      </c>
    </row>
    <row r="2332" spans="1:7" ht="11.1" customHeight="1">
      <c r="A2332" s="600" t="str">
        <f t="shared" si="180"/>
        <v>RON;RON :Std;6Y</v>
      </c>
      <c r="B2332" s="600" t="str">
        <f t="shared" si="182"/>
        <v>RON</v>
      </c>
      <c r="C2332" s="600" t="str">
        <f t="shared" si="182"/>
        <v>RON :Std</v>
      </c>
      <c r="D2332" s="603"/>
      <c r="E2332" s="604"/>
      <c r="F2332" s="607" t="s">
        <v>13</v>
      </c>
      <c r="G2332" s="611">
        <v>0</v>
      </c>
    </row>
    <row r="2333" spans="1:7" ht="11.1" customHeight="1">
      <c r="A2333" s="600" t="str">
        <f t="shared" si="180"/>
        <v>RON;RON :Std;7Y</v>
      </c>
      <c r="B2333" s="600" t="str">
        <f t="shared" si="182"/>
        <v>RON</v>
      </c>
      <c r="C2333" s="600" t="str">
        <f t="shared" si="182"/>
        <v>RON :Std</v>
      </c>
      <c r="D2333" s="603"/>
      <c r="E2333" s="604"/>
      <c r="F2333" s="607" t="s">
        <v>14</v>
      </c>
      <c r="G2333" s="608">
        <v>0</v>
      </c>
    </row>
    <row r="2334" spans="1:7" ht="11.1" customHeight="1">
      <c r="A2334" s="600" t="str">
        <f t="shared" si="180"/>
        <v>RON;RON :Std;8Y</v>
      </c>
      <c r="B2334" s="600" t="str">
        <f t="shared" si="182"/>
        <v>RON</v>
      </c>
      <c r="C2334" s="600" t="str">
        <f t="shared" si="182"/>
        <v>RON :Std</v>
      </c>
      <c r="D2334" s="603"/>
      <c r="E2334" s="604"/>
      <c r="F2334" s="607" t="s">
        <v>15</v>
      </c>
      <c r="G2334" s="608">
        <v>0</v>
      </c>
    </row>
    <row r="2335" spans="1:7" ht="11.1" customHeight="1">
      <c r="A2335" s="600" t="str">
        <f t="shared" si="180"/>
        <v>RON;RON :Std;9Y</v>
      </c>
      <c r="B2335" s="600" t="str">
        <f t="shared" si="182"/>
        <v>RON</v>
      </c>
      <c r="C2335" s="600" t="str">
        <f t="shared" si="182"/>
        <v>RON :Std</v>
      </c>
      <c r="D2335" s="603"/>
      <c r="E2335" s="604"/>
      <c r="F2335" s="607" t="s">
        <v>16</v>
      </c>
      <c r="G2335" s="608">
        <v>0</v>
      </c>
    </row>
    <row r="2336" spans="1:7" ht="11.1" customHeight="1">
      <c r="A2336" s="600" t="str">
        <f t="shared" si="180"/>
        <v>RON;RON :Std;10Y</v>
      </c>
      <c r="B2336" s="600" t="str">
        <f t="shared" si="182"/>
        <v>RON</v>
      </c>
      <c r="C2336" s="600" t="str">
        <f t="shared" si="182"/>
        <v>RON :Std</v>
      </c>
      <c r="D2336" s="603"/>
      <c r="E2336" s="604"/>
      <c r="F2336" s="607" t="s">
        <v>17</v>
      </c>
      <c r="G2336" s="608">
        <v>0</v>
      </c>
    </row>
    <row r="2337" spans="1:7" ht="11.1" customHeight="1">
      <c r="A2337" s="600" t="str">
        <f t="shared" si="180"/>
        <v>RON;RON :Std;12Y</v>
      </c>
      <c r="B2337" s="600" t="str">
        <f t="shared" si="182"/>
        <v>RON</v>
      </c>
      <c r="C2337" s="600" t="str">
        <f t="shared" si="182"/>
        <v>RON :Std</v>
      </c>
      <c r="D2337" s="603"/>
      <c r="E2337" s="604"/>
      <c r="F2337" s="607" t="s">
        <v>18</v>
      </c>
      <c r="G2337" s="608">
        <v>0</v>
      </c>
    </row>
    <row r="2338" spans="1:7" ht="11.1" customHeight="1">
      <c r="A2338" s="600" t="str">
        <f t="shared" si="180"/>
        <v>RON;RON :Std;15Y</v>
      </c>
      <c r="B2338" s="600" t="str">
        <f t="shared" si="182"/>
        <v>RON</v>
      </c>
      <c r="C2338" s="600" t="str">
        <f t="shared" si="182"/>
        <v>RON :Std</v>
      </c>
      <c r="D2338" s="603"/>
      <c r="E2338" s="604"/>
      <c r="F2338" s="607" t="s">
        <v>19</v>
      </c>
      <c r="G2338" s="608">
        <v>0</v>
      </c>
    </row>
    <row r="2339" spans="1:7" ht="11.1" customHeight="1">
      <c r="A2339" s="600" t="str">
        <f t="shared" si="180"/>
        <v>RON;RON :Std;20Y</v>
      </c>
      <c r="B2339" s="600" t="str">
        <f t="shared" si="182"/>
        <v>RON</v>
      </c>
      <c r="C2339" s="600" t="str">
        <f t="shared" si="182"/>
        <v>RON :Std</v>
      </c>
      <c r="D2339" s="603"/>
      <c r="E2339" s="604"/>
      <c r="F2339" s="607" t="s">
        <v>20</v>
      </c>
      <c r="G2339" s="608">
        <v>0</v>
      </c>
    </row>
    <row r="2340" spans="1:7" ht="11.1" customHeight="1">
      <c r="A2340" s="600" t="str">
        <f t="shared" si="180"/>
        <v>RON;RON FOREX;Total RON FOREX</v>
      </c>
      <c r="B2340" s="600" t="str">
        <f t="shared" si="182"/>
        <v>RON</v>
      </c>
      <c r="C2340" s="600" t="str">
        <f t="shared" si="182"/>
        <v>RON FOREX</v>
      </c>
      <c r="D2340" s="603"/>
      <c r="E2340" s="604" t="s">
        <v>1328</v>
      </c>
      <c r="F2340" s="605" t="s">
        <v>1329</v>
      </c>
      <c r="G2340" s="606">
        <v>-1.7792987219793901</v>
      </c>
    </row>
    <row r="2341" spans="1:7" ht="11.1" customHeight="1">
      <c r="A2341" s="600" t="str">
        <f t="shared" si="180"/>
        <v>RON;RON FOREX;O/N</v>
      </c>
      <c r="B2341" s="600" t="str">
        <f t="shared" ref="B2341:C2356" si="183">IF(ISBLANK(D2341),B2340,D2341)</f>
        <v>RON</v>
      </c>
      <c r="C2341" s="600" t="str">
        <f t="shared" si="183"/>
        <v>RON FOREX</v>
      </c>
      <c r="D2341" s="603"/>
      <c r="E2341" s="604"/>
      <c r="F2341" s="607" t="s">
        <v>3</v>
      </c>
      <c r="G2341" s="606">
        <v>-1.3344652378406301</v>
      </c>
    </row>
    <row r="2342" spans="1:7" ht="11.1" customHeight="1">
      <c r="A2342" s="600" t="str">
        <f t="shared" si="180"/>
        <v>RON;RON FOREX;T/N</v>
      </c>
      <c r="B2342" s="600" t="str">
        <f t="shared" si="183"/>
        <v>RON</v>
      </c>
      <c r="C2342" s="600" t="str">
        <f t="shared" si="183"/>
        <v>RON FOREX</v>
      </c>
      <c r="D2342" s="603"/>
      <c r="E2342" s="604"/>
      <c r="F2342" s="607" t="s">
        <v>4</v>
      </c>
      <c r="G2342" s="606">
        <v>-0.44483348413872298</v>
      </c>
    </row>
    <row r="2343" spans="1:7" ht="11.1" customHeight="1">
      <c r="A2343" s="600" t="str">
        <f t="shared" si="180"/>
        <v>RON;RON FOREX;S/N</v>
      </c>
      <c r="B2343" s="600" t="str">
        <f t="shared" si="183"/>
        <v>RON</v>
      </c>
      <c r="C2343" s="600" t="str">
        <f t="shared" si="183"/>
        <v>RON FOREX</v>
      </c>
      <c r="D2343" s="603"/>
      <c r="E2343" s="604"/>
      <c r="F2343" s="607" t="s">
        <v>23</v>
      </c>
      <c r="G2343" s="608">
        <v>0</v>
      </c>
    </row>
    <row r="2344" spans="1:7" ht="11.1" customHeight="1">
      <c r="A2344" s="600" t="str">
        <f t="shared" si="180"/>
        <v>RON;RON FOREX;1W</v>
      </c>
      <c r="B2344" s="600" t="str">
        <f t="shared" si="183"/>
        <v>RON</v>
      </c>
      <c r="C2344" s="600" t="str">
        <f t="shared" si="183"/>
        <v>RON FOREX</v>
      </c>
      <c r="D2344" s="603"/>
      <c r="E2344" s="604"/>
      <c r="F2344" s="607" t="s">
        <v>5</v>
      </c>
      <c r="G2344" s="608">
        <v>0</v>
      </c>
    </row>
    <row r="2345" spans="1:7" ht="11.1" customHeight="1">
      <c r="A2345" s="600" t="str">
        <f t="shared" si="180"/>
        <v>RON;RON FOREX;2W</v>
      </c>
      <c r="B2345" s="600" t="str">
        <f t="shared" si="183"/>
        <v>RON</v>
      </c>
      <c r="C2345" s="600" t="str">
        <f t="shared" si="183"/>
        <v>RON FOREX</v>
      </c>
      <c r="D2345" s="603"/>
      <c r="E2345" s="604"/>
      <c r="F2345" s="607" t="s">
        <v>6</v>
      </c>
      <c r="G2345" s="608">
        <v>0</v>
      </c>
    </row>
    <row r="2346" spans="1:7" ht="11.1" customHeight="1">
      <c r="A2346" s="600" t="str">
        <f t="shared" si="180"/>
        <v>RON;RON FOREX;3W</v>
      </c>
      <c r="B2346" s="600" t="str">
        <f t="shared" si="183"/>
        <v>RON</v>
      </c>
      <c r="C2346" s="600" t="str">
        <f t="shared" si="183"/>
        <v>RON FOREX</v>
      </c>
      <c r="D2346" s="603"/>
      <c r="E2346" s="604"/>
      <c r="F2346" s="607" t="s">
        <v>24</v>
      </c>
      <c r="G2346" s="608">
        <v>0</v>
      </c>
    </row>
    <row r="2347" spans="1:7" ht="11.1" customHeight="1">
      <c r="A2347" s="600" t="str">
        <f t="shared" si="180"/>
        <v>RON;RON FOREX;1M</v>
      </c>
      <c r="B2347" s="600" t="str">
        <f t="shared" si="183"/>
        <v>RON</v>
      </c>
      <c r="C2347" s="600" t="str">
        <f t="shared" si="183"/>
        <v>RON FOREX</v>
      </c>
      <c r="D2347" s="603"/>
      <c r="E2347" s="604"/>
      <c r="F2347" s="607" t="s">
        <v>7</v>
      </c>
      <c r="G2347" s="608">
        <v>0</v>
      </c>
    </row>
    <row r="2348" spans="1:7" ht="11.1" customHeight="1">
      <c r="A2348" s="600" t="str">
        <f t="shared" si="180"/>
        <v>RON;RON FOREX;2M</v>
      </c>
      <c r="B2348" s="600" t="str">
        <f t="shared" si="183"/>
        <v>RON</v>
      </c>
      <c r="C2348" s="600" t="str">
        <f t="shared" si="183"/>
        <v>RON FOREX</v>
      </c>
      <c r="D2348" s="603"/>
      <c r="E2348" s="604"/>
      <c r="F2348" s="607" t="s">
        <v>8</v>
      </c>
      <c r="G2348" s="608">
        <v>0</v>
      </c>
    </row>
    <row r="2349" spans="1:7" ht="11.1" customHeight="1">
      <c r="A2349" s="600" t="str">
        <f t="shared" si="180"/>
        <v>RON;RON FOREX;3M</v>
      </c>
      <c r="B2349" s="600" t="str">
        <f t="shared" si="183"/>
        <v>RON</v>
      </c>
      <c r="C2349" s="600" t="str">
        <f t="shared" si="183"/>
        <v>RON FOREX</v>
      </c>
      <c r="D2349" s="603"/>
      <c r="E2349" s="604"/>
      <c r="F2349" s="607" t="s">
        <v>25</v>
      </c>
      <c r="G2349" s="608">
        <v>0</v>
      </c>
    </row>
    <row r="2350" spans="1:7" ht="11.1" customHeight="1">
      <c r="A2350" s="600" t="str">
        <f t="shared" si="180"/>
        <v>RON;RON FOREX;4M</v>
      </c>
      <c r="B2350" s="600" t="str">
        <f t="shared" si="183"/>
        <v>RON</v>
      </c>
      <c r="C2350" s="600" t="str">
        <f t="shared" si="183"/>
        <v>RON FOREX</v>
      </c>
      <c r="D2350" s="603"/>
      <c r="E2350" s="604"/>
      <c r="F2350" s="607" t="s">
        <v>26</v>
      </c>
      <c r="G2350" s="608">
        <v>0</v>
      </c>
    </row>
    <row r="2351" spans="1:7" ht="11.1" customHeight="1">
      <c r="A2351" s="600" t="str">
        <f t="shared" si="180"/>
        <v>RON;RON FOREX;5M</v>
      </c>
      <c r="B2351" s="600" t="str">
        <f t="shared" si="183"/>
        <v>RON</v>
      </c>
      <c r="C2351" s="600" t="str">
        <f t="shared" si="183"/>
        <v>RON FOREX</v>
      </c>
      <c r="D2351" s="603"/>
      <c r="E2351" s="604"/>
      <c r="F2351" s="607" t="s">
        <v>27</v>
      </c>
      <c r="G2351" s="608">
        <v>0</v>
      </c>
    </row>
    <row r="2352" spans="1:7" ht="11.1" customHeight="1">
      <c r="A2352" s="600" t="str">
        <f t="shared" si="180"/>
        <v>RON;RON FOREX;6M</v>
      </c>
      <c r="B2352" s="600" t="str">
        <f t="shared" si="183"/>
        <v>RON</v>
      </c>
      <c r="C2352" s="600" t="str">
        <f t="shared" si="183"/>
        <v>RON FOREX</v>
      </c>
      <c r="D2352" s="603"/>
      <c r="E2352" s="604"/>
      <c r="F2352" s="607" t="s">
        <v>28</v>
      </c>
      <c r="G2352" s="608">
        <v>0</v>
      </c>
    </row>
    <row r="2353" spans="1:7" ht="11.1" customHeight="1">
      <c r="A2353" s="600" t="str">
        <f t="shared" si="180"/>
        <v>RON;RON FOREX;7M</v>
      </c>
      <c r="B2353" s="600" t="str">
        <f t="shared" si="183"/>
        <v>RON</v>
      </c>
      <c r="C2353" s="600" t="str">
        <f t="shared" si="183"/>
        <v>RON FOREX</v>
      </c>
      <c r="D2353" s="603"/>
      <c r="E2353" s="604"/>
      <c r="F2353" s="607" t="s">
        <v>29</v>
      </c>
      <c r="G2353" s="608">
        <v>0</v>
      </c>
    </row>
    <row r="2354" spans="1:7" ht="11.1" customHeight="1">
      <c r="A2354" s="600" t="str">
        <f t="shared" si="180"/>
        <v>RON;RON FOREX;8M</v>
      </c>
      <c r="B2354" s="600" t="str">
        <f t="shared" si="183"/>
        <v>RON</v>
      </c>
      <c r="C2354" s="600" t="str">
        <f t="shared" si="183"/>
        <v>RON FOREX</v>
      </c>
      <c r="D2354" s="603"/>
      <c r="E2354" s="604"/>
      <c r="F2354" s="607" t="s">
        <v>30</v>
      </c>
      <c r="G2354" s="608">
        <v>0</v>
      </c>
    </row>
    <row r="2355" spans="1:7" ht="11.1" customHeight="1">
      <c r="A2355" s="600" t="str">
        <f t="shared" si="180"/>
        <v>RON;RON FOREX;9M</v>
      </c>
      <c r="B2355" s="600" t="str">
        <f t="shared" si="183"/>
        <v>RON</v>
      </c>
      <c r="C2355" s="600" t="str">
        <f t="shared" si="183"/>
        <v>RON FOREX</v>
      </c>
      <c r="D2355" s="603"/>
      <c r="E2355" s="604"/>
      <c r="F2355" s="607" t="s">
        <v>49</v>
      </c>
      <c r="G2355" s="608">
        <v>0</v>
      </c>
    </row>
    <row r="2356" spans="1:7" ht="11.1" customHeight="1">
      <c r="A2356" s="600" t="str">
        <f t="shared" si="180"/>
        <v>RON;RON FOREX;10M</v>
      </c>
      <c r="B2356" s="600" t="str">
        <f t="shared" si="183"/>
        <v>RON</v>
      </c>
      <c r="C2356" s="600" t="str">
        <f t="shared" si="183"/>
        <v>RON FOREX</v>
      </c>
      <c r="D2356" s="603"/>
      <c r="E2356" s="604"/>
      <c r="F2356" s="607" t="s">
        <v>50</v>
      </c>
      <c r="G2356" s="608">
        <v>0</v>
      </c>
    </row>
    <row r="2357" spans="1:7" ht="11.1" customHeight="1">
      <c r="A2357" s="600" t="str">
        <f t="shared" si="180"/>
        <v>RON;RON FOREX;11M</v>
      </c>
      <c r="B2357" s="600" t="str">
        <f t="shared" ref="B2357:C2372" si="184">IF(ISBLANK(D2357),B2356,D2357)</f>
        <v>RON</v>
      </c>
      <c r="C2357" s="600" t="str">
        <f t="shared" si="184"/>
        <v>RON FOREX</v>
      </c>
      <c r="D2357" s="603"/>
      <c r="E2357" s="604"/>
      <c r="F2357" s="607" t="s">
        <v>51</v>
      </c>
      <c r="G2357" s="608">
        <v>0</v>
      </c>
    </row>
    <row r="2358" spans="1:7" ht="11.1" customHeight="1">
      <c r="A2358" s="600" t="str">
        <f t="shared" si="180"/>
        <v>RON;RON FOREX;12M</v>
      </c>
      <c r="B2358" s="600" t="str">
        <f t="shared" si="184"/>
        <v>RON</v>
      </c>
      <c r="C2358" s="600" t="str">
        <f t="shared" si="184"/>
        <v>RON FOREX</v>
      </c>
      <c r="D2358" s="603"/>
      <c r="E2358" s="604"/>
      <c r="F2358" s="607" t="s">
        <v>52</v>
      </c>
      <c r="G2358" s="608">
        <v>0</v>
      </c>
    </row>
    <row r="2359" spans="1:7" ht="11.1" customHeight="1">
      <c r="A2359" s="600" t="str">
        <f t="shared" si="180"/>
        <v>RON;RON FOREX;15M</v>
      </c>
      <c r="B2359" s="600" t="str">
        <f t="shared" si="184"/>
        <v>RON</v>
      </c>
      <c r="C2359" s="600" t="str">
        <f t="shared" si="184"/>
        <v>RON FOREX</v>
      </c>
      <c r="D2359" s="603"/>
      <c r="E2359" s="604"/>
      <c r="F2359" s="607" t="s">
        <v>53</v>
      </c>
      <c r="G2359" s="608">
        <v>0</v>
      </c>
    </row>
    <row r="2360" spans="1:7" ht="11.1" customHeight="1">
      <c r="A2360" s="600" t="str">
        <f t="shared" si="180"/>
        <v>RON;RON FOREX;18M</v>
      </c>
      <c r="B2360" s="600" t="str">
        <f t="shared" si="184"/>
        <v>RON</v>
      </c>
      <c r="C2360" s="600" t="str">
        <f t="shared" si="184"/>
        <v>RON FOREX</v>
      </c>
      <c r="D2360" s="603"/>
      <c r="E2360" s="604"/>
      <c r="F2360" s="607" t="s">
        <v>54</v>
      </c>
      <c r="G2360" s="608">
        <v>0</v>
      </c>
    </row>
    <row r="2361" spans="1:7" ht="11.1" customHeight="1">
      <c r="A2361" s="600" t="str">
        <f t="shared" si="180"/>
        <v>RON;RON FOREX;24M</v>
      </c>
      <c r="B2361" s="600" t="str">
        <f t="shared" si="184"/>
        <v>RON</v>
      </c>
      <c r="C2361" s="600" t="str">
        <f t="shared" si="184"/>
        <v>RON FOREX</v>
      </c>
      <c r="D2361" s="603"/>
      <c r="E2361" s="604"/>
      <c r="F2361" s="607" t="s">
        <v>659</v>
      </c>
      <c r="G2361" s="608">
        <v>0</v>
      </c>
    </row>
    <row r="2362" spans="1:7" ht="11.1" customHeight="1">
      <c r="A2362" s="600" t="str">
        <f t="shared" si="180"/>
        <v>RON;RON FOREX;3Y</v>
      </c>
      <c r="B2362" s="600" t="str">
        <f t="shared" si="184"/>
        <v>RON</v>
      </c>
      <c r="C2362" s="600" t="str">
        <f t="shared" si="184"/>
        <v>RON FOREX</v>
      </c>
      <c r="D2362" s="603"/>
      <c r="E2362" s="604"/>
      <c r="F2362" s="607" t="s">
        <v>10</v>
      </c>
      <c r="G2362" s="608">
        <v>0</v>
      </c>
    </row>
    <row r="2363" spans="1:7" ht="11.1" customHeight="1">
      <c r="A2363" s="600" t="str">
        <f t="shared" si="180"/>
        <v>RON;RON FOREX;4Y</v>
      </c>
      <c r="B2363" s="600" t="str">
        <f t="shared" si="184"/>
        <v>RON</v>
      </c>
      <c r="C2363" s="600" t="str">
        <f t="shared" si="184"/>
        <v>RON FOREX</v>
      </c>
      <c r="D2363" s="603"/>
      <c r="E2363" s="604"/>
      <c r="F2363" s="607" t="s">
        <v>11</v>
      </c>
      <c r="G2363" s="608">
        <v>0</v>
      </c>
    </row>
    <row r="2364" spans="1:7" ht="11.1" customHeight="1">
      <c r="A2364" s="600" t="str">
        <f t="shared" si="180"/>
        <v>RON;RON FOREX;5Y</v>
      </c>
      <c r="B2364" s="600" t="str">
        <f t="shared" si="184"/>
        <v>RON</v>
      </c>
      <c r="C2364" s="600" t="str">
        <f t="shared" si="184"/>
        <v>RON FOREX</v>
      </c>
      <c r="D2364" s="603"/>
      <c r="E2364" s="604"/>
      <c r="F2364" s="607" t="s">
        <v>12</v>
      </c>
      <c r="G2364" s="608">
        <v>0</v>
      </c>
    </row>
    <row r="2365" spans="1:7" ht="11.1" customHeight="1">
      <c r="A2365" s="600" t="str">
        <f t="shared" si="180"/>
        <v>RON;RON FOREX;6Y</v>
      </c>
      <c r="B2365" s="600" t="str">
        <f t="shared" si="184"/>
        <v>RON</v>
      </c>
      <c r="C2365" s="600" t="str">
        <f t="shared" si="184"/>
        <v>RON FOREX</v>
      </c>
      <c r="D2365" s="603"/>
      <c r="E2365" s="604"/>
      <c r="F2365" s="607" t="s">
        <v>13</v>
      </c>
      <c r="G2365" s="608">
        <v>0</v>
      </c>
    </row>
    <row r="2366" spans="1:7" ht="11.1" customHeight="1">
      <c r="A2366" s="600" t="str">
        <f t="shared" si="180"/>
        <v>RON;RON FOREX;7Y</v>
      </c>
      <c r="B2366" s="600" t="str">
        <f t="shared" si="184"/>
        <v>RON</v>
      </c>
      <c r="C2366" s="600" t="str">
        <f t="shared" si="184"/>
        <v>RON FOREX</v>
      </c>
      <c r="D2366" s="603"/>
      <c r="E2366" s="604"/>
      <c r="F2366" s="607" t="s">
        <v>14</v>
      </c>
      <c r="G2366" s="608">
        <v>0</v>
      </c>
    </row>
    <row r="2367" spans="1:7" ht="11.1" customHeight="1">
      <c r="A2367" s="600" t="str">
        <f t="shared" si="180"/>
        <v>RON;RON FOREX;8Y</v>
      </c>
      <c r="B2367" s="600" t="str">
        <f t="shared" si="184"/>
        <v>RON</v>
      </c>
      <c r="C2367" s="600" t="str">
        <f t="shared" si="184"/>
        <v>RON FOREX</v>
      </c>
      <c r="D2367" s="603"/>
      <c r="E2367" s="604"/>
      <c r="F2367" s="607" t="s">
        <v>15</v>
      </c>
      <c r="G2367" s="608">
        <v>0</v>
      </c>
    </row>
    <row r="2368" spans="1:7" ht="11.1" customHeight="1">
      <c r="A2368" s="600" t="str">
        <f t="shared" si="180"/>
        <v>RON;RON FOREX;9Y</v>
      </c>
      <c r="B2368" s="600" t="str">
        <f t="shared" si="184"/>
        <v>RON</v>
      </c>
      <c r="C2368" s="600" t="str">
        <f t="shared" si="184"/>
        <v>RON FOREX</v>
      </c>
      <c r="D2368" s="603"/>
      <c r="E2368" s="604"/>
      <c r="F2368" s="607" t="s">
        <v>16</v>
      </c>
      <c r="G2368" s="608">
        <v>0</v>
      </c>
    </row>
    <row r="2369" spans="1:7" ht="11.1" customHeight="1">
      <c r="A2369" s="600" t="str">
        <f t="shared" si="180"/>
        <v>RON;RON FOREX;10Y</v>
      </c>
      <c r="B2369" s="600" t="str">
        <f t="shared" si="184"/>
        <v>RON</v>
      </c>
      <c r="C2369" s="600" t="str">
        <f t="shared" si="184"/>
        <v>RON FOREX</v>
      </c>
      <c r="D2369" s="603"/>
      <c r="E2369" s="604"/>
      <c r="F2369" s="607" t="s">
        <v>17</v>
      </c>
      <c r="G2369" s="608">
        <v>0</v>
      </c>
    </row>
    <row r="2370" spans="1:7" ht="11.1" customHeight="1">
      <c r="A2370" s="600" t="str">
        <f t="shared" si="180"/>
        <v>RON;RON FOREX;12Y</v>
      </c>
      <c r="B2370" s="600" t="str">
        <f t="shared" si="184"/>
        <v>RON</v>
      </c>
      <c r="C2370" s="600" t="str">
        <f t="shared" si="184"/>
        <v>RON FOREX</v>
      </c>
      <c r="D2370" s="603"/>
      <c r="E2370" s="604"/>
      <c r="F2370" s="607" t="s">
        <v>18</v>
      </c>
      <c r="G2370" s="608">
        <v>0</v>
      </c>
    </row>
    <row r="2371" spans="1:7" ht="11.1" customHeight="1">
      <c r="A2371" s="600" t="str">
        <f t="shared" si="180"/>
        <v>RON;RON FOREX;15Y</v>
      </c>
      <c r="B2371" s="600" t="str">
        <f t="shared" si="184"/>
        <v>RON</v>
      </c>
      <c r="C2371" s="600" t="str">
        <f t="shared" si="184"/>
        <v>RON FOREX</v>
      </c>
      <c r="D2371" s="603"/>
      <c r="E2371" s="604"/>
      <c r="F2371" s="607" t="s">
        <v>19</v>
      </c>
      <c r="G2371" s="608">
        <v>0</v>
      </c>
    </row>
    <row r="2372" spans="1:7" ht="11.1" customHeight="1">
      <c r="A2372" s="600" t="str">
        <f t="shared" si="180"/>
        <v>RON;RON FOREX;20Y</v>
      </c>
      <c r="B2372" s="600" t="str">
        <f t="shared" si="184"/>
        <v>RON</v>
      </c>
      <c r="C2372" s="600" t="str">
        <f t="shared" si="184"/>
        <v>RON FOREX</v>
      </c>
      <c r="D2372" s="603"/>
      <c r="E2372" s="604"/>
      <c r="F2372" s="607" t="s">
        <v>20</v>
      </c>
      <c r="G2372" s="608">
        <v>0</v>
      </c>
    </row>
    <row r="2373" spans="1:7" ht="11.1" customHeight="1">
      <c r="A2373" s="600" t="str">
        <f t="shared" ref="A2373:A2436" si="185">B2373&amp;";"&amp;C2373&amp;";"&amp;F2373</f>
        <v>RUB;Total RUB;</v>
      </c>
      <c r="B2373" s="600" t="str">
        <f t="shared" ref="B2373:C2388" si="186">IF(ISBLANK(D2373),B2372,D2373)</f>
        <v>RUB</v>
      </c>
      <c r="C2373" s="600" t="str">
        <f t="shared" si="186"/>
        <v>Total RUB</v>
      </c>
      <c r="D2373" s="603" t="s">
        <v>1330</v>
      </c>
      <c r="E2373" s="609" t="s">
        <v>1331</v>
      </c>
      <c r="F2373" s="609"/>
      <c r="G2373" s="612">
        <v>-50.638825840870503</v>
      </c>
    </row>
    <row r="2374" spans="1:7" ht="11.1" customHeight="1">
      <c r="A2374" s="600" t="str">
        <f t="shared" si="185"/>
        <v>RUB;RUB :STD;Total RUB :STD</v>
      </c>
      <c r="B2374" s="600" t="str">
        <f t="shared" si="186"/>
        <v>RUB</v>
      </c>
      <c r="C2374" s="600" t="str">
        <f t="shared" si="186"/>
        <v>RUB :STD</v>
      </c>
      <c r="D2374" s="603"/>
      <c r="E2374" s="604" t="s">
        <v>1332</v>
      </c>
      <c r="F2374" s="605" t="s">
        <v>1333</v>
      </c>
      <c r="G2374" s="606">
        <v>-5.4475965573198399</v>
      </c>
    </row>
    <row r="2375" spans="1:7" ht="11.1" customHeight="1">
      <c r="A2375" s="600" t="str">
        <f t="shared" si="185"/>
        <v>RUB;RUB :STD;O/N</v>
      </c>
      <c r="B2375" s="600" t="str">
        <f t="shared" si="186"/>
        <v>RUB</v>
      </c>
      <c r="C2375" s="600" t="str">
        <f t="shared" si="186"/>
        <v>RUB :STD</v>
      </c>
      <c r="D2375" s="603"/>
      <c r="E2375" s="604"/>
      <c r="F2375" s="607" t="s">
        <v>3</v>
      </c>
      <c r="G2375" s="606">
        <v>-288.60439015071597</v>
      </c>
    </row>
    <row r="2376" spans="1:7" ht="11.1" customHeight="1">
      <c r="A2376" s="600" t="str">
        <f t="shared" si="185"/>
        <v>RUB;RUB :STD;1W</v>
      </c>
      <c r="B2376" s="600" t="str">
        <f t="shared" si="186"/>
        <v>RUB</v>
      </c>
      <c r="C2376" s="600" t="str">
        <f t="shared" si="186"/>
        <v>RUB :STD</v>
      </c>
      <c r="D2376" s="603"/>
      <c r="E2376" s="604"/>
      <c r="F2376" s="607" t="s">
        <v>5</v>
      </c>
      <c r="G2376" s="611">
        <v>288.02770027296202</v>
      </c>
    </row>
    <row r="2377" spans="1:7" ht="11.1" customHeight="1">
      <c r="A2377" s="600" t="str">
        <f t="shared" si="185"/>
        <v>RUB;RUB :STD;2W</v>
      </c>
      <c r="B2377" s="600" t="str">
        <f t="shared" si="186"/>
        <v>RUB</v>
      </c>
      <c r="C2377" s="600" t="str">
        <f t="shared" si="186"/>
        <v>RUB :STD</v>
      </c>
      <c r="D2377" s="603"/>
      <c r="E2377" s="604"/>
      <c r="F2377" s="607" t="s">
        <v>6</v>
      </c>
      <c r="G2377" s="608">
        <v>0</v>
      </c>
    </row>
    <row r="2378" spans="1:7" ht="11.1" customHeight="1">
      <c r="A2378" s="600" t="str">
        <f t="shared" si="185"/>
        <v>RUB;RUB :STD;1M</v>
      </c>
      <c r="B2378" s="600" t="str">
        <f t="shared" si="186"/>
        <v>RUB</v>
      </c>
      <c r="C2378" s="600" t="str">
        <f t="shared" si="186"/>
        <v>RUB :STD</v>
      </c>
      <c r="D2378" s="603"/>
      <c r="E2378" s="604"/>
      <c r="F2378" s="607" t="s">
        <v>7</v>
      </c>
      <c r="G2378" s="608">
        <v>0</v>
      </c>
    </row>
    <row r="2379" spans="1:7" ht="11.1" customHeight="1">
      <c r="A2379" s="600" t="str">
        <f t="shared" si="185"/>
        <v>RUB;RUB :STD;2M</v>
      </c>
      <c r="B2379" s="600" t="str">
        <f t="shared" si="186"/>
        <v>RUB</v>
      </c>
      <c r="C2379" s="600" t="str">
        <f t="shared" si="186"/>
        <v>RUB :STD</v>
      </c>
      <c r="D2379" s="603"/>
      <c r="E2379" s="604"/>
      <c r="F2379" s="607" t="s">
        <v>8</v>
      </c>
      <c r="G2379" s="608">
        <v>0</v>
      </c>
    </row>
    <row r="2380" spans="1:7" ht="11.1" customHeight="1">
      <c r="A2380" s="600" t="str">
        <f t="shared" si="185"/>
        <v>RUB;RUB :STD;3M</v>
      </c>
      <c r="B2380" s="600" t="str">
        <f t="shared" si="186"/>
        <v>RUB</v>
      </c>
      <c r="C2380" s="600" t="str">
        <f t="shared" si="186"/>
        <v>RUB :STD</v>
      </c>
      <c r="D2380" s="603"/>
      <c r="E2380" s="604"/>
      <c r="F2380" s="607" t="s">
        <v>25</v>
      </c>
      <c r="G2380" s="606">
        <v>-17.8867579021402</v>
      </c>
    </row>
    <row r="2381" spans="1:7" ht="11.1" customHeight="1">
      <c r="A2381" s="600" t="str">
        <f t="shared" si="185"/>
        <v>RUB;RUB :STD;3M-6M</v>
      </c>
      <c r="B2381" s="600" t="str">
        <f t="shared" si="186"/>
        <v>RUB</v>
      </c>
      <c r="C2381" s="600" t="str">
        <f t="shared" si="186"/>
        <v>RUB :STD</v>
      </c>
      <c r="D2381" s="603"/>
      <c r="E2381" s="604"/>
      <c r="F2381" s="607" t="s">
        <v>1213</v>
      </c>
      <c r="G2381" s="606">
        <v>-17.8409184963695</v>
      </c>
    </row>
    <row r="2382" spans="1:7" ht="11.1" customHeight="1">
      <c r="A2382" s="600" t="str">
        <f t="shared" si="185"/>
        <v>RUB;RUB :STD;6M-9M</v>
      </c>
      <c r="B2382" s="600" t="str">
        <f t="shared" si="186"/>
        <v>RUB</v>
      </c>
      <c r="C2382" s="600" t="str">
        <f t="shared" si="186"/>
        <v>RUB :STD</v>
      </c>
      <c r="D2382" s="603"/>
      <c r="E2382" s="604"/>
      <c r="F2382" s="607" t="s">
        <v>1214</v>
      </c>
      <c r="G2382" s="606">
        <v>-17.647645047349201</v>
      </c>
    </row>
    <row r="2383" spans="1:7" ht="11.1" customHeight="1">
      <c r="A2383" s="600" t="str">
        <f t="shared" si="185"/>
        <v>RUB;RUB :STD;9M-12M</v>
      </c>
      <c r="B2383" s="600" t="str">
        <f t="shared" si="186"/>
        <v>RUB</v>
      </c>
      <c r="C2383" s="600" t="str">
        <f t="shared" si="186"/>
        <v>RUB :STD</v>
      </c>
      <c r="D2383" s="603"/>
      <c r="E2383" s="604"/>
      <c r="F2383" s="607" t="s">
        <v>1215</v>
      </c>
      <c r="G2383" s="606">
        <v>-17.66162115517</v>
      </c>
    </row>
    <row r="2384" spans="1:7" ht="11.1" customHeight="1">
      <c r="A2384" s="600" t="str">
        <f t="shared" si="185"/>
        <v>RUB;RUB :STD;2Y</v>
      </c>
      <c r="B2384" s="600" t="str">
        <f t="shared" si="186"/>
        <v>RUB</v>
      </c>
      <c r="C2384" s="600" t="str">
        <f t="shared" si="186"/>
        <v>RUB :STD</v>
      </c>
      <c r="D2384" s="603"/>
      <c r="E2384" s="604"/>
      <c r="F2384" s="607" t="s">
        <v>9</v>
      </c>
      <c r="G2384" s="611">
        <v>134.25051356348899</v>
      </c>
    </row>
    <row r="2385" spans="1:7" ht="11.1" customHeight="1">
      <c r="A2385" s="600" t="str">
        <f t="shared" si="185"/>
        <v>RUB;RUB :STD;3Y</v>
      </c>
      <c r="B2385" s="600" t="str">
        <f t="shared" si="186"/>
        <v>RUB</v>
      </c>
      <c r="C2385" s="600" t="str">
        <f t="shared" si="186"/>
        <v>RUB :STD</v>
      </c>
      <c r="D2385" s="603"/>
      <c r="E2385" s="604"/>
      <c r="F2385" s="607" t="s">
        <v>10</v>
      </c>
      <c r="G2385" s="606">
        <v>-68.084477642012601</v>
      </c>
    </row>
    <row r="2386" spans="1:7" ht="11.1" customHeight="1">
      <c r="A2386" s="600" t="str">
        <f t="shared" si="185"/>
        <v>RUB;RUB :STD;4Y</v>
      </c>
      <c r="B2386" s="600" t="str">
        <f t="shared" si="186"/>
        <v>RUB</v>
      </c>
      <c r="C2386" s="600" t="str">
        <f t="shared" si="186"/>
        <v>RUB :STD</v>
      </c>
      <c r="D2386" s="603"/>
      <c r="E2386" s="604"/>
      <c r="F2386" s="607" t="s">
        <v>11</v>
      </c>
      <c r="G2386" s="608">
        <v>0</v>
      </c>
    </row>
    <row r="2387" spans="1:7" ht="11.1" customHeight="1">
      <c r="A2387" s="600" t="str">
        <f t="shared" si="185"/>
        <v>RUB;RUB :STD;5Y</v>
      </c>
      <c r="B2387" s="600" t="str">
        <f t="shared" si="186"/>
        <v>RUB</v>
      </c>
      <c r="C2387" s="600" t="str">
        <f t="shared" si="186"/>
        <v>RUB :STD</v>
      </c>
      <c r="D2387" s="603"/>
      <c r="E2387" s="604"/>
      <c r="F2387" s="607" t="s">
        <v>12</v>
      </c>
      <c r="G2387" s="608">
        <v>0</v>
      </c>
    </row>
    <row r="2388" spans="1:7" ht="11.1" customHeight="1">
      <c r="A2388" s="600" t="str">
        <f t="shared" si="185"/>
        <v>RUB;RUB :STD;6Y</v>
      </c>
      <c r="B2388" s="600" t="str">
        <f t="shared" si="186"/>
        <v>RUB</v>
      </c>
      <c r="C2388" s="600" t="str">
        <f t="shared" si="186"/>
        <v>RUB :STD</v>
      </c>
      <c r="D2388" s="603"/>
      <c r="E2388" s="604"/>
      <c r="F2388" s="607" t="s">
        <v>13</v>
      </c>
      <c r="G2388" s="608">
        <v>0</v>
      </c>
    </row>
    <row r="2389" spans="1:7" ht="11.1" customHeight="1">
      <c r="A2389" s="600" t="str">
        <f t="shared" si="185"/>
        <v>RUB;RUB :STD;7Y</v>
      </c>
      <c r="B2389" s="600" t="str">
        <f t="shared" ref="B2389:C2404" si="187">IF(ISBLANK(D2389),B2388,D2389)</f>
        <v>RUB</v>
      </c>
      <c r="C2389" s="600" t="str">
        <f t="shared" si="187"/>
        <v>RUB :STD</v>
      </c>
      <c r="D2389" s="603"/>
      <c r="E2389" s="604"/>
      <c r="F2389" s="607" t="s">
        <v>14</v>
      </c>
      <c r="G2389" s="608">
        <v>0</v>
      </c>
    </row>
    <row r="2390" spans="1:7" ht="11.1" customHeight="1">
      <c r="A2390" s="600" t="str">
        <f t="shared" si="185"/>
        <v>RUB;RUB :STD;8Y</v>
      </c>
      <c r="B2390" s="600" t="str">
        <f t="shared" si="187"/>
        <v>RUB</v>
      </c>
      <c r="C2390" s="600" t="str">
        <f t="shared" si="187"/>
        <v>RUB :STD</v>
      </c>
      <c r="D2390" s="603"/>
      <c r="E2390" s="604"/>
      <c r="F2390" s="607" t="s">
        <v>15</v>
      </c>
      <c r="G2390" s="608">
        <v>0</v>
      </c>
    </row>
    <row r="2391" spans="1:7" ht="11.1" customHeight="1">
      <c r="A2391" s="600" t="str">
        <f t="shared" si="185"/>
        <v>RUB;RUB :STD;9Y</v>
      </c>
      <c r="B2391" s="600" t="str">
        <f t="shared" si="187"/>
        <v>RUB</v>
      </c>
      <c r="C2391" s="600" t="str">
        <f t="shared" si="187"/>
        <v>RUB :STD</v>
      </c>
      <c r="D2391" s="603"/>
      <c r="E2391" s="604"/>
      <c r="F2391" s="607" t="s">
        <v>16</v>
      </c>
      <c r="G2391" s="608">
        <v>0</v>
      </c>
    </row>
    <row r="2392" spans="1:7" ht="11.1" customHeight="1">
      <c r="A2392" s="600" t="str">
        <f t="shared" si="185"/>
        <v>RUB;RUB :STD;10Y</v>
      </c>
      <c r="B2392" s="600" t="str">
        <f t="shared" si="187"/>
        <v>RUB</v>
      </c>
      <c r="C2392" s="600" t="str">
        <f t="shared" si="187"/>
        <v>RUB :STD</v>
      </c>
      <c r="D2392" s="603"/>
      <c r="E2392" s="604"/>
      <c r="F2392" s="607" t="s">
        <v>17</v>
      </c>
      <c r="G2392" s="608">
        <v>0</v>
      </c>
    </row>
    <row r="2393" spans="1:7" ht="11.1" customHeight="1">
      <c r="A2393" s="600" t="str">
        <f t="shared" si="185"/>
        <v>RUB;RUB FOREX;Total RUB FOREX</v>
      </c>
      <c r="B2393" s="600" t="str">
        <f t="shared" si="187"/>
        <v>RUB</v>
      </c>
      <c r="C2393" s="600" t="str">
        <f t="shared" si="187"/>
        <v>RUB FOREX</v>
      </c>
      <c r="D2393" s="603"/>
      <c r="E2393" s="604" t="s">
        <v>1334</v>
      </c>
      <c r="F2393" s="605" t="s">
        <v>1335</v>
      </c>
      <c r="G2393" s="606">
        <v>-45.191229283543002</v>
      </c>
    </row>
    <row r="2394" spans="1:7" ht="11.1" customHeight="1">
      <c r="A2394" s="600" t="str">
        <f t="shared" si="185"/>
        <v>RUB;RUB FOREX;O/N</v>
      </c>
      <c r="B2394" s="600" t="str">
        <f t="shared" si="187"/>
        <v>RUB</v>
      </c>
      <c r="C2394" s="600" t="str">
        <f t="shared" si="187"/>
        <v>RUB FOREX</v>
      </c>
      <c r="D2394" s="603"/>
      <c r="E2394" s="604"/>
      <c r="F2394" s="607" t="s">
        <v>3</v>
      </c>
      <c r="G2394" s="606">
        <v>-45.191229283543002</v>
      </c>
    </row>
    <row r="2395" spans="1:7" ht="11.1" customHeight="1">
      <c r="A2395" s="600" t="str">
        <f t="shared" si="185"/>
        <v>RUB;RUB FOREX;T/N</v>
      </c>
      <c r="B2395" s="600" t="str">
        <f t="shared" si="187"/>
        <v>RUB</v>
      </c>
      <c r="C2395" s="600" t="str">
        <f t="shared" si="187"/>
        <v>RUB FOREX</v>
      </c>
      <c r="D2395" s="603"/>
      <c r="E2395" s="604"/>
      <c r="F2395" s="607" t="s">
        <v>4</v>
      </c>
      <c r="G2395" s="608">
        <v>0</v>
      </c>
    </row>
    <row r="2396" spans="1:7" ht="11.1" customHeight="1">
      <c r="A2396" s="600" t="str">
        <f t="shared" si="185"/>
        <v>RUB;RUB FOREX;S/N</v>
      </c>
      <c r="B2396" s="600" t="str">
        <f t="shared" si="187"/>
        <v>RUB</v>
      </c>
      <c r="C2396" s="600" t="str">
        <f t="shared" si="187"/>
        <v>RUB FOREX</v>
      </c>
      <c r="D2396" s="603"/>
      <c r="E2396" s="604"/>
      <c r="F2396" s="607" t="s">
        <v>23</v>
      </c>
      <c r="G2396" s="608">
        <v>0</v>
      </c>
    </row>
    <row r="2397" spans="1:7" ht="11.1" customHeight="1">
      <c r="A2397" s="600" t="str">
        <f t="shared" si="185"/>
        <v>RUB;RUB FOREX;1W</v>
      </c>
      <c r="B2397" s="600" t="str">
        <f t="shared" si="187"/>
        <v>RUB</v>
      </c>
      <c r="C2397" s="600" t="str">
        <f t="shared" si="187"/>
        <v>RUB FOREX</v>
      </c>
      <c r="D2397" s="603"/>
      <c r="E2397" s="604"/>
      <c r="F2397" s="607" t="s">
        <v>5</v>
      </c>
      <c r="G2397" s="608">
        <v>0</v>
      </c>
    </row>
    <row r="2398" spans="1:7" ht="11.1" customHeight="1">
      <c r="A2398" s="600" t="str">
        <f t="shared" si="185"/>
        <v>RUB;RUB FOREX;2W</v>
      </c>
      <c r="B2398" s="600" t="str">
        <f t="shared" si="187"/>
        <v>RUB</v>
      </c>
      <c r="C2398" s="600" t="str">
        <f t="shared" si="187"/>
        <v>RUB FOREX</v>
      </c>
      <c r="D2398" s="603"/>
      <c r="E2398" s="604"/>
      <c r="F2398" s="607" t="s">
        <v>6</v>
      </c>
      <c r="G2398" s="608">
        <v>0</v>
      </c>
    </row>
    <row r="2399" spans="1:7" ht="11.1" customHeight="1">
      <c r="A2399" s="600" t="str">
        <f t="shared" si="185"/>
        <v>RUB;RUB FOREX;3W</v>
      </c>
      <c r="B2399" s="600" t="str">
        <f t="shared" si="187"/>
        <v>RUB</v>
      </c>
      <c r="C2399" s="600" t="str">
        <f t="shared" si="187"/>
        <v>RUB FOREX</v>
      </c>
      <c r="D2399" s="603"/>
      <c r="E2399" s="604"/>
      <c r="F2399" s="607" t="s">
        <v>24</v>
      </c>
      <c r="G2399" s="608">
        <v>0</v>
      </c>
    </row>
    <row r="2400" spans="1:7" ht="11.1" customHeight="1">
      <c r="A2400" s="600" t="str">
        <f t="shared" si="185"/>
        <v>RUB;RUB FOREX;1M</v>
      </c>
      <c r="B2400" s="600" t="str">
        <f t="shared" si="187"/>
        <v>RUB</v>
      </c>
      <c r="C2400" s="600" t="str">
        <f t="shared" si="187"/>
        <v>RUB FOREX</v>
      </c>
      <c r="D2400" s="603"/>
      <c r="E2400" s="604"/>
      <c r="F2400" s="607" t="s">
        <v>7</v>
      </c>
      <c r="G2400" s="608">
        <v>0</v>
      </c>
    </row>
    <row r="2401" spans="1:7" ht="11.1" customHeight="1">
      <c r="A2401" s="600" t="str">
        <f t="shared" si="185"/>
        <v>RUB;RUB FOREX;2M</v>
      </c>
      <c r="B2401" s="600" t="str">
        <f t="shared" si="187"/>
        <v>RUB</v>
      </c>
      <c r="C2401" s="600" t="str">
        <f t="shared" si="187"/>
        <v>RUB FOREX</v>
      </c>
      <c r="D2401" s="603"/>
      <c r="E2401" s="604"/>
      <c r="F2401" s="607" t="s">
        <v>8</v>
      </c>
      <c r="G2401" s="608">
        <v>0</v>
      </c>
    </row>
    <row r="2402" spans="1:7" ht="11.1" customHeight="1">
      <c r="A2402" s="600" t="str">
        <f t="shared" si="185"/>
        <v>RUB;RUB FOREX;3M</v>
      </c>
      <c r="B2402" s="600" t="str">
        <f t="shared" si="187"/>
        <v>RUB</v>
      </c>
      <c r="C2402" s="600" t="str">
        <f t="shared" si="187"/>
        <v>RUB FOREX</v>
      </c>
      <c r="D2402" s="603"/>
      <c r="E2402" s="604"/>
      <c r="F2402" s="607" t="s">
        <v>25</v>
      </c>
      <c r="G2402" s="608">
        <v>0</v>
      </c>
    </row>
    <row r="2403" spans="1:7" ht="11.1" customHeight="1">
      <c r="A2403" s="600" t="str">
        <f t="shared" si="185"/>
        <v>RUB;RUB FOREX;4M</v>
      </c>
      <c r="B2403" s="600" t="str">
        <f t="shared" si="187"/>
        <v>RUB</v>
      </c>
      <c r="C2403" s="600" t="str">
        <f t="shared" si="187"/>
        <v>RUB FOREX</v>
      </c>
      <c r="D2403" s="603"/>
      <c r="E2403" s="604"/>
      <c r="F2403" s="607" t="s">
        <v>26</v>
      </c>
      <c r="G2403" s="608">
        <v>0</v>
      </c>
    </row>
    <row r="2404" spans="1:7" ht="11.1" customHeight="1">
      <c r="A2404" s="600" t="str">
        <f t="shared" si="185"/>
        <v>RUB;RUB FOREX;5M</v>
      </c>
      <c r="B2404" s="600" t="str">
        <f t="shared" si="187"/>
        <v>RUB</v>
      </c>
      <c r="C2404" s="600" t="str">
        <f t="shared" si="187"/>
        <v>RUB FOREX</v>
      </c>
      <c r="D2404" s="603"/>
      <c r="E2404" s="604"/>
      <c r="F2404" s="607" t="s">
        <v>27</v>
      </c>
      <c r="G2404" s="608">
        <v>0</v>
      </c>
    </row>
    <row r="2405" spans="1:7" ht="11.1" customHeight="1">
      <c r="A2405" s="600" t="str">
        <f t="shared" si="185"/>
        <v>RUB;RUB FOREX;6M</v>
      </c>
      <c r="B2405" s="600" t="str">
        <f t="shared" ref="B2405:C2420" si="188">IF(ISBLANK(D2405),B2404,D2405)</f>
        <v>RUB</v>
      </c>
      <c r="C2405" s="600" t="str">
        <f t="shared" si="188"/>
        <v>RUB FOREX</v>
      </c>
      <c r="D2405" s="603"/>
      <c r="E2405" s="604"/>
      <c r="F2405" s="607" t="s">
        <v>28</v>
      </c>
      <c r="G2405" s="608">
        <v>0</v>
      </c>
    </row>
    <row r="2406" spans="1:7" ht="11.1" customHeight="1">
      <c r="A2406" s="600" t="str">
        <f t="shared" si="185"/>
        <v>RUB;RUB FOREX;7M</v>
      </c>
      <c r="B2406" s="600" t="str">
        <f t="shared" si="188"/>
        <v>RUB</v>
      </c>
      <c r="C2406" s="600" t="str">
        <f t="shared" si="188"/>
        <v>RUB FOREX</v>
      </c>
      <c r="D2406" s="603"/>
      <c r="E2406" s="604"/>
      <c r="F2406" s="607" t="s">
        <v>29</v>
      </c>
      <c r="G2406" s="608">
        <v>0</v>
      </c>
    </row>
    <row r="2407" spans="1:7" ht="11.1" customHeight="1">
      <c r="A2407" s="600" t="str">
        <f t="shared" si="185"/>
        <v>RUB;RUB FOREX;8M</v>
      </c>
      <c r="B2407" s="600" t="str">
        <f t="shared" si="188"/>
        <v>RUB</v>
      </c>
      <c r="C2407" s="600" t="str">
        <f t="shared" si="188"/>
        <v>RUB FOREX</v>
      </c>
      <c r="D2407" s="603"/>
      <c r="E2407" s="604"/>
      <c r="F2407" s="607" t="s">
        <v>30</v>
      </c>
      <c r="G2407" s="608">
        <v>0</v>
      </c>
    </row>
    <row r="2408" spans="1:7" ht="11.1" customHeight="1">
      <c r="A2408" s="600" t="str">
        <f t="shared" si="185"/>
        <v>RUB;RUB FOREX;9M</v>
      </c>
      <c r="B2408" s="600" t="str">
        <f t="shared" si="188"/>
        <v>RUB</v>
      </c>
      <c r="C2408" s="600" t="str">
        <f t="shared" si="188"/>
        <v>RUB FOREX</v>
      </c>
      <c r="D2408" s="603"/>
      <c r="E2408" s="604"/>
      <c r="F2408" s="607" t="s">
        <v>49</v>
      </c>
      <c r="G2408" s="608">
        <v>0</v>
      </c>
    </row>
    <row r="2409" spans="1:7" ht="11.1" customHeight="1">
      <c r="A2409" s="600" t="str">
        <f t="shared" si="185"/>
        <v>RUB;RUB FOREX;10M</v>
      </c>
      <c r="B2409" s="600" t="str">
        <f t="shared" si="188"/>
        <v>RUB</v>
      </c>
      <c r="C2409" s="600" t="str">
        <f t="shared" si="188"/>
        <v>RUB FOREX</v>
      </c>
      <c r="D2409" s="603"/>
      <c r="E2409" s="604"/>
      <c r="F2409" s="607" t="s">
        <v>50</v>
      </c>
      <c r="G2409" s="608">
        <v>0</v>
      </c>
    </row>
    <row r="2410" spans="1:7" ht="11.1" customHeight="1">
      <c r="A2410" s="600" t="str">
        <f t="shared" si="185"/>
        <v>RUB;RUB FOREX;11M</v>
      </c>
      <c r="B2410" s="600" t="str">
        <f t="shared" si="188"/>
        <v>RUB</v>
      </c>
      <c r="C2410" s="600" t="str">
        <f t="shared" si="188"/>
        <v>RUB FOREX</v>
      </c>
      <c r="D2410" s="603"/>
      <c r="E2410" s="604"/>
      <c r="F2410" s="607" t="s">
        <v>51</v>
      </c>
      <c r="G2410" s="608">
        <v>0</v>
      </c>
    </row>
    <row r="2411" spans="1:7" ht="11.1" customHeight="1">
      <c r="A2411" s="600" t="str">
        <f t="shared" si="185"/>
        <v>RUB;RUB FOREX;12M</v>
      </c>
      <c r="B2411" s="600" t="str">
        <f t="shared" si="188"/>
        <v>RUB</v>
      </c>
      <c r="C2411" s="600" t="str">
        <f t="shared" si="188"/>
        <v>RUB FOREX</v>
      </c>
      <c r="D2411" s="603"/>
      <c r="E2411" s="604"/>
      <c r="F2411" s="607" t="s">
        <v>52</v>
      </c>
      <c r="G2411" s="608">
        <v>0</v>
      </c>
    </row>
    <row r="2412" spans="1:7" ht="11.1" customHeight="1">
      <c r="A2412" s="600" t="str">
        <f t="shared" si="185"/>
        <v>RUB;RUB FOREX;15M</v>
      </c>
      <c r="B2412" s="600" t="str">
        <f t="shared" si="188"/>
        <v>RUB</v>
      </c>
      <c r="C2412" s="600" t="str">
        <f t="shared" si="188"/>
        <v>RUB FOREX</v>
      </c>
      <c r="D2412" s="603"/>
      <c r="E2412" s="604"/>
      <c r="F2412" s="607" t="s">
        <v>53</v>
      </c>
      <c r="G2412" s="608">
        <v>0</v>
      </c>
    </row>
    <row r="2413" spans="1:7" ht="11.1" customHeight="1">
      <c r="A2413" s="600" t="str">
        <f t="shared" si="185"/>
        <v>RUB;RUB FOREX;18M</v>
      </c>
      <c r="B2413" s="600" t="str">
        <f t="shared" si="188"/>
        <v>RUB</v>
      </c>
      <c r="C2413" s="600" t="str">
        <f t="shared" si="188"/>
        <v>RUB FOREX</v>
      </c>
      <c r="D2413" s="603"/>
      <c r="E2413" s="604"/>
      <c r="F2413" s="607" t="s">
        <v>54</v>
      </c>
      <c r="G2413" s="608">
        <v>0</v>
      </c>
    </row>
    <row r="2414" spans="1:7" ht="11.1" customHeight="1">
      <c r="A2414" s="600" t="str">
        <f t="shared" si="185"/>
        <v>RUB;RUB FOREX;24M</v>
      </c>
      <c r="B2414" s="600" t="str">
        <f t="shared" si="188"/>
        <v>RUB</v>
      </c>
      <c r="C2414" s="600" t="str">
        <f t="shared" si="188"/>
        <v>RUB FOREX</v>
      </c>
      <c r="D2414" s="603"/>
      <c r="E2414" s="604"/>
      <c r="F2414" s="607" t="s">
        <v>659</v>
      </c>
      <c r="G2414" s="608">
        <v>0</v>
      </c>
    </row>
    <row r="2415" spans="1:7" ht="11.1" customHeight="1">
      <c r="A2415" s="600" t="str">
        <f t="shared" si="185"/>
        <v>RUB;RUB FOREX;3Y</v>
      </c>
      <c r="B2415" s="600" t="str">
        <f t="shared" si="188"/>
        <v>RUB</v>
      </c>
      <c r="C2415" s="600" t="str">
        <f t="shared" si="188"/>
        <v>RUB FOREX</v>
      </c>
      <c r="D2415" s="603"/>
      <c r="E2415" s="604"/>
      <c r="F2415" s="607" t="s">
        <v>10</v>
      </c>
      <c r="G2415" s="608">
        <v>0</v>
      </c>
    </row>
    <row r="2416" spans="1:7" ht="11.1" customHeight="1">
      <c r="A2416" s="600" t="str">
        <f t="shared" si="185"/>
        <v>RUB;RUB FOREX;4Y</v>
      </c>
      <c r="B2416" s="600" t="str">
        <f t="shared" si="188"/>
        <v>RUB</v>
      </c>
      <c r="C2416" s="600" t="str">
        <f t="shared" si="188"/>
        <v>RUB FOREX</v>
      </c>
      <c r="D2416" s="603"/>
      <c r="E2416" s="604"/>
      <c r="F2416" s="607" t="s">
        <v>11</v>
      </c>
      <c r="G2416" s="608">
        <v>0</v>
      </c>
    </row>
    <row r="2417" spans="1:7" ht="11.1" customHeight="1">
      <c r="A2417" s="600" t="str">
        <f t="shared" si="185"/>
        <v>RUB;RUB FOREX;5Y</v>
      </c>
      <c r="B2417" s="600" t="str">
        <f t="shared" si="188"/>
        <v>RUB</v>
      </c>
      <c r="C2417" s="600" t="str">
        <f t="shared" si="188"/>
        <v>RUB FOREX</v>
      </c>
      <c r="D2417" s="603"/>
      <c r="E2417" s="604"/>
      <c r="F2417" s="607" t="s">
        <v>12</v>
      </c>
      <c r="G2417" s="608">
        <v>0</v>
      </c>
    </row>
    <row r="2418" spans="1:7" ht="11.1" customHeight="1">
      <c r="A2418" s="600" t="str">
        <f t="shared" si="185"/>
        <v>RUB;RUB FOREX;6Y</v>
      </c>
      <c r="B2418" s="600" t="str">
        <f t="shared" si="188"/>
        <v>RUB</v>
      </c>
      <c r="C2418" s="600" t="str">
        <f t="shared" si="188"/>
        <v>RUB FOREX</v>
      </c>
      <c r="D2418" s="603"/>
      <c r="E2418" s="604"/>
      <c r="F2418" s="607" t="s">
        <v>13</v>
      </c>
      <c r="G2418" s="608">
        <v>0</v>
      </c>
    </row>
    <row r="2419" spans="1:7" ht="11.1" customHeight="1">
      <c r="A2419" s="600" t="str">
        <f t="shared" si="185"/>
        <v>RUB;RUB FOREX;7Y</v>
      </c>
      <c r="B2419" s="600" t="str">
        <f t="shared" si="188"/>
        <v>RUB</v>
      </c>
      <c r="C2419" s="600" t="str">
        <f t="shared" si="188"/>
        <v>RUB FOREX</v>
      </c>
      <c r="D2419" s="603"/>
      <c r="E2419" s="604"/>
      <c r="F2419" s="607" t="s">
        <v>14</v>
      </c>
      <c r="G2419" s="608">
        <v>0</v>
      </c>
    </row>
    <row r="2420" spans="1:7" ht="11.1" customHeight="1">
      <c r="A2420" s="600" t="str">
        <f t="shared" si="185"/>
        <v>RUB;RUB FOREX;8Y</v>
      </c>
      <c r="B2420" s="600" t="str">
        <f t="shared" si="188"/>
        <v>RUB</v>
      </c>
      <c r="C2420" s="600" t="str">
        <f t="shared" si="188"/>
        <v>RUB FOREX</v>
      </c>
      <c r="D2420" s="603"/>
      <c r="E2420" s="604"/>
      <c r="F2420" s="607" t="s">
        <v>15</v>
      </c>
      <c r="G2420" s="608">
        <v>0</v>
      </c>
    </row>
    <row r="2421" spans="1:7" ht="11.1" customHeight="1">
      <c r="A2421" s="600" t="str">
        <f t="shared" si="185"/>
        <v>RUB;RUB FOREX;9Y</v>
      </c>
      <c r="B2421" s="600" t="str">
        <f t="shared" ref="B2421:C2436" si="189">IF(ISBLANK(D2421),B2420,D2421)</f>
        <v>RUB</v>
      </c>
      <c r="C2421" s="600" t="str">
        <f t="shared" si="189"/>
        <v>RUB FOREX</v>
      </c>
      <c r="D2421" s="603"/>
      <c r="E2421" s="604"/>
      <c r="F2421" s="607" t="s">
        <v>16</v>
      </c>
      <c r="G2421" s="608">
        <v>0</v>
      </c>
    </row>
    <row r="2422" spans="1:7" ht="11.1" customHeight="1">
      <c r="A2422" s="600" t="str">
        <f t="shared" si="185"/>
        <v>RUB;RUB FOREX;10Y</v>
      </c>
      <c r="B2422" s="600" t="str">
        <f t="shared" si="189"/>
        <v>RUB</v>
      </c>
      <c r="C2422" s="600" t="str">
        <f t="shared" si="189"/>
        <v>RUB FOREX</v>
      </c>
      <c r="D2422" s="603"/>
      <c r="E2422" s="604"/>
      <c r="F2422" s="607" t="s">
        <v>17</v>
      </c>
      <c r="G2422" s="608">
        <v>0</v>
      </c>
    </row>
    <row r="2423" spans="1:7" ht="11.1" customHeight="1">
      <c r="A2423" s="600" t="str">
        <f t="shared" si="185"/>
        <v>SEK;Total SEK;</v>
      </c>
      <c r="B2423" s="600" t="str">
        <f t="shared" si="189"/>
        <v>SEK</v>
      </c>
      <c r="C2423" s="600" t="str">
        <f t="shared" si="189"/>
        <v>Total SEK</v>
      </c>
      <c r="D2423" s="603" t="s">
        <v>1336</v>
      </c>
      <c r="E2423" s="609" t="s">
        <v>1337</v>
      </c>
      <c r="F2423" s="609"/>
      <c r="G2423" s="610">
        <v>0.223595583209383</v>
      </c>
    </row>
    <row r="2424" spans="1:7" ht="11.1" customHeight="1">
      <c r="A2424" s="600" t="str">
        <f t="shared" si="185"/>
        <v>SEK;SEK 3M;Total SEK 3M</v>
      </c>
      <c r="B2424" s="600" t="str">
        <f t="shared" si="189"/>
        <v>SEK</v>
      </c>
      <c r="C2424" s="600" t="str">
        <f t="shared" si="189"/>
        <v>SEK 3M</v>
      </c>
      <c r="D2424" s="603"/>
      <c r="E2424" s="604" t="s">
        <v>3906</v>
      </c>
      <c r="F2424" s="605" t="s">
        <v>3907</v>
      </c>
      <c r="G2424" s="611">
        <v>1.3855583347321999E-13</v>
      </c>
    </row>
    <row r="2425" spans="1:7" ht="11.1" customHeight="1">
      <c r="A2425" s="600" t="str">
        <f t="shared" si="185"/>
        <v>SEK;SEK 3M;S/N</v>
      </c>
      <c r="B2425" s="600" t="str">
        <f t="shared" si="189"/>
        <v>SEK</v>
      </c>
      <c r="C2425" s="600" t="str">
        <f t="shared" si="189"/>
        <v>SEK 3M</v>
      </c>
      <c r="D2425" s="603"/>
      <c r="E2425" s="604"/>
      <c r="F2425" s="607" t="s">
        <v>23</v>
      </c>
      <c r="G2425" s="611">
        <v>0</v>
      </c>
    </row>
    <row r="2426" spans="1:7" ht="11.1" customHeight="1">
      <c r="A2426" s="600" t="str">
        <f t="shared" si="185"/>
        <v>SEK;SEK 3M;1W</v>
      </c>
      <c r="B2426" s="600" t="str">
        <f t="shared" si="189"/>
        <v>SEK</v>
      </c>
      <c r="C2426" s="600" t="str">
        <f t="shared" si="189"/>
        <v>SEK 3M</v>
      </c>
      <c r="D2426" s="603"/>
      <c r="E2426" s="604"/>
      <c r="F2426" s="607" t="s">
        <v>5</v>
      </c>
      <c r="G2426" s="608">
        <v>0</v>
      </c>
    </row>
    <row r="2427" spans="1:7" ht="11.1" customHeight="1">
      <c r="A2427" s="600" t="str">
        <f t="shared" si="185"/>
        <v>SEK;SEK 3M;2W</v>
      </c>
      <c r="B2427" s="600" t="str">
        <f t="shared" si="189"/>
        <v>SEK</v>
      </c>
      <c r="C2427" s="600" t="str">
        <f t="shared" si="189"/>
        <v>SEK 3M</v>
      </c>
      <c r="D2427" s="603"/>
      <c r="E2427" s="604"/>
      <c r="F2427" s="607" t="s">
        <v>6</v>
      </c>
      <c r="G2427" s="611">
        <v>0</v>
      </c>
    </row>
    <row r="2428" spans="1:7" ht="11.1" customHeight="1">
      <c r="A2428" s="600" t="str">
        <f t="shared" si="185"/>
        <v>SEK;SEK 3M;3W</v>
      </c>
      <c r="B2428" s="600" t="str">
        <f t="shared" si="189"/>
        <v>SEK</v>
      </c>
      <c r="C2428" s="600" t="str">
        <f t="shared" si="189"/>
        <v>SEK 3M</v>
      </c>
      <c r="D2428" s="603"/>
      <c r="E2428" s="604"/>
      <c r="F2428" s="607" t="s">
        <v>24</v>
      </c>
      <c r="G2428" s="611">
        <v>0</v>
      </c>
    </row>
    <row r="2429" spans="1:7" ht="11.1" customHeight="1">
      <c r="A2429" s="600" t="str">
        <f t="shared" si="185"/>
        <v>SEK;SEK 3M;1M</v>
      </c>
      <c r="B2429" s="600" t="str">
        <f t="shared" si="189"/>
        <v>SEK</v>
      </c>
      <c r="C2429" s="600" t="str">
        <f t="shared" si="189"/>
        <v>SEK 3M</v>
      </c>
      <c r="D2429" s="603"/>
      <c r="E2429" s="604"/>
      <c r="F2429" s="607" t="s">
        <v>7</v>
      </c>
      <c r="G2429" s="611">
        <v>7.1054273576010003E-15</v>
      </c>
    </row>
    <row r="2430" spans="1:7" ht="11.1" customHeight="1">
      <c r="A2430" s="600" t="str">
        <f t="shared" si="185"/>
        <v>SEK;SEK 3M;2M</v>
      </c>
      <c r="B2430" s="600" t="str">
        <f t="shared" si="189"/>
        <v>SEK</v>
      </c>
      <c r="C2430" s="600" t="str">
        <f t="shared" si="189"/>
        <v>SEK 3M</v>
      </c>
      <c r="D2430" s="603"/>
      <c r="E2430" s="604"/>
      <c r="F2430" s="607" t="s">
        <v>8</v>
      </c>
      <c r="G2430" s="611">
        <v>0</v>
      </c>
    </row>
    <row r="2431" spans="1:7" ht="11.1" customHeight="1">
      <c r="A2431" s="600" t="str">
        <f t="shared" si="185"/>
        <v>SEK;SEK 3M;3M</v>
      </c>
      <c r="B2431" s="600" t="str">
        <f t="shared" si="189"/>
        <v>SEK</v>
      </c>
      <c r="C2431" s="600" t="str">
        <f t="shared" si="189"/>
        <v>SEK 3M</v>
      </c>
      <c r="D2431" s="603"/>
      <c r="E2431" s="604"/>
      <c r="F2431" s="607" t="s">
        <v>25</v>
      </c>
      <c r="G2431" s="606">
        <v>-7.1054273576010003E-15</v>
      </c>
    </row>
    <row r="2432" spans="1:7" ht="11.1" customHeight="1">
      <c r="A2432" s="600" t="str">
        <f t="shared" si="185"/>
        <v>SEK;SEK 3M;DEC 16</v>
      </c>
      <c r="B2432" s="600" t="str">
        <f t="shared" si="189"/>
        <v>SEK</v>
      </c>
      <c r="C2432" s="600" t="str">
        <f t="shared" si="189"/>
        <v>SEK 3M</v>
      </c>
      <c r="D2432" s="603"/>
      <c r="E2432" s="604"/>
      <c r="F2432" s="607" t="s">
        <v>1060</v>
      </c>
      <c r="G2432" s="611">
        <v>0</v>
      </c>
    </row>
    <row r="2433" spans="1:7" ht="11.1" customHeight="1">
      <c r="A2433" s="600" t="str">
        <f t="shared" si="185"/>
        <v>SEK;SEK 3M;MAR 17</v>
      </c>
      <c r="B2433" s="600" t="str">
        <f t="shared" si="189"/>
        <v>SEK</v>
      </c>
      <c r="C2433" s="600" t="str">
        <f t="shared" si="189"/>
        <v>SEK 3M</v>
      </c>
      <c r="D2433" s="603"/>
      <c r="E2433" s="604"/>
      <c r="F2433" s="607" t="s">
        <v>1063</v>
      </c>
      <c r="G2433" s="611">
        <v>0</v>
      </c>
    </row>
    <row r="2434" spans="1:7" ht="11.1" customHeight="1">
      <c r="A2434" s="600" t="str">
        <f t="shared" si="185"/>
        <v>SEK;SEK 3M;JUN 17</v>
      </c>
      <c r="B2434" s="600" t="str">
        <f t="shared" si="189"/>
        <v>SEK</v>
      </c>
      <c r="C2434" s="600" t="str">
        <f t="shared" si="189"/>
        <v>SEK 3M</v>
      </c>
      <c r="D2434" s="603"/>
      <c r="E2434" s="604"/>
      <c r="F2434" s="607" t="s">
        <v>1066</v>
      </c>
      <c r="G2434" s="606">
        <v>-2.8421709430404001E-14</v>
      </c>
    </row>
    <row r="2435" spans="1:7" ht="11.1" customHeight="1">
      <c r="A2435" s="600" t="str">
        <f t="shared" si="185"/>
        <v>SEK;SEK 3M;SEP 17</v>
      </c>
      <c r="B2435" s="600" t="str">
        <f t="shared" si="189"/>
        <v>SEK</v>
      </c>
      <c r="C2435" s="600" t="str">
        <f t="shared" si="189"/>
        <v>SEK 3M</v>
      </c>
      <c r="D2435" s="603"/>
      <c r="E2435" s="604"/>
      <c r="F2435" s="607" t="s">
        <v>1069</v>
      </c>
      <c r="G2435" s="611">
        <v>2.8421709430404001E-14</v>
      </c>
    </row>
    <row r="2436" spans="1:7" ht="11.1" customHeight="1">
      <c r="A2436" s="600" t="str">
        <f t="shared" si="185"/>
        <v>SEK;SEK 3M;DEC 17</v>
      </c>
      <c r="B2436" s="600" t="str">
        <f t="shared" si="189"/>
        <v>SEK</v>
      </c>
      <c r="C2436" s="600" t="str">
        <f t="shared" si="189"/>
        <v>SEK 3M</v>
      </c>
      <c r="D2436" s="603"/>
      <c r="E2436" s="604"/>
      <c r="F2436" s="607" t="s">
        <v>3865</v>
      </c>
      <c r="G2436" s="611">
        <v>3.5527136788005001E-15</v>
      </c>
    </row>
    <row r="2437" spans="1:7" ht="11.1" customHeight="1">
      <c r="A2437" s="600" t="str">
        <f t="shared" ref="A2437:A2500" si="190">B2437&amp;";"&amp;C2437&amp;";"&amp;F2437</f>
        <v>SEK;SEK 3M;MAR 18</v>
      </c>
      <c r="B2437" s="600" t="str">
        <f t="shared" ref="B2437:C2452" si="191">IF(ISBLANK(D2437),B2436,D2437)</f>
        <v>SEK</v>
      </c>
      <c r="C2437" s="600" t="str">
        <f t="shared" si="191"/>
        <v>SEK 3M</v>
      </c>
      <c r="D2437" s="603"/>
      <c r="E2437" s="604"/>
      <c r="F2437" s="607" t="s">
        <v>3866</v>
      </c>
      <c r="G2437" s="611">
        <v>0</v>
      </c>
    </row>
    <row r="2438" spans="1:7" ht="11.1" customHeight="1">
      <c r="A2438" s="600" t="str">
        <f t="shared" si="190"/>
        <v>SEK;SEK 3M;2Y</v>
      </c>
      <c r="B2438" s="600" t="str">
        <f t="shared" si="191"/>
        <v>SEK</v>
      </c>
      <c r="C2438" s="600" t="str">
        <f t="shared" si="191"/>
        <v>SEK 3M</v>
      </c>
      <c r="D2438" s="603"/>
      <c r="E2438" s="604"/>
      <c r="F2438" s="607" t="s">
        <v>9</v>
      </c>
      <c r="G2438" s="611">
        <v>0</v>
      </c>
    </row>
    <row r="2439" spans="1:7" ht="11.1" customHeight="1">
      <c r="A2439" s="600" t="str">
        <f t="shared" si="190"/>
        <v>SEK;SEK 3M;3Y</v>
      </c>
      <c r="B2439" s="600" t="str">
        <f t="shared" si="191"/>
        <v>SEK</v>
      </c>
      <c r="C2439" s="600" t="str">
        <f t="shared" si="191"/>
        <v>SEK 3M</v>
      </c>
      <c r="D2439" s="603"/>
      <c r="E2439" s="604"/>
      <c r="F2439" s="607" t="s">
        <v>10</v>
      </c>
      <c r="G2439" s="611">
        <v>0</v>
      </c>
    </row>
    <row r="2440" spans="1:7" ht="11.1" customHeight="1">
      <c r="A2440" s="600" t="str">
        <f t="shared" si="190"/>
        <v>SEK;SEK 3M;4Y</v>
      </c>
      <c r="B2440" s="600" t="str">
        <f t="shared" si="191"/>
        <v>SEK</v>
      </c>
      <c r="C2440" s="600" t="str">
        <f t="shared" si="191"/>
        <v>SEK 3M</v>
      </c>
      <c r="D2440" s="603"/>
      <c r="E2440" s="604"/>
      <c r="F2440" s="607" t="s">
        <v>11</v>
      </c>
      <c r="G2440" s="611">
        <v>0</v>
      </c>
    </row>
    <row r="2441" spans="1:7" ht="11.1" customHeight="1">
      <c r="A2441" s="600" t="str">
        <f t="shared" si="190"/>
        <v>SEK;SEK 3M;5Y</v>
      </c>
      <c r="B2441" s="600" t="str">
        <f t="shared" si="191"/>
        <v>SEK</v>
      </c>
      <c r="C2441" s="600" t="str">
        <f t="shared" si="191"/>
        <v>SEK 3M</v>
      </c>
      <c r="D2441" s="603"/>
      <c r="E2441" s="604"/>
      <c r="F2441" s="607" t="s">
        <v>12</v>
      </c>
      <c r="G2441" s="611">
        <v>0</v>
      </c>
    </row>
    <row r="2442" spans="1:7" ht="11.1" customHeight="1">
      <c r="A2442" s="600" t="str">
        <f t="shared" si="190"/>
        <v>SEK;SEK 3M;6Y</v>
      </c>
      <c r="B2442" s="600" t="str">
        <f t="shared" si="191"/>
        <v>SEK</v>
      </c>
      <c r="C2442" s="600" t="str">
        <f t="shared" si="191"/>
        <v>SEK 3M</v>
      </c>
      <c r="D2442" s="603"/>
      <c r="E2442" s="604"/>
      <c r="F2442" s="607" t="s">
        <v>13</v>
      </c>
      <c r="G2442" s="611">
        <v>0</v>
      </c>
    </row>
    <row r="2443" spans="1:7" ht="11.1" customHeight="1">
      <c r="A2443" s="600" t="str">
        <f t="shared" si="190"/>
        <v>SEK;SEK 3M;7Y</v>
      </c>
      <c r="B2443" s="600" t="str">
        <f t="shared" si="191"/>
        <v>SEK</v>
      </c>
      <c r="C2443" s="600" t="str">
        <f t="shared" si="191"/>
        <v>SEK 3M</v>
      </c>
      <c r="D2443" s="603"/>
      <c r="E2443" s="604"/>
      <c r="F2443" s="607" t="s">
        <v>14</v>
      </c>
      <c r="G2443" s="608">
        <v>0</v>
      </c>
    </row>
    <row r="2444" spans="1:7" ht="11.1" customHeight="1">
      <c r="A2444" s="600" t="str">
        <f t="shared" si="190"/>
        <v>SEK;SEK 3M;8Y</v>
      </c>
      <c r="B2444" s="600" t="str">
        <f t="shared" si="191"/>
        <v>SEK</v>
      </c>
      <c r="C2444" s="600" t="str">
        <f t="shared" si="191"/>
        <v>SEK 3M</v>
      </c>
      <c r="D2444" s="603"/>
      <c r="E2444" s="604"/>
      <c r="F2444" s="607" t="s">
        <v>15</v>
      </c>
      <c r="G2444" s="608">
        <v>0</v>
      </c>
    </row>
    <row r="2445" spans="1:7" ht="11.1" customHeight="1">
      <c r="A2445" s="600" t="str">
        <f t="shared" si="190"/>
        <v>SEK;SEK 3M;9Y</v>
      </c>
      <c r="B2445" s="600" t="str">
        <f t="shared" si="191"/>
        <v>SEK</v>
      </c>
      <c r="C2445" s="600" t="str">
        <f t="shared" si="191"/>
        <v>SEK 3M</v>
      </c>
      <c r="D2445" s="603"/>
      <c r="E2445" s="604"/>
      <c r="F2445" s="607" t="s">
        <v>16</v>
      </c>
      <c r="G2445" s="608">
        <v>0</v>
      </c>
    </row>
    <row r="2446" spans="1:7" ht="11.1" customHeight="1">
      <c r="A2446" s="600" t="str">
        <f t="shared" si="190"/>
        <v>SEK;SEK 3M;10Y</v>
      </c>
      <c r="B2446" s="600" t="str">
        <f t="shared" si="191"/>
        <v>SEK</v>
      </c>
      <c r="C2446" s="600" t="str">
        <f t="shared" si="191"/>
        <v>SEK 3M</v>
      </c>
      <c r="D2446" s="603"/>
      <c r="E2446" s="604"/>
      <c r="F2446" s="607" t="s">
        <v>17</v>
      </c>
      <c r="G2446" s="608">
        <v>0</v>
      </c>
    </row>
    <row r="2447" spans="1:7" ht="11.1" customHeight="1">
      <c r="A2447" s="600" t="str">
        <f t="shared" si="190"/>
        <v>SEK;SEK 3M;12Y</v>
      </c>
      <c r="B2447" s="600" t="str">
        <f t="shared" si="191"/>
        <v>SEK</v>
      </c>
      <c r="C2447" s="600" t="str">
        <f t="shared" si="191"/>
        <v>SEK 3M</v>
      </c>
      <c r="D2447" s="603"/>
      <c r="E2447" s="604"/>
      <c r="F2447" s="607" t="s">
        <v>18</v>
      </c>
      <c r="G2447" s="608">
        <v>0</v>
      </c>
    </row>
    <row r="2448" spans="1:7" ht="11.1" customHeight="1">
      <c r="A2448" s="600" t="str">
        <f t="shared" si="190"/>
        <v>SEK;SEK 3M;15Y</v>
      </c>
      <c r="B2448" s="600" t="str">
        <f t="shared" si="191"/>
        <v>SEK</v>
      </c>
      <c r="C2448" s="600" t="str">
        <f t="shared" si="191"/>
        <v>SEK 3M</v>
      </c>
      <c r="D2448" s="603"/>
      <c r="E2448" s="604"/>
      <c r="F2448" s="607" t="s">
        <v>19</v>
      </c>
      <c r="G2448" s="608">
        <v>0</v>
      </c>
    </row>
    <row r="2449" spans="1:7" ht="11.1" customHeight="1">
      <c r="A2449" s="600" t="str">
        <f t="shared" si="190"/>
        <v>SEK;SEK 3M;20Y</v>
      </c>
      <c r="B2449" s="600" t="str">
        <f t="shared" si="191"/>
        <v>SEK</v>
      </c>
      <c r="C2449" s="600" t="str">
        <f t="shared" si="191"/>
        <v>SEK 3M</v>
      </c>
      <c r="D2449" s="603"/>
      <c r="E2449" s="604"/>
      <c r="F2449" s="607" t="s">
        <v>20</v>
      </c>
      <c r="G2449" s="608">
        <v>0</v>
      </c>
    </row>
    <row r="2450" spans="1:7" ht="11.1" customHeight="1">
      <c r="A2450" s="600" t="str">
        <f t="shared" si="190"/>
        <v>SEK;SEK 3M;25Y</v>
      </c>
      <c r="B2450" s="600" t="str">
        <f t="shared" si="191"/>
        <v>SEK</v>
      </c>
      <c r="C2450" s="600" t="str">
        <f t="shared" si="191"/>
        <v>SEK 3M</v>
      </c>
      <c r="D2450" s="603"/>
      <c r="E2450" s="604"/>
      <c r="F2450" s="607" t="s">
        <v>21</v>
      </c>
      <c r="G2450" s="608">
        <v>0</v>
      </c>
    </row>
    <row r="2451" spans="1:7" ht="11.1" customHeight="1">
      <c r="A2451" s="600" t="str">
        <f t="shared" si="190"/>
        <v>SEK;SEK 3M;30Y</v>
      </c>
      <c r="B2451" s="600" t="str">
        <f t="shared" si="191"/>
        <v>SEK</v>
      </c>
      <c r="C2451" s="600" t="str">
        <f t="shared" si="191"/>
        <v>SEK 3M</v>
      </c>
      <c r="D2451" s="603"/>
      <c r="E2451" s="604"/>
      <c r="F2451" s="607" t="s">
        <v>22</v>
      </c>
      <c r="G2451" s="608">
        <v>0</v>
      </c>
    </row>
    <row r="2452" spans="1:7" ht="11.1" customHeight="1">
      <c r="A2452" s="600" t="str">
        <f t="shared" si="190"/>
        <v>SEK;SEK FOREX;Total SEK FOREX</v>
      </c>
      <c r="B2452" s="600" t="str">
        <f t="shared" si="191"/>
        <v>SEK</v>
      </c>
      <c r="C2452" s="600" t="str">
        <f t="shared" si="191"/>
        <v>SEK FOREX</v>
      </c>
      <c r="D2452" s="603"/>
      <c r="E2452" s="604" t="s">
        <v>1338</v>
      </c>
      <c r="F2452" s="605" t="s">
        <v>1339</v>
      </c>
      <c r="G2452" s="611">
        <v>0.223595583208967</v>
      </c>
    </row>
    <row r="2453" spans="1:7" ht="11.1" customHeight="1">
      <c r="A2453" s="600" t="str">
        <f t="shared" si="190"/>
        <v>SEK;SEK FOREX;O/N</v>
      </c>
      <c r="B2453" s="600" t="str">
        <f t="shared" ref="B2453:C2468" si="192">IF(ISBLANK(D2453),B2452,D2453)</f>
        <v>SEK</v>
      </c>
      <c r="C2453" s="600" t="str">
        <f t="shared" si="192"/>
        <v>SEK FOREX</v>
      </c>
      <c r="D2453" s="603"/>
      <c r="E2453" s="604"/>
      <c r="F2453" s="607" t="s">
        <v>3</v>
      </c>
      <c r="G2453" s="611">
        <v>0.16769526197585699</v>
      </c>
    </row>
    <row r="2454" spans="1:7" ht="11.1" customHeight="1">
      <c r="A2454" s="600" t="str">
        <f t="shared" si="190"/>
        <v>SEK;SEK FOREX;T/N</v>
      </c>
      <c r="B2454" s="600" t="str">
        <f t="shared" si="192"/>
        <v>SEK</v>
      </c>
      <c r="C2454" s="600" t="str">
        <f t="shared" si="192"/>
        <v>SEK FOREX</v>
      </c>
      <c r="D2454" s="603"/>
      <c r="E2454" s="604"/>
      <c r="F2454" s="607" t="s">
        <v>4</v>
      </c>
      <c r="G2454" s="611">
        <v>5.59003212331124E-2</v>
      </c>
    </row>
    <row r="2455" spans="1:7" ht="11.1" customHeight="1">
      <c r="A2455" s="600" t="str">
        <f t="shared" si="190"/>
        <v>SEK;SEK FOREX;1W</v>
      </c>
      <c r="B2455" s="600" t="str">
        <f t="shared" si="192"/>
        <v>SEK</v>
      </c>
      <c r="C2455" s="600" t="str">
        <f t="shared" si="192"/>
        <v>SEK FOREX</v>
      </c>
      <c r="D2455" s="603"/>
      <c r="E2455" s="604"/>
      <c r="F2455" s="607" t="s">
        <v>5</v>
      </c>
      <c r="G2455" s="608">
        <v>0</v>
      </c>
    </row>
    <row r="2456" spans="1:7" ht="11.1" customHeight="1">
      <c r="A2456" s="600" t="str">
        <f t="shared" si="190"/>
        <v>SEK;SEK FOREX;2W</v>
      </c>
      <c r="B2456" s="600" t="str">
        <f t="shared" si="192"/>
        <v>SEK</v>
      </c>
      <c r="C2456" s="600" t="str">
        <f t="shared" si="192"/>
        <v>SEK FOREX</v>
      </c>
      <c r="D2456" s="603"/>
      <c r="E2456" s="604"/>
      <c r="F2456" s="607" t="s">
        <v>6</v>
      </c>
      <c r="G2456" s="608">
        <v>0</v>
      </c>
    </row>
    <row r="2457" spans="1:7" ht="11.1" customHeight="1">
      <c r="A2457" s="600" t="str">
        <f t="shared" si="190"/>
        <v>SEK;SEK FOREX;3W</v>
      </c>
      <c r="B2457" s="600" t="str">
        <f t="shared" si="192"/>
        <v>SEK</v>
      </c>
      <c r="C2457" s="600" t="str">
        <f t="shared" si="192"/>
        <v>SEK FOREX</v>
      </c>
      <c r="D2457" s="603"/>
      <c r="E2457" s="604"/>
      <c r="F2457" s="607" t="s">
        <v>24</v>
      </c>
      <c r="G2457" s="608">
        <v>0</v>
      </c>
    </row>
    <row r="2458" spans="1:7" ht="11.1" customHeight="1">
      <c r="A2458" s="600" t="str">
        <f t="shared" si="190"/>
        <v>SEK;SEK FOREX;1M</v>
      </c>
      <c r="B2458" s="600" t="str">
        <f t="shared" si="192"/>
        <v>SEK</v>
      </c>
      <c r="C2458" s="600" t="str">
        <f t="shared" si="192"/>
        <v>SEK FOREX</v>
      </c>
      <c r="D2458" s="603"/>
      <c r="E2458" s="604"/>
      <c r="F2458" s="607" t="s">
        <v>7</v>
      </c>
      <c r="G2458" s="608">
        <v>0</v>
      </c>
    </row>
    <row r="2459" spans="1:7" ht="11.1" customHeight="1">
      <c r="A2459" s="600" t="str">
        <f t="shared" si="190"/>
        <v>SEK;SEK FOREX;2M</v>
      </c>
      <c r="B2459" s="600" t="str">
        <f t="shared" si="192"/>
        <v>SEK</v>
      </c>
      <c r="C2459" s="600" t="str">
        <f t="shared" si="192"/>
        <v>SEK FOREX</v>
      </c>
      <c r="D2459" s="603"/>
      <c r="E2459" s="604"/>
      <c r="F2459" s="607" t="s">
        <v>8</v>
      </c>
      <c r="G2459" s="608">
        <v>0</v>
      </c>
    </row>
    <row r="2460" spans="1:7" ht="11.1" customHeight="1">
      <c r="A2460" s="600" t="str">
        <f t="shared" si="190"/>
        <v>SEK;SEK FOREX;3M</v>
      </c>
      <c r="B2460" s="600" t="str">
        <f t="shared" si="192"/>
        <v>SEK</v>
      </c>
      <c r="C2460" s="600" t="str">
        <f t="shared" si="192"/>
        <v>SEK FOREX</v>
      </c>
      <c r="D2460" s="603"/>
      <c r="E2460" s="604"/>
      <c r="F2460" s="607" t="s">
        <v>25</v>
      </c>
      <c r="G2460" s="608">
        <v>0</v>
      </c>
    </row>
    <row r="2461" spans="1:7" ht="11.1" customHeight="1">
      <c r="A2461" s="600" t="str">
        <f t="shared" si="190"/>
        <v>SEK;SEK FOREX;4M</v>
      </c>
      <c r="B2461" s="600" t="str">
        <f t="shared" si="192"/>
        <v>SEK</v>
      </c>
      <c r="C2461" s="600" t="str">
        <f t="shared" si="192"/>
        <v>SEK FOREX</v>
      </c>
      <c r="D2461" s="603"/>
      <c r="E2461" s="604"/>
      <c r="F2461" s="607" t="s">
        <v>26</v>
      </c>
      <c r="G2461" s="608">
        <v>0</v>
      </c>
    </row>
    <row r="2462" spans="1:7" ht="11.1" customHeight="1">
      <c r="A2462" s="600" t="str">
        <f t="shared" si="190"/>
        <v>SEK;SEK FOREX;5M</v>
      </c>
      <c r="B2462" s="600" t="str">
        <f t="shared" si="192"/>
        <v>SEK</v>
      </c>
      <c r="C2462" s="600" t="str">
        <f t="shared" si="192"/>
        <v>SEK FOREX</v>
      </c>
      <c r="D2462" s="603"/>
      <c r="E2462" s="604"/>
      <c r="F2462" s="607" t="s">
        <v>27</v>
      </c>
      <c r="G2462" s="608">
        <v>0</v>
      </c>
    </row>
    <row r="2463" spans="1:7" ht="11.1" customHeight="1">
      <c r="A2463" s="600" t="str">
        <f t="shared" si="190"/>
        <v>SEK;SEK FOREX;6M</v>
      </c>
      <c r="B2463" s="600" t="str">
        <f t="shared" si="192"/>
        <v>SEK</v>
      </c>
      <c r="C2463" s="600" t="str">
        <f t="shared" si="192"/>
        <v>SEK FOREX</v>
      </c>
      <c r="D2463" s="603"/>
      <c r="E2463" s="604"/>
      <c r="F2463" s="607" t="s">
        <v>28</v>
      </c>
      <c r="G2463" s="608">
        <v>0</v>
      </c>
    </row>
    <row r="2464" spans="1:7" ht="11.1" customHeight="1">
      <c r="A2464" s="600" t="str">
        <f t="shared" si="190"/>
        <v>SEK;SEK FOREX;7M</v>
      </c>
      <c r="B2464" s="600" t="str">
        <f t="shared" si="192"/>
        <v>SEK</v>
      </c>
      <c r="C2464" s="600" t="str">
        <f t="shared" si="192"/>
        <v>SEK FOREX</v>
      </c>
      <c r="D2464" s="603"/>
      <c r="E2464" s="604"/>
      <c r="F2464" s="607" t="s">
        <v>29</v>
      </c>
      <c r="G2464" s="608">
        <v>0</v>
      </c>
    </row>
    <row r="2465" spans="1:7" ht="11.1" customHeight="1">
      <c r="A2465" s="600" t="str">
        <f t="shared" si="190"/>
        <v>SEK;SEK FOREX;8M</v>
      </c>
      <c r="B2465" s="600" t="str">
        <f t="shared" si="192"/>
        <v>SEK</v>
      </c>
      <c r="C2465" s="600" t="str">
        <f t="shared" si="192"/>
        <v>SEK FOREX</v>
      </c>
      <c r="D2465" s="603"/>
      <c r="E2465" s="604"/>
      <c r="F2465" s="607" t="s">
        <v>30</v>
      </c>
      <c r="G2465" s="608">
        <v>0</v>
      </c>
    </row>
    <row r="2466" spans="1:7" ht="11.1" customHeight="1">
      <c r="A2466" s="600" t="str">
        <f t="shared" si="190"/>
        <v>SEK;SEK FOREX;9M</v>
      </c>
      <c r="B2466" s="600" t="str">
        <f t="shared" si="192"/>
        <v>SEK</v>
      </c>
      <c r="C2466" s="600" t="str">
        <f t="shared" si="192"/>
        <v>SEK FOREX</v>
      </c>
      <c r="D2466" s="603"/>
      <c r="E2466" s="604"/>
      <c r="F2466" s="607" t="s">
        <v>49</v>
      </c>
      <c r="G2466" s="608">
        <v>0</v>
      </c>
    </row>
    <row r="2467" spans="1:7" ht="11.1" customHeight="1">
      <c r="A2467" s="600" t="str">
        <f t="shared" si="190"/>
        <v>SEK;SEK FOREX;10M</v>
      </c>
      <c r="B2467" s="600" t="str">
        <f t="shared" si="192"/>
        <v>SEK</v>
      </c>
      <c r="C2467" s="600" t="str">
        <f t="shared" si="192"/>
        <v>SEK FOREX</v>
      </c>
      <c r="D2467" s="603"/>
      <c r="E2467" s="604"/>
      <c r="F2467" s="607" t="s">
        <v>50</v>
      </c>
      <c r="G2467" s="608">
        <v>0</v>
      </c>
    </row>
    <row r="2468" spans="1:7" ht="11.1" customHeight="1">
      <c r="A2468" s="600" t="str">
        <f t="shared" si="190"/>
        <v>SEK;SEK FOREX;11M</v>
      </c>
      <c r="B2468" s="600" t="str">
        <f t="shared" si="192"/>
        <v>SEK</v>
      </c>
      <c r="C2468" s="600" t="str">
        <f t="shared" si="192"/>
        <v>SEK FOREX</v>
      </c>
      <c r="D2468" s="603"/>
      <c r="E2468" s="604"/>
      <c r="F2468" s="607" t="s">
        <v>51</v>
      </c>
      <c r="G2468" s="608">
        <v>0</v>
      </c>
    </row>
    <row r="2469" spans="1:7" ht="11.1" customHeight="1">
      <c r="A2469" s="600" t="str">
        <f t="shared" si="190"/>
        <v>SEK;SEK FOREX;12M</v>
      </c>
      <c r="B2469" s="600" t="str">
        <f t="shared" ref="B2469:C2484" si="193">IF(ISBLANK(D2469),B2468,D2469)</f>
        <v>SEK</v>
      </c>
      <c r="C2469" s="600" t="str">
        <f t="shared" si="193"/>
        <v>SEK FOREX</v>
      </c>
      <c r="D2469" s="603"/>
      <c r="E2469" s="604"/>
      <c r="F2469" s="607" t="s">
        <v>52</v>
      </c>
      <c r="G2469" s="608">
        <v>0</v>
      </c>
    </row>
    <row r="2470" spans="1:7" ht="11.1" customHeight="1">
      <c r="A2470" s="600" t="str">
        <f t="shared" si="190"/>
        <v>SEK;SEK FOREX;15M</v>
      </c>
      <c r="B2470" s="600" t="str">
        <f t="shared" si="193"/>
        <v>SEK</v>
      </c>
      <c r="C2470" s="600" t="str">
        <f t="shared" si="193"/>
        <v>SEK FOREX</v>
      </c>
      <c r="D2470" s="603"/>
      <c r="E2470" s="604"/>
      <c r="F2470" s="607" t="s">
        <v>53</v>
      </c>
      <c r="G2470" s="608">
        <v>0</v>
      </c>
    </row>
    <row r="2471" spans="1:7" ht="11.1" customHeight="1">
      <c r="A2471" s="600" t="str">
        <f t="shared" si="190"/>
        <v>SEK;SEK FOREX;18M</v>
      </c>
      <c r="B2471" s="600" t="str">
        <f t="shared" si="193"/>
        <v>SEK</v>
      </c>
      <c r="C2471" s="600" t="str">
        <f t="shared" si="193"/>
        <v>SEK FOREX</v>
      </c>
      <c r="D2471" s="603"/>
      <c r="E2471" s="604"/>
      <c r="F2471" s="607" t="s">
        <v>54</v>
      </c>
      <c r="G2471" s="608">
        <v>0</v>
      </c>
    </row>
    <row r="2472" spans="1:7" ht="11.1" customHeight="1">
      <c r="A2472" s="600" t="str">
        <f t="shared" si="190"/>
        <v>SEK;SEK FOREX;24M</v>
      </c>
      <c r="B2472" s="600" t="str">
        <f t="shared" si="193"/>
        <v>SEK</v>
      </c>
      <c r="C2472" s="600" t="str">
        <f t="shared" si="193"/>
        <v>SEK FOREX</v>
      </c>
      <c r="D2472" s="603"/>
      <c r="E2472" s="604"/>
      <c r="F2472" s="607" t="s">
        <v>659</v>
      </c>
      <c r="G2472" s="608">
        <v>0</v>
      </c>
    </row>
    <row r="2473" spans="1:7" ht="11.1" customHeight="1">
      <c r="A2473" s="600" t="str">
        <f t="shared" si="190"/>
        <v>SEK;SEK FOREX;3Y</v>
      </c>
      <c r="B2473" s="600" t="str">
        <f t="shared" si="193"/>
        <v>SEK</v>
      </c>
      <c r="C2473" s="600" t="str">
        <f t="shared" si="193"/>
        <v>SEK FOREX</v>
      </c>
      <c r="D2473" s="603"/>
      <c r="E2473" s="604"/>
      <c r="F2473" s="607" t="s">
        <v>10</v>
      </c>
      <c r="G2473" s="608">
        <v>0</v>
      </c>
    </row>
    <row r="2474" spans="1:7" ht="11.1" customHeight="1">
      <c r="A2474" s="600" t="str">
        <f t="shared" si="190"/>
        <v>SEK;SEK FOREX;4Y</v>
      </c>
      <c r="B2474" s="600" t="str">
        <f t="shared" si="193"/>
        <v>SEK</v>
      </c>
      <c r="C2474" s="600" t="str">
        <f t="shared" si="193"/>
        <v>SEK FOREX</v>
      </c>
      <c r="D2474" s="603"/>
      <c r="E2474" s="604"/>
      <c r="F2474" s="607" t="s">
        <v>11</v>
      </c>
      <c r="G2474" s="608">
        <v>0</v>
      </c>
    </row>
    <row r="2475" spans="1:7" ht="11.1" customHeight="1">
      <c r="A2475" s="600" t="str">
        <f t="shared" si="190"/>
        <v>SEK;SEK FOREX;5Y</v>
      </c>
      <c r="B2475" s="600" t="str">
        <f t="shared" si="193"/>
        <v>SEK</v>
      </c>
      <c r="C2475" s="600" t="str">
        <f t="shared" si="193"/>
        <v>SEK FOREX</v>
      </c>
      <c r="D2475" s="603"/>
      <c r="E2475" s="604"/>
      <c r="F2475" s="607" t="s">
        <v>12</v>
      </c>
      <c r="G2475" s="608">
        <v>0</v>
      </c>
    </row>
    <row r="2476" spans="1:7" ht="11.1" customHeight="1">
      <c r="A2476" s="600" t="str">
        <f t="shared" si="190"/>
        <v>SEK;SEK FOREX;6Y</v>
      </c>
      <c r="B2476" s="600" t="str">
        <f t="shared" si="193"/>
        <v>SEK</v>
      </c>
      <c r="C2476" s="600" t="str">
        <f t="shared" si="193"/>
        <v>SEK FOREX</v>
      </c>
      <c r="D2476" s="603"/>
      <c r="E2476" s="604"/>
      <c r="F2476" s="607" t="s">
        <v>13</v>
      </c>
      <c r="G2476" s="608">
        <v>0</v>
      </c>
    </row>
    <row r="2477" spans="1:7" ht="11.1" customHeight="1">
      <c r="A2477" s="600" t="str">
        <f t="shared" si="190"/>
        <v>SEK;SEK FOREX;7Y</v>
      </c>
      <c r="B2477" s="600" t="str">
        <f t="shared" si="193"/>
        <v>SEK</v>
      </c>
      <c r="C2477" s="600" t="str">
        <f t="shared" si="193"/>
        <v>SEK FOREX</v>
      </c>
      <c r="D2477" s="603"/>
      <c r="E2477" s="604"/>
      <c r="F2477" s="607" t="s">
        <v>14</v>
      </c>
      <c r="G2477" s="608">
        <v>0</v>
      </c>
    </row>
    <row r="2478" spans="1:7" ht="11.1" customHeight="1">
      <c r="A2478" s="600" t="str">
        <f t="shared" si="190"/>
        <v>SEK;SEK FOREX;8Y</v>
      </c>
      <c r="B2478" s="600" t="str">
        <f t="shared" si="193"/>
        <v>SEK</v>
      </c>
      <c r="C2478" s="600" t="str">
        <f t="shared" si="193"/>
        <v>SEK FOREX</v>
      </c>
      <c r="D2478" s="603"/>
      <c r="E2478" s="604"/>
      <c r="F2478" s="607" t="s">
        <v>15</v>
      </c>
      <c r="G2478" s="608">
        <v>0</v>
      </c>
    </row>
    <row r="2479" spans="1:7" ht="11.1" customHeight="1">
      <c r="A2479" s="600" t="str">
        <f t="shared" si="190"/>
        <v>SEK;SEK FOREX;9Y</v>
      </c>
      <c r="B2479" s="600" t="str">
        <f t="shared" si="193"/>
        <v>SEK</v>
      </c>
      <c r="C2479" s="600" t="str">
        <f t="shared" si="193"/>
        <v>SEK FOREX</v>
      </c>
      <c r="D2479" s="603"/>
      <c r="E2479" s="604"/>
      <c r="F2479" s="607" t="s">
        <v>16</v>
      </c>
      <c r="G2479" s="608">
        <v>0</v>
      </c>
    </row>
    <row r="2480" spans="1:7" ht="11.1" customHeight="1">
      <c r="A2480" s="600" t="str">
        <f t="shared" si="190"/>
        <v>SEK;SEK FOREX;10Y</v>
      </c>
      <c r="B2480" s="600" t="str">
        <f t="shared" si="193"/>
        <v>SEK</v>
      </c>
      <c r="C2480" s="600" t="str">
        <f t="shared" si="193"/>
        <v>SEK FOREX</v>
      </c>
      <c r="D2480" s="603"/>
      <c r="E2480" s="604"/>
      <c r="F2480" s="607" t="s">
        <v>17</v>
      </c>
      <c r="G2480" s="608">
        <v>0</v>
      </c>
    </row>
    <row r="2481" spans="1:7" ht="11.1" customHeight="1">
      <c r="A2481" s="600" t="str">
        <f t="shared" si="190"/>
        <v>SEK;SEK FOREX;11Y</v>
      </c>
      <c r="B2481" s="600" t="str">
        <f t="shared" si="193"/>
        <v>SEK</v>
      </c>
      <c r="C2481" s="600" t="str">
        <f t="shared" si="193"/>
        <v>SEK FOREX</v>
      </c>
      <c r="D2481" s="603"/>
      <c r="E2481" s="604"/>
      <c r="F2481" s="607" t="s">
        <v>31</v>
      </c>
      <c r="G2481" s="608">
        <v>0</v>
      </c>
    </row>
    <row r="2482" spans="1:7" ht="11.1" customHeight="1">
      <c r="A2482" s="600" t="str">
        <f t="shared" si="190"/>
        <v>SEK;SEK FOREX;12Y</v>
      </c>
      <c r="B2482" s="600" t="str">
        <f t="shared" si="193"/>
        <v>SEK</v>
      </c>
      <c r="C2482" s="600" t="str">
        <f t="shared" si="193"/>
        <v>SEK FOREX</v>
      </c>
      <c r="D2482" s="603"/>
      <c r="E2482" s="604"/>
      <c r="F2482" s="607" t="s">
        <v>18</v>
      </c>
      <c r="G2482" s="608">
        <v>0</v>
      </c>
    </row>
    <row r="2483" spans="1:7" ht="11.1" customHeight="1">
      <c r="A2483" s="600" t="str">
        <f t="shared" si="190"/>
        <v>SEK;SEK FOREX;13Y</v>
      </c>
      <c r="B2483" s="600" t="str">
        <f t="shared" si="193"/>
        <v>SEK</v>
      </c>
      <c r="C2483" s="600" t="str">
        <f t="shared" si="193"/>
        <v>SEK FOREX</v>
      </c>
      <c r="D2483" s="603"/>
      <c r="E2483" s="604"/>
      <c r="F2483" s="607" t="s">
        <v>32</v>
      </c>
      <c r="G2483" s="608">
        <v>0</v>
      </c>
    </row>
    <row r="2484" spans="1:7" ht="11.1" customHeight="1">
      <c r="A2484" s="600" t="str">
        <f t="shared" si="190"/>
        <v>SEK;SEK FOREX;14Y</v>
      </c>
      <c r="B2484" s="600" t="str">
        <f t="shared" si="193"/>
        <v>SEK</v>
      </c>
      <c r="C2484" s="600" t="str">
        <f t="shared" si="193"/>
        <v>SEK FOREX</v>
      </c>
      <c r="D2484" s="603"/>
      <c r="E2484" s="604"/>
      <c r="F2484" s="607" t="s">
        <v>33</v>
      </c>
      <c r="G2484" s="608">
        <v>0</v>
      </c>
    </row>
    <row r="2485" spans="1:7" ht="11.1" customHeight="1">
      <c r="A2485" s="600" t="str">
        <f t="shared" si="190"/>
        <v>SEK;SEK FOREX;15Y</v>
      </c>
      <c r="B2485" s="600" t="str">
        <f t="shared" ref="B2485:C2500" si="194">IF(ISBLANK(D2485),B2484,D2485)</f>
        <v>SEK</v>
      </c>
      <c r="C2485" s="600" t="str">
        <f t="shared" si="194"/>
        <v>SEK FOREX</v>
      </c>
      <c r="D2485" s="603"/>
      <c r="E2485" s="604"/>
      <c r="F2485" s="607" t="s">
        <v>19</v>
      </c>
      <c r="G2485" s="608">
        <v>0</v>
      </c>
    </row>
    <row r="2486" spans="1:7" ht="11.1" customHeight="1">
      <c r="A2486" s="600" t="str">
        <f t="shared" si="190"/>
        <v>SEK;SEK FOREX;16Y</v>
      </c>
      <c r="B2486" s="600" t="str">
        <f t="shared" si="194"/>
        <v>SEK</v>
      </c>
      <c r="C2486" s="600" t="str">
        <f t="shared" si="194"/>
        <v>SEK FOREX</v>
      </c>
      <c r="D2486" s="603"/>
      <c r="E2486" s="604"/>
      <c r="F2486" s="607" t="s">
        <v>34</v>
      </c>
      <c r="G2486" s="608">
        <v>0</v>
      </c>
    </row>
    <row r="2487" spans="1:7" ht="11.1" customHeight="1">
      <c r="A2487" s="600" t="str">
        <f t="shared" si="190"/>
        <v>SEK;SEK FOREX;17Y</v>
      </c>
      <c r="B2487" s="600" t="str">
        <f t="shared" si="194"/>
        <v>SEK</v>
      </c>
      <c r="C2487" s="600" t="str">
        <f t="shared" si="194"/>
        <v>SEK FOREX</v>
      </c>
      <c r="D2487" s="603"/>
      <c r="E2487" s="604"/>
      <c r="F2487" s="607" t="s">
        <v>35</v>
      </c>
      <c r="G2487" s="608">
        <v>0</v>
      </c>
    </row>
    <row r="2488" spans="1:7" ht="11.1" customHeight="1">
      <c r="A2488" s="600" t="str">
        <f t="shared" si="190"/>
        <v>SEK;SEK FOREX;18Y</v>
      </c>
      <c r="B2488" s="600" t="str">
        <f t="shared" si="194"/>
        <v>SEK</v>
      </c>
      <c r="C2488" s="600" t="str">
        <f t="shared" si="194"/>
        <v>SEK FOREX</v>
      </c>
      <c r="D2488" s="603"/>
      <c r="E2488" s="604"/>
      <c r="F2488" s="607" t="s">
        <v>36</v>
      </c>
      <c r="G2488" s="608">
        <v>0</v>
      </c>
    </row>
    <row r="2489" spans="1:7" ht="11.1" customHeight="1">
      <c r="A2489" s="600" t="str">
        <f t="shared" si="190"/>
        <v>SEK;SEK FOREX;19Y</v>
      </c>
      <c r="B2489" s="600" t="str">
        <f t="shared" si="194"/>
        <v>SEK</v>
      </c>
      <c r="C2489" s="600" t="str">
        <f t="shared" si="194"/>
        <v>SEK FOREX</v>
      </c>
      <c r="D2489" s="603"/>
      <c r="E2489" s="604"/>
      <c r="F2489" s="607" t="s">
        <v>37</v>
      </c>
      <c r="G2489" s="608">
        <v>0</v>
      </c>
    </row>
    <row r="2490" spans="1:7" ht="11.1" customHeight="1">
      <c r="A2490" s="600" t="str">
        <f t="shared" si="190"/>
        <v>SEK;SEK FOREX;20Y</v>
      </c>
      <c r="B2490" s="600" t="str">
        <f t="shared" si="194"/>
        <v>SEK</v>
      </c>
      <c r="C2490" s="600" t="str">
        <f t="shared" si="194"/>
        <v>SEK FOREX</v>
      </c>
      <c r="D2490" s="603"/>
      <c r="E2490" s="604"/>
      <c r="F2490" s="607" t="s">
        <v>20</v>
      </c>
      <c r="G2490" s="608">
        <v>0</v>
      </c>
    </row>
    <row r="2491" spans="1:7" ht="11.1" customHeight="1">
      <c r="A2491" s="600" t="str">
        <f t="shared" si="190"/>
        <v>SEK;SEK FOREX;21Y</v>
      </c>
      <c r="B2491" s="600" t="str">
        <f t="shared" si="194"/>
        <v>SEK</v>
      </c>
      <c r="C2491" s="600" t="str">
        <f t="shared" si="194"/>
        <v>SEK FOREX</v>
      </c>
      <c r="D2491" s="603"/>
      <c r="E2491" s="604"/>
      <c r="F2491" s="607" t="s">
        <v>38</v>
      </c>
      <c r="G2491" s="608">
        <v>0</v>
      </c>
    </row>
    <row r="2492" spans="1:7" ht="11.1" customHeight="1">
      <c r="A2492" s="600" t="str">
        <f t="shared" si="190"/>
        <v>SEK;SEK FOREX;22Y</v>
      </c>
      <c r="B2492" s="600" t="str">
        <f t="shared" si="194"/>
        <v>SEK</v>
      </c>
      <c r="C2492" s="600" t="str">
        <f t="shared" si="194"/>
        <v>SEK FOREX</v>
      </c>
      <c r="D2492" s="603"/>
      <c r="E2492" s="604"/>
      <c r="F2492" s="607" t="s">
        <v>39</v>
      </c>
      <c r="G2492" s="608">
        <v>0</v>
      </c>
    </row>
    <row r="2493" spans="1:7" ht="11.1" customHeight="1">
      <c r="A2493" s="600" t="str">
        <f t="shared" si="190"/>
        <v>SEK;SEK FOREX;23Y</v>
      </c>
      <c r="B2493" s="600" t="str">
        <f t="shared" si="194"/>
        <v>SEK</v>
      </c>
      <c r="C2493" s="600" t="str">
        <f t="shared" si="194"/>
        <v>SEK FOREX</v>
      </c>
      <c r="D2493" s="603"/>
      <c r="E2493" s="604"/>
      <c r="F2493" s="607" t="s">
        <v>40</v>
      </c>
      <c r="G2493" s="608">
        <v>0</v>
      </c>
    </row>
    <row r="2494" spans="1:7" ht="11.1" customHeight="1">
      <c r="A2494" s="600" t="str">
        <f t="shared" si="190"/>
        <v>SEK;SEK FOREX;24Y</v>
      </c>
      <c r="B2494" s="600" t="str">
        <f t="shared" si="194"/>
        <v>SEK</v>
      </c>
      <c r="C2494" s="600" t="str">
        <f t="shared" si="194"/>
        <v>SEK FOREX</v>
      </c>
      <c r="D2494" s="603"/>
      <c r="E2494" s="604"/>
      <c r="F2494" s="607" t="s">
        <v>41</v>
      </c>
      <c r="G2494" s="608">
        <v>0</v>
      </c>
    </row>
    <row r="2495" spans="1:7" ht="11.1" customHeight="1">
      <c r="A2495" s="600" t="str">
        <f t="shared" si="190"/>
        <v>SEK;SEK FOREX;25Y</v>
      </c>
      <c r="B2495" s="600" t="str">
        <f t="shared" si="194"/>
        <v>SEK</v>
      </c>
      <c r="C2495" s="600" t="str">
        <f t="shared" si="194"/>
        <v>SEK FOREX</v>
      </c>
      <c r="D2495" s="603"/>
      <c r="E2495" s="604"/>
      <c r="F2495" s="607" t="s">
        <v>21</v>
      </c>
      <c r="G2495" s="608">
        <v>0</v>
      </c>
    </row>
    <row r="2496" spans="1:7" ht="11.1" customHeight="1">
      <c r="A2496" s="600" t="str">
        <f t="shared" si="190"/>
        <v>SEK;SEK FOREX;26Y</v>
      </c>
      <c r="B2496" s="600" t="str">
        <f t="shared" si="194"/>
        <v>SEK</v>
      </c>
      <c r="C2496" s="600" t="str">
        <f t="shared" si="194"/>
        <v>SEK FOREX</v>
      </c>
      <c r="D2496" s="603"/>
      <c r="E2496" s="604"/>
      <c r="F2496" s="607" t="s">
        <v>42</v>
      </c>
      <c r="G2496" s="608">
        <v>0</v>
      </c>
    </row>
    <row r="2497" spans="1:7" ht="11.1" customHeight="1">
      <c r="A2497" s="600" t="str">
        <f t="shared" si="190"/>
        <v>SEK;SEK FOREX;27Y</v>
      </c>
      <c r="B2497" s="600" t="str">
        <f t="shared" si="194"/>
        <v>SEK</v>
      </c>
      <c r="C2497" s="600" t="str">
        <f t="shared" si="194"/>
        <v>SEK FOREX</v>
      </c>
      <c r="D2497" s="603"/>
      <c r="E2497" s="604"/>
      <c r="F2497" s="607" t="s">
        <v>43</v>
      </c>
      <c r="G2497" s="608">
        <v>0</v>
      </c>
    </row>
    <row r="2498" spans="1:7" ht="11.1" customHeight="1">
      <c r="A2498" s="600" t="str">
        <f t="shared" si="190"/>
        <v>SEK;SEK FOREX;28Y</v>
      </c>
      <c r="B2498" s="600" t="str">
        <f t="shared" si="194"/>
        <v>SEK</v>
      </c>
      <c r="C2498" s="600" t="str">
        <f t="shared" si="194"/>
        <v>SEK FOREX</v>
      </c>
      <c r="D2498" s="603"/>
      <c r="E2498" s="604"/>
      <c r="F2498" s="607" t="s">
        <v>44</v>
      </c>
      <c r="G2498" s="608">
        <v>0</v>
      </c>
    </row>
    <row r="2499" spans="1:7" ht="11.1" customHeight="1">
      <c r="A2499" s="600" t="str">
        <f t="shared" si="190"/>
        <v>SEK;SEK FOREX;29Y</v>
      </c>
      <c r="B2499" s="600" t="str">
        <f t="shared" si="194"/>
        <v>SEK</v>
      </c>
      <c r="C2499" s="600" t="str">
        <f t="shared" si="194"/>
        <v>SEK FOREX</v>
      </c>
      <c r="D2499" s="603"/>
      <c r="E2499" s="604"/>
      <c r="F2499" s="607" t="s">
        <v>45</v>
      </c>
      <c r="G2499" s="608">
        <v>0</v>
      </c>
    </row>
    <row r="2500" spans="1:7" ht="11.1" customHeight="1">
      <c r="A2500" s="600" t="str">
        <f t="shared" si="190"/>
        <v>SEK;SEK FOREX;30Y</v>
      </c>
      <c r="B2500" s="600" t="str">
        <f t="shared" si="194"/>
        <v>SEK</v>
      </c>
      <c r="C2500" s="600" t="str">
        <f t="shared" si="194"/>
        <v>SEK FOREX</v>
      </c>
      <c r="D2500" s="603"/>
      <c r="E2500" s="604"/>
      <c r="F2500" s="607" t="s">
        <v>22</v>
      </c>
      <c r="G2500" s="608">
        <v>0</v>
      </c>
    </row>
    <row r="2501" spans="1:7" ht="11.1" customHeight="1">
      <c r="A2501" s="600" t="str">
        <f t="shared" ref="A2501:A2564" si="195">B2501&amp;";"&amp;C2501&amp;";"&amp;F2501</f>
        <v>SEK;SEK OIS;Total SEK OIS</v>
      </c>
      <c r="B2501" s="600" t="str">
        <f t="shared" ref="B2501:C2516" si="196">IF(ISBLANK(D2501),B2500,D2501)</f>
        <v>SEK</v>
      </c>
      <c r="C2501" s="600" t="str">
        <f t="shared" si="196"/>
        <v>SEK OIS</v>
      </c>
      <c r="D2501" s="603"/>
      <c r="E2501" s="604" t="s">
        <v>3908</v>
      </c>
      <c r="F2501" s="605" t="s">
        <v>3909</v>
      </c>
      <c r="G2501" s="606">
        <v>-2.06966496892058E-13</v>
      </c>
    </row>
    <row r="2502" spans="1:7" ht="11.1" customHeight="1">
      <c r="A2502" s="600" t="str">
        <f t="shared" si="195"/>
        <v>SEK;SEK OIS;O/N</v>
      </c>
      <c r="B2502" s="600" t="str">
        <f t="shared" si="196"/>
        <v>SEK</v>
      </c>
      <c r="C2502" s="600" t="str">
        <f t="shared" si="196"/>
        <v>SEK OIS</v>
      </c>
      <c r="D2502" s="603"/>
      <c r="E2502" s="604"/>
      <c r="F2502" s="607" t="s">
        <v>3</v>
      </c>
      <c r="G2502" s="611">
        <v>0</v>
      </c>
    </row>
    <row r="2503" spans="1:7" ht="11.1" customHeight="1">
      <c r="A2503" s="600" t="str">
        <f t="shared" si="195"/>
        <v>SEK;SEK OIS;T/N</v>
      </c>
      <c r="B2503" s="600" t="str">
        <f t="shared" si="196"/>
        <v>SEK</v>
      </c>
      <c r="C2503" s="600" t="str">
        <f t="shared" si="196"/>
        <v>SEK OIS</v>
      </c>
      <c r="D2503" s="603"/>
      <c r="E2503" s="604"/>
      <c r="F2503" s="607" t="s">
        <v>4</v>
      </c>
      <c r="G2503" s="611">
        <v>0</v>
      </c>
    </row>
    <row r="2504" spans="1:7" ht="11.1" customHeight="1">
      <c r="A2504" s="600" t="str">
        <f t="shared" si="195"/>
        <v>SEK;SEK OIS;1M</v>
      </c>
      <c r="B2504" s="600" t="str">
        <f t="shared" si="196"/>
        <v>SEK</v>
      </c>
      <c r="C2504" s="600" t="str">
        <f t="shared" si="196"/>
        <v>SEK OIS</v>
      </c>
      <c r="D2504" s="603"/>
      <c r="E2504" s="604"/>
      <c r="F2504" s="607" t="s">
        <v>7</v>
      </c>
      <c r="G2504" s="611">
        <v>0</v>
      </c>
    </row>
    <row r="2505" spans="1:7" ht="11.1" customHeight="1">
      <c r="A2505" s="600" t="str">
        <f t="shared" si="195"/>
        <v>SEK;SEK OIS;2M</v>
      </c>
      <c r="B2505" s="600" t="str">
        <f t="shared" si="196"/>
        <v>SEK</v>
      </c>
      <c r="C2505" s="600" t="str">
        <f t="shared" si="196"/>
        <v>SEK OIS</v>
      </c>
      <c r="D2505" s="603"/>
      <c r="E2505" s="604"/>
      <c r="F2505" s="607" t="s">
        <v>8</v>
      </c>
      <c r="G2505" s="611">
        <v>0</v>
      </c>
    </row>
    <row r="2506" spans="1:7" ht="11.1" customHeight="1">
      <c r="A2506" s="600" t="str">
        <f t="shared" si="195"/>
        <v>SEK;SEK OIS;3M</v>
      </c>
      <c r="B2506" s="600" t="str">
        <f t="shared" si="196"/>
        <v>SEK</v>
      </c>
      <c r="C2506" s="600" t="str">
        <f t="shared" si="196"/>
        <v>SEK OIS</v>
      </c>
      <c r="D2506" s="603"/>
      <c r="E2506" s="604"/>
      <c r="F2506" s="607" t="s">
        <v>25</v>
      </c>
      <c r="G2506" s="611">
        <v>2.0057740190981801E-18</v>
      </c>
    </row>
    <row r="2507" spans="1:7" ht="11.1" customHeight="1">
      <c r="A2507" s="600" t="str">
        <f t="shared" si="195"/>
        <v>SEK;SEK OIS;4M</v>
      </c>
      <c r="B2507" s="600" t="str">
        <f t="shared" si="196"/>
        <v>SEK</v>
      </c>
      <c r="C2507" s="600" t="str">
        <f t="shared" si="196"/>
        <v>SEK OIS</v>
      </c>
      <c r="D2507" s="603"/>
      <c r="E2507" s="604"/>
      <c r="F2507" s="607" t="s">
        <v>26</v>
      </c>
      <c r="G2507" s="606">
        <v>-8.6736173798840393E-19</v>
      </c>
    </row>
    <row r="2508" spans="1:7" ht="11.1" customHeight="1">
      <c r="A2508" s="600" t="str">
        <f t="shared" si="195"/>
        <v>SEK;SEK OIS;5M</v>
      </c>
      <c r="B2508" s="600" t="str">
        <f t="shared" si="196"/>
        <v>SEK</v>
      </c>
      <c r="C2508" s="600" t="str">
        <f t="shared" si="196"/>
        <v>SEK OIS</v>
      </c>
      <c r="D2508" s="603"/>
      <c r="E2508" s="604"/>
      <c r="F2508" s="607" t="s">
        <v>27</v>
      </c>
      <c r="G2508" s="611">
        <v>0</v>
      </c>
    </row>
    <row r="2509" spans="1:7" ht="11.1" customHeight="1">
      <c r="A2509" s="600" t="str">
        <f t="shared" si="195"/>
        <v>SEK;SEK OIS;6M</v>
      </c>
      <c r="B2509" s="600" t="str">
        <f t="shared" si="196"/>
        <v>SEK</v>
      </c>
      <c r="C2509" s="600" t="str">
        <f t="shared" si="196"/>
        <v>SEK OIS</v>
      </c>
      <c r="D2509" s="603"/>
      <c r="E2509" s="604"/>
      <c r="F2509" s="607" t="s">
        <v>28</v>
      </c>
      <c r="G2509" s="611">
        <v>6.9388939039072296E-17</v>
      </c>
    </row>
    <row r="2510" spans="1:7" ht="11.1" customHeight="1">
      <c r="A2510" s="600" t="str">
        <f t="shared" si="195"/>
        <v>SEK;SEK OIS;9M</v>
      </c>
      <c r="B2510" s="600" t="str">
        <f t="shared" si="196"/>
        <v>SEK</v>
      </c>
      <c r="C2510" s="600" t="str">
        <f t="shared" si="196"/>
        <v>SEK OIS</v>
      </c>
      <c r="D2510" s="603"/>
      <c r="E2510" s="604"/>
      <c r="F2510" s="607" t="s">
        <v>49</v>
      </c>
      <c r="G2510" s="606">
        <v>-1.1191048088221599E-13</v>
      </c>
    </row>
    <row r="2511" spans="1:7" ht="11.1" customHeight="1">
      <c r="A2511" s="600" t="str">
        <f t="shared" si="195"/>
        <v>SEK;SEK OIS;1Y</v>
      </c>
      <c r="B2511" s="600" t="str">
        <f t="shared" si="196"/>
        <v>SEK</v>
      </c>
      <c r="C2511" s="600" t="str">
        <f t="shared" si="196"/>
        <v>SEK OIS</v>
      </c>
      <c r="D2511" s="603"/>
      <c r="E2511" s="604"/>
      <c r="F2511" s="607" t="s">
        <v>56</v>
      </c>
      <c r="G2511" s="611">
        <v>0</v>
      </c>
    </row>
    <row r="2512" spans="1:7" ht="11.1" customHeight="1">
      <c r="A2512" s="600" t="str">
        <f t="shared" si="195"/>
        <v>SEK;SEK OIS;2Y</v>
      </c>
      <c r="B2512" s="600" t="str">
        <f t="shared" si="196"/>
        <v>SEK</v>
      </c>
      <c r="C2512" s="600" t="str">
        <f t="shared" si="196"/>
        <v>SEK OIS</v>
      </c>
      <c r="D2512" s="603"/>
      <c r="E2512" s="604"/>
      <c r="F2512" s="607" t="s">
        <v>9</v>
      </c>
      <c r="G2512" s="611">
        <v>1.7763568394002501E-15</v>
      </c>
    </row>
    <row r="2513" spans="1:7" ht="11.1" customHeight="1">
      <c r="A2513" s="600" t="str">
        <f t="shared" si="195"/>
        <v>SEK;SEK OIS;3Y</v>
      </c>
      <c r="B2513" s="600" t="str">
        <f t="shared" si="196"/>
        <v>SEK</v>
      </c>
      <c r="C2513" s="600" t="str">
        <f t="shared" si="196"/>
        <v>SEK OIS</v>
      </c>
      <c r="D2513" s="603"/>
      <c r="E2513" s="604"/>
      <c r="F2513" s="607" t="s">
        <v>10</v>
      </c>
      <c r="G2513" s="611">
        <v>5.2388648974499598E-15</v>
      </c>
    </row>
    <row r="2514" spans="1:7" ht="11.1" customHeight="1">
      <c r="A2514" s="600" t="str">
        <f t="shared" si="195"/>
        <v>SEK;SEK OIS;4Y</v>
      </c>
      <c r="B2514" s="600" t="str">
        <f t="shared" si="196"/>
        <v>SEK</v>
      </c>
      <c r="C2514" s="600" t="str">
        <f t="shared" si="196"/>
        <v>SEK OIS</v>
      </c>
      <c r="D2514" s="603"/>
      <c r="E2514" s="604"/>
      <c r="F2514" s="607" t="s">
        <v>11</v>
      </c>
      <c r="G2514" s="611">
        <v>0</v>
      </c>
    </row>
    <row r="2515" spans="1:7" ht="11.1" customHeight="1">
      <c r="A2515" s="600" t="str">
        <f t="shared" si="195"/>
        <v>SEK;SEK OIS;5Y</v>
      </c>
      <c r="B2515" s="600" t="str">
        <f t="shared" si="196"/>
        <v>SEK</v>
      </c>
      <c r="C2515" s="600" t="str">
        <f t="shared" si="196"/>
        <v>SEK OIS</v>
      </c>
      <c r="D2515" s="603"/>
      <c r="E2515" s="604"/>
      <c r="F2515" s="607" t="s">
        <v>12</v>
      </c>
      <c r="G2515" s="608">
        <v>0</v>
      </c>
    </row>
    <row r="2516" spans="1:7" ht="11.1" customHeight="1">
      <c r="A2516" s="600" t="str">
        <f t="shared" si="195"/>
        <v>SEK;SEK OIS;6Y</v>
      </c>
      <c r="B2516" s="600" t="str">
        <f t="shared" si="196"/>
        <v>SEK</v>
      </c>
      <c r="C2516" s="600" t="str">
        <f t="shared" si="196"/>
        <v>SEK OIS</v>
      </c>
      <c r="D2516" s="603"/>
      <c r="E2516" s="604"/>
      <c r="F2516" s="607" t="s">
        <v>13</v>
      </c>
      <c r="G2516" s="608">
        <v>0</v>
      </c>
    </row>
    <row r="2517" spans="1:7" ht="11.1" customHeight="1">
      <c r="A2517" s="600" t="str">
        <f t="shared" si="195"/>
        <v>SEK;SEK OIS;7Y</v>
      </c>
      <c r="B2517" s="600" t="str">
        <f t="shared" ref="B2517:C2532" si="197">IF(ISBLANK(D2517),B2516,D2517)</f>
        <v>SEK</v>
      </c>
      <c r="C2517" s="600" t="str">
        <f t="shared" si="197"/>
        <v>SEK OIS</v>
      </c>
      <c r="D2517" s="603"/>
      <c r="E2517" s="604"/>
      <c r="F2517" s="607" t="s">
        <v>14</v>
      </c>
      <c r="G2517" s="608">
        <v>0</v>
      </c>
    </row>
    <row r="2518" spans="1:7" ht="11.1" customHeight="1">
      <c r="A2518" s="600" t="str">
        <f t="shared" si="195"/>
        <v>SEK;SEK OIS;8Y</v>
      </c>
      <c r="B2518" s="600" t="str">
        <f t="shared" si="197"/>
        <v>SEK</v>
      </c>
      <c r="C2518" s="600" t="str">
        <f t="shared" si="197"/>
        <v>SEK OIS</v>
      </c>
      <c r="D2518" s="603"/>
      <c r="E2518" s="604"/>
      <c r="F2518" s="607" t="s">
        <v>15</v>
      </c>
      <c r="G2518" s="608">
        <v>0</v>
      </c>
    </row>
    <row r="2519" spans="1:7" ht="11.1" customHeight="1">
      <c r="A2519" s="600" t="str">
        <f t="shared" si="195"/>
        <v>SEK;SEK OIS;9Y</v>
      </c>
      <c r="B2519" s="600" t="str">
        <f t="shared" si="197"/>
        <v>SEK</v>
      </c>
      <c r="C2519" s="600" t="str">
        <f t="shared" si="197"/>
        <v>SEK OIS</v>
      </c>
      <c r="D2519" s="603"/>
      <c r="E2519" s="604"/>
      <c r="F2519" s="607" t="s">
        <v>16</v>
      </c>
      <c r="G2519" s="608">
        <v>0</v>
      </c>
    </row>
    <row r="2520" spans="1:7" ht="11.1" customHeight="1">
      <c r="A2520" s="600" t="str">
        <f t="shared" si="195"/>
        <v>SEK;SEK OIS;10Y</v>
      </c>
      <c r="B2520" s="600" t="str">
        <f t="shared" si="197"/>
        <v>SEK</v>
      </c>
      <c r="C2520" s="600" t="str">
        <f t="shared" si="197"/>
        <v>SEK OIS</v>
      </c>
      <c r="D2520" s="603"/>
      <c r="E2520" s="604"/>
      <c r="F2520" s="607" t="s">
        <v>17</v>
      </c>
      <c r="G2520" s="608">
        <v>0</v>
      </c>
    </row>
    <row r="2521" spans="1:7" ht="11.1" customHeight="1">
      <c r="A2521" s="600" t="str">
        <f t="shared" si="195"/>
        <v>SEK;SEK OIS;12Y</v>
      </c>
      <c r="B2521" s="600" t="str">
        <f t="shared" si="197"/>
        <v>SEK</v>
      </c>
      <c r="C2521" s="600" t="str">
        <f t="shared" si="197"/>
        <v>SEK OIS</v>
      </c>
      <c r="D2521" s="603"/>
      <c r="E2521" s="604"/>
      <c r="F2521" s="607" t="s">
        <v>18</v>
      </c>
      <c r="G2521" s="608">
        <v>0</v>
      </c>
    </row>
    <row r="2522" spans="1:7" ht="11.1" customHeight="1">
      <c r="A2522" s="600" t="str">
        <f t="shared" si="195"/>
        <v>SEK;SEK OIS;15Y</v>
      </c>
      <c r="B2522" s="600" t="str">
        <f t="shared" si="197"/>
        <v>SEK</v>
      </c>
      <c r="C2522" s="600" t="str">
        <f t="shared" si="197"/>
        <v>SEK OIS</v>
      </c>
      <c r="D2522" s="603"/>
      <c r="E2522" s="604"/>
      <c r="F2522" s="607" t="s">
        <v>19</v>
      </c>
      <c r="G2522" s="608">
        <v>0</v>
      </c>
    </row>
    <row r="2523" spans="1:7" ht="11.1" customHeight="1">
      <c r="A2523" s="600" t="str">
        <f t="shared" si="195"/>
        <v>SEK;SEK OIS;20Y</v>
      </c>
      <c r="B2523" s="600" t="str">
        <f t="shared" si="197"/>
        <v>SEK</v>
      </c>
      <c r="C2523" s="600" t="str">
        <f t="shared" si="197"/>
        <v>SEK OIS</v>
      </c>
      <c r="D2523" s="603"/>
      <c r="E2523" s="604"/>
      <c r="F2523" s="607" t="s">
        <v>20</v>
      </c>
      <c r="G2523" s="608">
        <v>0</v>
      </c>
    </row>
    <row r="2524" spans="1:7" ht="11.1" customHeight="1">
      <c r="A2524" s="600" t="str">
        <f t="shared" si="195"/>
        <v>SEK;SEK OIS;25Y</v>
      </c>
      <c r="B2524" s="600" t="str">
        <f t="shared" si="197"/>
        <v>SEK</v>
      </c>
      <c r="C2524" s="600" t="str">
        <f t="shared" si="197"/>
        <v>SEK OIS</v>
      </c>
      <c r="D2524" s="603"/>
      <c r="E2524" s="604"/>
      <c r="F2524" s="607" t="s">
        <v>21</v>
      </c>
      <c r="G2524" s="608">
        <v>0</v>
      </c>
    </row>
    <row r="2525" spans="1:7" ht="11.1" customHeight="1">
      <c r="A2525" s="600" t="str">
        <f t="shared" si="195"/>
        <v>SEK;SEK OIS;30Y</v>
      </c>
      <c r="B2525" s="600" t="str">
        <f t="shared" si="197"/>
        <v>SEK</v>
      </c>
      <c r="C2525" s="600" t="str">
        <f t="shared" si="197"/>
        <v>SEK OIS</v>
      </c>
      <c r="D2525" s="603"/>
      <c r="E2525" s="604"/>
      <c r="F2525" s="607" t="s">
        <v>22</v>
      </c>
      <c r="G2525" s="608">
        <v>0</v>
      </c>
    </row>
    <row r="2526" spans="1:7" ht="11.1" customHeight="1">
      <c r="A2526" s="600" t="str">
        <f t="shared" si="195"/>
        <v>TRY;Total TRY;</v>
      </c>
      <c r="B2526" s="600" t="str">
        <f t="shared" si="197"/>
        <v>TRY</v>
      </c>
      <c r="C2526" s="600" t="str">
        <f t="shared" si="197"/>
        <v>Total TRY</v>
      </c>
      <c r="D2526" s="603" t="s">
        <v>1340</v>
      </c>
      <c r="E2526" s="609" t="s">
        <v>1341</v>
      </c>
      <c r="F2526" s="609"/>
      <c r="G2526" s="610">
        <v>10904.135529679501</v>
      </c>
    </row>
    <row r="2527" spans="1:7" ht="11.1" customHeight="1">
      <c r="A2527" s="600" t="str">
        <f t="shared" si="195"/>
        <v>TRY;TRY :STD;Total TRY :STD</v>
      </c>
      <c r="B2527" s="600" t="str">
        <f t="shared" si="197"/>
        <v>TRY</v>
      </c>
      <c r="C2527" s="600" t="str">
        <f t="shared" si="197"/>
        <v>TRY :STD</v>
      </c>
      <c r="D2527" s="603"/>
      <c r="E2527" s="604" t="s">
        <v>1342</v>
      </c>
      <c r="F2527" s="605" t="s">
        <v>1343</v>
      </c>
      <c r="G2527" s="606">
        <v>-263.87009176642499</v>
      </c>
    </row>
    <row r="2528" spans="1:7" ht="11.1" customHeight="1">
      <c r="A2528" s="600" t="str">
        <f t="shared" si="195"/>
        <v>TRY;TRY :STD;O/N</v>
      </c>
      <c r="B2528" s="600" t="str">
        <f t="shared" si="197"/>
        <v>TRY</v>
      </c>
      <c r="C2528" s="600" t="str">
        <f t="shared" si="197"/>
        <v>TRY :STD</v>
      </c>
      <c r="D2528" s="603"/>
      <c r="E2528" s="604"/>
      <c r="F2528" s="607" t="s">
        <v>3</v>
      </c>
      <c r="G2528" s="606">
        <v>-167.59802967140999</v>
      </c>
    </row>
    <row r="2529" spans="1:7" ht="11.1" customHeight="1">
      <c r="A2529" s="600" t="str">
        <f t="shared" si="195"/>
        <v>TRY;TRY :STD;T/N</v>
      </c>
      <c r="B2529" s="600" t="str">
        <f t="shared" si="197"/>
        <v>TRY</v>
      </c>
      <c r="C2529" s="600" t="str">
        <f t="shared" si="197"/>
        <v>TRY :STD</v>
      </c>
      <c r="D2529" s="603"/>
      <c r="E2529" s="604"/>
      <c r="F2529" s="607" t="s">
        <v>4</v>
      </c>
      <c r="G2529" s="611">
        <v>3.51758002448417</v>
      </c>
    </row>
    <row r="2530" spans="1:7" ht="11.1" customHeight="1">
      <c r="A2530" s="600" t="str">
        <f t="shared" si="195"/>
        <v>TRY;TRY :STD;1W</v>
      </c>
      <c r="B2530" s="600" t="str">
        <f t="shared" si="197"/>
        <v>TRY</v>
      </c>
      <c r="C2530" s="600" t="str">
        <f t="shared" si="197"/>
        <v>TRY :STD</v>
      </c>
      <c r="D2530" s="603"/>
      <c r="E2530" s="604"/>
      <c r="F2530" s="607" t="s">
        <v>5</v>
      </c>
      <c r="G2530" s="611">
        <v>159.48939664461801</v>
      </c>
    </row>
    <row r="2531" spans="1:7" ht="11.1" customHeight="1">
      <c r="A2531" s="600" t="str">
        <f t="shared" si="195"/>
        <v>TRY;TRY :STD;1M</v>
      </c>
      <c r="B2531" s="600" t="str">
        <f t="shared" si="197"/>
        <v>TRY</v>
      </c>
      <c r="C2531" s="600" t="str">
        <f t="shared" si="197"/>
        <v>TRY :STD</v>
      </c>
      <c r="D2531" s="603"/>
      <c r="E2531" s="604"/>
      <c r="F2531" s="607" t="s">
        <v>7</v>
      </c>
      <c r="G2531" s="606">
        <v>-84.395074845966107</v>
      </c>
    </row>
    <row r="2532" spans="1:7" ht="11.1" customHeight="1">
      <c r="A2532" s="600" t="str">
        <f t="shared" si="195"/>
        <v>TRY;TRY :STD;2M</v>
      </c>
      <c r="B2532" s="600" t="str">
        <f t="shared" si="197"/>
        <v>TRY</v>
      </c>
      <c r="C2532" s="600" t="str">
        <f t="shared" si="197"/>
        <v>TRY :STD</v>
      </c>
      <c r="D2532" s="603"/>
      <c r="E2532" s="604"/>
      <c r="F2532" s="607" t="s">
        <v>8</v>
      </c>
      <c r="G2532" s="611">
        <v>110.5108210496</v>
      </c>
    </row>
    <row r="2533" spans="1:7" ht="11.1" customHeight="1">
      <c r="A2533" s="600" t="str">
        <f t="shared" si="195"/>
        <v>TRY;TRY :STD;3M</v>
      </c>
      <c r="B2533" s="600" t="str">
        <f t="shared" ref="B2533:C2548" si="198">IF(ISBLANK(D2533),B2532,D2533)</f>
        <v>TRY</v>
      </c>
      <c r="C2533" s="600" t="str">
        <f t="shared" si="198"/>
        <v>TRY :STD</v>
      </c>
      <c r="D2533" s="603"/>
      <c r="E2533" s="604"/>
      <c r="F2533" s="607" t="s">
        <v>25</v>
      </c>
      <c r="G2533" s="606">
        <v>-121.59676689795501</v>
      </c>
    </row>
    <row r="2534" spans="1:7" ht="11.1" customHeight="1">
      <c r="A2534" s="600" t="str">
        <f t="shared" si="195"/>
        <v>TRY;TRY :STD;6M</v>
      </c>
      <c r="B2534" s="600" t="str">
        <f t="shared" si="198"/>
        <v>TRY</v>
      </c>
      <c r="C2534" s="600" t="str">
        <f t="shared" si="198"/>
        <v>TRY :STD</v>
      </c>
      <c r="D2534" s="603"/>
      <c r="E2534" s="604"/>
      <c r="F2534" s="607" t="s">
        <v>28</v>
      </c>
      <c r="G2534" s="611">
        <v>294.19203156375198</v>
      </c>
    </row>
    <row r="2535" spans="1:7" ht="11.1" customHeight="1">
      <c r="A2535" s="600" t="str">
        <f t="shared" si="195"/>
        <v>TRY;TRY :STD;9M</v>
      </c>
      <c r="B2535" s="600" t="str">
        <f t="shared" si="198"/>
        <v>TRY</v>
      </c>
      <c r="C2535" s="600" t="str">
        <f t="shared" si="198"/>
        <v>TRY :STD</v>
      </c>
      <c r="D2535" s="603"/>
      <c r="E2535" s="604"/>
      <c r="F2535" s="607" t="s">
        <v>49</v>
      </c>
      <c r="G2535" s="611">
        <v>177.69286507460299</v>
      </c>
    </row>
    <row r="2536" spans="1:7" ht="11.1" customHeight="1">
      <c r="A2536" s="600" t="str">
        <f t="shared" si="195"/>
        <v>TRY;TRY :STD;1Y</v>
      </c>
      <c r="B2536" s="600" t="str">
        <f t="shared" si="198"/>
        <v>TRY</v>
      </c>
      <c r="C2536" s="600" t="str">
        <f t="shared" si="198"/>
        <v>TRY :STD</v>
      </c>
      <c r="D2536" s="603"/>
      <c r="E2536" s="604"/>
      <c r="F2536" s="607" t="s">
        <v>56</v>
      </c>
      <c r="G2536" s="611">
        <v>2949.82419879806</v>
      </c>
    </row>
    <row r="2537" spans="1:7" ht="11.1" customHeight="1">
      <c r="A2537" s="600" t="str">
        <f t="shared" si="195"/>
        <v>TRY;TRY :STD;18M</v>
      </c>
      <c r="B2537" s="600" t="str">
        <f t="shared" si="198"/>
        <v>TRY</v>
      </c>
      <c r="C2537" s="600" t="str">
        <f t="shared" si="198"/>
        <v>TRY :STD</v>
      </c>
      <c r="D2537" s="603"/>
      <c r="E2537" s="604"/>
      <c r="F2537" s="607" t="s">
        <v>54</v>
      </c>
      <c r="G2537" s="606">
        <v>-7055.1211023068399</v>
      </c>
    </row>
    <row r="2538" spans="1:7" ht="11.1" customHeight="1">
      <c r="A2538" s="600" t="str">
        <f t="shared" si="195"/>
        <v>TRY;TRY :STD;2Y</v>
      </c>
      <c r="B2538" s="600" t="str">
        <f t="shared" si="198"/>
        <v>TRY</v>
      </c>
      <c r="C2538" s="600" t="str">
        <f t="shared" si="198"/>
        <v>TRY :STD</v>
      </c>
      <c r="D2538" s="603"/>
      <c r="E2538" s="604"/>
      <c r="F2538" s="607" t="s">
        <v>9</v>
      </c>
      <c r="G2538" s="611">
        <v>3458.0204759012499</v>
      </c>
    </row>
    <row r="2539" spans="1:7" ht="11.1" customHeight="1">
      <c r="A2539" s="600" t="str">
        <f t="shared" si="195"/>
        <v>TRY;TRY :STD;3Y</v>
      </c>
      <c r="B2539" s="600" t="str">
        <f t="shared" si="198"/>
        <v>TRY</v>
      </c>
      <c r="C2539" s="600" t="str">
        <f t="shared" si="198"/>
        <v>TRY :STD</v>
      </c>
      <c r="D2539" s="603"/>
      <c r="E2539" s="604"/>
      <c r="F2539" s="607" t="s">
        <v>10</v>
      </c>
      <c r="G2539" s="611">
        <v>11.5935128993739</v>
      </c>
    </row>
    <row r="2540" spans="1:7" ht="11.1" customHeight="1">
      <c r="A2540" s="600" t="str">
        <f t="shared" si="195"/>
        <v>TRY;TRY :STD;4Y</v>
      </c>
      <c r="B2540" s="600" t="str">
        <f t="shared" si="198"/>
        <v>TRY</v>
      </c>
      <c r="C2540" s="600" t="str">
        <f t="shared" si="198"/>
        <v>TRY :STD</v>
      </c>
      <c r="D2540" s="603"/>
      <c r="E2540" s="604"/>
      <c r="F2540" s="607" t="s">
        <v>11</v>
      </c>
      <c r="G2540" s="608">
        <v>0</v>
      </c>
    </row>
    <row r="2541" spans="1:7" ht="11.1" customHeight="1">
      <c r="A2541" s="600" t="str">
        <f t="shared" si="195"/>
        <v>TRY;TRY :STD;5Y</v>
      </c>
      <c r="B2541" s="600" t="str">
        <f t="shared" si="198"/>
        <v>TRY</v>
      </c>
      <c r="C2541" s="600" t="str">
        <f t="shared" si="198"/>
        <v>TRY :STD</v>
      </c>
      <c r="D2541" s="603"/>
      <c r="E2541" s="604"/>
      <c r="F2541" s="607" t="s">
        <v>12</v>
      </c>
      <c r="G2541" s="608">
        <v>0</v>
      </c>
    </row>
    <row r="2542" spans="1:7" ht="11.1" customHeight="1">
      <c r="A2542" s="600" t="str">
        <f t="shared" si="195"/>
        <v>TRY;TRY :STD;6Y</v>
      </c>
      <c r="B2542" s="600" t="str">
        <f t="shared" si="198"/>
        <v>TRY</v>
      </c>
      <c r="C2542" s="600" t="str">
        <f t="shared" si="198"/>
        <v>TRY :STD</v>
      </c>
      <c r="D2542" s="603"/>
      <c r="E2542" s="604"/>
      <c r="F2542" s="607" t="s">
        <v>13</v>
      </c>
      <c r="G2542" s="608">
        <v>0</v>
      </c>
    </row>
    <row r="2543" spans="1:7" ht="11.1" customHeight="1">
      <c r="A2543" s="600" t="str">
        <f t="shared" si="195"/>
        <v>TRY;TRY :STD;7Y</v>
      </c>
      <c r="B2543" s="600" t="str">
        <f t="shared" si="198"/>
        <v>TRY</v>
      </c>
      <c r="C2543" s="600" t="str">
        <f t="shared" si="198"/>
        <v>TRY :STD</v>
      </c>
      <c r="D2543" s="603"/>
      <c r="E2543" s="604"/>
      <c r="F2543" s="607" t="s">
        <v>14</v>
      </c>
      <c r="G2543" s="608">
        <v>0</v>
      </c>
    </row>
    <row r="2544" spans="1:7" ht="11.1" customHeight="1">
      <c r="A2544" s="600" t="str">
        <f t="shared" si="195"/>
        <v>TRY;TRY :STD;8Y</v>
      </c>
      <c r="B2544" s="600" t="str">
        <f t="shared" si="198"/>
        <v>TRY</v>
      </c>
      <c r="C2544" s="600" t="str">
        <f t="shared" si="198"/>
        <v>TRY :STD</v>
      </c>
      <c r="D2544" s="603"/>
      <c r="E2544" s="604"/>
      <c r="F2544" s="607" t="s">
        <v>15</v>
      </c>
      <c r="G2544" s="608">
        <v>0</v>
      </c>
    </row>
    <row r="2545" spans="1:7" ht="11.1" customHeight="1">
      <c r="A2545" s="600" t="str">
        <f t="shared" si="195"/>
        <v>TRY;TRY :STD;9Y</v>
      </c>
      <c r="B2545" s="600" t="str">
        <f t="shared" si="198"/>
        <v>TRY</v>
      </c>
      <c r="C2545" s="600" t="str">
        <f t="shared" si="198"/>
        <v>TRY :STD</v>
      </c>
      <c r="D2545" s="603"/>
      <c r="E2545" s="604"/>
      <c r="F2545" s="607" t="s">
        <v>16</v>
      </c>
      <c r="G2545" s="608">
        <v>0</v>
      </c>
    </row>
    <row r="2546" spans="1:7" ht="11.1" customHeight="1">
      <c r="A2546" s="600" t="str">
        <f t="shared" si="195"/>
        <v>TRY;TRY :STD;10Y</v>
      </c>
      <c r="B2546" s="600" t="str">
        <f t="shared" si="198"/>
        <v>TRY</v>
      </c>
      <c r="C2546" s="600" t="str">
        <f t="shared" si="198"/>
        <v>TRY :STD</v>
      </c>
      <c r="D2546" s="603"/>
      <c r="E2546" s="604"/>
      <c r="F2546" s="607" t="s">
        <v>17</v>
      </c>
      <c r="G2546" s="608">
        <v>0</v>
      </c>
    </row>
    <row r="2547" spans="1:7" ht="11.1" customHeight="1">
      <c r="A2547" s="600" t="str">
        <f t="shared" si="195"/>
        <v>TRY;TRY FOREX;Total TRY FOREX</v>
      </c>
      <c r="B2547" s="600" t="str">
        <f t="shared" si="198"/>
        <v>TRY</v>
      </c>
      <c r="C2547" s="600" t="str">
        <f t="shared" si="198"/>
        <v>TRY FOREX</v>
      </c>
      <c r="D2547" s="603"/>
      <c r="E2547" s="604" t="s">
        <v>1344</v>
      </c>
      <c r="F2547" s="605" t="s">
        <v>1345</v>
      </c>
      <c r="G2547" s="611">
        <v>11168.0056214459</v>
      </c>
    </row>
    <row r="2548" spans="1:7" ht="11.1" customHeight="1">
      <c r="A2548" s="600" t="str">
        <f t="shared" si="195"/>
        <v>TRY;TRY FOREX;O/N</v>
      </c>
      <c r="B2548" s="600" t="str">
        <f t="shared" si="198"/>
        <v>TRY</v>
      </c>
      <c r="C2548" s="600" t="str">
        <f t="shared" si="198"/>
        <v>TRY FOREX</v>
      </c>
      <c r="D2548" s="603"/>
      <c r="E2548" s="604"/>
      <c r="F2548" s="607" t="s">
        <v>3</v>
      </c>
      <c r="G2548" s="611">
        <v>111.10647577079099</v>
      </c>
    </row>
    <row r="2549" spans="1:7" ht="11.1" customHeight="1">
      <c r="A2549" s="600" t="str">
        <f t="shared" si="195"/>
        <v>TRY;TRY FOREX;T/N</v>
      </c>
      <c r="B2549" s="600" t="str">
        <f t="shared" ref="B2549:C2564" si="199">IF(ISBLANK(D2549),B2548,D2549)</f>
        <v>TRY</v>
      </c>
      <c r="C2549" s="600" t="str">
        <f t="shared" si="199"/>
        <v>TRY FOREX</v>
      </c>
      <c r="D2549" s="603"/>
      <c r="E2549" s="604"/>
      <c r="F2549" s="607" t="s">
        <v>4</v>
      </c>
      <c r="G2549" s="611">
        <v>96.477421478226702</v>
      </c>
    </row>
    <row r="2550" spans="1:7" ht="11.1" customHeight="1">
      <c r="A2550" s="600" t="str">
        <f t="shared" si="195"/>
        <v>TRY;TRY FOREX;S/N</v>
      </c>
      <c r="B2550" s="600" t="str">
        <f t="shared" si="199"/>
        <v>TRY</v>
      </c>
      <c r="C2550" s="600" t="str">
        <f t="shared" si="199"/>
        <v>TRY FOREX</v>
      </c>
      <c r="D2550" s="603"/>
      <c r="E2550" s="604"/>
      <c r="F2550" s="607" t="s">
        <v>23</v>
      </c>
      <c r="G2550" s="608">
        <v>0</v>
      </c>
    </row>
    <row r="2551" spans="1:7" ht="11.1" customHeight="1">
      <c r="A2551" s="600" t="str">
        <f t="shared" si="195"/>
        <v>TRY;TRY FOREX;1W</v>
      </c>
      <c r="B2551" s="600" t="str">
        <f t="shared" si="199"/>
        <v>TRY</v>
      </c>
      <c r="C2551" s="600" t="str">
        <f t="shared" si="199"/>
        <v>TRY FOREX</v>
      </c>
      <c r="D2551" s="603"/>
      <c r="E2551" s="604"/>
      <c r="F2551" s="607" t="s">
        <v>5</v>
      </c>
      <c r="G2551" s="608">
        <v>0</v>
      </c>
    </row>
    <row r="2552" spans="1:7" ht="11.1" customHeight="1">
      <c r="A2552" s="600" t="str">
        <f t="shared" si="195"/>
        <v>TRY;TRY FOREX;2W</v>
      </c>
      <c r="B2552" s="600" t="str">
        <f t="shared" si="199"/>
        <v>TRY</v>
      </c>
      <c r="C2552" s="600" t="str">
        <f t="shared" si="199"/>
        <v>TRY FOREX</v>
      </c>
      <c r="D2552" s="603"/>
      <c r="E2552" s="604"/>
      <c r="F2552" s="607" t="s">
        <v>6</v>
      </c>
      <c r="G2552" s="608">
        <v>0</v>
      </c>
    </row>
    <row r="2553" spans="1:7" ht="11.1" customHeight="1">
      <c r="A2553" s="600" t="str">
        <f t="shared" si="195"/>
        <v>TRY;TRY FOREX;3W</v>
      </c>
      <c r="B2553" s="600" t="str">
        <f t="shared" si="199"/>
        <v>TRY</v>
      </c>
      <c r="C2553" s="600" t="str">
        <f t="shared" si="199"/>
        <v>TRY FOREX</v>
      </c>
      <c r="D2553" s="603"/>
      <c r="E2553" s="604"/>
      <c r="F2553" s="607" t="s">
        <v>24</v>
      </c>
      <c r="G2553" s="608">
        <v>0</v>
      </c>
    </row>
    <row r="2554" spans="1:7" ht="11.1" customHeight="1">
      <c r="A2554" s="600" t="str">
        <f t="shared" si="195"/>
        <v>TRY;TRY FOREX;1M</v>
      </c>
      <c r="B2554" s="600" t="str">
        <f t="shared" si="199"/>
        <v>TRY</v>
      </c>
      <c r="C2554" s="600" t="str">
        <f t="shared" si="199"/>
        <v>TRY FOREX</v>
      </c>
      <c r="D2554" s="603"/>
      <c r="E2554" s="604"/>
      <c r="F2554" s="607" t="s">
        <v>7</v>
      </c>
      <c r="G2554" s="608">
        <v>0</v>
      </c>
    </row>
    <row r="2555" spans="1:7" ht="11.1" customHeight="1">
      <c r="A2555" s="600" t="str">
        <f t="shared" si="195"/>
        <v>TRY;TRY FOREX;2M</v>
      </c>
      <c r="B2555" s="600" t="str">
        <f t="shared" si="199"/>
        <v>TRY</v>
      </c>
      <c r="C2555" s="600" t="str">
        <f t="shared" si="199"/>
        <v>TRY FOREX</v>
      </c>
      <c r="D2555" s="603"/>
      <c r="E2555" s="604"/>
      <c r="F2555" s="607" t="s">
        <v>8</v>
      </c>
      <c r="G2555" s="608">
        <v>0</v>
      </c>
    </row>
    <row r="2556" spans="1:7" ht="11.1" customHeight="1">
      <c r="A2556" s="600" t="str">
        <f t="shared" si="195"/>
        <v>TRY;TRY FOREX;3M</v>
      </c>
      <c r="B2556" s="600" t="str">
        <f t="shared" si="199"/>
        <v>TRY</v>
      </c>
      <c r="C2556" s="600" t="str">
        <f t="shared" si="199"/>
        <v>TRY FOREX</v>
      </c>
      <c r="D2556" s="603"/>
      <c r="E2556" s="604"/>
      <c r="F2556" s="607" t="s">
        <v>25</v>
      </c>
      <c r="G2556" s="606">
        <v>-27.2521637899764</v>
      </c>
    </row>
    <row r="2557" spans="1:7" ht="11.1" customHeight="1">
      <c r="A2557" s="600" t="str">
        <f t="shared" si="195"/>
        <v>TRY;TRY FOREX;4M</v>
      </c>
      <c r="B2557" s="600" t="str">
        <f t="shared" si="199"/>
        <v>TRY</v>
      </c>
      <c r="C2557" s="600" t="str">
        <f t="shared" si="199"/>
        <v>TRY FOREX</v>
      </c>
      <c r="D2557" s="603"/>
      <c r="E2557" s="604"/>
      <c r="F2557" s="607" t="s">
        <v>26</v>
      </c>
      <c r="G2557" s="611">
        <v>530.70490543155597</v>
      </c>
    </row>
    <row r="2558" spans="1:7" ht="11.1" customHeight="1">
      <c r="A2558" s="600" t="str">
        <f t="shared" si="195"/>
        <v>TRY;TRY FOREX;5M</v>
      </c>
      <c r="B2558" s="600" t="str">
        <f t="shared" si="199"/>
        <v>TRY</v>
      </c>
      <c r="C2558" s="600" t="str">
        <f t="shared" si="199"/>
        <v>TRY FOREX</v>
      </c>
      <c r="D2558" s="603"/>
      <c r="E2558" s="604"/>
      <c r="F2558" s="607" t="s">
        <v>27</v>
      </c>
      <c r="G2558" s="611">
        <v>344.28414960965102</v>
      </c>
    </row>
    <row r="2559" spans="1:7" ht="11.1" customHeight="1">
      <c r="A2559" s="600" t="str">
        <f t="shared" si="195"/>
        <v>TRY;TRY FOREX;6M</v>
      </c>
      <c r="B2559" s="600" t="str">
        <f t="shared" si="199"/>
        <v>TRY</v>
      </c>
      <c r="C2559" s="600" t="str">
        <f t="shared" si="199"/>
        <v>TRY FOREX</v>
      </c>
      <c r="D2559" s="603"/>
      <c r="E2559" s="604"/>
      <c r="F2559" s="607" t="s">
        <v>28</v>
      </c>
      <c r="G2559" s="606">
        <v>-7.5057524499606298</v>
      </c>
    </row>
    <row r="2560" spans="1:7" ht="11.1" customHeight="1">
      <c r="A2560" s="600" t="str">
        <f t="shared" si="195"/>
        <v>TRY;TRY FOREX;7M</v>
      </c>
      <c r="B2560" s="600" t="str">
        <f t="shared" si="199"/>
        <v>TRY</v>
      </c>
      <c r="C2560" s="600" t="str">
        <f t="shared" si="199"/>
        <v>TRY FOREX</v>
      </c>
      <c r="D2560" s="603"/>
      <c r="E2560" s="604"/>
      <c r="F2560" s="607" t="s">
        <v>29</v>
      </c>
      <c r="G2560" s="608">
        <v>0</v>
      </c>
    </row>
    <row r="2561" spans="1:7" ht="11.1" customHeight="1">
      <c r="A2561" s="600" t="str">
        <f t="shared" si="195"/>
        <v>TRY;TRY FOREX;8M</v>
      </c>
      <c r="B2561" s="600" t="str">
        <f t="shared" si="199"/>
        <v>TRY</v>
      </c>
      <c r="C2561" s="600" t="str">
        <f t="shared" si="199"/>
        <v>TRY FOREX</v>
      </c>
      <c r="D2561" s="603"/>
      <c r="E2561" s="604"/>
      <c r="F2561" s="607" t="s">
        <v>30</v>
      </c>
      <c r="G2561" s="611">
        <v>77.177344312035004</v>
      </c>
    </row>
    <row r="2562" spans="1:7" ht="11.1" customHeight="1">
      <c r="A2562" s="600" t="str">
        <f t="shared" si="195"/>
        <v>TRY;TRY FOREX;9M</v>
      </c>
      <c r="B2562" s="600" t="str">
        <f t="shared" si="199"/>
        <v>TRY</v>
      </c>
      <c r="C2562" s="600" t="str">
        <f t="shared" si="199"/>
        <v>TRY FOREX</v>
      </c>
      <c r="D2562" s="603"/>
      <c r="E2562" s="604"/>
      <c r="F2562" s="607" t="s">
        <v>49</v>
      </c>
      <c r="G2562" s="611">
        <v>2260.5675049820702</v>
      </c>
    </row>
    <row r="2563" spans="1:7" ht="11.1" customHeight="1">
      <c r="A2563" s="600" t="str">
        <f t="shared" si="195"/>
        <v>TRY;TRY FOREX;10M</v>
      </c>
      <c r="B2563" s="600" t="str">
        <f t="shared" si="199"/>
        <v>TRY</v>
      </c>
      <c r="C2563" s="600" t="str">
        <f t="shared" si="199"/>
        <v>TRY FOREX</v>
      </c>
      <c r="D2563" s="603"/>
      <c r="E2563" s="604"/>
      <c r="F2563" s="607" t="s">
        <v>50</v>
      </c>
      <c r="G2563" s="611">
        <v>1653.14191354532</v>
      </c>
    </row>
    <row r="2564" spans="1:7" ht="11.1" customHeight="1">
      <c r="A2564" s="600" t="str">
        <f t="shared" si="195"/>
        <v>TRY;TRY FOREX;11M</v>
      </c>
      <c r="B2564" s="600" t="str">
        <f t="shared" si="199"/>
        <v>TRY</v>
      </c>
      <c r="C2564" s="600" t="str">
        <f t="shared" si="199"/>
        <v>TRY FOREX</v>
      </c>
      <c r="D2564" s="603"/>
      <c r="E2564" s="604"/>
      <c r="F2564" s="607" t="s">
        <v>51</v>
      </c>
      <c r="G2564" s="608">
        <v>0</v>
      </c>
    </row>
    <row r="2565" spans="1:7" ht="11.1" customHeight="1">
      <c r="A2565" s="600" t="str">
        <f t="shared" ref="A2565:A2628" si="200">B2565&amp;";"&amp;C2565&amp;";"&amp;F2565</f>
        <v>TRY;TRY FOREX;12M</v>
      </c>
      <c r="B2565" s="600" t="str">
        <f t="shared" ref="B2565:C2580" si="201">IF(ISBLANK(D2565),B2564,D2565)</f>
        <v>TRY</v>
      </c>
      <c r="C2565" s="600" t="str">
        <f t="shared" si="201"/>
        <v>TRY FOREX</v>
      </c>
      <c r="D2565" s="603"/>
      <c r="E2565" s="604"/>
      <c r="F2565" s="607" t="s">
        <v>52</v>
      </c>
      <c r="G2565" s="611">
        <v>1239.3701339598699</v>
      </c>
    </row>
    <row r="2566" spans="1:7" ht="11.1" customHeight="1">
      <c r="A2566" s="600" t="str">
        <f t="shared" si="200"/>
        <v>TRY;TRY FOREX;15M</v>
      </c>
      <c r="B2566" s="600" t="str">
        <f t="shared" si="201"/>
        <v>TRY</v>
      </c>
      <c r="C2566" s="600" t="str">
        <f t="shared" si="201"/>
        <v>TRY FOREX</v>
      </c>
      <c r="D2566" s="603"/>
      <c r="E2566" s="604"/>
      <c r="F2566" s="607" t="s">
        <v>53</v>
      </c>
      <c r="G2566" s="611">
        <v>4500.1950714206896</v>
      </c>
    </row>
    <row r="2567" spans="1:7" ht="11.1" customHeight="1">
      <c r="A2567" s="600" t="str">
        <f t="shared" si="200"/>
        <v>TRY;TRY FOREX;18M</v>
      </c>
      <c r="B2567" s="600" t="str">
        <f t="shared" si="201"/>
        <v>TRY</v>
      </c>
      <c r="C2567" s="600" t="str">
        <f t="shared" si="201"/>
        <v>TRY FOREX</v>
      </c>
      <c r="D2567" s="603"/>
      <c r="E2567" s="604"/>
      <c r="F2567" s="607" t="s">
        <v>54</v>
      </c>
      <c r="G2567" s="611">
        <v>389.73861717563801</v>
      </c>
    </row>
    <row r="2568" spans="1:7" ht="11.1" customHeight="1">
      <c r="A2568" s="600" t="str">
        <f t="shared" si="200"/>
        <v>TRY;TRY FOREX;24M</v>
      </c>
      <c r="B2568" s="600" t="str">
        <f t="shared" si="201"/>
        <v>TRY</v>
      </c>
      <c r="C2568" s="600" t="str">
        <f t="shared" si="201"/>
        <v>TRY FOREX</v>
      </c>
      <c r="D2568" s="603"/>
      <c r="E2568" s="604"/>
      <c r="F2568" s="607" t="s">
        <v>659</v>
      </c>
      <c r="G2568" s="608">
        <v>0</v>
      </c>
    </row>
    <row r="2569" spans="1:7" ht="11.1" customHeight="1">
      <c r="A2569" s="600" t="str">
        <f t="shared" si="200"/>
        <v>TRY;TRY FOREX;3Y</v>
      </c>
      <c r="B2569" s="600" t="str">
        <f t="shared" si="201"/>
        <v>TRY</v>
      </c>
      <c r="C2569" s="600" t="str">
        <f t="shared" si="201"/>
        <v>TRY FOREX</v>
      </c>
      <c r="D2569" s="603"/>
      <c r="E2569" s="604"/>
      <c r="F2569" s="607" t="s">
        <v>10</v>
      </c>
      <c r="G2569" s="608">
        <v>0</v>
      </c>
    </row>
    <row r="2570" spans="1:7" ht="11.1" customHeight="1">
      <c r="A2570" s="600" t="str">
        <f t="shared" si="200"/>
        <v>TRY;TRY FOREX;4Y</v>
      </c>
      <c r="B2570" s="600" t="str">
        <f t="shared" si="201"/>
        <v>TRY</v>
      </c>
      <c r="C2570" s="600" t="str">
        <f t="shared" si="201"/>
        <v>TRY FOREX</v>
      </c>
      <c r="D2570" s="603"/>
      <c r="E2570" s="604"/>
      <c r="F2570" s="607" t="s">
        <v>11</v>
      </c>
      <c r="G2570" s="608">
        <v>0</v>
      </c>
    </row>
    <row r="2571" spans="1:7" ht="11.1" customHeight="1">
      <c r="A2571" s="600" t="str">
        <f t="shared" si="200"/>
        <v>TRY;TRY FOREX;5Y</v>
      </c>
      <c r="B2571" s="600" t="str">
        <f t="shared" si="201"/>
        <v>TRY</v>
      </c>
      <c r="C2571" s="600" t="str">
        <f t="shared" si="201"/>
        <v>TRY FOREX</v>
      </c>
      <c r="D2571" s="603"/>
      <c r="E2571" s="604"/>
      <c r="F2571" s="607" t="s">
        <v>12</v>
      </c>
      <c r="G2571" s="608">
        <v>0</v>
      </c>
    </row>
    <row r="2572" spans="1:7" ht="11.1" customHeight="1">
      <c r="A2572" s="600" t="str">
        <f t="shared" si="200"/>
        <v>TRY;TRY FOREX;6Y</v>
      </c>
      <c r="B2572" s="600" t="str">
        <f t="shared" si="201"/>
        <v>TRY</v>
      </c>
      <c r="C2572" s="600" t="str">
        <f t="shared" si="201"/>
        <v>TRY FOREX</v>
      </c>
      <c r="D2572" s="603"/>
      <c r="E2572" s="604"/>
      <c r="F2572" s="607" t="s">
        <v>13</v>
      </c>
      <c r="G2572" s="608">
        <v>0</v>
      </c>
    </row>
    <row r="2573" spans="1:7" ht="11.1" customHeight="1">
      <c r="A2573" s="600" t="str">
        <f t="shared" si="200"/>
        <v>TRY;TRY FOREX;7Y</v>
      </c>
      <c r="B2573" s="600" t="str">
        <f t="shared" si="201"/>
        <v>TRY</v>
      </c>
      <c r="C2573" s="600" t="str">
        <f t="shared" si="201"/>
        <v>TRY FOREX</v>
      </c>
      <c r="D2573" s="603"/>
      <c r="E2573" s="604"/>
      <c r="F2573" s="607" t="s">
        <v>14</v>
      </c>
      <c r="G2573" s="608">
        <v>0</v>
      </c>
    </row>
    <row r="2574" spans="1:7" ht="11.1" customHeight="1">
      <c r="A2574" s="600" t="str">
        <f t="shared" si="200"/>
        <v>TRY;TRY FOREX;8Y</v>
      </c>
      <c r="B2574" s="600" t="str">
        <f t="shared" si="201"/>
        <v>TRY</v>
      </c>
      <c r="C2574" s="600" t="str">
        <f t="shared" si="201"/>
        <v>TRY FOREX</v>
      </c>
      <c r="D2574" s="603"/>
      <c r="E2574" s="604"/>
      <c r="F2574" s="607" t="s">
        <v>15</v>
      </c>
      <c r="G2574" s="608">
        <v>0</v>
      </c>
    </row>
    <row r="2575" spans="1:7" ht="11.1" customHeight="1">
      <c r="A2575" s="600" t="str">
        <f t="shared" si="200"/>
        <v>TRY;TRY FOREX;9Y</v>
      </c>
      <c r="B2575" s="600" t="str">
        <f t="shared" si="201"/>
        <v>TRY</v>
      </c>
      <c r="C2575" s="600" t="str">
        <f t="shared" si="201"/>
        <v>TRY FOREX</v>
      </c>
      <c r="D2575" s="603"/>
      <c r="E2575" s="604"/>
      <c r="F2575" s="607" t="s">
        <v>16</v>
      </c>
      <c r="G2575" s="608">
        <v>0</v>
      </c>
    </row>
    <row r="2576" spans="1:7" ht="11.1" customHeight="1">
      <c r="A2576" s="600" t="str">
        <f t="shared" si="200"/>
        <v>TRY;TRY FOREX;10Y</v>
      </c>
      <c r="B2576" s="600" t="str">
        <f t="shared" si="201"/>
        <v>TRY</v>
      </c>
      <c r="C2576" s="600" t="str">
        <f t="shared" si="201"/>
        <v>TRY FOREX</v>
      </c>
      <c r="D2576" s="603"/>
      <c r="E2576" s="604"/>
      <c r="F2576" s="607" t="s">
        <v>17</v>
      </c>
      <c r="G2576" s="608">
        <v>0</v>
      </c>
    </row>
    <row r="2577" spans="1:7" ht="11.1" customHeight="1">
      <c r="A2577" s="600" t="str">
        <f t="shared" si="200"/>
        <v>TRY;TRY FOREX;11Y</v>
      </c>
      <c r="B2577" s="600" t="str">
        <f t="shared" si="201"/>
        <v>TRY</v>
      </c>
      <c r="C2577" s="600" t="str">
        <f t="shared" si="201"/>
        <v>TRY FOREX</v>
      </c>
      <c r="D2577" s="603"/>
      <c r="E2577" s="604"/>
      <c r="F2577" s="607" t="s">
        <v>31</v>
      </c>
      <c r="G2577" s="608">
        <v>0</v>
      </c>
    </row>
    <row r="2578" spans="1:7" ht="11.1" customHeight="1">
      <c r="A2578" s="600" t="str">
        <f t="shared" si="200"/>
        <v>TRY;TRY FOREX;12Y</v>
      </c>
      <c r="B2578" s="600" t="str">
        <f t="shared" si="201"/>
        <v>TRY</v>
      </c>
      <c r="C2578" s="600" t="str">
        <f t="shared" si="201"/>
        <v>TRY FOREX</v>
      </c>
      <c r="D2578" s="603"/>
      <c r="E2578" s="604"/>
      <c r="F2578" s="607" t="s">
        <v>18</v>
      </c>
      <c r="G2578" s="608">
        <v>0</v>
      </c>
    </row>
    <row r="2579" spans="1:7" ht="11.1" customHeight="1">
      <c r="A2579" s="600" t="str">
        <f t="shared" si="200"/>
        <v>TRY;TRY FOREX;13Y</v>
      </c>
      <c r="B2579" s="600" t="str">
        <f t="shared" si="201"/>
        <v>TRY</v>
      </c>
      <c r="C2579" s="600" t="str">
        <f t="shared" si="201"/>
        <v>TRY FOREX</v>
      </c>
      <c r="D2579" s="603"/>
      <c r="E2579" s="604"/>
      <c r="F2579" s="607" t="s">
        <v>32</v>
      </c>
      <c r="G2579" s="608">
        <v>0</v>
      </c>
    </row>
    <row r="2580" spans="1:7" ht="11.1" customHeight="1">
      <c r="A2580" s="600" t="str">
        <f t="shared" si="200"/>
        <v>TRY;TRY FOREX;14Y</v>
      </c>
      <c r="B2580" s="600" t="str">
        <f t="shared" si="201"/>
        <v>TRY</v>
      </c>
      <c r="C2580" s="600" t="str">
        <f t="shared" si="201"/>
        <v>TRY FOREX</v>
      </c>
      <c r="D2580" s="603"/>
      <c r="E2580" s="604"/>
      <c r="F2580" s="607" t="s">
        <v>33</v>
      </c>
      <c r="G2580" s="608">
        <v>0</v>
      </c>
    </row>
    <row r="2581" spans="1:7" ht="11.1" customHeight="1">
      <c r="A2581" s="600" t="str">
        <f t="shared" si="200"/>
        <v>TRY;TRY FOREX;15Y</v>
      </c>
      <c r="B2581" s="600" t="str">
        <f t="shared" ref="B2581:C2596" si="202">IF(ISBLANK(D2581),B2580,D2581)</f>
        <v>TRY</v>
      </c>
      <c r="C2581" s="600" t="str">
        <f t="shared" si="202"/>
        <v>TRY FOREX</v>
      </c>
      <c r="D2581" s="603"/>
      <c r="E2581" s="604"/>
      <c r="F2581" s="607" t="s">
        <v>19</v>
      </c>
      <c r="G2581" s="608">
        <v>0</v>
      </c>
    </row>
    <row r="2582" spans="1:7" ht="11.1" customHeight="1">
      <c r="A2582" s="600" t="str">
        <f t="shared" si="200"/>
        <v>TRY;TRY FOREX;16Y</v>
      </c>
      <c r="B2582" s="600" t="str">
        <f t="shared" si="202"/>
        <v>TRY</v>
      </c>
      <c r="C2582" s="600" t="str">
        <f t="shared" si="202"/>
        <v>TRY FOREX</v>
      </c>
      <c r="D2582" s="603"/>
      <c r="E2582" s="604"/>
      <c r="F2582" s="607" t="s">
        <v>34</v>
      </c>
      <c r="G2582" s="608">
        <v>0</v>
      </c>
    </row>
    <row r="2583" spans="1:7" ht="11.1" customHeight="1">
      <c r="A2583" s="600" t="str">
        <f t="shared" si="200"/>
        <v>TRY;TRY FOREX;17Y</v>
      </c>
      <c r="B2583" s="600" t="str">
        <f t="shared" si="202"/>
        <v>TRY</v>
      </c>
      <c r="C2583" s="600" t="str">
        <f t="shared" si="202"/>
        <v>TRY FOREX</v>
      </c>
      <c r="D2583" s="603"/>
      <c r="E2583" s="604"/>
      <c r="F2583" s="607" t="s">
        <v>35</v>
      </c>
      <c r="G2583" s="608">
        <v>0</v>
      </c>
    </row>
    <row r="2584" spans="1:7" ht="11.1" customHeight="1">
      <c r="A2584" s="600" t="str">
        <f t="shared" si="200"/>
        <v>TRY;TRY FOREX;18Y</v>
      </c>
      <c r="B2584" s="600" t="str">
        <f t="shared" si="202"/>
        <v>TRY</v>
      </c>
      <c r="C2584" s="600" t="str">
        <f t="shared" si="202"/>
        <v>TRY FOREX</v>
      </c>
      <c r="D2584" s="603"/>
      <c r="E2584" s="604"/>
      <c r="F2584" s="607" t="s">
        <v>36</v>
      </c>
      <c r="G2584" s="608">
        <v>0</v>
      </c>
    </row>
    <row r="2585" spans="1:7" ht="11.1" customHeight="1">
      <c r="A2585" s="600" t="str">
        <f t="shared" si="200"/>
        <v>TRY;TRY FOREX;19Y</v>
      </c>
      <c r="B2585" s="600" t="str">
        <f t="shared" si="202"/>
        <v>TRY</v>
      </c>
      <c r="C2585" s="600" t="str">
        <f t="shared" si="202"/>
        <v>TRY FOREX</v>
      </c>
      <c r="D2585" s="603"/>
      <c r="E2585" s="604"/>
      <c r="F2585" s="607" t="s">
        <v>37</v>
      </c>
      <c r="G2585" s="608">
        <v>0</v>
      </c>
    </row>
    <row r="2586" spans="1:7" ht="11.1" customHeight="1">
      <c r="A2586" s="600" t="str">
        <f t="shared" si="200"/>
        <v>TRY;TRY FOREX;20Y</v>
      </c>
      <c r="B2586" s="600" t="str">
        <f t="shared" si="202"/>
        <v>TRY</v>
      </c>
      <c r="C2586" s="600" t="str">
        <f t="shared" si="202"/>
        <v>TRY FOREX</v>
      </c>
      <c r="D2586" s="603"/>
      <c r="E2586" s="604"/>
      <c r="F2586" s="607" t="s">
        <v>20</v>
      </c>
      <c r="G2586" s="608">
        <v>0</v>
      </c>
    </row>
    <row r="2587" spans="1:7" ht="11.1" customHeight="1">
      <c r="A2587" s="600" t="str">
        <f t="shared" si="200"/>
        <v>USD;Total USD;</v>
      </c>
      <c r="B2587" s="600" t="str">
        <f t="shared" si="202"/>
        <v>USD</v>
      </c>
      <c r="C2587" s="600" t="str">
        <f t="shared" si="202"/>
        <v>Total USD</v>
      </c>
      <c r="D2587" s="603" t="s">
        <v>635</v>
      </c>
      <c r="E2587" s="609" t="s">
        <v>648</v>
      </c>
      <c r="F2587" s="609"/>
      <c r="G2587" s="610">
        <v>7920.31985107538</v>
      </c>
    </row>
    <row r="2588" spans="1:7" ht="11.1" customHeight="1">
      <c r="A2588" s="600" t="str">
        <f t="shared" si="200"/>
        <v>USD;USD 1M;Total USD 1M</v>
      </c>
      <c r="B2588" s="600" t="str">
        <f t="shared" si="202"/>
        <v>USD</v>
      </c>
      <c r="C2588" s="600" t="str">
        <f t="shared" si="202"/>
        <v>USD 1M</v>
      </c>
      <c r="D2588" s="603"/>
      <c r="E2588" s="604" t="s">
        <v>649</v>
      </c>
      <c r="F2588" s="605" t="s">
        <v>650</v>
      </c>
      <c r="G2588" s="611">
        <v>7461.6448901951399</v>
      </c>
    </row>
    <row r="2589" spans="1:7" ht="11.1" customHeight="1">
      <c r="A2589" s="600" t="str">
        <f t="shared" si="200"/>
        <v>USD;USD 1M;O/N</v>
      </c>
      <c r="B2589" s="600" t="str">
        <f t="shared" si="202"/>
        <v>USD</v>
      </c>
      <c r="C2589" s="600" t="str">
        <f t="shared" si="202"/>
        <v>USD 1M</v>
      </c>
      <c r="D2589" s="603"/>
      <c r="E2589" s="604"/>
      <c r="F2589" s="607" t="s">
        <v>3</v>
      </c>
      <c r="G2589" s="611">
        <v>4.0687248015203202E-10</v>
      </c>
    </row>
    <row r="2590" spans="1:7" ht="11.1" customHeight="1">
      <c r="A2590" s="600" t="str">
        <f t="shared" si="200"/>
        <v>USD;USD 1M;T/N</v>
      </c>
      <c r="B2590" s="600" t="str">
        <f t="shared" si="202"/>
        <v>USD</v>
      </c>
      <c r="C2590" s="600" t="str">
        <f t="shared" si="202"/>
        <v>USD 1M</v>
      </c>
      <c r="D2590" s="603"/>
      <c r="E2590" s="604"/>
      <c r="F2590" s="607" t="s">
        <v>4</v>
      </c>
      <c r="G2590" s="611">
        <v>1.3837109236192199E-10</v>
      </c>
    </row>
    <row r="2591" spans="1:7" ht="11.1" customHeight="1">
      <c r="A2591" s="600" t="str">
        <f t="shared" si="200"/>
        <v>USD;USD 1M;S/N</v>
      </c>
      <c r="B2591" s="600" t="str">
        <f t="shared" si="202"/>
        <v>USD</v>
      </c>
      <c r="C2591" s="600" t="str">
        <f t="shared" si="202"/>
        <v>USD 1M</v>
      </c>
      <c r="D2591" s="603"/>
      <c r="E2591" s="604"/>
      <c r="F2591" s="607" t="s">
        <v>23</v>
      </c>
      <c r="G2591" s="606">
        <v>-0.36732878072928399</v>
      </c>
    </row>
    <row r="2592" spans="1:7" ht="11.1" customHeight="1">
      <c r="A2592" s="600" t="str">
        <f t="shared" si="200"/>
        <v>USD;USD 1M;1W</v>
      </c>
      <c r="B2592" s="600" t="str">
        <f t="shared" si="202"/>
        <v>USD</v>
      </c>
      <c r="C2592" s="600" t="str">
        <f t="shared" si="202"/>
        <v>USD 1M</v>
      </c>
      <c r="D2592" s="603"/>
      <c r="E2592" s="604"/>
      <c r="F2592" s="607" t="s">
        <v>5</v>
      </c>
      <c r="G2592" s="611">
        <v>39.1569652846023</v>
      </c>
    </row>
    <row r="2593" spans="1:7" ht="11.1" customHeight="1">
      <c r="A2593" s="600" t="str">
        <f t="shared" si="200"/>
        <v>USD;USD 1M;2W</v>
      </c>
      <c r="B2593" s="600" t="str">
        <f t="shared" si="202"/>
        <v>USD</v>
      </c>
      <c r="C2593" s="600" t="str">
        <f t="shared" si="202"/>
        <v>USD 1M</v>
      </c>
      <c r="D2593" s="603"/>
      <c r="E2593" s="604"/>
      <c r="F2593" s="607" t="s">
        <v>6</v>
      </c>
      <c r="G2593" s="606">
        <v>-47.926665392290701</v>
      </c>
    </row>
    <row r="2594" spans="1:7" ht="11.1" customHeight="1">
      <c r="A2594" s="600" t="str">
        <f t="shared" si="200"/>
        <v>USD;USD 1M;3W</v>
      </c>
      <c r="B2594" s="600" t="str">
        <f t="shared" si="202"/>
        <v>USD</v>
      </c>
      <c r="C2594" s="600" t="str">
        <f t="shared" si="202"/>
        <v>USD 1M</v>
      </c>
      <c r="D2594" s="603"/>
      <c r="E2594" s="604"/>
      <c r="F2594" s="607" t="s">
        <v>24</v>
      </c>
      <c r="G2594" s="606">
        <v>-9.9437670244825291</v>
      </c>
    </row>
    <row r="2595" spans="1:7" ht="11.1" customHeight="1">
      <c r="A2595" s="600" t="str">
        <f t="shared" si="200"/>
        <v>USD;USD 1M;1M</v>
      </c>
      <c r="B2595" s="600" t="str">
        <f t="shared" si="202"/>
        <v>USD</v>
      </c>
      <c r="C2595" s="600" t="str">
        <f t="shared" si="202"/>
        <v>USD 1M</v>
      </c>
      <c r="D2595" s="603"/>
      <c r="E2595" s="604"/>
      <c r="F2595" s="607" t="s">
        <v>7</v>
      </c>
      <c r="G2595" s="611">
        <v>0.99535359857739003</v>
      </c>
    </row>
    <row r="2596" spans="1:7" ht="11.1" customHeight="1">
      <c r="A2596" s="600" t="str">
        <f t="shared" si="200"/>
        <v>USD;USD 1M;2M</v>
      </c>
      <c r="B2596" s="600" t="str">
        <f t="shared" si="202"/>
        <v>USD</v>
      </c>
      <c r="C2596" s="600" t="str">
        <f t="shared" si="202"/>
        <v>USD 1M</v>
      </c>
      <c r="D2596" s="603"/>
      <c r="E2596" s="604"/>
      <c r="F2596" s="607" t="s">
        <v>8</v>
      </c>
      <c r="G2596" s="606">
        <v>-70.582242328735106</v>
      </c>
    </row>
    <row r="2597" spans="1:7" ht="11.1" customHeight="1">
      <c r="A2597" s="600" t="str">
        <f t="shared" si="200"/>
        <v>USD;USD 1M;3M</v>
      </c>
      <c r="B2597" s="600" t="str">
        <f t="shared" ref="B2597:C2612" si="203">IF(ISBLANK(D2597),B2596,D2597)</f>
        <v>USD</v>
      </c>
      <c r="C2597" s="600" t="str">
        <f t="shared" si="203"/>
        <v>USD 1M</v>
      </c>
      <c r="D2597" s="603"/>
      <c r="E2597" s="604"/>
      <c r="F2597" s="607" t="s">
        <v>25</v>
      </c>
      <c r="G2597" s="611">
        <v>44.1468141666886</v>
      </c>
    </row>
    <row r="2598" spans="1:7" ht="11.1" customHeight="1">
      <c r="A2598" s="600" t="str">
        <f t="shared" si="200"/>
        <v>USD;USD 1M;4M</v>
      </c>
      <c r="B2598" s="600" t="str">
        <f t="shared" si="203"/>
        <v>USD</v>
      </c>
      <c r="C2598" s="600" t="str">
        <f t="shared" si="203"/>
        <v>USD 1M</v>
      </c>
      <c r="D2598" s="603"/>
      <c r="E2598" s="604"/>
      <c r="F2598" s="607" t="s">
        <v>26</v>
      </c>
      <c r="G2598" s="606">
        <v>-145.479720563673</v>
      </c>
    </row>
    <row r="2599" spans="1:7" ht="11.1" customHeight="1">
      <c r="A2599" s="600" t="str">
        <f t="shared" si="200"/>
        <v>USD;USD 1M;5M</v>
      </c>
      <c r="B2599" s="600" t="str">
        <f t="shared" si="203"/>
        <v>USD</v>
      </c>
      <c r="C2599" s="600" t="str">
        <f t="shared" si="203"/>
        <v>USD 1M</v>
      </c>
      <c r="D2599" s="603"/>
      <c r="E2599" s="604"/>
      <c r="F2599" s="607" t="s">
        <v>27</v>
      </c>
      <c r="G2599" s="611">
        <v>9.7364707790985702E-2</v>
      </c>
    </row>
    <row r="2600" spans="1:7" ht="11.1" customHeight="1">
      <c r="A2600" s="600" t="str">
        <f t="shared" si="200"/>
        <v>USD;USD 1M;6M</v>
      </c>
      <c r="B2600" s="600" t="str">
        <f t="shared" si="203"/>
        <v>USD</v>
      </c>
      <c r="C2600" s="600" t="str">
        <f t="shared" si="203"/>
        <v>USD 1M</v>
      </c>
      <c r="D2600" s="603"/>
      <c r="E2600" s="604"/>
      <c r="F2600" s="607" t="s">
        <v>28</v>
      </c>
      <c r="G2600" s="606">
        <v>-64.677389554026803</v>
      </c>
    </row>
    <row r="2601" spans="1:7" ht="11.1" customHeight="1">
      <c r="A2601" s="600" t="str">
        <f t="shared" si="200"/>
        <v>USD;USD 1M;21/06/17</v>
      </c>
      <c r="B2601" s="600" t="str">
        <f t="shared" si="203"/>
        <v>USD</v>
      </c>
      <c r="C2601" s="600" t="str">
        <f t="shared" si="203"/>
        <v>USD 1M</v>
      </c>
      <c r="D2601" s="603"/>
      <c r="E2601" s="604"/>
      <c r="F2601" s="607" t="s">
        <v>5101</v>
      </c>
      <c r="G2601" s="606">
        <v>-691.75250529120899</v>
      </c>
    </row>
    <row r="2602" spans="1:7" ht="11.1" customHeight="1">
      <c r="A2602" s="600" t="str">
        <f t="shared" si="200"/>
        <v>USD;USD 1M;JUN 17</v>
      </c>
      <c r="B2602" s="600" t="str">
        <f t="shared" si="203"/>
        <v>USD</v>
      </c>
      <c r="C2602" s="600" t="str">
        <f t="shared" si="203"/>
        <v>USD 1M</v>
      </c>
      <c r="D2602" s="603"/>
      <c r="E2602" s="604"/>
      <c r="F2602" s="607" t="s">
        <v>1066</v>
      </c>
      <c r="G2602" s="606">
        <v>-222.94205376614201</v>
      </c>
    </row>
    <row r="2603" spans="1:7" ht="11.1" customHeight="1">
      <c r="A2603" s="600" t="str">
        <f t="shared" si="200"/>
        <v>USD;USD 1M;SEP 17</v>
      </c>
      <c r="B2603" s="600" t="str">
        <f t="shared" si="203"/>
        <v>USD</v>
      </c>
      <c r="C2603" s="600" t="str">
        <f t="shared" si="203"/>
        <v>USD 1M</v>
      </c>
      <c r="D2603" s="603"/>
      <c r="E2603" s="604"/>
      <c r="F2603" s="607" t="s">
        <v>1069</v>
      </c>
      <c r="G2603" s="606">
        <v>-101.61432622309</v>
      </c>
    </row>
    <row r="2604" spans="1:7" ht="11.1" customHeight="1">
      <c r="A2604" s="600" t="str">
        <f t="shared" si="200"/>
        <v>USD;USD 1M;DEC 17</v>
      </c>
      <c r="B2604" s="600" t="str">
        <f t="shared" si="203"/>
        <v>USD</v>
      </c>
      <c r="C2604" s="600" t="str">
        <f t="shared" si="203"/>
        <v>USD 1M</v>
      </c>
      <c r="D2604" s="603"/>
      <c r="E2604" s="604"/>
      <c r="F2604" s="607" t="s">
        <v>3865</v>
      </c>
      <c r="G2604" s="606">
        <v>-20.4288158451428</v>
      </c>
    </row>
    <row r="2605" spans="1:7" ht="11.1" customHeight="1">
      <c r="A2605" s="600" t="str">
        <f t="shared" si="200"/>
        <v>USD;USD 1M;MAR 18</v>
      </c>
      <c r="B2605" s="600" t="str">
        <f t="shared" si="203"/>
        <v>USD</v>
      </c>
      <c r="C2605" s="600" t="str">
        <f t="shared" si="203"/>
        <v>USD 1M</v>
      </c>
      <c r="D2605" s="603"/>
      <c r="E2605" s="604"/>
      <c r="F2605" s="607" t="s">
        <v>3866</v>
      </c>
      <c r="G2605" s="606">
        <v>-28.319034126441402</v>
      </c>
    </row>
    <row r="2606" spans="1:7" ht="11.1" customHeight="1">
      <c r="A2606" s="600" t="str">
        <f t="shared" si="200"/>
        <v>USD;USD 1M;JUN 18</v>
      </c>
      <c r="B2606" s="600" t="str">
        <f t="shared" si="203"/>
        <v>USD</v>
      </c>
      <c r="C2606" s="600" t="str">
        <f t="shared" si="203"/>
        <v>USD 1M</v>
      </c>
      <c r="D2606" s="603"/>
      <c r="E2606" s="604"/>
      <c r="F2606" s="607" t="s">
        <v>3889</v>
      </c>
      <c r="G2606" s="606">
        <v>-31.255523092005902</v>
      </c>
    </row>
    <row r="2607" spans="1:7" ht="11.1" customHeight="1">
      <c r="A2607" s="600" t="str">
        <f t="shared" si="200"/>
        <v>USD;USD 1M;SEP 18</v>
      </c>
      <c r="B2607" s="600" t="str">
        <f t="shared" si="203"/>
        <v>USD</v>
      </c>
      <c r="C2607" s="600" t="str">
        <f t="shared" si="203"/>
        <v>USD 1M</v>
      </c>
      <c r="D2607" s="603"/>
      <c r="E2607" s="604"/>
      <c r="F2607" s="607" t="s">
        <v>3890</v>
      </c>
      <c r="G2607" s="606">
        <v>-15.204429458137501</v>
      </c>
    </row>
    <row r="2608" spans="1:7" ht="11.1" customHeight="1">
      <c r="A2608" s="600" t="str">
        <f t="shared" si="200"/>
        <v>USD;USD 1M;3Y</v>
      </c>
      <c r="B2608" s="600" t="str">
        <f t="shared" si="203"/>
        <v>USD</v>
      </c>
      <c r="C2608" s="600" t="str">
        <f t="shared" si="203"/>
        <v>USD 1M</v>
      </c>
      <c r="D2608" s="603"/>
      <c r="E2608" s="604"/>
      <c r="F2608" s="607" t="s">
        <v>10</v>
      </c>
      <c r="G2608" s="611">
        <v>7.7044616813294597</v>
      </c>
    </row>
    <row r="2609" spans="1:7" ht="11.1" customHeight="1">
      <c r="A2609" s="600" t="str">
        <f t="shared" si="200"/>
        <v>USD;USD 1M;4Y</v>
      </c>
      <c r="B2609" s="600" t="str">
        <f t="shared" si="203"/>
        <v>USD</v>
      </c>
      <c r="C2609" s="600" t="str">
        <f t="shared" si="203"/>
        <v>USD 1M</v>
      </c>
      <c r="D2609" s="603"/>
      <c r="E2609" s="604"/>
      <c r="F2609" s="607" t="s">
        <v>11</v>
      </c>
      <c r="G2609" s="611">
        <v>11.685761021811301</v>
      </c>
    </row>
    <row r="2610" spans="1:7" ht="11.1" customHeight="1">
      <c r="A2610" s="600" t="str">
        <f t="shared" si="200"/>
        <v>USD;USD 1M;5Y</v>
      </c>
      <c r="B2610" s="600" t="str">
        <f t="shared" si="203"/>
        <v>USD</v>
      </c>
      <c r="C2610" s="600" t="str">
        <f t="shared" si="203"/>
        <v>USD 1M</v>
      </c>
      <c r="D2610" s="603"/>
      <c r="E2610" s="604"/>
      <c r="F2610" s="607" t="s">
        <v>12</v>
      </c>
      <c r="G2610" s="606">
        <v>-130.85898674249299</v>
      </c>
    </row>
    <row r="2611" spans="1:7" ht="11.1" customHeight="1">
      <c r="A2611" s="600" t="str">
        <f t="shared" si="200"/>
        <v>USD;USD 1M;6Y</v>
      </c>
      <c r="B2611" s="600" t="str">
        <f t="shared" si="203"/>
        <v>USD</v>
      </c>
      <c r="C2611" s="600" t="str">
        <f t="shared" si="203"/>
        <v>USD 1M</v>
      </c>
      <c r="D2611" s="603"/>
      <c r="E2611" s="604"/>
      <c r="F2611" s="607" t="s">
        <v>13</v>
      </c>
      <c r="G2611" s="611">
        <v>8709.6490915086397</v>
      </c>
    </row>
    <row r="2612" spans="1:7" ht="11.1" customHeight="1">
      <c r="A2612" s="600" t="str">
        <f t="shared" si="200"/>
        <v>USD;USD 1M;7Y</v>
      </c>
      <c r="B2612" s="600" t="str">
        <f t="shared" si="203"/>
        <v>USD</v>
      </c>
      <c r="C2612" s="600" t="str">
        <f t="shared" si="203"/>
        <v>USD 1M</v>
      </c>
      <c r="D2612" s="603"/>
      <c r="E2612" s="604"/>
      <c r="F2612" s="607" t="s">
        <v>14</v>
      </c>
      <c r="G2612" s="611">
        <v>238.54746851501599</v>
      </c>
    </row>
    <row r="2613" spans="1:7" ht="11.1" customHeight="1">
      <c r="A2613" s="600" t="str">
        <f t="shared" si="200"/>
        <v>USD;USD 1M;8Y</v>
      </c>
      <c r="B2613" s="600" t="str">
        <f t="shared" ref="B2613:C2628" si="204">IF(ISBLANK(D2613),B2612,D2613)</f>
        <v>USD</v>
      </c>
      <c r="C2613" s="600" t="str">
        <f t="shared" si="204"/>
        <v>USD 1M</v>
      </c>
      <c r="D2613" s="603"/>
      <c r="E2613" s="604"/>
      <c r="F2613" s="607" t="s">
        <v>15</v>
      </c>
      <c r="G2613" s="606">
        <v>-8.9838836544604295</v>
      </c>
    </row>
    <row r="2614" spans="1:7" ht="11.1" customHeight="1">
      <c r="A2614" s="600" t="str">
        <f t="shared" si="200"/>
        <v>USD;USD 1M;9Y</v>
      </c>
      <c r="B2614" s="600" t="str">
        <f t="shared" si="204"/>
        <v>USD</v>
      </c>
      <c r="C2614" s="600" t="str">
        <f t="shared" si="204"/>
        <v>USD 1M</v>
      </c>
      <c r="D2614" s="603"/>
      <c r="E2614" s="604"/>
      <c r="F2614" s="607" t="s">
        <v>16</v>
      </c>
      <c r="G2614" s="606">
        <v>-1.7167147241598901E-3</v>
      </c>
    </row>
    <row r="2615" spans="1:7" ht="11.1" customHeight="1">
      <c r="A2615" s="600" t="str">
        <f t="shared" si="200"/>
        <v>USD;USD 1M;10Y</v>
      </c>
      <c r="B2615" s="600" t="str">
        <f t="shared" si="204"/>
        <v>USD</v>
      </c>
      <c r="C2615" s="600" t="str">
        <f t="shared" si="204"/>
        <v>USD 1M</v>
      </c>
      <c r="D2615" s="603"/>
      <c r="E2615" s="604"/>
      <c r="F2615" s="607" t="s">
        <v>17</v>
      </c>
      <c r="G2615" s="606">
        <v>-1.7305549502897601E-6</v>
      </c>
    </row>
    <row r="2616" spans="1:7" ht="11.1" customHeight="1">
      <c r="A2616" s="600" t="str">
        <f t="shared" si="200"/>
        <v>USD;USD 1M;11Y</v>
      </c>
      <c r="B2616" s="600" t="str">
        <f t="shared" si="204"/>
        <v>USD</v>
      </c>
      <c r="C2616" s="600" t="str">
        <f t="shared" si="204"/>
        <v>USD 1M</v>
      </c>
      <c r="D2616" s="603"/>
      <c r="E2616" s="604"/>
      <c r="F2616" s="607" t="s">
        <v>31</v>
      </c>
      <c r="G2616" s="606">
        <v>-1.56457140697842E-9</v>
      </c>
    </row>
    <row r="2617" spans="1:7" ht="11.1" customHeight="1">
      <c r="A2617" s="600" t="str">
        <f t="shared" si="200"/>
        <v>USD;USD 1M;12Y</v>
      </c>
      <c r="B2617" s="600" t="str">
        <f t="shared" si="204"/>
        <v>USD</v>
      </c>
      <c r="C2617" s="600" t="str">
        <f t="shared" si="204"/>
        <v>USD 1M</v>
      </c>
      <c r="D2617" s="603"/>
      <c r="E2617" s="604"/>
      <c r="F2617" s="607" t="s">
        <v>18</v>
      </c>
      <c r="G2617" s="611">
        <v>8.7409279881956502E-14</v>
      </c>
    </row>
    <row r="2618" spans="1:7" ht="11.1" customHeight="1">
      <c r="A2618" s="600" t="str">
        <f t="shared" si="200"/>
        <v>USD;USD 1M;13Y</v>
      </c>
      <c r="B2618" s="600" t="str">
        <f t="shared" si="204"/>
        <v>USD</v>
      </c>
      <c r="C2618" s="600" t="str">
        <f t="shared" si="204"/>
        <v>USD 1M</v>
      </c>
      <c r="D2618" s="603"/>
      <c r="E2618" s="604"/>
      <c r="F2618" s="607" t="s">
        <v>32</v>
      </c>
      <c r="G2618" s="608">
        <v>0</v>
      </c>
    </row>
    <row r="2619" spans="1:7" ht="11.1" customHeight="1">
      <c r="A2619" s="600" t="str">
        <f t="shared" si="200"/>
        <v>USD;USD 1M;14Y</v>
      </c>
      <c r="B2619" s="600" t="str">
        <f t="shared" si="204"/>
        <v>USD</v>
      </c>
      <c r="C2619" s="600" t="str">
        <f t="shared" si="204"/>
        <v>USD 1M</v>
      </c>
      <c r="D2619" s="603"/>
      <c r="E2619" s="604"/>
      <c r="F2619" s="607" t="s">
        <v>33</v>
      </c>
      <c r="G2619" s="608">
        <v>0</v>
      </c>
    </row>
    <row r="2620" spans="1:7" ht="11.1" customHeight="1">
      <c r="A2620" s="600" t="str">
        <f t="shared" si="200"/>
        <v>USD;USD 1M;15Y</v>
      </c>
      <c r="B2620" s="600" t="str">
        <f t="shared" si="204"/>
        <v>USD</v>
      </c>
      <c r="C2620" s="600" t="str">
        <f t="shared" si="204"/>
        <v>USD 1M</v>
      </c>
      <c r="D2620" s="603"/>
      <c r="E2620" s="604"/>
      <c r="F2620" s="607" t="s">
        <v>19</v>
      </c>
      <c r="G2620" s="608">
        <v>0</v>
      </c>
    </row>
    <row r="2621" spans="1:7" ht="11.1" customHeight="1">
      <c r="A2621" s="600" t="str">
        <f t="shared" si="200"/>
        <v>USD;USD 1M;16Y</v>
      </c>
      <c r="B2621" s="600" t="str">
        <f t="shared" si="204"/>
        <v>USD</v>
      </c>
      <c r="C2621" s="600" t="str">
        <f t="shared" si="204"/>
        <v>USD 1M</v>
      </c>
      <c r="D2621" s="603"/>
      <c r="E2621" s="604"/>
      <c r="F2621" s="607" t="s">
        <v>34</v>
      </c>
      <c r="G2621" s="608">
        <v>0</v>
      </c>
    </row>
    <row r="2622" spans="1:7" ht="11.1" customHeight="1">
      <c r="A2622" s="600" t="str">
        <f t="shared" si="200"/>
        <v>USD;USD 1M;17Y</v>
      </c>
      <c r="B2622" s="600" t="str">
        <f t="shared" si="204"/>
        <v>USD</v>
      </c>
      <c r="C2622" s="600" t="str">
        <f t="shared" si="204"/>
        <v>USD 1M</v>
      </c>
      <c r="D2622" s="603"/>
      <c r="E2622" s="604"/>
      <c r="F2622" s="607" t="s">
        <v>35</v>
      </c>
      <c r="G2622" s="608">
        <v>0</v>
      </c>
    </row>
    <row r="2623" spans="1:7" ht="11.1" customHeight="1">
      <c r="A2623" s="600" t="str">
        <f t="shared" si="200"/>
        <v>USD;USD 1M;18Y</v>
      </c>
      <c r="B2623" s="600" t="str">
        <f t="shared" si="204"/>
        <v>USD</v>
      </c>
      <c r="C2623" s="600" t="str">
        <f t="shared" si="204"/>
        <v>USD 1M</v>
      </c>
      <c r="D2623" s="603"/>
      <c r="E2623" s="604"/>
      <c r="F2623" s="607" t="s">
        <v>36</v>
      </c>
      <c r="G2623" s="608">
        <v>0</v>
      </c>
    </row>
    <row r="2624" spans="1:7" ht="11.1" customHeight="1">
      <c r="A2624" s="600" t="str">
        <f t="shared" si="200"/>
        <v>USD;USD 1M;19Y</v>
      </c>
      <c r="B2624" s="600" t="str">
        <f t="shared" si="204"/>
        <v>USD</v>
      </c>
      <c r="C2624" s="600" t="str">
        <f t="shared" si="204"/>
        <v>USD 1M</v>
      </c>
      <c r="D2624" s="603"/>
      <c r="E2624" s="604"/>
      <c r="F2624" s="607" t="s">
        <v>37</v>
      </c>
      <c r="G2624" s="608">
        <v>0</v>
      </c>
    </row>
    <row r="2625" spans="1:7" ht="11.1" customHeight="1">
      <c r="A2625" s="600" t="str">
        <f t="shared" si="200"/>
        <v>USD;USD 1M;20Y</v>
      </c>
      <c r="B2625" s="600" t="str">
        <f t="shared" si="204"/>
        <v>USD</v>
      </c>
      <c r="C2625" s="600" t="str">
        <f t="shared" si="204"/>
        <v>USD 1M</v>
      </c>
      <c r="D2625" s="603"/>
      <c r="E2625" s="604"/>
      <c r="F2625" s="607" t="s">
        <v>20</v>
      </c>
      <c r="G2625" s="608">
        <v>0</v>
      </c>
    </row>
    <row r="2626" spans="1:7" ht="11.1" customHeight="1">
      <c r="A2626" s="600" t="str">
        <f t="shared" si="200"/>
        <v>USD;USD 1M;21Y</v>
      </c>
      <c r="B2626" s="600" t="str">
        <f t="shared" si="204"/>
        <v>USD</v>
      </c>
      <c r="C2626" s="600" t="str">
        <f t="shared" si="204"/>
        <v>USD 1M</v>
      </c>
      <c r="D2626" s="603"/>
      <c r="E2626" s="604"/>
      <c r="F2626" s="607" t="s">
        <v>38</v>
      </c>
      <c r="G2626" s="608">
        <v>0</v>
      </c>
    </row>
    <row r="2627" spans="1:7" ht="11.1" customHeight="1">
      <c r="A2627" s="600" t="str">
        <f t="shared" si="200"/>
        <v>USD;USD 1M;22Y</v>
      </c>
      <c r="B2627" s="600" t="str">
        <f t="shared" si="204"/>
        <v>USD</v>
      </c>
      <c r="C2627" s="600" t="str">
        <f t="shared" si="204"/>
        <v>USD 1M</v>
      </c>
      <c r="D2627" s="603"/>
      <c r="E2627" s="604"/>
      <c r="F2627" s="607" t="s">
        <v>39</v>
      </c>
      <c r="G2627" s="608">
        <v>0</v>
      </c>
    </row>
    <row r="2628" spans="1:7" ht="11.1" customHeight="1">
      <c r="A2628" s="600" t="str">
        <f t="shared" si="200"/>
        <v>USD;USD 1M;23Y</v>
      </c>
      <c r="B2628" s="600" t="str">
        <f t="shared" si="204"/>
        <v>USD</v>
      </c>
      <c r="C2628" s="600" t="str">
        <f t="shared" si="204"/>
        <v>USD 1M</v>
      </c>
      <c r="D2628" s="603"/>
      <c r="E2628" s="604"/>
      <c r="F2628" s="607" t="s">
        <v>40</v>
      </c>
      <c r="G2628" s="608">
        <v>0</v>
      </c>
    </row>
    <row r="2629" spans="1:7" ht="11.1" customHeight="1">
      <c r="A2629" s="600" t="str">
        <f t="shared" ref="A2629:A2692" si="205">B2629&amp;";"&amp;C2629&amp;";"&amp;F2629</f>
        <v>USD;USD 1M;24Y</v>
      </c>
      <c r="B2629" s="600" t="str">
        <f t="shared" ref="B2629:C2644" si="206">IF(ISBLANK(D2629),B2628,D2629)</f>
        <v>USD</v>
      </c>
      <c r="C2629" s="600" t="str">
        <f t="shared" si="206"/>
        <v>USD 1M</v>
      </c>
      <c r="D2629" s="603"/>
      <c r="E2629" s="604"/>
      <c r="F2629" s="607" t="s">
        <v>41</v>
      </c>
      <c r="G2629" s="608">
        <v>0</v>
      </c>
    </row>
    <row r="2630" spans="1:7" ht="11.1" customHeight="1">
      <c r="A2630" s="600" t="str">
        <f t="shared" si="205"/>
        <v>USD;USD 1M;25Y</v>
      </c>
      <c r="B2630" s="600" t="str">
        <f t="shared" si="206"/>
        <v>USD</v>
      </c>
      <c r="C2630" s="600" t="str">
        <f t="shared" si="206"/>
        <v>USD 1M</v>
      </c>
      <c r="D2630" s="603"/>
      <c r="E2630" s="604"/>
      <c r="F2630" s="607" t="s">
        <v>21</v>
      </c>
      <c r="G2630" s="608">
        <v>0</v>
      </c>
    </row>
    <row r="2631" spans="1:7" ht="11.1" customHeight="1">
      <c r="A2631" s="600" t="str">
        <f t="shared" si="205"/>
        <v>USD;USD 1M;26Y</v>
      </c>
      <c r="B2631" s="600" t="str">
        <f t="shared" si="206"/>
        <v>USD</v>
      </c>
      <c r="C2631" s="600" t="str">
        <f t="shared" si="206"/>
        <v>USD 1M</v>
      </c>
      <c r="D2631" s="603"/>
      <c r="E2631" s="604"/>
      <c r="F2631" s="607" t="s">
        <v>42</v>
      </c>
      <c r="G2631" s="608">
        <v>0</v>
      </c>
    </row>
    <row r="2632" spans="1:7" ht="11.1" customHeight="1">
      <c r="A2632" s="600" t="str">
        <f t="shared" si="205"/>
        <v>USD;USD 1M;27Y</v>
      </c>
      <c r="B2632" s="600" t="str">
        <f t="shared" si="206"/>
        <v>USD</v>
      </c>
      <c r="C2632" s="600" t="str">
        <f t="shared" si="206"/>
        <v>USD 1M</v>
      </c>
      <c r="D2632" s="603"/>
      <c r="E2632" s="604"/>
      <c r="F2632" s="607" t="s">
        <v>43</v>
      </c>
      <c r="G2632" s="608">
        <v>0</v>
      </c>
    </row>
    <row r="2633" spans="1:7" ht="11.1" customHeight="1">
      <c r="A2633" s="600" t="str">
        <f t="shared" si="205"/>
        <v>USD;USD 1M;28Y</v>
      </c>
      <c r="B2633" s="600" t="str">
        <f t="shared" si="206"/>
        <v>USD</v>
      </c>
      <c r="C2633" s="600" t="str">
        <f t="shared" si="206"/>
        <v>USD 1M</v>
      </c>
      <c r="D2633" s="603"/>
      <c r="E2633" s="604"/>
      <c r="F2633" s="607" t="s">
        <v>44</v>
      </c>
      <c r="G2633" s="608">
        <v>0</v>
      </c>
    </row>
    <row r="2634" spans="1:7" ht="11.1" customHeight="1">
      <c r="A2634" s="600" t="str">
        <f t="shared" si="205"/>
        <v>USD;USD 1M;29Y</v>
      </c>
      <c r="B2634" s="600" t="str">
        <f t="shared" si="206"/>
        <v>USD</v>
      </c>
      <c r="C2634" s="600" t="str">
        <f t="shared" si="206"/>
        <v>USD 1M</v>
      </c>
      <c r="D2634" s="603"/>
      <c r="E2634" s="604"/>
      <c r="F2634" s="607" t="s">
        <v>45</v>
      </c>
      <c r="G2634" s="608">
        <v>0</v>
      </c>
    </row>
    <row r="2635" spans="1:7" ht="11.1" customHeight="1">
      <c r="A2635" s="600" t="str">
        <f t="shared" si="205"/>
        <v>USD;USD 1M;30Y</v>
      </c>
      <c r="B2635" s="600" t="str">
        <f t="shared" si="206"/>
        <v>USD</v>
      </c>
      <c r="C2635" s="600" t="str">
        <f t="shared" si="206"/>
        <v>USD 1M</v>
      </c>
      <c r="D2635" s="603"/>
      <c r="E2635" s="604"/>
      <c r="F2635" s="607" t="s">
        <v>22</v>
      </c>
      <c r="G2635" s="608">
        <v>0</v>
      </c>
    </row>
    <row r="2636" spans="1:7" ht="11.1" customHeight="1">
      <c r="A2636" s="600" t="str">
        <f t="shared" si="205"/>
        <v>USD;USD 1M;40Y</v>
      </c>
      <c r="B2636" s="600" t="str">
        <f t="shared" si="206"/>
        <v>USD</v>
      </c>
      <c r="C2636" s="600" t="str">
        <f t="shared" si="206"/>
        <v>USD 1M</v>
      </c>
      <c r="D2636" s="603"/>
      <c r="E2636" s="604"/>
      <c r="F2636" s="607" t="s">
        <v>46</v>
      </c>
      <c r="G2636" s="608">
        <v>0</v>
      </c>
    </row>
    <row r="2637" spans="1:7" ht="11.1" customHeight="1">
      <c r="A2637" s="600" t="str">
        <f t="shared" si="205"/>
        <v>USD;USD 1M;50Y</v>
      </c>
      <c r="B2637" s="600" t="str">
        <f t="shared" si="206"/>
        <v>USD</v>
      </c>
      <c r="C2637" s="600" t="str">
        <f t="shared" si="206"/>
        <v>USD 1M</v>
      </c>
      <c r="D2637" s="603"/>
      <c r="E2637" s="604"/>
      <c r="F2637" s="607" t="s">
        <v>47</v>
      </c>
      <c r="G2637" s="608">
        <v>0</v>
      </c>
    </row>
    <row r="2638" spans="1:7" ht="11.1" customHeight="1">
      <c r="A2638" s="600" t="str">
        <f t="shared" si="205"/>
        <v>USD;USD 1M;60Y</v>
      </c>
      <c r="B2638" s="600" t="str">
        <f t="shared" si="206"/>
        <v>USD</v>
      </c>
      <c r="C2638" s="600" t="str">
        <f t="shared" si="206"/>
        <v>USD 1M</v>
      </c>
      <c r="D2638" s="603"/>
      <c r="E2638" s="604"/>
      <c r="F2638" s="607" t="s">
        <v>48</v>
      </c>
      <c r="G2638" s="608">
        <v>0</v>
      </c>
    </row>
    <row r="2639" spans="1:7" ht="11.1" customHeight="1">
      <c r="A2639" s="600" t="str">
        <f t="shared" si="205"/>
        <v>USD;USD 3M;Total USD 3M</v>
      </c>
      <c r="B2639" s="600" t="str">
        <f t="shared" si="206"/>
        <v>USD</v>
      </c>
      <c r="C2639" s="600" t="str">
        <f t="shared" si="206"/>
        <v>USD 3M</v>
      </c>
      <c r="D2639" s="603"/>
      <c r="E2639" s="604" t="s">
        <v>651</v>
      </c>
      <c r="F2639" s="605" t="s">
        <v>652</v>
      </c>
      <c r="G2639" s="606">
        <v>-8859.2892595773392</v>
      </c>
    </row>
    <row r="2640" spans="1:7" ht="11.1" customHeight="1">
      <c r="A2640" s="600" t="str">
        <f t="shared" si="205"/>
        <v>USD;USD 3M;O/N</v>
      </c>
      <c r="B2640" s="600" t="str">
        <f t="shared" si="206"/>
        <v>USD</v>
      </c>
      <c r="C2640" s="600" t="str">
        <f t="shared" si="206"/>
        <v>USD 3M</v>
      </c>
      <c r="D2640" s="603"/>
      <c r="E2640" s="604"/>
      <c r="F2640" s="607" t="s">
        <v>3</v>
      </c>
      <c r="G2640" s="606">
        <v>-1.55573330961953E-3</v>
      </c>
    </row>
    <row r="2641" spans="1:7" ht="11.1" customHeight="1">
      <c r="A2641" s="600" t="str">
        <f t="shared" si="205"/>
        <v>USD;USD 3M;T/N</v>
      </c>
      <c r="B2641" s="600" t="str">
        <f t="shared" si="206"/>
        <v>USD</v>
      </c>
      <c r="C2641" s="600" t="str">
        <f t="shared" si="206"/>
        <v>USD 3M</v>
      </c>
      <c r="D2641" s="603"/>
      <c r="E2641" s="604"/>
      <c r="F2641" s="607" t="s">
        <v>4</v>
      </c>
      <c r="G2641" s="606">
        <v>-5.1859406528468796E-4</v>
      </c>
    </row>
    <row r="2642" spans="1:7" ht="11.1" customHeight="1">
      <c r="A2642" s="600" t="str">
        <f t="shared" si="205"/>
        <v>USD;USD 3M;S/N</v>
      </c>
      <c r="B2642" s="600" t="str">
        <f t="shared" si="206"/>
        <v>USD</v>
      </c>
      <c r="C2642" s="600" t="str">
        <f t="shared" si="206"/>
        <v>USD 3M</v>
      </c>
      <c r="D2642" s="603"/>
      <c r="E2642" s="604"/>
      <c r="F2642" s="607" t="s">
        <v>23</v>
      </c>
      <c r="G2642" s="606">
        <v>-0.54453157885552395</v>
      </c>
    </row>
    <row r="2643" spans="1:7" ht="11.1" customHeight="1">
      <c r="A2643" s="600" t="str">
        <f t="shared" si="205"/>
        <v>USD;USD 3M;1W</v>
      </c>
      <c r="B2643" s="600" t="str">
        <f t="shared" si="206"/>
        <v>USD</v>
      </c>
      <c r="C2643" s="600" t="str">
        <f t="shared" si="206"/>
        <v>USD 3M</v>
      </c>
      <c r="D2643" s="603"/>
      <c r="E2643" s="604"/>
      <c r="F2643" s="607" t="s">
        <v>5</v>
      </c>
      <c r="G2643" s="611">
        <v>151.49301426316401</v>
      </c>
    </row>
    <row r="2644" spans="1:7" ht="11.1" customHeight="1">
      <c r="A2644" s="600" t="str">
        <f t="shared" si="205"/>
        <v>USD;USD 3M;2W</v>
      </c>
      <c r="B2644" s="600" t="str">
        <f t="shared" si="206"/>
        <v>USD</v>
      </c>
      <c r="C2644" s="600" t="str">
        <f t="shared" si="206"/>
        <v>USD 3M</v>
      </c>
      <c r="D2644" s="603"/>
      <c r="E2644" s="604"/>
      <c r="F2644" s="607" t="s">
        <v>6</v>
      </c>
      <c r="G2644" s="606">
        <v>-189.82349110203799</v>
      </c>
    </row>
    <row r="2645" spans="1:7" ht="11.1" customHeight="1">
      <c r="A2645" s="600" t="str">
        <f t="shared" si="205"/>
        <v>USD;USD 3M;3W</v>
      </c>
      <c r="B2645" s="600" t="str">
        <f t="shared" ref="B2645:C2660" si="207">IF(ISBLANK(D2645),B2644,D2645)</f>
        <v>USD</v>
      </c>
      <c r="C2645" s="600" t="str">
        <f t="shared" si="207"/>
        <v>USD 3M</v>
      </c>
      <c r="D2645" s="603"/>
      <c r="E2645" s="604"/>
      <c r="F2645" s="607" t="s">
        <v>24</v>
      </c>
      <c r="G2645" s="606">
        <v>-2075.06254063195</v>
      </c>
    </row>
    <row r="2646" spans="1:7" ht="11.1" customHeight="1">
      <c r="A2646" s="600" t="str">
        <f t="shared" si="205"/>
        <v>USD;USD 3M;1M</v>
      </c>
      <c r="B2646" s="600" t="str">
        <f t="shared" si="207"/>
        <v>USD</v>
      </c>
      <c r="C2646" s="600" t="str">
        <f t="shared" si="207"/>
        <v>USD 3M</v>
      </c>
      <c r="D2646" s="603"/>
      <c r="E2646" s="604"/>
      <c r="F2646" s="607" t="s">
        <v>7</v>
      </c>
      <c r="G2646" s="611">
        <v>1123.1568641377401</v>
      </c>
    </row>
    <row r="2647" spans="1:7" ht="11.1" customHeight="1">
      <c r="A2647" s="600" t="str">
        <f t="shared" si="205"/>
        <v>USD;USD 3M;2M</v>
      </c>
      <c r="B2647" s="600" t="str">
        <f t="shared" si="207"/>
        <v>USD</v>
      </c>
      <c r="C2647" s="600" t="str">
        <f t="shared" si="207"/>
        <v>USD 3M</v>
      </c>
      <c r="D2647" s="603"/>
      <c r="E2647" s="604"/>
      <c r="F2647" s="607" t="s">
        <v>8</v>
      </c>
      <c r="G2647" s="611">
        <v>1057.2339094716699</v>
      </c>
    </row>
    <row r="2648" spans="1:7" ht="11.1" customHeight="1">
      <c r="A2648" s="600" t="str">
        <f t="shared" si="205"/>
        <v>USD;USD 3M;3M</v>
      </c>
      <c r="B2648" s="600" t="str">
        <f t="shared" si="207"/>
        <v>USD</v>
      </c>
      <c r="C2648" s="600" t="str">
        <f t="shared" si="207"/>
        <v>USD 3M</v>
      </c>
      <c r="D2648" s="603"/>
      <c r="E2648" s="604"/>
      <c r="F2648" s="607" t="s">
        <v>25</v>
      </c>
      <c r="G2648" s="606">
        <v>-592.28100550631495</v>
      </c>
    </row>
    <row r="2649" spans="1:7" ht="11.1" customHeight="1">
      <c r="A2649" s="600" t="str">
        <f t="shared" si="205"/>
        <v>USD;USD 3M;4M</v>
      </c>
      <c r="B2649" s="600" t="str">
        <f t="shared" si="207"/>
        <v>USD</v>
      </c>
      <c r="C2649" s="600" t="str">
        <f t="shared" si="207"/>
        <v>USD 3M</v>
      </c>
      <c r="D2649" s="603"/>
      <c r="E2649" s="604"/>
      <c r="F2649" s="607" t="s">
        <v>26</v>
      </c>
      <c r="G2649" s="606">
        <v>-5160.2893114322396</v>
      </c>
    </row>
    <row r="2650" spans="1:7" ht="11.1" customHeight="1">
      <c r="A2650" s="600" t="str">
        <f t="shared" si="205"/>
        <v>USD;USD 3M;5M</v>
      </c>
      <c r="B2650" s="600" t="str">
        <f t="shared" si="207"/>
        <v>USD</v>
      </c>
      <c r="C2650" s="600" t="str">
        <f t="shared" si="207"/>
        <v>USD 3M</v>
      </c>
      <c r="D2650" s="603"/>
      <c r="E2650" s="604"/>
      <c r="F2650" s="607" t="s">
        <v>27</v>
      </c>
      <c r="G2650" s="611">
        <v>7557.84183376498</v>
      </c>
    </row>
    <row r="2651" spans="1:7" ht="11.1" customHeight="1">
      <c r="A2651" s="600" t="str">
        <f t="shared" si="205"/>
        <v>USD;USD 3M;6M</v>
      </c>
      <c r="B2651" s="600" t="str">
        <f t="shared" si="207"/>
        <v>USD</v>
      </c>
      <c r="C2651" s="600" t="str">
        <f t="shared" si="207"/>
        <v>USD 3M</v>
      </c>
      <c r="D2651" s="603"/>
      <c r="E2651" s="604"/>
      <c r="F2651" s="607" t="s">
        <v>28</v>
      </c>
      <c r="G2651" s="611">
        <v>13165.647004905</v>
      </c>
    </row>
    <row r="2652" spans="1:7" ht="11.1" customHeight="1">
      <c r="A2652" s="600" t="str">
        <f t="shared" si="205"/>
        <v>USD;USD 3M;21/06/17</v>
      </c>
      <c r="B2652" s="600" t="str">
        <f t="shared" si="207"/>
        <v>USD</v>
      </c>
      <c r="C2652" s="600" t="str">
        <f t="shared" si="207"/>
        <v>USD 3M</v>
      </c>
      <c r="D2652" s="603"/>
      <c r="E2652" s="604"/>
      <c r="F2652" s="607" t="s">
        <v>5101</v>
      </c>
      <c r="G2652" s="606">
        <v>-4267.7680377637098</v>
      </c>
    </row>
    <row r="2653" spans="1:7" ht="11.1" customHeight="1">
      <c r="A2653" s="600" t="str">
        <f t="shared" si="205"/>
        <v>USD;USD 3M;JUN 17</v>
      </c>
      <c r="B2653" s="600" t="str">
        <f t="shared" si="207"/>
        <v>USD</v>
      </c>
      <c r="C2653" s="600" t="str">
        <f t="shared" si="207"/>
        <v>USD 3M</v>
      </c>
      <c r="D2653" s="603"/>
      <c r="E2653" s="604"/>
      <c r="F2653" s="607" t="s">
        <v>1066</v>
      </c>
      <c r="G2653" s="611">
        <v>3915.7073399414598</v>
      </c>
    </row>
    <row r="2654" spans="1:7" ht="11.1" customHeight="1">
      <c r="A2654" s="600" t="str">
        <f t="shared" si="205"/>
        <v>USD;USD 3M;SEP 17</v>
      </c>
      <c r="B2654" s="600" t="str">
        <f t="shared" si="207"/>
        <v>USD</v>
      </c>
      <c r="C2654" s="600" t="str">
        <f t="shared" si="207"/>
        <v>USD 3M</v>
      </c>
      <c r="D2654" s="603"/>
      <c r="E2654" s="604"/>
      <c r="F2654" s="607" t="s">
        <v>1069</v>
      </c>
      <c r="G2654" s="611">
        <v>2108.24545689159</v>
      </c>
    </row>
    <row r="2655" spans="1:7" ht="11.1" customHeight="1">
      <c r="A2655" s="600" t="str">
        <f t="shared" si="205"/>
        <v>USD;USD 3M;DEC 17</v>
      </c>
      <c r="B2655" s="600" t="str">
        <f t="shared" si="207"/>
        <v>USD</v>
      </c>
      <c r="C2655" s="600" t="str">
        <f t="shared" si="207"/>
        <v>USD 3M</v>
      </c>
      <c r="D2655" s="603"/>
      <c r="E2655" s="604"/>
      <c r="F2655" s="607" t="s">
        <v>3865</v>
      </c>
      <c r="G2655" s="611">
        <v>537.76688250336599</v>
      </c>
    </row>
    <row r="2656" spans="1:7" ht="11.1" customHeight="1">
      <c r="A2656" s="600" t="str">
        <f t="shared" si="205"/>
        <v>USD;USD 3M;MAR 18</v>
      </c>
      <c r="B2656" s="600" t="str">
        <f t="shared" si="207"/>
        <v>USD</v>
      </c>
      <c r="C2656" s="600" t="str">
        <f t="shared" si="207"/>
        <v>USD 3M</v>
      </c>
      <c r="D2656" s="603"/>
      <c r="E2656" s="604"/>
      <c r="F2656" s="607" t="s">
        <v>3866</v>
      </c>
      <c r="G2656" s="611">
        <v>947.92589867377603</v>
      </c>
    </row>
    <row r="2657" spans="1:7" ht="11.1" customHeight="1">
      <c r="A2657" s="600" t="str">
        <f t="shared" si="205"/>
        <v>USD;USD 3M;JUN 18</v>
      </c>
      <c r="B2657" s="600" t="str">
        <f t="shared" si="207"/>
        <v>USD</v>
      </c>
      <c r="C2657" s="600" t="str">
        <f t="shared" si="207"/>
        <v>USD 3M</v>
      </c>
      <c r="D2657" s="603"/>
      <c r="E2657" s="604"/>
      <c r="F2657" s="607" t="s">
        <v>3889</v>
      </c>
      <c r="G2657" s="611">
        <v>2965.8852262860601</v>
      </c>
    </row>
    <row r="2658" spans="1:7" ht="11.1" customHeight="1">
      <c r="A2658" s="600" t="str">
        <f t="shared" si="205"/>
        <v>USD;USD 3M;SEP 18</v>
      </c>
      <c r="B2658" s="600" t="str">
        <f t="shared" si="207"/>
        <v>USD</v>
      </c>
      <c r="C2658" s="600" t="str">
        <f t="shared" si="207"/>
        <v>USD 3M</v>
      </c>
      <c r="D2658" s="603"/>
      <c r="E2658" s="604"/>
      <c r="F2658" s="607" t="s">
        <v>3890</v>
      </c>
      <c r="G2658" s="606">
        <v>-6210.1954877506496</v>
      </c>
    </row>
    <row r="2659" spans="1:7" ht="11.1" customHeight="1">
      <c r="A2659" s="600" t="str">
        <f t="shared" si="205"/>
        <v>USD;USD 3M;3Y</v>
      </c>
      <c r="B2659" s="600" t="str">
        <f t="shared" si="207"/>
        <v>USD</v>
      </c>
      <c r="C2659" s="600" t="str">
        <f t="shared" si="207"/>
        <v>USD 3M</v>
      </c>
      <c r="D2659" s="603"/>
      <c r="E2659" s="604"/>
      <c r="F2659" s="607" t="s">
        <v>10</v>
      </c>
      <c r="G2659" s="606">
        <v>-8733.4709192114606</v>
      </c>
    </row>
    <row r="2660" spans="1:7" ht="11.1" customHeight="1">
      <c r="A2660" s="600" t="str">
        <f t="shared" si="205"/>
        <v>USD;USD 3M;4Y</v>
      </c>
      <c r="B2660" s="600" t="str">
        <f t="shared" si="207"/>
        <v>USD</v>
      </c>
      <c r="C2660" s="600" t="str">
        <f t="shared" si="207"/>
        <v>USD 3M</v>
      </c>
      <c r="D2660" s="603"/>
      <c r="E2660" s="604"/>
      <c r="F2660" s="607" t="s">
        <v>11</v>
      </c>
      <c r="G2660" s="611">
        <v>30931.499476198602</v>
      </c>
    </row>
    <row r="2661" spans="1:7" ht="11.1" customHeight="1">
      <c r="A2661" s="600" t="str">
        <f t="shared" si="205"/>
        <v>USD;USD 3M;5Y</v>
      </c>
      <c r="B2661" s="600" t="str">
        <f t="shared" ref="B2661:C2676" si="208">IF(ISBLANK(D2661),B2660,D2661)</f>
        <v>USD</v>
      </c>
      <c r="C2661" s="600" t="str">
        <f t="shared" si="208"/>
        <v>USD 3M</v>
      </c>
      <c r="D2661" s="603"/>
      <c r="E2661" s="604"/>
      <c r="F2661" s="607" t="s">
        <v>12</v>
      </c>
      <c r="G2661" s="606">
        <v>-25038.2925868901</v>
      </c>
    </row>
    <row r="2662" spans="1:7" ht="11.1" customHeight="1">
      <c r="A2662" s="600" t="str">
        <f t="shared" si="205"/>
        <v>USD;USD 3M;6Y</v>
      </c>
      <c r="B2662" s="600" t="str">
        <f t="shared" si="208"/>
        <v>USD</v>
      </c>
      <c r="C2662" s="600" t="str">
        <f t="shared" si="208"/>
        <v>USD 3M</v>
      </c>
      <c r="D2662" s="603"/>
      <c r="E2662" s="604"/>
      <c r="F2662" s="607" t="s">
        <v>13</v>
      </c>
      <c r="G2662" s="611">
        <v>22141.879246586301</v>
      </c>
    </row>
    <row r="2663" spans="1:7" ht="11.1" customHeight="1">
      <c r="A2663" s="600" t="str">
        <f t="shared" si="205"/>
        <v>USD;USD 3M;7Y</v>
      </c>
      <c r="B2663" s="600" t="str">
        <f t="shared" si="208"/>
        <v>USD</v>
      </c>
      <c r="C2663" s="600" t="str">
        <f t="shared" si="208"/>
        <v>USD 3M</v>
      </c>
      <c r="D2663" s="603"/>
      <c r="E2663" s="604"/>
      <c r="F2663" s="607" t="s">
        <v>14</v>
      </c>
      <c r="G2663" s="606">
        <v>-3720.5813647136001</v>
      </c>
    </row>
    <row r="2664" spans="1:7" ht="11.1" customHeight="1">
      <c r="A2664" s="600" t="str">
        <f t="shared" si="205"/>
        <v>USD;USD 3M;8Y</v>
      </c>
      <c r="B2664" s="600" t="str">
        <f t="shared" si="208"/>
        <v>USD</v>
      </c>
      <c r="C2664" s="600" t="str">
        <f t="shared" si="208"/>
        <v>USD 3M</v>
      </c>
      <c r="D2664" s="603"/>
      <c r="E2664" s="604"/>
      <c r="F2664" s="607" t="s">
        <v>15</v>
      </c>
      <c r="G2664" s="611">
        <v>26679.116757669199</v>
      </c>
    </row>
    <row r="2665" spans="1:7" ht="11.1" customHeight="1">
      <c r="A2665" s="600" t="str">
        <f t="shared" si="205"/>
        <v>USD;USD 3M;9Y</v>
      </c>
      <c r="B2665" s="600" t="str">
        <f t="shared" si="208"/>
        <v>USD</v>
      </c>
      <c r="C2665" s="600" t="str">
        <f t="shared" si="208"/>
        <v>USD 3M</v>
      </c>
      <c r="D2665" s="603"/>
      <c r="E2665" s="604"/>
      <c r="F2665" s="607" t="s">
        <v>16</v>
      </c>
      <c r="G2665" s="606">
        <v>-77666.384094553607</v>
      </c>
    </row>
    <row r="2666" spans="1:7" ht="11.1" customHeight="1">
      <c r="A2666" s="600" t="str">
        <f t="shared" si="205"/>
        <v>USD;USD 3M;10Y</v>
      </c>
      <c r="B2666" s="600" t="str">
        <f t="shared" si="208"/>
        <v>USD</v>
      </c>
      <c r="C2666" s="600" t="str">
        <f t="shared" si="208"/>
        <v>USD 3M</v>
      </c>
      <c r="D2666" s="603"/>
      <c r="E2666" s="604"/>
      <c r="F2666" s="607" t="s">
        <v>17</v>
      </c>
      <c r="G2666" s="611">
        <v>34471.124349730402</v>
      </c>
    </row>
    <row r="2667" spans="1:7" ht="11.1" customHeight="1">
      <c r="A2667" s="600" t="str">
        <f t="shared" si="205"/>
        <v>USD;USD 3M;11Y</v>
      </c>
      <c r="B2667" s="600" t="str">
        <f t="shared" si="208"/>
        <v>USD</v>
      </c>
      <c r="C2667" s="600" t="str">
        <f t="shared" si="208"/>
        <v>USD 3M</v>
      </c>
      <c r="D2667" s="603"/>
      <c r="E2667" s="604"/>
      <c r="F2667" s="607" t="s">
        <v>31</v>
      </c>
      <c r="G2667" s="606">
        <v>-50498.4462177225</v>
      </c>
    </row>
    <row r="2668" spans="1:7" ht="11.1" customHeight="1">
      <c r="A2668" s="600" t="str">
        <f t="shared" si="205"/>
        <v>USD;USD 3M;12Y</v>
      </c>
      <c r="B2668" s="600" t="str">
        <f t="shared" si="208"/>
        <v>USD</v>
      </c>
      <c r="C2668" s="600" t="str">
        <f t="shared" si="208"/>
        <v>USD 3M</v>
      </c>
      <c r="D2668" s="603"/>
      <c r="E2668" s="604"/>
      <c r="F2668" s="607" t="s">
        <v>18</v>
      </c>
      <c r="G2668" s="606">
        <v>-9336.5525233142107</v>
      </c>
    </row>
    <row r="2669" spans="1:7" ht="11.1" customHeight="1">
      <c r="A2669" s="600" t="str">
        <f t="shared" si="205"/>
        <v>USD;USD 3M;13Y</v>
      </c>
      <c r="B2669" s="600" t="str">
        <f t="shared" si="208"/>
        <v>USD</v>
      </c>
      <c r="C2669" s="600" t="str">
        <f t="shared" si="208"/>
        <v>USD 3M</v>
      </c>
      <c r="D2669" s="603"/>
      <c r="E2669" s="604"/>
      <c r="F2669" s="607" t="s">
        <v>32</v>
      </c>
      <c r="G2669" s="611">
        <v>25596.610954680498</v>
      </c>
    </row>
    <row r="2670" spans="1:7" ht="11.1" customHeight="1">
      <c r="A2670" s="600" t="str">
        <f t="shared" si="205"/>
        <v>USD;USD 3M;14Y</v>
      </c>
      <c r="B2670" s="600" t="str">
        <f t="shared" si="208"/>
        <v>USD</v>
      </c>
      <c r="C2670" s="600" t="str">
        <f t="shared" si="208"/>
        <v>USD 3M</v>
      </c>
      <c r="D2670" s="603"/>
      <c r="E2670" s="604"/>
      <c r="F2670" s="607" t="s">
        <v>33</v>
      </c>
      <c r="G2670" s="606">
        <v>-8485.0675040767201</v>
      </c>
    </row>
    <row r="2671" spans="1:7" ht="11.1" customHeight="1">
      <c r="A2671" s="600" t="str">
        <f t="shared" si="205"/>
        <v>USD;USD 3M;15Y</v>
      </c>
      <c r="B2671" s="600" t="str">
        <f t="shared" si="208"/>
        <v>USD</v>
      </c>
      <c r="C2671" s="600" t="str">
        <f t="shared" si="208"/>
        <v>USD 3M</v>
      </c>
      <c r="D2671" s="603"/>
      <c r="E2671" s="604"/>
      <c r="F2671" s="607" t="s">
        <v>19</v>
      </c>
      <c r="G2671" s="611">
        <v>385.17790408168798</v>
      </c>
    </row>
    <row r="2672" spans="1:7" ht="11.1" customHeight="1">
      <c r="A2672" s="600" t="str">
        <f t="shared" si="205"/>
        <v>USD;USD 3M;16Y</v>
      </c>
      <c r="B2672" s="600" t="str">
        <f t="shared" si="208"/>
        <v>USD</v>
      </c>
      <c r="C2672" s="600" t="str">
        <f t="shared" si="208"/>
        <v>USD 3M</v>
      </c>
      <c r="D2672" s="603"/>
      <c r="E2672" s="604"/>
      <c r="F2672" s="607" t="s">
        <v>34</v>
      </c>
      <c r="G2672" s="606">
        <v>-1302.0394992505701</v>
      </c>
    </row>
    <row r="2673" spans="1:7" ht="11.1" customHeight="1">
      <c r="A2673" s="600" t="str">
        <f t="shared" si="205"/>
        <v>USD;USD 3M;17Y</v>
      </c>
      <c r="B2673" s="600" t="str">
        <f t="shared" si="208"/>
        <v>USD</v>
      </c>
      <c r="C2673" s="600" t="str">
        <f t="shared" si="208"/>
        <v>USD 3M</v>
      </c>
      <c r="D2673" s="603"/>
      <c r="E2673" s="604"/>
      <c r="F2673" s="607" t="s">
        <v>35</v>
      </c>
      <c r="G2673" s="606">
        <v>-1611.40942593404</v>
      </c>
    </row>
    <row r="2674" spans="1:7" ht="11.1" customHeight="1">
      <c r="A2674" s="600" t="str">
        <f t="shared" si="205"/>
        <v>USD;USD 3M;18Y</v>
      </c>
      <c r="B2674" s="600" t="str">
        <f t="shared" si="208"/>
        <v>USD</v>
      </c>
      <c r="C2674" s="600" t="str">
        <f t="shared" si="208"/>
        <v>USD 3M</v>
      </c>
      <c r="D2674" s="603"/>
      <c r="E2674" s="604"/>
      <c r="F2674" s="607" t="s">
        <v>36</v>
      </c>
      <c r="G2674" s="606">
        <v>-11948.091858723899</v>
      </c>
    </row>
    <row r="2675" spans="1:7" ht="11.1" customHeight="1">
      <c r="A2675" s="600" t="str">
        <f t="shared" si="205"/>
        <v>USD;USD 3M;19Y</v>
      </c>
      <c r="B2675" s="600" t="str">
        <f t="shared" si="208"/>
        <v>USD</v>
      </c>
      <c r="C2675" s="600" t="str">
        <f t="shared" si="208"/>
        <v>USD 3M</v>
      </c>
      <c r="D2675" s="603"/>
      <c r="E2675" s="604"/>
      <c r="F2675" s="607" t="s">
        <v>37</v>
      </c>
      <c r="G2675" s="611">
        <v>86204.023926947804</v>
      </c>
    </row>
    <row r="2676" spans="1:7" ht="11.1" customHeight="1">
      <c r="A2676" s="600" t="str">
        <f t="shared" si="205"/>
        <v>USD;USD 3M;20Y</v>
      </c>
      <c r="B2676" s="600" t="str">
        <f t="shared" si="208"/>
        <v>USD</v>
      </c>
      <c r="C2676" s="600" t="str">
        <f t="shared" si="208"/>
        <v>USD 3M</v>
      </c>
      <c r="D2676" s="603"/>
      <c r="E2676" s="604"/>
      <c r="F2676" s="607" t="s">
        <v>20</v>
      </c>
      <c r="G2676" s="606">
        <v>-38104.551667597501</v>
      </c>
    </row>
    <row r="2677" spans="1:7" ht="11.1" customHeight="1">
      <c r="A2677" s="600" t="str">
        <f t="shared" si="205"/>
        <v>USD;USD 3M;21Y</v>
      </c>
      <c r="B2677" s="600" t="str">
        <f t="shared" ref="B2677:C2692" si="209">IF(ISBLANK(D2677),B2676,D2677)</f>
        <v>USD</v>
      </c>
      <c r="C2677" s="600" t="str">
        <f t="shared" si="209"/>
        <v>USD 3M</v>
      </c>
      <c r="D2677" s="603"/>
      <c r="E2677" s="604"/>
      <c r="F2677" s="607" t="s">
        <v>38</v>
      </c>
      <c r="G2677" s="611">
        <v>3060.4798979197999</v>
      </c>
    </row>
    <row r="2678" spans="1:7" ht="11.1" customHeight="1">
      <c r="A2678" s="600" t="str">
        <f t="shared" si="205"/>
        <v>USD;USD 3M;22Y</v>
      </c>
      <c r="B2678" s="600" t="str">
        <f t="shared" si="209"/>
        <v>USD</v>
      </c>
      <c r="C2678" s="600" t="str">
        <f t="shared" si="209"/>
        <v>USD 3M</v>
      </c>
      <c r="D2678" s="603"/>
      <c r="E2678" s="604"/>
      <c r="F2678" s="607" t="s">
        <v>39</v>
      </c>
      <c r="G2678" s="606">
        <v>-32.647113742218103</v>
      </c>
    </row>
    <row r="2679" spans="1:7" ht="11.1" customHeight="1">
      <c r="A2679" s="600" t="str">
        <f t="shared" si="205"/>
        <v>USD;USD 3M;23Y</v>
      </c>
      <c r="B2679" s="600" t="str">
        <f t="shared" si="209"/>
        <v>USD</v>
      </c>
      <c r="C2679" s="600" t="str">
        <f t="shared" si="209"/>
        <v>USD 3M</v>
      </c>
      <c r="D2679" s="603"/>
      <c r="E2679" s="604"/>
      <c r="F2679" s="607" t="s">
        <v>40</v>
      </c>
      <c r="G2679" s="611">
        <v>367.28323174009898</v>
      </c>
    </row>
    <row r="2680" spans="1:7" ht="11.1" customHeight="1">
      <c r="A2680" s="600" t="str">
        <f t="shared" si="205"/>
        <v>USD;USD 3M;24Y</v>
      </c>
      <c r="B2680" s="600" t="str">
        <f t="shared" si="209"/>
        <v>USD</v>
      </c>
      <c r="C2680" s="600" t="str">
        <f t="shared" si="209"/>
        <v>USD 3M</v>
      </c>
      <c r="D2680" s="603"/>
      <c r="E2680" s="604"/>
      <c r="F2680" s="607" t="s">
        <v>41</v>
      </c>
      <c r="G2680" s="606">
        <v>-10602.7117203536</v>
      </c>
    </row>
    <row r="2681" spans="1:7" ht="11.1" customHeight="1">
      <c r="A2681" s="600" t="str">
        <f t="shared" si="205"/>
        <v>USD;USD 3M;25Y</v>
      </c>
      <c r="B2681" s="600" t="str">
        <f t="shared" si="209"/>
        <v>USD</v>
      </c>
      <c r="C2681" s="600" t="str">
        <f t="shared" si="209"/>
        <v>USD 3M</v>
      </c>
      <c r="D2681" s="603"/>
      <c r="E2681" s="604"/>
      <c r="F2681" s="607" t="s">
        <v>21</v>
      </c>
      <c r="G2681" s="606">
        <v>-6583.6697885943904</v>
      </c>
    </row>
    <row r="2682" spans="1:7" ht="11.1" customHeight="1">
      <c r="A2682" s="600" t="str">
        <f t="shared" si="205"/>
        <v>USD;USD 3M;26Y</v>
      </c>
      <c r="B2682" s="600" t="str">
        <f t="shared" si="209"/>
        <v>USD</v>
      </c>
      <c r="C2682" s="600" t="str">
        <f t="shared" si="209"/>
        <v>USD 3M</v>
      </c>
      <c r="D2682" s="603"/>
      <c r="E2682" s="604"/>
      <c r="F2682" s="607" t="s">
        <v>42</v>
      </c>
      <c r="G2682" s="606">
        <v>-67.704671341530798</v>
      </c>
    </row>
    <row r="2683" spans="1:7" ht="11.1" customHeight="1">
      <c r="A2683" s="600" t="str">
        <f t="shared" si="205"/>
        <v>USD;USD 3M;27Y</v>
      </c>
      <c r="B2683" s="600" t="str">
        <f t="shared" si="209"/>
        <v>USD</v>
      </c>
      <c r="C2683" s="600" t="str">
        <f t="shared" si="209"/>
        <v>USD 3M</v>
      </c>
      <c r="D2683" s="603"/>
      <c r="E2683" s="604"/>
      <c r="F2683" s="607" t="s">
        <v>43</v>
      </c>
      <c r="G2683" s="611">
        <v>0.198961209651556</v>
      </c>
    </row>
    <row r="2684" spans="1:7" ht="11.1" customHeight="1">
      <c r="A2684" s="600" t="str">
        <f t="shared" si="205"/>
        <v>USD;USD 3M;28Y</v>
      </c>
      <c r="B2684" s="600" t="str">
        <f t="shared" si="209"/>
        <v>USD</v>
      </c>
      <c r="C2684" s="600" t="str">
        <f t="shared" si="209"/>
        <v>USD 3M</v>
      </c>
      <c r="D2684" s="603"/>
      <c r="E2684" s="604"/>
      <c r="F2684" s="607" t="s">
        <v>44</v>
      </c>
      <c r="G2684" s="611">
        <v>3.8097247997322803E-5</v>
      </c>
    </row>
    <row r="2685" spans="1:7" ht="11.1" customHeight="1">
      <c r="A2685" s="600" t="str">
        <f t="shared" si="205"/>
        <v>USD;USD 3M;29Y</v>
      </c>
      <c r="B2685" s="600" t="str">
        <f t="shared" si="209"/>
        <v>USD</v>
      </c>
      <c r="C2685" s="600" t="str">
        <f t="shared" si="209"/>
        <v>USD 3M</v>
      </c>
      <c r="D2685" s="603"/>
      <c r="E2685" s="604"/>
      <c r="F2685" s="607" t="s">
        <v>45</v>
      </c>
      <c r="G2685" s="611">
        <v>8.3528081962585004E-7</v>
      </c>
    </row>
    <row r="2686" spans="1:7" ht="11.1" customHeight="1">
      <c r="A2686" s="600" t="str">
        <f t="shared" si="205"/>
        <v>USD;USD 3M;30Y</v>
      </c>
      <c r="B2686" s="600" t="str">
        <f t="shared" si="209"/>
        <v>USD</v>
      </c>
      <c r="C2686" s="600" t="str">
        <f t="shared" si="209"/>
        <v>USD 3M</v>
      </c>
      <c r="D2686" s="603"/>
      <c r="E2686" s="604"/>
      <c r="F2686" s="607" t="s">
        <v>22</v>
      </c>
      <c r="G2686" s="611">
        <v>8.0312481902620801E-10</v>
      </c>
    </row>
    <row r="2687" spans="1:7" ht="11.1" customHeight="1">
      <c r="A2687" s="600" t="str">
        <f t="shared" si="205"/>
        <v>USD;USD 3M;40Y</v>
      </c>
      <c r="B2687" s="600" t="str">
        <f t="shared" si="209"/>
        <v>USD</v>
      </c>
      <c r="C2687" s="600" t="str">
        <f t="shared" si="209"/>
        <v>USD 3M</v>
      </c>
      <c r="D2687" s="603"/>
      <c r="E2687" s="604"/>
      <c r="F2687" s="607" t="s">
        <v>46</v>
      </c>
      <c r="G2687" s="608">
        <v>0</v>
      </c>
    </row>
    <row r="2688" spans="1:7" ht="11.1" customHeight="1">
      <c r="A2688" s="600" t="str">
        <f t="shared" si="205"/>
        <v>USD;USD 3M;50Y</v>
      </c>
      <c r="B2688" s="600" t="str">
        <f t="shared" si="209"/>
        <v>USD</v>
      </c>
      <c r="C2688" s="600" t="str">
        <f t="shared" si="209"/>
        <v>USD 3M</v>
      </c>
      <c r="D2688" s="603"/>
      <c r="E2688" s="604"/>
      <c r="F2688" s="607" t="s">
        <v>47</v>
      </c>
      <c r="G2688" s="608">
        <v>0</v>
      </c>
    </row>
    <row r="2689" spans="1:7" ht="11.1" customHeight="1">
      <c r="A2689" s="600" t="str">
        <f t="shared" si="205"/>
        <v>USD;USD 3M;60Y</v>
      </c>
      <c r="B2689" s="600" t="str">
        <f t="shared" si="209"/>
        <v>USD</v>
      </c>
      <c r="C2689" s="600" t="str">
        <f t="shared" si="209"/>
        <v>USD 3M</v>
      </c>
      <c r="D2689" s="603"/>
      <c r="E2689" s="604"/>
      <c r="F2689" s="607" t="s">
        <v>48</v>
      </c>
      <c r="G2689" s="608">
        <v>0</v>
      </c>
    </row>
    <row r="2690" spans="1:7" ht="11.1" customHeight="1">
      <c r="A2690" s="600" t="str">
        <f t="shared" si="205"/>
        <v>USD;USD 6M;Total USD 6M</v>
      </c>
      <c r="B2690" s="600" t="str">
        <f t="shared" si="209"/>
        <v>USD</v>
      </c>
      <c r="C2690" s="600" t="str">
        <f t="shared" si="209"/>
        <v>USD 6M</v>
      </c>
      <c r="D2690" s="603"/>
      <c r="E2690" s="604" t="s">
        <v>653</v>
      </c>
      <c r="F2690" s="605" t="s">
        <v>654</v>
      </c>
      <c r="G2690" s="606">
        <v>-952.83711970908598</v>
      </c>
    </row>
    <row r="2691" spans="1:7" ht="11.1" customHeight="1">
      <c r="A2691" s="600" t="str">
        <f t="shared" si="205"/>
        <v>USD;USD 6M;O/N</v>
      </c>
      <c r="B2691" s="600" t="str">
        <f t="shared" si="209"/>
        <v>USD</v>
      </c>
      <c r="C2691" s="600" t="str">
        <f t="shared" si="209"/>
        <v>USD 6M</v>
      </c>
      <c r="D2691" s="603"/>
      <c r="E2691" s="604"/>
      <c r="F2691" s="607" t="s">
        <v>3</v>
      </c>
      <c r="G2691" s="606">
        <v>-8.1405900466749398E-9</v>
      </c>
    </row>
    <row r="2692" spans="1:7" ht="11.1" customHeight="1">
      <c r="A2692" s="600" t="str">
        <f t="shared" si="205"/>
        <v>USD;USD 6M;T/N</v>
      </c>
      <c r="B2692" s="600" t="str">
        <f t="shared" si="209"/>
        <v>USD</v>
      </c>
      <c r="C2692" s="600" t="str">
        <f t="shared" si="209"/>
        <v>USD 6M</v>
      </c>
      <c r="D2692" s="603"/>
      <c r="E2692" s="604"/>
      <c r="F2692" s="607" t="s">
        <v>4</v>
      </c>
      <c r="G2692" s="606">
        <v>-3.4235991836634201E-9</v>
      </c>
    </row>
    <row r="2693" spans="1:7" ht="11.1" customHeight="1">
      <c r="A2693" s="600" t="str">
        <f t="shared" ref="A2693:A2756" si="210">B2693&amp;";"&amp;C2693&amp;";"&amp;F2693</f>
        <v>USD;USD 6M;S/N</v>
      </c>
      <c r="B2693" s="600" t="str">
        <f t="shared" ref="B2693:C2708" si="211">IF(ISBLANK(D2693),B2692,D2693)</f>
        <v>USD</v>
      </c>
      <c r="C2693" s="600" t="str">
        <f t="shared" si="211"/>
        <v>USD 6M</v>
      </c>
      <c r="D2693" s="603"/>
      <c r="E2693" s="604"/>
      <c r="F2693" s="607" t="s">
        <v>23</v>
      </c>
      <c r="G2693" s="606">
        <v>-1.54088090725778</v>
      </c>
    </row>
    <row r="2694" spans="1:7" ht="11.1" customHeight="1">
      <c r="A2694" s="600" t="str">
        <f t="shared" si="210"/>
        <v>USD;USD 6M;1W</v>
      </c>
      <c r="B2694" s="600" t="str">
        <f t="shared" si="211"/>
        <v>USD</v>
      </c>
      <c r="C2694" s="600" t="str">
        <f t="shared" si="211"/>
        <v>USD 6M</v>
      </c>
      <c r="D2694" s="603"/>
      <c r="E2694" s="604"/>
      <c r="F2694" s="607" t="s">
        <v>5</v>
      </c>
      <c r="G2694" s="611">
        <v>15.5079767362406</v>
      </c>
    </row>
    <row r="2695" spans="1:7" ht="11.1" customHeight="1">
      <c r="A2695" s="600" t="str">
        <f t="shared" si="210"/>
        <v>USD;USD 6M;2W</v>
      </c>
      <c r="B2695" s="600" t="str">
        <f t="shared" si="211"/>
        <v>USD</v>
      </c>
      <c r="C2695" s="600" t="str">
        <f t="shared" si="211"/>
        <v>USD 6M</v>
      </c>
      <c r="D2695" s="603"/>
      <c r="E2695" s="604"/>
      <c r="F2695" s="607" t="s">
        <v>6</v>
      </c>
      <c r="G2695" s="611">
        <v>4.2392946488721996</v>
      </c>
    </row>
    <row r="2696" spans="1:7" ht="11.1" customHeight="1">
      <c r="A2696" s="600" t="str">
        <f t="shared" si="210"/>
        <v>USD;USD 6M;3W</v>
      </c>
      <c r="B2696" s="600" t="str">
        <f t="shared" si="211"/>
        <v>USD</v>
      </c>
      <c r="C2696" s="600" t="str">
        <f t="shared" si="211"/>
        <v>USD 6M</v>
      </c>
      <c r="D2696" s="603"/>
      <c r="E2696" s="604"/>
      <c r="F2696" s="607" t="s">
        <v>24</v>
      </c>
      <c r="G2696" s="611">
        <v>16.2292612487133</v>
      </c>
    </row>
    <row r="2697" spans="1:7" ht="11.1" customHeight="1">
      <c r="A2697" s="600" t="str">
        <f t="shared" si="210"/>
        <v>USD;USD 6M;1M</v>
      </c>
      <c r="B2697" s="600" t="str">
        <f t="shared" si="211"/>
        <v>USD</v>
      </c>
      <c r="C2697" s="600" t="str">
        <f t="shared" si="211"/>
        <v>USD 6M</v>
      </c>
      <c r="D2697" s="603"/>
      <c r="E2697" s="604"/>
      <c r="F2697" s="607" t="s">
        <v>7</v>
      </c>
      <c r="G2697" s="611">
        <v>517.03710890849504</v>
      </c>
    </row>
    <row r="2698" spans="1:7" ht="11.1" customHeight="1">
      <c r="A2698" s="600" t="str">
        <f t="shared" si="210"/>
        <v>USD;USD 6M;2M</v>
      </c>
      <c r="B2698" s="600" t="str">
        <f t="shared" si="211"/>
        <v>USD</v>
      </c>
      <c r="C2698" s="600" t="str">
        <f t="shared" si="211"/>
        <v>USD 6M</v>
      </c>
      <c r="D2698" s="603"/>
      <c r="E2698" s="604"/>
      <c r="F2698" s="607" t="s">
        <v>8</v>
      </c>
      <c r="G2698" s="611">
        <v>159.358126339812</v>
      </c>
    </row>
    <row r="2699" spans="1:7" ht="11.1" customHeight="1">
      <c r="A2699" s="600" t="str">
        <f t="shared" si="210"/>
        <v>USD;USD 6M;3M</v>
      </c>
      <c r="B2699" s="600" t="str">
        <f t="shared" si="211"/>
        <v>USD</v>
      </c>
      <c r="C2699" s="600" t="str">
        <f t="shared" si="211"/>
        <v>USD 6M</v>
      </c>
      <c r="D2699" s="603"/>
      <c r="E2699" s="604"/>
      <c r="F2699" s="607" t="s">
        <v>25</v>
      </c>
      <c r="G2699" s="606">
        <v>-864.35111510907097</v>
      </c>
    </row>
    <row r="2700" spans="1:7" ht="11.1" customHeight="1">
      <c r="A2700" s="600" t="str">
        <f t="shared" si="210"/>
        <v>USD;USD 6M;4M</v>
      </c>
      <c r="B2700" s="600" t="str">
        <f t="shared" si="211"/>
        <v>USD</v>
      </c>
      <c r="C2700" s="600" t="str">
        <f t="shared" si="211"/>
        <v>USD 6M</v>
      </c>
      <c r="D2700" s="603"/>
      <c r="E2700" s="604"/>
      <c r="F2700" s="607" t="s">
        <v>26</v>
      </c>
      <c r="G2700" s="611">
        <v>755.73309809310695</v>
      </c>
    </row>
    <row r="2701" spans="1:7" ht="11.1" customHeight="1">
      <c r="A2701" s="600" t="str">
        <f t="shared" si="210"/>
        <v>USD;USD 6M;5M</v>
      </c>
      <c r="B2701" s="600" t="str">
        <f t="shared" si="211"/>
        <v>USD</v>
      </c>
      <c r="C2701" s="600" t="str">
        <f t="shared" si="211"/>
        <v>USD 6M</v>
      </c>
      <c r="D2701" s="603"/>
      <c r="E2701" s="604"/>
      <c r="F2701" s="607" t="s">
        <v>27</v>
      </c>
      <c r="G2701" s="606">
        <v>-128.82973387228799</v>
      </c>
    </row>
    <row r="2702" spans="1:7" ht="11.1" customHeight="1">
      <c r="A2702" s="600" t="str">
        <f t="shared" si="210"/>
        <v>USD;USD 6M;6M</v>
      </c>
      <c r="B2702" s="600" t="str">
        <f t="shared" si="211"/>
        <v>USD</v>
      </c>
      <c r="C2702" s="600" t="str">
        <f t="shared" si="211"/>
        <v>USD 6M</v>
      </c>
      <c r="D2702" s="603"/>
      <c r="E2702" s="604"/>
      <c r="F2702" s="607" t="s">
        <v>28</v>
      </c>
      <c r="G2702" s="606">
        <v>-330.58609692341599</v>
      </c>
    </row>
    <row r="2703" spans="1:7" ht="11.1" customHeight="1">
      <c r="A2703" s="600" t="str">
        <f t="shared" si="210"/>
        <v>USD;USD 6M;21/06/17</v>
      </c>
      <c r="B2703" s="600" t="str">
        <f t="shared" si="211"/>
        <v>USD</v>
      </c>
      <c r="C2703" s="600" t="str">
        <f t="shared" si="211"/>
        <v>USD 6M</v>
      </c>
      <c r="D2703" s="603"/>
      <c r="E2703" s="604"/>
      <c r="F2703" s="607" t="s">
        <v>5101</v>
      </c>
      <c r="G2703" s="606">
        <v>-1272.5714353685501</v>
      </c>
    </row>
    <row r="2704" spans="1:7" ht="11.1" customHeight="1">
      <c r="A2704" s="600" t="str">
        <f t="shared" si="210"/>
        <v>USD;USD 6M;JUN 17</v>
      </c>
      <c r="B2704" s="600" t="str">
        <f t="shared" si="211"/>
        <v>USD</v>
      </c>
      <c r="C2704" s="600" t="str">
        <f t="shared" si="211"/>
        <v>USD 6M</v>
      </c>
      <c r="D2704" s="603"/>
      <c r="E2704" s="604"/>
      <c r="F2704" s="607" t="s">
        <v>1066</v>
      </c>
      <c r="G2704" s="611">
        <v>288.656128997189</v>
      </c>
    </row>
    <row r="2705" spans="1:7" ht="11.1" customHeight="1">
      <c r="A2705" s="600" t="str">
        <f t="shared" si="210"/>
        <v>USD;USD 6M;SEP 17</v>
      </c>
      <c r="B2705" s="600" t="str">
        <f t="shared" si="211"/>
        <v>USD</v>
      </c>
      <c r="C2705" s="600" t="str">
        <f t="shared" si="211"/>
        <v>USD 6M</v>
      </c>
      <c r="D2705" s="603"/>
      <c r="E2705" s="604"/>
      <c r="F2705" s="607" t="s">
        <v>1069</v>
      </c>
      <c r="G2705" s="611">
        <v>537.25217623527601</v>
      </c>
    </row>
    <row r="2706" spans="1:7" ht="11.1" customHeight="1">
      <c r="A2706" s="600" t="str">
        <f t="shared" si="210"/>
        <v>USD;USD 6M;DEC 17</v>
      </c>
      <c r="B2706" s="600" t="str">
        <f t="shared" si="211"/>
        <v>USD</v>
      </c>
      <c r="C2706" s="600" t="str">
        <f t="shared" si="211"/>
        <v>USD 6M</v>
      </c>
      <c r="D2706" s="603"/>
      <c r="E2706" s="604"/>
      <c r="F2706" s="607" t="s">
        <v>3865</v>
      </c>
      <c r="G2706" s="611">
        <v>557.64060378017405</v>
      </c>
    </row>
    <row r="2707" spans="1:7" ht="11.1" customHeight="1">
      <c r="A2707" s="600" t="str">
        <f t="shared" si="210"/>
        <v>USD;USD 6M;MAR 18</v>
      </c>
      <c r="B2707" s="600" t="str">
        <f t="shared" si="211"/>
        <v>USD</v>
      </c>
      <c r="C2707" s="600" t="str">
        <f t="shared" si="211"/>
        <v>USD 6M</v>
      </c>
      <c r="D2707" s="603"/>
      <c r="E2707" s="604"/>
      <c r="F2707" s="607" t="s">
        <v>3866</v>
      </c>
      <c r="G2707" s="611">
        <v>702.37638346556503</v>
      </c>
    </row>
    <row r="2708" spans="1:7" ht="11.1" customHeight="1">
      <c r="A2708" s="600" t="str">
        <f t="shared" si="210"/>
        <v>USD;USD 6M;JUN 18</v>
      </c>
      <c r="B2708" s="600" t="str">
        <f t="shared" si="211"/>
        <v>USD</v>
      </c>
      <c r="C2708" s="600" t="str">
        <f t="shared" si="211"/>
        <v>USD 6M</v>
      </c>
      <c r="D2708" s="603"/>
      <c r="E2708" s="604"/>
      <c r="F2708" s="607" t="s">
        <v>3889</v>
      </c>
      <c r="G2708" s="611">
        <v>913.45921612738402</v>
      </c>
    </row>
    <row r="2709" spans="1:7" ht="11.1" customHeight="1">
      <c r="A2709" s="600" t="str">
        <f t="shared" si="210"/>
        <v>USD;USD 6M;SEP 18</v>
      </c>
      <c r="B2709" s="600" t="str">
        <f t="shared" ref="B2709:C2724" si="212">IF(ISBLANK(D2709),B2708,D2709)</f>
        <v>USD</v>
      </c>
      <c r="C2709" s="600" t="str">
        <f t="shared" si="212"/>
        <v>USD 6M</v>
      </c>
      <c r="D2709" s="603"/>
      <c r="E2709" s="604"/>
      <c r="F2709" s="607" t="s">
        <v>3890</v>
      </c>
      <c r="G2709" s="611">
        <v>604.23034606241197</v>
      </c>
    </row>
    <row r="2710" spans="1:7" ht="11.1" customHeight="1">
      <c r="A2710" s="600" t="str">
        <f t="shared" si="210"/>
        <v>USD;USD 6M;3Y</v>
      </c>
      <c r="B2710" s="600" t="str">
        <f t="shared" si="212"/>
        <v>USD</v>
      </c>
      <c r="C2710" s="600" t="str">
        <f t="shared" si="212"/>
        <v>USD 6M</v>
      </c>
      <c r="D2710" s="603"/>
      <c r="E2710" s="604"/>
      <c r="F2710" s="607" t="s">
        <v>10</v>
      </c>
      <c r="G2710" s="611">
        <v>542.19880471075396</v>
      </c>
    </row>
    <row r="2711" spans="1:7" ht="11.1" customHeight="1">
      <c r="A2711" s="600" t="str">
        <f t="shared" si="210"/>
        <v>USD;USD 6M;4Y</v>
      </c>
      <c r="B2711" s="600" t="str">
        <f t="shared" si="212"/>
        <v>USD</v>
      </c>
      <c r="C2711" s="600" t="str">
        <f t="shared" si="212"/>
        <v>USD 6M</v>
      </c>
      <c r="D2711" s="603"/>
      <c r="E2711" s="604"/>
      <c r="F2711" s="607" t="s">
        <v>11</v>
      </c>
      <c r="G2711" s="606">
        <v>-18610.780298789199</v>
      </c>
    </row>
    <row r="2712" spans="1:7" ht="11.1" customHeight="1">
      <c r="A2712" s="600" t="str">
        <f t="shared" si="210"/>
        <v>USD;USD 6M;5Y</v>
      </c>
      <c r="B2712" s="600" t="str">
        <f t="shared" si="212"/>
        <v>USD</v>
      </c>
      <c r="C2712" s="600" t="str">
        <f t="shared" si="212"/>
        <v>USD 6M</v>
      </c>
      <c r="D2712" s="603"/>
      <c r="E2712" s="604"/>
      <c r="F2712" s="607" t="s">
        <v>12</v>
      </c>
      <c r="G2712" s="611">
        <v>13885.598253852901</v>
      </c>
    </row>
    <row r="2713" spans="1:7" ht="11.1" customHeight="1">
      <c r="A2713" s="600" t="str">
        <f t="shared" si="210"/>
        <v>USD;USD 6M;6Y</v>
      </c>
      <c r="B2713" s="600" t="str">
        <f t="shared" si="212"/>
        <v>USD</v>
      </c>
      <c r="C2713" s="600" t="str">
        <f t="shared" si="212"/>
        <v>USD 6M</v>
      </c>
      <c r="D2713" s="603"/>
      <c r="E2713" s="604"/>
      <c r="F2713" s="607" t="s">
        <v>13</v>
      </c>
      <c r="G2713" s="606">
        <v>-21787.640521131401</v>
      </c>
    </row>
    <row r="2714" spans="1:7" ht="11.1" customHeight="1">
      <c r="A2714" s="600" t="str">
        <f t="shared" si="210"/>
        <v>USD;USD 6M;7Y</v>
      </c>
      <c r="B2714" s="600" t="str">
        <f t="shared" si="212"/>
        <v>USD</v>
      </c>
      <c r="C2714" s="600" t="str">
        <f t="shared" si="212"/>
        <v>USD 6M</v>
      </c>
      <c r="D2714" s="603"/>
      <c r="E2714" s="604"/>
      <c r="F2714" s="607" t="s">
        <v>14</v>
      </c>
      <c r="G2714" s="606">
        <v>-2803.8914666226401</v>
      </c>
    </row>
    <row r="2715" spans="1:7" ht="11.1" customHeight="1">
      <c r="A2715" s="600" t="str">
        <f t="shared" si="210"/>
        <v>USD;USD 6M;8Y</v>
      </c>
      <c r="B2715" s="600" t="str">
        <f t="shared" si="212"/>
        <v>USD</v>
      </c>
      <c r="C2715" s="600" t="str">
        <f t="shared" si="212"/>
        <v>USD 6M</v>
      </c>
      <c r="D2715" s="603"/>
      <c r="E2715" s="604"/>
      <c r="F2715" s="607" t="s">
        <v>15</v>
      </c>
      <c r="G2715" s="606">
        <v>-3741.3690410049599</v>
      </c>
    </row>
    <row r="2716" spans="1:7" ht="11.1" customHeight="1">
      <c r="A2716" s="600" t="str">
        <f t="shared" si="210"/>
        <v>USD;USD 6M;9Y</v>
      </c>
      <c r="B2716" s="600" t="str">
        <f t="shared" si="212"/>
        <v>USD</v>
      </c>
      <c r="C2716" s="600" t="str">
        <f t="shared" si="212"/>
        <v>USD 6M</v>
      </c>
      <c r="D2716" s="603"/>
      <c r="E2716" s="604"/>
      <c r="F2716" s="607" t="s">
        <v>16</v>
      </c>
      <c r="G2716" s="606">
        <v>-16433.260793103302</v>
      </c>
    </row>
    <row r="2717" spans="1:7" ht="11.1" customHeight="1">
      <c r="A2717" s="600" t="str">
        <f t="shared" si="210"/>
        <v>USD;USD 6M;10Y</v>
      </c>
      <c r="B2717" s="600" t="str">
        <f t="shared" si="212"/>
        <v>USD</v>
      </c>
      <c r="C2717" s="600" t="str">
        <f t="shared" si="212"/>
        <v>USD 6M</v>
      </c>
      <c r="D2717" s="603"/>
      <c r="E2717" s="604"/>
      <c r="F2717" s="607" t="s">
        <v>17</v>
      </c>
      <c r="G2717" s="611">
        <v>34536.433607620202</v>
      </c>
    </row>
    <row r="2718" spans="1:7" ht="11.1" customHeight="1">
      <c r="A2718" s="600" t="str">
        <f t="shared" si="210"/>
        <v>USD;USD 6M;11Y</v>
      </c>
      <c r="B2718" s="600" t="str">
        <f t="shared" si="212"/>
        <v>USD</v>
      </c>
      <c r="C2718" s="600" t="str">
        <f t="shared" si="212"/>
        <v>USD 6M</v>
      </c>
      <c r="D2718" s="603"/>
      <c r="E2718" s="604"/>
      <c r="F2718" s="607" t="s">
        <v>31</v>
      </c>
      <c r="G2718" s="611">
        <v>12114.3361755103</v>
      </c>
    </row>
    <row r="2719" spans="1:7" ht="11.1" customHeight="1">
      <c r="A2719" s="600" t="str">
        <f t="shared" si="210"/>
        <v>USD;USD 6M;12Y</v>
      </c>
      <c r="B2719" s="600" t="str">
        <f t="shared" si="212"/>
        <v>USD</v>
      </c>
      <c r="C2719" s="600" t="str">
        <f t="shared" si="212"/>
        <v>USD 6M</v>
      </c>
      <c r="D2719" s="603"/>
      <c r="E2719" s="604"/>
      <c r="F2719" s="607" t="s">
        <v>18</v>
      </c>
      <c r="G2719" s="606">
        <v>-1127.5930025129601</v>
      </c>
    </row>
    <row r="2720" spans="1:7" ht="11.1" customHeight="1">
      <c r="A2720" s="600" t="str">
        <f t="shared" si="210"/>
        <v>USD;USD 6M;13Y</v>
      </c>
      <c r="B2720" s="600" t="str">
        <f t="shared" si="212"/>
        <v>USD</v>
      </c>
      <c r="C2720" s="600" t="str">
        <f t="shared" si="212"/>
        <v>USD 6M</v>
      </c>
      <c r="D2720" s="603"/>
      <c r="E2720" s="604"/>
      <c r="F2720" s="607" t="s">
        <v>32</v>
      </c>
      <c r="G2720" s="606">
        <v>-0.70873766146238804</v>
      </c>
    </row>
    <row r="2721" spans="1:7" ht="11.1" customHeight="1">
      <c r="A2721" s="600" t="str">
        <f t="shared" si="210"/>
        <v>USD;USD 6M;14Y</v>
      </c>
      <c r="B2721" s="600" t="str">
        <f t="shared" si="212"/>
        <v>USD</v>
      </c>
      <c r="C2721" s="600" t="str">
        <f t="shared" si="212"/>
        <v>USD 6M</v>
      </c>
      <c r="D2721" s="603"/>
      <c r="E2721" s="604"/>
      <c r="F2721" s="607" t="s">
        <v>33</v>
      </c>
      <c r="G2721" s="606">
        <v>-5.5858632970084098E-4</v>
      </c>
    </row>
    <row r="2722" spans="1:7" ht="11.1" customHeight="1">
      <c r="A2722" s="600" t="str">
        <f t="shared" si="210"/>
        <v>USD;USD 6M;15Y</v>
      </c>
      <c r="B2722" s="600" t="str">
        <f t="shared" si="212"/>
        <v>USD</v>
      </c>
      <c r="C2722" s="600" t="str">
        <f t="shared" si="212"/>
        <v>USD 6M</v>
      </c>
      <c r="D2722" s="603"/>
      <c r="E2722" s="604"/>
      <c r="F2722" s="607" t="s">
        <v>19</v>
      </c>
      <c r="G2722" s="606">
        <v>-4.41629196799407E-7</v>
      </c>
    </row>
    <row r="2723" spans="1:7" ht="11.1" customHeight="1">
      <c r="A2723" s="600" t="str">
        <f t="shared" si="210"/>
        <v>USD;USD 6M;16Y</v>
      </c>
      <c r="B2723" s="600" t="str">
        <f t="shared" si="212"/>
        <v>USD</v>
      </c>
      <c r="C2723" s="600" t="str">
        <f t="shared" si="212"/>
        <v>USD 6M</v>
      </c>
      <c r="D2723" s="603"/>
      <c r="E2723" s="604"/>
      <c r="F2723" s="607" t="s">
        <v>34</v>
      </c>
      <c r="G2723" s="606">
        <v>-3.6234754827331702E-10</v>
      </c>
    </row>
    <row r="2724" spans="1:7" ht="11.1" customHeight="1">
      <c r="A2724" s="600" t="str">
        <f t="shared" si="210"/>
        <v>USD;USD 6M;17Y</v>
      </c>
      <c r="B2724" s="600" t="str">
        <f t="shared" si="212"/>
        <v>USD</v>
      </c>
      <c r="C2724" s="600" t="str">
        <f t="shared" si="212"/>
        <v>USD 6M</v>
      </c>
      <c r="D2724" s="603"/>
      <c r="E2724" s="604"/>
      <c r="F2724" s="607" t="s">
        <v>35</v>
      </c>
      <c r="G2724" s="608">
        <v>0</v>
      </c>
    </row>
    <row r="2725" spans="1:7" ht="11.1" customHeight="1">
      <c r="A2725" s="600" t="str">
        <f t="shared" si="210"/>
        <v>USD;USD 6M;18Y</v>
      </c>
      <c r="B2725" s="600" t="str">
        <f t="shared" ref="B2725:C2740" si="213">IF(ISBLANK(D2725),B2724,D2725)</f>
        <v>USD</v>
      </c>
      <c r="C2725" s="600" t="str">
        <f t="shared" si="213"/>
        <v>USD 6M</v>
      </c>
      <c r="D2725" s="603"/>
      <c r="E2725" s="604"/>
      <c r="F2725" s="607" t="s">
        <v>36</v>
      </c>
      <c r="G2725" s="608">
        <v>0</v>
      </c>
    </row>
    <row r="2726" spans="1:7" ht="11.1" customHeight="1">
      <c r="A2726" s="600" t="str">
        <f t="shared" si="210"/>
        <v>USD;USD 6M;19Y</v>
      </c>
      <c r="B2726" s="600" t="str">
        <f t="shared" si="213"/>
        <v>USD</v>
      </c>
      <c r="C2726" s="600" t="str">
        <f t="shared" si="213"/>
        <v>USD 6M</v>
      </c>
      <c r="D2726" s="603"/>
      <c r="E2726" s="604"/>
      <c r="F2726" s="607" t="s">
        <v>37</v>
      </c>
      <c r="G2726" s="608">
        <v>0</v>
      </c>
    </row>
    <row r="2727" spans="1:7" ht="11.1" customHeight="1">
      <c r="A2727" s="600" t="str">
        <f t="shared" si="210"/>
        <v>USD;USD 6M;20Y</v>
      </c>
      <c r="B2727" s="600" t="str">
        <f t="shared" si="213"/>
        <v>USD</v>
      </c>
      <c r="C2727" s="600" t="str">
        <f t="shared" si="213"/>
        <v>USD 6M</v>
      </c>
      <c r="D2727" s="603"/>
      <c r="E2727" s="604"/>
      <c r="F2727" s="607" t="s">
        <v>20</v>
      </c>
      <c r="G2727" s="608">
        <v>0</v>
      </c>
    </row>
    <row r="2728" spans="1:7" ht="11.1" customHeight="1">
      <c r="A2728" s="600" t="str">
        <f t="shared" si="210"/>
        <v>USD;USD 6M;21Y</v>
      </c>
      <c r="B2728" s="600" t="str">
        <f t="shared" si="213"/>
        <v>USD</v>
      </c>
      <c r="C2728" s="600" t="str">
        <f t="shared" si="213"/>
        <v>USD 6M</v>
      </c>
      <c r="D2728" s="603"/>
      <c r="E2728" s="604"/>
      <c r="F2728" s="607" t="s">
        <v>38</v>
      </c>
      <c r="G2728" s="608">
        <v>0</v>
      </c>
    </row>
    <row r="2729" spans="1:7" ht="11.1" customHeight="1">
      <c r="A2729" s="600" t="str">
        <f t="shared" si="210"/>
        <v>USD;USD 6M;22Y</v>
      </c>
      <c r="B2729" s="600" t="str">
        <f t="shared" si="213"/>
        <v>USD</v>
      </c>
      <c r="C2729" s="600" t="str">
        <f t="shared" si="213"/>
        <v>USD 6M</v>
      </c>
      <c r="D2729" s="603"/>
      <c r="E2729" s="604"/>
      <c r="F2729" s="607" t="s">
        <v>39</v>
      </c>
      <c r="G2729" s="608">
        <v>0</v>
      </c>
    </row>
    <row r="2730" spans="1:7" ht="11.1" customHeight="1">
      <c r="A2730" s="600" t="str">
        <f t="shared" si="210"/>
        <v>USD;USD 6M;23Y</v>
      </c>
      <c r="B2730" s="600" t="str">
        <f t="shared" si="213"/>
        <v>USD</v>
      </c>
      <c r="C2730" s="600" t="str">
        <f t="shared" si="213"/>
        <v>USD 6M</v>
      </c>
      <c r="D2730" s="603"/>
      <c r="E2730" s="604"/>
      <c r="F2730" s="607" t="s">
        <v>40</v>
      </c>
      <c r="G2730" s="608">
        <v>0</v>
      </c>
    </row>
    <row r="2731" spans="1:7" ht="11.1" customHeight="1">
      <c r="A2731" s="600" t="str">
        <f t="shared" si="210"/>
        <v>USD;USD 6M;24Y</v>
      </c>
      <c r="B2731" s="600" t="str">
        <f t="shared" si="213"/>
        <v>USD</v>
      </c>
      <c r="C2731" s="600" t="str">
        <f t="shared" si="213"/>
        <v>USD 6M</v>
      </c>
      <c r="D2731" s="603"/>
      <c r="E2731" s="604"/>
      <c r="F2731" s="607" t="s">
        <v>41</v>
      </c>
      <c r="G2731" s="608">
        <v>0</v>
      </c>
    </row>
    <row r="2732" spans="1:7" ht="11.1" customHeight="1">
      <c r="A2732" s="600" t="str">
        <f t="shared" si="210"/>
        <v>USD;USD 6M;25Y</v>
      </c>
      <c r="B2732" s="600" t="str">
        <f t="shared" si="213"/>
        <v>USD</v>
      </c>
      <c r="C2732" s="600" t="str">
        <f t="shared" si="213"/>
        <v>USD 6M</v>
      </c>
      <c r="D2732" s="603"/>
      <c r="E2732" s="604"/>
      <c r="F2732" s="607" t="s">
        <v>21</v>
      </c>
      <c r="G2732" s="608">
        <v>0</v>
      </c>
    </row>
    <row r="2733" spans="1:7" ht="11.1" customHeight="1">
      <c r="A2733" s="600" t="str">
        <f t="shared" si="210"/>
        <v>USD;USD 6M;26Y</v>
      </c>
      <c r="B2733" s="600" t="str">
        <f t="shared" si="213"/>
        <v>USD</v>
      </c>
      <c r="C2733" s="600" t="str">
        <f t="shared" si="213"/>
        <v>USD 6M</v>
      </c>
      <c r="D2733" s="603"/>
      <c r="E2733" s="604"/>
      <c r="F2733" s="607" t="s">
        <v>42</v>
      </c>
      <c r="G2733" s="608">
        <v>0</v>
      </c>
    </row>
    <row r="2734" spans="1:7" ht="11.1" customHeight="1">
      <c r="A2734" s="600" t="str">
        <f t="shared" si="210"/>
        <v>USD;USD 6M;27Y</v>
      </c>
      <c r="B2734" s="600" t="str">
        <f t="shared" si="213"/>
        <v>USD</v>
      </c>
      <c r="C2734" s="600" t="str">
        <f t="shared" si="213"/>
        <v>USD 6M</v>
      </c>
      <c r="D2734" s="603"/>
      <c r="E2734" s="604"/>
      <c r="F2734" s="607" t="s">
        <v>43</v>
      </c>
      <c r="G2734" s="608">
        <v>0</v>
      </c>
    </row>
    <row r="2735" spans="1:7" ht="11.1" customHeight="1">
      <c r="A2735" s="600" t="str">
        <f t="shared" si="210"/>
        <v>USD;USD 6M;28Y</v>
      </c>
      <c r="B2735" s="600" t="str">
        <f t="shared" si="213"/>
        <v>USD</v>
      </c>
      <c r="C2735" s="600" t="str">
        <f t="shared" si="213"/>
        <v>USD 6M</v>
      </c>
      <c r="D2735" s="603"/>
      <c r="E2735" s="604"/>
      <c r="F2735" s="607" t="s">
        <v>44</v>
      </c>
      <c r="G2735" s="608">
        <v>0</v>
      </c>
    </row>
    <row r="2736" spans="1:7" ht="11.1" customHeight="1">
      <c r="A2736" s="600" t="str">
        <f t="shared" si="210"/>
        <v>USD;USD 6M;29Y</v>
      </c>
      <c r="B2736" s="600" t="str">
        <f t="shared" si="213"/>
        <v>USD</v>
      </c>
      <c r="C2736" s="600" t="str">
        <f t="shared" si="213"/>
        <v>USD 6M</v>
      </c>
      <c r="D2736" s="603"/>
      <c r="E2736" s="604"/>
      <c r="F2736" s="607" t="s">
        <v>45</v>
      </c>
      <c r="G2736" s="608">
        <v>0</v>
      </c>
    </row>
    <row r="2737" spans="1:7" ht="11.1" customHeight="1">
      <c r="A2737" s="600" t="str">
        <f t="shared" si="210"/>
        <v>USD;USD 6M;30Y</v>
      </c>
      <c r="B2737" s="600" t="str">
        <f t="shared" si="213"/>
        <v>USD</v>
      </c>
      <c r="C2737" s="600" t="str">
        <f t="shared" si="213"/>
        <v>USD 6M</v>
      </c>
      <c r="D2737" s="603"/>
      <c r="E2737" s="604"/>
      <c r="F2737" s="607" t="s">
        <v>22</v>
      </c>
      <c r="G2737" s="608">
        <v>0</v>
      </c>
    </row>
    <row r="2738" spans="1:7" ht="11.1" customHeight="1">
      <c r="A2738" s="600" t="str">
        <f t="shared" si="210"/>
        <v>USD;USD 6M;40Y</v>
      </c>
      <c r="B2738" s="600" t="str">
        <f t="shared" si="213"/>
        <v>USD</v>
      </c>
      <c r="C2738" s="600" t="str">
        <f t="shared" si="213"/>
        <v>USD 6M</v>
      </c>
      <c r="D2738" s="603"/>
      <c r="E2738" s="604"/>
      <c r="F2738" s="607" t="s">
        <v>46</v>
      </c>
      <c r="G2738" s="608">
        <v>0</v>
      </c>
    </row>
    <row r="2739" spans="1:7" ht="11.1" customHeight="1">
      <c r="A2739" s="600" t="str">
        <f t="shared" si="210"/>
        <v>USD;USD 6M;50Y</v>
      </c>
      <c r="B2739" s="600" t="str">
        <f t="shared" si="213"/>
        <v>USD</v>
      </c>
      <c r="C2739" s="600" t="str">
        <f t="shared" si="213"/>
        <v>USD 6M</v>
      </c>
      <c r="D2739" s="603"/>
      <c r="E2739" s="604"/>
      <c r="F2739" s="607" t="s">
        <v>47</v>
      </c>
      <c r="G2739" s="608">
        <v>0</v>
      </c>
    </row>
    <row r="2740" spans="1:7" ht="11.1" customHeight="1">
      <c r="A2740" s="600" t="str">
        <f t="shared" si="210"/>
        <v>USD;USD 6M;60Y</v>
      </c>
      <c r="B2740" s="600" t="str">
        <f t="shared" si="213"/>
        <v>USD</v>
      </c>
      <c r="C2740" s="600" t="str">
        <f t="shared" si="213"/>
        <v>USD 6M</v>
      </c>
      <c r="D2740" s="603"/>
      <c r="E2740" s="604"/>
      <c r="F2740" s="607" t="s">
        <v>48</v>
      </c>
      <c r="G2740" s="608">
        <v>0</v>
      </c>
    </row>
    <row r="2741" spans="1:7" ht="11.1" customHeight="1">
      <c r="A2741" s="600" t="str">
        <f t="shared" si="210"/>
        <v>USD;USD :STD;Total USD :STD</v>
      </c>
      <c r="B2741" s="600" t="str">
        <f t="shared" ref="B2741:C2756" si="214">IF(ISBLANK(D2741),B2740,D2741)</f>
        <v>USD</v>
      </c>
      <c r="C2741" s="600" t="str">
        <f t="shared" si="214"/>
        <v>USD :STD</v>
      </c>
      <c r="D2741" s="603"/>
      <c r="E2741" s="604" t="s">
        <v>655</v>
      </c>
      <c r="F2741" s="605" t="s">
        <v>656</v>
      </c>
      <c r="G2741" s="611">
        <v>100.60027110892401</v>
      </c>
    </row>
    <row r="2742" spans="1:7" ht="11.1" customHeight="1">
      <c r="A2742" s="600" t="str">
        <f t="shared" si="210"/>
        <v>USD;USD :STD;O/N</v>
      </c>
      <c r="B2742" s="600" t="str">
        <f t="shared" si="214"/>
        <v>USD</v>
      </c>
      <c r="C2742" s="600" t="str">
        <f t="shared" si="214"/>
        <v>USD :STD</v>
      </c>
      <c r="D2742" s="603"/>
      <c r="E2742" s="604"/>
      <c r="F2742" s="607" t="s">
        <v>3</v>
      </c>
      <c r="G2742" s="611">
        <v>3.18720989027736E-3</v>
      </c>
    </row>
    <row r="2743" spans="1:7" ht="11.1" customHeight="1">
      <c r="A2743" s="600" t="str">
        <f t="shared" si="210"/>
        <v>USD;USD :STD;T/N</v>
      </c>
      <c r="B2743" s="600" t="str">
        <f t="shared" si="214"/>
        <v>USD</v>
      </c>
      <c r="C2743" s="600" t="str">
        <f t="shared" si="214"/>
        <v>USD :STD</v>
      </c>
      <c r="D2743" s="603"/>
      <c r="E2743" s="604"/>
      <c r="F2743" s="607" t="s">
        <v>4</v>
      </c>
      <c r="G2743" s="611">
        <v>1.0624369096142699E-3</v>
      </c>
    </row>
    <row r="2744" spans="1:7" ht="11.1" customHeight="1">
      <c r="A2744" s="600" t="str">
        <f t="shared" si="210"/>
        <v>USD;USD :STD;S/N</v>
      </c>
      <c r="B2744" s="600" t="str">
        <f t="shared" si="214"/>
        <v>USD</v>
      </c>
      <c r="C2744" s="600" t="str">
        <f t="shared" si="214"/>
        <v>USD :STD</v>
      </c>
      <c r="D2744" s="603"/>
      <c r="E2744" s="604"/>
      <c r="F2744" s="607" t="s">
        <v>23</v>
      </c>
      <c r="G2744" s="606">
        <v>-0.22370409610696901</v>
      </c>
    </row>
    <row r="2745" spans="1:7" ht="11.1" customHeight="1">
      <c r="A2745" s="600" t="str">
        <f t="shared" si="210"/>
        <v>USD;USD :STD;1W</v>
      </c>
      <c r="B2745" s="600" t="str">
        <f t="shared" si="214"/>
        <v>USD</v>
      </c>
      <c r="C2745" s="600" t="str">
        <f t="shared" si="214"/>
        <v>USD :STD</v>
      </c>
      <c r="D2745" s="603"/>
      <c r="E2745" s="604"/>
      <c r="F2745" s="607" t="s">
        <v>5</v>
      </c>
      <c r="G2745" s="608">
        <v>0</v>
      </c>
    </row>
    <row r="2746" spans="1:7" ht="11.1" customHeight="1">
      <c r="A2746" s="600" t="str">
        <f t="shared" si="210"/>
        <v>USD;USD :STD;2W</v>
      </c>
      <c r="B2746" s="600" t="str">
        <f t="shared" si="214"/>
        <v>USD</v>
      </c>
      <c r="C2746" s="600" t="str">
        <f t="shared" si="214"/>
        <v>USD :STD</v>
      </c>
      <c r="D2746" s="603"/>
      <c r="E2746" s="604"/>
      <c r="F2746" s="607" t="s">
        <v>6</v>
      </c>
      <c r="G2746" s="608">
        <v>0</v>
      </c>
    </row>
    <row r="2747" spans="1:7" ht="11.1" customHeight="1">
      <c r="A2747" s="600" t="str">
        <f t="shared" si="210"/>
        <v>USD;USD :STD;3W</v>
      </c>
      <c r="B2747" s="600" t="str">
        <f t="shared" si="214"/>
        <v>USD</v>
      </c>
      <c r="C2747" s="600" t="str">
        <f t="shared" si="214"/>
        <v>USD :STD</v>
      </c>
      <c r="D2747" s="603"/>
      <c r="E2747" s="604"/>
      <c r="F2747" s="607" t="s">
        <v>24</v>
      </c>
      <c r="G2747" s="606">
        <v>-2.2204460492503101E-16</v>
      </c>
    </row>
    <row r="2748" spans="1:7" ht="11.1" customHeight="1">
      <c r="A2748" s="600" t="str">
        <f t="shared" si="210"/>
        <v>USD;USD :STD;1M</v>
      </c>
      <c r="B2748" s="600" t="str">
        <f t="shared" si="214"/>
        <v>USD</v>
      </c>
      <c r="C2748" s="600" t="str">
        <f t="shared" si="214"/>
        <v>USD :STD</v>
      </c>
      <c r="D2748" s="603"/>
      <c r="E2748" s="604"/>
      <c r="F2748" s="607" t="s">
        <v>7</v>
      </c>
      <c r="G2748" s="611">
        <v>1.2967404927621801E-13</v>
      </c>
    </row>
    <row r="2749" spans="1:7" ht="11.1" customHeight="1">
      <c r="A2749" s="600" t="str">
        <f t="shared" si="210"/>
        <v>USD;USD :STD;2M</v>
      </c>
      <c r="B2749" s="600" t="str">
        <f t="shared" si="214"/>
        <v>USD</v>
      </c>
      <c r="C2749" s="600" t="str">
        <f t="shared" si="214"/>
        <v>USD :STD</v>
      </c>
      <c r="D2749" s="603"/>
      <c r="E2749" s="604"/>
      <c r="F2749" s="607" t="s">
        <v>8</v>
      </c>
      <c r="G2749" s="611">
        <v>3.6151637239356699E-15</v>
      </c>
    </row>
    <row r="2750" spans="1:7" ht="11.1" customHeight="1">
      <c r="A2750" s="600" t="str">
        <f t="shared" si="210"/>
        <v>USD;USD :STD;3M</v>
      </c>
      <c r="B2750" s="600" t="str">
        <f t="shared" si="214"/>
        <v>USD</v>
      </c>
      <c r="C2750" s="600" t="str">
        <f t="shared" si="214"/>
        <v>USD :STD</v>
      </c>
      <c r="D2750" s="603"/>
      <c r="E2750" s="604"/>
      <c r="F2750" s="607" t="s">
        <v>25</v>
      </c>
      <c r="G2750" s="611">
        <v>4.6632980642311903E-2</v>
      </c>
    </row>
    <row r="2751" spans="1:7" ht="11.1" customHeight="1">
      <c r="A2751" s="600" t="str">
        <f t="shared" si="210"/>
        <v>USD;USD :STD;4M</v>
      </c>
      <c r="B2751" s="600" t="str">
        <f t="shared" si="214"/>
        <v>USD</v>
      </c>
      <c r="C2751" s="600" t="str">
        <f t="shared" si="214"/>
        <v>USD :STD</v>
      </c>
      <c r="D2751" s="603"/>
      <c r="E2751" s="604"/>
      <c r="F2751" s="607" t="s">
        <v>26</v>
      </c>
      <c r="G2751" s="611">
        <v>1.74220922187915E-3</v>
      </c>
    </row>
    <row r="2752" spans="1:7" ht="11.1" customHeight="1">
      <c r="A2752" s="600" t="str">
        <f t="shared" si="210"/>
        <v>USD;USD :STD;5M</v>
      </c>
      <c r="B2752" s="600" t="str">
        <f t="shared" si="214"/>
        <v>USD</v>
      </c>
      <c r="C2752" s="600" t="str">
        <f t="shared" si="214"/>
        <v>USD :STD</v>
      </c>
      <c r="D2752" s="603"/>
      <c r="E2752" s="604"/>
      <c r="F2752" s="607" t="s">
        <v>27</v>
      </c>
      <c r="G2752" s="606">
        <v>-1.9788615190918798E-12</v>
      </c>
    </row>
    <row r="2753" spans="1:7" ht="11.1" customHeight="1">
      <c r="A2753" s="600" t="str">
        <f t="shared" si="210"/>
        <v>USD;USD :STD;6M</v>
      </c>
      <c r="B2753" s="600" t="str">
        <f t="shared" si="214"/>
        <v>USD</v>
      </c>
      <c r="C2753" s="600" t="str">
        <f t="shared" si="214"/>
        <v>USD :STD</v>
      </c>
      <c r="D2753" s="603"/>
      <c r="E2753" s="604"/>
      <c r="F2753" s="607" t="s">
        <v>28</v>
      </c>
      <c r="G2753" s="611">
        <v>9.5604028965878496E-2</v>
      </c>
    </row>
    <row r="2754" spans="1:7" ht="11.1" customHeight="1">
      <c r="A2754" s="600" t="str">
        <f t="shared" si="210"/>
        <v>USD;USD :STD;21/06/17</v>
      </c>
      <c r="B2754" s="600" t="str">
        <f t="shared" si="214"/>
        <v>USD</v>
      </c>
      <c r="C2754" s="600" t="str">
        <f t="shared" si="214"/>
        <v>USD :STD</v>
      </c>
      <c r="D2754" s="603"/>
      <c r="E2754" s="604"/>
      <c r="F2754" s="607" t="s">
        <v>5101</v>
      </c>
      <c r="G2754" s="611">
        <v>47.095345472461801</v>
      </c>
    </row>
    <row r="2755" spans="1:7" ht="11.1" customHeight="1">
      <c r="A2755" s="600" t="str">
        <f t="shared" si="210"/>
        <v>USD;USD :STD;JUN 17</v>
      </c>
      <c r="B2755" s="600" t="str">
        <f t="shared" si="214"/>
        <v>USD</v>
      </c>
      <c r="C2755" s="600" t="str">
        <f t="shared" si="214"/>
        <v>USD :STD</v>
      </c>
      <c r="D2755" s="603"/>
      <c r="E2755" s="604"/>
      <c r="F2755" s="607" t="s">
        <v>1066</v>
      </c>
      <c r="G2755" s="611">
        <v>20.374539392038599</v>
      </c>
    </row>
    <row r="2756" spans="1:7" ht="11.1" customHeight="1">
      <c r="A2756" s="600" t="str">
        <f t="shared" si="210"/>
        <v>USD;USD :STD;SEP 17</v>
      </c>
      <c r="B2756" s="600" t="str">
        <f t="shared" si="214"/>
        <v>USD</v>
      </c>
      <c r="C2756" s="600" t="str">
        <f t="shared" si="214"/>
        <v>USD :STD</v>
      </c>
      <c r="D2756" s="603"/>
      <c r="E2756" s="604"/>
      <c r="F2756" s="607" t="s">
        <v>1069</v>
      </c>
      <c r="G2756" s="611">
        <v>15.035504821966599</v>
      </c>
    </row>
    <row r="2757" spans="1:7" ht="11.1" customHeight="1">
      <c r="A2757" s="600" t="str">
        <f t="shared" ref="A2757:A2820" si="215">B2757&amp;";"&amp;C2757&amp;";"&amp;F2757</f>
        <v>USD;USD :STD;DEC 17</v>
      </c>
      <c r="B2757" s="600" t="str">
        <f t="shared" ref="B2757:C2772" si="216">IF(ISBLANK(D2757),B2756,D2757)</f>
        <v>USD</v>
      </c>
      <c r="C2757" s="600" t="str">
        <f t="shared" si="216"/>
        <v>USD :STD</v>
      </c>
      <c r="D2757" s="603"/>
      <c r="E2757" s="604"/>
      <c r="F2757" s="607" t="s">
        <v>3865</v>
      </c>
      <c r="G2757" s="611">
        <v>4.9061275966250601</v>
      </c>
    </row>
    <row r="2758" spans="1:7" ht="11.1" customHeight="1">
      <c r="A2758" s="600" t="str">
        <f t="shared" si="215"/>
        <v>USD;USD :STD;MAR 18</v>
      </c>
      <c r="B2758" s="600" t="str">
        <f t="shared" si="216"/>
        <v>USD</v>
      </c>
      <c r="C2758" s="600" t="str">
        <f t="shared" si="216"/>
        <v>USD :STD</v>
      </c>
      <c r="D2758" s="603"/>
      <c r="E2758" s="604"/>
      <c r="F2758" s="607" t="s">
        <v>3866</v>
      </c>
      <c r="G2758" s="611">
        <v>4.9763054797186497</v>
      </c>
    </row>
    <row r="2759" spans="1:7" ht="11.1" customHeight="1">
      <c r="A2759" s="600" t="str">
        <f t="shared" si="215"/>
        <v>USD;USD :STD;JUN 18</v>
      </c>
      <c r="B2759" s="600" t="str">
        <f t="shared" si="216"/>
        <v>USD</v>
      </c>
      <c r="C2759" s="600" t="str">
        <f t="shared" si="216"/>
        <v>USD :STD</v>
      </c>
      <c r="D2759" s="603"/>
      <c r="E2759" s="604"/>
      <c r="F2759" s="607" t="s">
        <v>3889</v>
      </c>
      <c r="G2759" s="611">
        <v>4.9302105199529196</v>
      </c>
    </row>
    <row r="2760" spans="1:7" ht="11.1" customHeight="1">
      <c r="A2760" s="600" t="str">
        <f t="shared" si="215"/>
        <v>USD;USD :STD;SEP 18</v>
      </c>
      <c r="B2760" s="600" t="str">
        <f t="shared" si="216"/>
        <v>USD</v>
      </c>
      <c r="C2760" s="600" t="str">
        <f t="shared" si="216"/>
        <v>USD :STD</v>
      </c>
      <c r="D2760" s="603"/>
      <c r="E2760" s="604"/>
      <c r="F2760" s="607" t="s">
        <v>3890</v>
      </c>
      <c r="G2760" s="611">
        <v>3.35771306125597</v>
      </c>
    </row>
    <row r="2761" spans="1:7" ht="11.1" customHeight="1">
      <c r="A2761" s="600" t="str">
        <f t="shared" si="215"/>
        <v>USD;USD :STD;3Y</v>
      </c>
      <c r="B2761" s="600" t="str">
        <f t="shared" si="216"/>
        <v>USD</v>
      </c>
      <c r="C2761" s="600" t="str">
        <f t="shared" si="216"/>
        <v>USD :STD</v>
      </c>
      <c r="D2761" s="603"/>
      <c r="E2761" s="604"/>
      <c r="F2761" s="607" t="s">
        <v>10</v>
      </c>
      <c r="G2761" s="611">
        <v>8.1872286727957495E-12</v>
      </c>
    </row>
    <row r="2762" spans="1:7" ht="11.1" customHeight="1">
      <c r="A2762" s="600" t="str">
        <f t="shared" si="215"/>
        <v>USD;USD :STD;4Y</v>
      </c>
      <c r="B2762" s="600" t="str">
        <f t="shared" si="216"/>
        <v>USD</v>
      </c>
      <c r="C2762" s="600" t="str">
        <f t="shared" si="216"/>
        <v>USD :STD</v>
      </c>
      <c r="D2762" s="603"/>
      <c r="E2762" s="604"/>
      <c r="F2762" s="607" t="s">
        <v>11</v>
      </c>
      <c r="G2762" s="611">
        <v>1.0081713242016101E-11</v>
      </c>
    </row>
    <row r="2763" spans="1:7" ht="11.1" customHeight="1">
      <c r="A2763" s="600" t="str">
        <f t="shared" si="215"/>
        <v>USD;USD :STD;5Y</v>
      </c>
      <c r="B2763" s="600" t="str">
        <f t="shared" si="216"/>
        <v>USD</v>
      </c>
      <c r="C2763" s="600" t="str">
        <f t="shared" si="216"/>
        <v>USD :STD</v>
      </c>
      <c r="D2763" s="603"/>
      <c r="E2763" s="604"/>
      <c r="F2763" s="607" t="s">
        <v>12</v>
      </c>
      <c r="G2763" s="611">
        <v>1.04334318962174E-11</v>
      </c>
    </row>
    <row r="2764" spans="1:7" ht="11.1" customHeight="1">
      <c r="A2764" s="600" t="str">
        <f t="shared" si="215"/>
        <v>USD;USD :STD;6Y</v>
      </c>
      <c r="B2764" s="600" t="str">
        <f t="shared" si="216"/>
        <v>USD</v>
      </c>
      <c r="C2764" s="600" t="str">
        <f t="shared" si="216"/>
        <v>USD :STD</v>
      </c>
      <c r="D2764" s="603"/>
      <c r="E2764" s="604"/>
      <c r="F2764" s="607" t="s">
        <v>13</v>
      </c>
      <c r="G2764" s="606">
        <v>-2.5315358698208001E-9</v>
      </c>
    </row>
    <row r="2765" spans="1:7" ht="11.1" customHeight="1">
      <c r="A2765" s="600" t="str">
        <f t="shared" si="215"/>
        <v>USD;USD :STD;7Y</v>
      </c>
      <c r="B2765" s="600" t="str">
        <f t="shared" si="216"/>
        <v>USD</v>
      </c>
      <c r="C2765" s="600" t="str">
        <f t="shared" si="216"/>
        <v>USD :STD</v>
      </c>
      <c r="D2765" s="603"/>
      <c r="E2765" s="604"/>
      <c r="F2765" s="607" t="s">
        <v>14</v>
      </c>
      <c r="G2765" s="606">
        <v>-2.0363017938507301E-9</v>
      </c>
    </row>
    <row r="2766" spans="1:7" ht="11.1" customHeight="1">
      <c r="A2766" s="600" t="str">
        <f t="shared" si="215"/>
        <v>USD;USD :STD;8Y</v>
      </c>
      <c r="B2766" s="600" t="str">
        <f t="shared" si="216"/>
        <v>USD</v>
      </c>
      <c r="C2766" s="600" t="str">
        <f t="shared" si="216"/>
        <v>USD :STD</v>
      </c>
      <c r="D2766" s="603"/>
      <c r="E2766" s="604"/>
      <c r="F2766" s="607" t="s">
        <v>15</v>
      </c>
      <c r="G2766" s="606">
        <v>-4.5474735088646402E-13</v>
      </c>
    </row>
    <row r="2767" spans="1:7" ht="11.1" customHeight="1">
      <c r="A2767" s="600" t="str">
        <f t="shared" si="215"/>
        <v>USD;USD :STD;9Y</v>
      </c>
      <c r="B2767" s="600" t="str">
        <f t="shared" si="216"/>
        <v>USD</v>
      </c>
      <c r="C2767" s="600" t="str">
        <f t="shared" si="216"/>
        <v>USD :STD</v>
      </c>
      <c r="D2767" s="603"/>
      <c r="E2767" s="604"/>
      <c r="F2767" s="607" t="s">
        <v>16</v>
      </c>
      <c r="G2767" s="608">
        <v>0</v>
      </c>
    </row>
    <row r="2768" spans="1:7" ht="11.1" customHeight="1">
      <c r="A2768" s="600" t="str">
        <f t="shared" si="215"/>
        <v>USD;USD :STD;10Y</v>
      </c>
      <c r="B2768" s="600" t="str">
        <f t="shared" si="216"/>
        <v>USD</v>
      </c>
      <c r="C2768" s="600" t="str">
        <f t="shared" si="216"/>
        <v>USD :STD</v>
      </c>
      <c r="D2768" s="603"/>
      <c r="E2768" s="604"/>
      <c r="F2768" s="607" t="s">
        <v>17</v>
      </c>
      <c r="G2768" s="608">
        <v>0</v>
      </c>
    </row>
    <row r="2769" spans="1:7" ht="11.1" customHeight="1">
      <c r="A2769" s="600" t="str">
        <f t="shared" si="215"/>
        <v>USD;USD :STD;11Y</v>
      </c>
      <c r="B2769" s="600" t="str">
        <f t="shared" si="216"/>
        <v>USD</v>
      </c>
      <c r="C2769" s="600" t="str">
        <f t="shared" si="216"/>
        <v>USD :STD</v>
      </c>
      <c r="D2769" s="603"/>
      <c r="E2769" s="604"/>
      <c r="F2769" s="607" t="s">
        <v>31</v>
      </c>
      <c r="G2769" s="608">
        <v>0</v>
      </c>
    </row>
    <row r="2770" spans="1:7" ht="11.1" customHeight="1">
      <c r="A2770" s="600" t="str">
        <f t="shared" si="215"/>
        <v>USD;USD :STD;12Y</v>
      </c>
      <c r="B2770" s="600" t="str">
        <f t="shared" si="216"/>
        <v>USD</v>
      </c>
      <c r="C2770" s="600" t="str">
        <f t="shared" si="216"/>
        <v>USD :STD</v>
      </c>
      <c r="D2770" s="603"/>
      <c r="E2770" s="604"/>
      <c r="F2770" s="607" t="s">
        <v>18</v>
      </c>
      <c r="G2770" s="608">
        <v>0</v>
      </c>
    </row>
    <row r="2771" spans="1:7" ht="11.1" customHeight="1">
      <c r="A2771" s="600" t="str">
        <f t="shared" si="215"/>
        <v>USD;USD :STD;13Y</v>
      </c>
      <c r="B2771" s="600" t="str">
        <f t="shared" si="216"/>
        <v>USD</v>
      </c>
      <c r="C2771" s="600" t="str">
        <f t="shared" si="216"/>
        <v>USD :STD</v>
      </c>
      <c r="D2771" s="603"/>
      <c r="E2771" s="604"/>
      <c r="F2771" s="607" t="s">
        <v>32</v>
      </c>
      <c r="G2771" s="608">
        <v>0</v>
      </c>
    </row>
    <row r="2772" spans="1:7" ht="11.1" customHeight="1">
      <c r="A2772" s="600" t="str">
        <f t="shared" si="215"/>
        <v>USD;USD :STD;14Y</v>
      </c>
      <c r="B2772" s="600" t="str">
        <f t="shared" si="216"/>
        <v>USD</v>
      </c>
      <c r="C2772" s="600" t="str">
        <f t="shared" si="216"/>
        <v>USD :STD</v>
      </c>
      <c r="D2772" s="603"/>
      <c r="E2772" s="604"/>
      <c r="F2772" s="607" t="s">
        <v>33</v>
      </c>
      <c r="G2772" s="608">
        <v>0</v>
      </c>
    </row>
    <row r="2773" spans="1:7" ht="11.1" customHeight="1">
      <c r="A2773" s="600" t="str">
        <f t="shared" si="215"/>
        <v>USD;USD :STD;15Y</v>
      </c>
      <c r="B2773" s="600" t="str">
        <f t="shared" ref="B2773:C2788" si="217">IF(ISBLANK(D2773),B2772,D2773)</f>
        <v>USD</v>
      </c>
      <c r="C2773" s="600" t="str">
        <f t="shared" si="217"/>
        <v>USD :STD</v>
      </c>
      <c r="D2773" s="603"/>
      <c r="E2773" s="604"/>
      <c r="F2773" s="607" t="s">
        <v>19</v>
      </c>
      <c r="G2773" s="608">
        <v>0</v>
      </c>
    </row>
    <row r="2774" spans="1:7" ht="11.1" customHeight="1">
      <c r="A2774" s="600" t="str">
        <f t="shared" si="215"/>
        <v>USD;USD :STD;16Y</v>
      </c>
      <c r="B2774" s="600" t="str">
        <f t="shared" si="217"/>
        <v>USD</v>
      </c>
      <c r="C2774" s="600" t="str">
        <f t="shared" si="217"/>
        <v>USD :STD</v>
      </c>
      <c r="D2774" s="603"/>
      <c r="E2774" s="604"/>
      <c r="F2774" s="607" t="s">
        <v>34</v>
      </c>
      <c r="G2774" s="608">
        <v>0</v>
      </c>
    </row>
    <row r="2775" spans="1:7" ht="11.1" customHeight="1">
      <c r="A2775" s="600" t="str">
        <f t="shared" si="215"/>
        <v>USD;USD :STD;17Y</v>
      </c>
      <c r="B2775" s="600" t="str">
        <f t="shared" si="217"/>
        <v>USD</v>
      </c>
      <c r="C2775" s="600" t="str">
        <f t="shared" si="217"/>
        <v>USD :STD</v>
      </c>
      <c r="D2775" s="603"/>
      <c r="E2775" s="604"/>
      <c r="F2775" s="607" t="s">
        <v>35</v>
      </c>
      <c r="G2775" s="608">
        <v>0</v>
      </c>
    </row>
    <row r="2776" spans="1:7" ht="11.1" customHeight="1">
      <c r="A2776" s="600" t="str">
        <f t="shared" si="215"/>
        <v>USD;USD :STD;18Y</v>
      </c>
      <c r="B2776" s="600" t="str">
        <f t="shared" si="217"/>
        <v>USD</v>
      </c>
      <c r="C2776" s="600" t="str">
        <f t="shared" si="217"/>
        <v>USD :STD</v>
      </c>
      <c r="D2776" s="603"/>
      <c r="E2776" s="604"/>
      <c r="F2776" s="607" t="s">
        <v>36</v>
      </c>
      <c r="G2776" s="608">
        <v>0</v>
      </c>
    </row>
    <row r="2777" spans="1:7" ht="11.1" customHeight="1">
      <c r="A2777" s="600" t="str">
        <f t="shared" si="215"/>
        <v>USD;USD :STD;19Y</v>
      </c>
      <c r="B2777" s="600" t="str">
        <f t="shared" si="217"/>
        <v>USD</v>
      </c>
      <c r="C2777" s="600" t="str">
        <f t="shared" si="217"/>
        <v>USD :STD</v>
      </c>
      <c r="D2777" s="603"/>
      <c r="E2777" s="604"/>
      <c r="F2777" s="607" t="s">
        <v>37</v>
      </c>
      <c r="G2777" s="608">
        <v>0</v>
      </c>
    </row>
    <row r="2778" spans="1:7" ht="11.1" customHeight="1">
      <c r="A2778" s="600" t="str">
        <f t="shared" si="215"/>
        <v>USD;USD :STD;20Y</v>
      </c>
      <c r="B2778" s="600" t="str">
        <f t="shared" si="217"/>
        <v>USD</v>
      </c>
      <c r="C2778" s="600" t="str">
        <f t="shared" si="217"/>
        <v>USD :STD</v>
      </c>
      <c r="D2778" s="603"/>
      <c r="E2778" s="604"/>
      <c r="F2778" s="607" t="s">
        <v>20</v>
      </c>
      <c r="G2778" s="608">
        <v>0</v>
      </c>
    </row>
    <row r="2779" spans="1:7" ht="11.1" customHeight="1">
      <c r="A2779" s="600" t="str">
        <f t="shared" si="215"/>
        <v>USD;USD :STD;21Y</v>
      </c>
      <c r="B2779" s="600" t="str">
        <f t="shared" si="217"/>
        <v>USD</v>
      </c>
      <c r="C2779" s="600" t="str">
        <f t="shared" si="217"/>
        <v>USD :STD</v>
      </c>
      <c r="D2779" s="603"/>
      <c r="E2779" s="604"/>
      <c r="F2779" s="607" t="s">
        <v>38</v>
      </c>
      <c r="G2779" s="608">
        <v>0</v>
      </c>
    </row>
    <row r="2780" spans="1:7" ht="11.1" customHeight="1">
      <c r="A2780" s="600" t="str">
        <f t="shared" si="215"/>
        <v>USD;USD :STD;22Y</v>
      </c>
      <c r="B2780" s="600" t="str">
        <f t="shared" si="217"/>
        <v>USD</v>
      </c>
      <c r="C2780" s="600" t="str">
        <f t="shared" si="217"/>
        <v>USD :STD</v>
      </c>
      <c r="D2780" s="603"/>
      <c r="E2780" s="604"/>
      <c r="F2780" s="607" t="s">
        <v>39</v>
      </c>
      <c r="G2780" s="608">
        <v>0</v>
      </c>
    </row>
    <row r="2781" spans="1:7" ht="11.1" customHeight="1">
      <c r="A2781" s="600" t="str">
        <f t="shared" si="215"/>
        <v>USD;USD :STD;23Y</v>
      </c>
      <c r="B2781" s="600" t="str">
        <f t="shared" si="217"/>
        <v>USD</v>
      </c>
      <c r="C2781" s="600" t="str">
        <f t="shared" si="217"/>
        <v>USD :STD</v>
      </c>
      <c r="D2781" s="603"/>
      <c r="E2781" s="604"/>
      <c r="F2781" s="607" t="s">
        <v>40</v>
      </c>
      <c r="G2781" s="608">
        <v>0</v>
      </c>
    </row>
    <row r="2782" spans="1:7" ht="11.1" customHeight="1">
      <c r="A2782" s="600" t="str">
        <f t="shared" si="215"/>
        <v>USD;USD :STD;24Y</v>
      </c>
      <c r="B2782" s="600" t="str">
        <f t="shared" si="217"/>
        <v>USD</v>
      </c>
      <c r="C2782" s="600" t="str">
        <f t="shared" si="217"/>
        <v>USD :STD</v>
      </c>
      <c r="D2782" s="603"/>
      <c r="E2782" s="604"/>
      <c r="F2782" s="607" t="s">
        <v>41</v>
      </c>
      <c r="G2782" s="608">
        <v>0</v>
      </c>
    </row>
    <row r="2783" spans="1:7" ht="11.1" customHeight="1">
      <c r="A2783" s="600" t="str">
        <f t="shared" si="215"/>
        <v>USD;USD :STD;25Y</v>
      </c>
      <c r="B2783" s="600" t="str">
        <f t="shared" si="217"/>
        <v>USD</v>
      </c>
      <c r="C2783" s="600" t="str">
        <f t="shared" si="217"/>
        <v>USD :STD</v>
      </c>
      <c r="D2783" s="603"/>
      <c r="E2783" s="604"/>
      <c r="F2783" s="607" t="s">
        <v>21</v>
      </c>
      <c r="G2783" s="608">
        <v>0</v>
      </c>
    </row>
    <row r="2784" spans="1:7" ht="11.1" customHeight="1">
      <c r="A2784" s="600" t="str">
        <f t="shared" si="215"/>
        <v>USD;USD :STD;26Y</v>
      </c>
      <c r="B2784" s="600" t="str">
        <f t="shared" si="217"/>
        <v>USD</v>
      </c>
      <c r="C2784" s="600" t="str">
        <f t="shared" si="217"/>
        <v>USD :STD</v>
      </c>
      <c r="D2784" s="603"/>
      <c r="E2784" s="604"/>
      <c r="F2784" s="607" t="s">
        <v>42</v>
      </c>
      <c r="G2784" s="608">
        <v>0</v>
      </c>
    </row>
    <row r="2785" spans="1:7" ht="11.1" customHeight="1">
      <c r="A2785" s="600" t="str">
        <f t="shared" si="215"/>
        <v>USD;USD :STD;27Y</v>
      </c>
      <c r="B2785" s="600" t="str">
        <f t="shared" si="217"/>
        <v>USD</v>
      </c>
      <c r="C2785" s="600" t="str">
        <f t="shared" si="217"/>
        <v>USD :STD</v>
      </c>
      <c r="D2785" s="603"/>
      <c r="E2785" s="604"/>
      <c r="F2785" s="607" t="s">
        <v>43</v>
      </c>
      <c r="G2785" s="608">
        <v>0</v>
      </c>
    </row>
    <row r="2786" spans="1:7" ht="11.1" customHeight="1">
      <c r="A2786" s="600" t="str">
        <f t="shared" si="215"/>
        <v>USD;USD :STD;28Y</v>
      </c>
      <c r="B2786" s="600" t="str">
        <f t="shared" si="217"/>
        <v>USD</v>
      </c>
      <c r="C2786" s="600" t="str">
        <f t="shared" si="217"/>
        <v>USD :STD</v>
      </c>
      <c r="D2786" s="603"/>
      <c r="E2786" s="604"/>
      <c r="F2786" s="607" t="s">
        <v>44</v>
      </c>
      <c r="G2786" s="608">
        <v>0</v>
      </c>
    </row>
    <row r="2787" spans="1:7" ht="11.1" customHeight="1">
      <c r="A2787" s="600" t="str">
        <f t="shared" si="215"/>
        <v>USD;USD :STD;29Y</v>
      </c>
      <c r="B2787" s="600" t="str">
        <f t="shared" si="217"/>
        <v>USD</v>
      </c>
      <c r="C2787" s="600" t="str">
        <f t="shared" si="217"/>
        <v>USD :STD</v>
      </c>
      <c r="D2787" s="603"/>
      <c r="E2787" s="604"/>
      <c r="F2787" s="607" t="s">
        <v>45</v>
      </c>
      <c r="G2787" s="608">
        <v>0</v>
      </c>
    </row>
    <row r="2788" spans="1:7" ht="11.1" customHeight="1">
      <c r="A2788" s="600" t="str">
        <f t="shared" si="215"/>
        <v>USD;USD :STD;30Y</v>
      </c>
      <c r="B2788" s="600" t="str">
        <f t="shared" si="217"/>
        <v>USD</v>
      </c>
      <c r="C2788" s="600" t="str">
        <f t="shared" si="217"/>
        <v>USD :STD</v>
      </c>
      <c r="D2788" s="603"/>
      <c r="E2788" s="604"/>
      <c r="F2788" s="607" t="s">
        <v>22</v>
      </c>
      <c r="G2788" s="608">
        <v>0</v>
      </c>
    </row>
    <row r="2789" spans="1:7" ht="11.1" customHeight="1">
      <c r="A2789" s="600" t="str">
        <f t="shared" si="215"/>
        <v>USD;USD :STD;40Y</v>
      </c>
      <c r="B2789" s="600" t="str">
        <f t="shared" ref="B2789:C2804" si="218">IF(ISBLANK(D2789),B2788,D2789)</f>
        <v>USD</v>
      </c>
      <c r="C2789" s="600" t="str">
        <f t="shared" si="218"/>
        <v>USD :STD</v>
      </c>
      <c r="D2789" s="603"/>
      <c r="E2789" s="604"/>
      <c r="F2789" s="607" t="s">
        <v>46</v>
      </c>
      <c r="G2789" s="608">
        <v>0</v>
      </c>
    </row>
    <row r="2790" spans="1:7" ht="11.1" customHeight="1">
      <c r="A2790" s="600" t="str">
        <f t="shared" si="215"/>
        <v>USD;USD :STD;50Y</v>
      </c>
      <c r="B2790" s="600" t="str">
        <f t="shared" si="218"/>
        <v>USD</v>
      </c>
      <c r="C2790" s="600" t="str">
        <f t="shared" si="218"/>
        <v>USD :STD</v>
      </c>
      <c r="D2790" s="603"/>
      <c r="E2790" s="604"/>
      <c r="F2790" s="607" t="s">
        <v>47</v>
      </c>
      <c r="G2790" s="608">
        <v>0</v>
      </c>
    </row>
    <row r="2791" spans="1:7" ht="11.1" customHeight="1">
      <c r="A2791" s="600" t="str">
        <f t="shared" si="215"/>
        <v>USD;USD :STD;60Y</v>
      </c>
      <c r="B2791" s="600" t="str">
        <f t="shared" si="218"/>
        <v>USD</v>
      </c>
      <c r="C2791" s="600" t="str">
        <f t="shared" si="218"/>
        <v>USD :STD</v>
      </c>
      <c r="D2791" s="603"/>
      <c r="E2791" s="604"/>
      <c r="F2791" s="607" t="s">
        <v>48</v>
      </c>
      <c r="G2791" s="608">
        <v>0</v>
      </c>
    </row>
    <row r="2792" spans="1:7" ht="11.1" customHeight="1">
      <c r="A2792" s="600" t="str">
        <f t="shared" si="215"/>
        <v>USD;USD FOREX;Total USD FOREX</v>
      </c>
      <c r="B2792" s="600" t="str">
        <f t="shared" si="218"/>
        <v>USD</v>
      </c>
      <c r="C2792" s="600" t="str">
        <f t="shared" si="218"/>
        <v>USD FOREX</v>
      </c>
      <c r="D2792" s="603"/>
      <c r="E2792" s="604" t="s">
        <v>657</v>
      </c>
      <c r="F2792" s="605" t="s">
        <v>658</v>
      </c>
      <c r="G2792" s="606">
        <v>-6247.1312520086503</v>
      </c>
    </row>
    <row r="2793" spans="1:7" ht="11.1" customHeight="1">
      <c r="A2793" s="600" t="str">
        <f t="shared" si="215"/>
        <v>USD;USD FOREX;O/N</v>
      </c>
      <c r="B2793" s="600" t="str">
        <f t="shared" si="218"/>
        <v>USD</v>
      </c>
      <c r="C2793" s="600" t="str">
        <f t="shared" si="218"/>
        <v>USD FOREX</v>
      </c>
      <c r="D2793" s="603"/>
      <c r="E2793" s="604"/>
      <c r="F2793" s="607" t="s">
        <v>3</v>
      </c>
      <c r="G2793" s="606">
        <v>-61.032392492169897</v>
      </c>
    </row>
    <row r="2794" spans="1:7" ht="11.1" customHeight="1">
      <c r="A2794" s="600" t="str">
        <f t="shared" si="215"/>
        <v>USD;USD FOREX;T/N</v>
      </c>
      <c r="B2794" s="600" t="str">
        <f t="shared" si="218"/>
        <v>USD</v>
      </c>
      <c r="C2794" s="600" t="str">
        <f t="shared" si="218"/>
        <v>USD FOREX</v>
      </c>
      <c r="D2794" s="603"/>
      <c r="E2794" s="604"/>
      <c r="F2794" s="607" t="s">
        <v>4</v>
      </c>
      <c r="G2794" s="606">
        <v>-37.725968813096102</v>
      </c>
    </row>
    <row r="2795" spans="1:7" ht="11.1" customHeight="1">
      <c r="A2795" s="600" t="str">
        <f t="shared" si="215"/>
        <v>USD;USD FOREX;S/N</v>
      </c>
      <c r="B2795" s="600" t="str">
        <f t="shared" si="218"/>
        <v>USD</v>
      </c>
      <c r="C2795" s="600" t="str">
        <f t="shared" si="218"/>
        <v>USD FOREX</v>
      </c>
      <c r="D2795" s="603"/>
      <c r="E2795" s="604"/>
      <c r="F2795" s="607" t="s">
        <v>23</v>
      </c>
      <c r="G2795" s="608">
        <v>0</v>
      </c>
    </row>
    <row r="2796" spans="1:7" ht="11.1" customHeight="1">
      <c r="A2796" s="600" t="str">
        <f t="shared" si="215"/>
        <v>USD;USD FOREX;1W</v>
      </c>
      <c r="B2796" s="600" t="str">
        <f t="shared" si="218"/>
        <v>USD</v>
      </c>
      <c r="C2796" s="600" t="str">
        <f t="shared" si="218"/>
        <v>USD FOREX</v>
      </c>
      <c r="D2796" s="603"/>
      <c r="E2796" s="604"/>
      <c r="F2796" s="607" t="s">
        <v>5</v>
      </c>
      <c r="G2796" s="608">
        <v>0</v>
      </c>
    </row>
    <row r="2797" spans="1:7" ht="11.1" customHeight="1">
      <c r="A2797" s="600" t="str">
        <f t="shared" si="215"/>
        <v>USD;USD FOREX;2W</v>
      </c>
      <c r="B2797" s="600" t="str">
        <f t="shared" si="218"/>
        <v>USD</v>
      </c>
      <c r="C2797" s="600" t="str">
        <f t="shared" si="218"/>
        <v>USD FOREX</v>
      </c>
      <c r="D2797" s="603"/>
      <c r="E2797" s="604"/>
      <c r="F2797" s="607" t="s">
        <v>6</v>
      </c>
      <c r="G2797" s="608">
        <v>0</v>
      </c>
    </row>
    <row r="2798" spans="1:7" ht="11.1" customHeight="1">
      <c r="A2798" s="600" t="str">
        <f t="shared" si="215"/>
        <v>USD;USD FOREX;3W</v>
      </c>
      <c r="B2798" s="600" t="str">
        <f t="shared" si="218"/>
        <v>USD</v>
      </c>
      <c r="C2798" s="600" t="str">
        <f t="shared" si="218"/>
        <v>USD FOREX</v>
      </c>
      <c r="D2798" s="603"/>
      <c r="E2798" s="604"/>
      <c r="F2798" s="607" t="s">
        <v>24</v>
      </c>
      <c r="G2798" s="608">
        <v>0</v>
      </c>
    </row>
    <row r="2799" spans="1:7" ht="11.1" customHeight="1">
      <c r="A2799" s="600" t="str">
        <f t="shared" si="215"/>
        <v>USD;USD FOREX;1M</v>
      </c>
      <c r="B2799" s="600" t="str">
        <f t="shared" si="218"/>
        <v>USD</v>
      </c>
      <c r="C2799" s="600" t="str">
        <f t="shared" si="218"/>
        <v>USD FOREX</v>
      </c>
      <c r="D2799" s="603"/>
      <c r="E2799" s="604"/>
      <c r="F2799" s="607" t="s">
        <v>7</v>
      </c>
      <c r="G2799" s="608">
        <v>0</v>
      </c>
    </row>
    <row r="2800" spans="1:7" ht="11.1" customHeight="1">
      <c r="A2800" s="600" t="str">
        <f t="shared" si="215"/>
        <v>USD;USD FOREX;2M</v>
      </c>
      <c r="B2800" s="600" t="str">
        <f t="shared" si="218"/>
        <v>USD</v>
      </c>
      <c r="C2800" s="600" t="str">
        <f t="shared" si="218"/>
        <v>USD FOREX</v>
      </c>
      <c r="D2800" s="603"/>
      <c r="E2800" s="604"/>
      <c r="F2800" s="607" t="s">
        <v>8</v>
      </c>
      <c r="G2800" s="608">
        <v>0</v>
      </c>
    </row>
    <row r="2801" spans="1:7" ht="11.1" customHeight="1">
      <c r="A2801" s="600" t="str">
        <f t="shared" si="215"/>
        <v>USD;USD FOREX;3M</v>
      </c>
      <c r="B2801" s="600" t="str">
        <f t="shared" si="218"/>
        <v>USD</v>
      </c>
      <c r="C2801" s="600" t="str">
        <f t="shared" si="218"/>
        <v>USD FOREX</v>
      </c>
      <c r="D2801" s="603"/>
      <c r="E2801" s="604"/>
      <c r="F2801" s="607" t="s">
        <v>25</v>
      </c>
      <c r="G2801" s="606">
        <v>-35.2110623976059</v>
      </c>
    </row>
    <row r="2802" spans="1:7" ht="11.1" customHeight="1">
      <c r="A2802" s="600" t="str">
        <f t="shared" si="215"/>
        <v>USD;USD FOREX;4M</v>
      </c>
      <c r="B2802" s="600" t="str">
        <f t="shared" si="218"/>
        <v>USD</v>
      </c>
      <c r="C2802" s="600" t="str">
        <f t="shared" si="218"/>
        <v>USD FOREX</v>
      </c>
      <c r="D2802" s="603"/>
      <c r="E2802" s="604"/>
      <c r="F2802" s="607" t="s">
        <v>26</v>
      </c>
      <c r="G2802" s="606">
        <v>-170.514665503044</v>
      </c>
    </row>
    <row r="2803" spans="1:7" ht="11.1" customHeight="1">
      <c r="A2803" s="600" t="str">
        <f t="shared" si="215"/>
        <v>USD;USD FOREX;5M</v>
      </c>
      <c r="B2803" s="600" t="str">
        <f t="shared" si="218"/>
        <v>USD</v>
      </c>
      <c r="C2803" s="600" t="str">
        <f t="shared" si="218"/>
        <v>USD FOREX</v>
      </c>
      <c r="D2803" s="603"/>
      <c r="E2803" s="604"/>
      <c r="F2803" s="607" t="s">
        <v>27</v>
      </c>
      <c r="G2803" s="606">
        <v>-111.432586939559</v>
      </c>
    </row>
    <row r="2804" spans="1:7" ht="11.1" customHeight="1">
      <c r="A2804" s="600" t="str">
        <f t="shared" si="215"/>
        <v>USD;USD FOREX;6M</v>
      </c>
      <c r="B2804" s="600" t="str">
        <f t="shared" si="218"/>
        <v>USD</v>
      </c>
      <c r="C2804" s="600" t="str">
        <f t="shared" si="218"/>
        <v>USD FOREX</v>
      </c>
      <c r="D2804" s="603"/>
      <c r="E2804" s="604"/>
      <c r="F2804" s="607" t="s">
        <v>28</v>
      </c>
      <c r="G2804" s="611">
        <v>5.1934229187677499</v>
      </c>
    </row>
    <row r="2805" spans="1:7" ht="11.1" customHeight="1">
      <c r="A2805" s="600" t="str">
        <f t="shared" si="215"/>
        <v>USD;USD FOREX;7M</v>
      </c>
      <c r="B2805" s="600" t="str">
        <f t="shared" ref="B2805:C2820" si="219">IF(ISBLANK(D2805),B2804,D2805)</f>
        <v>USD</v>
      </c>
      <c r="C2805" s="600" t="str">
        <f t="shared" si="219"/>
        <v>USD FOREX</v>
      </c>
      <c r="D2805" s="603"/>
      <c r="E2805" s="604"/>
      <c r="F2805" s="607" t="s">
        <v>29</v>
      </c>
      <c r="G2805" s="608">
        <v>0</v>
      </c>
    </row>
    <row r="2806" spans="1:7" ht="11.1" customHeight="1">
      <c r="A2806" s="600" t="str">
        <f t="shared" si="215"/>
        <v>USD;USD FOREX;8M</v>
      </c>
      <c r="B2806" s="600" t="str">
        <f t="shared" si="219"/>
        <v>USD</v>
      </c>
      <c r="C2806" s="600" t="str">
        <f t="shared" si="219"/>
        <v>USD FOREX</v>
      </c>
      <c r="D2806" s="603"/>
      <c r="E2806" s="604"/>
      <c r="F2806" s="607" t="s">
        <v>30</v>
      </c>
      <c r="G2806" s="606">
        <v>-25.442480414851801</v>
      </c>
    </row>
    <row r="2807" spans="1:7" ht="11.1" customHeight="1">
      <c r="A2807" s="600" t="str">
        <f t="shared" si="215"/>
        <v>USD;USD FOREX;9M</v>
      </c>
      <c r="B2807" s="600" t="str">
        <f t="shared" si="219"/>
        <v>USD</v>
      </c>
      <c r="C2807" s="600" t="str">
        <f t="shared" si="219"/>
        <v>USD FOREX</v>
      </c>
      <c r="D2807" s="603"/>
      <c r="E2807" s="604"/>
      <c r="F2807" s="607" t="s">
        <v>49</v>
      </c>
      <c r="G2807" s="606">
        <v>-751.89315033005801</v>
      </c>
    </row>
    <row r="2808" spans="1:7" ht="11.1" customHeight="1">
      <c r="A2808" s="600" t="str">
        <f t="shared" si="215"/>
        <v>USD;USD FOREX;10M</v>
      </c>
      <c r="B2808" s="600" t="str">
        <f t="shared" si="219"/>
        <v>USD</v>
      </c>
      <c r="C2808" s="600" t="str">
        <f t="shared" si="219"/>
        <v>USD FOREX</v>
      </c>
      <c r="D2808" s="603"/>
      <c r="E2808" s="604"/>
      <c r="F2808" s="607" t="s">
        <v>50</v>
      </c>
      <c r="G2808" s="606">
        <v>-567.64543046348695</v>
      </c>
    </row>
    <row r="2809" spans="1:7" ht="11.1" customHeight="1">
      <c r="A2809" s="600" t="str">
        <f t="shared" si="215"/>
        <v>USD;USD FOREX;11M</v>
      </c>
      <c r="B2809" s="600" t="str">
        <f t="shared" si="219"/>
        <v>USD</v>
      </c>
      <c r="C2809" s="600" t="str">
        <f t="shared" si="219"/>
        <v>USD FOREX</v>
      </c>
      <c r="D2809" s="603"/>
      <c r="E2809" s="604"/>
      <c r="F2809" s="607" t="s">
        <v>51</v>
      </c>
      <c r="G2809" s="608">
        <v>0</v>
      </c>
    </row>
    <row r="2810" spans="1:7" ht="11.1" customHeight="1">
      <c r="A2810" s="600" t="str">
        <f t="shared" si="215"/>
        <v>USD;USD FOREX;12M</v>
      </c>
      <c r="B2810" s="600" t="str">
        <f t="shared" si="219"/>
        <v>USD</v>
      </c>
      <c r="C2810" s="600" t="str">
        <f t="shared" si="219"/>
        <v>USD FOREX</v>
      </c>
      <c r="D2810" s="603"/>
      <c r="E2810" s="604"/>
      <c r="F2810" s="607" t="s">
        <v>52</v>
      </c>
      <c r="G2810" s="606">
        <v>-490.85762584262199</v>
      </c>
    </row>
    <row r="2811" spans="1:7" ht="11.1" customHeight="1">
      <c r="A2811" s="600" t="str">
        <f t="shared" si="215"/>
        <v>USD;USD FOREX;15M</v>
      </c>
      <c r="B2811" s="600" t="str">
        <f t="shared" si="219"/>
        <v>USD</v>
      </c>
      <c r="C2811" s="600" t="str">
        <f t="shared" si="219"/>
        <v>USD FOREX</v>
      </c>
      <c r="D2811" s="603"/>
      <c r="E2811" s="604"/>
      <c r="F2811" s="607" t="s">
        <v>53</v>
      </c>
      <c r="G2811" s="606">
        <v>-2109.5131466801299</v>
      </c>
    </row>
    <row r="2812" spans="1:7" ht="11.1" customHeight="1">
      <c r="A2812" s="600" t="str">
        <f t="shared" si="215"/>
        <v>USD;USD FOREX;18M</v>
      </c>
      <c r="B2812" s="600" t="str">
        <f t="shared" si="219"/>
        <v>USD</v>
      </c>
      <c r="C2812" s="600" t="str">
        <f t="shared" si="219"/>
        <v>USD FOREX</v>
      </c>
      <c r="D2812" s="603"/>
      <c r="E2812" s="604"/>
      <c r="F2812" s="607" t="s">
        <v>54</v>
      </c>
      <c r="G2812" s="606">
        <v>-1871.01356330421</v>
      </c>
    </row>
    <row r="2813" spans="1:7" ht="11.1" customHeight="1">
      <c r="A2813" s="600" t="str">
        <f t="shared" si="215"/>
        <v>USD;USD FOREX;24M</v>
      </c>
      <c r="B2813" s="600" t="str">
        <f t="shared" si="219"/>
        <v>USD</v>
      </c>
      <c r="C2813" s="600" t="str">
        <f t="shared" si="219"/>
        <v>USD FOREX</v>
      </c>
      <c r="D2813" s="603"/>
      <c r="E2813" s="604"/>
      <c r="F2813" s="607" t="s">
        <v>659</v>
      </c>
      <c r="G2813" s="606">
        <v>-20.042601746578701</v>
      </c>
    </row>
    <row r="2814" spans="1:7" ht="11.1" customHeight="1">
      <c r="A2814" s="600" t="str">
        <f t="shared" si="215"/>
        <v>USD;USD FOREX;3Y</v>
      </c>
      <c r="B2814" s="600" t="str">
        <f t="shared" si="219"/>
        <v>USD</v>
      </c>
      <c r="C2814" s="600" t="str">
        <f t="shared" si="219"/>
        <v>USD FOREX</v>
      </c>
      <c r="D2814" s="603"/>
      <c r="E2814" s="604"/>
      <c r="F2814" s="607" t="s">
        <v>10</v>
      </c>
      <c r="G2814" s="608">
        <v>0</v>
      </c>
    </row>
    <row r="2815" spans="1:7" ht="11.1" customHeight="1">
      <c r="A2815" s="600" t="str">
        <f t="shared" si="215"/>
        <v>USD;USD FOREX;4Y</v>
      </c>
      <c r="B2815" s="600" t="str">
        <f t="shared" si="219"/>
        <v>USD</v>
      </c>
      <c r="C2815" s="600" t="str">
        <f t="shared" si="219"/>
        <v>USD FOREX</v>
      </c>
      <c r="D2815" s="603"/>
      <c r="E2815" s="604"/>
      <c r="F2815" s="607" t="s">
        <v>11</v>
      </c>
      <c r="G2815" s="608">
        <v>0</v>
      </c>
    </row>
    <row r="2816" spans="1:7" ht="11.1" customHeight="1">
      <c r="A2816" s="600" t="str">
        <f t="shared" si="215"/>
        <v>USD;USD FOREX;5Y</v>
      </c>
      <c r="B2816" s="600" t="str">
        <f t="shared" si="219"/>
        <v>USD</v>
      </c>
      <c r="C2816" s="600" t="str">
        <f t="shared" si="219"/>
        <v>USD FOREX</v>
      </c>
      <c r="D2816" s="603"/>
      <c r="E2816" s="604"/>
      <c r="F2816" s="607" t="s">
        <v>12</v>
      </c>
      <c r="G2816" s="608">
        <v>0</v>
      </c>
    </row>
    <row r="2817" spans="1:7" ht="11.1" customHeight="1">
      <c r="A2817" s="600" t="str">
        <f t="shared" si="215"/>
        <v>USD;USD FOREX;6Y</v>
      </c>
      <c r="B2817" s="600" t="str">
        <f t="shared" si="219"/>
        <v>USD</v>
      </c>
      <c r="C2817" s="600" t="str">
        <f t="shared" si="219"/>
        <v>USD FOREX</v>
      </c>
      <c r="D2817" s="603"/>
      <c r="E2817" s="604"/>
      <c r="F2817" s="607" t="s">
        <v>13</v>
      </c>
      <c r="G2817" s="608">
        <v>0</v>
      </c>
    </row>
    <row r="2818" spans="1:7" ht="11.1" customHeight="1">
      <c r="A2818" s="600" t="str">
        <f t="shared" si="215"/>
        <v>USD;USD FOREX;7Y</v>
      </c>
      <c r="B2818" s="600" t="str">
        <f t="shared" si="219"/>
        <v>USD</v>
      </c>
      <c r="C2818" s="600" t="str">
        <f t="shared" si="219"/>
        <v>USD FOREX</v>
      </c>
      <c r="D2818" s="603"/>
      <c r="E2818" s="604"/>
      <c r="F2818" s="607" t="s">
        <v>14</v>
      </c>
      <c r="G2818" s="608">
        <v>0</v>
      </c>
    </row>
    <row r="2819" spans="1:7" ht="11.1" customHeight="1">
      <c r="A2819" s="600" t="str">
        <f t="shared" si="215"/>
        <v>USD;USD FOREX;8Y</v>
      </c>
      <c r="B2819" s="600" t="str">
        <f t="shared" si="219"/>
        <v>USD</v>
      </c>
      <c r="C2819" s="600" t="str">
        <f t="shared" si="219"/>
        <v>USD FOREX</v>
      </c>
      <c r="D2819" s="603"/>
      <c r="E2819" s="604"/>
      <c r="F2819" s="607" t="s">
        <v>15</v>
      </c>
      <c r="G2819" s="608">
        <v>0</v>
      </c>
    </row>
    <row r="2820" spans="1:7" ht="11.1" customHeight="1">
      <c r="A2820" s="600" t="str">
        <f t="shared" si="215"/>
        <v>USD;USD FOREX;9Y</v>
      </c>
      <c r="B2820" s="600" t="str">
        <f t="shared" si="219"/>
        <v>USD</v>
      </c>
      <c r="C2820" s="600" t="str">
        <f t="shared" si="219"/>
        <v>USD FOREX</v>
      </c>
      <c r="D2820" s="603"/>
      <c r="E2820" s="604"/>
      <c r="F2820" s="607" t="s">
        <v>16</v>
      </c>
      <c r="G2820" s="608">
        <v>0</v>
      </c>
    </row>
    <row r="2821" spans="1:7" ht="11.1" customHeight="1">
      <c r="A2821" s="600" t="str">
        <f t="shared" ref="A2821:A2884" si="220">B2821&amp;";"&amp;C2821&amp;";"&amp;F2821</f>
        <v>USD;USD FOREX;10Y</v>
      </c>
      <c r="B2821" s="600" t="str">
        <f t="shared" ref="B2821:C2836" si="221">IF(ISBLANK(D2821),B2820,D2821)</f>
        <v>USD</v>
      </c>
      <c r="C2821" s="600" t="str">
        <f t="shared" si="221"/>
        <v>USD FOREX</v>
      </c>
      <c r="D2821" s="603"/>
      <c r="E2821" s="604"/>
      <c r="F2821" s="607" t="s">
        <v>17</v>
      </c>
      <c r="G2821" s="608">
        <v>0</v>
      </c>
    </row>
    <row r="2822" spans="1:7" ht="11.1" customHeight="1">
      <c r="A2822" s="600" t="str">
        <f t="shared" si="220"/>
        <v>USD;USD FOREX;11Y</v>
      </c>
      <c r="B2822" s="600" t="str">
        <f t="shared" si="221"/>
        <v>USD</v>
      </c>
      <c r="C2822" s="600" t="str">
        <f t="shared" si="221"/>
        <v>USD FOREX</v>
      </c>
      <c r="D2822" s="603"/>
      <c r="E2822" s="604"/>
      <c r="F2822" s="607" t="s">
        <v>31</v>
      </c>
      <c r="G2822" s="608">
        <v>0</v>
      </c>
    </row>
    <row r="2823" spans="1:7" ht="11.1" customHeight="1">
      <c r="A2823" s="600" t="str">
        <f t="shared" si="220"/>
        <v>USD;USD FOREX;12Y</v>
      </c>
      <c r="B2823" s="600" t="str">
        <f t="shared" si="221"/>
        <v>USD</v>
      </c>
      <c r="C2823" s="600" t="str">
        <f t="shared" si="221"/>
        <v>USD FOREX</v>
      </c>
      <c r="D2823" s="603"/>
      <c r="E2823" s="604"/>
      <c r="F2823" s="607" t="s">
        <v>18</v>
      </c>
      <c r="G2823" s="608">
        <v>0</v>
      </c>
    </row>
    <row r="2824" spans="1:7" ht="11.1" customHeight="1">
      <c r="A2824" s="600" t="str">
        <f t="shared" si="220"/>
        <v>USD;USD FOREX;13Y</v>
      </c>
      <c r="B2824" s="600" t="str">
        <f t="shared" si="221"/>
        <v>USD</v>
      </c>
      <c r="C2824" s="600" t="str">
        <f t="shared" si="221"/>
        <v>USD FOREX</v>
      </c>
      <c r="D2824" s="603"/>
      <c r="E2824" s="604"/>
      <c r="F2824" s="607" t="s">
        <v>32</v>
      </c>
      <c r="G2824" s="608">
        <v>0</v>
      </c>
    </row>
    <row r="2825" spans="1:7" ht="11.1" customHeight="1">
      <c r="A2825" s="600" t="str">
        <f t="shared" si="220"/>
        <v>USD;USD FOREX;14Y</v>
      </c>
      <c r="B2825" s="600" t="str">
        <f t="shared" si="221"/>
        <v>USD</v>
      </c>
      <c r="C2825" s="600" t="str">
        <f t="shared" si="221"/>
        <v>USD FOREX</v>
      </c>
      <c r="D2825" s="603"/>
      <c r="E2825" s="604"/>
      <c r="F2825" s="607" t="s">
        <v>33</v>
      </c>
      <c r="G2825" s="608">
        <v>0</v>
      </c>
    </row>
    <row r="2826" spans="1:7" ht="11.1" customHeight="1">
      <c r="A2826" s="600" t="str">
        <f t="shared" si="220"/>
        <v>USD;USD FOREX;15Y</v>
      </c>
      <c r="B2826" s="600" t="str">
        <f t="shared" si="221"/>
        <v>USD</v>
      </c>
      <c r="C2826" s="600" t="str">
        <f t="shared" si="221"/>
        <v>USD FOREX</v>
      </c>
      <c r="D2826" s="603"/>
      <c r="E2826" s="604"/>
      <c r="F2826" s="607" t="s">
        <v>19</v>
      </c>
      <c r="G2826" s="608">
        <v>0</v>
      </c>
    </row>
    <row r="2827" spans="1:7" ht="11.1" customHeight="1">
      <c r="A2827" s="600" t="str">
        <f t="shared" si="220"/>
        <v>USD;USD FOREX;16Y</v>
      </c>
      <c r="B2827" s="600" t="str">
        <f t="shared" si="221"/>
        <v>USD</v>
      </c>
      <c r="C2827" s="600" t="str">
        <f t="shared" si="221"/>
        <v>USD FOREX</v>
      </c>
      <c r="D2827" s="603"/>
      <c r="E2827" s="604"/>
      <c r="F2827" s="607" t="s">
        <v>34</v>
      </c>
      <c r="G2827" s="608">
        <v>0</v>
      </c>
    </row>
    <row r="2828" spans="1:7" ht="11.1" customHeight="1">
      <c r="A2828" s="600" t="str">
        <f t="shared" si="220"/>
        <v>USD;USD FOREX;17Y</v>
      </c>
      <c r="B2828" s="600" t="str">
        <f t="shared" si="221"/>
        <v>USD</v>
      </c>
      <c r="C2828" s="600" t="str">
        <f t="shared" si="221"/>
        <v>USD FOREX</v>
      </c>
      <c r="D2828" s="603"/>
      <c r="E2828" s="604"/>
      <c r="F2828" s="607" t="s">
        <v>35</v>
      </c>
      <c r="G2828" s="608">
        <v>0</v>
      </c>
    </row>
    <row r="2829" spans="1:7" ht="11.1" customHeight="1">
      <c r="A2829" s="600" t="str">
        <f t="shared" si="220"/>
        <v>USD;USD FOREX;18Y</v>
      </c>
      <c r="B2829" s="600" t="str">
        <f t="shared" si="221"/>
        <v>USD</v>
      </c>
      <c r="C2829" s="600" t="str">
        <f t="shared" si="221"/>
        <v>USD FOREX</v>
      </c>
      <c r="D2829" s="603"/>
      <c r="E2829" s="604"/>
      <c r="F2829" s="607" t="s">
        <v>36</v>
      </c>
      <c r="G2829" s="608">
        <v>0</v>
      </c>
    </row>
    <row r="2830" spans="1:7" ht="11.1" customHeight="1">
      <c r="A2830" s="600" t="str">
        <f t="shared" si="220"/>
        <v>USD;USD FOREX;19Y</v>
      </c>
      <c r="B2830" s="600" t="str">
        <f t="shared" si="221"/>
        <v>USD</v>
      </c>
      <c r="C2830" s="600" t="str">
        <f t="shared" si="221"/>
        <v>USD FOREX</v>
      </c>
      <c r="D2830" s="603"/>
      <c r="E2830" s="604"/>
      <c r="F2830" s="607" t="s">
        <v>37</v>
      </c>
      <c r="G2830" s="608">
        <v>0</v>
      </c>
    </row>
    <row r="2831" spans="1:7" ht="11.1" customHeight="1">
      <c r="A2831" s="600" t="str">
        <f t="shared" si="220"/>
        <v>USD;USD FOREX;20Y</v>
      </c>
      <c r="B2831" s="600" t="str">
        <f t="shared" si="221"/>
        <v>USD</v>
      </c>
      <c r="C2831" s="600" t="str">
        <f t="shared" si="221"/>
        <v>USD FOREX</v>
      </c>
      <c r="D2831" s="603"/>
      <c r="E2831" s="604"/>
      <c r="F2831" s="607" t="s">
        <v>20</v>
      </c>
      <c r="G2831" s="608">
        <v>0</v>
      </c>
    </row>
    <row r="2832" spans="1:7" ht="11.1" customHeight="1">
      <c r="A2832" s="600" t="str">
        <f t="shared" si="220"/>
        <v>USD;USD FOREX;21Y</v>
      </c>
      <c r="B2832" s="600" t="str">
        <f t="shared" si="221"/>
        <v>USD</v>
      </c>
      <c r="C2832" s="600" t="str">
        <f t="shared" si="221"/>
        <v>USD FOREX</v>
      </c>
      <c r="D2832" s="603"/>
      <c r="E2832" s="604"/>
      <c r="F2832" s="607" t="s">
        <v>38</v>
      </c>
      <c r="G2832" s="608">
        <v>0</v>
      </c>
    </row>
    <row r="2833" spans="1:7" ht="11.1" customHeight="1">
      <c r="A2833" s="600" t="str">
        <f t="shared" si="220"/>
        <v>USD;USD FOREX;22Y</v>
      </c>
      <c r="B2833" s="600" t="str">
        <f t="shared" si="221"/>
        <v>USD</v>
      </c>
      <c r="C2833" s="600" t="str">
        <f t="shared" si="221"/>
        <v>USD FOREX</v>
      </c>
      <c r="D2833" s="603"/>
      <c r="E2833" s="604"/>
      <c r="F2833" s="607" t="s">
        <v>39</v>
      </c>
      <c r="G2833" s="608">
        <v>0</v>
      </c>
    </row>
    <row r="2834" spans="1:7" ht="11.1" customHeight="1">
      <c r="A2834" s="600" t="str">
        <f t="shared" si="220"/>
        <v>USD;USD FOREX;23Y</v>
      </c>
      <c r="B2834" s="600" t="str">
        <f t="shared" si="221"/>
        <v>USD</v>
      </c>
      <c r="C2834" s="600" t="str">
        <f t="shared" si="221"/>
        <v>USD FOREX</v>
      </c>
      <c r="D2834" s="603"/>
      <c r="E2834" s="604"/>
      <c r="F2834" s="607" t="s">
        <v>40</v>
      </c>
      <c r="G2834" s="608">
        <v>0</v>
      </c>
    </row>
    <row r="2835" spans="1:7" ht="11.1" customHeight="1">
      <c r="A2835" s="600" t="str">
        <f t="shared" si="220"/>
        <v>USD;USD FOREX;24Y</v>
      </c>
      <c r="B2835" s="600" t="str">
        <f t="shared" si="221"/>
        <v>USD</v>
      </c>
      <c r="C2835" s="600" t="str">
        <f t="shared" si="221"/>
        <v>USD FOREX</v>
      </c>
      <c r="D2835" s="603"/>
      <c r="E2835" s="604"/>
      <c r="F2835" s="607" t="s">
        <v>41</v>
      </c>
      <c r="G2835" s="608">
        <v>0</v>
      </c>
    </row>
    <row r="2836" spans="1:7" ht="11.1" customHeight="1">
      <c r="A2836" s="600" t="str">
        <f t="shared" si="220"/>
        <v>USD;USD FOREX;25Y</v>
      </c>
      <c r="B2836" s="600" t="str">
        <f t="shared" si="221"/>
        <v>USD</v>
      </c>
      <c r="C2836" s="600" t="str">
        <f t="shared" si="221"/>
        <v>USD FOREX</v>
      </c>
      <c r="D2836" s="603"/>
      <c r="E2836" s="604"/>
      <c r="F2836" s="607" t="s">
        <v>21</v>
      </c>
      <c r="G2836" s="608">
        <v>0</v>
      </c>
    </row>
    <row r="2837" spans="1:7" ht="11.1" customHeight="1">
      <c r="A2837" s="600" t="str">
        <f t="shared" si="220"/>
        <v>USD;USD FOREX;26Y</v>
      </c>
      <c r="B2837" s="600" t="str">
        <f t="shared" ref="B2837:C2852" si="222">IF(ISBLANK(D2837),B2836,D2837)</f>
        <v>USD</v>
      </c>
      <c r="C2837" s="600" t="str">
        <f t="shared" si="222"/>
        <v>USD FOREX</v>
      </c>
      <c r="D2837" s="603"/>
      <c r="E2837" s="604"/>
      <c r="F2837" s="607" t="s">
        <v>42</v>
      </c>
      <c r="G2837" s="608">
        <v>0</v>
      </c>
    </row>
    <row r="2838" spans="1:7" ht="11.1" customHeight="1">
      <c r="A2838" s="600" t="str">
        <f t="shared" si="220"/>
        <v>USD;USD FOREX;27Y</v>
      </c>
      <c r="B2838" s="600" t="str">
        <f t="shared" si="222"/>
        <v>USD</v>
      </c>
      <c r="C2838" s="600" t="str">
        <f t="shared" si="222"/>
        <v>USD FOREX</v>
      </c>
      <c r="D2838" s="603"/>
      <c r="E2838" s="604"/>
      <c r="F2838" s="607" t="s">
        <v>43</v>
      </c>
      <c r="G2838" s="608">
        <v>0</v>
      </c>
    </row>
    <row r="2839" spans="1:7" ht="11.1" customHeight="1">
      <c r="A2839" s="600" t="str">
        <f t="shared" si="220"/>
        <v>USD;USD FOREX;28Y</v>
      </c>
      <c r="B2839" s="600" t="str">
        <f t="shared" si="222"/>
        <v>USD</v>
      </c>
      <c r="C2839" s="600" t="str">
        <f t="shared" si="222"/>
        <v>USD FOREX</v>
      </c>
      <c r="D2839" s="603"/>
      <c r="E2839" s="604"/>
      <c r="F2839" s="607" t="s">
        <v>44</v>
      </c>
      <c r="G2839" s="608">
        <v>0</v>
      </c>
    </row>
    <row r="2840" spans="1:7" ht="11.1" customHeight="1">
      <c r="A2840" s="600" t="str">
        <f t="shared" si="220"/>
        <v>USD;USD FOREX;29Y</v>
      </c>
      <c r="B2840" s="600" t="str">
        <f t="shared" si="222"/>
        <v>USD</v>
      </c>
      <c r="C2840" s="600" t="str">
        <f t="shared" si="222"/>
        <v>USD FOREX</v>
      </c>
      <c r="D2840" s="603"/>
      <c r="E2840" s="604"/>
      <c r="F2840" s="607" t="s">
        <v>45</v>
      </c>
      <c r="G2840" s="608">
        <v>0</v>
      </c>
    </row>
    <row r="2841" spans="1:7" ht="11.1" customHeight="1">
      <c r="A2841" s="600" t="str">
        <f t="shared" si="220"/>
        <v>USD;USD FOREX;30Y</v>
      </c>
      <c r="B2841" s="600" t="str">
        <f t="shared" si="222"/>
        <v>USD</v>
      </c>
      <c r="C2841" s="600" t="str">
        <f t="shared" si="222"/>
        <v>USD FOREX</v>
      </c>
      <c r="D2841" s="603"/>
      <c r="E2841" s="604"/>
      <c r="F2841" s="607" t="s">
        <v>22</v>
      </c>
      <c r="G2841" s="608">
        <v>0</v>
      </c>
    </row>
    <row r="2842" spans="1:7" ht="11.1" customHeight="1">
      <c r="A2842" s="600" t="str">
        <f t="shared" si="220"/>
        <v>USD;USD FOREX;40Y</v>
      </c>
      <c r="B2842" s="600" t="str">
        <f t="shared" si="222"/>
        <v>USD</v>
      </c>
      <c r="C2842" s="600" t="str">
        <f t="shared" si="222"/>
        <v>USD FOREX</v>
      </c>
      <c r="D2842" s="603"/>
      <c r="E2842" s="604"/>
      <c r="F2842" s="607" t="s">
        <v>46</v>
      </c>
      <c r="G2842" s="608">
        <v>0</v>
      </c>
    </row>
    <row r="2843" spans="1:7" ht="11.1" customHeight="1">
      <c r="A2843" s="600" t="str">
        <f t="shared" si="220"/>
        <v>USD;USD FOREX;50Y</v>
      </c>
      <c r="B2843" s="600" t="str">
        <f t="shared" si="222"/>
        <v>USD</v>
      </c>
      <c r="C2843" s="600" t="str">
        <f t="shared" si="222"/>
        <v>USD FOREX</v>
      </c>
      <c r="D2843" s="603"/>
      <c r="E2843" s="604"/>
      <c r="F2843" s="607" t="s">
        <v>47</v>
      </c>
      <c r="G2843" s="608">
        <v>0</v>
      </c>
    </row>
    <row r="2844" spans="1:7" ht="11.1" customHeight="1">
      <c r="A2844" s="600" t="str">
        <f t="shared" si="220"/>
        <v>USD;USD OIS;Total USD OIS</v>
      </c>
      <c r="B2844" s="600" t="str">
        <f t="shared" si="222"/>
        <v>USD</v>
      </c>
      <c r="C2844" s="600" t="str">
        <f t="shared" si="222"/>
        <v>USD OIS</v>
      </c>
      <c r="D2844" s="603"/>
      <c r="E2844" s="604" t="s">
        <v>1164</v>
      </c>
      <c r="F2844" s="605" t="s">
        <v>1165</v>
      </c>
      <c r="G2844" s="611">
        <v>16417.332321064001</v>
      </c>
    </row>
    <row r="2845" spans="1:7" ht="11.1" customHeight="1">
      <c r="A2845" s="600" t="str">
        <f t="shared" si="220"/>
        <v>USD;USD OIS;O/N</v>
      </c>
      <c r="B2845" s="600" t="str">
        <f t="shared" si="222"/>
        <v>USD</v>
      </c>
      <c r="C2845" s="600" t="str">
        <f t="shared" si="222"/>
        <v>USD OIS</v>
      </c>
      <c r="D2845" s="603"/>
      <c r="E2845" s="604"/>
      <c r="F2845" s="607" t="s">
        <v>3</v>
      </c>
      <c r="G2845" s="611">
        <v>107.483642932772</v>
      </c>
    </row>
    <row r="2846" spans="1:7" ht="11.1" customHeight="1">
      <c r="A2846" s="600" t="str">
        <f t="shared" si="220"/>
        <v>USD;USD OIS;T/N</v>
      </c>
      <c r="B2846" s="600" t="str">
        <f t="shared" si="222"/>
        <v>USD</v>
      </c>
      <c r="C2846" s="600" t="str">
        <f t="shared" si="222"/>
        <v>USD OIS</v>
      </c>
      <c r="D2846" s="603"/>
      <c r="E2846" s="604"/>
      <c r="F2846" s="607" t="s">
        <v>4</v>
      </c>
      <c r="G2846" s="611">
        <v>48.303425245799701</v>
      </c>
    </row>
    <row r="2847" spans="1:7" ht="11.1" customHeight="1">
      <c r="A2847" s="600" t="str">
        <f t="shared" si="220"/>
        <v>USD;USD OIS;S/N</v>
      </c>
      <c r="B2847" s="600" t="str">
        <f t="shared" si="222"/>
        <v>USD</v>
      </c>
      <c r="C2847" s="600" t="str">
        <f t="shared" si="222"/>
        <v>USD OIS</v>
      </c>
      <c r="D2847" s="603"/>
      <c r="E2847" s="604"/>
      <c r="F2847" s="607" t="s">
        <v>23</v>
      </c>
      <c r="G2847" s="611">
        <v>51.812304994959</v>
      </c>
    </row>
    <row r="2848" spans="1:7" ht="11.1" customHeight="1">
      <c r="A2848" s="600" t="str">
        <f t="shared" si="220"/>
        <v>USD;USD OIS;1W</v>
      </c>
      <c r="B2848" s="600" t="str">
        <f t="shared" si="222"/>
        <v>USD</v>
      </c>
      <c r="C2848" s="600" t="str">
        <f t="shared" si="222"/>
        <v>USD OIS</v>
      </c>
      <c r="D2848" s="603"/>
      <c r="E2848" s="604"/>
      <c r="F2848" s="607" t="s">
        <v>5</v>
      </c>
      <c r="G2848" s="606">
        <v>-272.23937503576599</v>
      </c>
    </row>
    <row r="2849" spans="1:7" ht="11.1" customHeight="1">
      <c r="A2849" s="600" t="str">
        <f t="shared" si="220"/>
        <v>USD;USD OIS;2W</v>
      </c>
      <c r="B2849" s="600" t="str">
        <f t="shared" si="222"/>
        <v>USD</v>
      </c>
      <c r="C2849" s="600" t="str">
        <f t="shared" si="222"/>
        <v>USD OIS</v>
      </c>
      <c r="D2849" s="603"/>
      <c r="E2849" s="604"/>
      <c r="F2849" s="607" t="s">
        <v>6</v>
      </c>
      <c r="G2849" s="606">
        <v>-18.2613503888259</v>
      </c>
    </row>
    <row r="2850" spans="1:7" ht="11.1" customHeight="1">
      <c r="A2850" s="600" t="str">
        <f t="shared" si="220"/>
        <v>USD;USD OIS;3W</v>
      </c>
      <c r="B2850" s="600" t="str">
        <f t="shared" si="222"/>
        <v>USD</v>
      </c>
      <c r="C2850" s="600" t="str">
        <f t="shared" si="222"/>
        <v>USD OIS</v>
      </c>
      <c r="D2850" s="603"/>
      <c r="E2850" s="604"/>
      <c r="F2850" s="607" t="s">
        <v>24</v>
      </c>
      <c r="G2850" s="606">
        <v>-68.113548383123998</v>
      </c>
    </row>
    <row r="2851" spans="1:7" ht="11.1" customHeight="1">
      <c r="A2851" s="600" t="str">
        <f t="shared" si="220"/>
        <v>USD;USD OIS;1M</v>
      </c>
      <c r="B2851" s="600" t="str">
        <f t="shared" si="222"/>
        <v>USD</v>
      </c>
      <c r="C2851" s="600" t="str">
        <f t="shared" si="222"/>
        <v>USD OIS</v>
      </c>
      <c r="D2851" s="603"/>
      <c r="E2851" s="604"/>
      <c r="F2851" s="607" t="s">
        <v>7</v>
      </c>
      <c r="G2851" s="611">
        <v>11.927733960330601</v>
      </c>
    </row>
    <row r="2852" spans="1:7" ht="11.1" customHeight="1">
      <c r="A2852" s="600" t="str">
        <f t="shared" si="220"/>
        <v>USD;USD OIS;2M</v>
      </c>
      <c r="B2852" s="600" t="str">
        <f t="shared" si="222"/>
        <v>USD</v>
      </c>
      <c r="C2852" s="600" t="str">
        <f t="shared" si="222"/>
        <v>USD OIS</v>
      </c>
      <c r="D2852" s="603"/>
      <c r="E2852" s="604"/>
      <c r="F2852" s="607" t="s">
        <v>8</v>
      </c>
      <c r="G2852" s="611">
        <v>109.989141059196</v>
      </c>
    </row>
    <row r="2853" spans="1:7" ht="11.1" customHeight="1">
      <c r="A2853" s="600" t="str">
        <f t="shared" si="220"/>
        <v>USD;USD OIS;3M</v>
      </c>
      <c r="B2853" s="600" t="str">
        <f t="shared" ref="B2853:C2868" si="223">IF(ISBLANK(D2853),B2852,D2853)</f>
        <v>USD</v>
      </c>
      <c r="C2853" s="600" t="str">
        <f t="shared" si="223"/>
        <v>USD OIS</v>
      </c>
      <c r="D2853" s="603"/>
      <c r="E2853" s="604"/>
      <c r="F2853" s="607" t="s">
        <v>25</v>
      </c>
      <c r="G2853" s="606">
        <v>-50.711713177132999</v>
      </c>
    </row>
    <row r="2854" spans="1:7" ht="11.1" customHeight="1">
      <c r="A2854" s="600" t="str">
        <f t="shared" si="220"/>
        <v>USD;USD OIS;4M</v>
      </c>
      <c r="B2854" s="600" t="str">
        <f t="shared" si="223"/>
        <v>USD</v>
      </c>
      <c r="C2854" s="600" t="str">
        <f t="shared" si="223"/>
        <v>USD OIS</v>
      </c>
      <c r="D2854" s="603"/>
      <c r="E2854" s="604"/>
      <c r="F2854" s="607" t="s">
        <v>26</v>
      </c>
      <c r="G2854" s="611">
        <v>123.575204771858</v>
      </c>
    </row>
    <row r="2855" spans="1:7" ht="11.1" customHeight="1">
      <c r="A2855" s="600" t="str">
        <f t="shared" si="220"/>
        <v>USD;USD OIS;5M</v>
      </c>
      <c r="B2855" s="600" t="str">
        <f t="shared" si="223"/>
        <v>USD</v>
      </c>
      <c r="C2855" s="600" t="str">
        <f t="shared" si="223"/>
        <v>USD OIS</v>
      </c>
      <c r="D2855" s="603"/>
      <c r="E2855" s="604"/>
      <c r="F2855" s="607" t="s">
        <v>27</v>
      </c>
      <c r="G2855" s="606">
        <v>-178.31503681210501</v>
      </c>
    </row>
    <row r="2856" spans="1:7" ht="11.1" customHeight="1">
      <c r="A2856" s="600" t="str">
        <f t="shared" si="220"/>
        <v>USD;USD OIS;6M</v>
      </c>
      <c r="B2856" s="600" t="str">
        <f t="shared" si="223"/>
        <v>USD</v>
      </c>
      <c r="C2856" s="600" t="str">
        <f t="shared" si="223"/>
        <v>USD OIS</v>
      </c>
      <c r="D2856" s="603"/>
      <c r="E2856" s="604"/>
      <c r="F2856" s="607" t="s">
        <v>28</v>
      </c>
      <c r="G2856" s="611">
        <v>145.3971358073</v>
      </c>
    </row>
    <row r="2857" spans="1:7" ht="11.1" customHeight="1">
      <c r="A2857" s="600" t="str">
        <f t="shared" si="220"/>
        <v>USD;USD OIS;7M</v>
      </c>
      <c r="B2857" s="600" t="str">
        <f t="shared" si="223"/>
        <v>USD</v>
      </c>
      <c r="C2857" s="600" t="str">
        <f t="shared" si="223"/>
        <v>USD OIS</v>
      </c>
      <c r="D2857" s="603"/>
      <c r="E2857" s="604"/>
      <c r="F2857" s="607" t="s">
        <v>29</v>
      </c>
      <c r="G2857" s="611">
        <v>391.629618953528</v>
      </c>
    </row>
    <row r="2858" spans="1:7" ht="11.1" customHeight="1">
      <c r="A2858" s="600" t="str">
        <f t="shared" si="220"/>
        <v>USD;USD OIS;8M</v>
      </c>
      <c r="B2858" s="600" t="str">
        <f t="shared" si="223"/>
        <v>USD</v>
      </c>
      <c r="C2858" s="600" t="str">
        <f t="shared" si="223"/>
        <v>USD OIS</v>
      </c>
      <c r="D2858" s="603"/>
      <c r="E2858" s="604"/>
      <c r="F2858" s="607" t="s">
        <v>30</v>
      </c>
      <c r="G2858" s="606">
        <v>-268.06871089390802</v>
      </c>
    </row>
    <row r="2859" spans="1:7" ht="11.1" customHeight="1">
      <c r="A2859" s="600" t="str">
        <f t="shared" si="220"/>
        <v>USD;USD OIS;9M</v>
      </c>
      <c r="B2859" s="600" t="str">
        <f t="shared" si="223"/>
        <v>USD</v>
      </c>
      <c r="C2859" s="600" t="str">
        <f t="shared" si="223"/>
        <v>USD OIS</v>
      </c>
      <c r="D2859" s="603"/>
      <c r="E2859" s="604"/>
      <c r="F2859" s="607" t="s">
        <v>49</v>
      </c>
      <c r="G2859" s="606">
        <v>-632.18982752819397</v>
      </c>
    </row>
    <row r="2860" spans="1:7" ht="11.1" customHeight="1">
      <c r="A2860" s="600" t="str">
        <f t="shared" si="220"/>
        <v>USD;USD OIS;10M</v>
      </c>
      <c r="B2860" s="600" t="str">
        <f t="shared" si="223"/>
        <v>USD</v>
      </c>
      <c r="C2860" s="600" t="str">
        <f t="shared" si="223"/>
        <v>USD OIS</v>
      </c>
      <c r="D2860" s="603"/>
      <c r="E2860" s="604"/>
      <c r="F2860" s="607" t="s">
        <v>50</v>
      </c>
      <c r="G2860" s="611">
        <v>341.26432876459802</v>
      </c>
    </row>
    <row r="2861" spans="1:7" ht="11.1" customHeight="1">
      <c r="A2861" s="600" t="str">
        <f t="shared" si="220"/>
        <v>USD;USD OIS;11M</v>
      </c>
      <c r="B2861" s="600" t="str">
        <f t="shared" si="223"/>
        <v>USD</v>
      </c>
      <c r="C2861" s="600" t="str">
        <f t="shared" si="223"/>
        <v>USD OIS</v>
      </c>
      <c r="D2861" s="603"/>
      <c r="E2861" s="604"/>
      <c r="F2861" s="607" t="s">
        <v>51</v>
      </c>
      <c r="G2861" s="606">
        <v>-1136.46851569568</v>
      </c>
    </row>
    <row r="2862" spans="1:7" ht="11.1" customHeight="1">
      <c r="A2862" s="600" t="str">
        <f t="shared" si="220"/>
        <v>USD;USD OIS;1Y</v>
      </c>
      <c r="B2862" s="600" t="str">
        <f t="shared" si="223"/>
        <v>USD</v>
      </c>
      <c r="C2862" s="600" t="str">
        <f t="shared" si="223"/>
        <v>USD OIS</v>
      </c>
      <c r="D2862" s="603"/>
      <c r="E2862" s="604"/>
      <c r="F2862" s="607" t="s">
        <v>56</v>
      </c>
      <c r="G2862" s="606">
        <v>-299.72156066605999</v>
      </c>
    </row>
    <row r="2863" spans="1:7" ht="11.1" customHeight="1">
      <c r="A2863" s="600" t="str">
        <f t="shared" si="220"/>
        <v>USD;USD OIS;15M</v>
      </c>
      <c r="B2863" s="600" t="str">
        <f t="shared" si="223"/>
        <v>USD</v>
      </c>
      <c r="C2863" s="600" t="str">
        <f t="shared" si="223"/>
        <v>USD OIS</v>
      </c>
      <c r="D2863" s="603"/>
      <c r="E2863" s="604"/>
      <c r="F2863" s="607" t="s">
        <v>53</v>
      </c>
      <c r="G2863" s="606">
        <v>-482.74384557898998</v>
      </c>
    </row>
    <row r="2864" spans="1:7" ht="11.1" customHeight="1">
      <c r="A2864" s="600" t="str">
        <f t="shared" si="220"/>
        <v>USD;USD OIS;18M</v>
      </c>
      <c r="B2864" s="600" t="str">
        <f t="shared" si="223"/>
        <v>USD</v>
      </c>
      <c r="C2864" s="600" t="str">
        <f t="shared" si="223"/>
        <v>USD OIS</v>
      </c>
      <c r="D2864" s="603"/>
      <c r="E2864" s="604"/>
      <c r="F2864" s="607" t="s">
        <v>54</v>
      </c>
      <c r="G2864" s="606">
        <v>-9436.0234081921099</v>
      </c>
    </row>
    <row r="2865" spans="1:7" ht="11.1" customHeight="1">
      <c r="A2865" s="600" t="str">
        <f t="shared" si="220"/>
        <v>USD;USD OIS;21M</v>
      </c>
      <c r="B2865" s="600" t="str">
        <f t="shared" si="223"/>
        <v>USD</v>
      </c>
      <c r="C2865" s="600" t="str">
        <f t="shared" si="223"/>
        <v>USD OIS</v>
      </c>
      <c r="D2865" s="603"/>
      <c r="E2865" s="604"/>
      <c r="F2865" s="607" t="s">
        <v>55</v>
      </c>
      <c r="G2865" s="611">
        <v>19555.612306779502</v>
      </c>
    </row>
    <row r="2866" spans="1:7" ht="11.1" customHeight="1">
      <c r="A2866" s="600" t="str">
        <f t="shared" si="220"/>
        <v>USD;USD OIS;2Y</v>
      </c>
      <c r="B2866" s="600" t="str">
        <f t="shared" si="223"/>
        <v>USD</v>
      </c>
      <c r="C2866" s="600" t="str">
        <f t="shared" si="223"/>
        <v>USD OIS</v>
      </c>
      <c r="D2866" s="603"/>
      <c r="E2866" s="604"/>
      <c r="F2866" s="607" t="s">
        <v>9</v>
      </c>
      <c r="G2866" s="606">
        <v>-12740.105410923999</v>
      </c>
    </row>
    <row r="2867" spans="1:7" ht="11.1" customHeight="1">
      <c r="A2867" s="600" t="str">
        <f t="shared" si="220"/>
        <v>USD;USD OIS;3Y</v>
      </c>
      <c r="B2867" s="600" t="str">
        <f t="shared" si="223"/>
        <v>USD</v>
      </c>
      <c r="C2867" s="600" t="str">
        <f t="shared" si="223"/>
        <v>USD OIS</v>
      </c>
      <c r="D2867" s="603"/>
      <c r="E2867" s="604"/>
      <c r="F2867" s="607" t="s">
        <v>10</v>
      </c>
      <c r="G2867" s="606">
        <v>-1211.47200154542</v>
      </c>
    </row>
    <row r="2868" spans="1:7" ht="11.1" customHeight="1">
      <c r="A2868" s="600" t="str">
        <f t="shared" si="220"/>
        <v>USD;USD OIS;4Y</v>
      </c>
      <c r="B2868" s="600" t="str">
        <f t="shared" si="223"/>
        <v>USD</v>
      </c>
      <c r="C2868" s="600" t="str">
        <f t="shared" si="223"/>
        <v>USD OIS</v>
      </c>
      <c r="D2868" s="603"/>
      <c r="E2868" s="604"/>
      <c r="F2868" s="607" t="s">
        <v>11</v>
      </c>
      <c r="G2868" s="606">
        <v>-3865.4308346171501</v>
      </c>
    </row>
    <row r="2869" spans="1:7" ht="11.1" customHeight="1">
      <c r="A2869" s="600" t="str">
        <f t="shared" si="220"/>
        <v>USD;USD OIS;5Y</v>
      </c>
      <c r="B2869" s="600" t="str">
        <f t="shared" ref="B2869:C2884" si="224">IF(ISBLANK(D2869),B2868,D2869)</f>
        <v>USD</v>
      </c>
      <c r="C2869" s="600" t="str">
        <f t="shared" si="224"/>
        <v>USD OIS</v>
      </c>
      <c r="D2869" s="603"/>
      <c r="E2869" s="604"/>
      <c r="F2869" s="607" t="s">
        <v>12</v>
      </c>
      <c r="G2869" s="611">
        <v>2350.66744449014</v>
      </c>
    </row>
    <row r="2870" spans="1:7" ht="11.1" customHeight="1">
      <c r="A2870" s="600" t="str">
        <f t="shared" si="220"/>
        <v>USD;USD OIS;6Y</v>
      </c>
      <c r="B2870" s="600" t="str">
        <f t="shared" si="224"/>
        <v>USD</v>
      </c>
      <c r="C2870" s="600" t="str">
        <f t="shared" si="224"/>
        <v>USD OIS</v>
      </c>
      <c r="D2870" s="603"/>
      <c r="E2870" s="604"/>
      <c r="F2870" s="607" t="s">
        <v>13</v>
      </c>
      <c r="G2870" s="611">
        <v>4118.0524420775801</v>
      </c>
    </row>
    <row r="2871" spans="1:7" ht="11.1" customHeight="1">
      <c r="A2871" s="600" t="str">
        <f t="shared" si="220"/>
        <v>USD;USD OIS;7Y</v>
      </c>
      <c r="B2871" s="600" t="str">
        <f t="shared" si="224"/>
        <v>USD</v>
      </c>
      <c r="C2871" s="600" t="str">
        <f t="shared" si="224"/>
        <v>USD OIS</v>
      </c>
      <c r="D2871" s="603"/>
      <c r="E2871" s="604"/>
      <c r="F2871" s="607" t="s">
        <v>14</v>
      </c>
      <c r="G2871" s="611">
        <v>7343.22358685995</v>
      </c>
    </row>
    <row r="2872" spans="1:7" ht="11.1" customHeight="1">
      <c r="A2872" s="600" t="str">
        <f t="shared" si="220"/>
        <v>USD;USD OIS;8Y</v>
      </c>
      <c r="B2872" s="600" t="str">
        <f t="shared" si="224"/>
        <v>USD</v>
      </c>
      <c r="C2872" s="600" t="str">
        <f t="shared" si="224"/>
        <v>USD OIS</v>
      </c>
      <c r="D2872" s="603"/>
      <c r="E2872" s="604"/>
      <c r="F2872" s="607" t="s">
        <v>15</v>
      </c>
      <c r="G2872" s="611">
        <v>11767.6913297058</v>
      </c>
    </row>
    <row r="2873" spans="1:7" ht="11.1" customHeight="1">
      <c r="A2873" s="600" t="str">
        <f t="shared" si="220"/>
        <v>USD;USD OIS;9Y</v>
      </c>
      <c r="B2873" s="600" t="str">
        <f t="shared" si="224"/>
        <v>USD</v>
      </c>
      <c r="C2873" s="600" t="str">
        <f t="shared" si="224"/>
        <v>USD OIS</v>
      </c>
      <c r="D2873" s="603"/>
      <c r="E2873" s="604"/>
      <c r="F2873" s="607" t="s">
        <v>16</v>
      </c>
      <c r="G2873" s="606">
        <v>-7532.3023894763101</v>
      </c>
    </row>
    <row r="2874" spans="1:7" ht="11.1" customHeight="1">
      <c r="A2874" s="600" t="str">
        <f t="shared" si="220"/>
        <v>USD;USD OIS;10Y</v>
      </c>
      <c r="B2874" s="600" t="str">
        <f t="shared" si="224"/>
        <v>USD</v>
      </c>
      <c r="C2874" s="600" t="str">
        <f t="shared" si="224"/>
        <v>USD OIS</v>
      </c>
      <c r="D2874" s="603"/>
      <c r="E2874" s="604"/>
      <c r="F2874" s="607" t="s">
        <v>17</v>
      </c>
      <c r="G2874" s="611">
        <v>3260.5397438639902</v>
      </c>
    </row>
    <row r="2875" spans="1:7" ht="11.1" customHeight="1">
      <c r="A2875" s="600" t="str">
        <f t="shared" si="220"/>
        <v>USD;USD OIS;12Y</v>
      </c>
      <c r="B2875" s="600" t="str">
        <f t="shared" si="224"/>
        <v>USD</v>
      </c>
      <c r="C2875" s="600" t="str">
        <f t="shared" si="224"/>
        <v>USD OIS</v>
      </c>
      <c r="D2875" s="603"/>
      <c r="E2875" s="604"/>
      <c r="F2875" s="607" t="s">
        <v>18</v>
      </c>
      <c r="G2875" s="606">
        <v>-6879.8161667987797</v>
      </c>
    </row>
    <row r="2876" spans="1:7" ht="11.1" customHeight="1">
      <c r="A2876" s="600" t="str">
        <f t="shared" si="220"/>
        <v>USD;USD OIS;15Y</v>
      </c>
      <c r="B2876" s="600" t="str">
        <f t="shared" si="224"/>
        <v>USD</v>
      </c>
      <c r="C2876" s="600" t="str">
        <f t="shared" si="224"/>
        <v>USD OIS</v>
      </c>
      <c r="D2876" s="603"/>
      <c r="E2876" s="604"/>
      <c r="F2876" s="607" t="s">
        <v>19</v>
      </c>
      <c r="G2876" s="611">
        <v>29503.1255514119</v>
      </c>
    </row>
    <row r="2877" spans="1:7" ht="11.1" customHeight="1">
      <c r="A2877" s="600" t="str">
        <f t="shared" si="220"/>
        <v>USD;USD OIS;20Y</v>
      </c>
      <c r="B2877" s="600" t="str">
        <f t="shared" si="224"/>
        <v>USD</v>
      </c>
      <c r="C2877" s="600" t="str">
        <f t="shared" si="224"/>
        <v>USD OIS</v>
      </c>
      <c r="D2877" s="603"/>
      <c r="E2877" s="604"/>
      <c r="F2877" s="607" t="s">
        <v>20</v>
      </c>
      <c r="G2877" s="606">
        <v>-31547.523857256601</v>
      </c>
    </row>
    <row r="2878" spans="1:7" ht="11.1" customHeight="1">
      <c r="A2878" s="600" t="str">
        <f t="shared" si="220"/>
        <v>USD;USD OIS;25Y</v>
      </c>
      <c r="B2878" s="600" t="str">
        <f t="shared" si="224"/>
        <v>USD</v>
      </c>
      <c r="C2878" s="600" t="str">
        <f t="shared" si="224"/>
        <v>USD OIS</v>
      </c>
      <c r="D2878" s="603"/>
      <c r="E2878" s="604"/>
      <c r="F2878" s="607" t="s">
        <v>21</v>
      </c>
      <c r="G2878" s="611">
        <v>13086.473683550499</v>
      </c>
    </row>
    <row r="2879" spans="1:7" ht="11.1" customHeight="1">
      <c r="A2879" s="600" t="str">
        <f t="shared" si="220"/>
        <v>USD;USD OIS;30Y</v>
      </c>
      <c r="B2879" s="600" t="str">
        <f t="shared" si="224"/>
        <v>USD</v>
      </c>
      <c r="C2879" s="600" t="str">
        <f t="shared" si="224"/>
        <v>USD OIS</v>
      </c>
      <c r="D2879" s="603"/>
      <c r="E2879" s="604"/>
      <c r="F2879" s="607" t="s">
        <v>22</v>
      </c>
      <c r="G2879" s="611">
        <v>717.89143936861797</v>
      </c>
    </row>
    <row r="2880" spans="1:7" ht="11.1" customHeight="1">
      <c r="A2880" s="600" t="str">
        <f t="shared" si="220"/>
        <v>USD;USD OIS;40Y</v>
      </c>
      <c r="B2880" s="600" t="str">
        <f t="shared" si="224"/>
        <v>USD</v>
      </c>
      <c r="C2880" s="600" t="str">
        <f t="shared" si="224"/>
        <v>USD OIS</v>
      </c>
      <c r="D2880" s="603"/>
      <c r="E2880" s="604"/>
      <c r="F2880" s="607" t="s">
        <v>46</v>
      </c>
      <c r="G2880" s="611">
        <v>2.1523715145714801</v>
      </c>
    </row>
    <row r="2881" spans="1:7" ht="11.1" customHeight="1">
      <c r="A2881" s="600" t="str">
        <f t="shared" si="220"/>
        <v>USD;USD OIS;50Y</v>
      </c>
      <c r="B2881" s="600" t="str">
        <f t="shared" si="224"/>
        <v>USD</v>
      </c>
      <c r="C2881" s="600" t="str">
        <f t="shared" si="224"/>
        <v>USD OIS</v>
      </c>
      <c r="D2881" s="603"/>
      <c r="E2881" s="604"/>
      <c r="F2881" s="607" t="s">
        <v>47</v>
      </c>
      <c r="G2881" s="611">
        <v>2.7119986312733501E-2</v>
      </c>
    </row>
    <row r="2882" spans="1:7" ht="11.1" customHeight="1">
      <c r="A2882" s="600" t="str">
        <f t="shared" si="220"/>
        <v>USD;USD OIS;60Y</v>
      </c>
      <c r="B2882" s="600" t="str">
        <f t="shared" si="224"/>
        <v>USD</v>
      </c>
      <c r="C2882" s="600" t="str">
        <f t="shared" si="224"/>
        <v>USD OIS</v>
      </c>
      <c r="D2882" s="603"/>
      <c r="E2882" s="604"/>
      <c r="F2882" s="607" t="s">
        <v>48</v>
      </c>
      <c r="G2882" s="611">
        <v>3.1793433814539203E-4</v>
      </c>
    </row>
    <row r="2883" spans="1:7" ht="11.1" customHeight="1">
      <c r="A2883" s="600" t="str">
        <f t="shared" si="220"/>
        <v>ZAR;Total ZAR;</v>
      </c>
      <c r="B2883" s="600" t="str">
        <f t="shared" si="224"/>
        <v>ZAR</v>
      </c>
      <c r="C2883" s="600" t="str">
        <f t="shared" si="224"/>
        <v>Total ZAR</v>
      </c>
      <c r="D2883" s="603" t="s">
        <v>1346</v>
      </c>
      <c r="E2883" s="609" t="s">
        <v>1347</v>
      </c>
      <c r="F2883" s="609"/>
      <c r="G2883" s="610">
        <v>38001.141805103798</v>
      </c>
    </row>
    <row r="2884" spans="1:7" ht="11.1" customHeight="1">
      <c r="A2884" s="600" t="str">
        <f t="shared" si="220"/>
        <v>ZAR;ZAR :STD;Total ZAR :STD</v>
      </c>
      <c r="B2884" s="600" t="str">
        <f t="shared" si="224"/>
        <v>ZAR</v>
      </c>
      <c r="C2884" s="600" t="str">
        <f t="shared" si="224"/>
        <v>ZAR :STD</v>
      </c>
      <c r="D2884" s="603"/>
      <c r="E2884" s="604" t="s">
        <v>1348</v>
      </c>
      <c r="F2884" s="605" t="s">
        <v>1349</v>
      </c>
      <c r="G2884" s="606">
        <v>-10756.8614074451</v>
      </c>
    </row>
    <row r="2885" spans="1:7" ht="11.1" customHeight="1">
      <c r="A2885" s="600" t="str">
        <f t="shared" ref="A2885:A2948" si="225">B2885&amp;";"&amp;C2885&amp;";"&amp;F2885</f>
        <v>ZAR;ZAR :STD;1M</v>
      </c>
      <c r="B2885" s="600" t="str">
        <f t="shared" ref="B2885:C2900" si="226">IF(ISBLANK(D2885),B2884,D2885)</f>
        <v>ZAR</v>
      </c>
      <c r="C2885" s="600" t="str">
        <f t="shared" si="226"/>
        <v>ZAR :STD</v>
      </c>
      <c r="D2885" s="603"/>
      <c r="E2885" s="604"/>
      <c r="F2885" s="607" t="s">
        <v>7</v>
      </c>
      <c r="G2885" s="606">
        <v>-1259.36738948274</v>
      </c>
    </row>
    <row r="2886" spans="1:7" ht="11.1" customHeight="1">
      <c r="A2886" s="600" t="str">
        <f t="shared" si="225"/>
        <v>ZAR;ZAR :STD;3M</v>
      </c>
      <c r="B2886" s="600" t="str">
        <f t="shared" si="226"/>
        <v>ZAR</v>
      </c>
      <c r="C2886" s="600" t="str">
        <f t="shared" si="226"/>
        <v>ZAR :STD</v>
      </c>
      <c r="D2886" s="603"/>
      <c r="E2886" s="604"/>
      <c r="F2886" s="607" t="s">
        <v>25</v>
      </c>
      <c r="G2886" s="606">
        <v>-4601.0655443596097</v>
      </c>
    </row>
    <row r="2887" spans="1:7" ht="11.1" customHeight="1">
      <c r="A2887" s="600" t="str">
        <f t="shared" si="225"/>
        <v>ZAR;ZAR :STD;1M-4M</v>
      </c>
      <c r="B2887" s="600" t="str">
        <f t="shared" si="226"/>
        <v>ZAR</v>
      </c>
      <c r="C2887" s="600" t="str">
        <f t="shared" si="226"/>
        <v>ZAR :STD</v>
      </c>
      <c r="D2887" s="603"/>
      <c r="E2887" s="604"/>
      <c r="F2887" s="607" t="s">
        <v>1350</v>
      </c>
      <c r="G2887" s="611">
        <v>61.320187429068802</v>
      </c>
    </row>
    <row r="2888" spans="1:7" ht="11.1" customHeight="1">
      <c r="A2888" s="600" t="str">
        <f t="shared" si="225"/>
        <v>ZAR;ZAR :STD;2M-5M</v>
      </c>
      <c r="B2888" s="600" t="str">
        <f t="shared" si="226"/>
        <v>ZAR</v>
      </c>
      <c r="C2888" s="600" t="str">
        <f t="shared" si="226"/>
        <v>ZAR :STD</v>
      </c>
      <c r="D2888" s="603"/>
      <c r="E2888" s="604"/>
      <c r="F2888" s="607" t="s">
        <v>1351</v>
      </c>
      <c r="G2888" s="611">
        <v>318.09902551734001</v>
      </c>
    </row>
    <row r="2889" spans="1:7" ht="11.1" customHeight="1">
      <c r="A2889" s="600" t="str">
        <f t="shared" si="225"/>
        <v>ZAR;ZAR :STD;3M-6M</v>
      </c>
      <c r="B2889" s="600" t="str">
        <f t="shared" si="226"/>
        <v>ZAR</v>
      </c>
      <c r="C2889" s="600" t="str">
        <f t="shared" si="226"/>
        <v>ZAR :STD</v>
      </c>
      <c r="D2889" s="603"/>
      <c r="E2889" s="604"/>
      <c r="F2889" s="607" t="s">
        <v>1213</v>
      </c>
      <c r="G2889" s="606">
        <v>-4267.9608137094501</v>
      </c>
    </row>
    <row r="2890" spans="1:7" ht="11.1" customHeight="1">
      <c r="A2890" s="600" t="str">
        <f t="shared" si="225"/>
        <v>ZAR;ZAR :STD;4M-7M</v>
      </c>
      <c r="B2890" s="600" t="str">
        <f t="shared" si="226"/>
        <v>ZAR</v>
      </c>
      <c r="C2890" s="600" t="str">
        <f t="shared" si="226"/>
        <v>ZAR :STD</v>
      </c>
      <c r="D2890" s="603"/>
      <c r="E2890" s="604"/>
      <c r="F2890" s="607" t="s">
        <v>1352</v>
      </c>
      <c r="G2890" s="611">
        <v>181.763051751196</v>
      </c>
    </row>
    <row r="2891" spans="1:7" ht="11.1" customHeight="1">
      <c r="A2891" s="600" t="str">
        <f t="shared" si="225"/>
        <v>ZAR;ZAR :STD;5M-8M</v>
      </c>
      <c r="B2891" s="600" t="str">
        <f t="shared" si="226"/>
        <v>ZAR</v>
      </c>
      <c r="C2891" s="600" t="str">
        <f t="shared" si="226"/>
        <v>ZAR :STD</v>
      </c>
      <c r="D2891" s="603"/>
      <c r="E2891" s="604"/>
      <c r="F2891" s="607" t="s">
        <v>1353</v>
      </c>
      <c r="G2891" s="606">
        <v>-170.55422419082001</v>
      </c>
    </row>
    <row r="2892" spans="1:7" ht="11.1" customHeight="1">
      <c r="A2892" s="600" t="str">
        <f t="shared" si="225"/>
        <v>ZAR;ZAR :STD;6M-9M</v>
      </c>
      <c r="B2892" s="600" t="str">
        <f t="shared" si="226"/>
        <v>ZAR</v>
      </c>
      <c r="C2892" s="600" t="str">
        <f t="shared" si="226"/>
        <v>ZAR :STD</v>
      </c>
      <c r="D2892" s="603"/>
      <c r="E2892" s="604"/>
      <c r="F2892" s="607" t="s">
        <v>1214</v>
      </c>
      <c r="G2892" s="606">
        <v>-3568.41641601847</v>
      </c>
    </row>
    <row r="2893" spans="1:7" ht="11.1" customHeight="1">
      <c r="A2893" s="600" t="str">
        <f t="shared" si="225"/>
        <v>ZAR;ZAR :STD;7M-10M</v>
      </c>
      <c r="B2893" s="600" t="str">
        <f t="shared" si="226"/>
        <v>ZAR</v>
      </c>
      <c r="C2893" s="600" t="str">
        <f t="shared" si="226"/>
        <v>ZAR :STD</v>
      </c>
      <c r="D2893" s="603"/>
      <c r="E2893" s="604"/>
      <c r="F2893" s="607" t="s">
        <v>1354</v>
      </c>
      <c r="G2893" s="611">
        <v>106.749413295571</v>
      </c>
    </row>
    <row r="2894" spans="1:7" ht="11.1" customHeight="1">
      <c r="A2894" s="600" t="str">
        <f t="shared" si="225"/>
        <v>ZAR;ZAR :STD;8M-11M</v>
      </c>
      <c r="B2894" s="600" t="str">
        <f t="shared" si="226"/>
        <v>ZAR</v>
      </c>
      <c r="C2894" s="600" t="str">
        <f t="shared" si="226"/>
        <v>ZAR :STD</v>
      </c>
      <c r="D2894" s="603"/>
      <c r="E2894" s="604"/>
      <c r="F2894" s="607" t="s">
        <v>1355</v>
      </c>
      <c r="G2894" s="606">
        <v>-189.18459864209001</v>
      </c>
    </row>
    <row r="2895" spans="1:7" ht="11.1" customHeight="1">
      <c r="A2895" s="600" t="str">
        <f t="shared" si="225"/>
        <v>ZAR;ZAR :STD;9M-12M</v>
      </c>
      <c r="B2895" s="600" t="str">
        <f t="shared" si="226"/>
        <v>ZAR</v>
      </c>
      <c r="C2895" s="600" t="str">
        <f t="shared" si="226"/>
        <v>ZAR :STD</v>
      </c>
      <c r="D2895" s="603"/>
      <c r="E2895" s="604"/>
      <c r="F2895" s="607" t="s">
        <v>1215</v>
      </c>
      <c r="G2895" s="606">
        <v>-3847.4816312655098</v>
      </c>
    </row>
    <row r="2896" spans="1:7" ht="11.1" customHeight="1">
      <c r="A2896" s="600" t="str">
        <f t="shared" si="225"/>
        <v>ZAR;ZAR :STD;2Y</v>
      </c>
      <c r="B2896" s="600" t="str">
        <f t="shared" si="226"/>
        <v>ZAR</v>
      </c>
      <c r="C2896" s="600" t="str">
        <f t="shared" si="226"/>
        <v>ZAR :STD</v>
      </c>
      <c r="D2896" s="603"/>
      <c r="E2896" s="604"/>
      <c r="F2896" s="607" t="s">
        <v>9</v>
      </c>
      <c r="G2896" s="611">
        <v>6386.7576949878303</v>
      </c>
    </row>
    <row r="2897" spans="1:7" ht="11.1" customHeight="1">
      <c r="A2897" s="600" t="str">
        <f t="shared" si="225"/>
        <v>ZAR;ZAR :STD;3Y</v>
      </c>
      <c r="B2897" s="600" t="str">
        <f t="shared" si="226"/>
        <v>ZAR</v>
      </c>
      <c r="C2897" s="600" t="str">
        <f t="shared" si="226"/>
        <v>ZAR :STD</v>
      </c>
      <c r="D2897" s="603"/>
      <c r="E2897" s="604"/>
      <c r="F2897" s="607" t="s">
        <v>10</v>
      </c>
      <c r="G2897" s="611">
        <v>92.735256719848394</v>
      </c>
    </row>
    <row r="2898" spans="1:7" ht="11.1" customHeight="1">
      <c r="A2898" s="600" t="str">
        <f t="shared" si="225"/>
        <v>ZAR;ZAR :STD;4Y</v>
      </c>
      <c r="B2898" s="600" t="str">
        <f t="shared" si="226"/>
        <v>ZAR</v>
      </c>
      <c r="C2898" s="600" t="str">
        <f t="shared" si="226"/>
        <v>ZAR :STD</v>
      </c>
      <c r="D2898" s="603"/>
      <c r="E2898" s="604"/>
      <c r="F2898" s="607" t="s">
        <v>11</v>
      </c>
      <c r="G2898" s="606">
        <v>-0.25541947723809999</v>
      </c>
    </row>
    <row r="2899" spans="1:7" ht="11.1" customHeight="1">
      <c r="A2899" s="600" t="str">
        <f t="shared" si="225"/>
        <v>ZAR;ZAR :STD;5Y</v>
      </c>
      <c r="B2899" s="600" t="str">
        <f t="shared" si="226"/>
        <v>ZAR</v>
      </c>
      <c r="C2899" s="600" t="str">
        <f t="shared" si="226"/>
        <v>ZAR :STD</v>
      </c>
      <c r="D2899" s="603"/>
      <c r="E2899" s="604"/>
      <c r="F2899" s="607" t="s">
        <v>12</v>
      </c>
      <c r="G2899" s="608">
        <v>0</v>
      </c>
    </row>
    <row r="2900" spans="1:7" ht="11.1" customHeight="1">
      <c r="A2900" s="600" t="str">
        <f t="shared" si="225"/>
        <v>ZAR;ZAR :STD;6Y</v>
      </c>
      <c r="B2900" s="600" t="str">
        <f t="shared" si="226"/>
        <v>ZAR</v>
      </c>
      <c r="C2900" s="600" t="str">
        <f t="shared" si="226"/>
        <v>ZAR :STD</v>
      </c>
      <c r="D2900" s="603"/>
      <c r="E2900" s="604"/>
      <c r="F2900" s="607" t="s">
        <v>13</v>
      </c>
      <c r="G2900" s="608">
        <v>0</v>
      </c>
    </row>
    <row r="2901" spans="1:7" ht="11.1" customHeight="1">
      <c r="A2901" s="600" t="str">
        <f t="shared" si="225"/>
        <v>ZAR;ZAR :STD;7Y</v>
      </c>
      <c r="B2901" s="600" t="str">
        <f t="shared" ref="B2901:C2916" si="227">IF(ISBLANK(D2901),B2900,D2901)</f>
        <v>ZAR</v>
      </c>
      <c r="C2901" s="600" t="str">
        <f t="shared" si="227"/>
        <v>ZAR :STD</v>
      </c>
      <c r="D2901" s="603"/>
      <c r="E2901" s="604"/>
      <c r="F2901" s="607" t="s">
        <v>14</v>
      </c>
      <c r="G2901" s="608">
        <v>0</v>
      </c>
    </row>
    <row r="2902" spans="1:7" ht="11.1" customHeight="1">
      <c r="A2902" s="600" t="str">
        <f t="shared" si="225"/>
        <v>ZAR;ZAR :STD;8Y</v>
      </c>
      <c r="B2902" s="600" t="str">
        <f t="shared" si="227"/>
        <v>ZAR</v>
      </c>
      <c r="C2902" s="600" t="str">
        <f t="shared" si="227"/>
        <v>ZAR :STD</v>
      </c>
      <c r="D2902" s="603"/>
      <c r="E2902" s="604"/>
      <c r="F2902" s="607" t="s">
        <v>15</v>
      </c>
      <c r="G2902" s="608">
        <v>0</v>
      </c>
    </row>
    <row r="2903" spans="1:7" ht="11.1" customHeight="1">
      <c r="A2903" s="600" t="str">
        <f t="shared" si="225"/>
        <v>ZAR;ZAR :STD;9Y</v>
      </c>
      <c r="B2903" s="600" t="str">
        <f t="shared" si="227"/>
        <v>ZAR</v>
      </c>
      <c r="C2903" s="600" t="str">
        <f t="shared" si="227"/>
        <v>ZAR :STD</v>
      </c>
      <c r="D2903" s="603"/>
      <c r="E2903" s="604"/>
      <c r="F2903" s="607" t="s">
        <v>16</v>
      </c>
      <c r="G2903" s="608">
        <v>0</v>
      </c>
    </row>
    <row r="2904" spans="1:7" ht="11.1" customHeight="1">
      <c r="A2904" s="600" t="str">
        <f t="shared" si="225"/>
        <v>ZAR;ZAR :STD;10Y</v>
      </c>
      <c r="B2904" s="600" t="str">
        <f t="shared" si="227"/>
        <v>ZAR</v>
      </c>
      <c r="C2904" s="600" t="str">
        <f t="shared" si="227"/>
        <v>ZAR :STD</v>
      </c>
      <c r="D2904" s="603"/>
      <c r="E2904" s="604"/>
      <c r="F2904" s="607" t="s">
        <v>17</v>
      </c>
      <c r="G2904" s="608">
        <v>0</v>
      </c>
    </row>
    <row r="2905" spans="1:7" ht="11.1" customHeight="1">
      <c r="A2905" s="600" t="str">
        <f t="shared" si="225"/>
        <v>ZAR;ZAR :STD;12Y</v>
      </c>
      <c r="B2905" s="600" t="str">
        <f t="shared" si="227"/>
        <v>ZAR</v>
      </c>
      <c r="C2905" s="600" t="str">
        <f t="shared" si="227"/>
        <v>ZAR :STD</v>
      </c>
      <c r="D2905" s="603"/>
      <c r="E2905" s="604"/>
      <c r="F2905" s="607" t="s">
        <v>18</v>
      </c>
      <c r="G2905" s="608">
        <v>0</v>
      </c>
    </row>
    <row r="2906" spans="1:7" ht="11.1" customHeight="1">
      <c r="A2906" s="600" t="str">
        <f t="shared" si="225"/>
        <v>ZAR;ZAR :STD;15Y</v>
      </c>
      <c r="B2906" s="600" t="str">
        <f t="shared" si="227"/>
        <v>ZAR</v>
      </c>
      <c r="C2906" s="600" t="str">
        <f t="shared" si="227"/>
        <v>ZAR :STD</v>
      </c>
      <c r="D2906" s="603"/>
      <c r="E2906" s="604"/>
      <c r="F2906" s="607" t="s">
        <v>19</v>
      </c>
      <c r="G2906" s="608">
        <v>0</v>
      </c>
    </row>
    <row r="2907" spans="1:7" ht="11.1" customHeight="1">
      <c r="A2907" s="600" t="str">
        <f t="shared" si="225"/>
        <v>ZAR;ZAR :STD;20Y</v>
      </c>
      <c r="B2907" s="600" t="str">
        <f t="shared" si="227"/>
        <v>ZAR</v>
      </c>
      <c r="C2907" s="600" t="str">
        <f t="shared" si="227"/>
        <v>ZAR :STD</v>
      </c>
      <c r="D2907" s="603"/>
      <c r="E2907" s="604"/>
      <c r="F2907" s="607" t="s">
        <v>20</v>
      </c>
      <c r="G2907" s="608">
        <v>0</v>
      </c>
    </row>
    <row r="2908" spans="1:7" ht="11.1" customHeight="1">
      <c r="A2908" s="600" t="str">
        <f t="shared" si="225"/>
        <v>ZAR;ZAR :STD;25Y</v>
      </c>
      <c r="B2908" s="600" t="str">
        <f t="shared" si="227"/>
        <v>ZAR</v>
      </c>
      <c r="C2908" s="600" t="str">
        <f t="shared" si="227"/>
        <v>ZAR :STD</v>
      </c>
      <c r="D2908" s="603"/>
      <c r="E2908" s="604"/>
      <c r="F2908" s="607" t="s">
        <v>21</v>
      </c>
      <c r="G2908" s="608">
        <v>0</v>
      </c>
    </row>
    <row r="2909" spans="1:7" ht="11.1" customHeight="1">
      <c r="A2909" s="600" t="str">
        <f t="shared" si="225"/>
        <v>ZAR;ZAR :STD;30Y</v>
      </c>
      <c r="B2909" s="600" t="str">
        <f t="shared" si="227"/>
        <v>ZAR</v>
      </c>
      <c r="C2909" s="600" t="str">
        <f t="shared" si="227"/>
        <v>ZAR :STD</v>
      </c>
      <c r="D2909" s="603"/>
      <c r="E2909" s="604"/>
      <c r="F2909" s="607" t="s">
        <v>22</v>
      </c>
      <c r="G2909" s="608">
        <v>0</v>
      </c>
    </row>
    <row r="2910" spans="1:7" ht="11.1" customHeight="1">
      <c r="A2910" s="600" t="str">
        <f t="shared" si="225"/>
        <v>ZAR;ZAR FOREX;Total ZAR FOREX</v>
      </c>
      <c r="B2910" s="600" t="str">
        <f t="shared" si="227"/>
        <v>ZAR</v>
      </c>
      <c r="C2910" s="600" t="str">
        <f t="shared" si="227"/>
        <v>ZAR FOREX</v>
      </c>
      <c r="D2910" s="603"/>
      <c r="E2910" s="604" t="s">
        <v>1356</v>
      </c>
      <c r="F2910" s="605" t="s">
        <v>1357</v>
      </c>
      <c r="G2910" s="611">
        <v>48758.003212548902</v>
      </c>
    </row>
    <row r="2911" spans="1:7" ht="11.1" customHeight="1">
      <c r="A2911" s="600" t="str">
        <f t="shared" si="225"/>
        <v>ZAR;ZAR FOREX;O/N</v>
      </c>
      <c r="B2911" s="600" t="str">
        <f t="shared" si="227"/>
        <v>ZAR</v>
      </c>
      <c r="C2911" s="600" t="str">
        <f t="shared" si="227"/>
        <v>ZAR FOREX</v>
      </c>
      <c r="D2911" s="603"/>
      <c r="E2911" s="604"/>
      <c r="F2911" s="607" t="s">
        <v>3</v>
      </c>
      <c r="G2911" s="611">
        <v>1.8257147711886801</v>
      </c>
    </row>
    <row r="2912" spans="1:7" ht="11.1" customHeight="1">
      <c r="A2912" s="600" t="str">
        <f t="shared" si="225"/>
        <v>ZAR;ZAR FOREX;1W</v>
      </c>
      <c r="B2912" s="600" t="str">
        <f t="shared" si="227"/>
        <v>ZAR</v>
      </c>
      <c r="C2912" s="600" t="str">
        <f t="shared" si="227"/>
        <v>ZAR FOREX</v>
      </c>
      <c r="D2912" s="603"/>
      <c r="E2912" s="604"/>
      <c r="F2912" s="607" t="s">
        <v>5</v>
      </c>
      <c r="G2912" s="611">
        <v>0.60800838042866201</v>
      </c>
    </row>
    <row r="2913" spans="1:7" ht="11.1" customHeight="1">
      <c r="A2913" s="600" t="str">
        <f t="shared" si="225"/>
        <v>ZAR;ZAR FOREX;2W</v>
      </c>
      <c r="B2913" s="600" t="str">
        <f t="shared" si="227"/>
        <v>ZAR</v>
      </c>
      <c r="C2913" s="600" t="str">
        <f t="shared" si="227"/>
        <v>ZAR FOREX</v>
      </c>
      <c r="D2913" s="603"/>
      <c r="E2913" s="604"/>
      <c r="F2913" s="607" t="s">
        <v>6</v>
      </c>
      <c r="G2913" s="608">
        <v>0</v>
      </c>
    </row>
    <row r="2914" spans="1:7" ht="11.1" customHeight="1">
      <c r="A2914" s="600" t="str">
        <f t="shared" si="225"/>
        <v>ZAR;ZAR FOREX;3W</v>
      </c>
      <c r="B2914" s="600" t="str">
        <f t="shared" si="227"/>
        <v>ZAR</v>
      </c>
      <c r="C2914" s="600" t="str">
        <f t="shared" si="227"/>
        <v>ZAR FOREX</v>
      </c>
      <c r="D2914" s="603"/>
      <c r="E2914" s="604"/>
      <c r="F2914" s="607" t="s">
        <v>24</v>
      </c>
      <c r="G2914" s="608">
        <v>0</v>
      </c>
    </row>
    <row r="2915" spans="1:7" ht="11.1" customHeight="1">
      <c r="A2915" s="600" t="str">
        <f t="shared" si="225"/>
        <v>ZAR;ZAR FOREX;1M</v>
      </c>
      <c r="B2915" s="600" t="str">
        <f t="shared" si="227"/>
        <v>ZAR</v>
      </c>
      <c r="C2915" s="600" t="str">
        <f t="shared" si="227"/>
        <v>ZAR FOREX</v>
      </c>
      <c r="D2915" s="603"/>
      <c r="E2915" s="604"/>
      <c r="F2915" s="607" t="s">
        <v>7</v>
      </c>
      <c r="G2915" s="608">
        <v>0</v>
      </c>
    </row>
    <row r="2916" spans="1:7" ht="11.1" customHeight="1">
      <c r="A2916" s="600" t="str">
        <f t="shared" si="225"/>
        <v>ZAR;ZAR FOREX;2M</v>
      </c>
      <c r="B2916" s="600" t="str">
        <f t="shared" si="227"/>
        <v>ZAR</v>
      </c>
      <c r="C2916" s="600" t="str">
        <f t="shared" si="227"/>
        <v>ZAR FOREX</v>
      </c>
      <c r="D2916" s="603"/>
      <c r="E2916" s="604"/>
      <c r="F2916" s="607" t="s">
        <v>8</v>
      </c>
      <c r="G2916" s="608">
        <v>0</v>
      </c>
    </row>
    <row r="2917" spans="1:7" ht="11.1" customHeight="1">
      <c r="A2917" s="600" t="str">
        <f t="shared" si="225"/>
        <v>ZAR;ZAR FOREX;3M</v>
      </c>
      <c r="B2917" s="600" t="str">
        <f t="shared" ref="B2917:C2932" si="228">IF(ISBLANK(D2917),B2916,D2917)</f>
        <v>ZAR</v>
      </c>
      <c r="C2917" s="600" t="str">
        <f t="shared" si="228"/>
        <v>ZAR FOREX</v>
      </c>
      <c r="D2917" s="603"/>
      <c r="E2917" s="604"/>
      <c r="F2917" s="607" t="s">
        <v>25</v>
      </c>
      <c r="G2917" s="606">
        <v>-125.338587823377</v>
      </c>
    </row>
    <row r="2918" spans="1:7" ht="11.1" customHeight="1">
      <c r="A2918" s="600" t="str">
        <f t="shared" si="225"/>
        <v>ZAR;ZAR FOREX;4M</v>
      </c>
      <c r="B2918" s="600" t="str">
        <f t="shared" si="228"/>
        <v>ZAR</v>
      </c>
      <c r="C2918" s="600" t="str">
        <f t="shared" si="228"/>
        <v>ZAR FOREX</v>
      </c>
      <c r="D2918" s="603"/>
      <c r="E2918" s="604"/>
      <c r="F2918" s="607" t="s">
        <v>26</v>
      </c>
      <c r="G2918" s="608">
        <v>0</v>
      </c>
    </row>
    <row r="2919" spans="1:7" ht="11.1" customHeight="1">
      <c r="A2919" s="600" t="str">
        <f t="shared" si="225"/>
        <v>ZAR;ZAR FOREX;5M</v>
      </c>
      <c r="B2919" s="600" t="str">
        <f t="shared" si="228"/>
        <v>ZAR</v>
      </c>
      <c r="C2919" s="600" t="str">
        <f t="shared" si="228"/>
        <v>ZAR FOREX</v>
      </c>
      <c r="D2919" s="603"/>
      <c r="E2919" s="604"/>
      <c r="F2919" s="607" t="s">
        <v>27</v>
      </c>
      <c r="G2919" s="608">
        <v>0</v>
      </c>
    </row>
    <row r="2920" spans="1:7" ht="11.1" customHeight="1">
      <c r="A2920" s="600" t="str">
        <f t="shared" si="225"/>
        <v>ZAR;ZAR FOREX;6M</v>
      </c>
      <c r="B2920" s="600" t="str">
        <f t="shared" si="228"/>
        <v>ZAR</v>
      </c>
      <c r="C2920" s="600" t="str">
        <f t="shared" si="228"/>
        <v>ZAR FOREX</v>
      </c>
      <c r="D2920" s="603"/>
      <c r="E2920" s="604"/>
      <c r="F2920" s="607" t="s">
        <v>28</v>
      </c>
      <c r="G2920" s="606">
        <v>-366.78378336582</v>
      </c>
    </row>
    <row r="2921" spans="1:7" ht="11.1" customHeight="1">
      <c r="A2921" s="600" t="str">
        <f t="shared" si="225"/>
        <v>ZAR;ZAR FOREX;7M</v>
      </c>
      <c r="B2921" s="600" t="str">
        <f t="shared" si="228"/>
        <v>ZAR</v>
      </c>
      <c r="C2921" s="600" t="str">
        <f t="shared" si="228"/>
        <v>ZAR FOREX</v>
      </c>
      <c r="D2921" s="603"/>
      <c r="E2921" s="604"/>
      <c r="F2921" s="607" t="s">
        <v>29</v>
      </c>
      <c r="G2921" s="608">
        <v>0</v>
      </c>
    </row>
    <row r="2922" spans="1:7" ht="11.1" customHeight="1">
      <c r="A2922" s="600" t="str">
        <f t="shared" si="225"/>
        <v>ZAR;ZAR FOREX;8M</v>
      </c>
      <c r="B2922" s="600" t="str">
        <f t="shared" si="228"/>
        <v>ZAR</v>
      </c>
      <c r="C2922" s="600" t="str">
        <f t="shared" si="228"/>
        <v>ZAR FOREX</v>
      </c>
      <c r="D2922" s="603"/>
      <c r="E2922" s="604"/>
      <c r="F2922" s="607" t="s">
        <v>30</v>
      </c>
      <c r="G2922" s="608">
        <v>0</v>
      </c>
    </row>
    <row r="2923" spans="1:7" ht="11.1" customHeight="1">
      <c r="A2923" s="600" t="str">
        <f t="shared" si="225"/>
        <v>ZAR;ZAR FOREX;9M</v>
      </c>
      <c r="B2923" s="600" t="str">
        <f t="shared" si="228"/>
        <v>ZAR</v>
      </c>
      <c r="C2923" s="600" t="str">
        <f t="shared" si="228"/>
        <v>ZAR FOREX</v>
      </c>
      <c r="D2923" s="603"/>
      <c r="E2923" s="604"/>
      <c r="F2923" s="607" t="s">
        <v>49</v>
      </c>
      <c r="G2923" s="608">
        <v>0</v>
      </c>
    </row>
    <row r="2924" spans="1:7" ht="11.1" customHeight="1">
      <c r="A2924" s="600" t="str">
        <f t="shared" si="225"/>
        <v>ZAR;ZAR FOREX;10M</v>
      </c>
      <c r="B2924" s="600" t="str">
        <f t="shared" si="228"/>
        <v>ZAR</v>
      </c>
      <c r="C2924" s="600" t="str">
        <f t="shared" si="228"/>
        <v>ZAR FOREX</v>
      </c>
      <c r="D2924" s="603"/>
      <c r="E2924" s="604"/>
      <c r="F2924" s="607" t="s">
        <v>50</v>
      </c>
      <c r="G2924" s="608">
        <v>0</v>
      </c>
    </row>
    <row r="2925" spans="1:7" ht="11.1" customHeight="1">
      <c r="A2925" s="600" t="str">
        <f t="shared" si="225"/>
        <v>ZAR;ZAR FOREX;11M</v>
      </c>
      <c r="B2925" s="600" t="str">
        <f t="shared" si="228"/>
        <v>ZAR</v>
      </c>
      <c r="C2925" s="600" t="str">
        <f t="shared" si="228"/>
        <v>ZAR FOREX</v>
      </c>
      <c r="D2925" s="603"/>
      <c r="E2925" s="604"/>
      <c r="F2925" s="607" t="s">
        <v>51</v>
      </c>
      <c r="G2925" s="608">
        <v>0</v>
      </c>
    </row>
    <row r="2926" spans="1:7" ht="11.1" customHeight="1">
      <c r="A2926" s="600" t="str">
        <f t="shared" si="225"/>
        <v>ZAR;ZAR FOREX;12M</v>
      </c>
      <c r="B2926" s="600" t="str">
        <f t="shared" si="228"/>
        <v>ZAR</v>
      </c>
      <c r="C2926" s="600" t="str">
        <f t="shared" si="228"/>
        <v>ZAR FOREX</v>
      </c>
      <c r="D2926" s="603"/>
      <c r="E2926" s="604"/>
      <c r="F2926" s="607" t="s">
        <v>52</v>
      </c>
      <c r="G2926" s="608">
        <v>0</v>
      </c>
    </row>
    <row r="2927" spans="1:7" ht="11.1" customHeight="1">
      <c r="A2927" s="600" t="str">
        <f t="shared" si="225"/>
        <v>ZAR;ZAR FOREX;15M</v>
      </c>
      <c r="B2927" s="600" t="str">
        <f t="shared" si="228"/>
        <v>ZAR</v>
      </c>
      <c r="C2927" s="600" t="str">
        <f t="shared" si="228"/>
        <v>ZAR FOREX</v>
      </c>
      <c r="D2927" s="603"/>
      <c r="E2927" s="604"/>
      <c r="F2927" s="607" t="s">
        <v>53</v>
      </c>
      <c r="G2927" s="611">
        <v>25127.6471878804</v>
      </c>
    </row>
    <row r="2928" spans="1:7" ht="11.1" customHeight="1">
      <c r="A2928" s="600" t="str">
        <f t="shared" si="225"/>
        <v>ZAR;ZAR FOREX;18M</v>
      </c>
      <c r="B2928" s="600" t="str">
        <f t="shared" si="228"/>
        <v>ZAR</v>
      </c>
      <c r="C2928" s="600" t="str">
        <f t="shared" si="228"/>
        <v>ZAR FOREX</v>
      </c>
      <c r="D2928" s="603"/>
      <c r="E2928" s="604"/>
      <c r="F2928" s="607" t="s">
        <v>54</v>
      </c>
      <c r="G2928" s="611">
        <v>24120.044672706001</v>
      </c>
    </row>
    <row r="2929" spans="1:7" ht="11.1" customHeight="1">
      <c r="A2929" s="600" t="str">
        <f t="shared" si="225"/>
        <v>ZAR;ZAR FOREX;24M</v>
      </c>
      <c r="B2929" s="600" t="str">
        <f t="shared" si="228"/>
        <v>ZAR</v>
      </c>
      <c r="C2929" s="600" t="str">
        <f t="shared" si="228"/>
        <v>ZAR FOREX</v>
      </c>
      <c r="D2929" s="603"/>
      <c r="E2929" s="604"/>
      <c r="F2929" s="607" t="s">
        <v>659</v>
      </c>
      <c r="G2929" s="608">
        <v>0</v>
      </c>
    </row>
    <row r="2930" spans="1:7" ht="11.1" customHeight="1">
      <c r="A2930" s="600" t="str">
        <f t="shared" si="225"/>
        <v>ZAR;ZAR FOREX;3Y</v>
      </c>
      <c r="B2930" s="600" t="str">
        <f t="shared" si="228"/>
        <v>ZAR</v>
      </c>
      <c r="C2930" s="600" t="str">
        <f t="shared" si="228"/>
        <v>ZAR FOREX</v>
      </c>
      <c r="D2930" s="603"/>
      <c r="E2930" s="604"/>
      <c r="F2930" s="607" t="s">
        <v>10</v>
      </c>
      <c r="G2930" s="608">
        <v>0</v>
      </c>
    </row>
    <row r="2931" spans="1:7" ht="11.1" customHeight="1">
      <c r="A2931" s="600" t="str">
        <f t="shared" si="225"/>
        <v>ZAR;ZAR FOREX;4Y</v>
      </c>
      <c r="B2931" s="600" t="str">
        <f t="shared" si="228"/>
        <v>ZAR</v>
      </c>
      <c r="C2931" s="600" t="str">
        <f t="shared" si="228"/>
        <v>ZAR FOREX</v>
      </c>
      <c r="D2931" s="603"/>
      <c r="E2931" s="604"/>
      <c r="F2931" s="607" t="s">
        <v>11</v>
      </c>
      <c r="G2931" s="608">
        <v>0</v>
      </c>
    </row>
    <row r="2932" spans="1:7" ht="11.1" customHeight="1">
      <c r="A2932" s="600" t="str">
        <f t="shared" si="225"/>
        <v>ZAR;ZAR FOREX;5Y</v>
      </c>
      <c r="B2932" s="600" t="str">
        <f t="shared" si="228"/>
        <v>ZAR</v>
      </c>
      <c r="C2932" s="600" t="str">
        <f t="shared" si="228"/>
        <v>ZAR FOREX</v>
      </c>
      <c r="D2932" s="603"/>
      <c r="E2932" s="604"/>
      <c r="F2932" s="607" t="s">
        <v>12</v>
      </c>
      <c r="G2932" s="608">
        <v>0</v>
      </c>
    </row>
    <row r="2933" spans="1:7" ht="11.1" customHeight="1">
      <c r="A2933" s="600" t="str">
        <f t="shared" si="225"/>
        <v>ZAR;ZAR FOREX;6Y</v>
      </c>
      <c r="B2933" s="600" t="str">
        <f t="shared" ref="B2933:C2948" si="229">IF(ISBLANK(D2933),B2932,D2933)</f>
        <v>ZAR</v>
      </c>
      <c r="C2933" s="600" t="str">
        <f t="shared" si="229"/>
        <v>ZAR FOREX</v>
      </c>
      <c r="D2933" s="603"/>
      <c r="E2933" s="604"/>
      <c r="F2933" s="607" t="s">
        <v>13</v>
      </c>
      <c r="G2933" s="608">
        <v>0</v>
      </c>
    </row>
    <row r="2934" spans="1:7" ht="11.1" customHeight="1">
      <c r="A2934" s="600" t="str">
        <f t="shared" si="225"/>
        <v>ZAR;ZAR FOREX;7Y</v>
      </c>
      <c r="B2934" s="600" t="str">
        <f t="shared" si="229"/>
        <v>ZAR</v>
      </c>
      <c r="C2934" s="600" t="str">
        <f t="shared" si="229"/>
        <v>ZAR FOREX</v>
      </c>
      <c r="D2934" s="603"/>
      <c r="E2934" s="604"/>
      <c r="F2934" s="607" t="s">
        <v>14</v>
      </c>
      <c r="G2934" s="608">
        <v>0</v>
      </c>
    </row>
    <row r="2935" spans="1:7" ht="11.1" customHeight="1">
      <c r="A2935" s="600" t="str">
        <f t="shared" si="225"/>
        <v>ZAR;ZAR FOREX;8Y</v>
      </c>
      <c r="B2935" s="600" t="str">
        <f t="shared" si="229"/>
        <v>ZAR</v>
      </c>
      <c r="C2935" s="600" t="str">
        <f t="shared" si="229"/>
        <v>ZAR FOREX</v>
      </c>
      <c r="D2935" s="603"/>
      <c r="E2935" s="604"/>
      <c r="F2935" s="607" t="s">
        <v>15</v>
      </c>
      <c r="G2935" s="608">
        <v>0</v>
      </c>
    </row>
    <row r="2936" spans="1:7" ht="11.1" customHeight="1">
      <c r="A2936" s="600" t="str">
        <f t="shared" si="225"/>
        <v>ZAR;ZAR FOREX;9Y</v>
      </c>
      <c r="B2936" s="600" t="str">
        <f t="shared" si="229"/>
        <v>ZAR</v>
      </c>
      <c r="C2936" s="600" t="str">
        <f t="shared" si="229"/>
        <v>ZAR FOREX</v>
      </c>
      <c r="D2936" s="603"/>
      <c r="E2936" s="604"/>
      <c r="F2936" s="607" t="s">
        <v>16</v>
      </c>
      <c r="G2936" s="608">
        <v>0</v>
      </c>
    </row>
    <row r="2937" spans="1:7" ht="11.1" customHeight="1">
      <c r="A2937" s="600" t="str">
        <f t="shared" si="225"/>
        <v>ZAR;ZAR FOREX;10Y</v>
      </c>
      <c r="B2937" s="600" t="str">
        <f t="shared" si="229"/>
        <v>ZAR</v>
      </c>
      <c r="C2937" s="600" t="str">
        <f t="shared" si="229"/>
        <v>ZAR FOREX</v>
      </c>
      <c r="D2937" s="603"/>
      <c r="E2937" s="604"/>
      <c r="F2937" s="607" t="s">
        <v>17</v>
      </c>
      <c r="G2937" s="608">
        <v>0</v>
      </c>
    </row>
    <row r="2938" spans="1:7" ht="11.1" customHeight="1">
      <c r="A2938" s="600" t="str">
        <f t="shared" si="225"/>
        <v>ZAR;ZAR FOREX;11Y</v>
      </c>
      <c r="B2938" s="600" t="str">
        <f t="shared" si="229"/>
        <v>ZAR</v>
      </c>
      <c r="C2938" s="600" t="str">
        <f t="shared" si="229"/>
        <v>ZAR FOREX</v>
      </c>
      <c r="D2938" s="603"/>
      <c r="E2938" s="604"/>
      <c r="F2938" s="607" t="s">
        <v>31</v>
      </c>
      <c r="G2938" s="608">
        <v>0</v>
      </c>
    </row>
    <row r="2939" spans="1:7" ht="11.1" customHeight="1">
      <c r="A2939" s="600" t="str">
        <f t="shared" si="225"/>
        <v>ZAR;ZAR FOREX;12Y</v>
      </c>
      <c r="B2939" s="600" t="str">
        <f t="shared" si="229"/>
        <v>ZAR</v>
      </c>
      <c r="C2939" s="600" t="str">
        <f t="shared" si="229"/>
        <v>ZAR FOREX</v>
      </c>
      <c r="D2939" s="603"/>
      <c r="E2939" s="604"/>
      <c r="F2939" s="607" t="s">
        <v>18</v>
      </c>
      <c r="G2939" s="608">
        <v>0</v>
      </c>
    </row>
    <row r="2940" spans="1:7" ht="11.1" customHeight="1">
      <c r="A2940" s="600" t="str">
        <f t="shared" si="225"/>
        <v>ZAR;ZAR FOREX;13Y</v>
      </c>
      <c r="B2940" s="600" t="str">
        <f t="shared" si="229"/>
        <v>ZAR</v>
      </c>
      <c r="C2940" s="600" t="str">
        <f t="shared" si="229"/>
        <v>ZAR FOREX</v>
      </c>
      <c r="D2940" s="603"/>
      <c r="E2940" s="604"/>
      <c r="F2940" s="607" t="s">
        <v>32</v>
      </c>
      <c r="G2940" s="608">
        <v>0</v>
      </c>
    </row>
    <row r="2941" spans="1:7" ht="11.1" customHeight="1">
      <c r="A2941" s="600" t="str">
        <f t="shared" si="225"/>
        <v>ZAR;ZAR FOREX;14Y</v>
      </c>
      <c r="B2941" s="600" t="str">
        <f t="shared" si="229"/>
        <v>ZAR</v>
      </c>
      <c r="C2941" s="600" t="str">
        <f t="shared" si="229"/>
        <v>ZAR FOREX</v>
      </c>
      <c r="D2941" s="603"/>
      <c r="E2941" s="604"/>
      <c r="F2941" s="607" t="s">
        <v>33</v>
      </c>
      <c r="G2941" s="608">
        <v>0</v>
      </c>
    </row>
    <row r="2942" spans="1:7" ht="11.1" customHeight="1">
      <c r="A2942" s="600" t="str">
        <f t="shared" si="225"/>
        <v>ZAR;ZAR FOREX;15Y</v>
      </c>
      <c r="B2942" s="600" t="str">
        <f t="shared" si="229"/>
        <v>ZAR</v>
      </c>
      <c r="C2942" s="600" t="str">
        <f t="shared" si="229"/>
        <v>ZAR FOREX</v>
      </c>
      <c r="D2942" s="603"/>
      <c r="E2942" s="604"/>
      <c r="F2942" s="607" t="s">
        <v>19</v>
      </c>
      <c r="G2942" s="608">
        <v>0</v>
      </c>
    </row>
    <row r="2943" spans="1:7" ht="11.1" customHeight="1">
      <c r="A2943" s="600" t="str">
        <f t="shared" si="225"/>
        <v>ZAR;ZAR FOREX;16Y</v>
      </c>
      <c r="B2943" s="600" t="str">
        <f t="shared" si="229"/>
        <v>ZAR</v>
      </c>
      <c r="C2943" s="600" t="str">
        <f t="shared" si="229"/>
        <v>ZAR FOREX</v>
      </c>
      <c r="D2943" s="603"/>
      <c r="E2943" s="604"/>
      <c r="F2943" s="607" t="s">
        <v>34</v>
      </c>
      <c r="G2943" s="608">
        <v>0</v>
      </c>
    </row>
    <row r="2944" spans="1:7" ht="11.1" customHeight="1">
      <c r="A2944" s="600" t="str">
        <f t="shared" si="225"/>
        <v>ZAR;ZAR FOREX;17Y</v>
      </c>
      <c r="B2944" s="600" t="str">
        <f t="shared" si="229"/>
        <v>ZAR</v>
      </c>
      <c r="C2944" s="600" t="str">
        <f t="shared" si="229"/>
        <v>ZAR FOREX</v>
      </c>
      <c r="D2944" s="603"/>
      <c r="E2944" s="604"/>
      <c r="F2944" s="607" t="s">
        <v>35</v>
      </c>
      <c r="G2944" s="608">
        <v>0</v>
      </c>
    </row>
    <row r="2945" spans="1:7" ht="11.1" customHeight="1">
      <c r="A2945" s="600" t="str">
        <f t="shared" si="225"/>
        <v>ZAR;ZAR FOREX;18Y</v>
      </c>
      <c r="B2945" s="600" t="str">
        <f t="shared" si="229"/>
        <v>ZAR</v>
      </c>
      <c r="C2945" s="600" t="str">
        <f t="shared" si="229"/>
        <v>ZAR FOREX</v>
      </c>
      <c r="D2945" s="603"/>
      <c r="E2945" s="604"/>
      <c r="F2945" s="607" t="s">
        <v>36</v>
      </c>
      <c r="G2945" s="608">
        <v>0</v>
      </c>
    </row>
    <row r="2946" spans="1:7" ht="11.1" customHeight="1">
      <c r="A2946" s="600" t="str">
        <f t="shared" si="225"/>
        <v>ZAR;ZAR FOREX;19Y</v>
      </c>
      <c r="B2946" s="600" t="str">
        <f t="shared" si="229"/>
        <v>ZAR</v>
      </c>
      <c r="C2946" s="600" t="str">
        <f t="shared" si="229"/>
        <v>ZAR FOREX</v>
      </c>
      <c r="D2946" s="603"/>
      <c r="E2946" s="604"/>
      <c r="F2946" s="607" t="s">
        <v>37</v>
      </c>
      <c r="G2946" s="608">
        <v>0</v>
      </c>
    </row>
    <row r="2947" spans="1:7" ht="11.1" customHeight="1">
      <c r="A2947" s="600" t="str">
        <f t="shared" si="225"/>
        <v>ZAR;ZAR FOREX;20Y</v>
      </c>
      <c r="B2947" s="600" t="str">
        <f t="shared" si="229"/>
        <v>ZAR</v>
      </c>
      <c r="C2947" s="600" t="str">
        <f t="shared" si="229"/>
        <v>ZAR FOREX</v>
      </c>
      <c r="D2947" s="603"/>
      <c r="E2947" s="604"/>
      <c r="F2947" s="607" t="s">
        <v>20</v>
      </c>
      <c r="G2947" s="608">
        <v>0</v>
      </c>
    </row>
    <row r="2948" spans="1:7" ht="11.1" customHeight="1">
      <c r="A2948" s="600" t="str">
        <f t="shared" si="225"/>
        <v>ZAR;ZAR FOREX;21Y</v>
      </c>
      <c r="B2948" s="600" t="str">
        <f t="shared" si="229"/>
        <v>ZAR</v>
      </c>
      <c r="C2948" s="600" t="str">
        <f t="shared" si="229"/>
        <v>ZAR FOREX</v>
      </c>
      <c r="D2948" s="603"/>
      <c r="E2948" s="604"/>
      <c r="F2948" s="607" t="s">
        <v>38</v>
      </c>
      <c r="G2948" s="608">
        <v>0</v>
      </c>
    </row>
    <row r="2949" spans="1:7" ht="11.1" customHeight="1">
      <c r="A2949" s="600" t="str">
        <f t="shared" ref="A2949:A2957" si="230">B2949&amp;";"&amp;C2949&amp;";"&amp;F2949</f>
        <v>ZAR;ZAR FOREX;22Y</v>
      </c>
      <c r="B2949" s="600" t="str">
        <f t="shared" ref="B2949:C2957" si="231">IF(ISBLANK(D2949),B2948,D2949)</f>
        <v>ZAR</v>
      </c>
      <c r="C2949" s="600" t="str">
        <f t="shared" si="231"/>
        <v>ZAR FOREX</v>
      </c>
      <c r="D2949" s="603"/>
      <c r="E2949" s="604"/>
      <c r="F2949" s="607" t="s">
        <v>39</v>
      </c>
      <c r="G2949" s="608">
        <v>0</v>
      </c>
    </row>
    <row r="2950" spans="1:7" ht="11.1" customHeight="1">
      <c r="A2950" s="600" t="str">
        <f t="shared" si="230"/>
        <v>ZAR;ZAR FOREX;23Y</v>
      </c>
      <c r="B2950" s="600" t="str">
        <f t="shared" si="231"/>
        <v>ZAR</v>
      </c>
      <c r="C2950" s="600" t="str">
        <f t="shared" si="231"/>
        <v>ZAR FOREX</v>
      </c>
      <c r="D2950" s="603"/>
      <c r="E2950" s="604"/>
      <c r="F2950" s="607" t="s">
        <v>40</v>
      </c>
      <c r="G2950" s="608">
        <v>0</v>
      </c>
    </row>
    <row r="2951" spans="1:7" ht="11.1" customHeight="1">
      <c r="A2951" s="600" t="str">
        <f t="shared" si="230"/>
        <v>ZAR;ZAR FOREX;24Y</v>
      </c>
      <c r="B2951" s="600" t="str">
        <f t="shared" si="231"/>
        <v>ZAR</v>
      </c>
      <c r="C2951" s="600" t="str">
        <f t="shared" si="231"/>
        <v>ZAR FOREX</v>
      </c>
      <c r="D2951" s="603"/>
      <c r="E2951" s="604"/>
      <c r="F2951" s="607" t="s">
        <v>41</v>
      </c>
      <c r="G2951" s="608">
        <v>0</v>
      </c>
    </row>
    <row r="2952" spans="1:7" ht="11.1" customHeight="1">
      <c r="A2952" s="600" t="str">
        <f t="shared" si="230"/>
        <v>ZAR;ZAR FOREX;25Y</v>
      </c>
      <c r="B2952" s="600" t="str">
        <f t="shared" si="231"/>
        <v>ZAR</v>
      </c>
      <c r="C2952" s="600" t="str">
        <f t="shared" si="231"/>
        <v>ZAR FOREX</v>
      </c>
      <c r="D2952" s="603"/>
      <c r="E2952" s="604"/>
      <c r="F2952" s="607" t="s">
        <v>21</v>
      </c>
      <c r="G2952" s="608">
        <v>0</v>
      </c>
    </row>
    <row r="2953" spans="1:7" ht="11.1" customHeight="1">
      <c r="A2953" s="600" t="str">
        <f t="shared" si="230"/>
        <v>ZAR;ZAR FOREX;26Y</v>
      </c>
      <c r="B2953" s="600" t="str">
        <f t="shared" si="231"/>
        <v>ZAR</v>
      </c>
      <c r="C2953" s="600" t="str">
        <f t="shared" si="231"/>
        <v>ZAR FOREX</v>
      </c>
      <c r="D2953" s="603"/>
      <c r="E2953" s="604"/>
      <c r="F2953" s="607" t="s">
        <v>42</v>
      </c>
      <c r="G2953" s="608">
        <v>0</v>
      </c>
    </row>
    <row r="2954" spans="1:7" ht="11.1" customHeight="1">
      <c r="A2954" s="600" t="str">
        <f t="shared" si="230"/>
        <v>ZAR;ZAR FOREX;27Y</v>
      </c>
      <c r="B2954" s="600" t="str">
        <f t="shared" si="231"/>
        <v>ZAR</v>
      </c>
      <c r="C2954" s="600" t="str">
        <f t="shared" si="231"/>
        <v>ZAR FOREX</v>
      </c>
      <c r="D2954" s="603"/>
      <c r="E2954" s="604"/>
      <c r="F2954" s="607" t="s">
        <v>43</v>
      </c>
      <c r="G2954" s="608">
        <v>0</v>
      </c>
    </row>
    <row r="2955" spans="1:7" ht="11.1" customHeight="1">
      <c r="A2955" s="600" t="str">
        <f t="shared" si="230"/>
        <v>ZAR;ZAR FOREX;28Y</v>
      </c>
      <c r="B2955" s="600" t="str">
        <f t="shared" si="231"/>
        <v>ZAR</v>
      </c>
      <c r="C2955" s="600" t="str">
        <f t="shared" si="231"/>
        <v>ZAR FOREX</v>
      </c>
      <c r="D2955" s="603"/>
      <c r="E2955" s="604"/>
      <c r="F2955" s="607" t="s">
        <v>44</v>
      </c>
      <c r="G2955" s="608">
        <v>0</v>
      </c>
    </row>
    <row r="2956" spans="1:7" ht="11.1" customHeight="1">
      <c r="A2956" s="600" t="str">
        <f t="shared" si="230"/>
        <v>ZAR;ZAR FOREX;29Y</v>
      </c>
      <c r="B2956" s="600" t="str">
        <f t="shared" si="231"/>
        <v>ZAR</v>
      </c>
      <c r="C2956" s="600" t="str">
        <f t="shared" si="231"/>
        <v>ZAR FOREX</v>
      </c>
      <c r="D2956" s="603"/>
      <c r="E2956" s="604"/>
      <c r="F2956" s="607" t="s">
        <v>45</v>
      </c>
      <c r="G2956" s="608">
        <v>0</v>
      </c>
    </row>
    <row r="2957" spans="1:7" ht="11.1" customHeight="1">
      <c r="A2957" s="600" t="str">
        <f t="shared" si="230"/>
        <v>ZAR;ZAR FOREX;30Y</v>
      </c>
      <c r="B2957" s="600" t="str">
        <f t="shared" si="231"/>
        <v>ZAR</v>
      </c>
      <c r="C2957" s="600" t="str">
        <f t="shared" si="231"/>
        <v>ZAR FOREX</v>
      </c>
      <c r="D2957" s="603"/>
      <c r="E2957" s="604"/>
      <c r="F2957" s="607" t="s">
        <v>22</v>
      </c>
      <c r="G2957" s="608">
        <v>0</v>
      </c>
    </row>
  </sheetData>
  <mergeCells count="149">
    <mergeCell ref="D2883:D2957"/>
    <mergeCell ref="E2883:F2883"/>
    <mergeCell ref="E2884:E2909"/>
    <mergeCell ref="E2910:E2957"/>
    <mergeCell ref="D2587:D2882"/>
    <mergeCell ref="E2587:F2587"/>
    <mergeCell ref="E2588:E2638"/>
    <mergeCell ref="E2639:E2689"/>
    <mergeCell ref="E2690:E2740"/>
    <mergeCell ref="E2741:E2791"/>
    <mergeCell ref="E2792:E2843"/>
    <mergeCell ref="E2844:E2882"/>
    <mergeCell ref="D2423:D2525"/>
    <mergeCell ref="E2423:F2423"/>
    <mergeCell ref="E2424:E2451"/>
    <mergeCell ref="E2452:E2500"/>
    <mergeCell ref="E2501:E2525"/>
    <mergeCell ref="D2526:D2586"/>
    <mergeCell ref="E2526:F2526"/>
    <mergeCell ref="E2527:E2546"/>
    <mergeCell ref="E2547:E2586"/>
    <mergeCell ref="D2318:D2372"/>
    <mergeCell ref="E2318:F2318"/>
    <mergeCell ref="E2319:E2339"/>
    <mergeCell ref="E2340:E2372"/>
    <mergeCell ref="D2373:D2422"/>
    <mergeCell ref="E2373:F2373"/>
    <mergeCell ref="E2374:E2392"/>
    <mergeCell ref="E2393:E2422"/>
    <mergeCell ref="D2216:D2232"/>
    <mergeCell ref="E2216:E2232"/>
    <mergeCell ref="D2233:D2317"/>
    <mergeCell ref="E2233:F2233"/>
    <mergeCell ref="E2234:E2248"/>
    <mergeCell ref="E2249:E2298"/>
    <mergeCell ref="E2299:E2317"/>
    <mergeCell ref="D2109:D2162"/>
    <mergeCell ref="E2109:F2109"/>
    <mergeCell ref="E2110:E2128"/>
    <mergeCell ref="E2129:E2162"/>
    <mergeCell ref="D2163:D2215"/>
    <mergeCell ref="E2163:F2163"/>
    <mergeCell ref="E2164:E2185"/>
    <mergeCell ref="E2186:E2215"/>
    <mergeCell ref="D1961:D2007"/>
    <mergeCell ref="E1961:F1961"/>
    <mergeCell ref="E1962:E1990"/>
    <mergeCell ref="E1991:E2007"/>
    <mergeCell ref="D2008:D2108"/>
    <mergeCell ref="E2008:F2008"/>
    <mergeCell ref="E2009:E2032"/>
    <mergeCell ref="E2033:E2059"/>
    <mergeCell ref="E2060:E2108"/>
    <mergeCell ref="D1887:D1916"/>
    <mergeCell ref="E1887:E1916"/>
    <mergeCell ref="D1917:D1960"/>
    <mergeCell ref="E1917:F1917"/>
    <mergeCell ref="E1918:E1930"/>
    <mergeCell ref="E1931:E1960"/>
    <mergeCell ref="D1740:D1886"/>
    <mergeCell ref="E1740:F1740"/>
    <mergeCell ref="E1741:E1773"/>
    <mergeCell ref="E1774:E1807"/>
    <mergeCell ref="E1808:E1856"/>
    <mergeCell ref="E1857:E1886"/>
    <mergeCell ref="D1619:D1679"/>
    <mergeCell ref="E1619:F1619"/>
    <mergeCell ref="E1620:E1649"/>
    <mergeCell ref="E1650:E1662"/>
    <mergeCell ref="E1663:E1679"/>
    <mergeCell ref="D1680:D1739"/>
    <mergeCell ref="E1680:E1739"/>
    <mergeCell ref="D1523:D1568"/>
    <mergeCell ref="E1523:F1523"/>
    <mergeCell ref="E1524:E1538"/>
    <mergeCell ref="E1539:E1568"/>
    <mergeCell ref="D1569:D1618"/>
    <mergeCell ref="E1569:F1569"/>
    <mergeCell ref="E1570:E1588"/>
    <mergeCell ref="E1589:E1618"/>
    <mergeCell ref="D1373:D1424"/>
    <mergeCell ref="E1373:F1373"/>
    <mergeCell ref="E1374:E1401"/>
    <mergeCell ref="E1402:E1424"/>
    <mergeCell ref="D1425:D1522"/>
    <mergeCell ref="E1425:F1425"/>
    <mergeCell ref="E1426:E1440"/>
    <mergeCell ref="E1441:E1454"/>
    <mergeCell ref="E1455:E1504"/>
    <mergeCell ref="E1505:E1522"/>
    <mergeCell ref="E914:E983"/>
    <mergeCell ref="E984:E1043"/>
    <mergeCell ref="E1044:E1106"/>
    <mergeCell ref="E1107:E1169"/>
    <mergeCell ref="D1170:D1372"/>
    <mergeCell ref="E1170:F1170"/>
    <mergeCell ref="E1171:E1221"/>
    <mergeCell ref="E1222:E1284"/>
    <mergeCell ref="E1285:E1336"/>
    <mergeCell ref="E1337:E1372"/>
    <mergeCell ref="D618:D713"/>
    <mergeCell ref="E618:F618"/>
    <mergeCell ref="E619:E642"/>
    <mergeCell ref="E643:E691"/>
    <mergeCell ref="E692:E713"/>
    <mergeCell ref="D714:D1169"/>
    <mergeCell ref="E714:F714"/>
    <mergeCell ref="E715:E778"/>
    <mergeCell ref="E779:E847"/>
    <mergeCell ref="E848:E913"/>
    <mergeCell ref="D490:D531"/>
    <mergeCell ref="E490:F490"/>
    <mergeCell ref="E491:E501"/>
    <mergeCell ref="E502:E531"/>
    <mergeCell ref="D532:D617"/>
    <mergeCell ref="E532:F532"/>
    <mergeCell ref="E533:E549"/>
    <mergeCell ref="E550:E599"/>
    <mergeCell ref="E600:E617"/>
    <mergeCell ref="D395:D440"/>
    <mergeCell ref="E395:F395"/>
    <mergeCell ref="E396:E425"/>
    <mergeCell ref="E426:E440"/>
    <mergeCell ref="D441:D489"/>
    <mergeCell ref="E441:F441"/>
    <mergeCell ref="E442:E471"/>
    <mergeCell ref="E472:E489"/>
    <mergeCell ref="D246:D394"/>
    <mergeCell ref="E246:F246"/>
    <mergeCell ref="E247:E269"/>
    <mergeCell ref="E270:E290"/>
    <mergeCell ref="E291:E316"/>
    <mergeCell ref="E317:E366"/>
    <mergeCell ref="E367:E394"/>
    <mergeCell ref="D109:D145"/>
    <mergeCell ref="E109:F109"/>
    <mergeCell ref="E110:E139"/>
    <mergeCell ref="E140:E145"/>
    <mergeCell ref="D146:D245"/>
    <mergeCell ref="E146:F146"/>
    <mergeCell ref="E147:E173"/>
    <mergeCell ref="E174:E222"/>
    <mergeCell ref="E223:E245"/>
    <mergeCell ref="D2:F2"/>
    <mergeCell ref="D3:D108"/>
    <mergeCell ref="E3:F3"/>
    <mergeCell ref="E4:E32"/>
    <mergeCell ref="E33:E80"/>
    <mergeCell ref="E81:E108"/>
  </mergeCells>
  <pageMargins left="0" right="0" top="0" bottom="0" header="0.5" footer="0.5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C000"/>
  </sheetPr>
  <dimension ref="A1:V28"/>
  <sheetViews>
    <sheetView workbookViewId="0">
      <pane xSplit="6" ySplit="1" topLeftCell="G2" activePane="bottomRight" state="frozen"/>
      <selection pane="topRight" activeCell="D1" sqref="D1"/>
      <selection pane="bottomLeft" activeCell="A2" sqref="A2"/>
      <selection pane="bottomRight"/>
    </sheetView>
  </sheetViews>
  <sheetFormatPr defaultRowHeight="15"/>
  <cols>
    <col min="1" max="1" width="24.85546875" style="598" bestFit="1" customWidth="1"/>
    <col min="2" max="2" width="11.85546875" style="598" bestFit="1" customWidth="1"/>
    <col min="3" max="3" width="17.5703125" style="598" bestFit="1" customWidth="1"/>
    <col min="4" max="4" width="10.7109375" style="598" customWidth="1"/>
    <col min="5" max="5" width="16.140625" style="598" customWidth="1"/>
    <col min="6" max="6" width="20.5703125" style="598" customWidth="1"/>
    <col min="7" max="7" width="7.42578125" style="598" customWidth="1"/>
    <col min="8" max="8" width="9.5703125" style="598" customWidth="1"/>
    <col min="9" max="9" width="20.42578125" style="598" customWidth="1"/>
    <col min="10" max="10" width="19.28515625" style="598" customWidth="1"/>
    <col min="11" max="11" width="20.42578125" style="598" customWidth="1"/>
    <col min="12" max="12" width="7.42578125" style="598" customWidth="1"/>
    <col min="13" max="13" width="13.28515625" style="598" customWidth="1"/>
    <col min="14" max="14" width="10.140625" style="598" customWidth="1"/>
    <col min="15" max="15" width="8.42578125" style="598" customWidth="1"/>
    <col min="16" max="16" width="13" style="598" customWidth="1"/>
    <col min="17" max="19" width="19.28515625" style="598" customWidth="1"/>
    <col min="20" max="20" width="18.7109375" style="598" customWidth="1"/>
    <col min="21" max="21" width="21.5703125" style="598" customWidth="1"/>
    <col min="22" max="22" width="19.85546875" style="598" customWidth="1"/>
    <col min="23" max="16384" width="9.140625" style="598"/>
  </cols>
  <sheetData>
    <row r="1" spans="1:22" ht="11.1" customHeight="1">
      <c r="A1" s="613" t="s">
        <v>228</v>
      </c>
      <c r="B1" s="613" t="s">
        <v>660</v>
      </c>
      <c r="C1" s="613" t="s">
        <v>661</v>
      </c>
      <c r="D1" s="613" t="s">
        <v>662</v>
      </c>
      <c r="E1" s="614" t="s">
        <v>229</v>
      </c>
      <c r="F1" s="613" t="s">
        <v>158</v>
      </c>
      <c r="G1" s="614" t="s">
        <v>83</v>
      </c>
      <c r="H1" s="613" t="s">
        <v>2</v>
      </c>
      <c r="I1" s="614" t="s">
        <v>663</v>
      </c>
      <c r="J1" s="613" t="s">
        <v>664</v>
      </c>
      <c r="K1" s="613" t="s">
        <v>665</v>
      </c>
      <c r="L1" s="613" t="s">
        <v>666</v>
      </c>
      <c r="M1" s="614" t="s">
        <v>667</v>
      </c>
      <c r="N1" s="613" t="s">
        <v>158</v>
      </c>
      <c r="O1" s="613" t="s">
        <v>638</v>
      </c>
      <c r="P1" s="614" t="s">
        <v>668</v>
      </c>
      <c r="Q1" s="613" t="s">
        <v>669</v>
      </c>
      <c r="R1" s="614" t="s">
        <v>670</v>
      </c>
      <c r="S1" s="614" t="s">
        <v>671</v>
      </c>
      <c r="T1" s="614" t="s">
        <v>672</v>
      </c>
      <c r="U1" s="613" t="s">
        <v>673</v>
      </c>
      <c r="V1" s="613" t="s">
        <v>674</v>
      </c>
    </row>
    <row r="2" spans="1:22" ht="11.1" customHeight="1">
      <c r="A2" s="600" t="str">
        <f>IF(ISNUMBER(F2),C2&amp;";"&amp;UPPER(TEXT(F2,"MMM YY")),C2&amp;";Total")</f>
        <v>EUREX BOBL 5Y;Total</v>
      </c>
      <c r="B2" s="600" t="str">
        <f>D2</f>
        <v>Bond Future</v>
      </c>
      <c r="C2" s="600" t="str">
        <f>E2</f>
        <v>EUREX BOBL 5Y</v>
      </c>
      <c r="D2" s="615" t="s">
        <v>675</v>
      </c>
      <c r="E2" s="615" t="s">
        <v>197</v>
      </c>
      <c r="F2" s="616" t="s">
        <v>1011</v>
      </c>
      <c r="G2" s="617">
        <v>-44</v>
      </c>
      <c r="H2" s="618">
        <v>0</v>
      </c>
      <c r="I2" s="619">
        <v>-0.407274726734422</v>
      </c>
      <c r="J2" s="620">
        <v>-1.10974152726551</v>
      </c>
      <c r="K2" s="621">
        <v>-0.48241766979096601</v>
      </c>
      <c r="L2" s="622"/>
      <c r="M2" s="623" t="s">
        <v>676</v>
      </c>
      <c r="N2" s="624">
        <v>44381</v>
      </c>
      <c r="O2" s="625" t="s">
        <v>208</v>
      </c>
      <c r="P2" s="626">
        <v>-4400000</v>
      </c>
      <c r="Q2" s="627">
        <v>54797.095720443198</v>
      </c>
      <c r="R2" s="627">
        <v>2498.0932001772499</v>
      </c>
      <c r="S2" s="628">
        <v>-5.15632003055316</v>
      </c>
      <c r="T2" s="629">
        <v>4.3399545918717903</v>
      </c>
      <c r="U2" s="630">
        <v>-4.4040997869432497E-2</v>
      </c>
      <c r="V2" s="631">
        <v>0.28544077703889198</v>
      </c>
    </row>
    <row r="3" spans="1:22" ht="11.1" customHeight="1">
      <c r="A3" s="600" t="str">
        <f>IF(ISNUMBER(F3),C3&amp;";"&amp;UPPER(TEXT(F3,"MMM YY")),C3&amp;";Total")</f>
        <v>EUREX BOBL 5Y;DEC 16</v>
      </c>
      <c r="B3" s="600" t="str">
        <f>IF(ISBLANK(D3),B2,D3)</f>
        <v>Bond Future</v>
      </c>
      <c r="C3" s="600" t="str">
        <f>IF(ISBLANK(E3),C2,E3)</f>
        <v>EUREX BOBL 5Y</v>
      </c>
      <c r="D3" s="615"/>
      <c r="E3" s="615"/>
      <c r="F3" s="632">
        <v>42712</v>
      </c>
      <c r="G3" s="633">
        <v>-44</v>
      </c>
      <c r="H3" s="634">
        <v>130.845</v>
      </c>
      <c r="I3" s="635">
        <v>-0.407274726734422</v>
      </c>
      <c r="J3" s="636">
        <v>-1.10974152726551</v>
      </c>
      <c r="K3" s="637">
        <v>-0.48241766979096601</v>
      </c>
      <c r="L3" s="638" t="s">
        <v>1060</v>
      </c>
      <c r="M3" s="639" t="s">
        <v>676</v>
      </c>
      <c r="N3" s="640">
        <v>44381</v>
      </c>
      <c r="O3" s="641" t="s">
        <v>208</v>
      </c>
      <c r="P3" s="642">
        <v>-4400000</v>
      </c>
      <c r="Q3" s="643">
        <v>-33140.618824042802</v>
      </c>
      <c r="R3" s="644">
        <v>2498.0932001772499</v>
      </c>
      <c r="S3" s="645">
        <v>-5.15632003055316</v>
      </c>
      <c r="T3" s="646">
        <v>4.3399545918717903</v>
      </c>
      <c r="U3" s="647">
        <v>-4.4040997869432497E-2</v>
      </c>
      <c r="V3" s="648">
        <v>0.28544077703889198</v>
      </c>
    </row>
    <row r="4" spans="1:22" ht="11.1" customHeight="1">
      <c r="A4" s="600" t="str">
        <f t="shared" ref="A4:A28" si="0">IF(ISNUMBER(F4),C4&amp;";"&amp;UPPER(TEXT(F4,"MMM YY")),C4&amp;";Total")</f>
        <v>EUREX BUND 10Y;Total</v>
      </c>
      <c r="B4" s="600" t="str">
        <f t="shared" ref="B4:C19" si="1">IF(ISBLANK(D4),B3,D4)</f>
        <v>Bond Future</v>
      </c>
      <c r="C4" s="600" t="str">
        <f t="shared" si="1"/>
        <v>EUREX BUND 10Y</v>
      </c>
      <c r="D4" s="615"/>
      <c r="E4" s="615" t="s">
        <v>198</v>
      </c>
      <c r="F4" s="616" t="s">
        <v>1012</v>
      </c>
      <c r="G4" s="631">
        <v>1</v>
      </c>
      <c r="H4" s="618">
        <v>0</v>
      </c>
      <c r="I4" s="649">
        <v>0.10817953073811901</v>
      </c>
      <c r="J4" s="620">
        <v>-1.3860453226906699</v>
      </c>
      <c r="K4" s="621">
        <v>-0.42238386399303002</v>
      </c>
      <c r="L4" s="622"/>
      <c r="M4" s="623" t="s">
        <v>677</v>
      </c>
      <c r="N4" s="624">
        <v>45884</v>
      </c>
      <c r="O4" s="625" t="s">
        <v>208</v>
      </c>
      <c r="P4" s="627">
        <v>100000</v>
      </c>
      <c r="Q4" s="650">
        <v>-55360.7593363337</v>
      </c>
      <c r="R4" s="650">
        <v>-134.54457460290701</v>
      </c>
      <c r="S4" s="628">
        <v>-9.0626790601173397</v>
      </c>
      <c r="T4" s="629">
        <v>8.39932009028111</v>
      </c>
      <c r="U4" s="630">
        <v>-8.4111512818270201E-2</v>
      </c>
      <c r="V4" s="631">
        <v>0.87002404221063201</v>
      </c>
    </row>
    <row r="5" spans="1:22" ht="11.1" customHeight="1">
      <c r="A5" s="600" t="str">
        <f t="shared" si="0"/>
        <v>EUREX BUND 10Y;DEC 16</v>
      </c>
      <c r="B5" s="600" t="str">
        <f t="shared" si="1"/>
        <v>Bond Future</v>
      </c>
      <c r="C5" s="600" t="str">
        <f t="shared" si="1"/>
        <v>EUREX BUND 10Y</v>
      </c>
      <c r="D5" s="615"/>
      <c r="E5" s="615"/>
      <c r="F5" s="632">
        <v>42712</v>
      </c>
      <c r="G5" s="648">
        <v>1</v>
      </c>
      <c r="H5" s="634">
        <v>160.79499999999999</v>
      </c>
      <c r="I5" s="651">
        <v>0.10817953073811901</v>
      </c>
      <c r="J5" s="636">
        <v>-1.3860453226906699</v>
      </c>
      <c r="K5" s="637">
        <v>-0.42238386399303002</v>
      </c>
      <c r="L5" s="638" t="s">
        <v>1060</v>
      </c>
      <c r="M5" s="639" t="s">
        <v>677</v>
      </c>
      <c r="N5" s="640">
        <v>45884</v>
      </c>
      <c r="O5" s="641" t="s">
        <v>208</v>
      </c>
      <c r="P5" s="644">
        <v>100000</v>
      </c>
      <c r="Q5" s="643">
        <v>-42998.002333099997</v>
      </c>
      <c r="R5" s="643">
        <v>-134.54457460290701</v>
      </c>
      <c r="S5" s="645">
        <v>-9.0626790601173397</v>
      </c>
      <c r="T5" s="646">
        <v>8.39932009028111</v>
      </c>
      <c r="U5" s="647">
        <v>-8.4111512818270201E-2</v>
      </c>
      <c r="V5" s="648">
        <v>0.87002404221063201</v>
      </c>
    </row>
    <row r="6" spans="1:22" ht="11.1" customHeight="1">
      <c r="A6" s="600" t="str">
        <f t="shared" si="0"/>
        <v>CME EURO USD 3M;Total</v>
      </c>
      <c r="B6" s="600" t="str">
        <f t="shared" si="1"/>
        <v>IR Future</v>
      </c>
      <c r="C6" s="600" t="str">
        <f t="shared" si="1"/>
        <v>CME EURO USD 3M</v>
      </c>
      <c r="D6" s="615" t="s">
        <v>678</v>
      </c>
      <c r="E6" s="615" t="s">
        <v>679</v>
      </c>
      <c r="F6" s="616" t="s">
        <v>680</v>
      </c>
      <c r="G6" s="631">
        <v>1320</v>
      </c>
      <c r="H6" s="618">
        <v>0</v>
      </c>
      <c r="I6" s="652">
        <v>0</v>
      </c>
      <c r="J6" s="653">
        <v>0</v>
      </c>
      <c r="K6" s="618">
        <v>0</v>
      </c>
      <c r="L6" s="622"/>
      <c r="M6" s="623"/>
      <c r="N6" s="624"/>
      <c r="O6" s="625" t="s">
        <v>635</v>
      </c>
      <c r="P6" s="627">
        <v>1320000000</v>
      </c>
      <c r="Q6" s="627">
        <v>4787299.3058438096</v>
      </c>
      <c r="R6" s="650">
        <v>-30564.222508434399</v>
      </c>
      <c r="S6" s="652">
        <v>0</v>
      </c>
      <c r="T6" s="652">
        <v>0</v>
      </c>
      <c r="U6" s="618">
        <v>0</v>
      </c>
      <c r="V6" s="652">
        <v>0</v>
      </c>
    </row>
    <row r="7" spans="1:22" ht="11.1" customHeight="1">
      <c r="A7" s="600" t="str">
        <f t="shared" si="0"/>
        <v>CME EURO USD 3M;DEC 16</v>
      </c>
      <c r="B7" s="600" t="str">
        <f t="shared" si="1"/>
        <v>IR Future</v>
      </c>
      <c r="C7" s="600" t="str">
        <f t="shared" si="1"/>
        <v>CME EURO USD 3M</v>
      </c>
      <c r="D7" s="615"/>
      <c r="E7" s="615"/>
      <c r="F7" s="632">
        <v>42723</v>
      </c>
      <c r="G7" s="648">
        <v>700</v>
      </c>
      <c r="H7" s="634">
        <v>99.032499999999999</v>
      </c>
      <c r="I7" s="654">
        <v>0</v>
      </c>
      <c r="J7" s="655">
        <v>0</v>
      </c>
      <c r="K7" s="656">
        <v>0</v>
      </c>
      <c r="L7" s="638" t="s">
        <v>1060</v>
      </c>
      <c r="M7" s="639"/>
      <c r="N7" s="640"/>
      <c r="O7" s="641" t="s">
        <v>635</v>
      </c>
      <c r="P7" s="644">
        <v>700000000</v>
      </c>
      <c r="Q7" s="644">
        <v>1011060.90135585</v>
      </c>
      <c r="R7" s="643">
        <v>-16205.3337180774</v>
      </c>
      <c r="S7" s="654">
        <v>0</v>
      </c>
      <c r="T7" s="654">
        <v>0</v>
      </c>
      <c r="U7" s="656">
        <v>0</v>
      </c>
      <c r="V7" s="654">
        <v>0</v>
      </c>
    </row>
    <row r="8" spans="1:22" ht="11.1" customHeight="1">
      <c r="A8" s="600" t="str">
        <f t="shared" si="0"/>
        <v>CME EURO USD 3M;MAR 17</v>
      </c>
      <c r="B8" s="600" t="str">
        <f t="shared" si="1"/>
        <v>IR Future</v>
      </c>
      <c r="C8" s="600" t="str">
        <f t="shared" si="1"/>
        <v>CME EURO USD 3M</v>
      </c>
      <c r="D8" s="615"/>
      <c r="E8" s="615"/>
      <c r="F8" s="632">
        <v>42807</v>
      </c>
      <c r="G8" s="648">
        <v>169</v>
      </c>
      <c r="H8" s="634">
        <v>98.984999999999999</v>
      </c>
      <c r="I8" s="654">
        <v>0</v>
      </c>
      <c r="J8" s="655">
        <v>0</v>
      </c>
      <c r="K8" s="656">
        <v>0</v>
      </c>
      <c r="L8" s="638" t="s">
        <v>1063</v>
      </c>
      <c r="M8" s="639"/>
      <c r="N8" s="640"/>
      <c r="O8" s="641" t="s">
        <v>635</v>
      </c>
      <c r="P8" s="644">
        <v>169000000</v>
      </c>
      <c r="Q8" s="644">
        <v>1146732.89253375</v>
      </c>
      <c r="R8" s="643">
        <v>-3913.1130503036202</v>
      </c>
      <c r="S8" s="654">
        <v>0</v>
      </c>
      <c r="T8" s="654">
        <v>0</v>
      </c>
      <c r="U8" s="656">
        <v>0</v>
      </c>
      <c r="V8" s="654">
        <v>0</v>
      </c>
    </row>
    <row r="9" spans="1:22" ht="11.1" customHeight="1">
      <c r="A9" s="600" t="str">
        <f t="shared" si="0"/>
        <v>CME EURO USD 3M;JUN 17</v>
      </c>
      <c r="B9" s="600" t="str">
        <f t="shared" si="1"/>
        <v>IR Future</v>
      </c>
      <c r="C9" s="600" t="str">
        <f t="shared" si="1"/>
        <v>CME EURO USD 3M</v>
      </c>
      <c r="D9" s="615"/>
      <c r="E9" s="615"/>
      <c r="F9" s="632">
        <v>42905</v>
      </c>
      <c r="G9" s="648">
        <v>451</v>
      </c>
      <c r="H9" s="634">
        <v>98.88</v>
      </c>
      <c r="I9" s="654">
        <v>0</v>
      </c>
      <c r="J9" s="655">
        <v>0</v>
      </c>
      <c r="K9" s="656">
        <v>0</v>
      </c>
      <c r="L9" s="638" t="s">
        <v>1066</v>
      </c>
      <c r="M9" s="639"/>
      <c r="N9" s="640"/>
      <c r="O9" s="641" t="s">
        <v>635</v>
      </c>
      <c r="P9" s="644">
        <v>451000000</v>
      </c>
      <c r="Q9" s="644">
        <v>935277.27024988295</v>
      </c>
      <c r="R9" s="643">
        <v>-10445.4811778532</v>
      </c>
      <c r="S9" s="654">
        <v>0</v>
      </c>
      <c r="T9" s="654">
        <v>0</v>
      </c>
      <c r="U9" s="656">
        <v>0</v>
      </c>
      <c r="V9" s="654">
        <v>0</v>
      </c>
    </row>
    <row r="10" spans="1:22" ht="11.1" customHeight="1">
      <c r="A10" s="600" t="str">
        <f t="shared" si="0"/>
        <v>CME EURO USD 3M;SEP 17</v>
      </c>
      <c r="B10" s="600" t="str">
        <f t="shared" si="1"/>
        <v>IR Future</v>
      </c>
      <c r="C10" s="600" t="str">
        <f t="shared" si="1"/>
        <v>CME EURO USD 3M</v>
      </c>
      <c r="D10" s="615"/>
      <c r="E10" s="615"/>
      <c r="F10" s="632">
        <v>42996</v>
      </c>
      <c r="G10" s="648">
        <v>100</v>
      </c>
      <c r="H10" s="634">
        <v>98.78</v>
      </c>
      <c r="I10" s="654">
        <v>0</v>
      </c>
      <c r="J10" s="655">
        <v>0</v>
      </c>
      <c r="K10" s="656">
        <v>0</v>
      </c>
      <c r="L10" s="638" t="s">
        <v>1069</v>
      </c>
      <c r="M10" s="639"/>
      <c r="N10" s="640"/>
      <c r="O10" s="641" t="s">
        <v>635</v>
      </c>
      <c r="P10" s="644">
        <v>100000000</v>
      </c>
      <c r="Q10" s="643">
        <v>-65804.515718205701</v>
      </c>
      <c r="R10" s="643">
        <v>-2316.5828245176099</v>
      </c>
      <c r="S10" s="654">
        <v>0</v>
      </c>
      <c r="T10" s="654">
        <v>0</v>
      </c>
      <c r="U10" s="656">
        <v>0</v>
      </c>
      <c r="V10" s="654">
        <v>0</v>
      </c>
    </row>
    <row r="11" spans="1:22" ht="11.1" customHeight="1">
      <c r="A11" s="600" t="str">
        <f t="shared" si="0"/>
        <v>CME EURO USD 3M;DEC 17</v>
      </c>
      <c r="B11" s="600" t="str">
        <f t="shared" si="1"/>
        <v>IR Future</v>
      </c>
      <c r="C11" s="600" t="str">
        <f t="shared" si="1"/>
        <v>CME EURO USD 3M</v>
      </c>
      <c r="D11" s="615"/>
      <c r="E11" s="615"/>
      <c r="F11" s="632">
        <v>43087</v>
      </c>
      <c r="G11" s="633">
        <v>-50</v>
      </c>
      <c r="H11" s="634">
        <v>98.665000000000006</v>
      </c>
      <c r="I11" s="654">
        <v>0</v>
      </c>
      <c r="J11" s="655">
        <v>0</v>
      </c>
      <c r="K11" s="656">
        <v>0</v>
      </c>
      <c r="L11" s="638" t="s">
        <v>3865</v>
      </c>
      <c r="M11" s="639"/>
      <c r="N11" s="640"/>
      <c r="O11" s="641" t="s">
        <v>635</v>
      </c>
      <c r="P11" s="642">
        <v>-50000000</v>
      </c>
      <c r="Q11" s="644">
        <v>482425.12190653401</v>
      </c>
      <c r="R11" s="644">
        <v>1158.5842648281</v>
      </c>
      <c r="S11" s="654">
        <v>0</v>
      </c>
      <c r="T11" s="654">
        <v>0</v>
      </c>
      <c r="U11" s="656">
        <v>0</v>
      </c>
      <c r="V11" s="654">
        <v>0</v>
      </c>
    </row>
    <row r="12" spans="1:22" ht="11.1" customHeight="1">
      <c r="A12" s="600" t="str">
        <f t="shared" si="0"/>
        <v>CME EURO USD 3M;MAR 18</v>
      </c>
      <c r="B12" s="600" t="str">
        <f t="shared" si="1"/>
        <v>IR Future</v>
      </c>
      <c r="C12" s="600" t="str">
        <f t="shared" si="1"/>
        <v>CME EURO USD 3M</v>
      </c>
      <c r="D12" s="615"/>
      <c r="E12" s="615"/>
      <c r="F12" s="632">
        <v>43178</v>
      </c>
      <c r="G12" s="633">
        <v>-251</v>
      </c>
      <c r="H12" s="634">
        <v>98.57</v>
      </c>
      <c r="I12" s="654">
        <v>0</v>
      </c>
      <c r="J12" s="655">
        <v>0</v>
      </c>
      <c r="K12" s="656">
        <v>0</v>
      </c>
      <c r="L12" s="638" t="s">
        <v>3866</v>
      </c>
      <c r="M12" s="639"/>
      <c r="N12" s="640"/>
      <c r="O12" s="641" t="s">
        <v>635</v>
      </c>
      <c r="P12" s="642">
        <v>-251000000</v>
      </c>
      <c r="Q12" s="644">
        <v>236120.29689894899</v>
      </c>
      <c r="R12" s="644">
        <v>5817.9302567573004</v>
      </c>
      <c r="S12" s="654">
        <v>0</v>
      </c>
      <c r="T12" s="654">
        <v>0</v>
      </c>
      <c r="U12" s="656">
        <v>0</v>
      </c>
      <c r="V12" s="654">
        <v>0</v>
      </c>
    </row>
    <row r="13" spans="1:22" ht="11.1" customHeight="1">
      <c r="A13" s="600" t="str">
        <f t="shared" si="0"/>
        <v>CME EURO USD 3M;JUN 18</v>
      </c>
      <c r="B13" s="600" t="str">
        <f t="shared" si="1"/>
        <v>IR Future</v>
      </c>
      <c r="C13" s="600" t="str">
        <f t="shared" si="1"/>
        <v>CME EURO USD 3M</v>
      </c>
      <c r="D13" s="615"/>
      <c r="E13" s="615"/>
      <c r="F13" s="632">
        <v>43269</v>
      </c>
      <c r="G13" s="648">
        <v>201</v>
      </c>
      <c r="H13" s="634">
        <v>98.465000000000003</v>
      </c>
      <c r="I13" s="654">
        <v>0</v>
      </c>
      <c r="J13" s="655">
        <v>0</v>
      </c>
      <c r="K13" s="656">
        <v>0</v>
      </c>
      <c r="L13" s="638" t="s">
        <v>3889</v>
      </c>
      <c r="M13" s="639"/>
      <c r="N13" s="640"/>
      <c r="O13" s="641" t="s">
        <v>635</v>
      </c>
      <c r="P13" s="644">
        <v>201000000</v>
      </c>
      <c r="Q13" s="643">
        <v>-204853.52180194599</v>
      </c>
      <c r="R13" s="643">
        <v>-4660.2262592686002</v>
      </c>
      <c r="S13" s="654">
        <v>0</v>
      </c>
      <c r="T13" s="654">
        <v>0</v>
      </c>
      <c r="U13" s="656">
        <v>0</v>
      </c>
      <c r="V13" s="654">
        <v>0</v>
      </c>
    </row>
    <row r="14" spans="1:22" ht="11.1" customHeight="1">
      <c r="A14" s="600" t="str">
        <f t="shared" si="0"/>
        <v>LIFFE EUROGBP;Total</v>
      </c>
      <c r="B14" s="600" t="str">
        <f t="shared" si="1"/>
        <v>IR Future</v>
      </c>
      <c r="C14" s="600" t="str">
        <f t="shared" si="1"/>
        <v>LIFFE EUROGBP</v>
      </c>
      <c r="D14" s="615"/>
      <c r="E14" s="615" t="s">
        <v>3910</v>
      </c>
      <c r="F14" s="616" t="s">
        <v>3911</v>
      </c>
      <c r="G14" s="631">
        <v>20</v>
      </c>
      <c r="H14" s="618">
        <v>0</v>
      </c>
      <c r="I14" s="652">
        <v>0</v>
      </c>
      <c r="J14" s="653">
        <v>0</v>
      </c>
      <c r="K14" s="618">
        <v>0</v>
      </c>
      <c r="L14" s="622"/>
      <c r="M14" s="623"/>
      <c r="N14" s="624"/>
      <c r="O14" s="625" t="s">
        <v>684</v>
      </c>
      <c r="P14" s="627">
        <v>10000000</v>
      </c>
      <c r="Q14" s="627">
        <v>139508.13679399501</v>
      </c>
      <c r="R14" s="650">
        <v>-291.53015711825202</v>
      </c>
      <c r="S14" s="652">
        <v>0</v>
      </c>
      <c r="T14" s="652">
        <v>0</v>
      </c>
      <c r="U14" s="618">
        <v>0</v>
      </c>
      <c r="V14" s="652">
        <v>0</v>
      </c>
    </row>
    <row r="15" spans="1:22" ht="11.1" customHeight="1">
      <c r="A15" s="600" t="str">
        <f t="shared" si="0"/>
        <v>LIFFE EUROGBP;JUN 17</v>
      </c>
      <c r="B15" s="600" t="str">
        <f t="shared" si="1"/>
        <v>IR Future</v>
      </c>
      <c r="C15" s="600" t="str">
        <f t="shared" si="1"/>
        <v>LIFFE EUROGBP</v>
      </c>
      <c r="D15" s="615"/>
      <c r="E15" s="615"/>
      <c r="F15" s="632">
        <v>42907</v>
      </c>
      <c r="G15" s="648">
        <v>70</v>
      </c>
      <c r="H15" s="634">
        <v>99.545000000000002</v>
      </c>
      <c r="I15" s="654">
        <v>0</v>
      </c>
      <c r="J15" s="655">
        <v>0</v>
      </c>
      <c r="K15" s="656">
        <v>0</v>
      </c>
      <c r="L15" s="638" t="s">
        <v>1066</v>
      </c>
      <c r="M15" s="639"/>
      <c r="N15" s="640"/>
      <c r="O15" s="641" t="s">
        <v>684</v>
      </c>
      <c r="P15" s="644">
        <v>35000000</v>
      </c>
      <c r="Q15" s="644">
        <v>134026.48922957401</v>
      </c>
      <c r="R15" s="643">
        <v>-1022.06414729218</v>
      </c>
      <c r="S15" s="654">
        <v>0</v>
      </c>
      <c r="T15" s="654">
        <v>0</v>
      </c>
      <c r="U15" s="656">
        <v>0</v>
      </c>
      <c r="V15" s="654">
        <v>0</v>
      </c>
    </row>
    <row r="16" spans="1:22" ht="11.1" customHeight="1">
      <c r="A16" s="600" t="str">
        <f t="shared" si="0"/>
        <v>LIFFE EUROGBP;SEP 17</v>
      </c>
      <c r="B16" s="600" t="str">
        <f t="shared" si="1"/>
        <v>IR Future</v>
      </c>
      <c r="C16" s="600" t="str">
        <f t="shared" si="1"/>
        <v>LIFFE EUROGBP</v>
      </c>
      <c r="D16" s="615"/>
      <c r="E16" s="615"/>
      <c r="F16" s="632">
        <v>42998</v>
      </c>
      <c r="G16" s="648">
        <v>50</v>
      </c>
      <c r="H16" s="634">
        <v>99.504999999999995</v>
      </c>
      <c r="I16" s="654">
        <v>0</v>
      </c>
      <c r="J16" s="655">
        <v>0</v>
      </c>
      <c r="K16" s="656">
        <v>0</v>
      </c>
      <c r="L16" s="638" t="s">
        <v>1069</v>
      </c>
      <c r="M16" s="639"/>
      <c r="N16" s="640"/>
      <c r="O16" s="641" t="s">
        <v>684</v>
      </c>
      <c r="P16" s="644">
        <v>25000000</v>
      </c>
      <c r="Q16" s="644">
        <v>33519.077774443402</v>
      </c>
      <c r="R16" s="643">
        <v>-730.10945050002704</v>
      </c>
      <c r="S16" s="654">
        <v>0</v>
      </c>
      <c r="T16" s="654">
        <v>0</v>
      </c>
      <c r="U16" s="656">
        <v>0</v>
      </c>
      <c r="V16" s="654">
        <v>0</v>
      </c>
    </row>
    <row r="17" spans="1:22" ht="11.1" customHeight="1">
      <c r="A17" s="600" t="str">
        <f t="shared" si="0"/>
        <v>LIFFE EUROGBP;MAR 18</v>
      </c>
      <c r="B17" s="600" t="str">
        <f t="shared" si="1"/>
        <v>IR Future</v>
      </c>
      <c r="C17" s="600" t="str">
        <f t="shared" si="1"/>
        <v>LIFFE EUROGBP</v>
      </c>
      <c r="D17" s="615"/>
      <c r="E17" s="615"/>
      <c r="F17" s="632">
        <v>43180</v>
      </c>
      <c r="G17" s="633">
        <v>-100</v>
      </c>
      <c r="H17" s="634">
        <v>99.394999999999996</v>
      </c>
      <c r="I17" s="654">
        <v>0</v>
      </c>
      <c r="J17" s="655">
        <v>0</v>
      </c>
      <c r="K17" s="656">
        <v>0</v>
      </c>
      <c r="L17" s="638" t="s">
        <v>3866</v>
      </c>
      <c r="M17" s="639"/>
      <c r="N17" s="640"/>
      <c r="O17" s="641" t="s">
        <v>684</v>
      </c>
      <c r="P17" s="642">
        <v>-50000000</v>
      </c>
      <c r="Q17" s="643">
        <v>-28037.430210023202</v>
      </c>
      <c r="R17" s="644">
        <v>1460.64344067395</v>
      </c>
      <c r="S17" s="654">
        <v>0</v>
      </c>
      <c r="T17" s="654">
        <v>0</v>
      </c>
      <c r="U17" s="656">
        <v>0</v>
      </c>
      <c r="V17" s="654">
        <v>0</v>
      </c>
    </row>
    <row r="18" spans="1:22" ht="11.1" customHeight="1">
      <c r="A18" s="600" t="str">
        <f t="shared" si="0"/>
        <v>LIFFE EUROCHF;Total</v>
      </c>
      <c r="B18" s="600" t="str">
        <f t="shared" si="1"/>
        <v>IR Future</v>
      </c>
      <c r="C18" s="600" t="str">
        <f t="shared" si="1"/>
        <v>LIFFE EUROCHF</v>
      </c>
      <c r="D18" s="615"/>
      <c r="E18" s="615" t="s">
        <v>3912</v>
      </c>
      <c r="F18" s="616" t="s">
        <v>3913</v>
      </c>
      <c r="G18" s="631">
        <v>20</v>
      </c>
      <c r="H18" s="618">
        <v>0</v>
      </c>
      <c r="I18" s="652">
        <v>0</v>
      </c>
      <c r="J18" s="653">
        <v>0</v>
      </c>
      <c r="K18" s="618">
        <v>0</v>
      </c>
      <c r="L18" s="622"/>
      <c r="M18" s="623" t="s">
        <v>3914</v>
      </c>
      <c r="N18" s="624"/>
      <c r="O18" s="625" t="s">
        <v>1188</v>
      </c>
      <c r="P18" s="627">
        <v>20000000</v>
      </c>
      <c r="Q18" s="650">
        <v>-102655.60738211199</v>
      </c>
      <c r="R18" s="650">
        <v>-459.107929705993</v>
      </c>
      <c r="S18" s="652">
        <v>0</v>
      </c>
      <c r="T18" s="652">
        <v>0</v>
      </c>
      <c r="U18" s="618">
        <v>0</v>
      </c>
      <c r="V18" s="652">
        <v>0</v>
      </c>
    </row>
    <row r="19" spans="1:22" ht="11.1" customHeight="1">
      <c r="A19" s="600" t="str">
        <f t="shared" si="0"/>
        <v>LIFFE EUROCHF;DEC 16</v>
      </c>
      <c r="B19" s="600" t="str">
        <f t="shared" si="1"/>
        <v>IR Future</v>
      </c>
      <c r="C19" s="600" t="str">
        <f t="shared" si="1"/>
        <v>LIFFE EUROCHF</v>
      </c>
      <c r="D19" s="615"/>
      <c r="E19" s="615"/>
      <c r="F19" s="632">
        <v>42723</v>
      </c>
      <c r="G19" s="648">
        <v>20</v>
      </c>
      <c r="H19" s="634">
        <v>100.765</v>
      </c>
      <c r="I19" s="654">
        <v>0</v>
      </c>
      <c r="J19" s="655">
        <v>0</v>
      </c>
      <c r="K19" s="656">
        <v>0</v>
      </c>
      <c r="L19" s="638" t="s">
        <v>1060</v>
      </c>
      <c r="M19" s="639" t="s">
        <v>3914</v>
      </c>
      <c r="N19" s="640"/>
      <c r="O19" s="641" t="s">
        <v>1188</v>
      </c>
      <c r="P19" s="644">
        <v>20000000</v>
      </c>
      <c r="Q19" s="643">
        <v>-13720.414789596</v>
      </c>
      <c r="R19" s="643">
        <v>-459.107929705993</v>
      </c>
      <c r="S19" s="654">
        <v>0</v>
      </c>
      <c r="T19" s="654">
        <v>0</v>
      </c>
      <c r="U19" s="656">
        <v>0</v>
      </c>
      <c r="V19" s="654">
        <v>0</v>
      </c>
    </row>
    <row r="20" spans="1:22" ht="11.1" customHeight="1">
      <c r="A20" s="600" t="str">
        <f t="shared" si="0"/>
        <v>LIF EURIBOR 3M;Total</v>
      </c>
      <c r="B20" s="600" t="str">
        <f t="shared" ref="B20:C28" si="2">IF(ISBLANK(D20),B19,D20)</f>
        <v>IR Future</v>
      </c>
      <c r="C20" s="600" t="str">
        <f t="shared" si="2"/>
        <v>LIF EURIBOR 3M</v>
      </c>
      <c r="D20" s="615"/>
      <c r="E20" s="615" t="s">
        <v>1</v>
      </c>
      <c r="F20" s="616" t="s">
        <v>681</v>
      </c>
      <c r="G20" s="617">
        <v>-1201</v>
      </c>
      <c r="H20" s="618">
        <v>0</v>
      </c>
      <c r="I20" s="652">
        <v>0</v>
      </c>
      <c r="J20" s="653">
        <v>0</v>
      </c>
      <c r="K20" s="618">
        <v>0</v>
      </c>
      <c r="L20" s="622"/>
      <c r="M20" s="623" t="s">
        <v>682</v>
      </c>
      <c r="N20" s="624"/>
      <c r="O20" s="625" t="s">
        <v>208</v>
      </c>
      <c r="P20" s="626">
        <v>-1201000000</v>
      </c>
      <c r="Q20" s="650">
        <v>-306659.02718569798</v>
      </c>
      <c r="R20" s="627">
        <v>29595.660796299198</v>
      </c>
      <c r="S20" s="652">
        <v>0</v>
      </c>
      <c r="T20" s="652">
        <v>0</v>
      </c>
      <c r="U20" s="618">
        <v>0</v>
      </c>
      <c r="V20" s="652">
        <v>0</v>
      </c>
    </row>
    <row r="21" spans="1:22" ht="11.1" customHeight="1">
      <c r="A21" s="600" t="str">
        <f t="shared" si="0"/>
        <v>LIF EURIBOR 3M;DEC 16</v>
      </c>
      <c r="B21" s="600" t="str">
        <f t="shared" si="2"/>
        <v>IR Future</v>
      </c>
      <c r="C21" s="600" t="str">
        <f t="shared" si="2"/>
        <v>LIF EURIBOR 3M</v>
      </c>
      <c r="D21" s="615"/>
      <c r="E21" s="615"/>
      <c r="F21" s="632">
        <v>42723</v>
      </c>
      <c r="G21" s="633">
        <v>-100</v>
      </c>
      <c r="H21" s="634">
        <v>100.3075</v>
      </c>
      <c r="I21" s="654">
        <v>0</v>
      </c>
      <c r="J21" s="655">
        <v>0</v>
      </c>
      <c r="K21" s="656">
        <v>0</v>
      </c>
      <c r="L21" s="638" t="s">
        <v>1060</v>
      </c>
      <c r="M21" s="639" t="s">
        <v>682</v>
      </c>
      <c r="N21" s="640"/>
      <c r="O21" s="641" t="s">
        <v>208</v>
      </c>
      <c r="P21" s="642">
        <v>-100000000</v>
      </c>
      <c r="Q21" s="643">
        <v>-110108.50931575699</v>
      </c>
      <c r="R21" s="644">
        <v>2463.8582191815499</v>
      </c>
      <c r="S21" s="654">
        <v>0</v>
      </c>
      <c r="T21" s="654">
        <v>0</v>
      </c>
      <c r="U21" s="656">
        <v>0</v>
      </c>
      <c r="V21" s="654">
        <v>0</v>
      </c>
    </row>
    <row r="22" spans="1:22" ht="11.1" customHeight="1">
      <c r="A22" s="600" t="str">
        <f t="shared" si="0"/>
        <v>LIF EURIBOR 3M;MAR 17</v>
      </c>
      <c r="B22" s="600" t="str">
        <f t="shared" si="2"/>
        <v>IR Future</v>
      </c>
      <c r="C22" s="600" t="str">
        <f t="shared" si="2"/>
        <v>LIF EURIBOR 3M</v>
      </c>
      <c r="D22" s="615"/>
      <c r="E22" s="615"/>
      <c r="F22" s="632">
        <v>42807</v>
      </c>
      <c r="G22" s="633">
        <v>-100</v>
      </c>
      <c r="H22" s="634">
        <v>100.2925</v>
      </c>
      <c r="I22" s="654">
        <v>0</v>
      </c>
      <c r="J22" s="655">
        <v>0</v>
      </c>
      <c r="K22" s="656">
        <v>0</v>
      </c>
      <c r="L22" s="638" t="s">
        <v>1063</v>
      </c>
      <c r="M22" s="639" t="s">
        <v>682</v>
      </c>
      <c r="N22" s="640"/>
      <c r="O22" s="641" t="s">
        <v>208</v>
      </c>
      <c r="P22" s="642">
        <v>-100000000</v>
      </c>
      <c r="Q22" s="643">
        <v>-69792.615306295294</v>
      </c>
      <c r="R22" s="644">
        <v>2463.9106164418199</v>
      </c>
      <c r="S22" s="654">
        <v>0</v>
      </c>
      <c r="T22" s="654">
        <v>0</v>
      </c>
      <c r="U22" s="656">
        <v>0</v>
      </c>
      <c r="V22" s="654">
        <v>0</v>
      </c>
    </row>
    <row r="23" spans="1:22" ht="11.1" customHeight="1">
      <c r="A23" s="600" t="str">
        <f t="shared" si="0"/>
        <v>LIF EURIBOR 3M;JUN 17</v>
      </c>
      <c r="B23" s="600" t="str">
        <f t="shared" si="2"/>
        <v>IR Future</v>
      </c>
      <c r="C23" s="600" t="str">
        <f t="shared" si="2"/>
        <v>LIF EURIBOR 3M</v>
      </c>
      <c r="D23" s="615"/>
      <c r="E23" s="615"/>
      <c r="F23" s="632">
        <v>42905</v>
      </c>
      <c r="G23" s="633">
        <v>-400</v>
      </c>
      <c r="H23" s="634">
        <v>100.2775</v>
      </c>
      <c r="I23" s="654">
        <v>0</v>
      </c>
      <c r="J23" s="655">
        <v>0</v>
      </c>
      <c r="K23" s="656">
        <v>0</v>
      </c>
      <c r="L23" s="638" t="s">
        <v>1066</v>
      </c>
      <c r="M23" s="639" t="s">
        <v>682</v>
      </c>
      <c r="N23" s="640"/>
      <c r="O23" s="641" t="s">
        <v>208</v>
      </c>
      <c r="P23" s="642">
        <v>-400000000</v>
      </c>
      <c r="Q23" s="643">
        <v>-481932.63279719203</v>
      </c>
      <c r="R23" s="644">
        <v>9856.0205479590695</v>
      </c>
      <c r="S23" s="654">
        <v>0</v>
      </c>
      <c r="T23" s="654">
        <v>0</v>
      </c>
      <c r="U23" s="656">
        <v>0</v>
      </c>
      <c r="V23" s="654">
        <v>0</v>
      </c>
    </row>
    <row r="24" spans="1:22" ht="11.1" customHeight="1">
      <c r="A24" s="600" t="str">
        <f t="shared" si="0"/>
        <v>LIF EURIBOR 3M;SEP 17</v>
      </c>
      <c r="B24" s="600" t="str">
        <f t="shared" si="2"/>
        <v>IR Future</v>
      </c>
      <c r="C24" s="600" t="str">
        <f t="shared" si="2"/>
        <v>LIF EURIBOR 3M</v>
      </c>
      <c r="D24" s="615"/>
      <c r="E24" s="615"/>
      <c r="F24" s="632">
        <v>42996</v>
      </c>
      <c r="G24" s="633">
        <v>-200</v>
      </c>
      <c r="H24" s="634">
        <v>100.25749999999999</v>
      </c>
      <c r="I24" s="654">
        <v>0</v>
      </c>
      <c r="J24" s="655">
        <v>0</v>
      </c>
      <c r="K24" s="656">
        <v>0</v>
      </c>
      <c r="L24" s="638" t="s">
        <v>1069</v>
      </c>
      <c r="M24" s="639" t="s">
        <v>682</v>
      </c>
      <c r="N24" s="640"/>
      <c r="O24" s="641" t="s">
        <v>208</v>
      </c>
      <c r="P24" s="642">
        <v>-200000000</v>
      </c>
      <c r="Q24" s="643">
        <v>-99417.868814169895</v>
      </c>
      <c r="R24" s="644">
        <v>4928.2976027466602</v>
      </c>
      <c r="S24" s="654">
        <v>0</v>
      </c>
      <c r="T24" s="654">
        <v>0</v>
      </c>
      <c r="U24" s="656">
        <v>0</v>
      </c>
      <c r="V24" s="654">
        <v>0</v>
      </c>
    </row>
    <row r="25" spans="1:22" ht="11.1" customHeight="1">
      <c r="A25" s="600" t="str">
        <f t="shared" si="0"/>
        <v>LIF EURIBOR 3M;DEC 17</v>
      </c>
      <c r="B25" s="600" t="str">
        <f t="shared" si="2"/>
        <v>IR Future</v>
      </c>
      <c r="C25" s="600" t="str">
        <f t="shared" si="2"/>
        <v>LIF EURIBOR 3M</v>
      </c>
      <c r="D25" s="615"/>
      <c r="E25" s="615"/>
      <c r="F25" s="632">
        <v>43087</v>
      </c>
      <c r="G25" s="633">
        <v>-100</v>
      </c>
      <c r="H25" s="634">
        <v>100.24250000000001</v>
      </c>
      <c r="I25" s="654">
        <v>0</v>
      </c>
      <c r="J25" s="655">
        <v>0</v>
      </c>
      <c r="K25" s="656">
        <v>0</v>
      </c>
      <c r="L25" s="638" t="s">
        <v>3865</v>
      </c>
      <c r="M25" s="639" t="s">
        <v>682</v>
      </c>
      <c r="N25" s="640"/>
      <c r="O25" s="641" t="s">
        <v>208</v>
      </c>
      <c r="P25" s="642">
        <v>-100000000</v>
      </c>
      <c r="Q25" s="643">
        <v>-27079.136484512001</v>
      </c>
      <c r="R25" s="644">
        <v>2464.25924658233</v>
      </c>
      <c r="S25" s="654">
        <v>0</v>
      </c>
      <c r="T25" s="654">
        <v>0</v>
      </c>
      <c r="U25" s="656">
        <v>0</v>
      </c>
      <c r="V25" s="654">
        <v>0</v>
      </c>
    </row>
    <row r="26" spans="1:22" ht="11.1" customHeight="1">
      <c r="A26" s="600" t="str">
        <f t="shared" si="0"/>
        <v>LIF EURIBOR 3M;JUN 18</v>
      </c>
      <c r="B26" s="600" t="str">
        <f t="shared" si="2"/>
        <v>IR Future</v>
      </c>
      <c r="C26" s="600" t="str">
        <f t="shared" si="2"/>
        <v>LIF EURIBOR 3M</v>
      </c>
      <c r="D26" s="615"/>
      <c r="E26" s="615"/>
      <c r="F26" s="632">
        <v>43269</v>
      </c>
      <c r="G26" s="633">
        <v>-1</v>
      </c>
      <c r="H26" s="634">
        <v>100.1875</v>
      </c>
      <c r="I26" s="654">
        <v>0</v>
      </c>
      <c r="J26" s="655">
        <v>0</v>
      </c>
      <c r="K26" s="656">
        <v>0</v>
      </c>
      <c r="L26" s="638" t="s">
        <v>3889</v>
      </c>
      <c r="M26" s="639" t="s">
        <v>682</v>
      </c>
      <c r="N26" s="640"/>
      <c r="O26" s="641" t="s">
        <v>208</v>
      </c>
      <c r="P26" s="642">
        <v>-1000000</v>
      </c>
      <c r="Q26" s="644">
        <v>606.68041338491003</v>
      </c>
      <c r="R26" s="644">
        <v>24.645727739813601</v>
      </c>
      <c r="S26" s="654">
        <v>0</v>
      </c>
      <c r="T26" s="654">
        <v>0</v>
      </c>
      <c r="U26" s="656">
        <v>0</v>
      </c>
      <c r="V26" s="654">
        <v>0</v>
      </c>
    </row>
    <row r="27" spans="1:22" ht="11.1" customHeight="1">
      <c r="A27" s="600" t="str">
        <f t="shared" si="0"/>
        <v>LIF EURIBOR 3M;SEP 18</v>
      </c>
      <c r="B27" s="600" t="str">
        <f t="shared" si="2"/>
        <v>IR Future</v>
      </c>
      <c r="C27" s="600" t="str">
        <f t="shared" si="2"/>
        <v>LIF EURIBOR 3M</v>
      </c>
      <c r="D27" s="615"/>
      <c r="E27" s="615"/>
      <c r="F27" s="632">
        <v>43360</v>
      </c>
      <c r="G27" s="633">
        <v>-200</v>
      </c>
      <c r="H27" s="634">
        <v>100.1525</v>
      </c>
      <c r="I27" s="654">
        <v>0</v>
      </c>
      <c r="J27" s="655">
        <v>0</v>
      </c>
      <c r="K27" s="656">
        <v>0</v>
      </c>
      <c r="L27" s="638" t="s">
        <v>3890</v>
      </c>
      <c r="M27" s="639" t="s">
        <v>682</v>
      </c>
      <c r="N27" s="640"/>
      <c r="O27" s="641" t="s">
        <v>208</v>
      </c>
      <c r="P27" s="642">
        <v>-200000000</v>
      </c>
      <c r="Q27" s="644">
        <v>105031.01736029499</v>
      </c>
      <c r="R27" s="644">
        <v>4929.6078767333502</v>
      </c>
      <c r="S27" s="654">
        <v>0</v>
      </c>
      <c r="T27" s="654">
        <v>0</v>
      </c>
      <c r="U27" s="656">
        <v>0</v>
      </c>
      <c r="V27" s="654">
        <v>0</v>
      </c>
    </row>
    <row r="28" spans="1:22" ht="11.1" customHeight="1">
      <c r="A28" s="600" t="str">
        <f t="shared" si="0"/>
        <v>LIF EURIBOR 3M;DEC 18</v>
      </c>
      <c r="B28" s="600" t="str">
        <f t="shared" si="2"/>
        <v>IR Future</v>
      </c>
      <c r="C28" s="600" t="str">
        <f t="shared" si="2"/>
        <v>LIF EURIBOR 3M</v>
      </c>
      <c r="D28" s="615"/>
      <c r="E28" s="615"/>
      <c r="F28" s="632">
        <v>43451</v>
      </c>
      <c r="G28" s="633">
        <v>-100</v>
      </c>
      <c r="H28" s="634">
        <v>100.1125</v>
      </c>
      <c r="I28" s="654">
        <v>0</v>
      </c>
      <c r="J28" s="655">
        <v>0</v>
      </c>
      <c r="K28" s="656">
        <v>0</v>
      </c>
      <c r="L28" s="638" t="s">
        <v>4821</v>
      </c>
      <c r="M28" s="639" t="s">
        <v>682</v>
      </c>
      <c r="N28" s="640"/>
      <c r="O28" s="641" t="s">
        <v>208</v>
      </c>
      <c r="P28" s="642">
        <v>-100000000</v>
      </c>
      <c r="Q28" s="644">
        <v>60642.603239796197</v>
      </c>
      <c r="R28" s="644">
        <v>2465.0609589146102</v>
      </c>
      <c r="S28" s="654">
        <v>0</v>
      </c>
      <c r="T28" s="654">
        <v>0</v>
      </c>
      <c r="U28" s="656">
        <v>0</v>
      </c>
      <c r="V28" s="654">
        <v>0</v>
      </c>
    </row>
  </sheetData>
  <mergeCells count="8">
    <mergeCell ref="D2:D5"/>
    <mergeCell ref="E2:E3"/>
    <mergeCell ref="E4:E5"/>
    <mergeCell ref="D6:D28"/>
    <mergeCell ref="E6:E13"/>
    <mergeCell ref="E14:E17"/>
    <mergeCell ref="E18:E19"/>
    <mergeCell ref="E20:E28"/>
  </mergeCells>
  <pageMargins left="0" right="0" top="0" bottom="0" header="0.5" footer="0.5"/>
  <pageSetup paperSize="9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C000"/>
  </sheetPr>
  <dimension ref="A1:AB63"/>
  <sheetViews>
    <sheetView workbookViewId="0">
      <pane xSplit="5" ySplit="3" topLeftCell="F4" activePane="bottomRight" state="frozen"/>
      <selection pane="topRight" activeCell="B1" sqref="B1"/>
      <selection pane="bottomLeft" activeCell="A4" sqref="A4"/>
      <selection pane="bottomRight" activeCell="H38" sqref="H38"/>
    </sheetView>
  </sheetViews>
  <sheetFormatPr defaultRowHeight="15"/>
  <cols>
    <col min="1" max="1" width="8.7109375" style="598" customWidth="1"/>
    <col min="2" max="2" width="12.140625" style="598" bestFit="1" customWidth="1"/>
    <col min="3" max="3" width="12.5703125" style="598" bestFit="1" customWidth="1"/>
    <col min="4" max="4" width="8.5703125" style="598" customWidth="1"/>
    <col min="5" max="5" width="7.85546875" style="598" customWidth="1"/>
    <col min="6" max="6" width="22.7109375" style="598" customWidth="1"/>
    <col min="7" max="7" width="23.42578125" style="598" customWidth="1"/>
    <col min="8" max="8" width="20.42578125" style="598" customWidth="1"/>
    <col min="9" max="9" width="23.42578125" style="598" customWidth="1"/>
    <col min="10" max="11" width="22.7109375" style="598" customWidth="1"/>
    <col min="12" max="12" width="21" style="598" customWidth="1"/>
    <col min="13" max="13" width="20.42578125" style="598" customWidth="1"/>
    <col min="14" max="14" width="23.42578125" style="598" customWidth="1"/>
    <col min="15" max="15" width="23.28515625" style="598" customWidth="1"/>
    <col min="16" max="16" width="23.42578125" style="598" customWidth="1"/>
    <col min="17" max="17" width="23.85546875" style="598" customWidth="1"/>
    <col min="18" max="18" width="19.28515625" style="598" customWidth="1"/>
    <col min="19" max="19" width="19.85546875" style="598" customWidth="1"/>
    <col min="20" max="20" width="22.7109375" style="598" customWidth="1"/>
    <col min="21" max="21" width="23.28515625" style="598" customWidth="1"/>
    <col min="22" max="22" width="23.42578125" style="598" customWidth="1"/>
    <col min="23" max="23" width="23.85546875" style="598" customWidth="1"/>
    <col min="24" max="25" width="23.42578125" style="598" customWidth="1"/>
    <col min="26" max="26" width="18.7109375" style="598" customWidth="1"/>
    <col min="27" max="27" width="19.28515625" style="598" customWidth="1"/>
    <col min="28" max="28" width="23.28515625" style="598" customWidth="1"/>
    <col min="29" max="16384" width="9.140625" style="598"/>
  </cols>
  <sheetData>
    <row r="1" spans="1:28" ht="11.1" customHeight="1">
      <c r="A1" s="380" t="b">
        <f>AND(B2:D2)</f>
        <v>1</v>
      </c>
      <c r="B1" s="600"/>
      <c r="C1" s="600"/>
      <c r="D1" s="600"/>
      <c r="E1" s="657" t="s">
        <v>206</v>
      </c>
      <c r="F1" s="657" t="s">
        <v>683</v>
      </c>
      <c r="G1" s="657"/>
      <c r="H1" s="657"/>
      <c r="I1" s="657"/>
      <c r="J1" s="657"/>
      <c r="K1" s="657"/>
      <c r="L1" s="657"/>
      <c r="M1" s="657"/>
      <c r="N1" s="657"/>
      <c r="O1" s="657"/>
      <c r="P1" s="657"/>
      <c r="Q1" s="657"/>
      <c r="R1" s="657"/>
      <c r="S1" s="657"/>
      <c r="T1" s="657"/>
      <c r="U1" s="657"/>
      <c r="V1" s="657"/>
      <c r="W1" s="657"/>
      <c r="X1" s="657"/>
      <c r="Y1" s="657"/>
      <c r="Z1" s="657"/>
      <c r="AA1" s="657"/>
      <c r="AB1" s="657"/>
    </row>
    <row r="2" spans="1:28" ht="11.1" customHeight="1">
      <c r="A2" s="600" t="s">
        <v>1014</v>
      </c>
      <c r="B2" s="600" t="b">
        <f t="array" ref="B2">SUM(IF(LEFT(E3:AA3,3)="EUR",1,0))&gt;0</f>
        <v>1</v>
      </c>
      <c r="C2" s="600" t="b">
        <f t="array" ref="C2">SUM(IF(LEFT(E3:AA3,3)="USD",1,0))&gt;0</f>
        <v>1</v>
      </c>
      <c r="D2" s="600" t="b">
        <f>E3="Bucket"</f>
        <v>1</v>
      </c>
      <c r="E2" s="658"/>
      <c r="F2" s="659" t="s">
        <v>208</v>
      </c>
      <c r="G2" s="659"/>
      <c r="H2" s="659"/>
      <c r="I2" s="659"/>
      <c r="J2" s="659"/>
      <c r="K2" s="659"/>
      <c r="L2" s="659"/>
      <c r="M2" s="659"/>
      <c r="N2" s="659" t="s">
        <v>684</v>
      </c>
      <c r="O2" s="659"/>
      <c r="P2" s="659"/>
      <c r="Q2" s="659"/>
      <c r="R2" s="659"/>
      <c r="S2" s="659"/>
      <c r="T2" s="659"/>
      <c r="U2" s="659" t="s">
        <v>635</v>
      </c>
      <c r="V2" s="659"/>
      <c r="W2" s="659"/>
      <c r="X2" s="659"/>
      <c r="Y2" s="659"/>
      <c r="Z2" s="659"/>
      <c r="AA2" s="659"/>
      <c r="AB2" s="659"/>
    </row>
    <row r="3" spans="1:28" ht="11.1" customHeight="1">
      <c r="A3" s="613" t="s">
        <v>228</v>
      </c>
      <c r="B3" s="613" t="s">
        <v>749</v>
      </c>
      <c r="C3" s="613" t="s">
        <v>1175</v>
      </c>
      <c r="D3" s="613" t="s">
        <v>750</v>
      </c>
      <c r="E3" s="660" t="s">
        <v>206</v>
      </c>
      <c r="F3" s="661" t="s">
        <v>685</v>
      </c>
      <c r="G3" s="662" t="s">
        <v>195</v>
      </c>
      <c r="H3" s="662" t="s">
        <v>87</v>
      </c>
      <c r="I3" s="662" t="s">
        <v>88</v>
      </c>
      <c r="J3" s="662" t="s">
        <v>89</v>
      </c>
      <c r="K3" s="662" t="s">
        <v>196</v>
      </c>
      <c r="L3" s="662" t="s">
        <v>173</v>
      </c>
      <c r="M3" s="662" t="s">
        <v>172</v>
      </c>
      <c r="N3" s="661" t="s">
        <v>686</v>
      </c>
      <c r="O3" s="662" t="s">
        <v>687</v>
      </c>
      <c r="P3" s="662" t="s">
        <v>688</v>
      </c>
      <c r="Q3" s="662" t="s">
        <v>689</v>
      </c>
      <c r="R3" s="662" t="s">
        <v>5176</v>
      </c>
      <c r="S3" s="662" t="s">
        <v>690</v>
      </c>
      <c r="T3" s="662" t="s">
        <v>1166</v>
      </c>
      <c r="U3" s="661" t="s">
        <v>691</v>
      </c>
      <c r="V3" s="662" t="s">
        <v>649</v>
      </c>
      <c r="W3" s="662" t="s">
        <v>651</v>
      </c>
      <c r="X3" s="662" t="s">
        <v>653</v>
      </c>
      <c r="Y3" s="662" t="s">
        <v>655</v>
      </c>
      <c r="Z3" s="662" t="s">
        <v>3334</v>
      </c>
      <c r="AA3" s="662" t="s">
        <v>657</v>
      </c>
      <c r="AB3" s="662" t="s">
        <v>1164</v>
      </c>
    </row>
    <row r="4" spans="1:28" ht="11.1" customHeight="1">
      <c r="A4" s="600" t="str">
        <f>E4</f>
        <v>Total</v>
      </c>
      <c r="B4" s="663">
        <f t="array" ref="B4">SUMPRODUCT(E4:AA4,IF(ISERROR(MATCH(E$3:AA$3,{"EUR 1Y","EUR 3M","EUR 6M","EUR :STD"},0)),0,1))</f>
        <v>-33987.011645974591</v>
      </c>
      <c r="C4" s="663">
        <f t="array" ref="C4">SUMPRODUCT(E4:AA4,IF(ISERROR(MATCH(E$3:AA$3,{"USD 1M","USD 3M","USD 6M","USD :STD"},0)),0,1))</f>
        <v>-2248.3242705255525</v>
      </c>
      <c r="D4" s="600" t="b">
        <f>MID(E4,4,1)=" "</f>
        <v>0</v>
      </c>
      <c r="E4" s="664" t="s">
        <v>636</v>
      </c>
      <c r="F4" s="612">
        <v>-60597.369144074597</v>
      </c>
      <c r="G4" s="612">
        <v>-23548.455443389899</v>
      </c>
      <c r="H4" s="612">
        <v>-14359.567880684701</v>
      </c>
      <c r="I4" s="612">
        <v>-3923.5003547418801</v>
      </c>
      <c r="J4" s="612">
        <v>-16806.277571190301</v>
      </c>
      <c r="K4" s="610">
        <v>1102.33416064229</v>
      </c>
      <c r="L4" s="612">
        <v>-216840.15580643501</v>
      </c>
      <c r="M4" s="610">
        <v>213778.253751702</v>
      </c>
      <c r="N4" s="610">
        <v>682.28771470885101</v>
      </c>
      <c r="O4" s="610">
        <v>5692.7914371319903</v>
      </c>
      <c r="P4" s="610">
        <v>3412.1773284628798</v>
      </c>
      <c r="Q4" s="612">
        <v>-2.3444934396260699E-3</v>
      </c>
      <c r="R4" s="612">
        <v>-87.050642468827903</v>
      </c>
      <c r="S4" s="610">
        <v>3.63060091496037</v>
      </c>
      <c r="T4" s="612">
        <v>-8339.2586648383894</v>
      </c>
      <c r="U4" s="610">
        <v>7920.3198510719303</v>
      </c>
      <c r="V4" s="610">
        <v>7461.6448901950498</v>
      </c>
      <c r="W4" s="612">
        <v>-8859.2892595756093</v>
      </c>
      <c r="X4" s="612">
        <v>-952.83711970899105</v>
      </c>
      <c r="Y4" s="610">
        <v>102.157218563998</v>
      </c>
      <c r="Z4" s="610">
        <v>386.00176389548699</v>
      </c>
      <c r="AA4" s="612">
        <v>-6634.6114429051704</v>
      </c>
      <c r="AB4" s="610">
        <v>16417.2538006098</v>
      </c>
    </row>
    <row r="5" spans="1:28" ht="11.1" customHeight="1">
      <c r="A5" s="600" t="str">
        <f t="shared" ref="A5:A63" si="0">E5</f>
        <v>O/N</v>
      </c>
      <c r="B5" s="663">
        <f t="array" ref="B5">SUMPRODUCT(E5:AA5,IF(ISERROR(MATCH(E$3:AA$3,{"EUR 1Y","EUR 3M","EUR 6M","EUR :STD"},0)),0,1))</f>
        <v>98.256493308066894</v>
      </c>
      <c r="C5" s="663">
        <f t="array" ref="C5">SUMPRODUCT(E5:AA5,IF(ISERROR(MATCH(E$3:AA$3,{"USD 1M","USD 3M","USD 6M","USD :STD"},0)),0,1))</f>
        <v>1.1693319235954629</v>
      </c>
      <c r="D5" s="600" t="b">
        <f t="shared" ref="D5:D63" si="1">MID(E5,4,1)=" "</f>
        <v>0</v>
      </c>
      <c r="E5" s="665" t="s">
        <v>3</v>
      </c>
      <c r="F5" s="610">
        <v>245.051033668353</v>
      </c>
      <c r="G5" s="666">
        <v>0</v>
      </c>
      <c r="H5" s="666">
        <v>0</v>
      </c>
      <c r="I5" s="666">
        <v>0</v>
      </c>
      <c r="J5" s="666">
        <v>0</v>
      </c>
      <c r="K5" s="667">
        <v>98.256493308066894</v>
      </c>
      <c r="L5" s="667">
        <v>5.9109214423654697</v>
      </c>
      <c r="M5" s="667">
        <v>140.88361891792101</v>
      </c>
      <c r="N5" s="612">
        <v>-107.40962213662699</v>
      </c>
      <c r="O5" s="668">
        <v>-69.185610504320707</v>
      </c>
      <c r="P5" s="667">
        <v>11.652209237870601</v>
      </c>
      <c r="Q5" s="668">
        <v>-1.7583646580594399E-3</v>
      </c>
      <c r="R5" s="668">
        <v>-65.287780546303694</v>
      </c>
      <c r="S5" s="667">
        <v>2.7229422903808902</v>
      </c>
      <c r="T5" s="667">
        <v>12.690375750404099</v>
      </c>
      <c r="U5" s="610">
        <v>46.452881909449097</v>
      </c>
      <c r="V5" s="667">
        <v>4.0687248015203202E-10</v>
      </c>
      <c r="W5" s="668">
        <v>-1.55573330961952E-3</v>
      </c>
      <c r="X5" s="668">
        <v>-8.1405900466749398E-9</v>
      </c>
      <c r="Y5" s="667">
        <v>1.1708876646388</v>
      </c>
      <c r="Z5" s="667">
        <v>289.49880995997501</v>
      </c>
      <c r="AA5" s="668">
        <v>-351.64001307801999</v>
      </c>
      <c r="AB5" s="667">
        <v>107.424753103897</v>
      </c>
    </row>
    <row r="6" spans="1:28" ht="11.1" customHeight="1">
      <c r="A6" s="600" t="str">
        <f t="shared" si="0"/>
        <v>T/N</v>
      </c>
      <c r="B6" s="663">
        <f t="array" ref="B6">SUMPRODUCT(E6:AA6,IF(ISERROR(MATCH(E$3:AA$3,{"EUR 1Y","EUR 3M","EUR 6M","EUR :STD"},0)),0,1))</f>
        <v>32.5284007902479</v>
      </c>
      <c r="C6" s="663">
        <f t="array" ref="C6">SUMPRODUCT(E6:AA6,IF(ISERROR(MATCH(E$3:AA$3,{"USD 1M","USD 3M","USD 6M","USD :STD"},0)),0,1))</f>
        <v>0.38979083926400421</v>
      </c>
      <c r="D6" s="600" t="b">
        <f t="shared" si="1"/>
        <v>0</v>
      </c>
      <c r="E6" s="665" t="s">
        <v>4</v>
      </c>
      <c r="F6" s="610">
        <v>15.4779091793755</v>
      </c>
      <c r="G6" s="666">
        <v>0</v>
      </c>
      <c r="H6" s="666">
        <v>0</v>
      </c>
      <c r="I6" s="666">
        <v>0</v>
      </c>
      <c r="J6" s="666">
        <v>0</v>
      </c>
      <c r="K6" s="667">
        <v>32.5284007902479</v>
      </c>
      <c r="L6" s="668">
        <v>-95.644870983273094</v>
      </c>
      <c r="M6" s="667">
        <v>78.594379372398507</v>
      </c>
      <c r="N6" s="612">
        <v>-32.042085224786597</v>
      </c>
      <c r="O6" s="668">
        <v>-23.062371728177599</v>
      </c>
      <c r="P6" s="667">
        <v>3.8841939451616101</v>
      </c>
      <c r="Q6" s="668">
        <v>-5.8612878156662402E-4</v>
      </c>
      <c r="R6" s="668">
        <v>-21.762861922524198</v>
      </c>
      <c r="S6" s="667">
        <v>0.907658624579472</v>
      </c>
      <c r="T6" s="667">
        <v>7.9918819849556897</v>
      </c>
      <c r="U6" s="610">
        <v>10.5780002722619</v>
      </c>
      <c r="V6" s="667">
        <v>1.3837109236192199E-10</v>
      </c>
      <c r="W6" s="668">
        <v>-5.1859406528468796E-4</v>
      </c>
      <c r="X6" s="668">
        <v>-3.4235991836634201E-9</v>
      </c>
      <c r="Y6" s="667">
        <v>0.390309436614517</v>
      </c>
      <c r="Z6" s="667">
        <v>96.502953935511897</v>
      </c>
      <c r="AA6" s="668">
        <v>-134.59853912377301</v>
      </c>
      <c r="AB6" s="667">
        <v>48.283794621259297</v>
      </c>
    </row>
    <row r="7" spans="1:28" ht="11.1" customHeight="1">
      <c r="A7" s="600" t="str">
        <f t="shared" si="0"/>
        <v>S/N</v>
      </c>
      <c r="B7" s="663">
        <f t="array" ref="B7">SUMPRODUCT(E7:AA7,IF(ISERROR(MATCH(E$3:AA$3,{"EUR 1Y","EUR 3M","EUR 6M","EUR :STD"},0)),0,1))</f>
        <v>427.52005442993959</v>
      </c>
      <c r="C7" s="663">
        <f t="array" ref="C7">SUMPRODUCT(E7:AA7,IF(ISERROR(MATCH(E$3:AA$3,{"USD 1M","USD 3M","USD 6M","USD :STD"},0)),0,1))</f>
        <v>-2.6764453629496261</v>
      </c>
      <c r="D7" s="600" t="b">
        <f t="shared" si="1"/>
        <v>0</v>
      </c>
      <c r="E7" s="665" t="s">
        <v>23</v>
      </c>
      <c r="F7" s="610">
        <v>532.45341032346005</v>
      </c>
      <c r="G7" s="667">
        <v>122.969904945864</v>
      </c>
      <c r="H7" s="667">
        <v>7.1042012957035903</v>
      </c>
      <c r="I7" s="667">
        <v>185.41702314419899</v>
      </c>
      <c r="J7" s="667">
        <v>234.998829990037</v>
      </c>
      <c r="K7" s="666">
        <v>0</v>
      </c>
      <c r="L7" s="667">
        <v>2.1093661003686499E-2</v>
      </c>
      <c r="M7" s="668">
        <v>-18.0576427133484</v>
      </c>
      <c r="N7" s="610">
        <v>49.409862491727203</v>
      </c>
      <c r="O7" s="667">
        <v>69.1800618067074</v>
      </c>
      <c r="P7" s="667">
        <v>15.3861444494464</v>
      </c>
      <c r="Q7" s="666">
        <v>0</v>
      </c>
      <c r="R7" s="666">
        <v>0</v>
      </c>
      <c r="S7" s="666">
        <v>0</v>
      </c>
      <c r="T7" s="668">
        <v>-35.156343764426701</v>
      </c>
      <c r="U7" s="610">
        <v>49.135859632009399</v>
      </c>
      <c r="V7" s="668">
        <v>-0.36732878072928399</v>
      </c>
      <c r="W7" s="668">
        <v>-0.544531578855593</v>
      </c>
      <c r="X7" s="668">
        <v>-1.54088090725778</v>
      </c>
      <c r="Y7" s="668">
        <v>-0.22370409610696901</v>
      </c>
      <c r="Z7" s="666">
        <v>0</v>
      </c>
      <c r="AA7" s="666">
        <v>0</v>
      </c>
      <c r="AB7" s="667">
        <v>51.812304994959099</v>
      </c>
    </row>
    <row r="8" spans="1:28" ht="11.1" customHeight="1">
      <c r="A8" s="600" t="str">
        <f t="shared" si="0"/>
        <v>1W</v>
      </c>
      <c r="B8" s="663">
        <f t="array" ref="B8">SUMPRODUCT(E8:AA8,IF(ISERROR(MATCH(E$3:AA$3,{"EUR 1Y","EUR 3M","EUR 6M","EUR :STD"},0)),0,1))</f>
        <v>-245.06858088234151</v>
      </c>
      <c r="C8" s="663">
        <f t="array" ref="C8">SUMPRODUCT(E8:AA8,IF(ISERROR(MATCH(E$3:AA$3,{"USD 1M","USD 3M","USD 6M","USD :STD"},0)),0,1))</f>
        <v>206.15795628400681</v>
      </c>
      <c r="D8" s="600" t="b">
        <f t="shared" si="1"/>
        <v>0</v>
      </c>
      <c r="E8" s="665" t="s">
        <v>5</v>
      </c>
      <c r="F8" s="610">
        <v>1168.06353637906</v>
      </c>
      <c r="G8" s="667">
        <v>1302.1294182797899</v>
      </c>
      <c r="H8" s="666">
        <v>0</v>
      </c>
      <c r="I8" s="667">
        <v>223.329199650417</v>
      </c>
      <c r="J8" s="668">
        <v>-468.387347944505</v>
      </c>
      <c r="K8" s="668">
        <v>-1.04325882535098E-2</v>
      </c>
      <c r="L8" s="667">
        <v>0.273063843669621</v>
      </c>
      <c r="M8" s="667">
        <v>110.729635137942</v>
      </c>
      <c r="N8" s="610">
        <v>14.249446885742801</v>
      </c>
      <c r="O8" s="668">
        <v>-16.5284917942313</v>
      </c>
      <c r="P8" s="667">
        <v>30.9477956518284</v>
      </c>
      <c r="Q8" s="666">
        <v>0</v>
      </c>
      <c r="R8" s="666">
        <v>0</v>
      </c>
      <c r="S8" s="666">
        <v>0</v>
      </c>
      <c r="T8" s="668">
        <v>-0.169856971854668</v>
      </c>
      <c r="U8" s="612">
        <v>-66.081418751758406</v>
      </c>
      <c r="V8" s="667">
        <v>39.156965284602201</v>
      </c>
      <c r="W8" s="667">
        <v>151.49301426316401</v>
      </c>
      <c r="X8" s="667">
        <v>15.5079767362406</v>
      </c>
      <c r="Y8" s="666">
        <v>0</v>
      </c>
      <c r="Z8" s="666">
        <v>0</v>
      </c>
      <c r="AA8" s="666">
        <v>0</v>
      </c>
      <c r="AB8" s="668">
        <v>-272.23937503576502</v>
      </c>
    </row>
    <row r="9" spans="1:28" ht="11.1" customHeight="1">
      <c r="A9" s="600" t="str">
        <f t="shared" si="0"/>
        <v>2W</v>
      </c>
      <c r="B9" s="663">
        <f t="array" ref="B9">SUMPRODUCT(E9:AA9,IF(ISERROR(MATCH(E$3:AA$3,{"EUR 1Y","EUR 3M","EUR 6M","EUR :STD"},0)),0,1))</f>
        <v>-294.9873466389484</v>
      </c>
      <c r="C9" s="663">
        <f t="array" ref="C9">SUMPRODUCT(E9:AA9,IF(ISERROR(MATCH(E$3:AA$3,{"USD 1M","USD 3M","USD 6M","USD :STD"},0)),0,1))</f>
        <v>-233.51086184545647</v>
      </c>
      <c r="D9" s="600" t="b">
        <f t="shared" si="1"/>
        <v>0</v>
      </c>
      <c r="E9" s="665" t="s">
        <v>6</v>
      </c>
      <c r="F9" s="612">
        <v>-515.61841317496805</v>
      </c>
      <c r="G9" s="668">
        <v>-226.32215908740301</v>
      </c>
      <c r="H9" s="666">
        <v>0</v>
      </c>
      <c r="I9" s="667">
        <v>269.63681250909099</v>
      </c>
      <c r="J9" s="668">
        <v>-560.41746517148999</v>
      </c>
      <c r="K9" s="668">
        <v>-4.2066939765493796</v>
      </c>
      <c r="L9" s="668">
        <v>-0.106710609743929</v>
      </c>
      <c r="M9" s="667">
        <v>5.7978031611289804</v>
      </c>
      <c r="N9" s="612">
        <v>-381.41675903023997</v>
      </c>
      <c r="O9" s="668">
        <v>-392.32444939957998</v>
      </c>
      <c r="P9" s="668">
        <v>-2.14854581342968</v>
      </c>
      <c r="Q9" s="666">
        <v>0</v>
      </c>
      <c r="R9" s="666">
        <v>0</v>
      </c>
      <c r="S9" s="666">
        <v>0</v>
      </c>
      <c r="T9" s="667">
        <v>13.0562361827691</v>
      </c>
      <c r="U9" s="612">
        <v>-251.77221223428199</v>
      </c>
      <c r="V9" s="668">
        <v>-47.926665392290701</v>
      </c>
      <c r="W9" s="668">
        <v>-189.82349110203799</v>
      </c>
      <c r="X9" s="667">
        <v>4.2392946488721996</v>
      </c>
      <c r="Y9" s="666">
        <v>0</v>
      </c>
      <c r="Z9" s="666">
        <v>0</v>
      </c>
      <c r="AA9" s="666">
        <v>0</v>
      </c>
      <c r="AB9" s="668">
        <v>-18.261350388825999</v>
      </c>
    </row>
    <row r="10" spans="1:28" ht="11.1" customHeight="1">
      <c r="A10" s="600" t="str">
        <f t="shared" si="0"/>
        <v>3W</v>
      </c>
      <c r="B10" s="663">
        <f t="array" ref="B10">SUMPRODUCT(E10:AA10,IF(ISERROR(MATCH(E$3:AA$3,{"EUR 1Y","EUR 3M","EUR 6M","EUR :STD"},0)),0,1))</f>
        <v>-1771.0059471450334</v>
      </c>
      <c r="C10" s="663">
        <f t="array" ref="C10">SUMPRODUCT(E10:AA10,IF(ISERROR(MATCH(E$3:AA$3,{"USD 1M","USD 3M","USD 6M","USD :STD"},0)),0,1))</f>
        <v>-2068.7770464077194</v>
      </c>
      <c r="D10" s="600" t="b">
        <f t="shared" si="1"/>
        <v>0</v>
      </c>
      <c r="E10" s="665" t="s">
        <v>24</v>
      </c>
      <c r="F10" s="612">
        <v>-3755.4571890115699</v>
      </c>
      <c r="G10" s="668">
        <v>-2522.5541137574</v>
      </c>
      <c r="H10" s="666">
        <v>0</v>
      </c>
      <c r="I10" s="668">
        <v>-1549.1214287625701</v>
      </c>
      <c r="J10" s="668">
        <v>-194.69120486840001</v>
      </c>
      <c r="K10" s="668">
        <v>-27.193313514063199</v>
      </c>
      <c r="L10" s="667">
        <v>170.29230994724301</v>
      </c>
      <c r="M10" s="667">
        <v>367.81056194361997</v>
      </c>
      <c r="N10" s="610">
        <v>292.21880418938298</v>
      </c>
      <c r="O10" s="667">
        <v>338.49857625682398</v>
      </c>
      <c r="P10" s="668">
        <v>-45.272731868189901</v>
      </c>
      <c r="Q10" s="666">
        <v>0</v>
      </c>
      <c r="R10" s="666">
        <v>0</v>
      </c>
      <c r="S10" s="666">
        <v>0</v>
      </c>
      <c r="T10" s="668">
        <v>-1.00704019925111</v>
      </c>
      <c r="U10" s="612">
        <v>-2136.8905947908402</v>
      </c>
      <c r="V10" s="668">
        <v>-9.9437670244825291</v>
      </c>
      <c r="W10" s="668">
        <v>-2075.06254063195</v>
      </c>
      <c r="X10" s="667">
        <v>16.2292612487133</v>
      </c>
      <c r="Y10" s="667">
        <v>4.4408920985006301E-15</v>
      </c>
      <c r="Z10" s="666">
        <v>0</v>
      </c>
      <c r="AA10" s="666">
        <v>0</v>
      </c>
      <c r="AB10" s="668">
        <v>-68.113548383123998</v>
      </c>
    </row>
    <row r="11" spans="1:28" ht="11.1" customHeight="1">
      <c r="A11" s="600" t="str">
        <f t="shared" si="0"/>
        <v>1M</v>
      </c>
      <c r="B11" s="663">
        <f t="array" ref="B11">SUMPRODUCT(E11:AA11,IF(ISERROR(MATCH(E$3:AA$3,{"EUR 1Y","EUR 3M","EUR 6M","EUR :STD"},0)),0,1))</f>
        <v>10689.643399087321</v>
      </c>
      <c r="C11" s="663">
        <f t="array" ref="C11">SUMPRODUCT(E11:AA11,IF(ISERROR(MATCH(E$3:AA$3,{"USD 1M","USD 3M","USD 6M","USD :STD"},0)),0,1))</f>
        <v>1641.1893266448224</v>
      </c>
      <c r="D11" s="600" t="b">
        <f t="shared" si="1"/>
        <v>0</v>
      </c>
      <c r="E11" s="665" t="s">
        <v>7</v>
      </c>
      <c r="F11" s="610">
        <v>13306.9232537976</v>
      </c>
      <c r="G11" s="667">
        <v>2804.2292034340999</v>
      </c>
      <c r="H11" s="668">
        <v>-2.2074769447503901</v>
      </c>
      <c r="I11" s="667">
        <v>3433.1263533598399</v>
      </c>
      <c r="J11" s="667">
        <v>7254.7113452137201</v>
      </c>
      <c r="K11" s="667">
        <v>4.0131774585108202</v>
      </c>
      <c r="L11" s="667">
        <v>414.04164991823097</v>
      </c>
      <c r="M11" s="668">
        <v>-600.99099864206198</v>
      </c>
      <c r="N11" s="610">
        <v>1028.57841443756</v>
      </c>
      <c r="O11" s="667">
        <v>1071.8766343647101</v>
      </c>
      <c r="P11" s="668">
        <v>-33.2908550446734</v>
      </c>
      <c r="Q11" s="666">
        <v>0</v>
      </c>
      <c r="R11" s="666">
        <v>0</v>
      </c>
      <c r="S11" s="666">
        <v>0</v>
      </c>
      <c r="T11" s="668">
        <v>-10.007364882471499</v>
      </c>
      <c r="U11" s="610">
        <v>1653.1170606051501</v>
      </c>
      <c r="V11" s="667">
        <v>0.995353598577424</v>
      </c>
      <c r="W11" s="667">
        <v>1123.1568641377501</v>
      </c>
      <c r="X11" s="667">
        <v>517.03710890849504</v>
      </c>
      <c r="Y11" s="668">
        <v>-3.2862601528904602E-14</v>
      </c>
      <c r="Z11" s="666">
        <v>0</v>
      </c>
      <c r="AA11" s="666">
        <v>0</v>
      </c>
      <c r="AB11" s="667">
        <v>11.9277339603307</v>
      </c>
    </row>
    <row r="12" spans="1:28" ht="11.1" customHeight="1">
      <c r="A12" s="600" t="str">
        <f t="shared" si="0"/>
        <v>2M</v>
      </c>
      <c r="B12" s="663">
        <f t="array" ref="B12">SUMPRODUCT(E12:AA12,IF(ISERROR(MATCH(E$3:AA$3,{"EUR 1Y","EUR 3M","EUR 6M","EUR :STD"},0)),0,1))</f>
        <v>5520.7961546916804</v>
      </c>
      <c r="C12" s="663">
        <f t="array" ref="C12">SUMPRODUCT(E12:AA12,IF(ISERROR(MATCH(E$3:AA$3,{"USD 1M","USD 3M","USD 6M","USD :STD"},0)),0,1))</f>
        <v>1146.0097934827568</v>
      </c>
      <c r="D12" s="600" t="b">
        <f t="shared" si="1"/>
        <v>0</v>
      </c>
      <c r="E12" s="665" t="s">
        <v>8</v>
      </c>
      <c r="F12" s="610">
        <v>2766.4219517942101</v>
      </c>
      <c r="G12" s="668">
        <v>-874.17247072344696</v>
      </c>
      <c r="H12" s="667">
        <v>693.52870769824597</v>
      </c>
      <c r="I12" s="668">
        <v>-1229.28320582587</v>
      </c>
      <c r="J12" s="667">
        <v>6055.1558608064097</v>
      </c>
      <c r="K12" s="667">
        <v>1.3947920128950599</v>
      </c>
      <c r="L12" s="668">
        <v>-1283.1522808541399</v>
      </c>
      <c r="M12" s="668">
        <v>-597.04945131987199</v>
      </c>
      <c r="N12" s="612">
        <v>-730.58275939985401</v>
      </c>
      <c r="O12" s="668">
        <v>-781.92313585917805</v>
      </c>
      <c r="P12" s="667">
        <v>91.424924599034497</v>
      </c>
      <c r="Q12" s="666">
        <v>0</v>
      </c>
      <c r="R12" s="666">
        <v>0</v>
      </c>
      <c r="S12" s="666">
        <v>0</v>
      </c>
      <c r="T12" s="668">
        <v>-40.084548139709398</v>
      </c>
      <c r="U12" s="610">
        <v>1255.9989345419599</v>
      </c>
      <c r="V12" s="668">
        <v>-70.582242328735205</v>
      </c>
      <c r="W12" s="667">
        <v>1057.2339094716799</v>
      </c>
      <c r="X12" s="667">
        <v>159.358126339812</v>
      </c>
      <c r="Y12" s="668">
        <v>-5.3290705182007498E-15</v>
      </c>
      <c r="Z12" s="666">
        <v>0</v>
      </c>
      <c r="AA12" s="666">
        <v>0</v>
      </c>
      <c r="AB12" s="667">
        <v>109.989141059196</v>
      </c>
    </row>
    <row r="13" spans="1:28" ht="11.1" customHeight="1">
      <c r="A13" s="600" t="str">
        <f t="shared" si="0"/>
        <v>3M</v>
      </c>
      <c r="B13" s="663">
        <f t="array" ref="B13">SUMPRODUCT(E13:AA13,IF(ISERROR(MATCH(E$3:AA$3,{"EUR 1Y","EUR 3M","EUR 6M","EUR :STD"},0)),0,1))</f>
        <v>-4331.0459957880648</v>
      </c>
      <c r="C13" s="663">
        <f t="array" ref="C13">SUMPRODUCT(E13:AA13,IF(ISERROR(MATCH(E$3:AA$3,{"USD 1M","USD 3M","USD 6M","USD :STD"},0)),0,1))</f>
        <v>-1412.4386734680461</v>
      </c>
      <c r="D13" s="600" t="b">
        <f t="shared" si="1"/>
        <v>0</v>
      </c>
      <c r="E13" s="665" t="s">
        <v>25</v>
      </c>
      <c r="F13" s="612">
        <v>-5857.56382639394</v>
      </c>
      <c r="G13" s="668">
        <v>-624.58080266680997</v>
      </c>
      <c r="H13" s="667">
        <v>2514.6232949861801</v>
      </c>
      <c r="I13" s="668">
        <v>-5053.2759956468099</v>
      </c>
      <c r="J13" s="668">
        <v>-1792.12677799522</v>
      </c>
      <c r="K13" s="668">
        <v>-0.26651713221530998</v>
      </c>
      <c r="L13" s="668">
        <v>-825.412675051375</v>
      </c>
      <c r="M13" s="668">
        <v>-76.524352887693794</v>
      </c>
      <c r="N13" s="612">
        <v>-2567.78324834452</v>
      </c>
      <c r="O13" s="668">
        <v>-1637.7986176546699</v>
      </c>
      <c r="P13" s="668">
        <v>-951.20261102712902</v>
      </c>
      <c r="Q13" s="666">
        <v>0</v>
      </c>
      <c r="R13" s="666">
        <v>0</v>
      </c>
      <c r="S13" s="666">
        <v>0</v>
      </c>
      <c r="T13" s="667">
        <v>21.217980337270699</v>
      </c>
      <c r="U13" s="612">
        <v>-1498.3614490427799</v>
      </c>
      <c r="V13" s="667">
        <v>44.1468141666886</v>
      </c>
      <c r="W13" s="668">
        <v>-592.28100550630597</v>
      </c>
      <c r="X13" s="668">
        <v>-864.35111510907097</v>
      </c>
      <c r="Y13" s="667">
        <v>4.66329806423149E-2</v>
      </c>
      <c r="Z13" s="666">
        <v>0</v>
      </c>
      <c r="AA13" s="668">
        <v>-35.2110623976059</v>
      </c>
      <c r="AB13" s="668">
        <v>-50.711713177133099</v>
      </c>
    </row>
    <row r="14" spans="1:28" ht="11.1" customHeight="1">
      <c r="A14" s="600" t="str">
        <f t="shared" si="0"/>
        <v>4M</v>
      </c>
      <c r="B14" s="663">
        <f t="array" ref="B14">SUMPRODUCT(E14:AA14,IF(ISERROR(MATCH(E$3:AA$3,{"EUR 1Y","EUR 3M","EUR 6M","EUR :STD"},0)),0,1))</f>
        <v>-8039.8395449718555</v>
      </c>
      <c r="C14" s="663">
        <f t="array" ref="C14">SUMPRODUCT(E14:AA14,IF(ISERROR(MATCH(E$3:AA$3,{"USD 1M","USD 3M","USD 6M","USD :STD"},0)),0,1))</f>
        <v>-4550.034191693675</v>
      </c>
      <c r="D14" s="600" t="b">
        <f t="shared" si="1"/>
        <v>0</v>
      </c>
      <c r="E14" s="665" t="s">
        <v>26</v>
      </c>
      <c r="F14" s="612">
        <v>-4666.4078724750198</v>
      </c>
      <c r="G14" s="668">
        <v>-2933.24458425074</v>
      </c>
      <c r="H14" s="668">
        <v>-36.356756994291104</v>
      </c>
      <c r="I14" s="668">
        <v>-3503.6961936766002</v>
      </c>
      <c r="J14" s="668">
        <v>-4499.5137539850502</v>
      </c>
      <c r="K14" s="668">
        <v>-0.27284031591452401</v>
      </c>
      <c r="L14" s="667">
        <v>6355.8137765326401</v>
      </c>
      <c r="M14" s="668">
        <v>-49.137519785020402</v>
      </c>
      <c r="N14" s="610">
        <v>1249.9958287700199</v>
      </c>
      <c r="O14" s="667">
        <v>2643.9213075940802</v>
      </c>
      <c r="P14" s="668">
        <v>-1109.8301216909099</v>
      </c>
      <c r="Q14" s="666">
        <v>0</v>
      </c>
      <c r="R14" s="666">
        <v>0</v>
      </c>
      <c r="S14" s="666">
        <v>0</v>
      </c>
      <c r="T14" s="668">
        <v>-284.09535713314699</v>
      </c>
      <c r="U14" s="612">
        <v>-4596.9736524248101</v>
      </c>
      <c r="V14" s="668">
        <v>-145.479720563673</v>
      </c>
      <c r="W14" s="668">
        <v>-5160.2893114323297</v>
      </c>
      <c r="X14" s="667">
        <v>755.73309809310695</v>
      </c>
      <c r="Y14" s="667">
        <v>1.74220922187915E-3</v>
      </c>
      <c r="Z14" s="666">
        <v>0</v>
      </c>
      <c r="AA14" s="668">
        <v>-170.514665503044</v>
      </c>
      <c r="AB14" s="667">
        <v>123.575204771858</v>
      </c>
    </row>
    <row r="15" spans="1:28" ht="11.1" customHeight="1">
      <c r="A15" s="600" t="str">
        <f t="shared" si="0"/>
        <v>5M</v>
      </c>
      <c r="B15" s="663">
        <f t="array" ref="B15">SUMPRODUCT(E15:AA15,IF(ISERROR(MATCH(E$3:AA$3,{"EUR 1Y","EUR 3M","EUR 6M","EUR :STD"},0)),0,1))</f>
        <v>-20132.856740621039</v>
      </c>
      <c r="C15" s="663">
        <f t="array" ref="C15">SUMPRODUCT(E15:AA15,IF(ISERROR(MATCH(E$3:AA$3,{"USD 1M","USD 3M","USD 6M","USD :STD"},0)),0,1))</f>
        <v>7429.1094646004512</v>
      </c>
      <c r="D15" s="600" t="b">
        <f t="shared" si="1"/>
        <v>0</v>
      </c>
      <c r="E15" s="665" t="s">
        <v>27</v>
      </c>
      <c r="F15" s="612">
        <v>-19047.598416483699</v>
      </c>
      <c r="G15" s="667">
        <v>930.42418436719595</v>
      </c>
      <c r="H15" s="666">
        <v>0</v>
      </c>
      <c r="I15" s="668">
        <v>-1649.13505664385</v>
      </c>
      <c r="J15" s="668">
        <v>-18442.078152361799</v>
      </c>
      <c r="K15" s="668">
        <v>-41.6435316153906</v>
      </c>
      <c r="L15" s="668">
        <v>-92.3099189492969</v>
      </c>
      <c r="M15" s="667">
        <v>247.14405871938999</v>
      </c>
      <c r="N15" s="612">
        <v>-149.39447065421501</v>
      </c>
      <c r="O15" s="666">
        <v>0</v>
      </c>
      <c r="P15" s="668">
        <v>-183.78049269853</v>
      </c>
      <c r="Q15" s="666">
        <v>0</v>
      </c>
      <c r="R15" s="666">
        <v>0</v>
      </c>
      <c r="S15" s="666">
        <v>0</v>
      </c>
      <c r="T15" s="667">
        <v>34.386022044315098</v>
      </c>
      <c r="U15" s="610">
        <v>7139.3618408487901</v>
      </c>
      <c r="V15" s="667">
        <v>9.736470779103E-2</v>
      </c>
      <c r="W15" s="667">
        <v>7557.84183376495</v>
      </c>
      <c r="X15" s="668">
        <v>-128.82973387228799</v>
      </c>
      <c r="Y15" s="668">
        <v>-1.9966250874858799E-12</v>
      </c>
      <c r="Z15" s="666">
        <v>0</v>
      </c>
      <c r="AA15" s="668">
        <v>-111.432586939559</v>
      </c>
      <c r="AB15" s="668">
        <v>-178.31503681210501</v>
      </c>
    </row>
    <row r="16" spans="1:28" ht="11.1" customHeight="1">
      <c r="A16" s="600" t="str">
        <f t="shared" si="0"/>
        <v>6M</v>
      </c>
      <c r="B16" s="663">
        <f t="array" ref="B16">SUMPRODUCT(E16:AA16,IF(ISERROR(MATCH(E$3:AA$3,{"EUR 1Y","EUR 3M","EUR 6M","EUR :STD"},0)),0,1))</f>
        <v>-3927.1017822169865</v>
      </c>
      <c r="C16" s="663">
        <f t="array" ref="C16">SUMPRODUCT(E16:AA16,IF(ISERROR(MATCH(E$3:AA$3,{"USD 1M","USD 3M","USD 6M","USD :STD"},0)),0,1))</f>
        <v>12770.479122456523</v>
      </c>
      <c r="D16" s="600" t="b">
        <f t="shared" si="1"/>
        <v>0</v>
      </c>
      <c r="E16" s="665" t="s">
        <v>28</v>
      </c>
      <c r="F16" s="612">
        <v>-2232.7587613492301</v>
      </c>
      <c r="G16" s="667">
        <v>1478.6638414945901</v>
      </c>
      <c r="H16" s="667">
        <v>535.86430948253098</v>
      </c>
      <c r="I16" s="667">
        <v>2737.6922581529702</v>
      </c>
      <c r="J16" s="668">
        <v>-7008.4466786688399</v>
      </c>
      <c r="K16" s="668">
        <v>-192.21167118364801</v>
      </c>
      <c r="L16" s="668">
        <v>-480.64149567743101</v>
      </c>
      <c r="M16" s="667">
        <v>696.32067505060002</v>
      </c>
      <c r="N16" s="610">
        <v>1252.00126627545</v>
      </c>
      <c r="O16" s="667">
        <v>57.426962817858097</v>
      </c>
      <c r="P16" s="667">
        <v>986.01538070111906</v>
      </c>
      <c r="Q16" s="666">
        <v>0</v>
      </c>
      <c r="R16" s="666">
        <v>0</v>
      </c>
      <c r="S16" s="666">
        <v>0</v>
      </c>
      <c r="T16" s="667">
        <v>208.558922756475</v>
      </c>
      <c r="U16" s="610">
        <v>12921.0696811826</v>
      </c>
      <c r="V16" s="668">
        <v>-64.677389554026803</v>
      </c>
      <c r="W16" s="667">
        <v>13165.647004905</v>
      </c>
      <c r="X16" s="668">
        <v>-330.58609692341599</v>
      </c>
      <c r="Y16" s="667">
        <v>9.5604028965876595E-2</v>
      </c>
      <c r="Z16" s="666">
        <v>0</v>
      </c>
      <c r="AA16" s="667">
        <v>5.1934229187677499</v>
      </c>
      <c r="AB16" s="667">
        <v>145.3971358073</v>
      </c>
    </row>
    <row r="17" spans="1:28" ht="11.1" customHeight="1">
      <c r="A17" s="600" t="str">
        <f t="shared" si="0"/>
        <v>21/06/17</v>
      </c>
      <c r="B17" s="663">
        <f t="array" ref="B17">SUMPRODUCT(E17:AA17,IF(ISERROR(MATCH(E$3:AA$3,{"EUR 1Y","EUR 3M","EUR 6M","EUR :STD"},0)),0,1))</f>
        <v>-15633.667042519048</v>
      </c>
      <c r="C17" s="663">
        <f t="array" ref="C17">SUMPRODUCT(E17:AA17,IF(ISERROR(MATCH(E$3:AA$3,{"USD 1M","USD 3M","USD 6M","USD :STD"},0)),0,1))</f>
        <v>-6184.9966329510762</v>
      </c>
      <c r="D17" s="600" t="b">
        <f t="shared" si="1"/>
        <v>0</v>
      </c>
      <c r="E17" s="665" t="s">
        <v>5101</v>
      </c>
      <c r="F17" s="612">
        <v>-23073.470822964398</v>
      </c>
      <c r="G17" s="668">
        <v>-3277.93130569697</v>
      </c>
      <c r="H17" s="668">
        <v>-7725.9776821434798</v>
      </c>
      <c r="I17" s="668">
        <v>-1989.7762175443399</v>
      </c>
      <c r="J17" s="668">
        <v>-5383.7020810702497</v>
      </c>
      <c r="K17" s="668">
        <v>-534.21106176097703</v>
      </c>
      <c r="L17" s="668">
        <v>-2206.81171008922</v>
      </c>
      <c r="M17" s="668">
        <v>-1955.06076465928</v>
      </c>
      <c r="N17" s="612">
        <v>-899.98697688476</v>
      </c>
      <c r="O17" s="667">
        <v>229.70785127143401</v>
      </c>
      <c r="P17" s="668">
        <v>-749.43682592066898</v>
      </c>
      <c r="Q17" s="666">
        <v>0</v>
      </c>
      <c r="R17" s="666">
        <v>0</v>
      </c>
      <c r="S17" s="666">
        <v>0</v>
      </c>
      <c r="T17" s="668">
        <v>-380.25800223552397</v>
      </c>
      <c r="U17" s="612">
        <v>-6437.1852666269397</v>
      </c>
      <c r="V17" s="668">
        <v>-691.75250529121001</v>
      </c>
      <c r="W17" s="668">
        <v>-4267.7680377637798</v>
      </c>
      <c r="X17" s="668">
        <v>-1272.5714353685501</v>
      </c>
      <c r="Y17" s="667">
        <v>47.095345472463201</v>
      </c>
      <c r="Z17" s="666">
        <v>0</v>
      </c>
      <c r="AA17" s="668">
        <v>-261.49892233019602</v>
      </c>
      <c r="AB17" s="667">
        <v>9.3102886541475698</v>
      </c>
    </row>
    <row r="18" spans="1:28" ht="11.1" customHeight="1">
      <c r="A18" s="600" t="str">
        <f t="shared" si="0"/>
        <v>JUN 17</v>
      </c>
      <c r="B18" s="663">
        <f t="array" ref="B18">SUMPRODUCT(E18:AA18,IF(ISERROR(MATCH(E$3:AA$3,{"EUR 1Y","EUR 3M","EUR 6M","EUR :STD"},0)),0,1))</f>
        <v>4790.0022324790998</v>
      </c>
      <c r="C18" s="663">
        <f t="array" ref="C18">SUMPRODUCT(E18:AA18,IF(ISERROR(MATCH(E$3:AA$3,{"USD 1M","USD 3M","USD 6M","USD :STD"},0)),0,1))</f>
        <v>4001.7959545644453</v>
      </c>
      <c r="D18" s="600" t="b">
        <f t="shared" si="1"/>
        <v>1</v>
      </c>
      <c r="E18" s="665" t="s">
        <v>1066</v>
      </c>
      <c r="F18" s="610">
        <v>3203.5030293813102</v>
      </c>
      <c r="G18" s="668">
        <v>-2144.00251862293</v>
      </c>
      <c r="H18" s="668">
        <v>-335.877608436603</v>
      </c>
      <c r="I18" s="667">
        <v>6160.0319462562902</v>
      </c>
      <c r="J18" s="668">
        <v>-800.73222019382195</v>
      </c>
      <c r="K18" s="668">
        <v>-233.41988514676501</v>
      </c>
      <c r="L18" s="668">
        <v>-3129.9573905229099</v>
      </c>
      <c r="M18" s="667">
        <v>3687.4607060482099</v>
      </c>
      <c r="N18" s="612">
        <v>-2546.5781132228499</v>
      </c>
      <c r="O18" s="668">
        <v>-1448.04030281629</v>
      </c>
      <c r="P18" s="668">
        <v>-156.824342270595</v>
      </c>
      <c r="Q18" s="666">
        <v>0</v>
      </c>
      <c r="R18" s="666">
        <v>0</v>
      </c>
      <c r="S18" s="666">
        <v>0</v>
      </c>
      <c r="T18" s="668">
        <v>-941.71346813595505</v>
      </c>
      <c r="U18" s="610">
        <v>1765.80549154038</v>
      </c>
      <c r="V18" s="668">
        <v>-222.94205376614201</v>
      </c>
      <c r="W18" s="667">
        <v>3915.7073399413598</v>
      </c>
      <c r="X18" s="667">
        <v>288.656128997189</v>
      </c>
      <c r="Y18" s="667">
        <v>20.374539392038301</v>
      </c>
      <c r="Z18" s="666">
        <v>0</v>
      </c>
      <c r="AA18" s="668">
        <v>-1229.8862288018699</v>
      </c>
      <c r="AB18" s="668">
        <v>-1006.10423422219</v>
      </c>
    </row>
    <row r="19" spans="1:28" ht="11.1" customHeight="1">
      <c r="A19" s="600" t="str">
        <f t="shared" si="0"/>
        <v>SEP 17</v>
      </c>
      <c r="B19" s="663">
        <f t="array" ref="B19">SUMPRODUCT(E19:AA19,IF(ISERROR(MATCH(E$3:AA$3,{"EUR 1Y","EUR 3M","EUR 6M","EUR :STD"},0)),0,1))</f>
        <v>-2994.5953819956276</v>
      </c>
      <c r="C19" s="663">
        <f t="array" ref="C19">SUMPRODUCT(E19:AA19,IF(ISERROR(MATCH(E$3:AA$3,{"USD 1M","USD 3M","USD 6M","USD :STD"},0)),0,1))</f>
        <v>2558.9188117257531</v>
      </c>
      <c r="D19" s="600" t="b">
        <f t="shared" si="1"/>
        <v>1</v>
      </c>
      <c r="E19" s="665" t="s">
        <v>1069</v>
      </c>
      <c r="F19" s="610">
        <v>167.884643830328</v>
      </c>
      <c r="G19" s="668">
        <v>-1297.4672052057799</v>
      </c>
      <c r="H19" s="667">
        <v>586.62433337918606</v>
      </c>
      <c r="I19" s="667">
        <v>2003.14406602591</v>
      </c>
      <c r="J19" s="668">
        <v>-5349.7929538873796</v>
      </c>
      <c r="K19" s="668">
        <v>-234.570827513344</v>
      </c>
      <c r="L19" s="668">
        <v>-6993.2923025403697</v>
      </c>
      <c r="M19" s="667">
        <v>11453.239533572099</v>
      </c>
      <c r="N19" s="612">
        <v>-5370.4560103685499</v>
      </c>
      <c r="O19" s="668">
        <v>-727.46350635043098</v>
      </c>
      <c r="P19" s="668">
        <v>-494.38120466596303</v>
      </c>
      <c r="Q19" s="666">
        <v>0</v>
      </c>
      <c r="R19" s="666">
        <v>0</v>
      </c>
      <c r="S19" s="666">
        <v>0</v>
      </c>
      <c r="T19" s="668">
        <v>-4148.6112993521501</v>
      </c>
      <c r="U19" s="610">
        <v>858.83031210090201</v>
      </c>
      <c r="V19" s="668">
        <v>-101.61432622309</v>
      </c>
      <c r="W19" s="667">
        <v>2108.2454568916</v>
      </c>
      <c r="X19" s="667">
        <v>537.25217623527703</v>
      </c>
      <c r="Y19" s="667">
        <v>15.035504821966301</v>
      </c>
      <c r="Z19" s="666">
        <v>0</v>
      </c>
      <c r="AA19" s="668">
        <v>-953.86844495988203</v>
      </c>
      <c r="AB19" s="668">
        <v>-746.22005466495204</v>
      </c>
    </row>
    <row r="20" spans="1:28" ht="11.1" customHeight="1">
      <c r="A20" s="600" t="str">
        <f t="shared" si="0"/>
        <v>DEC 17</v>
      </c>
      <c r="B20" s="663">
        <f t="array" ref="B20">SUMPRODUCT(E20:AA20,IF(ISERROR(MATCH(E$3:AA$3,{"EUR 1Y","EUR 3M","EUR 6M","EUR :STD"},0)),0,1))</f>
        <v>-3620.2645893881499</v>
      </c>
      <c r="C20" s="663">
        <f t="array" ref="C20">SUMPRODUCT(E20:AA20,IF(ISERROR(MATCH(E$3:AA$3,{"USD 1M","USD 3M","USD 6M","USD :STD"},0)),0,1))</f>
        <v>1079.8847980350242</v>
      </c>
      <c r="D20" s="600" t="b">
        <f t="shared" si="1"/>
        <v>1</v>
      </c>
      <c r="E20" s="665" t="s">
        <v>3865</v>
      </c>
      <c r="F20" s="610">
        <v>2355.2983913698499</v>
      </c>
      <c r="G20" s="668">
        <v>-4655.1513199663405</v>
      </c>
      <c r="H20" s="668">
        <v>-53.296517837735401</v>
      </c>
      <c r="I20" s="667">
        <v>1216.0153784818599</v>
      </c>
      <c r="J20" s="668">
        <v>-4641.7867921919296</v>
      </c>
      <c r="K20" s="668">
        <v>-141.19665784034501</v>
      </c>
      <c r="L20" s="668">
        <v>-2603.89660306114</v>
      </c>
      <c r="M20" s="667">
        <v>13234.6109037853</v>
      </c>
      <c r="N20" s="610">
        <v>737.08380596833194</v>
      </c>
      <c r="O20" s="668">
        <v>-1314.6875567909001</v>
      </c>
      <c r="P20" s="667">
        <v>235.10433239613101</v>
      </c>
      <c r="Q20" s="666">
        <v>0</v>
      </c>
      <c r="R20" s="666">
        <v>0</v>
      </c>
      <c r="S20" s="666">
        <v>0</v>
      </c>
      <c r="T20" s="667">
        <v>1816.6670303630999</v>
      </c>
      <c r="U20" s="612">
        <v>-4410.92923314377</v>
      </c>
      <c r="V20" s="668">
        <v>-20.428815845142601</v>
      </c>
      <c r="W20" s="667">
        <v>537.76688250336804</v>
      </c>
      <c r="X20" s="667">
        <v>557.64060378017405</v>
      </c>
      <c r="Y20" s="667">
        <v>4.90612759662472</v>
      </c>
      <c r="Z20" s="666">
        <v>0</v>
      </c>
      <c r="AA20" s="668">
        <v>-2103.6509999954001</v>
      </c>
      <c r="AB20" s="668">
        <v>-3387.1630311833801</v>
      </c>
    </row>
    <row r="21" spans="1:28" ht="11.1" customHeight="1">
      <c r="A21" s="600" t="str">
        <f t="shared" si="0"/>
        <v>MAR 18</v>
      </c>
      <c r="B21" s="663">
        <f t="array" ref="B21">SUMPRODUCT(E21:AA21,IF(ISERROR(MATCH(E$3:AA$3,{"EUR 1Y","EUR 3M","EUR 6M","EUR :STD"},0)),0,1))</f>
        <v>2768.8562562700808</v>
      </c>
      <c r="C21" s="663">
        <f t="array" ref="C21">SUMPRODUCT(E21:AA21,IF(ISERROR(MATCH(E$3:AA$3,{"USD 1M","USD 3M","USD 6M","USD :STD"},0)),0,1))</f>
        <v>1626.9595534926023</v>
      </c>
      <c r="D21" s="600" t="b">
        <f t="shared" si="1"/>
        <v>1</v>
      </c>
      <c r="E21" s="665" t="s">
        <v>3866</v>
      </c>
      <c r="F21" s="612">
        <v>-9534.2460386454804</v>
      </c>
      <c r="G21" s="668">
        <v>-3355.2636533464001</v>
      </c>
      <c r="H21" s="668">
        <v>-54.374070315481603</v>
      </c>
      <c r="I21" s="667">
        <v>2693.74979596702</v>
      </c>
      <c r="J21" s="667">
        <v>106.717121219394</v>
      </c>
      <c r="K21" s="667">
        <v>22.7634093991485</v>
      </c>
      <c r="L21" s="668">
        <v>-6973.2327235370904</v>
      </c>
      <c r="M21" s="668">
        <v>-1974.6059180320699</v>
      </c>
      <c r="N21" s="610">
        <v>6902.6464259288796</v>
      </c>
      <c r="O21" s="668">
        <v>-1439.35696389289</v>
      </c>
      <c r="P21" s="667">
        <v>131.43053527673499</v>
      </c>
      <c r="Q21" s="666">
        <v>0</v>
      </c>
      <c r="R21" s="666">
        <v>0</v>
      </c>
      <c r="S21" s="666">
        <v>0</v>
      </c>
      <c r="T21" s="667">
        <v>8210.5728545450293</v>
      </c>
      <c r="U21" s="610">
        <v>199.36218066918701</v>
      </c>
      <c r="V21" s="668">
        <v>-28.319034126441299</v>
      </c>
      <c r="W21" s="667">
        <v>947.92589867375898</v>
      </c>
      <c r="X21" s="667">
        <v>702.37638346556605</v>
      </c>
      <c r="Y21" s="667">
        <v>4.9763054797186701</v>
      </c>
      <c r="Z21" s="666">
        <v>0</v>
      </c>
      <c r="AA21" s="668">
        <v>-1267.4608009480201</v>
      </c>
      <c r="AB21" s="668">
        <v>-160.136571875393</v>
      </c>
    </row>
    <row r="22" spans="1:28" ht="11.1" customHeight="1">
      <c r="A22" s="600" t="str">
        <f t="shared" si="0"/>
        <v>JUN 18</v>
      </c>
      <c r="B22" s="663">
        <f t="array" ref="B22">SUMPRODUCT(E22:AA22,IF(ISERROR(MATCH(E$3:AA$3,{"EUR 1Y","EUR 3M","EUR 6M","EUR :STD"},0)),0,1))</f>
        <v>-3948.3295977996477</v>
      </c>
      <c r="C22" s="663">
        <f t="array" ref="C22">SUMPRODUCT(E22:AA22,IF(ISERROR(MATCH(E$3:AA$3,{"USD 1M","USD 3M","USD 6M","USD :STD"},0)),0,1))</f>
        <v>3853.0191298414002</v>
      </c>
      <c r="D22" s="600" t="b">
        <f t="shared" si="1"/>
        <v>1</v>
      </c>
      <c r="E22" s="665" t="s">
        <v>3889</v>
      </c>
      <c r="F22" s="612">
        <v>-58901.037983735499</v>
      </c>
      <c r="G22" s="667">
        <v>5851.7179254482098</v>
      </c>
      <c r="H22" s="668">
        <v>-123.29072415626401</v>
      </c>
      <c r="I22" s="668">
        <v>-920.06062469481697</v>
      </c>
      <c r="J22" s="668">
        <v>-2914.8549426344298</v>
      </c>
      <c r="K22" s="667">
        <v>9.8766936858627403</v>
      </c>
      <c r="L22" s="667">
        <v>1344.0588937545101</v>
      </c>
      <c r="M22" s="668">
        <v>-62148.485205138597</v>
      </c>
      <c r="N22" s="612">
        <v>-6076.1701858612596</v>
      </c>
      <c r="O22" s="668">
        <v>-4162.3087828608304</v>
      </c>
      <c r="P22" s="667">
        <v>138.606820267953</v>
      </c>
      <c r="Q22" s="666">
        <v>0</v>
      </c>
      <c r="R22" s="666">
        <v>0</v>
      </c>
      <c r="S22" s="666">
        <v>0</v>
      </c>
      <c r="T22" s="668">
        <v>-2052.4682232683799</v>
      </c>
      <c r="U22" s="610">
        <v>13490.358137637601</v>
      </c>
      <c r="V22" s="668">
        <v>-31.255523092006101</v>
      </c>
      <c r="W22" s="667">
        <v>2965.8852262860701</v>
      </c>
      <c r="X22" s="667">
        <v>913.45921612738402</v>
      </c>
      <c r="Y22" s="667">
        <v>4.9302105199522899</v>
      </c>
      <c r="Z22" s="666">
        <v>0</v>
      </c>
      <c r="AA22" s="668">
        <v>-5.79008494901161</v>
      </c>
      <c r="AB22" s="667">
        <v>9643.12909274515</v>
      </c>
    </row>
    <row r="23" spans="1:28" ht="11.1" customHeight="1">
      <c r="A23" s="600" t="str">
        <f t="shared" si="0"/>
        <v>SEP 18</v>
      </c>
      <c r="B23" s="663">
        <f t="array" ref="B23">SUMPRODUCT(E23:AA23,IF(ISERROR(MATCH(E$3:AA$3,{"EUR 1Y","EUR 3M","EUR 6M","EUR :STD"},0)),0,1))</f>
        <v>-3501.83659720478</v>
      </c>
      <c r="C23" s="663">
        <f t="array" ref="C23">SUMPRODUCT(E23:AA23,IF(ISERROR(MATCH(E$3:AA$3,{"USD 1M","USD 3M","USD 6M","USD :STD"},0)),0,1))</f>
        <v>-5617.8118580851296</v>
      </c>
      <c r="D23" s="600" t="b">
        <f t="shared" si="1"/>
        <v>1</v>
      </c>
      <c r="E23" s="665" t="s">
        <v>3890</v>
      </c>
      <c r="F23" s="610">
        <v>63313.9561918381</v>
      </c>
      <c r="G23" s="668">
        <v>-832.756607270475</v>
      </c>
      <c r="H23" s="667">
        <v>267.004681753169</v>
      </c>
      <c r="I23" s="668">
        <v>-5211.4559664461003</v>
      </c>
      <c r="J23" s="667">
        <v>1441.39957336868</v>
      </c>
      <c r="K23" s="667">
        <v>1.2151141194713599</v>
      </c>
      <c r="L23" s="668">
        <v>-4096.0737744858698</v>
      </c>
      <c r="M23" s="667">
        <v>71744.623170799605</v>
      </c>
      <c r="N23" s="610">
        <v>5870.9779002099804</v>
      </c>
      <c r="O23" s="667">
        <v>4419.8737131504904</v>
      </c>
      <c r="P23" s="667">
        <v>5568.4690618240302</v>
      </c>
      <c r="Q23" s="666">
        <v>0</v>
      </c>
      <c r="R23" s="666">
        <v>0</v>
      </c>
      <c r="S23" s="666">
        <v>0</v>
      </c>
      <c r="T23" s="668">
        <v>-4117.3648747645102</v>
      </c>
      <c r="U23" s="612">
        <v>-14691.694889317299</v>
      </c>
      <c r="V23" s="668">
        <v>-15.2044294581376</v>
      </c>
      <c r="W23" s="668">
        <v>-6210.1954877506596</v>
      </c>
      <c r="X23" s="667">
        <v>604.23034606241197</v>
      </c>
      <c r="Y23" s="667">
        <v>3.35771306125574</v>
      </c>
      <c r="Z23" s="666">
        <v>0</v>
      </c>
      <c r="AA23" s="668">
        <v>-14.2525167975671</v>
      </c>
      <c r="AB23" s="668">
        <v>-9059.6305144347807</v>
      </c>
    </row>
    <row r="24" spans="1:28" ht="11.1" customHeight="1">
      <c r="A24" s="600" t="str">
        <f t="shared" si="0"/>
        <v>3Y</v>
      </c>
      <c r="B24" s="663">
        <f t="array" ref="B24">SUMPRODUCT(E24:AA24,IF(ISERROR(MATCH(E$3:AA$3,{"EUR 1Y","EUR 3M","EUR 6M","EUR :STD"},0)),0,1))</f>
        <v>6151.6744328013538</v>
      </c>
      <c r="C24" s="663">
        <f t="array" ref="C24">SUMPRODUCT(E24:AA24,IF(ISERROR(MATCH(E$3:AA$3,{"USD 1M","USD 3M","USD 6M","USD :STD"},0)),0,1))</f>
        <v>-8183.5676528194708</v>
      </c>
      <c r="D24" s="600" t="b">
        <f t="shared" si="1"/>
        <v>0</v>
      </c>
      <c r="E24" s="665" t="s">
        <v>10</v>
      </c>
      <c r="F24" s="612">
        <v>-7294.36858601111</v>
      </c>
      <c r="G24" s="667">
        <v>5553.9203072390301</v>
      </c>
      <c r="H24" s="667">
        <v>539.81495700982498</v>
      </c>
      <c r="I24" s="668">
        <v>-10820.500779085</v>
      </c>
      <c r="J24" s="667">
        <v>16390.433015019698</v>
      </c>
      <c r="K24" s="667">
        <v>41.927239856829601</v>
      </c>
      <c r="L24" s="668">
        <v>-24319.753619650801</v>
      </c>
      <c r="M24" s="667">
        <v>5319.7902935995498</v>
      </c>
      <c r="N24" s="610">
        <v>13742.4858736817</v>
      </c>
      <c r="O24" s="667">
        <v>11554.8541873625</v>
      </c>
      <c r="P24" s="667">
        <v>3227.27346118781</v>
      </c>
      <c r="Q24" s="666">
        <v>0</v>
      </c>
      <c r="R24" s="666">
        <v>0</v>
      </c>
      <c r="S24" s="666">
        <v>0</v>
      </c>
      <c r="T24" s="668">
        <v>-1039.6417748686899</v>
      </c>
      <c r="U24" s="612">
        <v>-9395.0396543648803</v>
      </c>
      <c r="V24" s="667">
        <v>7.70446168133003</v>
      </c>
      <c r="W24" s="668">
        <v>-8733.4709192115606</v>
      </c>
      <c r="X24" s="667">
        <v>542.19880471075305</v>
      </c>
      <c r="Y24" s="667">
        <v>7.3328010330442307E-12</v>
      </c>
      <c r="Z24" s="666">
        <v>0</v>
      </c>
      <c r="AA24" s="666">
        <v>0</v>
      </c>
      <c r="AB24" s="668">
        <v>-1211.47200154541</v>
      </c>
    </row>
    <row r="25" spans="1:28" ht="11.1" customHeight="1">
      <c r="A25" s="600" t="str">
        <f t="shared" si="0"/>
        <v>4Y</v>
      </c>
      <c r="B25" s="663">
        <f t="array" ref="B25">SUMPRODUCT(E25:AA25,IF(ISERROR(MATCH(E$3:AA$3,{"EUR 1Y","EUR 3M","EUR 6M","EUR :STD"},0)),0,1))</f>
        <v>-19999.248397964646</v>
      </c>
      <c r="C25" s="663">
        <f t="array" ref="C25">SUMPRODUCT(E25:AA25,IF(ISERROR(MATCH(E$3:AA$3,{"USD 1M","USD 3M","USD 6M","USD :STD"},0)),0,1))</f>
        <v>12332.404938431026</v>
      </c>
      <c r="D25" s="600" t="b">
        <f t="shared" si="1"/>
        <v>0</v>
      </c>
      <c r="E25" s="665" t="s">
        <v>11</v>
      </c>
      <c r="F25" s="610">
        <v>7687.2336092899995</v>
      </c>
      <c r="G25" s="668">
        <v>-6144.0978926829002</v>
      </c>
      <c r="H25" s="668">
        <v>-499.627648172308</v>
      </c>
      <c r="I25" s="668">
        <v>-18717.013622028098</v>
      </c>
      <c r="J25" s="668">
        <v>-1738.4900660464</v>
      </c>
      <c r="K25" s="667">
        <v>955.88293828216104</v>
      </c>
      <c r="L25" s="667">
        <v>7247.8262435094803</v>
      </c>
      <c r="M25" s="667">
        <v>26582.753656427802</v>
      </c>
      <c r="N25" s="612">
        <v>-6128.41173762572</v>
      </c>
      <c r="O25" s="667">
        <v>730.43579022789095</v>
      </c>
      <c r="P25" s="668">
        <v>-6675.8632374337803</v>
      </c>
      <c r="Q25" s="666">
        <v>0</v>
      </c>
      <c r="R25" s="666">
        <v>0</v>
      </c>
      <c r="S25" s="666">
        <v>0</v>
      </c>
      <c r="T25" s="668">
        <v>-182.984290419796</v>
      </c>
      <c r="U25" s="610">
        <v>8466.9741038137709</v>
      </c>
      <c r="V25" s="667">
        <v>11.685761021814001</v>
      </c>
      <c r="W25" s="667">
        <v>30931.499476198402</v>
      </c>
      <c r="X25" s="668">
        <v>-18610.780298789199</v>
      </c>
      <c r="Y25" s="667">
        <v>9.8907548817805897E-12</v>
      </c>
      <c r="Z25" s="666">
        <v>0</v>
      </c>
      <c r="AA25" s="666">
        <v>0</v>
      </c>
      <c r="AB25" s="668">
        <v>-3865.4308346171401</v>
      </c>
    </row>
    <row r="26" spans="1:28" ht="11.1" customHeight="1">
      <c r="A26" s="600" t="str">
        <f t="shared" si="0"/>
        <v>5Y</v>
      </c>
      <c r="B26" s="663">
        <f t="array" ref="B26">SUMPRODUCT(E26:AA26,IF(ISERROR(MATCH(E$3:AA$3,{"EUR 1Y","EUR 3M","EUR 6M","EUR :STD"},0)),0,1))</f>
        <v>12880.056893857776</v>
      </c>
      <c r="C26" s="663">
        <f t="array" ref="C26">SUMPRODUCT(E26:AA26,IF(ISERROR(MATCH(E$3:AA$3,{"USD 1M","USD 3M","USD 6M","USD :STD"},0)),0,1))</f>
        <v>-11283.553319779983</v>
      </c>
      <c r="D26" s="600" t="b">
        <f t="shared" si="1"/>
        <v>0</v>
      </c>
      <c r="E26" s="665" t="s">
        <v>12</v>
      </c>
      <c r="F26" s="612">
        <v>-7257.6959984385203</v>
      </c>
      <c r="G26" s="668">
        <v>-9030.7303297494691</v>
      </c>
      <c r="H26" s="668">
        <v>-726.10747468906504</v>
      </c>
      <c r="I26" s="667">
        <v>15659.106171678501</v>
      </c>
      <c r="J26" s="668">
        <v>-3531.8524247124501</v>
      </c>
      <c r="K26" s="667">
        <v>1478.9106215807899</v>
      </c>
      <c r="L26" s="668">
        <v>-25412.9301402358</v>
      </c>
      <c r="M26" s="667">
        <v>14305.9075776891</v>
      </c>
      <c r="N26" s="610">
        <v>8147.4967388963296</v>
      </c>
      <c r="O26" s="667">
        <v>6692.3114887606798</v>
      </c>
      <c r="P26" s="667">
        <v>5739.9922704468099</v>
      </c>
      <c r="Q26" s="666">
        <v>0</v>
      </c>
      <c r="R26" s="666">
        <v>0</v>
      </c>
      <c r="S26" s="666">
        <v>0</v>
      </c>
      <c r="T26" s="668">
        <v>-4284.8070203112202</v>
      </c>
      <c r="U26" s="612">
        <v>-8932.8858752898504</v>
      </c>
      <c r="V26" s="668">
        <v>-130.858986742496</v>
      </c>
      <c r="W26" s="668">
        <v>-25038.292586890399</v>
      </c>
      <c r="X26" s="667">
        <v>13885.598253852901</v>
      </c>
      <c r="Y26" s="667">
        <v>1.0231815394945401E-11</v>
      </c>
      <c r="Z26" s="666">
        <v>0</v>
      </c>
      <c r="AA26" s="666">
        <v>0</v>
      </c>
      <c r="AB26" s="667">
        <v>2350.66744449014</v>
      </c>
    </row>
    <row r="27" spans="1:28" ht="11.1" customHeight="1">
      <c r="A27" s="600" t="str">
        <f t="shared" si="0"/>
        <v>6Y</v>
      </c>
      <c r="B27" s="663">
        <f t="array" ref="B27">SUMPRODUCT(E27:AA27,IF(ISERROR(MATCH(E$3:AA$3,{"EUR 1Y","EUR 3M","EUR 6M","EUR :STD"},0)),0,1))</f>
        <v>-25978.808340614836</v>
      </c>
      <c r="C27" s="663">
        <f t="array" ref="C27">SUMPRODUCT(E27:AA27,IF(ISERROR(MATCH(E$3:AA$3,{"USD 1M","USD 3M","USD 6M","USD :STD"},0)),0,1))</f>
        <v>9063.8878169609634</v>
      </c>
      <c r="D27" s="600" t="b">
        <f t="shared" si="1"/>
        <v>0</v>
      </c>
      <c r="E27" s="665" t="s">
        <v>13</v>
      </c>
      <c r="F27" s="612">
        <v>-21931.662752063399</v>
      </c>
      <c r="G27" s="668">
        <v>-599.28245030087101</v>
      </c>
      <c r="H27" s="667">
        <v>169.333386094302</v>
      </c>
      <c r="I27" s="668">
        <v>-14488.173226355701</v>
      </c>
      <c r="J27" s="668">
        <v>-11659.5805942753</v>
      </c>
      <c r="K27" s="668">
        <v>-0.38790607814033401</v>
      </c>
      <c r="L27" s="667">
        <v>1652.4160195935799</v>
      </c>
      <c r="M27" s="667">
        <v>2994.01201925854</v>
      </c>
      <c r="N27" s="610">
        <v>9380.5535754713892</v>
      </c>
      <c r="O27" s="667">
        <v>9600.2684456545994</v>
      </c>
      <c r="P27" s="668">
        <v>-1283.9399758381501</v>
      </c>
      <c r="Q27" s="666">
        <v>0</v>
      </c>
      <c r="R27" s="666">
        <v>0</v>
      </c>
      <c r="S27" s="666">
        <v>0</v>
      </c>
      <c r="T27" s="667">
        <v>1064.2251056549101</v>
      </c>
      <c r="U27" s="610">
        <v>13181.9402590385</v>
      </c>
      <c r="V27" s="667">
        <v>8709.6490915086397</v>
      </c>
      <c r="W27" s="667">
        <v>22141.879246586301</v>
      </c>
      <c r="X27" s="668">
        <v>-21787.640521131401</v>
      </c>
      <c r="Y27" s="668">
        <v>-2.57625742960954E-9</v>
      </c>
      <c r="Z27" s="666">
        <v>0</v>
      </c>
      <c r="AA27" s="666">
        <v>0</v>
      </c>
      <c r="AB27" s="667">
        <v>4118.0524420775801</v>
      </c>
    </row>
    <row r="28" spans="1:28" ht="11.1" customHeight="1">
      <c r="A28" s="600" t="str">
        <f t="shared" si="0"/>
        <v>7Y</v>
      </c>
      <c r="B28" s="663">
        <f t="array" ref="B28">SUMPRODUCT(E28:AA28,IF(ISERROR(MATCH(E$3:AA$3,{"EUR 1Y","EUR 3M","EUR 6M","EUR :STD"},0)),0,1))</f>
        <v>55839.431676876113</v>
      </c>
      <c r="C28" s="663">
        <f t="array" ref="C28">SUMPRODUCT(E28:AA28,IF(ISERROR(MATCH(E$3:AA$3,{"USD 1M","USD 3M","USD 6M","USD :STD"},0)),0,1))</f>
        <v>-6285.9253628229762</v>
      </c>
      <c r="D28" s="600" t="b">
        <f t="shared" si="1"/>
        <v>0</v>
      </c>
      <c r="E28" s="665" t="s">
        <v>14</v>
      </c>
      <c r="F28" s="610">
        <v>12946.0577690747</v>
      </c>
      <c r="G28" s="667">
        <v>1497.19335187311</v>
      </c>
      <c r="H28" s="667">
        <v>78.8475576590168</v>
      </c>
      <c r="I28" s="667">
        <v>43502.008095943602</v>
      </c>
      <c r="J28" s="667">
        <v>12259.0319106269</v>
      </c>
      <c r="K28" s="668">
        <v>-0.45588735340422198</v>
      </c>
      <c r="L28" s="668">
        <v>-38345.4184476058</v>
      </c>
      <c r="M28" s="668">
        <v>-6045.14881206877</v>
      </c>
      <c r="N28" s="612">
        <v>-19996.0776872356</v>
      </c>
      <c r="O28" s="668">
        <v>-20271.574916909001</v>
      </c>
      <c r="P28" s="668">
        <v>-2.5888750154309101</v>
      </c>
      <c r="Q28" s="666">
        <v>0</v>
      </c>
      <c r="R28" s="666">
        <v>0</v>
      </c>
      <c r="S28" s="666">
        <v>0</v>
      </c>
      <c r="T28" s="667">
        <v>278.08610468887599</v>
      </c>
      <c r="U28" s="610">
        <v>1057.29822403699</v>
      </c>
      <c r="V28" s="667">
        <v>238.54746851501599</v>
      </c>
      <c r="W28" s="668">
        <v>-3720.58136471334</v>
      </c>
      <c r="X28" s="668">
        <v>-2803.8914666226401</v>
      </c>
      <c r="Y28" s="668">
        <v>-2.0118022803217202E-9</v>
      </c>
      <c r="Z28" s="666">
        <v>0</v>
      </c>
      <c r="AA28" s="666">
        <v>0</v>
      </c>
      <c r="AB28" s="667">
        <v>7343.22358685992</v>
      </c>
    </row>
    <row r="29" spans="1:28" ht="11.1" customHeight="1">
      <c r="A29" s="600" t="str">
        <f t="shared" si="0"/>
        <v>8Y</v>
      </c>
      <c r="B29" s="663">
        <f t="array" ref="B29">SUMPRODUCT(E29:AA29,IF(ISERROR(MATCH(E$3:AA$3,{"EUR 1Y","EUR 3M","EUR 6M","EUR :STD"},0)),0,1))</f>
        <v>-13345.211834507634</v>
      </c>
      <c r="C29" s="663">
        <f t="array" ref="C29">SUMPRODUCT(E29:AA29,IF(ISERROR(MATCH(E$3:AA$3,{"USD 1M","USD 3M","USD 6M","USD :STD"},0)),0,1))</f>
        <v>22928.76383300978</v>
      </c>
      <c r="D29" s="600" t="b">
        <f t="shared" si="1"/>
        <v>0</v>
      </c>
      <c r="E29" s="665" t="s">
        <v>15</v>
      </c>
      <c r="F29" s="612">
        <v>-10391.224677787401</v>
      </c>
      <c r="G29" s="667">
        <v>10935.487610640301</v>
      </c>
      <c r="H29" s="668">
        <v>-35.766774867537599</v>
      </c>
      <c r="I29" s="668">
        <v>-5622.0789885127797</v>
      </c>
      <c r="J29" s="668">
        <v>-7650.37606298012</v>
      </c>
      <c r="K29" s="668">
        <v>-36.990008147197202</v>
      </c>
      <c r="L29" s="668">
        <v>-3879.9603619953</v>
      </c>
      <c r="M29" s="668">
        <v>-4101.5400919247204</v>
      </c>
      <c r="N29" s="610">
        <v>795.32403707268998</v>
      </c>
      <c r="O29" s="667">
        <v>1089.31749398841</v>
      </c>
      <c r="P29" s="668">
        <v>-8.0202595309009794</v>
      </c>
      <c r="Q29" s="666">
        <v>0</v>
      </c>
      <c r="R29" s="666">
        <v>0</v>
      </c>
      <c r="S29" s="666">
        <v>0</v>
      </c>
      <c r="T29" s="668">
        <v>-285.97319738482298</v>
      </c>
      <c r="U29" s="610">
        <v>34696.455162715603</v>
      </c>
      <c r="V29" s="668">
        <v>-8.9838836544604295</v>
      </c>
      <c r="W29" s="667">
        <v>26679.116757669199</v>
      </c>
      <c r="X29" s="668">
        <v>-3741.3690410049599</v>
      </c>
      <c r="Y29" s="667">
        <v>0</v>
      </c>
      <c r="Z29" s="666">
        <v>0</v>
      </c>
      <c r="AA29" s="666">
        <v>0</v>
      </c>
      <c r="AB29" s="667">
        <v>11767.6913297058</v>
      </c>
    </row>
    <row r="30" spans="1:28" ht="11.1" customHeight="1">
      <c r="A30" s="600" t="str">
        <f t="shared" si="0"/>
        <v>9Y</v>
      </c>
      <c r="B30" s="663">
        <f t="array" ref="B30">SUMPRODUCT(E30:AA30,IF(ISERROR(MATCH(E$3:AA$3,{"EUR 1Y","EUR 3M","EUR 6M","EUR :STD"},0)),0,1))</f>
        <v>71101.428420109602</v>
      </c>
      <c r="C30" s="663">
        <f t="array" ref="C30">SUMPRODUCT(E30:AA30,IF(ISERROR(MATCH(E$3:AA$3,{"USD 1M","USD 3M","USD 6M","USD :STD"},0)),0,1))</f>
        <v>-94099.646604371635</v>
      </c>
      <c r="D30" s="600" t="b">
        <f t="shared" si="1"/>
        <v>0</v>
      </c>
      <c r="E30" s="665" t="s">
        <v>16</v>
      </c>
      <c r="F30" s="612">
        <v>-2811.0843517620801</v>
      </c>
      <c r="G30" s="668">
        <v>-64294.064739210698</v>
      </c>
      <c r="H30" s="668">
        <v>-271.00985269240999</v>
      </c>
      <c r="I30" s="667">
        <v>13478.4848765077</v>
      </c>
      <c r="J30" s="667">
        <v>57991.350881979699</v>
      </c>
      <c r="K30" s="668">
        <v>-97.397485685386997</v>
      </c>
      <c r="L30" s="668">
        <v>-33457.069466042703</v>
      </c>
      <c r="M30" s="667">
        <v>23838.621433381599</v>
      </c>
      <c r="N30" s="612">
        <v>-1881.1472948808901</v>
      </c>
      <c r="O30" s="668">
        <v>-1799.68405357439</v>
      </c>
      <c r="P30" s="667">
        <v>23.0032868283967</v>
      </c>
      <c r="Q30" s="666">
        <v>0</v>
      </c>
      <c r="R30" s="666">
        <v>0</v>
      </c>
      <c r="S30" s="666">
        <v>0</v>
      </c>
      <c r="T30" s="668">
        <v>-104.466528134897</v>
      </c>
      <c r="U30" s="612">
        <v>-101631.948993848</v>
      </c>
      <c r="V30" s="668">
        <v>-1.7167147241598901E-3</v>
      </c>
      <c r="W30" s="668">
        <v>-77666.384094553607</v>
      </c>
      <c r="X30" s="668">
        <v>-16433.260793103302</v>
      </c>
      <c r="Y30" s="666">
        <v>0</v>
      </c>
      <c r="Z30" s="666">
        <v>0</v>
      </c>
      <c r="AA30" s="666">
        <v>0</v>
      </c>
      <c r="AB30" s="668">
        <v>-7532.3023894763</v>
      </c>
    </row>
    <row r="31" spans="1:28" ht="11.1" customHeight="1">
      <c r="A31" s="600" t="str">
        <f t="shared" si="0"/>
        <v>10Y</v>
      </c>
      <c r="B31" s="663">
        <f t="array" ref="B31">SUMPRODUCT(E31:AA31,IF(ISERROR(MATCH(E$3:AA$3,{"EUR 1Y","EUR 3M","EUR 6M","EUR :STD"},0)),0,1))</f>
        <v>-110648.09128001284</v>
      </c>
      <c r="C31" s="663">
        <f t="array" ref="C31">SUMPRODUCT(E31:AA31,IF(ISERROR(MATCH(E$3:AA$3,{"USD 1M","USD 3M","USD 6M","USD :STD"},0)),0,1))</f>
        <v>69007.557955620054</v>
      </c>
      <c r="D31" s="600" t="b">
        <f t="shared" si="1"/>
        <v>0</v>
      </c>
      <c r="E31" s="665" t="s">
        <v>17</v>
      </c>
      <c r="F31" s="612">
        <v>-4807.7512657344896</v>
      </c>
      <c r="G31" s="668">
        <v>-22709.083387828901</v>
      </c>
      <c r="H31" s="667">
        <v>183.32053664015899</v>
      </c>
      <c r="I31" s="668">
        <v>-89005.369400818498</v>
      </c>
      <c r="J31" s="668">
        <v>-21826.042415834501</v>
      </c>
      <c r="K31" s="667">
        <v>1.6635304245227199E-13</v>
      </c>
      <c r="L31" s="668">
        <v>-20756.890894090098</v>
      </c>
      <c r="M31" s="667">
        <v>149306.314296197</v>
      </c>
      <c r="N31" s="610">
        <v>3143.6722937013901</v>
      </c>
      <c r="O31" s="667">
        <v>4550.0467339118804</v>
      </c>
      <c r="P31" s="668">
        <v>-73.2807618835092</v>
      </c>
      <c r="Q31" s="666">
        <v>0</v>
      </c>
      <c r="R31" s="666">
        <v>0</v>
      </c>
      <c r="S31" s="666">
        <v>0</v>
      </c>
      <c r="T31" s="668">
        <v>-1333.0936783269799</v>
      </c>
      <c r="U31" s="610">
        <v>72268.0976994839</v>
      </c>
      <c r="V31" s="668">
        <v>-1.7305549502897601E-6</v>
      </c>
      <c r="W31" s="667">
        <v>34471.124349730402</v>
      </c>
      <c r="X31" s="667">
        <v>34536.433607620202</v>
      </c>
      <c r="Y31" s="666">
        <v>0</v>
      </c>
      <c r="Z31" s="666">
        <v>0</v>
      </c>
      <c r="AA31" s="666">
        <v>0</v>
      </c>
      <c r="AB31" s="667">
        <v>3260.5397438640398</v>
      </c>
    </row>
    <row r="32" spans="1:28" ht="11.1" customHeight="1">
      <c r="A32" s="600" t="str">
        <f t="shared" si="0"/>
        <v>11Y</v>
      </c>
      <c r="B32" s="663">
        <f t="array" ref="B32">SUMPRODUCT(E32:AA32,IF(ISERROR(MATCH(E$3:AA$3,{"EUR 1Y","EUR 3M","EUR 6M","EUR :STD"},0)),0,1))</f>
        <v>-131023.54678484373</v>
      </c>
      <c r="C32" s="663">
        <f t="array" ref="C32">SUMPRODUCT(E32:AA32,IF(ISERROR(MATCH(E$3:AA$3,{"USD 1M","USD 3M","USD 6M","USD :STD"},0)),0,1))</f>
        <v>-38384.110042213972</v>
      </c>
      <c r="D32" s="600" t="b">
        <f t="shared" si="1"/>
        <v>0</v>
      </c>
      <c r="E32" s="665" t="s">
        <v>31</v>
      </c>
      <c r="F32" s="610">
        <v>29528.363625198599</v>
      </c>
      <c r="G32" s="667">
        <v>165999.65515405501</v>
      </c>
      <c r="H32" s="667">
        <v>862.74766509487699</v>
      </c>
      <c r="I32" s="668">
        <v>-60923.497455770899</v>
      </c>
      <c r="J32" s="668">
        <v>-70962.7969941677</v>
      </c>
      <c r="K32" s="667">
        <v>0</v>
      </c>
      <c r="L32" s="667">
        <v>8989.2321245051207</v>
      </c>
      <c r="M32" s="668">
        <v>-14436.9768685175</v>
      </c>
      <c r="N32" s="612">
        <v>-720.321005278553</v>
      </c>
      <c r="O32" s="668">
        <v>-731.44748264496695</v>
      </c>
      <c r="P32" s="667">
        <v>9.4442854099675593</v>
      </c>
      <c r="Q32" s="666">
        <v>0</v>
      </c>
      <c r="R32" s="666">
        <v>0</v>
      </c>
      <c r="S32" s="666">
        <v>0</v>
      </c>
      <c r="T32" s="667">
        <v>1.6821919564454999</v>
      </c>
      <c r="U32" s="612">
        <v>-38384.110042213899</v>
      </c>
      <c r="V32" s="668">
        <v>-1.56457140697842E-9</v>
      </c>
      <c r="W32" s="668">
        <v>-50498.446217722703</v>
      </c>
      <c r="X32" s="667">
        <v>12114.3361755103</v>
      </c>
      <c r="Y32" s="666">
        <v>0</v>
      </c>
      <c r="Z32" s="666">
        <v>0</v>
      </c>
      <c r="AA32" s="666">
        <v>0</v>
      </c>
      <c r="AB32" s="666">
        <v>0</v>
      </c>
    </row>
    <row r="33" spans="1:28" ht="11.1" customHeight="1">
      <c r="A33" s="600" t="str">
        <f t="shared" si="0"/>
        <v>12Y</v>
      </c>
      <c r="B33" s="663">
        <f t="array" ref="B33">SUMPRODUCT(E33:AA33,IF(ISERROR(MATCH(E$3:AA$3,{"EUR 1Y","EUR 3M","EUR 6M","EUR :STD"},0)),0,1))</f>
        <v>67825.320550230899</v>
      </c>
      <c r="C33" s="663">
        <f t="array" ref="C33">SUMPRODUCT(E33:AA33,IF(ISERROR(MATCH(E$3:AA$3,{"USD 1M","USD 3M","USD 6M","USD :STD"},0)),0,1))</f>
        <v>-10464.145525827111</v>
      </c>
      <c r="D33" s="600" t="b">
        <f t="shared" si="1"/>
        <v>0</v>
      </c>
      <c r="E33" s="665" t="s">
        <v>18</v>
      </c>
      <c r="F33" s="612">
        <v>-47312.936420487997</v>
      </c>
      <c r="G33" s="668">
        <v>-56614.123880406099</v>
      </c>
      <c r="H33" s="668">
        <v>-20041.7225387488</v>
      </c>
      <c r="I33" s="667">
        <v>63267.370513310998</v>
      </c>
      <c r="J33" s="667">
        <v>24599.672575668701</v>
      </c>
      <c r="K33" s="667">
        <v>0</v>
      </c>
      <c r="L33" s="668">
        <v>-74912.003634270906</v>
      </c>
      <c r="M33" s="667">
        <v>16387.870543957899</v>
      </c>
      <c r="N33" s="610">
        <v>3365.3176768111298</v>
      </c>
      <c r="O33" s="667">
        <v>3105.3706673046299</v>
      </c>
      <c r="P33" s="668">
        <v>-46.211926566563697</v>
      </c>
      <c r="Q33" s="666">
        <v>0</v>
      </c>
      <c r="R33" s="666">
        <v>0</v>
      </c>
      <c r="S33" s="666">
        <v>0</v>
      </c>
      <c r="T33" s="667">
        <v>306.15893607308402</v>
      </c>
      <c r="U33" s="612">
        <v>-17343.9616926259</v>
      </c>
      <c r="V33" s="667">
        <v>8.7409279881956502E-14</v>
      </c>
      <c r="W33" s="668">
        <v>-9336.5525233141507</v>
      </c>
      <c r="X33" s="668">
        <v>-1127.5930025129601</v>
      </c>
      <c r="Y33" s="666">
        <v>0</v>
      </c>
      <c r="Z33" s="666">
        <v>0</v>
      </c>
      <c r="AA33" s="666">
        <v>0</v>
      </c>
      <c r="AB33" s="668">
        <v>-6879.8161667987997</v>
      </c>
    </row>
    <row r="34" spans="1:28" ht="11.1" customHeight="1">
      <c r="A34" s="600" t="str">
        <f t="shared" si="0"/>
        <v>13Y</v>
      </c>
      <c r="B34" s="663">
        <f t="array" ref="B34">SUMPRODUCT(E34:AA34,IF(ISERROR(MATCH(E$3:AA$3,{"EUR 1Y","EUR 3M","EUR 6M","EUR :STD"},0)),0,1))</f>
        <v>27679.19321512098</v>
      </c>
      <c r="C34" s="663">
        <f t="array" ref="C34">SUMPRODUCT(E34:AA34,IF(ISERROR(MATCH(E$3:AA$3,{"USD 1M","USD 3M","USD 6M","USD :STD"},0)),0,1))</f>
        <v>25525.776457520355</v>
      </c>
      <c r="D34" s="600" t="b">
        <f t="shared" si="1"/>
        <v>0</v>
      </c>
      <c r="E34" s="665" t="s">
        <v>32</v>
      </c>
      <c r="F34" s="612">
        <v>-3090.4758994528702</v>
      </c>
      <c r="G34" s="668">
        <v>-29487.523899883399</v>
      </c>
      <c r="H34" s="668">
        <v>-5404.92363017768</v>
      </c>
      <c r="I34" s="667">
        <v>9438.1767615369608</v>
      </c>
      <c r="J34" s="667">
        <v>23645.940083761699</v>
      </c>
      <c r="K34" s="667">
        <v>0</v>
      </c>
      <c r="L34" s="668">
        <v>-9745.4149020587101</v>
      </c>
      <c r="M34" s="667">
        <v>8463.2696873683399</v>
      </c>
      <c r="N34" s="610">
        <v>141.75115571958099</v>
      </c>
      <c r="O34" s="668">
        <v>-126.39723347953399</v>
      </c>
      <c r="P34" s="667">
        <v>268.148389199115</v>
      </c>
      <c r="Q34" s="666">
        <v>0</v>
      </c>
      <c r="R34" s="666">
        <v>0</v>
      </c>
      <c r="S34" s="666">
        <v>0</v>
      </c>
      <c r="T34" s="666">
        <v>0</v>
      </c>
      <c r="U34" s="610">
        <v>25525.776457520398</v>
      </c>
      <c r="V34" s="666">
        <v>0</v>
      </c>
      <c r="W34" s="667">
        <v>25526.483253434799</v>
      </c>
      <c r="X34" s="668">
        <v>-0.70679591444468304</v>
      </c>
      <c r="Y34" s="666">
        <v>0</v>
      </c>
      <c r="Z34" s="666">
        <v>0</v>
      </c>
      <c r="AA34" s="666">
        <v>0</v>
      </c>
      <c r="AB34" s="666">
        <v>0</v>
      </c>
    </row>
    <row r="35" spans="1:28" ht="11.1" customHeight="1">
      <c r="A35" s="600" t="str">
        <f t="shared" si="0"/>
        <v>14Y</v>
      </c>
      <c r="B35" s="663">
        <f t="array" ref="B35">SUMPRODUCT(E35:AA35,IF(ISERROR(MATCH(E$3:AA$3,{"EUR 1Y","EUR 3M","EUR 6M","EUR :STD"},0)),0,1))</f>
        <v>89861.419171287314</v>
      </c>
      <c r="C35" s="663">
        <f t="array" ref="C35">SUMPRODUCT(E35:AA35,IF(ISERROR(MATCH(E$3:AA$3,{"USD 1M","USD 3M","USD 6M","USD :STD"},0)),0,1))</f>
        <v>-8414.9423031643364</v>
      </c>
      <c r="D35" s="600" t="b">
        <f t="shared" si="1"/>
        <v>0</v>
      </c>
      <c r="E35" s="665" t="s">
        <v>33</v>
      </c>
      <c r="F35" s="610">
        <v>19472.891589042101</v>
      </c>
      <c r="G35" s="668">
        <v>-18179.723898906599</v>
      </c>
      <c r="H35" s="667">
        <v>803.11538088440795</v>
      </c>
      <c r="I35" s="667">
        <v>88960.230802803795</v>
      </c>
      <c r="J35" s="667">
        <v>98.072987599104394</v>
      </c>
      <c r="K35" s="666">
        <v>0</v>
      </c>
      <c r="L35" s="668">
        <v>-19569.861528262802</v>
      </c>
      <c r="M35" s="668">
        <v>-32638.9421550759</v>
      </c>
      <c r="N35" s="612">
        <v>-2884.2010913978202</v>
      </c>
      <c r="O35" s="668">
        <v>-3537.434774932</v>
      </c>
      <c r="P35" s="667">
        <v>676.05670201230896</v>
      </c>
      <c r="Q35" s="666">
        <v>0</v>
      </c>
      <c r="R35" s="666">
        <v>0</v>
      </c>
      <c r="S35" s="666">
        <v>0</v>
      </c>
      <c r="T35" s="668">
        <v>-22.8230184781271</v>
      </c>
      <c r="U35" s="612">
        <v>-8414.9423031643291</v>
      </c>
      <c r="V35" s="666">
        <v>0</v>
      </c>
      <c r="W35" s="668">
        <v>-8414.9398028309897</v>
      </c>
      <c r="X35" s="668">
        <v>-2.5003333474059798E-3</v>
      </c>
      <c r="Y35" s="666">
        <v>0</v>
      </c>
      <c r="Z35" s="666">
        <v>0</v>
      </c>
      <c r="AA35" s="666">
        <v>0</v>
      </c>
      <c r="AB35" s="666">
        <v>0</v>
      </c>
    </row>
    <row r="36" spans="1:28" ht="11.1" customHeight="1">
      <c r="A36" s="600" t="str">
        <f t="shared" si="0"/>
        <v>15Y</v>
      </c>
      <c r="B36" s="663">
        <f t="array" ref="B36">SUMPRODUCT(E36:AA36,IF(ISERROR(MATCH(E$3:AA$3,{"EUR 1Y","EUR 3M","EUR 6M","EUR :STD"},0)),0,1))</f>
        <v>45876.934263818745</v>
      </c>
      <c r="C36" s="663">
        <f t="array" ref="C36">SUMPRODUCT(E36:AA36,IF(ISERROR(MATCH(E$3:AA$3,{"USD 1M","USD 3M","USD 6M","USD :STD"},0)),0,1))</f>
        <v>385.17790364014178</v>
      </c>
      <c r="D36" s="600" t="b">
        <f t="shared" si="1"/>
        <v>0</v>
      </c>
      <c r="E36" s="665" t="s">
        <v>19</v>
      </c>
      <c r="F36" s="610">
        <v>29917.793147295099</v>
      </c>
      <c r="G36" s="668">
        <v>-23433.102846004</v>
      </c>
      <c r="H36" s="668">
        <v>-468.45610789465798</v>
      </c>
      <c r="I36" s="667">
        <v>16332.594059221699</v>
      </c>
      <c r="J36" s="667">
        <v>30012.796312491701</v>
      </c>
      <c r="K36" s="666">
        <v>0</v>
      </c>
      <c r="L36" s="667">
        <v>271.609966783044</v>
      </c>
      <c r="M36" s="667">
        <v>7202.3517626973298</v>
      </c>
      <c r="N36" s="612">
        <v>-5440.32579674301</v>
      </c>
      <c r="O36" s="668">
        <v>-1830.7690027271699</v>
      </c>
      <c r="P36" s="668">
        <v>-2236.3718489151902</v>
      </c>
      <c r="Q36" s="666">
        <v>0</v>
      </c>
      <c r="R36" s="666">
        <v>0</v>
      </c>
      <c r="S36" s="666">
        <v>0</v>
      </c>
      <c r="T36" s="668">
        <v>-1373.1849451006301</v>
      </c>
      <c r="U36" s="610">
        <v>29888.303455052101</v>
      </c>
      <c r="V36" s="666">
        <v>0</v>
      </c>
      <c r="W36" s="667">
        <v>385.17790408177098</v>
      </c>
      <c r="X36" s="668">
        <v>-4.41629196799407E-7</v>
      </c>
      <c r="Y36" s="666">
        <v>0</v>
      </c>
      <c r="Z36" s="666">
        <v>0</v>
      </c>
      <c r="AA36" s="666">
        <v>0</v>
      </c>
      <c r="AB36" s="667">
        <v>29503.1255514119</v>
      </c>
    </row>
    <row r="37" spans="1:28" ht="11.1" customHeight="1">
      <c r="A37" s="600" t="str">
        <f t="shared" si="0"/>
        <v>16Y</v>
      </c>
      <c r="B37" s="663">
        <f t="array" ref="B37">SUMPRODUCT(E37:AA37,IF(ISERROR(MATCH(E$3:AA$3,{"EUR 1Y","EUR 3M","EUR 6M","EUR :STD"},0)),0,1))</f>
        <v>-58752.776822688742</v>
      </c>
      <c r="C37" s="663">
        <f t="array" ref="C37">SUMPRODUCT(E37:AA37,IF(ISERROR(MATCH(E$3:AA$3,{"USD 1M","USD 3M","USD 6M","USD :STD"},0)),0,1))</f>
        <v>-1302.0394992509425</v>
      </c>
      <c r="D37" s="600" t="b">
        <f t="shared" si="1"/>
        <v>0</v>
      </c>
      <c r="E37" s="665" t="s">
        <v>34</v>
      </c>
      <c r="F37" s="612">
        <v>-39074.562567644098</v>
      </c>
      <c r="G37" s="667">
        <v>22928.1541755299</v>
      </c>
      <c r="H37" s="667">
        <v>2834.3729592667501</v>
      </c>
      <c r="I37" s="668">
        <v>-67916.323501658102</v>
      </c>
      <c r="J37" s="667">
        <v>6329.1737197026096</v>
      </c>
      <c r="K37" s="666">
        <v>0</v>
      </c>
      <c r="L37" s="668">
        <v>-402.42497604401098</v>
      </c>
      <c r="M37" s="668">
        <v>-2847.5149444414301</v>
      </c>
      <c r="N37" s="610">
        <v>156.74094599642899</v>
      </c>
      <c r="O37" s="668">
        <v>-150.85916503891499</v>
      </c>
      <c r="P37" s="667">
        <v>307.60011103534401</v>
      </c>
      <c r="Q37" s="666">
        <v>0</v>
      </c>
      <c r="R37" s="666">
        <v>0</v>
      </c>
      <c r="S37" s="666">
        <v>0</v>
      </c>
      <c r="T37" s="666">
        <v>0</v>
      </c>
      <c r="U37" s="612">
        <v>-1302.03949925094</v>
      </c>
      <c r="V37" s="666">
        <v>0</v>
      </c>
      <c r="W37" s="668">
        <v>-1302.0394992505801</v>
      </c>
      <c r="X37" s="668">
        <v>-3.6234754827331702E-10</v>
      </c>
      <c r="Y37" s="666">
        <v>0</v>
      </c>
      <c r="Z37" s="666">
        <v>0</v>
      </c>
      <c r="AA37" s="666">
        <v>0</v>
      </c>
      <c r="AB37" s="666">
        <v>0</v>
      </c>
    </row>
    <row r="38" spans="1:28" ht="11.1" customHeight="1">
      <c r="A38" s="600" t="str">
        <f t="shared" si="0"/>
        <v>17Y</v>
      </c>
      <c r="B38" s="663">
        <f t="array" ref="B38">SUMPRODUCT(E38:AA38,IF(ISERROR(MATCH(E$3:AA$3,{"EUR 1Y","EUR 3M","EUR 6M","EUR :STD"},0)),0,1))</f>
        <v>-24884.385155249656</v>
      </c>
      <c r="C38" s="663">
        <f t="array" ref="C38">SUMPRODUCT(E38:AA38,IF(ISERROR(MATCH(E$3:AA$3,{"USD 1M","USD 3M","USD 6M","USD :STD"},0)),0,1))</f>
        <v>-1611.40942593404</v>
      </c>
      <c r="D38" s="600" t="b">
        <f t="shared" si="1"/>
        <v>0</v>
      </c>
      <c r="E38" s="665" t="s">
        <v>35</v>
      </c>
      <c r="F38" s="612">
        <v>-23235.291227269299</v>
      </c>
      <c r="G38" s="667">
        <v>8323.4482101735994</v>
      </c>
      <c r="H38" s="668">
        <v>-27413.470929782299</v>
      </c>
      <c r="I38" s="667">
        <v>4687.1531510352197</v>
      </c>
      <c r="J38" s="668">
        <v>-2158.0673765025799</v>
      </c>
      <c r="K38" s="666">
        <v>0</v>
      </c>
      <c r="L38" s="667">
        <v>745.56536971030698</v>
      </c>
      <c r="M38" s="668">
        <v>-7419.9196519035504</v>
      </c>
      <c r="N38" s="610">
        <v>0.72945892753102404</v>
      </c>
      <c r="O38" s="667">
        <v>0.54752852372716998</v>
      </c>
      <c r="P38" s="667">
        <v>0.181930403803852</v>
      </c>
      <c r="Q38" s="666">
        <v>0</v>
      </c>
      <c r="R38" s="666">
        <v>0</v>
      </c>
      <c r="S38" s="666">
        <v>0</v>
      </c>
      <c r="T38" s="666">
        <v>0</v>
      </c>
      <c r="U38" s="612">
        <v>-1611.40942593404</v>
      </c>
      <c r="V38" s="666">
        <v>0</v>
      </c>
      <c r="W38" s="668">
        <v>-1611.40942593404</v>
      </c>
      <c r="X38" s="666">
        <v>0</v>
      </c>
      <c r="Y38" s="666">
        <v>0</v>
      </c>
      <c r="Z38" s="666">
        <v>0</v>
      </c>
      <c r="AA38" s="666">
        <v>0</v>
      </c>
      <c r="AB38" s="666">
        <v>0</v>
      </c>
    </row>
    <row r="39" spans="1:28" ht="11.1" customHeight="1">
      <c r="A39" s="600" t="str">
        <f t="shared" si="0"/>
        <v>18Y</v>
      </c>
      <c r="B39" s="663">
        <f t="array" ref="B39">SUMPRODUCT(E39:AA39,IF(ISERROR(MATCH(E$3:AA$3,{"EUR 1Y","EUR 3M","EUR 6M","EUR :STD"},0)),0,1))</f>
        <v>9334.6666570220841</v>
      </c>
      <c r="C39" s="663">
        <f t="array" ref="C39">SUMPRODUCT(E39:AA39,IF(ISERROR(MATCH(E$3:AA$3,{"USD 1M","USD 3M","USD 6M","USD :STD"},0)),0,1))</f>
        <v>-11948.091858723899</v>
      </c>
      <c r="D39" s="600" t="b">
        <f t="shared" si="1"/>
        <v>0</v>
      </c>
      <c r="E39" s="665" t="s">
        <v>36</v>
      </c>
      <c r="F39" s="612">
        <v>-15238.527077180401</v>
      </c>
      <c r="G39" s="668">
        <v>-11560.0898545132</v>
      </c>
      <c r="H39" s="668">
        <v>-80566.952559293393</v>
      </c>
      <c r="I39" s="667">
        <v>5291.3447842202704</v>
      </c>
      <c r="J39" s="667">
        <v>84610.274432095204</v>
      </c>
      <c r="K39" s="666">
        <v>0</v>
      </c>
      <c r="L39" s="668">
        <v>-11537.054175397299</v>
      </c>
      <c r="M39" s="668">
        <v>-1476.0497042919901</v>
      </c>
      <c r="N39" s="610">
        <v>5.2264329856908205E-4</v>
      </c>
      <c r="O39" s="667">
        <v>4.1293420603481302E-4</v>
      </c>
      <c r="P39" s="667">
        <v>1.0970909254126599E-4</v>
      </c>
      <c r="Q39" s="666">
        <v>0</v>
      </c>
      <c r="R39" s="666">
        <v>0</v>
      </c>
      <c r="S39" s="666">
        <v>0</v>
      </c>
      <c r="T39" s="666">
        <v>0</v>
      </c>
      <c r="U39" s="612">
        <v>-11948.091858723899</v>
      </c>
      <c r="V39" s="666">
        <v>0</v>
      </c>
      <c r="W39" s="668">
        <v>-11948.091858723899</v>
      </c>
      <c r="X39" s="666">
        <v>0</v>
      </c>
      <c r="Y39" s="666">
        <v>0</v>
      </c>
      <c r="Z39" s="666">
        <v>0</v>
      </c>
      <c r="AA39" s="666">
        <v>0</v>
      </c>
      <c r="AB39" s="666">
        <v>0</v>
      </c>
    </row>
    <row r="40" spans="1:28" ht="11.1" customHeight="1">
      <c r="A40" s="600" t="str">
        <f t="shared" si="0"/>
        <v>19Y</v>
      </c>
      <c r="B40" s="663">
        <f t="array" ref="B40">SUMPRODUCT(E40:AA40,IF(ISERROR(MATCH(E$3:AA$3,{"EUR 1Y","EUR 3M","EUR 6M","EUR :STD"},0)),0,1))</f>
        <v>-201732.84307871663</v>
      </c>
      <c r="C40" s="663">
        <f t="array" ref="C40">SUMPRODUCT(E40:AA40,IF(ISERROR(MATCH(E$3:AA$3,{"USD 1M","USD 3M","USD 6M","USD :STD"},0)),0,1))</f>
        <v>85969.773861928799</v>
      </c>
      <c r="D40" s="600" t="b">
        <f t="shared" si="1"/>
        <v>0</v>
      </c>
      <c r="E40" s="665" t="s">
        <v>37</v>
      </c>
      <c r="F40" s="610">
        <v>1009.42526053147</v>
      </c>
      <c r="G40" s="668">
        <v>-15819.463837727701</v>
      </c>
      <c r="H40" s="667">
        <v>114448.62245516801</v>
      </c>
      <c r="I40" s="668">
        <v>-18935.929035528599</v>
      </c>
      <c r="J40" s="668">
        <v>-297245.53649835603</v>
      </c>
      <c r="K40" s="666">
        <v>0</v>
      </c>
      <c r="L40" s="667">
        <v>28494.945044601802</v>
      </c>
      <c r="M40" s="667">
        <v>190066.78713237401</v>
      </c>
      <c r="N40" s="610">
        <v>5.2509081607384598</v>
      </c>
      <c r="O40" s="667">
        <v>1.5885775812485599E-7</v>
      </c>
      <c r="P40" s="667">
        <v>6.4381144727450999E-8</v>
      </c>
      <c r="Q40" s="666">
        <v>0</v>
      </c>
      <c r="R40" s="666">
        <v>0</v>
      </c>
      <c r="S40" s="666">
        <v>0</v>
      </c>
      <c r="T40" s="667">
        <v>5.2509079374995498</v>
      </c>
      <c r="U40" s="610">
        <v>85969.773861928799</v>
      </c>
      <c r="V40" s="666">
        <v>0</v>
      </c>
      <c r="W40" s="667">
        <v>85969.773861928799</v>
      </c>
      <c r="X40" s="666">
        <v>0</v>
      </c>
      <c r="Y40" s="666">
        <v>0</v>
      </c>
      <c r="Z40" s="666">
        <v>0</v>
      </c>
      <c r="AA40" s="666">
        <v>0</v>
      </c>
      <c r="AB40" s="666">
        <v>0</v>
      </c>
    </row>
    <row r="41" spans="1:28" ht="11.1" customHeight="1">
      <c r="A41" s="600" t="str">
        <f t="shared" si="0"/>
        <v>20Y</v>
      </c>
      <c r="B41" s="663">
        <f t="array" ref="B41">SUMPRODUCT(E41:AA41,IF(ISERROR(MATCH(E$3:AA$3,{"EUR 1Y","EUR 3M","EUR 6M","EUR :STD"},0)),0,1))</f>
        <v>237530.91374283729</v>
      </c>
      <c r="C41" s="663">
        <f t="array" ref="C41">SUMPRODUCT(E41:AA41,IF(ISERROR(MATCH(E$3:AA$3,{"USD 1M","USD 3M","USD 6M","USD :STD"},0)),0,1))</f>
        <v>-37870.3016025787</v>
      </c>
      <c r="D41" s="600" t="b">
        <f t="shared" si="1"/>
        <v>0</v>
      </c>
      <c r="E41" s="665" t="s">
        <v>20</v>
      </c>
      <c r="F41" s="610">
        <v>22618.6814873111</v>
      </c>
      <c r="G41" s="668">
        <v>-19482.448339006201</v>
      </c>
      <c r="H41" s="667">
        <v>240845.81626304699</v>
      </c>
      <c r="I41" s="668">
        <v>-27718.494650723002</v>
      </c>
      <c r="J41" s="667">
        <v>24403.592130513302</v>
      </c>
      <c r="K41" s="666">
        <v>0</v>
      </c>
      <c r="L41" s="667">
        <v>21344.0314816227</v>
      </c>
      <c r="M41" s="668">
        <v>-216773.81539814299</v>
      </c>
      <c r="N41" s="610">
        <v>316.804778895803</v>
      </c>
      <c r="O41" s="666">
        <v>0</v>
      </c>
      <c r="P41" s="667">
        <v>3.2471491933651898E-21</v>
      </c>
      <c r="Q41" s="666">
        <v>0</v>
      </c>
      <c r="R41" s="666">
        <v>0</v>
      </c>
      <c r="S41" s="666">
        <v>0</v>
      </c>
      <c r="T41" s="667">
        <v>316.804778895803</v>
      </c>
      <c r="U41" s="612">
        <v>-69417.825459835003</v>
      </c>
      <c r="V41" s="666">
        <v>0</v>
      </c>
      <c r="W41" s="668">
        <v>-37870.3016025787</v>
      </c>
      <c r="X41" s="666">
        <v>0</v>
      </c>
      <c r="Y41" s="666">
        <v>0</v>
      </c>
      <c r="Z41" s="666">
        <v>0</v>
      </c>
      <c r="AA41" s="666">
        <v>0</v>
      </c>
      <c r="AB41" s="668">
        <v>-31547.523857256601</v>
      </c>
    </row>
    <row r="42" spans="1:28" ht="11.1" customHeight="1">
      <c r="A42" s="600" t="str">
        <f t="shared" si="0"/>
        <v>21Y</v>
      </c>
      <c r="B42" s="663">
        <f t="array" ref="B42">SUMPRODUCT(E42:AA42,IF(ISERROR(MATCH(E$3:AA$3,{"EUR 1Y","EUR 3M","EUR 6M","EUR :STD"},0)),0,1))</f>
        <v>-4444.3698549850087</v>
      </c>
      <c r="C42" s="663">
        <f t="array" ref="C42">SUMPRODUCT(E42:AA42,IF(ISERROR(MATCH(E$3:AA$3,{"USD 1M","USD 3M","USD 6M","USD :STD"},0)),0,1))</f>
        <v>3060.4798979197999</v>
      </c>
      <c r="D42" s="600" t="b">
        <f t="shared" si="1"/>
        <v>0</v>
      </c>
      <c r="E42" s="665" t="s">
        <v>38</v>
      </c>
      <c r="F42" s="610">
        <v>31915.329937849601</v>
      </c>
      <c r="G42" s="667">
        <v>16456.237811994601</v>
      </c>
      <c r="H42" s="668">
        <v>-190562.77177239201</v>
      </c>
      <c r="I42" s="667">
        <v>114880.22288754401</v>
      </c>
      <c r="J42" s="667">
        <v>71238.179029862993</v>
      </c>
      <c r="K42" s="666">
        <v>0</v>
      </c>
      <c r="L42" s="668">
        <v>-2756.8791638450002</v>
      </c>
      <c r="M42" s="667">
        <v>22660.3411446848</v>
      </c>
      <c r="N42" s="612">
        <v>-1.26298524192057E-24</v>
      </c>
      <c r="O42" s="666">
        <v>0</v>
      </c>
      <c r="P42" s="668">
        <v>-1.26298524192057E-24</v>
      </c>
      <c r="Q42" s="666">
        <v>0</v>
      </c>
      <c r="R42" s="666">
        <v>0</v>
      </c>
      <c r="S42" s="666">
        <v>0</v>
      </c>
      <c r="T42" s="666">
        <v>0</v>
      </c>
      <c r="U42" s="610">
        <v>3060.4798979197999</v>
      </c>
      <c r="V42" s="666">
        <v>0</v>
      </c>
      <c r="W42" s="667">
        <v>3060.4798979197999</v>
      </c>
      <c r="X42" s="666">
        <v>0</v>
      </c>
      <c r="Y42" s="666">
        <v>0</v>
      </c>
      <c r="Z42" s="666">
        <v>0</v>
      </c>
      <c r="AA42" s="666">
        <v>0</v>
      </c>
      <c r="AB42" s="666">
        <v>0</v>
      </c>
    </row>
    <row r="43" spans="1:28" ht="11.1" customHeight="1">
      <c r="A43" s="600" t="str">
        <f t="shared" si="0"/>
        <v>22Y</v>
      </c>
      <c r="B43" s="663">
        <f t="array" ref="B43">SUMPRODUCT(E43:AA43,IF(ISERROR(MATCH(E$3:AA$3,{"EUR 1Y","EUR 3M","EUR 6M","EUR :STD"},0)),0,1))</f>
        <v>-28390.028450811398</v>
      </c>
      <c r="C43" s="663">
        <f t="array" ref="C43">SUMPRODUCT(E43:AA43,IF(ISERROR(MATCH(E$3:AA$3,{"USD 1M","USD 3M","USD 6M","USD :STD"},0)),0,1))</f>
        <v>-32.647113742218103</v>
      </c>
      <c r="D43" s="600" t="b">
        <f t="shared" si="1"/>
        <v>0</v>
      </c>
      <c r="E43" s="665" t="s">
        <v>39</v>
      </c>
      <c r="F43" s="610">
        <v>6744.39209824095</v>
      </c>
      <c r="G43" s="667">
        <v>37242.8134750963</v>
      </c>
      <c r="H43" s="668">
        <v>-52084.329749373799</v>
      </c>
      <c r="I43" s="668">
        <v>-44202.422140939903</v>
      </c>
      <c r="J43" s="667">
        <v>67896.723439502297</v>
      </c>
      <c r="K43" s="666">
        <v>0</v>
      </c>
      <c r="L43" s="666">
        <v>0</v>
      </c>
      <c r="M43" s="668">
        <v>-2108.3929260438699</v>
      </c>
      <c r="N43" s="610">
        <v>0</v>
      </c>
      <c r="O43" s="666">
        <v>0</v>
      </c>
      <c r="P43" s="667">
        <v>0</v>
      </c>
      <c r="Q43" s="666">
        <v>0</v>
      </c>
      <c r="R43" s="666">
        <v>0</v>
      </c>
      <c r="S43" s="666">
        <v>0</v>
      </c>
      <c r="T43" s="666">
        <v>0</v>
      </c>
      <c r="U43" s="612">
        <v>-32.647113742218103</v>
      </c>
      <c r="V43" s="666">
        <v>0</v>
      </c>
      <c r="W43" s="668">
        <v>-32.647113742218103</v>
      </c>
      <c r="X43" s="666">
        <v>0</v>
      </c>
      <c r="Y43" s="666">
        <v>0</v>
      </c>
      <c r="Z43" s="666">
        <v>0</v>
      </c>
      <c r="AA43" s="666">
        <v>0</v>
      </c>
      <c r="AB43" s="666">
        <v>0</v>
      </c>
    </row>
    <row r="44" spans="1:28" ht="11.1" customHeight="1">
      <c r="A44" s="600" t="str">
        <f t="shared" si="0"/>
        <v>23Y</v>
      </c>
      <c r="B44" s="663">
        <f t="array" ref="B44">SUMPRODUCT(E44:AA44,IF(ISERROR(MATCH(E$3:AA$3,{"EUR 1Y","EUR 3M","EUR 6M","EUR :STD"},0)),0,1))</f>
        <v>-9673.4937387818172</v>
      </c>
      <c r="C44" s="663">
        <f t="array" ref="C44">SUMPRODUCT(E44:AA44,IF(ISERROR(MATCH(E$3:AA$3,{"USD 1M","USD 3M","USD 6M","USD :STD"},0)),0,1))</f>
        <v>367.28323174009898</v>
      </c>
      <c r="D44" s="600" t="b">
        <f t="shared" si="1"/>
        <v>0</v>
      </c>
      <c r="E44" s="665" t="s">
        <v>40</v>
      </c>
      <c r="F44" s="612">
        <v>-17047.251314164001</v>
      </c>
      <c r="G44" s="668">
        <v>-6521.3019414986702</v>
      </c>
      <c r="H44" s="667">
        <v>6676.4861121958702</v>
      </c>
      <c r="I44" s="668">
        <v>-23023.017052544699</v>
      </c>
      <c r="J44" s="667">
        <v>6673.03720156701</v>
      </c>
      <c r="K44" s="666">
        <v>0</v>
      </c>
      <c r="L44" s="666">
        <v>0</v>
      </c>
      <c r="M44" s="668">
        <v>-852.45563388346397</v>
      </c>
      <c r="N44" s="602">
        <v>0</v>
      </c>
      <c r="O44" s="666">
        <v>0</v>
      </c>
      <c r="P44" s="666">
        <v>0</v>
      </c>
      <c r="Q44" s="666">
        <v>0</v>
      </c>
      <c r="R44" s="666">
        <v>0</v>
      </c>
      <c r="S44" s="666">
        <v>0</v>
      </c>
      <c r="T44" s="666">
        <v>0</v>
      </c>
      <c r="U44" s="610">
        <v>367.28323174009898</v>
      </c>
      <c r="V44" s="666">
        <v>0</v>
      </c>
      <c r="W44" s="667">
        <v>367.28323174009898</v>
      </c>
      <c r="X44" s="666">
        <v>0</v>
      </c>
      <c r="Y44" s="666">
        <v>0</v>
      </c>
      <c r="Z44" s="666">
        <v>0</v>
      </c>
      <c r="AA44" s="666">
        <v>0</v>
      </c>
      <c r="AB44" s="666">
        <v>0</v>
      </c>
    </row>
    <row r="45" spans="1:28" ht="11.1" customHeight="1">
      <c r="A45" s="600" t="str">
        <f t="shared" si="0"/>
        <v>24Y</v>
      </c>
      <c r="B45" s="663">
        <f t="array" ref="B45">SUMPRODUCT(E45:AA45,IF(ISERROR(MATCH(E$3:AA$3,{"EUR 1Y","EUR 3M","EUR 6M","EUR :STD"},0)),0,1))</f>
        <v>18512.992163885778</v>
      </c>
      <c r="C45" s="663">
        <f t="array" ref="C45">SUMPRODUCT(E45:AA45,IF(ISERROR(MATCH(E$3:AA$3,{"USD 1M","USD 3M","USD 6M","USD :STD"},0)),0,1))</f>
        <v>-10573.6631950924</v>
      </c>
      <c r="D45" s="600" t="b">
        <f t="shared" si="1"/>
        <v>0</v>
      </c>
      <c r="E45" s="665" t="s">
        <v>41</v>
      </c>
      <c r="F45" s="610">
        <v>25181.833762213999</v>
      </c>
      <c r="G45" s="667">
        <v>272.30455508405498</v>
      </c>
      <c r="H45" s="668">
        <v>-0.27480742764294502</v>
      </c>
      <c r="I45" s="668">
        <v>-220.79907245247799</v>
      </c>
      <c r="J45" s="667">
        <v>18734.066043765899</v>
      </c>
      <c r="K45" s="666">
        <v>0</v>
      </c>
      <c r="L45" s="666">
        <v>0</v>
      </c>
      <c r="M45" s="667">
        <v>6396.5370432441396</v>
      </c>
      <c r="N45" s="610">
        <v>1.4224898262869099E-2</v>
      </c>
      <c r="O45" s="666">
        <v>0</v>
      </c>
      <c r="P45" s="666">
        <v>0</v>
      </c>
      <c r="Q45" s="666">
        <v>0</v>
      </c>
      <c r="R45" s="666">
        <v>0</v>
      </c>
      <c r="S45" s="666">
        <v>0</v>
      </c>
      <c r="T45" s="667">
        <v>1.4224898262869099E-2</v>
      </c>
      <c r="U45" s="612">
        <v>-10573.6631950924</v>
      </c>
      <c r="V45" s="666">
        <v>0</v>
      </c>
      <c r="W45" s="668">
        <v>-10573.6631950924</v>
      </c>
      <c r="X45" s="666">
        <v>0</v>
      </c>
      <c r="Y45" s="666">
        <v>0</v>
      </c>
      <c r="Z45" s="666">
        <v>0</v>
      </c>
      <c r="AA45" s="666">
        <v>0</v>
      </c>
      <c r="AB45" s="666">
        <v>0</v>
      </c>
    </row>
    <row r="46" spans="1:28" ht="11.1" customHeight="1">
      <c r="A46" s="600" t="str">
        <f t="shared" si="0"/>
        <v>25Y</v>
      </c>
      <c r="B46" s="663">
        <f t="array" ref="B46">SUMPRODUCT(E46:AA46,IF(ISERROR(MATCH(E$3:AA$3,{"EUR 1Y","EUR 3M","EUR 6M","EUR :STD"},0)),0,1))</f>
        <v>-13089.64494978515</v>
      </c>
      <c r="C46" s="663">
        <f t="array" ref="C46">SUMPRODUCT(E46:AA46,IF(ISERROR(MATCH(E$3:AA$3,{"USD 1M","USD 3M","USD 6M","USD :STD"},0)),0,1))</f>
        <v>-6612.7183138556302</v>
      </c>
      <c r="D46" s="600" t="b">
        <f t="shared" si="1"/>
        <v>0</v>
      </c>
      <c r="E46" s="665" t="s">
        <v>21</v>
      </c>
      <c r="F46" s="612">
        <v>-8660.63960336116</v>
      </c>
      <c r="G46" s="667">
        <v>9832.04622788503</v>
      </c>
      <c r="H46" s="666">
        <v>0</v>
      </c>
      <c r="I46" s="667">
        <v>4301.5886000052496</v>
      </c>
      <c r="J46" s="668">
        <v>-17391.233549790399</v>
      </c>
      <c r="K46" s="666">
        <v>0</v>
      </c>
      <c r="L46" s="666">
        <v>0</v>
      </c>
      <c r="M46" s="668">
        <v>-5403.04088146101</v>
      </c>
      <c r="N46" s="610">
        <v>1.2837970682239399</v>
      </c>
      <c r="O46" s="666">
        <v>0</v>
      </c>
      <c r="P46" s="666">
        <v>0</v>
      </c>
      <c r="Q46" s="666">
        <v>0</v>
      </c>
      <c r="R46" s="666">
        <v>0</v>
      </c>
      <c r="S46" s="666">
        <v>0</v>
      </c>
      <c r="T46" s="667">
        <v>1.2837970682239399</v>
      </c>
      <c r="U46" s="610">
        <v>6473.7553696948098</v>
      </c>
      <c r="V46" s="666">
        <v>0</v>
      </c>
      <c r="W46" s="668">
        <v>-6612.7183138556302</v>
      </c>
      <c r="X46" s="666">
        <v>0</v>
      </c>
      <c r="Y46" s="666">
        <v>0</v>
      </c>
      <c r="Z46" s="666">
        <v>0</v>
      </c>
      <c r="AA46" s="666">
        <v>0</v>
      </c>
      <c r="AB46" s="667">
        <v>13086.473683550401</v>
      </c>
    </row>
    <row r="47" spans="1:28" ht="11.1" customHeight="1">
      <c r="A47" s="600" t="str">
        <f t="shared" si="0"/>
        <v>26Y</v>
      </c>
      <c r="B47" s="663">
        <f t="array" ref="B47">SUMPRODUCT(E47:AA47,IF(ISERROR(MATCH(E$3:AA$3,{"EUR 1Y","EUR 3M","EUR 6M","EUR :STD"},0)),0,1))</f>
        <v>3026.1126588424804</v>
      </c>
      <c r="C47" s="663">
        <f t="array" ref="C47">SUMPRODUCT(E47:AA47,IF(ISERROR(MATCH(E$3:AA$3,{"USD 1M","USD 3M","USD 6M","USD :STD"},0)),0,1))</f>
        <v>-67.704671341530798</v>
      </c>
      <c r="D47" s="600" t="b">
        <f t="shared" si="1"/>
        <v>0</v>
      </c>
      <c r="E47" s="665" t="s">
        <v>42</v>
      </c>
      <c r="F47" s="610">
        <v>1179.9040749829101</v>
      </c>
      <c r="G47" s="668">
        <v>-1849.65016331417</v>
      </c>
      <c r="H47" s="666">
        <v>0</v>
      </c>
      <c r="I47" s="667">
        <v>55.701433346150097</v>
      </c>
      <c r="J47" s="667">
        <v>2970.4112254963302</v>
      </c>
      <c r="K47" s="666">
        <v>0</v>
      </c>
      <c r="L47" s="666">
        <v>0</v>
      </c>
      <c r="M47" s="667">
        <v>3.4415794545896801</v>
      </c>
      <c r="N47" s="602">
        <v>0</v>
      </c>
      <c r="O47" s="666">
        <v>0</v>
      </c>
      <c r="P47" s="666">
        <v>0</v>
      </c>
      <c r="Q47" s="666">
        <v>0</v>
      </c>
      <c r="R47" s="666">
        <v>0</v>
      </c>
      <c r="S47" s="666">
        <v>0</v>
      </c>
      <c r="T47" s="666">
        <v>0</v>
      </c>
      <c r="U47" s="612">
        <v>-67.704671341530798</v>
      </c>
      <c r="V47" s="666">
        <v>0</v>
      </c>
      <c r="W47" s="668">
        <v>-67.704671341530798</v>
      </c>
      <c r="X47" s="666">
        <v>0</v>
      </c>
      <c r="Y47" s="666">
        <v>0</v>
      </c>
      <c r="Z47" s="666">
        <v>0</v>
      </c>
      <c r="AA47" s="666">
        <v>0</v>
      </c>
      <c r="AB47" s="666">
        <v>0</v>
      </c>
    </row>
    <row r="48" spans="1:28" ht="11.1" customHeight="1">
      <c r="A48" s="600" t="str">
        <f t="shared" si="0"/>
        <v>27Y</v>
      </c>
      <c r="B48" s="663">
        <f t="array" ref="B48">SUMPRODUCT(E48:AA48,IF(ISERROR(MATCH(E$3:AA$3,{"EUR 1Y","EUR 3M","EUR 6M","EUR :STD"},0)),0,1))</f>
        <v>980.47438600731448</v>
      </c>
      <c r="C48" s="663">
        <f t="array" ref="C48">SUMPRODUCT(E48:AA48,IF(ISERROR(MATCH(E$3:AA$3,{"USD 1M","USD 3M","USD 6M","USD :STD"},0)),0,1))</f>
        <v>0.198961209651556</v>
      </c>
      <c r="D48" s="600" t="b">
        <f t="shared" si="1"/>
        <v>0</v>
      </c>
      <c r="E48" s="665" t="s">
        <v>43</v>
      </c>
      <c r="F48" s="612">
        <v>-38.263919948977403</v>
      </c>
      <c r="G48" s="668">
        <v>-1021.38812027604</v>
      </c>
      <c r="H48" s="666">
        <v>0</v>
      </c>
      <c r="I48" s="668">
        <v>-0.20175470311256999</v>
      </c>
      <c r="J48" s="667">
        <v>980.67614071042703</v>
      </c>
      <c r="K48" s="666">
        <v>0</v>
      </c>
      <c r="L48" s="666">
        <v>0</v>
      </c>
      <c r="M48" s="667">
        <v>2.64981431975274</v>
      </c>
      <c r="N48" s="602">
        <v>0</v>
      </c>
      <c r="O48" s="666">
        <v>0</v>
      </c>
      <c r="P48" s="666">
        <v>0</v>
      </c>
      <c r="Q48" s="666">
        <v>0</v>
      </c>
      <c r="R48" s="666">
        <v>0</v>
      </c>
      <c r="S48" s="666">
        <v>0</v>
      </c>
      <c r="T48" s="666">
        <v>0</v>
      </c>
      <c r="U48" s="610">
        <v>0.198961209651556</v>
      </c>
      <c r="V48" s="666">
        <v>0</v>
      </c>
      <c r="W48" s="667">
        <v>0.198961209651556</v>
      </c>
      <c r="X48" s="666">
        <v>0</v>
      </c>
      <c r="Y48" s="666">
        <v>0</v>
      </c>
      <c r="Z48" s="666">
        <v>0</v>
      </c>
      <c r="AA48" s="666">
        <v>0</v>
      </c>
      <c r="AB48" s="666">
        <v>0</v>
      </c>
    </row>
    <row r="49" spans="1:28" ht="11.1" customHeight="1">
      <c r="A49" s="600" t="str">
        <f t="shared" si="0"/>
        <v>28Y</v>
      </c>
      <c r="B49" s="663">
        <f t="array" ref="B49">SUMPRODUCT(E49:AA49,IF(ISERROR(MATCH(E$3:AA$3,{"EUR 1Y","EUR 3M","EUR 6M","EUR :STD"},0)),0,1))</f>
        <v>1040.8157987824898</v>
      </c>
      <c r="C49" s="663">
        <f t="array" ref="C49">SUMPRODUCT(E49:AA49,IF(ISERROR(MATCH(E$3:AA$3,{"USD 1M","USD 3M","USD 6M","USD :STD"},0)),0,1))</f>
        <v>3.8097247997322803E-5</v>
      </c>
      <c r="D49" s="600" t="b">
        <f t="shared" si="1"/>
        <v>0</v>
      </c>
      <c r="E49" s="665" t="s">
        <v>44</v>
      </c>
      <c r="F49" s="612">
        <v>-64.492689428540999</v>
      </c>
      <c r="G49" s="668">
        <v>-1107.45660196331</v>
      </c>
      <c r="H49" s="666">
        <v>0</v>
      </c>
      <c r="I49" s="667">
        <v>4.5827609814486302E-5</v>
      </c>
      <c r="J49" s="667">
        <v>1040.8157529548801</v>
      </c>
      <c r="K49" s="666">
        <v>0</v>
      </c>
      <c r="L49" s="666">
        <v>0</v>
      </c>
      <c r="M49" s="667">
        <v>2.1481137522788698</v>
      </c>
      <c r="N49" s="602">
        <v>0</v>
      </c>
      <c r="O49" s="666">
        <v>0</v>
      </c>
      <c r="P49" s="666">
        <v>0</v>
      </c>
      <c r="Q49" s="666">
        <v>0</v>
      </c>
      <c r="R49" s="666">
        <v>0</v>
      </c>
      <c r="S49" s="666">
        <v>0</v>
      </c>
      <c r="T49" s="666">
        <v>0</v>
      </c>
      <c r="U49" s="610">
        <v>3.8097247997322803E-5</v>
      </c>
      <c r="V49" s="666">
        <v>0</v>
      </c>
      <c r="W49" s="667">
        <v>3.8097247997322803E-5</v>
      </c>
      <c r="X49" s="666">
        <v>0</v>
      </c>
      <c r="Y49" s="666">
        <v>0</v>
      </c>
      <c r="Z49" s="666">
        <v>0</v>
      </c>
      <c r="AA49" s="666">
        <v>0</v>
      </c>
      <c r="AB49" s="666">
        <v>0</v>
      </c>
    </row>
    <row r="50" spans="1:28" ht="11.1" customHeight="1">
      <c r="A50" s="600" t="str">
        <f t="shared" si="0"/>
        <v>29Y</v>
      </c>
      <c r="B50" s="663">
        <f t="array" ref="B50">SUMPRODUCT(E50:AA50,IF(ISERROR(MATCH(E$3:AA$3,{"EUR 1Y","EUR 3M","EUR 6M","EUR :STD"},0)),0,1))</f>
        <v>1170.01791303139</v>
      </c>
      <c r="C50" s="663">
        <f t="array" ref="C50">SUMPRODUCT(E50:AA50,IF(ISERROR(MATCH(E$3:AA$3,{"USD 1M","USD 3M","USD 6M","USD :STD"},0)),0,1))</f>
        <v>8.3528081962585004E-7</v>
      </c>
      <c r="D50" s="600" t="b">
        <f t="shared" si="1"/>
        <v>0</v>
      </c>
      <c r="E50" s="665" t="s">
        <v>45</v>
      </c>
      <c r="F50" s="612">
        <v>-14.724230591719101</v>
      </c>
      <c r="G50" s="668">
        <v>-1186.2919567843401</v>
      </c>
      <c r="H50" s="666">
        <v>0</v>
      </c>
      <c r="I50" s="668">
        <v>-9.0752993753214502E-7</v>
      </c>
      <c r="J50" s="667">
        <v>1170.0179139389199</v>
      </c>
      <c r="K50" s="666">
        <v>0</v>
      </c>
      <c r="L50" s="666">
        <v>0</v>
      </c>
      <c r="M50" s="667">
        <v>1.5498131612317101</v>
      </c>
      <c r="N50" s="610">
        <v>3.9491228914983999E-5</v>
      </c>
      <c r="O50" s="666">
        <v>0</v>
      </c>
      <c r="P50" s="666">
        <v>0</v>
      </c>
      <c r="Q50" s="666">
        <v>0</v>
      </c>
      <c r="R50" s="666">
        <v>0</v>
      </c>
      <c r="S50" s="666">
        <v>0</v>
      </c>
      <c r="T50" s="667">
        <v>3.9491228914983999E-5</v>
      </c>
      <c r="U50" s="610">
        <v>8.3528081962585004E-7</v>
      </c>
      <c r="V50" s="666">
        <v>0</v>
      </c>
      <c r="W50" s="667">
        <v>8.3528081962585004E-7</v>
      </c>
      <c r="X50" s="666">
        <v>0</v>
      </c>
      <c r="Y50" s="666">
        <v>0</v>
      </c>
      <c r="Z50" s="666">
        <v>0</v>
      </c>
      <c r="AA50" s="666">
        <v>0</v>
      </c>
      <c r="AB50" s="666">
        <v>0</v>
      </c>
    </row>
    <row r="51" spans="1:28" ht="11.1" customHeight="1">
      <c r="A51" s="600" t="str">
        <f t="shared" si="0"/>
        <v>30Y</v>
      </c>
      <c r="B51" s="663">
        <f t="array" ref="B51">SUMPRODUCT(E51:AA51,IF(ISERROR(MATCH(E$3:AA$3,{"EUR 1Y","EUR 3M","EUR 6M","EUR :STD"},0)),0,1))</f>
        <v>1262.5500648926816</v>
      </c>
      <c r="C51" s="663">
        <f t="array" ref="C51">SUMPRODUCT(E51:AA51,IF(ISERROR(MATCH(E$3:AA$3,{"USD 1M","USD 3M","USD 6M","USD :STD"},0)),0,1))</f>
        <v>8.0312481902620801E-10</v>
      </c>
      <c r="D51" s="600" t="b">
        <f t="shared" si="1"/>
        <v>0</v>
      </c>
      <c r="E51" s="665" t="s">
        <v>22</v>
      </c>
      <c r="F51" s="612">
        <v>-21.081581547382498</v>
      </c>
      <c r="G51" s="668">
        <v>-1284.1976198571001</v>
      </c>
      <c r="H51" s="666">
        <v>0</v>
      </c>
      <c r="I51" s="668">
        <v>-5.5835288789031596E-10</v>
      </c>
      <c r="J51" s="667">
        <v>1262.55006489324</v>
      </c>
      <c r="K51" s="666">
        <v>0</v>
      </c>
      <c r="L51" s="666">
        <v>0</v>
      </c>
      <c r="M51" s="667">
        <v>0.56597341703347304</v>
      </c>
      <c r="N51" s="610">
        <v>4.7652749557414598E-3</v>
      </c>
      <c r="O51" s="666">
        <v>0</v>
      </c>
      <c r="P51" s="666">
        <v>0</v>
      </c>
      <c r="Q51" s="666">
        <v>0</v>
      </c>
      <c r="R51" s="666">
        <v>0</v>
      </c>
      <c r="S51" s="666">
        <v>0</v>
      </c>
      <c r="T51" s="667">
        <v>4.7652749557414598E-3</v>
      </c>
      <c r="U51" s="610">
        <v>717.89143936942105</v>
      </c>
      <c r="V51" s="666">
        <v>0</v>
      </c>
      <c r="W51" s="667">
        <v>8.0312481902620801E-10</v>
      </c>
      <c r="X51" s="666">
        <v>0</v>
      </c>
      <c r="Y51" s="666">
        <v>0</v>
      </c>
      <c r="Z51" s="666">
        <v>0</v>
      </c>
      <c r="AA51" s="666">
        <v>0</v>
      </c>
      <c r="AB51" s="667">
        <v>717.89143936861797</v>
      </c>
    </row>
    <row r="52" spans="1:28" ht="11.1" customHeight="1">
      <c r="A52" s="600" t="str">
        <f t="shared" si="0"/>
        <v>31Y</v>
      </c>
      <c r="B52" s="663">
        <f t="array" ref="B52">SUMPRODUCT(E52:AA52,IF(ISERROR(MATCH(E$3:AA$3,{"EUR 1Y","EUR 3M","EUR 6M","EUR :STD"},0)),0,1))</f>
        <v>1477.8877104936601</v>
      </c>
      <c r="C52" s="663">
        <f t="array" ref="C52">SUMPRODUCT(E52:AA52,IF(ISERROR(MATCH(E$3:AA$3,{"USD 1M","USD 3M","USD 6M","USD :STD"},0)),0,1))</f>
        <v>0</v>
      </c>
      <c r="D52" s="600" t="b">
        <f t="shared" si="1"/>
        <v>0</v>
      </c>
      <c r="E52" s="665" t="s">
        <v>163</v>
      </c>
      <c r="F52" s="610">
        <v>55.526364483822803</v>
      </c>
      <c r="G52" s="668">
        <v>-1422.36134600984</v>
      </c>
      <c r="H52" s="666">
        <v>0</v>
      </c>
      <c r="I52" s="666">
        <v>0</v>
      </c>
      <c r="J52" s="667">
        <v>1477.8877104936601</v>
      </c>
      <c r="K52" s="666">
        <v>0</v>
      </c>
      <c r="L52" s="666">
        <v>0</v>
      </c>
      <c r="M52" s="666">
        <v>0</v>
      </c>
      <c r="N52" s="602">
        <v>0</v>
      </c>
      <c r="O52" s="666">
        <v>0</v>
      </c>
      <c r="P52" s="666">
        <v>0</v>
      </c>
      <c r="Q52" s="666">
        <v>0</v>
      </c>
      <c r="R52" s="666">
        <v>0</v>
      </c>
      <c r="S52" s="666">
        <v>0</v>
      </c>
      <c r="T52" s="666">
        <v>0</v>
      </c>
      <c r="U52" s="602">
        <v>0</v>
      </c>
      <c r="V52" s="666">
        <v>0</v>
      </c>
      <c r="W52" s="666">
        <v>0</v>
      </c>
      <c r="X52" s="666">
        <v>0</v>
      </c>
      <c r="Y52" s="666">
        <v>0</v>
      </c>
      <c r="Z52" s="666">
        <v>0</v>
      </c>
      <c r="AA52" s="666">
        <v>0</v>
      </c>
      <c r="AB52" s="666">
        <v>0</v>
      </c>
    </row>
    <row r="53" spans="1:28" ht="11.1" customHeight="1">
      <c r="A53" s="600" t="str">
        <f t="shared" si="0"/>
        <v>32Y</v>
      </c>
      <c r="B53" s="663">
        <f t="array" ref="B53">SUMPRODUCT(E53:AA53,IF(ISERROR(MATCH(E$3:AA$3,{"EUR 1Y","EUR 3M","EUR 6M","EUR :STD"},0)),0,1))</f>
        <v>579.80628946717798</v>
      </c>
      <c r="C53" s="663">
        <f t="array" ref="C53">SUMPRODUCT(E53:AA53,IF(ISERROR(MATCH(E$3:AA$3,{"USD 1M","USD 3M","USD 6M","USD :STD"},0)),0,1))</f>
        <v>0</v>
      </c>
      <c r="D53" s="600" t="b">
        <f t="shared" si="1"/>
        <v>0</v>
      </c>
      <c r="E53" s="665" t="s">
        <v>164</v>
      </c>
      <c r="F53" s="612">
        <v>-98.704900096510897</v>
      </c>
      <c r="G53" s="668">
        <v>-678.51118956368896</v>
      </c>
      <c r="H53" s="666">
        <v>0</v>
      </c>
      <c r="I53" s="666">
        <v>0</v>
      </c>
      <c r="J53" s="667">
        <v>579.80628946717798</v>
      </c>
      <c r="K53" s="666">
        <v>0</v>
      </c>
      <c r="L53" s="666">
        <v>0</v>
      </c>
      <c r="M53" s="666">
        <v>0</v>
      </c>
      <c r="N53" s="602">
        <v>0</v>
      </c>
      <c r="O53" s="666">
        <v>0</v>
      </c>
      <c r="P53" s="666">
        <v>0</v>
      </c>
      <c r="Q53" s="666">
        <v>0</v>
      </c>
      <c r="R53" s="666">
        <v>0</v>
      </c>
      <c r="S53" s="666">
        <v>0</v>
      </c>
      <c r="T53" s="666">
        <v>0</v>
      </c>
      <c r="U53" s="602">
        <v>0</v>
      </c>
      <c r="V53" s="666">
        <v>0</v>
      </c>
      <c r="W53" s="666">
        <v>0</v>
      </c>
      <c r="X53" s="666">
        <v>0</v>
      </c>
      <c r="Y53" s="666">
        <v>0</v>
      </c>
      <c r="Z53" s="666">
        <v>0</v>
      </c>
      <c r="AA53" s="666">
        <v>0</v>
      </c>
      <c r="AB53" s="666">
        <v>0</v>
      </c>
    </row>
    <row r="54" spans="1:28" ht="11.1" customHeight="1">
      <c r="A54" s="600" t="str">
        <f t="shared" si="0"/>
        <v>33Y</v>
      </c>
      <c r="B54" s="663">
        <f t="array" ref="B54">SUMPRODUCT(E54:AA54,IF(ISERROR(MATCH(E$3:AA$3,{"EUR 1Y","EUR 3M","EUR 6M","EUR :STD"},0)),0,1))</f>
        <v>-43.322161870202997</v>
      </c>
      <c r="C54" s="663">
        <f t="array" ref="C54">SUMPRODUCT(E54:AA54,IF(ISERROR(MATCH(E$3:AA$3,{"USD 1M","USD 3M","USD 6M","USD :STD"},0)),0,1))</f>
        <v>0</v>
      </c>
      <c r="D54" s="600" t="b">
        <f t="shared" si="1"/>
        <v>0</v>
      </c>
      <c r="E54" s="665" t="s">
        <v>165</v>
      </c>
      <c r="F54" s="610">
        <v>45.129253783237999</v>
      </c>
      <c r="G54" s="667">
        <v>88.451415653441003</v>
      </c>
      <c r="H54" s="666">
        <v>0</v>
      </c>
      <c r="I54" s="666">
        <v>0</v>
      </c>
      <c r="J54" s="668">
        <v>-43.322161870202997</v>
      </c>
      <c r="K54" s="666">
        <v>0</v>
      </c>
      <c r="L54" s="666">
        <v>0</v>
      </c>
      <c r="M54" s="666">
        <v>0</v>
      </c>
      <c r="N54" s="602">
        <v>0</v>
      </c>
      <c r="O54" s="666">
        <v>0</v>
      </c>
      <c r="P54" s="666">
        <v>0</v>
      </c>
      <c r="Q54" s="666">
        <v>0</v>
      </c>
      <c r="R54" s="666">
        <v>0</v>
      </c>
      <c r="S54" s="666">
        <v>0</v>
      </c>
      <c r="T54" s="666">
        <v>0</v>
      </c>
      <c r="U54" s="602">
        <v>0</v>
      </c>
      <c r="V54" s="666">
        <v>0</v>
      </c>
      <c r="W54" s="666">
        <v>0</v>
      </c>
      <c r="X54" s="666">
        <v>0</v>
      </c>
      <c r="Y54" s="666">
        <v>0</v>
      </c>
      <c r="Z54" s="666">
        <v>0</v>
      </c>
      <c r="AA54" s="666">
        <v>0</v>
      </c>
      <c r="AB54" s="666">
        <v>0</v>
      </c>
    </row>
    <row r="55" spans="1:28" ht="11.1" customHeight="1">
      <c r="A55" s="600" t="str">
        <f t="shared" si="0"/>
        <v>34Y</v>
      </c>
      <c r="B55" s="663">
        <f t="array" ref="B55">SUMPRODUCT(E55:AA55,IF(ISERROR(MATCH(E$3:AA$3,{"EUR 1Y","EUR 3M","EUR 6M","EUR :STD"},0)),0,1))</f>
        <v>5.9935684072132803E-2</v>
      </c>
      <c r="C55" s="663">
        <f t="array" ref="C55">SUMPRODUCT(E55:AA55,IF(ISERROR(MATCH(E$3:AA$3,{"USD 1M","USD 3M","USD 6M","USD :STD"},0)),0,1))</f>
        <v>0</v>
      </c>
      <c r="D55" s="600" t="b">
        <f t="shared" si="1"/>
        <v>0</v>
      </c>
      <c r="E55" s="665" t="s">
        <v>166</v>
      </c>
      <c r="F55" s="610">
        <v>9.8747414087745594E-2</v>
      </c>
      <c r="G55" s="667">
        <v>3.8811730015612902E-2</v>
      </c>
      <c r="H55" s="666">
        <v>0</v>
      </c>
      <c r="I55" s="666">
        <v>0</v>
      </c>
      <c r="J55" s="667">
        <v>5.9935684072132803E-2</v>
      </c>
      <c r="K55" s="666">
        <v>0</v>
      </c>
      <c r="L55" s="666">
        <v>0</v>
      </c>
      <c r="M55" s="666">
        <v>0</v>
      </c>
      <c r="N55" s="602">
        <v>0</v>
      </c>
      <c r="O55" s="666">
        <v>0</v>
      </c>
      <c r="P55" s="666">
        <v>0</v>
      </c>
      <c r="Q55" s="666">
        <v>0</v>
      </c>
      <c r="R55" s="666">
        <v>0</v>
      </c>
      <c r="S55" s="666">
        <v>0</v>
      </c>
      <c r="T55" s="666">
        <v>0</v>
      </c>
      <c r="U55" s="602">
        <v>0</v>
      </c>
      <c r="V55" s="666">
        <v>0</v>
      </c>
      <c r="W55" s="666">
        <v>0</v>
      </c>
      <c r="X55" s="666">
        <v>0</v>
      </c>
      <c r="Y55" s="666">
        <v>0</v>
      </c>
      <c r="Z55" s="666">
        <v>0</v>
      </c>
      <c r="AA55" s="666">
        <v>0</v>
      </c>
      <c r="AB55" s="666">
        <v>0</v>
      </c>
    </row>
    <row r="56" spans="1:28" ht="11.1" customHeight="1">
      <c r="A56" s="600" t="str">
        <f t="shared" si="0"/>
        <v>35Y</v>
      </c>
      <c r="B56" s="663">
        <f t="array" ref="B56">SUMPRODUCT(E56:AA56,IF(ISERROR(MATCH(E$3:AA$3,{"EUR 1Y","EUR 3M","EUR 6M","EUR :STD"},0)),0,1))</f>
        <v>-5.8409201819987003E-4</v>
      </c>
      <c r="C56" s="663">
        <f t="array" ref="C56">SUMPRODUCT(E56:AA56,IF(ISERROR(MATCH(E$3:AA$3,{"USD 1M","USD 3M","USD 6M","USD :STD"},0)),0,1))</f>
        <v>0</v>
      </c>
      <c r="D56" s="600" t="b">
        <f t="shared" si="1"/>
        <v>0</v>
      </c>
      <c r="E56" s="665" t="s">
        <v>167</v>
      </c>
      <c r="F56" s="612">
        <v>-0.164835186502826</v>
      </c>
      <c r="G56" s="667">
        <v>7.7702614125669507E-6</v>
      </c>
      <c r="H56" s="666">
        <v>0</v>
      </c>
      <c r="I56" s="666">
        <v>0</v>
      </c>
      <c r="J56" s="668">
        <v>-5.8409201819987003E-4</v>
      </c>
      <c r="K56" s="666">
        <v>0</v>
      </c>
      <c r="L56" s="666">
        <v>0</v>
      </c>
      <c r="M56" s="668">
        <v>-0.16425886474603901</v>
      </c>
      <c r="N56" s="602">
        <v>0</v>
      </c>
      <c r="O56" s="666">
        <v>0</v>
      </c>
      <c r="P56" s="666">
        <v>0</v>
      </c>
      <c r="Q56" s="666">
        <v>0</v>
      </c>
      <c r="R56" s="666">
        <v>0</v>
      </c>
      <c r="S56" s="666">
        <v>0</v>
      </c>
      <c r="T56" s="666">
        <v>0</v>
      </c>
      <c r="U56" s="602">
        <v>0</v>
      </c>
      <c r="V56" s="666">
        <v>0</v>
      </c>
      <c r="W56" s="666">
        <v>0</v>
      </c>
      <c r="X56" s="666">
        <v>0</v>
      </c>
      <c r="Y56" s="666">
        <v>0</v>
      </c>
      <c r="Z56" s="666">
        <v>0</v>
      </c>
      <c r="AA56" s="666">
        <v>0</v>
      </c>
      <c r="AB56" s="666">
        <v>0</v>
      </c>
    </row>
    <row r="57" spans="1:28" ht="11.1" customHeight="1">
      <c r="A57" s="600" t="str">
        <f t="shared" si="0"/>
        <v>36Y</v>
      </c>
      <c r="B57" s="663">
        <f t="array" ref="B57">SUMPRODUCT(E57:AA57,IF(ISERROR(MATCH(E$3:AA$3,{"EUR 1Y","EUR 3M","EUR 6M","EUR :STD"},0)),0,1))</f>
        <v>1.6258278593369299E-8</v>
      </c>
      <c r="C57" s="663">
        <f t="array" ref="C57">SUMPRODUCT(E57:AA57,IF(ISERROR(MATCH(E$3:AA$3,{"USD 1M","USD 3M","USD 6M","USD :STD"},0)),0,1))</f>
        <v>0</v>
      </c>
      <c r="D57" s="600" t="b">
        <f t="shared" si="1"/>
        <v>0</v>
      </c>
      <c r="E57" s="665" t="s">
        <v>168</v>
      </c>
      <c r="F57" s="610">
        <v>1.6138209542474299E-8</v>
      </c>
      <c r="G57" s="668">
        <v>-1.2006905089505299E-10</v>
      </c>
      <c r="H57" s="666">
        <v>0</v>
      </c>
      <c r="I57" s="666">
        <v>0</v>
      </c>
      <c r="J57" s="667">
        <v>1.6258278593369299E-8</v>
      </c>
      <c r="K57" s="666">
        <v>0</v>
      </c>
      <c r="L57" s="666">
        <v>0</v>
      </c>
      <c r="M57" s="666">
        <v>0</v>
      </c>
      <c r="N57" s="602">
        <v>0</v>
      </c>
      <c r="O57" s="666">
        <v>0</v>
      </c>
      <c r="P57" s="666">
        <v>0</v>
      </c>
      <c r="Q57" s="666">
        <v>0</v>
      </c>
      <c r="R57" s="666">
        <v>0</v>
      </c>
      <c r="S57" s="666">
        <v>0</v>
      </c>
      <c r="T57" s="666">
        <v>0</v>
      </c>
      <c r="U57" s="602">
        <v>0</v>
      </c>
      <c r="V57" s="666">
        <v>0</v>
      </c>
      <c r="W57" s="666">
        <v>0</v>
      </c>
      <c r="X57" s="666">
        <v>0</v>
      </c>
      <c r="Y57" s="666">
        <v>0</v>
      </c>
      <c r="Z57" s="666">
        <v>0</v>
      </c>
      <c r="AA57" s="666">
        <v>0</v>
      </c>
      <c r="AB57" s="666">
        <v>0</v>
      </c>
    </row>
    <row r="58" spans="1:28" ht="11.1" customHeight="1">
      <c r="A58" s="600" t="str">
        <f t="shared" si="0"/>
        <v>37Y</v>
      </c>
      <c r="B58" s="663">
        <f t="array" ref="B58">SUMPRODUCT(E58:AA58,IF(ISERROR(MATCH(E$3:AA$3,{"EUR 1Y","EUR 3M","EUR 6M","EUR :STD"},0)),0,1))</f>
        <v>0</v>
      </c>
      <c r="C58" s="663">
        <f t="array" ref="C58">SUMPRODUCT(E58:AA58,IF(ISERROR(MATCH(E$3:AA$3,{"USD 1M","USD 3M","USD 6M","USD :STD"},0)),0,1))</f>
        <v>0</v>
      </c>
      <c r="D58" s="600" t="b">
        <f t="shared" si="1"/>
        <v>0</v>
      </c>
      <c r="E58" s="665" t="s">
        <v>169</v>
      </c>
      <c r="F58" s="602">
        <v>0</v>
      </c>
      <c r="G58" s="666">
        <v>0</v>
      </c>
      <c r="H58" s="666">
        <v>0</v>
      </c>
      <c r="I58" s="666">
        <v>0</v>
      </c>
      <c r="J58" s="666">
        <v>0</v>
      </c>
      <c r="K58" s="666">
        <v>0</v>
      </c>
      <c r="L58" s="666">
        <v>0</v>
      </c>
      <c r="M58" s="666">
        <v>0</v>
      </c>
      <c r="N58" s="602">
        <v>0</v>
      </c>
      <c r="O58" s="666">
        <v>0</v>
      </c>
      <c r="P58" s="666">
        <v>0</v>
      </c>
      <c r="Q58" s="666">
        <v>0</v>
      </c>
      <c r="R58" s="666">
        <v>0</v>
      </c>
      <c r="S58" s="666">
        <v>0</v>
      </c>
      <c r="T58" s="666">
        <v>0</v>
      </c>
      <c r="U58" s="602">
        <v>0</v>
      </c>
      <c r="V58" s="666">
        <v>0</v>
      </c>
      <c r="W58" s="666">
        <v>0</v>
      </c>
      <c r="X58" s="666">
        <v>0</v>
      </c>
      <c r="Y58" s="666">
        <v>0</v>
      </c>
      <c r="Z58" s="666">
        <v>0</v>
      </c>
      <c r="AA58" s="666">
        <v>0</v>
      </c>
      <c r="AB58" s="666">
        <v>0</v>
      </c>
    </row>
    <row r="59" spans="1:28" ht="11.1" customHeight="1">
      <c r="A59" s="600" t="str">
        <f t="shared" si="0"/>
        <v>38Y</v>
      </c>
      <c r="B59" s="663">
        <f t="array" ref="B59">SUMPRODUCT(E59:AA59,IF(ISERROR(MATCH(E$3:AA$3,{"EUR 1Y","EUR 3M","EUR 6M","EUR :STD"},0)),0,1))</f>
        <v>0</v>
      </c>
      <c r="C59" s="663">
        <f t="array" ref="C59">SUMPRODUCT(E59:AA59,IF(ISERROR(MATCH(E$3:AA$3,{"USD 1M","USD 3M","USD 6M","USD :STD"},0)),0,1))</f>
        <v>0</v>
      </c>
      <c r="D59" s="600" t="b">
        <f t="shared" si="1"/>
        <v>0</v>
      </c>
      <c r="E59" s="665" t="s">
        <v>170</v>
      </c>
      <c r="F59" s="602">
        <v>0</v>
      </c>
      <c r="G59" s="666">
        <v>0</v>
      </c>
      <c r="H59" s="666">
        <v>0</v>
      </c>
      <c r="I59" s="666">
        <v>0</v>
      </c>
      <c r="J59" s="666">
        <v>0</v>
      </c>
      <c r="K59" s="666">
        <v>0</v>
      </c>
      <c r="L59" s="666">
        <v>0</v>
      </c>
      <c r="M59" s="666">
        <v>0</v>
      </c>
      <c r="N59" s="602">
        <v>0</v>
      </c>
      <c r="O59" s="666">
        <v>0</v>
      </c>
      <c r="P59" s="666">
        <v>0</v>
      </c>
      <c r="Q59" s="666">
        <v>0</v>
      </c>
      <c r="R59" s="666">
        <v>0</v>
      </c>
      <c r="S59" s="666">
        <v>0</v>
      </c>
      <c r="T59" s="666">
        <v>0</v>
      </c>
      <c r="U59" s="602">
        <v>0</v>
      </c>
      <c r="V59" s="666">
        <v>0</v>
      </c>
      <c r="W59" s="666">
        <v>0</v>
      </c>
      <c r="X59" s="666">
        <v>0</v>
      </c>
      <c r="Y59" s="666">
        <v>0</v>
      </c>
      <c r="Z59" s="666">
        <v>0</v>
      </c>
      <c r="AA59" s="666">
        <v>0</v>
      </c>
      <c r="AB59" s="666">
        <v>0</v>
      </c>
    </row>
    <row r="60" spans="1:28" ht="11.1" customHeight="1">
      <c r="A60" s="600" t="str">
        <f t="shared" si="0"/>
        <v>39Y</v>
      </c>
      <c r="B60" s="663">
        <f t="array" ref="B60">SUMPRODUCT(E60:AA60,IF(ISERROR(MATCH(E$3:AA$3,{"EUR 1Y","EUR 3M","EUR 6M","EUR :STD"},0)),0,1))</f>
        <v>0</v>
      </c>
      <c r="C60" s="663">
        <f t="array" ref="C60">SUMPRODUCT(E60:AA60,IF(ISERROR(MATCH(E$3:AA$3,{"USD 1M","USD 3M","USD 6M","USD :STD"},0)),0,1))</f>
        <v>0</v>
      </c>
      <c r="D60" s="600" t="b">
        <f t="shared" si="1"/>
        <v>0</v>
      </c>
      <c r="E60" s="665" t="s">
        <v>171</v>
      </c>
      <c r="F60" s="602">
        <v>0</v>
      </c>
      <c r="G60" s="666">
        <v>0</v>
      </c>
      <c r="H60" s="666">
        <v>0</v>
      </c>
      <c r="I60" s="666">
        <v>0</v>
      </c>
      <c r="J60" s="666">
        <v>0</v>
      </c>
      <c r="K60" s="666">
        <v>0</v>
      </c>
      <c r="L60" s="666">
        <v>0</v>
      </c>
      <c r="M60" s="666">
        <v>0</v>
      </c>
      <c r="N60" s="610">
        <v>6.0374408529221096E-8</v>
      </c>
      <c r="O60" s="666">
        <v>0</v>
      </c>
      <c r="P60" s="666">
        <v>0</v>
      </c>
      <c r="Q60" s="666">
        <v>0</v>
      </c>
      <c r="R60" s="666">
        <v>0</v>
      </c>
      <c r="S60" s="666">
        <v>0</v>
      </c>
      <c r="T60" s="667">
        <v>6.0374408529221096E-8</v>
      </c>
      <c r="U60" s="602">
        <v>0</v>
      </c>
      <c r="V60" s="666">
        <v>0</v>
      </c>
      <c r="W60" s="666">
        <v>0</v>
      </c>
      <c r="X60" s="666">
        <v>0</v>
      </c>
      <c r="Y60" s="666">
        <v>0</v>
      </c>
      <c r="Z60" s="666">
        <v>0</v>
      </c>
      <c r="AA60" s="666">
        <v>0</v>
      </c>
      <c r="AB60" s="666">
        <v>0</v>
      </c>
    </row>
    <row r="61" spans="1:28" ht="11.1" customHeight="1">
      <c r="A61" s="600" t="str">
        <f t="shared" si="0"/>
        <v>40Y</v>
      </c>
      <c r="B61" s="663">
        <f t="array" ref="B61">SUMPRODUCT(E61:AA61,IF(ISERROR(MATCH(E$3:AA$3,{"EUR 1Y","EUR 3M","EUR 6M","EUR :STD"},0)),0,1))</f>
        <v>0</v>
      </c>
      <c r="C61" s="663">
        <f t="array" ref="C61">SUMPRODUCT(E61:AA61,IF(ISERROR(MATCH(E$3:AA$3,{"USD 1M","USD 3M","USD 6M","USD :STD"},0)),0,1))</f>
        <v>0</v>
      </c>
      <c r="D61" s="600" t="b">
        <f t="shared" si="1"/>
        <v>0</v>
      </c>
      <c r="E61" s="665" t="s">
        <v>46</v>
      </c>
      <c r="F61" s="602">
        <v>0</v>
      </c>
      <c r="G61" s="666">
        <v>0</v>
      </c>
      <c r="H61" s="666">
        <v>0</v>
      </c>
      <c r="I61" s="666">
        <v>0</v>
      </c>
      <c r="J61" s="666">
        <v>0</v>
      </c>
      <c r="K61" s="666">
        <v>0</v>
      </c>
      <c r="L61" s="666">
        <v>0</v>
      </c>
      <c r="M61" s="666">
        <v>0</v>
      </c>
      <c r="N61" s="610">
        <v>1.09882317768367E-5</v>
      </c>
      <c r="O61" s="666">
        <v>0</v>
      </c>
      <c r="P61" s="666">
        <v>0</v>
      </c>
      <c r="Q61" s="666">
        <v>0</v>
      </c>
      <c r="R61" s="666">
        <v>0</v>
      </c>
      <c r="S61" s="666">
        <v>0</v>
      </c>
      <c r="T61" s="667">
        <v>1.09882317768367E-5</v>
      </c>
      <c r="U61" s="610">
        <v>2.1523715145714801</v>
      </c>
      <c r="V61" s="666">
        <v>0</v>
      </c>
      <c r="W61" s="666">
        <v>0</v>
      </c>
      <c r="X61" s="666">
        <v>0</v>
      </c>
      <c r="Y61" s="666">
        <v>0</v>
      </c>
      <c r="Z61" s="666">
        <v>0</v>
      </c>
      <c r="AA61" s="666">
        <v>0</v>
      </c>
      <c r="AB61" s="667">
        <v>2.1523715145714801</v>
      </c>
    </row>
    <row r="62" spans="1:28" ht="11.1" customHeight="1">
      <c r="A62" s="600" t="str">
        <f t="shared" si="0"/>
        <v>50Y</v>
      </c>
      <c r="B62" s="663">
        <f t="array" ref="B62">SUMPRODUCT(E62:AA62,IF(ISERROR(MATCH(E$3:AA$3,{"EUR 1Y","EUR 3M","EUR 6M","EUR :STD"},0)),0,1))</f>
        <v>0</v>
      </c>
      <c r="C62" s="663">
        <f t="array" ref="C62">SUMPRODUCT(E62:AA62,IF(ISERROR(MATCH(E$3:AA$3,{"USD 1M","USD 3M","USD 6M","USD :STD"},0)),0,1))</f>
        <v>0</v>
      </c>
      <c r="D62" s="600" t="b">
        <f t="shared" si="1"/>
        <v>0</v>
      </c>
      <c r="E62" s="665" t="s">
        <v>47</v>
      </c>
      <c r="F62" s="602">
        <v>0</v>
      </c>
      <c r="G62" s="666">
        <v>0</v>
      </c>
      <c r="H62" s="666">
        <v>0</v>
      </c>
      <c r="I62" s="666">
        <v>0</v>
      </c>
      <c r="J62" s="666">
        <v>0</v>
      </c>
      <c r="K62" s="666">
        <v>0</v>
      </c>
      <c r="L62" s="666">
        <v>0</v>
      </c>
      <c r="M62" s="666">
        <v>0</v>
      </c>
      <c r="N62" s="610">
        <v>8.1555753140227505E-8</v>
      </c>
      <c r="O62" s="666">
        <v>0</v>
      </c>
      <c r="P62" s="666">
        <v>0</v>
      </c>
      <c r="Q62" s="666">
        <v>0</v>
      </c>
      <c r="R62" s="666">
        <v>0</v>
      </c>
      <c r="S62" s="666">
        <v>0</v>
      </c>
      <c r="T62" s="667">
        <v>8.1555753140227505E-8</v>
      </c>
      <c r="U62" s="610">
        <v>2.7119986312733501E-2</v>
      </c>
      <c r="V62" s="666">
        <v>0</v>
      </c>
      <c r="W62" s="666">
        <v>0</v>
      </c>
      <c r="X62" s="666">
        <v>0</v>
      </c>
      <c r="Y62" s="666">
        <v>0</v>
      </c>
      <c r="Z62" s="666">
        <v>0</v>
      </c>
      <c r="AA62" s="666">
        <v>0</v>
      </c>
      <c r="AB62" s="667">
        <v>2.7119986312733501E-2</v>
      </c>
    </row>
    <row r="63" spans="1:28" ht="11.1" customHeight="1">
      <c r="A63" s="600" t="str">
        <f t="shared" si="0"/>
        <v>60Y</v>
      </c>
      <c r="B63" s="663">
        <f t="array" ref="B63">SUMPRODUCT(E63:AA63,IF(ISERROR(MATCH(E$3:AA$3,{"EUR 1Y","EUR 3M","EUR 6M","EUR :STD"},0)),0,1))</f>
        <v>0</v>
      </c>
      <c r="C63" s="663">
        <f t="array" ref="C63">SUMPRODUCT(E63:AA63,IF(ISERROR(MATCH(E$3:AA$3,{"USD 1M","USD 3M","USD 6M","USD :STD"},0)),0,1))</f>
        <v>0</v>
      </c>
      <c r="D63" s="600" t="b">
        <f t="shared" si="1"/>
        <v>0</v>
      </c>
      <c r="E63" s="665" t="s">
        <v>48</v>
      </c>
      <c r="F63" s="602">
        <v>0</v>
      </c>
      <c r="G63" s="666">
        <v>0</v>
      </c>
      <c r="H63" s="666">
        <v>0</v>
      </c>
      <c r="I63" s="666">
        <v>0</v>
      </c>
      <c r="J63" s="666">
        <v>0</v>
      </c>
      <c r="K63" s="666">
        <v>0</v>
      </c>
      <c r="L63" s="666">
        <v>0</v>
      </c>
      <c r="M63" s="666">
        <v>0</v>
      </c>
      <c r="N63" s="610">
        <v>4.3224130128558002E-10</v>
      </c>
      <c r="O63" s="666">
        <v>0</v>
      </c>
      <c r="P63" s="666">
        <v>0</v>
      </c>
      <c r="Q63" s="666">
        <v>0</v>
      </c>
      <c r="R63" s="666">
        <v>0</v>
      </c>
      <c r="S63" s="666">
        <v>0</v>
      </c>
      <c r="T63" s="667">
        <v>4.3224130128558002E-10</v>
      </c>
      <c r="U63" s="610">
        <v>3.1793433814539203E-4</v>
      </c>
      <c r="V63" s="666">
        <v>0</v>
      </c>
      <c r="W63" s="666">
        <v>0</v>
      </c>
      <c r="X63" s="666">
        <v>0</v>
      </c>
      <c r="Y63" s="666">
        <v>0</v>
      </c>
      <c r="Z63" s="666">
        <v>0</v>
      </c>
      <c r="AA63" s="666">
        <v>0</v>
      </c>
      <c r="AB63" s="667">
        <v>3.1793433814539203E-4</v>
      </c>
    </row>
  </sheetData>
  <mergeCells count="5">
    <mergeCell ref="E1:E2"/>
    <mergeCell ref="F1:AB1"/>
    <mergeCell ref="F2:M2"/>
    <mergeCell ref="N2:T2"/>
    <mergeCell ref="U2:AB2"/>
  </mergeCells>
  <conditionalFormatting sqref="B4:C4">
    <cfRule type="cellIs" dxfId="6" priority="4" operator="lessThan">
      <formula>0</formula>
    </cfRule>
  </conditionalFormatting>
  <conditionalFormatting sqref="B2:D2">
    <cfRule type="expression" dxfId="5" priority="3" stopIfTrue="1">
      <formula>IF(ISLOGICAL(B2),NOT(B2),FALSE)</formula>
    </cfRule>
  </conditionalFormatting>
  <conditionalFormatting sqref="A1">
    <cfRule type="expression" dxfId="4" priority="2" stopIfTrue="1">
      <formula>IF(ISLOGICAL(A1),NOT(A1),FALSE)</formula>
    </cfRule>
  </conditionalFormatting>
  <conditionalFormatting sqref="B5:C63">
    <cfRule type="cellIs" dxfId="3" priority="1" operator="lessThan">
      <formula>0</formula>
    </cfRule>
  </conditionalFormatting>
  <pageMargins left="0" right="0" top="0" bottom="0" header="0.5" footer="0.5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25</vt:i4>
      </vt:variant>
      <vt:variant>
        <vt:lpstr>Named Ranges</vt:lpstr>
      </vt:variant>
      <vt:variant>
        <vt:i4>243</vt:i4>
      </vt:variant>
    </vt:vector>
  </HeadingPairs>
  <TitlesOfParts>
    <vt:vector size="268" baseType="lpstr">
      <vt:lpstr>Main</vt:lpstr>
      <vt:lpstr>eur disaggregated</vt:lpstr>
      <vt:lpstr>usd disaggregated</vt:lpstr>
      <vt:lpstr>reference set</vt:lpstr>
      <vt:lpstr>EurMkt</vt:lpstr>
      <vt:lpstr>EurMkt_static</vt:lpstr>
      <vt:lpstr>UsdMkt</vt:lpstr>
      <vt:lpstr>UsdMkt_static</vt:lpstr>
      <vt:lpstr>EurChart</vt:lpstr>
      <vt:lpstr>UsdChart</vt:lpstr>
      <vt:lpstr>BktEur1mPL</vt:lpstr>
      <vt:lpstr>BktEur1mSens</vt:lpstr>
      <vt:lpstr>BktEur3mPL</vt:lpstr>
      <vt:lpstr>BktEur3mSens</vt:lpstr>
      <vt:lpstr>BktEur6mPL</vt:lpstr>
      <vt:lpstr>BktEur6mSens</vt:lpstr>
      <vt:lpstr>BktEur1yPL</vt:lpstr>
      <vt:lpstr>BktEur1ySens</vt:lpstr>
      <vt:lpstr>BktUsdOisPL</vt:lpstr>
      <vt:lpstr>BktUsdOisSens</vt:lpstr>
      <vt:lpstr>Note</vt:lpstr>
      <vt:lpstr>SI_SwapDeskSensi_Fut_Luca</vt:lpstr>
      <vt:lpstr>SI_SwapDeskSensi_Luca</vt:lpstr>
      <vt:lpstr>SI - SECURITY TAB - EUR</vt:lpstr>
      <vt:lpstr>IMI_IRD_PV01 by curve</vt:lpstr>
      <vt:lpstr>EurMkt!BidAsk</vt:lpstr>
      <vt:lpstr>UsdMkt!BidAsk</vt:lpstr>
      <vt:lpstr>Bucket1M</vt:lpstr>
      <vt:lpstr>Bucket1Y</vt:lpstr>
      <vt:lpstr>Bucket3M</vt:lpstr>
      <vt:lpstr>Bucket6M</vt:lpstr>
      <vt:lpstr>BucketMaturity</vt:lpstr>
      <vt:lpstr>BucketOIS</vt:lpstr>
      <vt:lpstr>BucketUsdOis_SourceMaturities</vt:lpstr>
      <vt:lpstr>BktEur1mPL!Calendar</vt:lpstr>
      <vt:lpstr>BktEur1mSens!Calendar</vt:lpstr>
      <vt:lpstr>BktEur1yPL!Calendar</vt:lpstr>
      <vt:lpstr>BktEur1ySens!Calendar</vt:lpstr>
      <vt:lpstr>BktEur3mSens!Calendar</vt:lpstr>
      <vt:lpstr>BktEur6mPL!Calendar</vt:lpstr>
      <vt:lpstr>BktEur6mSens!Calendar</vt:lpstr>
      <vt:lpstr>Calendar</vt:lpstr>
      <vt:lpstr>'eur disaggregated'!cellBookmark</vt:lpstr>
      <vt:lpstr>'usd disaggregated'!cellBookmark</vt:lpstr>
      <vt:lpstr>'eur disaggregated'!cellbookmark_1Y</vt:lpstr>
      <vt:lpstr>'usd disaggregated'!cellbookmark_1Y</vt:lpstr>
      <vt:lpstr>'eur disaggregated'!cellBookmark_Futures</vt:lpstr>
      <vt:lpstr>'usd disaggregated'!cellBookmark_Futures</vt:lpstr>
      <vt:lpstr>'usd disaggregated'!chg_bps_12M</vt:lpstr>
      <vt:lpstr>'eur disaggregated'!chg_bps_1M</vt:lpstr>
      <vt:lpstr>'usd disaggregated'!chg_bps_1M</vt:lpstr>
      <vt:lpstr>'eur disaggregated'!chg_bps_1Y</vt:lpstr>
      <vt:lpstr>'eur disaggregated'!chg_bps_3MnoFut</vt:lpstr>
      <vt:lpstr>'usd disaggregated'!chg_bps_3MnoFut</vt:lpstr>
      <vt:lpstr>'eur disaggregated'!chg_bps_6M</vt:lpstr>
      <vt:lpstr>'usd disaggregated'!chg_bps_6M</vt:lpstr>
      <vt:lpstr>'eur disaggregated'!chg_bps_OIS</vt:lpstr>
      <vt:lpstr>'usd disaggregated'!chg_bps_OIS</vt:lpstr>
      <vt:lpstr>'eur disaggregated'!chg_bps_StdNoFut</vt:lpstr>
      <vt:lpstr>'usd disaggregated'!chg_bps_StdnoFut</vt:lpstr>
      <vt:lpstr>Common_Instrument</vt:lpstr>
      <vt:lpstr>Common_instrumentN</vt:lpstr>
      <vt:lpstr>Common_RtCode</vt:lpstr>
      <vt:lpstr>CommonBucket</vt:lpstr>
      <vt:lpstr>CommonMxSearch</vt:lpstr>
      <vt:lpstr>CommonOrd</vt:lpstr>
      <vt:lpstr>CSVDir</vt:lpstr>
      <vt:lpstr>BktUsdOisPL!CSVName</vt:lpstr>
      <vt:lpstr>BktUsdOisSens!CSVName</vt:lpstr>
      <vt:lpstr>EurMkt!CSVName</vt:lpstr>
      <vt:lpstr>CSVName</vt:lpstr>
      <vt:lpstr>CSVQuery</vt:lpstr>
      <vt:lpstr>BktUsdOisPL!CurveRefTable</vt:lpstr>
      <vt:lpstr>BktUsdOisSens!CurveRefTable</vt:lpstr>
      <vt:lpstr>EurMkt!CurveRefTable</vt:lpstr>
      <vt:lpstr>CurveRefTable</vt:lpstr>
      <vt:lpstr>BktUsdOisPL!CurveRefTable_hd</vt:lpstr>
      <vt:lpstr>BktUsdOisSens!CurveRefTable_hd</vt:lpstr>
      <vt:lpstr>EurMkt!CurveRefTable_hd</vt:lpstr>
      <vt:lpstr>CurveRefTable_hd</vt:lpstr>
      <vt:lpstr>EurMkt!DataSTUB</vt:lpstr>
      <vt:lpstr>UsdMkt!DataSTUB</vt:lpstr>
      <vt:lpstr>Dest1</vt:lpstr>
      <vt:lpstr>Dest10</vt:lpstr>
      <vt:lpstr>Dest11</vt:lpstr>
      <vt:lpstr>Dest12</vt:lpstr>
      <vt:lpstr>Dest2</vt:lpstr>
      <vt:lpstr>BktUsdOisPL!Dest2_Mat</vt:lpstr>
      <vt:lpstr>BktUsdOisSens!Dest2_Mat</vt:lpstr>
      <vt:lpstr>EurMkt!Dest2_Mat</vt:lpstr>
      <vt:lpstr>Dest2_Mat</vt:lpstr>
      <vt:lpstr>'reference set'!Dest2_Type</vt:lpstr>
      <vt:lpstr>Dest3</vt:lpstr>
      <vt:lpstr>Dest4</vt:lpstr>
      <vt:lpstr>Dest5</vt:lpstr>
      <vt:lpstr>Dest6</vt:lpstr>
      <vt:lpstr>Dest7</vt:lpstr>
      <vt:lpstr>Dest8</vt:lpstr>
      <vt:lpstr>Dest9</vt:lpstr>
      <vt:lpstr>Eur1mRef</vt:lpstr>
      <vt:lpstr>Eur1yRef</vt:lpstr>
      <vt:lpstr>Eur3mRef</vt:lpstr>
      <vt:lpstr>Eur6mRef</vt:lpstr>
      <vt:lpstr>EurOisRef</vt:lpstr>
      <vt:lpstr>EurStdRef</vt:lpstr>
      <vt:lpstr>BktEur1mPL!EvaluationDate</vt:lpstr>
      <vt:lpstr>BktEur1mSens!EvaluationDate</vt:lpstr>
      <vt:lpstr>BktEur1yPL!EvaluationDate</vt:lpstr>
      <vt:lpstr>BktEur1ySens!EvaluationDate</vt:lpstr>
      <vt:lpstr>BktEur3mSens!EvaluationDate</vt:lpstr>
      <vt:lpstr>BktEur6mPL!EvaluationDate</vt:lpstr>
      <vt:lpstr>BktEur6mSens!EvaluationDate</vt:lpstr>
      <vt:lpstr>EvaluationDate</vt:lpstr>
      <vt:lpstr>EurMkt!FEIfutCodes</vt:lpstr>
      <vt:lpstr>UsdMkt!FEIfutCodes</vt:lpstr>
      <vt:lpstr>FieldsSchema</vt:lpstr>
      <vt:lpstr>BktUsdOisPL!FUT</vt:lpstr>
      <vt:lpstr>BktUsdOisSens!FUT</vt:lpstr>
      <vt:lpstr>EurMkt!FUT</vt:lpstr>
      <vt:lpstr>FUT</vt:lpstr>
      <vt:lpstr>Fut_DestBuckets</vt:lpstr>
      <vt:lpstr>BktUsdOisPL!FUT_hd</vt:lpstr>
      <vt:lpstr>FUT_hd</vt:lpstr>
      <vt:lpstr>Fut_USDestBuckets</vt:lpstr>
      <vt:lpstr>home</vt:lpstr>
      <vt:lpstr>ImportMessage</vt:lpstr>
      <vt:lpstr>ImportMethod</vt:lpstr>
      <vt:lpstr>InstrCodes</vt:lpstr>
      <vt:lpstr>IRD</vt:lpstr>
      <vt:lpstr>IRD_hd</vt:lpstr>
      <vt:lpstr>UsdMkt!MID_12M</vt:lpstr>
      <vt:lpstr>MID_1M</vt:lpstr>
      <vt:lpstr>MID_1Y</vt:lpstr>
      <vt:lpstr>MID_3M</vt:lpstr>
      <vt:lpstr>MID_6M</vt:lpstr>
      <vt:lpstr>MID_OIS</vt:lpstr>
      <vt:lpstr>MID_Std</vt:lpstr>
      <vt:lpstr>EurMkt!MktBOBL1</vt:lpstr>
      <vt:lpstr>EurMkt!MktBOBL2</vt:lpstr>
      <vt:lpstr>EurMkt!MktBTP10Y1</vt:lpstr>
      <vt:lpstr>EurMkt!MktBTP10Y2</vt:lpstr>
      <vt:lpstr>EurMkt!MktBUND1</vt:lpstr>
      <vt:lpstr>EurMkt!MktBUND2</vt:lpstr>
      <vt:lpstr>EurMkt!MktBUXL30Y1</vt:lpstr>
      <vt:lpstr>EurMkt!MktBUXL30Y2</vt:lpstr>
      <vt:lpstr>EurMkt!MktFut_Code</vt:lpstr>
      <vt:lpstr>UsdMkt!MktFut_Code</vt:lpstr>
      <vt:lpstr>EurMkt!MktFut_MID</vt:lpstr>
      <vt:lpstr>UsdMkt!MktFut_MID</vt:lpstr>
      <vt:lpstr>UsdMkt!MktNOTE10Y_1</vt:lpstr>
      <vt:lpstr>UsdMkt!MktNOTE10Y_2</vt:lpstr>
      <vt:lpstr>UsdMkt!MktNOTE30Y_1</vt:lpstr>
      <vt:lpstr>UsdMkt!MktNOTE30Y_2</vt:lpstr>
      <vt:lpstr>UsdMkt!MktNOTE5Y_1</vt:lpstr>
      <vt:lpstr>UsdMkt!MktNOTE5Y_2</vt:lpstr>
      <vt:lpstr>EurMkt!MktSCHATZ2Y1</vt:lpstr>
      <vt:lpstr>EurMkt!MktSCHATZ2Y2</vt:lpstr>
      <vt:lpstr>NA</vt:lpstr>
      <vt:lpstr>BktEur1mPL!OisBuckets</vt:lpstr>
      <vt:lpstr>BktEur1mSens!OisBuckets</vt:lpstr>
      <vt:lpstr>BktEur1yPL!OisBuckets</vt:lpstr>
      <vt:lpstr>BktEur1ySens!OisBuckets</vt:lpstr>
      <vt:lpstr>BktEur3mSens!OisBuckets</vt:lpstr>
      <vt:lpstr>BktEur6mPL!OisBuckets</vt:lpstr>
      <vt:lpstr>BktEur6mSens!OisBuckets</vt:lpstr>
      <vt:lpstr>OisBuckets</vt:lpstr>
      <vt:lpstr>OrdMethod</vt:lpstr>
      <vt:lpstr>OutputFirstCell</vt:lpstr>
      <vt:lpstr>PL_BND</vt:lpstr>
      <vt:lpstr>PL_BOBL</vt:lpstr>
      <vt:lpstr>PL_BTP10Y</vt:lpstr>
      <vt:lpstr>PL_BUND</vt:lpstr>
      <vt:lpstr>PL_BUXL30Y</vt:lpstr>
      <vt:lpstr>'usd disaggregated'!PL_CMEFut</vt:lpstr>
      <vt:lpstr>PL_FUT3M</vt:lpstr>
      <vt:lpstr>PL_LifFut</vt:lpstr>
      <vt:lpstr>'usd disaggregated'!PL_NOTE10Y</vt:lpstr>
      <vt:lpstr>'usd disaggregated'!PL_NOTE30Y</vt:lpstr>
      <vt:lpstr>'usd disaggregated'!PL_NOTE5Y</vt:lpstr>
      <vt:lpstr>'usd disaggregated'!PL_NOTES</vt:lpstr>
      <vt:lpstr>BktUsdOisPL!PL_OIS_bckt</vt:lpstr>
      <vt:lpstr>PL_SCHATZ2Y</vt:lpstr>
      <vt:lpstr>'eur disaggregated'!PL_Total</vt:lpstr>
      <vt:lpstr>'usd disaggregated'!PL_Total</vt:lpstr>
      <vt:lpstr>Quotes1M</vt:lpstr>
      <vt:lpstr>Quotes1Y</vt:lpstr>
      <vt:lpstr>Quotes3M</vt:lpstr>
      <vt:lpstr>Quotes6M</vt:lpstr>
      <vt:lpstr>RealTime</vt:lpstr>
      <vt:lpstr>RefDB_firstCell</vt:lpstr>
      <vt:lpstr>ReMappedPL1M</vt:lpstr>
      <vt:lpstr>ReMappedPL1Y</vt:lpstr>
      <vt:lpstr>ReMappedPL3M</vt:lpstr>
      <vt:lpstr>ReMappedPL6M</vt:lpstr>
      <vt:lpstr>ReMappedSens1M</vt:lpstr>
      <vt:lpstr>ReMappedSens1Y</vt:lpstr>
      <vt:lpstr>ReMappedSens3M</vt:lpstr>
      <vt:lpstr>ReMappedSens6M</vt:lpstr>
      <vt:lpstr>RemoveCSVsource</vt:lpstr>
      <vt:lpstr>EurMkt!RtChannel</vt:lpstr>
      <vt:lpstr>UsdMkt!RtChannel</vt:lpstr>
      <vt:lpstr>Sens</vt:lpstr>
      <vt:lpstr>Sens_hd</vt:lpstr>
      <vt:lpstr>BktUsdOisSens!sens_OIS_bckt</vt:lpstr>
      <vt:lpstr>'eur disaggregated'!Sens_Total</vt:lpstr>
      <vt:lpstr>'usd disaggregated'!Sens_Total</vt:lpstr>
      <vt:lpstr>SensFUT</vt:lpstr>
      <vt:lpstr>SensFUT_hd</vt:lpstr>
      <vt:lpstr>BktEur1mPL!SettlementDate</vt:lpstr>
      <vt:lpstr>BktEur1mSens!SettlementDate</vt:lpstr>
      <vt:lpstr>BktEur1yPL!SettlementDate</vt:lpstr>
      <vt:lpstr>BktEur1ySens!SettlementDate</vt:lpstr>
      <vt:lpstr>BktEur3mSens!SettlementDate</vt:lpstr>
      <vt:lpstr>BktEur6mPL!SettlementDate</vt:lpstr>
      <vt:lpstr>BktEur6mSens!SettlementDate</vt:lpstr>
      <vt:lpstr>SettlementDate</vt:lpstr>
      <vt:lpstr>Source1</vt:lpstr>
      <vt:lpstr>Source10</vt:lpstr>
      <vt:lpstr>Source11</vt:lpstr>
      <vt:lpstr>Source12</vt:lpstr>
      <vt:lpstr>Source2</vt:lpstr>
      <vt:lpstr>source2_mat</vt:lpstr>
      <vt:lpstr>Source3</vt:lpstr>
      <vt:lpstr>Source4</vt:lpstr>
      <vt:lpstr>Source5</vt:lpstr>
      <vt:lpstr>Source6</vt:lpstr>
      <vt:lpstr>Source7</vt:lpstr>
      <vt:lpstr>Source8</vt:lpstr>
      <vt:lpstr>Source9</vt:lpstr>
      <vt:lpstr>BktUsdOisPL!StubDateFromCsv</vt:lpstr>
      <vt:lpstr>BktUsdOisSens!StubDateFromCsv</vt:lpstr>
      <vt:lpstr>EurMkt!StubDateFromCsv</vt:lpstr>
      <vt:lpstr>StubDateFromCsv</vt:lpstr>
      <vt:lpstr>BktUsdOisPL!STUBdateMethod</vt:lpstr>
      <vt:lpstr>BktUsdOisSens!STUBdateMethod</vt:lpstr>
      <vt:lpstr>EurMkt!STUBdateMethod</vt:lpstr>
      <vt:lpstr>STUBdateMethod</vt:lpstr>
      <vt:lpstr>BktUsdOisPL!STUBmethod</vt:lpstr>
      <vt:lpstr>BktUsdOisSens!STUBmethod</vt:lpstr>
      <vt:lpstr>EurMkt!STUBmethod</vt:lpstr>
      <vt:lpstr>STUBmethod</vt:lpstr>
      <vt:lpstr>TmpDir</vt:lpstr>
      <vt:lpstr>BktUsdOisPL!today</vt:lpstr>
      <vt:lpstr>BktUsdOisSens!today</vt:lpstr>
      <vt:lpstr>EurMkt!today</vt:lpstr>
      <vt:lpstr>today</vt:lpstr>
      <vt:lpstr>Usd12mRef</vt:lpstr>
      <vt:lpstr>Usd1mRef</vt:lpstr>
      <vt:lpstr>Usd3mRef</vt:lpstr>
      <vt:lpstr>Usd6mRef</vt:lpstr>
      <vt:lpstr>UsdBucketMaturity</vt:lpstr>
      <vt:lpstr>UsdBucketOIS</vt:lpstr>
      <vt:lpstr>UsdCommon_Instrument</vt:lpstr>
      <vt:lpstr>UsdCommon_InstrumentN</vt:lpstr>
      <vt:lpstr>UsdCommonBucket</vt:lpstr>
      <vt:lpstr>UsdCommonMxSearch</vt:lpstr>
      <vt:lpstr>UsdMID_12M</vt:lpstr>
      <vt:lpstr>UsdMID_1M</vt:lpstr>
      <vt:lpstr>UsdMID_3M</vt:lpstr>
      <vt:lpstr>UsdMID_6M</vt:lpstr>
      <vt:lpstr>UsdMID_Ois</vt:lpstr>
      <vt:lpstr>UsdMID_Std</vt:lpstr>
      <vt:lpstr>UsdRtCode</vt:lpstr>
      <vt:lpstr>UsdStdRef</vt:lpstr>
      <vt:lpstr>BktUsdOisPL!ValueDate</vt:lpstr>
      <vt:lpstr>BktUsdOisSens!ValueDate</vt:lpstr>
      <vt:lpstr>EurMkt!ValueDate</vt:lpstr>
      <vt:lpstr>ValueDate</vt:lpstr>
    </vt:vector>
  </TitlesOfParts>
  <Company>Banca Caboto s.p.a.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maffic1a</dc:creator>
  <cp:lastModifiedBy>MISTE' LUCA ALDO</cp:lastModifiedBy>
  <cp:lastPrinted>2013-07-03T13:03:25Z</cp:lastPrinted>
  <dcterms:created xsi:type="dcterms:W3CDTF">2008-03-26T11:09:24Z</dcterms:created>
  <dcterms:modified xsi:type="dcterms:W3CDTF">2016-11-18T11:31:43Z</dcterms:modified>
</cp:coreProperties>
</file>